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heets/sheet2.xml" ContentType="application/vnd.openxmlformats-officedocument.spreadsheetml.chartsheet+xml"/>
  <Override PartName="/xl/worksheets/sheet14.xml" ContentType="application/vnd.openxmlformats-officedocument.spreadsheetml.worksheet+xml"/>
  <Override PartName="/xl/chartsheets/sheet3.xml" ContentType="application/vnd.openxmlformats-officedocument.spreadsheetml.chartsheet+xml"/>
  <Override PartName="/xl/worksheets/sheet15.xml" ContentType="application/vnd.openxmlformats-officedocument.spreadsheetml.worksheet+xml"/>
  <Override PartName="/xl/worksheets/sheet16.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6.xml" ContentType="application/vnd.openxmlformats-officedocument.spreadsheetml.chart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orem\Dropbox\RLC Documents\Models\Oilseeds\"/>
    </mc:Choice>
  </mc:AlternateContent>
  <xr:revisionPtr revIDLastSave="0" documentId="8_{220E9911-D35D-4FAB-AFB7-49109C506054}" xr6:coauthVersionLast="47" xr6:coauthVersionMax="47" xr10:uidLastSave="{00000000-0000-0000-0000-000000000000}"/>
  <bookViews>
    <workbookView xWindow="2775" yWindow="1170" windowWidth="22860" windowHeight="12030" xr2:uid="{528C016D-9A8A-40D8-BFD0-5F77C1B930A7}"/>
  </bookViews>
  <sheets>
    <sheet name="Source Data" sheetId="1" r:id="rId1"/>
    <sheet name="Data" sheetId="2" r:id="rId2"/>
    <sheet name="Mandates" sheetId="3" r:id="rId3"/>
    <sheet name="Mandate Table" sheetId="4" r:id="rId4"/>
    <sheet name="BC Credit Value-Volume Chart" sheetId="5" r:id="rId5"/>
    <sheet name="Credit Data" sheetId="6" r:id="rId6"/>
    <sheet name="Total Biofuels" sheetId="7" r:id="rId7"/>
    <sheet name="Fuel Ethanol" sheetId="8" r:id="rId8"/>
    <sheet name="Ethanol Plant List" sheetId="9" r:id="rId9"/>
    <sheet name="Ethanol Feedstock Use" sheetId="10" r:id="rId10"/>
    <sheet name="Ethanol Conversion" sheetId="11" r:id="rId11"/>
    <sheet name="Renewable Fuel Ex Ethanol" sheetId="12" r:id="rId12"/>
    <sheet name="Total Feedstock" sheetId="13" r:id="rId13"/>
    <sheet name="Total Ethanol Feedstock" sheetId="14" r:id="rId14"/>
    <sheet name="BBD Yield Chart" sheetId="15" r:id="rId15"/>
    <sheet name="Total RD Feedstock" sheetId="16" r:id="rId16"/>
    <sheet name="VO RD Feedstock Chart" sheetId="17" r:id="rId17"/>
    <sheet name="VO RD Feedstock" sheetId="18" r:id="rId18"/>
    <sheet name="Other RD Feedstock" sheetId="19" r:id="rId19"/>
    <sheet name="Monthly Prod v Cap Utilization" sheetId="20" r:id="rId20"/>
    <sheet name="BD Feedstock Mix Chart" sheetId="21" r:id="rId21"/>
    <sheet name="BD Plant List" sheetId="22" r:id="rId22"/>
    <sheet name="RD Plant List" sheetId="23" r:id="rId23"/>
    <sheet name="BD Feedstock" sheetId="24" r:id="rId24"/>
    <sheet name="RD Feedstock" sheetId="25" r:id="rId25"/>
    <sheet name="BBD Stacked Annual Production" sheetId="26" r:id="rId26"/>
    <sheet name="BBD Monthly Production" sheetId="27" r:id="rId27"/>
    <sheet name="Annual Diesel Sales" sheetId="28" r:id="rId28"/>
    <sheet name="Bob List #1" sheetId="29" r:id="rId29"/>
    <sheet name="Bob List #2" sheetId="30" r:id="rId30"/>
    <sheet name="Bob List #3" sheetId="31" r:id="rId31"/>
    <sheet name="Ethanol" sheetId="32" r:id="rId32"/>
  </sheets>
  <externalReferences>
    <externalReference r:id="rId33"/>
    <externalReference r:id="rId34"/>
    <externalReference r:id="rId35"/>
    <externalReference r:id="rId36"/>
    <externalReference r:id="rId37"/>
    <externalReference r:id="rId38"/>
  </externalReferences>
  <definedNames>
    <definedName name="Quarter">'[6]Formula Inputs'!#REF!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77" i="32" l="1"/>
  <c r="AO77" i="32"/>
  <c r="AN77" i="32"/>
  <c r="AM77" i="32"/>
  <c r="AL77" i="32"/>
  <c r="AK77" i="32"/>
  <c r="AJ77"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AP61" i="32"/>
  <c r="AO61" i="32"/>
  <c r="AN61" i="32"/>
  <c r="AM61" i="32"/>
  <c r="AL61" i="32"/>
  <c r="AK61" i="32"/>
  <c r="AJ61" i="32"/>
  <c r="AI61" i="32"/>
  <c r="AH61" i="32"/>
  <c r="AG61" i="32"/>
  <c r="AF61" i="32"/>
  <c r="AE61" i="32"/>
  <c r="AD61" i="32"/>
  <c r="AC61" i="32"/>
  <c r="AB61" i="32"/>
  <c r="AA61" i="32"/>
  <c r="Z61" i="32"/>
  <c r="Y61" i="32"/>
  <c r="X61" i="32"/>
  <c r="W61" i="32"/>
  <c r="V61" i="32"/>
  <c r="U61" i="32"/>
  <c r="T61" i="32"/>
  <c r="S61" i="32"/>
  <c r="R61" i="32"/>
  <c r="Q61" i="32"/>
  <c r="P61" i="32"/>
  <c r="O61" i="32"/>
  <c r="N61" i="32"/>
  <c r="M61" i="32"/>
  <c r="L61" i="32"/>
  <c r="M58" i="32"/>
  <c r="L58"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M42" i="32"/>
  <c r="L42" i="32"/>
  <c r="L6" i="32" s="1"/>
  <c r="AP29" i="32"/>
  <c r="AO29" i="32"/>
  <c r="AN29" i="32"/>
  <c r="AM29" i="32"/>
  <c r="AL29" i="32"/>
  <c r="AK29" i="32"/>
  <c r="AJ29" i="32"/>
  <c r="AI29" i="32"/>
  <c r="AH29" i="32"/>
  <c r="AG29" i="32"/>
  <c r="AF29" i="32"/>
  <c r="AE29" i="32"/>
  <c r="AD29" i="32"/>
  <c r="AC29" i="32"/>
  <c r="AB29" i="32"/>
  <c r="AA29" i="32"/>
  <c r="Z29" i="32"/>
  <c r="Y29" i="32"/>
  <c r="X29" i="32"/>
  <c r="W29" i="32"/>
  <c r="V29" i="32"/>
  <c r="U29" i="32"/>
  <c r="T29" i="32"/>
  <c r="S29" i="32"/>
  <c r="R29" i="32"/>
  <c r="Q29" i="32"/>
  <c r="P29" i="32"/>
  <c r="O29" i="32"/>
  <c r="N29" i="32"/>
  <c r="M29" i="32"/>
  <c r="L29" i="32"/>
  <c r="K25" i="32"/>
  <c r="K24" i="32"/>
  <c r="K23" i="32"/>
  <c r="K22" i="32"/>
  <c r="K21" i="32"/>
  <c r="K20" i="32"/>
  <c r="K19" i="32"/>
  <c r="K18" i="32"/>
  <c r="K17" i="32"/>
  <c r="K16" i="32"/>
  <c r="K15" i="32"/>
  <c r="K14" i="32"/>
  <c r="AP13" i="32"/>
  <c r="AO13" i="32"/>
  <c r="AN13" i="32"/>
  <c r="AM13" i="32"/>
  <c r="AL13" i="32"/>
  <c r="AK13" i="32"/>
  <c r="AJ13" i="32"/>
  <c r="AI13" i="32"/>
  <c r="AH13" i="32"/>
  <c r="AG13" i="32"/>
  <c r="AF13" i="32"/>
  <c r="AE13" i="32"/>
  <c r="AD13" i="32"/>
  <c r="AC13" i="32"/>
  <c r="AB13" i="32"/>
  <c r="AA13" i="32"/>
  <c r="Z13" i="32"/>
  <c r="Y13" i="32"/>
  <c r="X13" i="32"/>
  <c r="W13" i="32"/>
  <c r="V13" i="32"/>
  <c r="U13" i="32"/>
  <c r="T13" i="32"/>
  <c r="S13" i="32"/>
  <c r="R13" i="32"/>
  <c r="Q13" i="32"/>
  <c r="P13" i="32"/>
  <c r="O13" i="32"/>
  <c r="N13" i="32"/>
  <c r="M13" i="32"/>
  <c r="L13" i="32"/>
  <c r="M10" i="32"/>
  <c r="N3" i="32" s="1"/>
  <c r="L10" i="32"/>
  <c r="M3" i="32" s="1"/>
  <c r="M7" i="32"/>
  <c r="L7" i="32"/>
  <c r="M6" i="32"/>
  <c r="AE87" i="28"/>
  <c r="AF87" i="28" s="1"/>
  <c r="AG87" i="28" s="1"/>
  <c r="AH87" i="28" s="1"/>
  <c r="AI87" i="28" s="1"/>
  <c r="AJ87" i="28" s="1"/>
  <c r="AK87" i="28" s="1"/>
  <c r="AL87" i="28" s="1"/>
  <c r="AM87" i="28" s="1"/>
  <c r="AN87" i="28" s="1"/>
  <c r="AO87" i="28" s="1"/>
  <c r="AP87" i="28" s="1"/>
  <c r="AQ87" i="28" s="1"/>
  <c r="AR87" i="28" s="1"/>
  <c r="AS87" i="28" s="1"/>
  <c r="AT87" i="28" s="1"/>
  <c r="AU87" i="28" s="1"/>
  <c r="AV87" i="28" s="1"/>
  <c r="AW87" i="28" s="1"/>
  <c r="AX87" i="28" s="1"/>
  <c r="AY87" i="28" s="1"/>
  <c r="AZ87" i="28" s="1"/>
  <c r="BA87" i="28" s="1"/>
  <c r="BB87" i="28" s="1"/>
  <c r="BC87" i="28" s="1"/>
  <c r="BD87" i="28" s="1"/>
  <c r="BE87" i="28" s="1"/>
  <c r="BF87" i="28" s="1"/>
  <c r="BG87" i="28" s="1"/>
  <c r="AD87" i="28"/>
  <c r="AC87" i="28"/>
  <c r="AB87" i="28"/>
  <c r="AA87" i="28"/>
  <c r="Z87" i="28"/>
  <c r="Z4" i="28" s="1"/>
  <c r="Z5" i="28" s="1"/>
  <c r="Y87" i="28"/>
  <c r="X87" i="28"/>
  <c r="W87" i="28"/>
  <c r="V87" i="28"/>
  <c r="U87" i="28"/>
  <c r="T87" i="28"/>
  <c r="S87" i="28"/>
  <c r="R87" i="28"/>
  <c r="Q87" i="28"/>
  <c r="P87" i="28"/>
  <c r="O87" i="28"/>
  <c r="N87" i="28"/>
  <c r="M87" i="28"/>
  <c r="L87" i="28"/>
  <c r="K87" i="28"/>
  <c r="J87" i="28"/>
  <c r="I87" i="28"/>
  <c r="H87" i="28"/>
  <c r="G87" i="28"/>
  <c r="F87" i="28"/>
  <c r="E87" i="28"/>
  <c r="D87" i="28"/>
  <c r="C87" i="28"/>
  <c r="B87" i="28"/>
  <c r="BG86" i="28"/>
  <c r="BF86" i="28"/>
  <c r="BE86" i="28"/>
  <c r="BD86" i="28"/>
  <c r="BC86" i="28"/>
  <c r="BB86" i="28"/>
  <c r="BA86" i="28"/>
  <c r="AZ86" i="28"/>
  <c r="AY86" i="28"/>
  <c r="AX86" i="28"/>
  <c r="AW86" i="28"/>
  <c r="AV86" i="28"/>
  <c r="AU86" i="28"/>
  <c r="AT86" i="28"/>
  <c r="AS86" i="28"/>
  <c r="AR86" i="28"/>
  <c r="AQ86" i="28"/>
  <c r="AP86" i="28"/>
  <c r="AO86" i="28"/>
  <c r="AN86" i="28"/>
  <c r="AM86" i="28"/>
  <c r="AL86" i="28"/>
  <c r="AK86" i="28"/>
  <c r="AJ86" i="28"/>
  <c r="AI86" i="28"/>
  <c r="AH86" i="28"/>
  <c r="AG86" i="28"/>
  <c r="AF86" i="28"/>
  <c r="AE86" i="28"/>
  <c r="AD86" i="28"/>
  <c r="AC86" i="28"/>
  <c r="AB86" i="28"/>
  <c r="AA86" i="28"/>
  <c r="Z86" i="28"/>
  <c r="Y86" i="28"/>
  <c r="X86" i="28"/>
  <c r="W86" i="28"/>
  <c r="V86" i="28"/>
  <c r="U86" i="28"/>
  <c r="T86" i="28"/>
  <c r="S86" i="28"/>
  <c r="R86" i="28"/>
  <c r="Q86" i="28"/>
  <c r="P86" i="28"/>
  <c r="O86" i="28"/>
  <c r="N86" i="28"/>
  <c r="M86" i="28"/>
  <c r="L86" i="28"/>
  <c r="K86" i="28"/>
  <c r="J86" i="28"/>
  <c r="I86" i="28"/>
  <c r="H86" i="28"/>
  <c r="G86" i="28"/>
  <c r="F86" i="28"/>
  <c r="E86" i="28"/>
  <c r="D86" i="28"/>
  <c r="C86" i="28"/>
  <c r="B86" i="28"/>
  <c r="AM81" i="28"/>
  <c r="AN81" i="28" s="1"/>
  <c r="AO81" i="28" s="1"/>
  <c r="AP81" i="28" s="1"/>
  <c r="AQ81" i="28" s="1"/>
  <c r="AR81" i="28" s="1"/>
  <c r="AS81" i="28" s="1"/>
  <c r="AT81" i="28" s="1"/>
  <c r="AU81" i="28" s="1"/>
  <c r="AV81" i="28" s="1"/>
  <c r="AW81" i="28" s="1"/>
  <c r="AX81" i="28" s="1"/>
  <c r="AY81" i="28" s="1"/>
  <c r="AZ81" i="28" s="1"/>
  <c r="BA81" i="28" s="1"/>
  <c r="BB81" i="28" s="1"/>
  <c r="BC81" i="28" s="1"/>
  <c r="BD81" i="28" s="1"/>
  <c r="BE81" i="28" s="1"/>
  <c r="BF81" i="28" s="1"/>
  <c r="BG81" i="28" s="1"/>
  <c r="AE81" i="28"/>
  <c r="AF81" i="28" s="1"/>
  <c r="AG81" i="28" s="1"/>
  <c r="AH81" i="28" s="1"/>
  <c r="AI81" i="28" s="1"/>
  <c r="AJ81" i="28" s="1"/>
  <c r="AK81" i="28" s="1"/>
  <c r="AL81" i="28" s="1"/>
  <c r="AD81" i="28"/>
  <c r="AC81" i="28"/>
  <c r="AC4" i="28" s="1"/>
  <c r="AB81" i="28"/>
  <c r="AA81" i="28"/>
  <c r="Z81" i="28"/>
  <c r="Y81" i="28"/>
  <c r="X81" i="28"/>
  <c r="X4" i="28" s="1"/>
  <c r="W81" i="28"/>
  <c r="V81" i="28"/>
  <c r="U81" i="28"/>
  <c r="T81" i="28"/>
  <c r="T4" i="28" s="1"/>
  <c r="S81" i="28"/>
  <c r="S4" i="28" s="1"/>
  <c r="R81" i="28"/>
  <c r="Q81" i="28"/>
  <c r="P81" i="28"/>
  <c r="O81" i="28"/>
  <c r="N81" i="28"/>
  <c r="M81" i="28"/>
  <c r="L81" i="28"/>
  <c r="K81" i="28"/>
  <c r="J81" i="28"/>
  <c r="I81" i="28"/>
  <c r="H81" i="28"/>
  <c r="G81" i="28"/>
  <c r="F81" i="28"/>
  <c r="E81" i="28"/>
  <c r="D81" i="28"/>
  <c r="C81" i="28"/>
  <c r="B81" i="28"/>
  <c r="BG80" i="28"/>
  <c r="BF80" i="28"/>
  <c r="BE80" i="28"/>
  <c r="BD80" i="28"/>
  <c r="BC80" i="28"/>
  <c r="BB80" i="28"/>
  <c r="BA80" i="28"/>
  <c r="AZ80" i="28"/>
  <c r="AY80" i="28"/>
  <c r="AX80" i="28"/>
  <c r="AW80" i="28"/>
  <c r="AV80" i="28"/>
  <c r="AU80" i="28"/>
  <c r="AT80" i="28"/>
  <c r="AS80" i="28"/>
  <c r="AR80" i="28"/>
  <c r="AQ80" i="28"/>
  <c r="AP80" i="28"/>
  <c r="AO80" i="28"/>
  <c r="AN80" i="28"/>
  <c r="AM80" i="28"/>
  <c r="AL80" i="28"/>
  <c r="AK80" i="28"/>
  <c r="AJ80" i="28"/>
  <c r="AI80" i="28"/>
  <c r="AH80" i="28"/>
  <c r="AG80" i="28"/>
  <c r="AF80" i="28"/>
  <c r="AE80" i="28"/>
  <c r="AD80" i="28"/>
  <c r="AC80" i="28"/>
  <c r="AB80" i="28"/>
  <c r="AA80" i="28"/>
  <c r="Z80" i="28"/>
  <c r="Y80" i="28"/>
  <c r="X80" i="28"/>
  <c r="W80" i="28"/>
  <c r="V80" i="28"/>
  <c r="U80" i="28"/>
  <c r="T80" i="28"/>
  <c r="S80" i="28"/>
  <c r="R80" i="28"/>
  <c r="Q80" i="28"/>
  <c r="P80" i="28"/>
  <c r="O80" i="28"/>
  <c r="N80" i="28"/>
  <c r="M80" i="28"/>
  <c r="L80" i="28"/>
  <c r="K80" i="28"/>
  <c r="J80" i="28"/>
  <c r="I80" i="28"/>
  <c r="H80" i="28"/>
  <c r="G80" i="28"/>
  <c r="F80" i="28"/>
  <c r="E80" i="28"/>
  <c r="D80" i="28"/>
  <c r="C80" i="28"/>
  <c r="B80" i="28"/>
  <c r="AD75" i="28"/>
  <c r="AC75" i="28"/>
  <c r="AB75" i="28"/>
  <c r="AA75" i="28"/>
  <c r="Z75" i="28"/>
  <c r="Y75" i="28"/>
  <c r="Y4" i="28" s="1"/>
  <c r="X75" i="28"/>
  <c r="W75" i="28"/>
  <c r="W4" i="28" s="1"/>
  <c r="V75" i="28"/>
  <c r="U75" i="28"/>
  <c r="T75" i="28"/>
  <c r="S75" i="28"/>
  <c r="R75" i="28"/>
  <c r="Q75" i="28"/>
  <c r="P75" i="28"/>
  <c r="O75" i="28"/>
  <c r="N75" i="28"/>
  <c r="M75" i="28"/>
  <c r="L75" i="28"/>
  <c r="K75" i="28"/>
  <c r="J75" i="28"/>
  <c r="I75" i="28"/>
  <c r="H75" i="28"/>
  <c r="G75" i="28"/>
  <c r="F75" i="28"/>
  <c r="E75" i="28"/>
  <c r="D75" i="28"/>
  <c r="C75" i="28"/>
  <c r="B75" i="28"/>
  <c r="BG74" i="28"/>
  <c r="BF74" i="28"/>
  <c r="BE74" i="28"/>
  <c r="BD74" i="28"/>
  <c r="BC74" i="28"/>
  <c r="BB74" i="28"/>
  <c r="BA74" i="28"/>
  <c r="AZ74" i="28"/>
  <c r="AY74" i="28"/>
  <c r="AX74" i="28"/>
  <c r="AW74" i="28"/>
  <c r="AV74" i="28"/>
  <c r="AU74" i="28"/>
  <c r="AT74" i="28"/>
  <c r="AS74" i="28"/>
  <c r="AR74" i="28"/>
  <c r="AQ74" i="28"/>
  <c r="AP74" i="28"/>
  <c r="AO74" i="28"/>
  <c r="AN74" i="28"/>
  <c r="AM74" i="28"/>
  <c r="AL74" i="28"/>
  <c r="AK74"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D74" i="28"/>
  <c r="C74" i="28"/>
  <c r="B74" i="28"/>
  <c r="AN69" i="28"/>
  <c r="AO69" i="28" s="1"/>
  <c r="AP69" i="28" s="1"/>
  <c r="AQ69" i="28" s="1"/>
  <c r="AR69" i="28" s="1"/>
  <c r="AS69" i="28" s="1"/>
  <c r="AT69" i="28" s="1"/>
  <c r="AU69" i="28" s="1"/>
  <c r="AV69" i="28" s="1"/>
  <c r="AW69" i="28" s="1"/>
  <c r="AX69" i="28" s="1"/>
  <c r="AY69" i="28" s="1"/>
  <c r="AZ69" i="28" s="1"/>
  <c r="BA69" i="28" s="1"/>
  <c r="BB69" i="28" s="1"/>
  <c r="BC69" i="28" s="1"/>
  <c r="BD69" i="28" s="1"/>
  <c r="BE69" i="28" s="1"/>
  <c r="BF69" i="28" s="1"/>
  <c r="BG69" i="28" s="1"/>
  <c r="AE69" i="28"/>
  <c r="AF69" i="28" s="1"/>
  <c r="AG69" i="28" s="1"/>
  <c r="AH69" i="28" s="1"/>
  <c r="AI69" i="28" s="1"/>
  <c r="AJ69" i="28" s="1"/>
  <c r="AK69" i="28" s="1"/>
  <c r="AL69" i="28" s="1"/>
  <c r="AM69" i="28" s="1"/>
  <c r="AD69" i="28"/>
  <c r="AC69" i="28"/>
  <c r="AB69" i="28"/>
  <c r="AA69" i="28"/>
  <c r="Z69" i="28"/>
  <c r="Y69" i="28"/>
  <c r="X69" i="28"/>
  <c r="W69" i="28"/>
  <c r="V69" i="28"/>
  <c r="U69" i="28"/>
  <c r="T69" i="28"/>
  <c r="S69" i="28"/>
  <c r="R69" i="28"/>
  <c r="Q69" i="28"/>
  <c r="P69" i="28"/>
  <c r="O69" i="28"/>
  <c r="N69" i="28"/>
  <c r="M69" i="28"/>
  <c r="L69" i="28"/>
  <c r="K69" i="28"/>
  <c r="J69" i="28"/>
  <c r="I69" i="28"/>
  <c r="H69" i="28"/>
  <c r="G69" i="28"/>
  <c r="F69" i="28"/>
  <c r="E69" i="28"/>
  <c r="D69" i="28"/>
  <c r="C69" i="28"/>
  <c r="B69" i="28"/>
  <c r="BG68" i="28"/>
  <c r="BF68" i="28"/>
  <c r="BE68" i="28"/>
  <c r="BD68" i="28"/>
  <c r="BC68" i="28"/>
  <c r="BB68" i="28"/>
  <c r="BA68" i="28"/>
  <c r="AZ68" i="28"/>
  <c r="AY68" i="28"/>
  <c r="AX68" i="28"/>
  <c r="AW68" i="28"/>
  <c r="AV68" i="28"/>
  <c r="AU68" i="28"/>
  <c r="AT68" i="28"/>
  <c r="AS68" i="28"/>
  <c r="AR68" i="28"/>
  <c r="AQ68" i="28"/>
  <c r="AP68" i="28"/>
  <c r="AO68" i="28"/>
  <c r="AN68" i="28"/>
  <c r="AM68" i="28"/>
  <c r="AL68" i="28"/>
  <c r="AK68" i="28"/>
  <c r="AJ68" i="28"/>
  <c r="AI68" i="28"/>
  <c r="AH68" i="28"/>
  <c r="AG68" i="28"/>
  <c r="AF68" i="28"/>
  <c r="AE68" i="28"/>
  <c r="AD68" i="28"/>
  <c r="AC68" i="28"/>
  <c r="AB68" i="28"/>
  <c r="AA68" i="28"/>
  <c r="Z68" i="28"/>
  <c r="Y68" i="28"/>
  <c r="X68" i="28"/>
  <c r="W68" i="28"/>
  <c r="V68" i="28"/>
  <c r="U68" i="28"/>
  <c r="T68" i="28"/>
  <c r="S68" i="28"/>
  <c r="R68" i="28"/>
  <c r="Q68" i="28"/>
  <c r="P68" i="28"/>
  <c r="O68" i="28"/>
  <c r="N68" i="28"/>
  <c r="M68" i="28"/>
  <c r="L68" i="28"/>
  <c r="K68" i="28"/>
  <c r="J68" i="28"/>
  <c r="I68" i="28"/>
  <c r="H68" i="28"/>
  <c r="G68" i="28"/>
  <c r="F68" i="28"/>
  <c r="E68" i="28"/>
  <c r="D68" i="28"/>
  <c r="C68" i="28"/>
  <c r="B68" i="28"/>
  <c r="AH63" i="28"/>
  <c r="AI63" i="28" s="1"/>
  <c r="AJ63" i="28" s="1"/>
  <c r="AK63" i="28" s="1"/>
  <c r="AL63" i="28" s="1"/>
  <c r="AM63" i="28" s="1"/>
  <c r="AN63" i="28" s="1"/>
  <c r="AO63" i="28" s="1"/>
  <c r="AP63" i="28" s="1"/>
  <c r="AQ63" i="28" s="1"/>
  <c r="AR63" i="28" s="1"/>
  <c r="AS63" i="28" s="1"/>
  <c r="AT63" i="28" s="1"/>
  <c r="AU63" i="28" s="1"/>
  <c r="AV63" i="28" s="1"/>
  <c r="AW63" i="28" s="1"/>
  <c r="AX63" i="28" s="1"/>
  <c r="AY63" i="28" s="1"/>
  <c r="AZ63" i="28" s="1"/>
  <c r="BA63" i="28" s="1"/>
  <c r="BB63" i="28" s="1"/>
  <c r="BC63" i="28" s="1"/>
  <c r="BD63" i="28" s="1"/>
  <c r="BE63" i="28" s="1"/>
  <c r="BF63" i="28" s="1"/>
  <c r="BG63" i="28" s="1"/>
  <c r="AG63" i="28"/>
  <c r="AD63" i="28"/>
  <c r="AE63" i="28" s="1"/>
  <c r="AF63" i="28" s="1"/>
  <c r="AC63" i="28"/>
  <c r="AB63" i="28"/>
  <c r="AA63" i="28"/>
  <c r="Z63" i="28"/>
  <c r="Y63" i="28"/>
  <c r="X63" i="28"/>
  <c r="W63" i="28"/>
  <c r="V63" i="28"/>
  <c r="U63" i="28"/>
  <c r="T63" i="28"/>
  <c r="S63" i="28"/>
  <c r="R63" i="28"/>
  <c r="Q63" i="28"/>
  <c r="P63" i="28"/>
  <c r="O63" i="28"/>
  <c r="N63" i="28"/>
  <c r="M63" i="28"/>
  <c r="L63" i="28"/>
  <c r="K63" i="28"/>
  <c r="J63" i="28"/>
  <c r="I63" i="28"/>
  <c r="H63" i="28"/>
  <c r="G63" i="28"/>
  <c r="F63" i="28"/>
  <c r="E63" i="28"/>
  <c r="D63" i="28"/>
  <c r="C63" i="28"/>
  <c r="B63" i="28"/>
  <c r="BG62" i="28"/>
  <c r="BF62" i="28"/>
  <c r="BE62" i="28"/>
  <c r="BD62" i="28"/>
  <c r="BC62" i="28"/>
  <c r="BB62" i="28"/>
  <c r="BA62" i="28"/>
  <c r="AZ62" i="28"/>
  <c r="AY62" i="28"/>
  <c r="AX62" i="28"/>
  <c r="AW62" i="28"/>
  <c r="AV62" i="28"/>
  <c r="AU62" i="28"/>
  <c r="AT62" i="28"/>
  <c r="AS62" i="28"/>
  <c r="AR62" i="28"/>
  <c r="AQ62" i="28"/>
  <c r="AP62" i="28"/>
  <c r="AO62" i="28"/>
  <c r="AN62" i="28"/>
  <c r="AM62" i="28"/>
  <c r="AL62" i="28"/>
  <c r="AK62" i="28"/>
  <c r="AJ62" i="28"/>
  <c r="AI62" i="28"/>
  <c r="AH62" i="28"/>
  <c r="AG62" i="28"/>
  <c r="AF62" i="28"/>
  <c r="AE62" i="28"/>
  <c r="AD62" i="28"/>
  <c r="AC62" i="28"/>
  <c r="AB62" i="28"/>
  <c r="AA62" i="28"/>
  <c r="Z62" i="28"/>
  <c r="Y62" i="28"/>
  <c r="X62" i="28"/>
  <c r="W62" i="28"/>
  <c r="V62" i="28"/>
  <c r="U62" i="28"/>
  <c r="T62" i="28"/>
  <c r="S62" i="28"/>
  <c r="R62" i="28"/>
  <c r="Q62" i="28"/>
  <c r="P62" i="28"/>
  <c r="O62" i="28"/>
  <c r="N62" i="28"/>
  <c r="M62" i="28"/>
  <c r="L62" i="28"/>
  <c r="K62" i="28"/>
  <c r="J62" i="28"/>
  <c r="I62" i="28"/>
  <c r="H62" i="28"/>
  <c r="G62" i="28"/>
  <c r="F62" i="28"/>
  <c r="E62" i="28"/>
  <c r="D62" i="28"/>
  <c r="C62" i="28"/>
  <c r="B62" i="28"/>
  <c r="AO57" i="28"/>
  <c r="AP57" i="28" s="1"/>
  <c r="AQ57" i="28" s="1"/>
  <c r="AR57" i="28" s="1"/>
  <c r="AS57" i="28" s="1"/>
  <c r="AT57" i="28" s="1"/>
  <c r="AU57" i="28" s="1"/>
  <c r="AV57" i="28" s="1"/>
  <c r="AW57" i="28" s="1"/>
  <c r="AX57" i="28" s="1"/>
  <c r="AY57" i="28" s="1"/>
  <c r="AZ57" i="28" s="1"/>
  <c r="BA57" i="28" s="1"/>
  <c r="BB57" i="28" s="1"/>
  <c r="BC57" i="28" s="1"/>
  <c r="BD57" i="28" s="1"/>
  <c r="BE57" i="28" s="1"/>
  <c r="BF57" i="28" s="1"/>
  <c r="BG57" i="28" s="1"/>
  <c r="AF57" i="28"/>
  <c r="AG57" i="28" s="1"/>
  <c r="AH57" i="28" s="1"/>
  <c r="AI57" i="28" s="1"/>
  <c r="AJ57" i="28" s="1"/>
  <c r="AK57" i="28" s="1"/>
  <c r="AL57" i="28" s="1"/>
  <c r="AM57" i="28" s="1"/>
  <c r="AN57" i="28" s="1"/>
  <c r="AE57" i="28"/>
  <c r="AD57" i="28"/>
  <c r="AC57" i="28"/>
  <c r="AB57" i="28"/>
  <c r="AA57" i="28"/>
  <c r="Z57" i="28"/>
  <c r="Y57" i="28"/>
  <c r="X57" i="28"/>
  <c r="W57" i="28"/>
  <c r="V57" i="28"/>
  <c r="U57" i="28"/>
  <c r="T57" i="28"/>
  <c r="S57" i="28"/>
  <c r="R57" i="28"/>
  <c r="Q57" i="28"/>
  <c r="P57" i="28"/>
  <c r="O57" i="28"/>
  <c r="N57" i="28"/>
  <c r="M57" i="28"/>
  <c r="L57" i="28"/>
  <c r="K57" i="28"/>
  <c r="J57" i="28"/>
  <c r="I57" i="28"/>
  <c r="H57" i="28"/>
  <c r="G57" i="28"/>
  <c r="F57" i="28"/>
  <c r="E57" i="28"/>
  <c r="D57" i="28"/>
  <c r="C57" i="28"/>
  <c r="B57" i="28"/>
  <c r="BG56" i="28"/>
  <c r="BF56" i="28"/>
  <c r="BE56" i="28"/>
  <c r="BD56" i="28"/>
  <c r="BC56" i="28"/>
  <c r="BB56" i="28"/>
  <c r="BA56" i="28"/>
  <c r="AZ56" i="28"/>
  <c r="AY56" i="28"/>
  <c r="AX56" i="28"/>
  <c r="AW56" i="28"/>
  <c r="AV56" i="28"/>
  <c r="AU56" i="28"/>
  <c r="AT56" i="28"/>
  <c r="AS56" i="28"/>
  <c r="AR56" i="28"/>
  <c r="AQ56" i="28"/>
  <c r="AP56" i="28"/>
  <c r="AO56" i="28"/>
  <c r="AN56" i="28"/>
  <c r="AM56" i="28"/>
  <c r="AL56" i="28"/>
  <c r="AK56" i="28"/>
  <c r="AJ56" i="28"/>
  <c r="AI56" i="28"/>
  <c r="AH56" i="28"/>
  <c r="AG56" i="28"/>
  <c r="AF56" i="28"/>
  <c r="AE56" i="28"/>
  <c r="AD56" i="28"/>
  <c r="AC56" i="28"/>
  <c r="AB56" i="28"/>
  <c r="AA56" i="28"/>
  <c r="Z56" i="28"/>
  <c r="Y56" i="28"/>
  <c r="X56" i="28"/>
  <c r="W56" i="28"/>
  <c r="V56" i="28"/>
  <c r="U56" i="28"/>
  <c r="T56" i="28"/>
  <c r="S56" i="28"/>
  <c r="R56" i="28"/>
  <c r="Q56" i="28"/>
  <c r="P56" i="28"/>
  <c r="O56" i="28"/>
  <c r="N56" i="28"/>
  <c r="M56" i="28"/>
  <c r="L56" i="28"/>
  <c r="K56" i="28"/>
  <c r="J56" i="28"/>
  <c r="I56" i="28"/>
  <c r="H56" i="28"/>
  <c r="G56" i="28"/>
  <c r="F56" i="28"/>
  <c r="E56" i="28"/>
  <c r="D56" i="28"/>
  <c r="C56" i="28"/>
  <c r="B56" i="28"/>
  <c r="AP51" i="28"/>
  <c r="AQ51" i="28" s="1"/>
  <c r="AR51" i="28" s="1"/>
  <c r="AS51" i="28" s="1"/>
  <c r="AT51" i="28" s="1"/>
  <c r="AU51" i="28" s="1"/>
  <c r="AV51" i="28" s="1"/>
  <c r="AW51" i="28" s="1"/>
  <c r="AX51" i="28" s="1"/>
  <c r="AY51" i="28" s="1"/>
  <c r="AZ51" i="28" s="1"/>
  <c r="BA51" i="28" s="1"/>
  <c r="BB51" i="28" s="1"/>
  <c r="BC51" i="28" s="1"/>
  <c r="BD51" i="28" s="1"/>
  <c r="BE51" i="28" s="1"/>
  <c r="BF51" i="28" s="1"/>
  <c r="BG51" i="28" s="1"/>
  <c r="AG51" i="28"/>
  <c r="AH51" i="28" s="1"/>
  <c r="AI51" i="28" s="1"/>
  <c r="AJ51" i="28" s="1"/>
  <c r="AK51" i="28" s="1"/>
  <c r="AL51" i="28" s="1"/>
  <c r="AM51" i="28" s="1"/>
  <c r="AN51" i="28" s="1"/>
  <c r="AO51" i="28" s="1"/>
  <c r="AF51" i="28"/>
  <c r="AE51" i="28"/>
  <c r="AD51" i="28"/>
  <c r="AC51" i="28"/>
  <c r="AB51" i="28"/>
  <c r="AA51" i="28"/>
  <c r="Z51" i="28"/>
  <c r="Y51" i="28"/>
  <c r="X51" i="28"/>
  <c r="W51" i="28"/>
  <c r="V51" i="28"/>
  <c r="U51" i="28"/>
  <c r="T51" i="28"/>
  <c r="S51" i="28"/>
  <c r="R51" i="28"/>
  <c r="Q51" i="28"/>
  <c r="P51" i="28"/>
  <c r="O51" i="28"/>
  <c r="N51" i="28"/>
  <c r="M51" i="28"/>
  <c r="L51" i="28"/>
  <c r="K51" i="28"/>
  <c r="J51" i="28"/>
  <c r="I51" i="28"/>
  <c r="H51" i="28"/>
  <c r="G51" i="28"/>
  <c r="F51" i="28"/>
  <c r="E51" i="28"/>
  <c r="D51" i="28"/>
  <c r="C51" i="28"/>
  <c r="B51" i="28"/>
  <c r="BG50" i="28"/>
  <c r="BF50" i="28"/>
  <c r="BE50" i="28"/>
  <c r="BD50" i="28"/>
  <c r="BC50" i="28"/>
  <c r="BB50" i="28"/>
  <c r="BA50" i="28"/>
  <c r="AZ50" i="28"/>
  <c r="AY50" i="28"/>
  <c r="AX50" i="28"/>
  <c r="AW50" i="28"/>
  <c r="AV50" i="28"/>
  <c r="AU50" i="28"/>
  <c r="AT50" i="28"/>
  <c r="AS50" i="28"/>
  <c r="AR50" i="28"/>
  <c r="AQ50" i="28"/>
  <c r="AP50" i="28"/>
  <c r="AO50" i="28"/>
  <c r="AN50" i="28"/>
  <c r="AM50" i="28"/>
  <c r="AL50" i="28"/>
  <c r="AK50" i="28"/>
  <c r="AJ50" i="28"/>
  <c r="AI50" i="28"/>
  <c r="AH50" i="28"/>
  <c r="AG50" i="28"/>
  <c r="AF50" i="28"/>
  <c r="AE50" i="28"/>
  <c r="AD50" i="28"/>
  <c r="AC50" i="28"/>
  <c r="AB50" i="28"/>
  <c r="AA50" i="28"/>
  <c r="Z50" i="28"/>
  <c r="Y50" i="28"/>
  <c r="X50" i="28"/>
  <c r="W50" i="28"/>
  <c r="V50" i="28"/>
  <c r="U50" i="28"/>
  <c r="T50" i="28"/>
  <c r="S50" i="28"/>
  <c r="R50" i="28"/>
  <c r="Q50" i="28"/>
  <c r="P50" i="28"/>
  <c r="O50" i="28"/>
  <c r="N50" i="28"/>
  <c r="M50" i="28"/>
  <c r="L50" i="28"/>
  <c r="K50" i="28"/>
  <c r="J50" i="28"/>
  <c r="I50" i="28"/>
  <c r="H50" i="28"/>
  <c r="G50" i="28"/>
  <c r="F50" i="28"/>
  <c r="E50" i="28"/>
  <c r="D50" i="28"/>
  <c r="C50" i="28"/>
  <c r="B50" i="28"/>
  <c r="AE47" i="28"/>
  <c r="AE45" i="28"/>
  <c r="AF45" i="28" s="1"/>
  <c r="AF47" i="28" s="1"/>
  <c r="AD45" i="28"/>
  <c r="AC45" i="28"/>
  <c r="AB45" i="28"/>
  <c r="AA45" i="28"/>
  <c r="Z45" i="28"/>
  <c r="Y45" i="28"/>
  <c r="X45" i="28"/>
  <c r="W45" i="28"/>
  <c r="V45" i="28"/>
  <c r="U45" i="28"/>
  <c r="T45" i="28"/>
  <c r="S45" i="28"/>
  <c r="R45" i="28"/>
  <c r="Q45" i="28"/>
  <c r="P45" i="28"/>
  <c r="O45" i="28"/>
  <c r="N45" i="28"/>
  <c r="M45" i="28"/>
  <c r="L45" i="28"/>
  <c r="K45" i="28"/>
  <c r="J45" i="28"/>
  <c r="I45" i="28"/>
  <c r="H45" i="28"/>
  <c r="G45" i="28"/>
  <c r="F45" i="28"/>
  <c r="E45" i="28"/>
  <c r="D45" i="28"/>
  <c r="C45" i="28"/>
  <c r="B45" i="28"/>
  <c r="BG44" i="28"/>
  <c r="BF44" i="28"/>
  <c r="BE44" i="28"/>
  <c r="BD44" i="28"/>
  <c r="BC44" i="28"/>
  <c r="BB44" i="28"/>
  <c r="BA44" i="28"/>
  <c r="AZ44" i="28"/>
  <c r="AY44" i="28"/>
  <c r="AX44" i="28"/>
  <c r="AW44" i="28"/>
  <c r="AV44" i="28"/>
  <c r="AU44" i="28"/>
  <c r="AT44" i="28"/>
  <c r="AS44" i="28"/>
  <c r="AR44" i="28"/>
  <c r="AQ44" i="28"/>
  <c r="AP44" i="28"/>
  <c r="AO44" i="28"/>
  <c r="AN44" i="28"/>
  <c r="AM44" i="28"/>
  <c r="AL44" i="28"/>
  <c r="AK44" i="28"/>
  <c r="AJ44" i="28"/>
  <c r="AI44" i="28"/>
  <c r="AH44" i="28"/>
  <c r="AG44" i="28"/>
  <c r="AF44" i="28"/>
  <c r="AE44" i="28"/>
  <c r="AD44" i="28"/>
  <c r="AC44" i="28"/>
  <c r="AB44" i="28"/>
  <c r="AA44" i="28"/>
  <c r="Z44" i="28"/>
  <c r="Y44" i="28"/>
  <c r="X44" i="28"/>
  <c r="W44" i="28"/>
  <c r="V44" i="28"/>
  <c r="U44" i="28"/>
  <c r="T44" i="28"/>
  <c r="S44" i="28"/>
  <c r="R44" i="28"/>
  <c r="Q44" i="28"/>
  <c r="P44" i="28"/>
  <c r="O44" i="28"/>
  <c r="N44" i="28"/>
  <c r="M44" i="28"/>
  <c r="L44" i="28"/>
  <c r="K44" i="28"/>
  <c r="J44" i="28"/>
  <c r="I44" i="28"/>
  <c r="H44" i="28"/>
  <c r="G44" i="28"/>
  <c r="F44" i="28"/>
  <c r="E44" i="28"/>
  <c r="D44" i="28"/>
  <c r="C44" i="28"/>
  <c r="B44" i="28"/>
  <c r="AD39" i="28"/>
  <c r="AE39" i="28" s="1"/>
  <c r="AE41" i="28" s="1"/>
  <c r="AC39" i="28"/>
  <c r="AB39" i="28"/>
  <c r="AA39" i="28"/>
  <c r="Z39" i="28"/>
  <c r="Y39" i="28"/>
  <c r="X39" i="28"/>
  <c r="W39" i="28"/>
  <c r="V39" i="28"/>
  <c r="U39" i="28"/>
  <c r="T39" i="28"/>
  <c r="S39" i="28"/>
  <c r="R39" i="28"/>
  <c r="Q39" i="28"/>
  <c r="P39" i="28"/>
  <c r="O39" i="28"/>
  <c r="N39" i="28"/>
  <c r="M39" i="28"/>
  <c r="L39" i="28"/>
  <c r="K39" i="28"/>
  <c r="J39" i="28"/>
  <c r="I39" i="28"/>
  <c r="H39" i="28"/>
  <c r="G39" i="28"/>
  <c r="F39" i="28"/>
  <c r="E39" i="28"/>
  <c r="D39" i="28"/>
  <c r="C39" i="28"/>
  <c r="B39" i="28"/>
  <c r="BG38" i="28"/>
  <c r="BF38" i="28"/>
  <c r="BE38" i="28"/>
  <c r="BD38" i="28"/>
  <c r="BC38" i="28"/>
  <c r="BB38" i="28"/>
  <c r="BA38" i="28"/>
  <c r="AZ38" i="28"/>
  <c r="AY38" i="28"/>
  <c r="AX38" i="28"/>
  <c r="AW38" i="28"/>
  <c r="AV38" i="28"/>
  <c r="AU38" i="28"/>
  <c r="AT38" i="28"/>
  <c r="AS38" i="28"/>
  <c r="AR38" i="28"/>
  <c r="AQ38" i="28"/>
  <c r="AP38" i="28"/>
  <c r="AO38" i="28"/>
  <c r="AN38" i="28"/>
  <c r="AM38" i="28"/>
  <c r="AL38" i="28"/>
  <c r="AK38" i="28"/>
  <c r="AJ38" i="28"/>
  <c r="AI38" i="28"/>
  <c r="AH38" i="28"/>
  <c r="AG38" i="28"/>
  <c r="AF38" i="28"/>
  <c r="AE38" i="28"/>
  <c r="AD38" i="28"/>
  <c r="AC38" i="28"/>
  <c r="AB38" i="28"/>
  <c r="AA38" i="28"/>
  <c r="Z38" i="28"/>
  <c r="Y38" i="28"/>
  <c r="X38" i="28"/>
  <c r="W38" i="28"/>
  <c r="V38" i="28"/>
  <c r="U38" i="28"/>
  <c r="T38" i="28"/>
  <c r="S38" i="28"/>
  <c r="R38" i="28"/>
  <c r="Q38" i="28"/>
  <c r="P38" i="28"/>
  <c r="O38" i="28"/>
  <c r="N38" i="28"/>
  <c r="M38" i="28"/>
  <c r="L38" i="28"/>
  <c r="K38" i="28"/>
  <c r="J38" i="28"/>
  <c r="I38" i="28"/>
  <c r="H38" i="28"/>
  <c r="G38" i="28"/>
  <c r="F38" i="28"/>
  <c r="E38" i="28"/>
  <c r="D38" i="28"/>
  <c r="C38" i="28"/>
  <c r="B38" i="28"/>
  <c r="AB35" i="28"/>
  <c r="AA35" i="28"/>
  <c r="Z35" i="28"/>
  <c r="Y35" i="28"/>
  <c r="X35" i="28"/>
  <c r="W35" i="28"/>
  <c r="V35" i="28"/>
  <c r="U35" i="28"/>
  <c r="R35" i="28"/>
  <c r="N34" i="28"/>
  <c r="N35" i="28" s="1"/>
  <c r="AE33" i="28"/>
  <c r="AD33" i="28"/>
  <c r="AD35" i="28" s="1"/>
  <c r="AC33" i="28"/>
  <c r="AC35" i="28" s="1"/>
  <c r="AB33" i="28"/>
  <c r="AA33" i="28"/>
  <c r="Z33" i="28"/>
  <c r="Y33" i="28"/>
  <c r="X33" i="28"/>
  <c r="W33" i="28"/>
  <c r="V33" i="28"/>
  <c r="U33" i="28"/>
  <c r="T33" i="28"/>
  <c r="T35" i="28" s="1"/>
  <c r="S33" i="28"/>
  <c r="S35" i="28" s="1"/>
  <c r="R33" i="28"/>
  <c r="Q33" i="28"/>
  <c r="Q35" i="28" s="1"/>
  <c r="P33" i="28"/>
  <c r="P35" i="28" s="1"/>
  <c r="O33" i="28"/>
  <c r="O35" i="28" s="1"/>
  <c r="N33" i="28"/>
  <c r="M33" i="28"/>
  <c r="L33" i="28"/>
  <c r="K33" i="28"/>
  <c r="J33" i="28"/>
  <c r="I33" i="28"/>
  <c r="H33" i="28"/>
  <c r="G33" i="28"/>
  <c r="F33" i="28"/>
  <c r="E33" i="28"/>
  <c r="D33" i="28"/>
  <c r="C33" i="28"/>
  <c r="B33" i="28"/>
  <c r="BG32" i="28"/>
  <c r="BF32" i="28"/>
  <c r="BE32" i="28"/>
  <c r="BD32" i="28"/>
  <c r="BC32" i="28"/>
  <c r="BB32" i="28"/>
  <c r="BA32" i="28"/>
  <c r="AZ32" i="28"/>
  <c r="AY32" i="28"/>
  <c r="AX32" i="28"/>
  <c r="AW32" i="28"/>
  <c r="AV32" i="28"/>
  <c r="AU32" i="28"/>
  <c r="AT32" i="28"/>
  <c r="AS32" i="28"/>
  <c r="AR32" i="28"/>
  <c r="AQ32" i="28"/>
  <c r="AP32" i="28"/>
  <c r="AO32" i="28"/>
  <c r="AN32" i="28"/>
  <c r="AM32" i="28"/>
  <c r="AL32" i="28"/>
  <c r="AK32" i="28"/>
  <c r="AJ32" i="28"/>
  <c r="AI32" i="28"/>
  <c r="AH32" i="28"/>
  <c r="AG32" i="28"/>
  <c r="AF32" i="28"/>
  <c r="AE32" i="28"/>
  <c r="AD32" i="28"/>
  <c r="AC32" i="28"/>
  <c r="AB32" i="28"/>
  <c r="AA32" i="28"/>
  <c r="Z32" i="28"/>
  <c r="Y32" i="28"/>
  <c r="X32" i="28"/>
  <c r="W32" i="28"/>
  <c r="V32" i="28"/>
  <c r="U32" i="28"/>
  <c r="T32" i="28"/>
  <c r="S32" i="28"/>
  <c r="R32" i="28"/>
  <c r="Q32" i="28"/>
  <c r="P32" i="28"/>
  <c r="O32" i="28"/>
  <c r="N32" i="28"/>
  <c r="M32" i="28"/>
  <c r="L32" i="28"/>
  <c r="K32" i="28"/>
  <c r="J32" i="28"/>
  <c r="I32" i="28"/>
  <c r="H32" i="28"/>
  <c r="G32" i="28"/>
  <c r="F32" i="28"/>
  <c r="E32" i="28"/>
  <c r="D32" i="28"/>
  <c r="C32" i="28"/>
  <c r="B32" i="28"/>
  <c r="AD27" i="28"/>
  <c r="AE27" i="28" s="1"/>
  <c r="AE29" i="28" s="1"/>
  <c r="AC27" i="28"/>
  <c r="AB27" i="28"/>
  <c r="AA27" i="28"/>
  <c r="Z27" i="28"/>
  <c r="Y27" i="28"/>
  <c r="X27" i="28"/>
  <c r="W27" i="28"/>
  <c r="V27" i="28"/>
  <c r="U27" i="28"/>
  <c r="T27" i="28"/>
  <c r="S27" i="28"/>
  <c r="R27" i="28"/>
  <c r="Q27" i="28"/>
  <c r="P27" i="28"/>
  <c r="O27" i="28"/>
  <c r="N27" i="28"/>
  <c r="M27" i="28"/>
  <c r="L27" i="28"/>
  <c r="K27" i="28"/>
  <c r="J27" i="28"/>
  <c r="I27" i="28"/>
  <c r="H27" i="28"/>
  <c r="G27" i="28"/>
  <c r="F27" i="28"/>
  <c r="E27" i="28"/>
  <c r="D27" i="28"/>
  <c r="C27" i="28"/>
  <c r="B27" i="28"/>
  <c r="BG26" i="28"/>
  <c r="BF26" i="28"/>
  <c r="BE26" i="28"/>
  <c r="BD26" i="28"/>
  <c r="BC26" i="28"/>
  <c r="BB26" i="28"/>
  <c r="BA26" i="28"/>
  <c r="AZ26" i="28"/>
  <c r="AY26" i="28"/>
  <c r="AX26" i="28"/>
  <c r="AW26" i="28"/>
  <c r="AV26" i="28"/>
  <c r="AU26" i="28"/>
  <c r="AT26" i="28"/>
  <c r="AS26" i="28"/>
  <c r="AR26" i="28"/>
  <c r="AQ26" i="28"/>
  <c r="AP26" i="28"/>
  <c r="AO26" i="28"/>
  <c r="AN26" i="28"/>
  <c r="AM26" i="28"/>
  <c r="AL26" i="28"/>
  <c r="AK26" i="28"/>
  <c r="AJ26" i="28"/>
  <c r="AI26" i="28"/>
  <c r="AH26" i="28"/>
  <c r="AG26" i="28"/>
  <c r="AF26" i="28"/>
  <c r="AE26" i="28"/>
  <c r="AD26" i="28"/>
  <c r="AC26" i="28"/>
  <c r="AB26" i="28"/>
  <c r="AA26" i="28"/>
  <c r="Z26" i="28"/>
  <c r="Y26" i="28"/>
  <c r="X26" i="28"/>
  <c r="W26" i="28"/>
  <c r="V26" i="28"/>
  <c r="U26" i="28"/>
  <c r="T26" i="28"/>
  <c r="S26" i="28"/>
  <c r="R26" i="28"/>
  <c r="Q26" i="28"/>
  <c r="P26" i="28"/>
  <c r="O26" i="28"/>
  <c r="N26" i="28"/>
  <c r="M26" i="28"/>
  <c r="L26" i="28"/>
  <c r="K26" i="28"/>
  <c r="J26" i="28"/>
  <c r="I26" i="28"/>
  <c r="H26" i="28"/>
  <c r="G26" i="28"/>
  <c r="F26" i="28"/>
  <c r="E26" i="28"/>
  <c r="D26" i="28"/>
  <c r="C26" i="28"/>
  <c r="B26" i="28"/>
  <c r="AE23" i="28"/>
  <c r="AD23" i="28"/>
  <c r="AC23" i="28"/>
  <c r="AF21" i="28"/>
  <c r="AE21" i="28"/>
  <c r="AD21" i="28"/>
  <c r="AC21" i="28"/>
  <c r="AB21" i="28"/>
  <c r="AA21" i="28"/>
  <c r="Z21" i="28"/>
  <c r="Y21" i="28"/>
  <c r="X21" i="28"/>
  <c r="W21" i="28"/>
  <c r="V21" i="28"/>
  <c r="U21" i="28"/>
  <c r="T21" i="28"/>
  <c r="S21" i="28"/>
  <c r="R21" i="28"/>
  <c r="Q21" i="28"/>
  <c r="P21" i="28"/>
  <c r="O21" i="28"/>
  <c r="N21" i="28"/>
  <c r="M21" i="28"/>
  <c r="L21" i="28"/>
  <c r="K21" i="28"/>
  <c r="J21" i="28"/>
  <c r="I21" i="28"/>
  <c r="H21" i="28"/>
  <c r="G21" i="28"/>
  <c r="F21" i="28"/>
  <c r="E21" i="28"/>
  <c r="D21" i="28"/>
  <c r="C21" i="28"/>
  <c r="B21" i="28"/>
  <c r="BG20" i="28"/>
  <c r="BF20" i="28"/>
  <c r="BE20" i="28"/>
  <c r="BD20" i="28"/>
  <c r="BC20" i="28"/>
  <c r="BB20" i="28"/>
  <c r="BA20" i="28"/>
  <c r="AZ20" i="28"/>
  <c r="AY20" i="28"/>
  <c r="AX20" i="28"/>
  <c r="AW20" i="28"/>
  <c r="AV20" i="28"/>
  <c r="AU20" i="28"/>
  <c r="AT20" i="28"/>
  <c r="AS20" i="28"/>
  <c r="AR20" i="28"/>
  <c r="AQ20" i="28"/>
  <c r="AP20" i="28"/>
  <c r="AO20" i="28"/>
  <c r="AN20" i="28"/>
  <c r="AM20" i="28"/>
  <c r="AL20" i="28"/>
  <c r="AK20" i="28"/>
  <c r="AJ20" i="28"/>
  <c r="AI20" i="28"/>
  <c r="AH20" i="28"/>
  <c r="AG20" i="28"/>
  <c r="AF20" i="28"/>
  <c r="AE20" i="28"/>
  <c r="AD20" i="28"/>
  <c r="AC20" i="28"/>
  <c r="AB20" i="28"/>
  <c r="AA20" i="28"/>
  <c r="Z20" i="28"/>
  <c r="Y20" i="28"/>
  <c r="X20" i="28"/>
  <c r="W20" i="28"/>
  <c r="V20" i="28"/>
  <c r="U20" i="28"/>
  <c r="T20" i="28"/>
  <c r="S20" i="28"/>
  <c r="R20" i="28"/>
  <c r="Q20" i="28"/>
  <c r="P20" i="28"/>
  <c r="O20" i="28"/>
  <c r="N20" i="28"/>
  <c r="M20" i="28"/>
  <c r="L20" i="28"/>
  <c r="K20" i="28"/>
  <c r="J20" i="28"/>
  <c r="I20" i="28"/>
  <c r="H20" i="28"/>
  <c r="G20" i="28"/>
  <c r="F20" i="28"/>
  <c r="E20" i="28"/>
  <c r="D20" i="28"/>
  <c r="C20" i="28"/>
  <c r="B20" i="28"/>
  <c r="AG17" i="28"/>
  <c r="AF17" i="28"/>
  <c r="AG15" i="28"/>
  <c r="AH15" i="28" s="1"/>
  <c r="AD15" i="28"/>
  <c r="AE15" i="28" s="1"/>
  <c r="AF15" i="28" s="1"/>
  <c r="AC15" i="28"/>
  <c r="AB15" i="28"/>
  <c r="AA15" i="28"/>
  <c r="Z15" i="28"/>
  <c r="Y15" i="28"/>
  <c r="X15" i="28"/>
  <c r="W15" i="28"/>
  <c r="V15" i="28"/>
  <c r="U15" i="28"/>
  <c r="T15" i="28"/>
  <c r="S15" i="28"/>
  <c r="R15" i="28"/>
  <c r="Q15" i="28"/>
  <c r="P15" i="28"/>
  <c r="O15" i="28"/>
  <c r="N15" i="28"/>
  <c r="M15" i="28"/>
  <c r="L15" i="28"/>
  <c r="K15" i="28"/>
  <c r="J15" i="28"/>
  <c r="I15" i="28"/>
  <c r="H15" i="28"/>
  <c r="G15" i="28"/>
  <c r="F15" i="28"/>
  <c r="E15" i="28"/>
  <c r="D15" i="28"/>
  <c r="C15" i="28"/>
  <c r="B15" i="28"/>
  <c r="BG14" i="28"/>
  <c r="BF14" i="28"/>
  <c r="BE14" i="28"/>
  <c r="BD14" i="28"/>
  <c r="BC14" i="28"/>
  <c r="BB14" i="28"/>
  <c r="BA14" i="28"/>
  <c r="AZ14" i="28"/>
  <c r="AY14" i="28"/>
  <c r="AX14" i="28"/>
  <c r="AW14" i="28"/>
  <c r="AV14" i="28"/>
  <c r="AU14" i="28"/>
  <c r="AT14" i="28"/>
  <c r="AS14" i="28"/>
  <c r="AR14" i="28"/>
  <c r="AQ14" i="28"/>
  <c r="AP14" i="28"/>
  <c r="AO14" i="28"/>
  <c r="AN14" i="28"/>
  <c r="AM14" i="28"/>
  <c r="AL14" i="28"/>
  <c r="AK14" i="28"/>
  <c r="AJ14" i="28"/>
  <c r="AI14" i="28"/>
  <c r="AH14" i="28"/>
  <c r="AG14" i="28"/>
  <c r="AF14" i="28"/>
  <c r="AE14" i="28"/>
  <c r="AD14" i="28"/>
  <c r="AC14" i="28"/>
  <c r="AB14" i="28"/>
  <c r="AA14" i="28"/>
  <c r="Z14" i="28"/>
  <c r="Y14" i="28"/>
  <c r="X14" i="28"/>
  <c r="W14" i="28"/>
  <c r="V14" i="28"/>
  <c r="U14" i="28"/>
  <c r="T14" i="28"/>
  <c r="S14" i="28"/>
  <c r="R14" i="28"/>
  <c r="Q14" i="28"/>
  <c r="P14" i="28"/>
  <c r="O14" i="28"/>
  <c r="N14" i="28"/>
  <c r="M14" i="28"/>
  <c r="L14" i="28"/>
  <c r="K14" i="28"/>
  <c r="J14" i="28"/>
  <c r="I14" i="28"/>
  <c r="H14" i="28"/>
  <c r="G14" i="28"/>
  <c r="F14" i="28"/>
  <c r="E14" i="28"/>
  <c r="D14" i="28"/>
  <c r="C14" i="28"/>
  <c r="B14" i="28"/>
  <c r="S12" i="28"/>
  <c r="AB10" i="28"/>
  <c r="AB12" i="28" s="1"/>
  <c r="AA10" i="28"/>
  <c r="AA12" i="28" s="1"/>
  <c r="Z10" i="28"/>
  <c r="Y10" i="28"/>
  <c r="X10" i="28"/>
  <c r="X12" i="28" s="1"/>
  <c r="W10" i="28"/>
  <c r="V10" i="28"/>
  <c r="U10" i="28"/>
  <c r="T10" i="28"/>
  <c r="T12" i="28" s="1"/>
  <c r="S10" i="28"/>
  <c r="AB9" i="28"/>
  <c r="AA9" i="28"/>
  <c r="Z9" i="28"/>
  <c r="Y9" i="28"/>
  <c r="X9" i="28"/>
  <c r="W9" i="28"/>
  <c r="V9" i="28"/>
  <c r="U9" i="28"/>
  <c r="T9" i="28"/>
  <c r="AB8" i="28"/>
  <c r="AA8" i="28"/>
  <c r="Z8" i="28"/>
  <c r="Y8" i="28"/>
  <c r="X8" i="28"/>
  <c r="W8" i="28"/>
  <c r="V8" i="28"/>
  <c r="U8" i="28"/>
  <c r="T8" i="28"/>
  <c r="S8" i="28"/>
  <c r="W5" i="28"/>
  <c r="U5" i="28"/>
  <c r="T5" i="28"/>
  <c r="R5" i="28"/>
  <c r="V4" i="28"/>
  <c r="U4" i="28"/>
  <c r="R4" i="28"/>
  <c r="Q4" i="28"/>
  <c r="AE3" i="28"/>
  <c r="AD3" i="28"/>
  <c r="AC3" i="28"/>
  <c r="AC5" i="28" s="1"/>
  <c r="AB3" i="28"/>
  <c r="AA3" i="28"/>
  <c r="Z3" i="28"/>
  <c r="Z12" i="28" s="1"/>
  <c r="Y3" i="28"/>
  <c r="X3" i="28"/>
  <c r="X5" i="28" s="1"/>
  <c r="W3" i="28"/>
  <c r="W12" i="28" s="1"/>
  <c r="V3" i="28"/>
  <c r="U3" i="28"/>
  <c r="U12" i="28" s="1"/>
  <c r="T3" i="28"/>
  <c r="S3" i="28"/>
  <c r="R3" i="28"/>
  <c r="Q3" i="28"/>
  <c r="P3" i="28"/>
  <c r="O3" i="28"/>
  <c r="N3" i="28"/>
  <c r="M3" i="28"/>
  <c r="L3" i="28"/>
  <c r="K3" i="28"/>
  <c r="J3" i="28"/>
  <c r="I3" i="28"/>
  <c r="H3" i="28"/>
  <c r="G3" i="28"/>
  <c r="F3" i="28"/>
  <c r="E3" i="28"/>
  <c r="D3" i="28"/>
  <c r="C3" i="28"/>
  <c r="B3" i="28"/>
  <c r="N33" i="27"/>
  <c r="M33" i="27"/>
  <c r="L33" i="27"/>
  <c r="AP20" i="27"/>
  <c r="AO20" i="27"/>
  <c r="AN20" i="27"/>
  <c r="AM20" i="27"/>
  <c r="AL20" i="27"/>
  <c r="AK20" i="27"/>
  <c r="AJ20" i="27"/>
  <c r="AI20" i="27"/>
  <c r="AH20"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H20" i="27"/>
  <c r="G20" i="27"/>
  <c r="F20" i="27"/>
  <c r="E20" i="27"/>
  <c r="D20" i="27"/>
  <c r="C20" i="27"/>
  <c r="B20" i="27"/>
  <c r="N377" i="23"/>
  <c r="N376" i="23"/>
  <c r="N375" i="23"/>
  <c r="N374" i="23"/>
  <c r="N373" i="23"/>
  <c r="N372" i="23"/>
  <c r="N371" i="23"/>
  <c r="N370" i="23"/>
  <c r="N369" i="23"/>
  <c r="N368" i="23"/>
  <c r="N367" i="23"/>
  <c r="N366" i="23"/>
  <c r="N365" i="23"/>
  <c r="N364" i="23"/>
  <c r="N363" i="23"/>
  <c r="N362" i="23"/>
  <c r="N361" i="23"/>
  <c r="N360" i="23"/>
  <c r="N359" i="23"/>
  <c r="N358" i="23"/>
  <c r="N357" i="23"/>
  <c r="N356" i="23"/>
  <c r="N355" i="23"/>
  <c r="N354" i="23"/>
  <c r="N353" i="23"/>
  <c r="N352" i="23"/>
  <c r="N351" i="23"/>
  <c r="N350" i="23"/>
  <c r="N349" i="23"/>
  <c r="N348" i="23"/>
  <c r="N347" i="23"/>
  <c r="N346" i="23"/>
  <c r="N345" i="23"/>
  <c r="N344" i="23"/>
  <c r="N343" i="23"/>
  <c r="N342" i="23"/>
  <c r="N341" i="23"/>
  <c r="N340" i="23"/>
  <c r="N339" i="23"/>
  <c r="N338" i="23"/>
  <c r="N337" i="23"/>
  <c r="N336" i="23"/>
  <c r="N335" i="23"/>
  <c r="N334" i="23"/>
  <c r="N333" i="23"/>
  <c r="N332" i="23"/>
  <c r="N331" i="23"/>
  <c r="N330" i="23"/>
  <c r="N329" i="23"/>
  <c r="N328" i="23"/>
  <c r="N327" i="23"/>
  <c r="N326" i="23"/>
  <c r="N325" i="23"/>
  <c r="N324" i="23"/>
  <c r="N323" i="23"/>
  <c r="N322" i="23"/>
  <c r="N321" i="23"/>
  <c r="N320" i="23"/>
  <c r="N319" i="23"/>
  <c r="N318" i="23"/>
  <c r="N317" i="23"/>
  <c r="N316" i="23"/>
  <c r="N315" i="23"/>
  <c r="N314" i="23"/>
  <c r="N313" i="23"/>
  <c r="N312" i="23"/>
  <c r="N311" i="23"/>
  <c r="N310" i="23"/>
  <c r="N309" i="23"/>
  <c r="N308" i="23"/>
  <c r="N307" i="23"/>
  <c r="N306" i="23"/>
  <c r="N305" i="23"/>
  <c r="N304" i="23"/>
  <c r="N303" i="23"/>
  <c r="N302" i="23"/>
  <c r="N301" i="23"/>
  <c r="N300" i="23"/>
  <c r="N299" i="23"/>
  <c r="N298" i="23"/>
  <c r="N297" i="23"/>
  <c r="N296" i="23"/>
  <c r="N295" i="23"/>
  <c r="N294" i="23"/>
  <c r="N293" i="23"/>
  <c r="N292" i="23"/>
  <c r="N291" i="23"/>
  <c r="N290" i="23"/>
  <c r="N289" i="23"/>
  <c r="R421" i="22" s="1"/>
  <c r="N288" i="23"/>
  <c r="N287" i="23"/>
  <c r="N286" i="23"/>
  <c r="N285" i="23"/>
  <c r="N284" i="23"/>
  <c r="N283" i="23"/>
  <c r="N282" i="23"/>
  <c r="R414" i="22" s="1"/>
  <c r="N281" i="23"/>
  <c r="N280" i="23"/>
  <c r="N279" i="23"/>
  <c r="N278" i="23"/>
  <c r="N277" i="23"/>
  <c r="N276" i="23"/>
  <c r="N275" i="23"/>
  <c r="N274" i="23"/>
  <c r="N273" i="23"/>
  <c r="N272" i="23"/>
  <c r="N271" i="23"/>
  <c r="N270" i="23"/>
  <c r="N269" i="23"/>
  <c r="N268" i="23"/>
  <c r="N267" i="23"/>
  <c r="N266" i="23"/>
  <c r="N265" i="23"/>
  <c r="N264" i="23"/>
  <c r="N263" i="23"/>
  <c r="N262" i="23"/>
  <c r="N261" i="23"/>
  <c r="N260" i="23"/>
  <c r="N259" i="23"/>
  <c r="N258" i="23"/>
  <c r="N257" i="23"/>
  <c r="N256" i="23"/>
  <c r="N255" i="23"/>
  <c r="N254" i="23"/>
  <c r="N253" i="23"/>
  <c r="N252" i="23"/>
  <c r="N251" i="23"/>
  <c r="N250" i="23"/>
  <c r="N249" i="23"/>
  <c r="N248" i="23"/>
  <c r="N247" i="23"/>
  <c r="N246" i="23"/>
  <c r="N245" i="23"/>
  <c r="N244" i="23"/>
  <c r="N243" i="23"/>
  <c r="N242" i="23"/>
  <c r="N241" i="23"/>
  <c r="R373" i="22" s="1"/>
  <c r="N240" i="23"/>
  <c r="N239" i="23"/>
  <c r="N238" i="23"/>
  <c r="N237" i="23"/>
  <c r="N236" i="23"/>
  <c r="N235" i="23"/>
  <c r="N234" i="23"/>
  <c r="N233" i="23"/>
  <c r="N232" i="23"/>
  <c r="N231" i="23"/>
  <c r="N230" i="23"/>
  <c r="N229" i="23"/>
  <c r="N228" i="23"/>
  <c r="N227" i="23"/>
  <c r="N226" i="23"/>
  <c r="N225" i="23"/>
  <c r="N224" i="23"/>
  <c r="N223" i="23"/>
  <c r="N222" i="23"/>
  <c r="N221" i="23"/>
  <c r="N220" i="23"/>
  <c r="N219" i="23"/>
  <c r="N218" i="23"/>
  <c r="N217" i="23"/>
  <c r="N216" i="23"/>
  <c r="N215" i="23"/>
  <c r="N214" i="23"/>
  <c r="N213" i="23"/>
  <c r="N212" i="23"/>
  <c r="N211" i="23"/>
  <c r="N210" i="23"/>
  <c r="N209" i="23"/>
  <c r="N208" i="23"/>
  <c r="N207" i="23"/>
  <c r="N206" i="23"/>
  <c r="N205" i="23"/>
  <c r="N204" i="23"/>
  <c r="N203" i="23"/>
  <c r="N202" i="23"/>
  <c r="N201" i="23"/>
  <c r="N200" i="23"/>
  <c r="N199" i="23"/>
  <c r="N198" i="23"/>
  <c r="N197" i="23"/>
  <c r="N196" i="23"/>
  <c r="N195" i="23"/>
  <c r="N194" i="23"/>
  <c r="N193" i="23"/>
  <c r="N192" i="23"/>
  <c r="N191" i="23"/>
  <c r="N190" i="23"/>
  <c r="N189" i="23"/>
  <c r="N188" i="23"/>
  <c r="N187" i="23"/>
  <c r="N186" i="23"/>
  <c r="N185" i="23"/>
  <c r="N184" i="23"/>
  <c r="N183" i="23"/>
  <c r="N182" i="23"/>
  <c r="N181" i="23"/>
  <c r="N180" i="23"/>
  <c r="N179" i="23"/>
  <c r="N178" i="23"/>
  <c r="N177" i="23"/>
  <c r="N176" i="23"/>
  <c r="N175" i="23"/>
  <c r="N174" i="23"/>
  <c r="N173" i="23"/>
  <c r="N172" i="23"/>
  <c r="N171" i="23"/>
  <c r="N170" i="23"/>
  <c r="N169" i="23"/>
  <c r="N168" i="23"/>
  <c r="N167" i="23"/>
  <c r="N166" i="23"/>
  <c r="N165" i="23"/>
  <c r="N164" i="23"/>
  <c r="N163" i="23"/>
  <c r="N162" i="23"/>
  <c r="N161" i="23"/>
  <c r="N160" i="23"/>
  <c r="N159" i="23"/>
  <c r="N158" i="23"/>
  <c r="N157" i="23"/>
  <c r="N156" i="23"/>
  <c r="N155" i="23"/>
  <c r="N154" i="23"/>
  <c r="N153" i="23"/>
  <c r="N152" i="23"/>
  <c r="N151" i="23"/>
  <c r="N150" i="23"/>
  <c r="N149" i="23"/>
  <c r="N148" i="23"/>
  <c r="N147" i="23"/>
  <c r="N146" i="23"/>
  <c r="N145" i="23"/>
  <c r="N144" i="23"/>
  <c r="N143" i="23"/>
  <c r="N142" i="23"/>
  <c r="N141" i="23"/>
  <c r="N140" i="23"/>
  <c r="N139" i="23"/>
  <c r="N138" i="23"/>
  <c r="N137" i="23"/>
  <c r="N136" i="23"/>
  <c r="N135" i="23"/>
  <c r="N134" i="23"/>
  <c r="N133" i="23"/>
  <c r="N132" i="23"/>
  <c r="N131" i="23"/>
  <c r="N130" i="23"/>
  <c r="N129" i="23"/>
  <c r="N128" i="23"/>
  <c r="N127" i="23"/>
  <c r="N126" i="23"/>
  <c r="N125" i="23"/>
  <c r="N124" i="23"/>
  <c r="N123" i="23"/>
  <c r="N122" i="23"/>
  <c r="N121" i="23"/>
  <c r="N120" i="23"/>
  <c r="N119" i="23"/>
  <c r="N118" i="23"/>
  <c r="N117" i="23"/>
  <c r="N116" i="23"/>
  <c r="N115" i="23"/>
  <c r="N114" i="23"/>
  <c r="N113" i="23"/>
  <c r="N112" i="23"/>
  <c r="N111" i="23"/>
  <c r="N110" i="23"/>
  <c r="N109" i="23"/>
  <c r="N108" i="23"/>
  <c r="N107" i="23"/>
  <c r="N106" i="23"/>
  <c r="N105" i="23"/>
  <c r="N104" i="23"/>
  <c r="N103" i="23"/>
  <c r="N102" i="23"/>
  <c r="N101" i="23"/>
  <c r="N100" i="23"/>
  <c r="N99" i="23"/>
  <c r="N98" i="23"/>
  <c r="N97" i="23"/>
  <c r="N96" i="23"/>
  <c r="N95" i="23"/>
  <c r="N94" i="23"/>
  <c r="N93" i="23"/>
  <c r="N92" i="23"/>
  <c r="N91" i="23"/>
  <c r="N90" i="23"/>
  <c r="N89" i="23"/>
  <c r="N88" i="23"/>
  <c r="N87" i="23"/>
  <c r="N86" i="23"/>
  <c r="N85" i="23"/>
  <c r="N84" i="23"/>
  <c r="N83" i="23"/>
  <c r="N82" i="23"/>
  <c r="N81" i="23"/>
  <c r="N80" i="23"/>
  <c r="N79" i="23"/>
  <c r="N78" i="23"/>
  <c r="N77" i="23"/>
  <c r="N76" i="23"/>
  <c r="N75" i="23"/>
  <c r="N74" i="23"/>
  <c r="N73" i="23"/>
  <c r="N72" i="23"/>
  <c r="N71" i="23"/>
  <c r="N70" i="23"/>
  <c r="N69" i="23"/>
  <c r="N68" i="23"/>
  <c r="N67" i="23"/>
  <c r="N66" i="23"/>
  <c r="N65" i="23"/>
  <c r="N64" i="23"/>
  <c r="N63" i="23"/>
  <c r="N62" i="23"/>
  <c r="N61" i="23"/>
  <c r="N60" i="23"/>
  <c r="N59" i="23"/>
  <c r="N58" i="23"/>
  <c r="N57" i="23"/>
  <c r="AC56" i="23"/>
  <c r="AB56" i="23"/>
  <c r="N56" i="23"/>
  <c r="AC55" i="23"/>
  <c r="AB55" i="23"/>
  <c r="N55" i="23"/>
  <c r="AC54" i="23"/>
  <c r="AB54" i="23"/>
  <c r="N54" i="23"/>
  <c r="AC53" i="23"/>
  <c r="AB53" i="23"/>
  <c r="N53" i="23"/>
  <c r="AC52" i="23"/>
  <c r="AB52" i="23"/>
  <c r="N52" i="23"/>
  <c r="AC51" i="23"/>
  <c r="AB51" i="23"/>
  <c r="N51" i="23"/>
  <c r="AC50" i="23"/>
  <c r="AB50" i="23"/>
  <c r="N50" i="23"/>
  <c r="AC49" i="23"/>
  <c r="AB49" i="23"/>
  <c r="N49" i="23"/>
  <c r="AC48" i="23"/>
  <c r="AB48" i="23"/>
  <c r="N48" i="23"/>
  <c r="AC47" i="23"/>
  <c r="AB47" i="23"/>
  <c r="N47" i="23"/>
  <c r="AC46" i="23"/>
  <c r="AB46" i="23"/>
  <c r="N46" i="23"/>
  <c r="AC45" i="23"/>
  <c r="AB45" i="23"/>
  <c r="N45" i="23"/>
  <c r="AC44" i="23"/>
  <c r="AB44" i="23"/>
  <c r="Z44" i="23"/>
  <c r="Y44" i="23"/>
  <c r="AD44" i="23" s="1"/>
  <c r="N44" i="23"/>
  <c r="AC43" i="23"/>
  <c r="AB43" i="23"/>
  <c r="Z43" i="23"/>
  <c r="Y43" i="23"/>
  <c r="AD43" i="23" s="1"/>
  <c r="N43" i="23"/>
  <c r="AC42" i="23"/>
  <c r="AB42" i="23"/>
  <c r="Z42" i="23"/>
  <c r="Y42" i="23"/>
  <c r="AD42" i="23" s="1"/>
  <c r="N42" i="23"/>
  <c r="AC41" i="23"/>
  <c r="AB41" i="23"/>
  <c r="AD41" i="23" s="1"/>
  <c r="Z41" i="23"/>
  <c r="Y41" i="23"/>
  <c r="N41" i="23"/>
  <c r="AC40" i="23"/>
  <c r="AB40" i="23"/>
  <c r="Z40" i="23"/>
  <c r="Y40" i="23"/>
  <c r="AD40" i="23" s="1"/>
  <c r="N40" i="23"/>
  <c r="AC39" i="23"/>
  <c r="AB39" i="23"/>
  <c r="Z39" i="23"/>
  <c r="Y39" i="23"/>
  <c r="AD39" i="23" s="1"/>
  <c r="N39" i="23"/>
  <c r="AC38" i="23"/>
  <c r="AB38" i="23"/>
  <c r="Z38" i="23"/>
  <c r="Y38" i="23"/>
  <c r="N38" i="23"/>
  <c r="AC37" i="23"/>
  <c r="AB37" i="23"/>
  <c r="Z37" i="23"/>
  <c r="Y37" i="23"/>
  <c r="AD37" i="23" s="1"/>
  <c r="N37" i="23"/>
  <c r="AC36" i="23"/>
  <c r="AB36" i="23"/>
  <c r="Z36" i="23"/>
  <c r="Y36" i="23"/>
  <c r="AD36" i="23" s="1"/>
  <c r="N36" i="23"/>
  <c r="AC35" i="23"/>
  <c r="AB35" i="23"/>
  <c r="Z35" i="23"/>
  <c r="Y35" i="23"/>
  <c r="N35" i="23"/>
  <c r="AC34" i="23"/>
  <c r="AD34" i="23" s="1"/>
  <c r="AB34" i="23"/>
  <c r="Z34" i="23"/>
  <c r="Y34" i="23"/>
  <c r="N34" i="23"/>
  <c r="AC33" i="23"/>
  <c r="AB33" i="23"/>
  <c r="Z33" i="23"/>
  <c r="Y33" i="23"/>
  <c r="N33" i="23"/>
  <c r="AC32" i="23"/>
  <c r="AB32" i="23"/>
  <c r="Z32" i="23"/>
  <c r="Y32" i="23"/>
  <c r="N32" i="23"/>
  <c r="AC31" i="23"/>
  <c r="AB31" i="23"/>
  <c r="Z31" i="23"/>
  <c r="Y31" i="23"/>
  <c r="AD31" i="23" s="1"/>
  <c r="N31" i="23"/>
  <c r="AC30" i="23"/>
  <c r="AB30" i="23"/>
  <c r="AD30" i="23" s="1"/>
  <c r="Z30" i="23"/>
  <c r="Y30" i="23"/>
  <c r="N30" i="23"/>
  <c r="AC29" i="23"/>
  <c r="AB29" i="23"/>
  <c r="AD29" i="23" s="1"/>
  <c r="Z29" i="23"/>
  <c r="Y29" i="23"/>
  <c r="N29" i="23"/>
  <c r="AD28" i="23"/>
  <c r="AC28" i="23"/>
  <c r="AB28" i="23"/>
  <c r="Z28" i="23"/>
  <c r="Y28" i="23"/>
  <c r="N28" i="23"/>
  <c r="AC27" i="23"/>
  <c r="AB27" i="23"/>
  <c r="Z27" i="23"/>
  <c r="Y27" i="23"/>
  <c r="AD27" i="23" s="1"/>
  <c r="N27" i="23"/>
  <c r="AD26" i="23"/>
  <c r="AC26" i="23"/>
  <c r="AB26" i="23"/>
  <c r="Z26" i="23"/>
  <c r="Y26" i="23"/>
  <c r="N26" i="23"/>
  <c r="AC25" i="23"/>
  <c r="AB25" i="23"/>
  <c r="Z25" i="23"/>
  <c r="Y25" i="23"/>
  <c r="N25" i="23"/>
  <c r="AD24" i="23"/>
  <c r="AC24" i="23"/>
  <c r="AB24" i="23"/>
  <c r="Z24" i="23"/>
  <c r="Y24" i="23"/>
  <c r="N24" i="23"/>
  <c r="AC23" i="23"/>
  <c r="AB23" i="23"/>
  <c r="Z23" i="23"/>
  <c r="Y23" i="23"/>
  <c r="N23" i="23"/>
  <c r="AC22" i="23"/>
  <c r="AB22" i="23"/>
  <c r="Z22" i="23"/>
  <c r="Y22" i="23"/>
  <c r="N22" i="23"/>
  <c r="AD21" i="23"/>
  <c r="AC21" i="23"/>
  <c r="AB21" i="23"/>
  <c r="Z21" i="23"/>
  <c r="Y21" i="23"/>
  <c r="N21" i="23"/>
  <c r="AC20" i="23"/>
  <c r="AB20" i="23"/>
  <c r="Z20" i="23"/>
  <c r="Y20" i="23"/>
  <c r="AD20" i="23" s="1"/>
  <c r="N20" i="23"/>
  <c r="AC19" i="23"/>
  <c r="AB19" i="23"/>
  <c r="AD19" i="23" s="1"/>
  <c r="Z19" i="23"/>
  <c r="Y19" i="23"/>
  <c r="N19" i="23"/>
  <c r="AC18" i="23"/>
  <c r="AB18" i="23"/>
  <c r="Z18" i="23"/>
  <c r="Y18" i="23"/>
  <c r="N18" i="23"/>
  <c r="AC17" i="23"/>
  <c r="AB17" i="23"/>
  <c r="Z17" i="23"/>
  <c r="Y17" i="23"/>
  <c r="N17" i="23"/>
  <c r="AC16" i="23"/>
  <c r="AB16" i="23"/>
  <c r="Z16" i="23"/>
  <c r="Y16" i="23"/>
  <c r="N16" i="23"/>
  <c r="AD15" i="23"/>
  <c r="AC15" i="23"/>
  <c r="AB15" i="23"/>
  <c r="Z15" i="23"/>
  <c r="Y15" i="23"/>
  <c r="N15" i="23"/>
  <c r="AC14" i="23"/>
  <c r="AD14" i="23" s="1"/>
  <c r="AB14" i="23"/>
  <c r="Z14" i="23"/>
  <c r="Y14" i="23"/>
  <c r="N14" i="23"/>
  <c r="AC13" i="23"/>
  <c r="AB13" i="23"/>
  <c r="Z13" i="23"/>
  <c r="AD13" i="23" s="1"/>
  <c r="Y13" i="23"/>
  <c r="N13" i="23"/>
  <c r="AC12" i="23"/>
  <c r="AB12" i="23"/>
  <c r="Z12" i="23"/>
  <c r="Y12" i="23"/>
  <c r="AD12" i="23" s="1"/>
  <c r="N12" i="23"/>
  <c r="AC11" i="23"/>
  <c r="AB11" i="23"/>
  <c r="Z11" i="23"/>
  <c r="Y11" i="23"/>
  <c r="N11" i="23"/>
  <c r="AD10" i="23"/>
  <c r="AC10" i="23"/>
  <c r="AB10" i="23"/>
  <c r="Z10" i="23"/>
  <c r="Y10" i="23"/>
  <c r="N10" i="23"/>
  <c r="AC9" i="23"/>
  <c r="AB9" i="23"/>
  <c r="Z9" i="23"/>
  <c r="Y9" i="23"/>
  <c r="AD9" i="23" s="1"/>
  <c r="N9" i="23"/>
  <c r="AC8" i="23"/>
  <c r="AB8" i="23"/>
  <c r="AD8" i="23" s="1"/>
  <c r="Z8" i="23"/>
  <c r="Y8" i="23"/>
  <c r="N8" i="23"/>
  <c r="AC7" i="23"/>
  <c r="AB7" i="23"/>
  <c r="Z7" i="23"/>
  <c r="Y7" i="23"/>
  <c r="AD7" i="23" s="1"/>
  <c r="N7" i="23"/>
  <c r="AD6" i="23"/>
  <c r="AC6" i="23"/>
  <c r="AB6" i="23"/>
  <c r="Z6" i="23"/>
  <c r="Y6" i="23"/>
  <c r="N6" i="23"/>
  <c r="AC5" i="23"/>
  <c r="AB5" i="23"/>
  <c r="AA5" i="23"/>
  <c r="Z5" i="23"/>
  <c r="Y5" i="23"/>
  <c r="H3" i="23"/>
  <c r="R509" i="22"/>
  <c r="O509" i="22"/>
  <c r="M509" i="22"/>
  <c r="D509" i="22"/>
  <c r="R508" i="22"/>
  <c r="O508" i="22"/>
  <c r="M508" i="22"/>
  <c r="D508" i="22"/>
  <c r="S507" i="22"/>
  <c r="R507" i="22"/>
  <c r="O507" i="22"/>
  <c r="M507" i="22"/>
  <c r="D507" i="22"/>
  <c r="R506" i="22"/>
  <c r="O506" i="22"/>
  <c r="M506" i="22"/>
  <c r="D506" i="22"/>
  <c r="R505" i="22"/>
  <c r="O505" i="22"/>
  <c r="M505" i="22"/>
  <c r="D505" i="22"/>
  <c r="R504" i="22"/>
  <c r="O504" i="22"/>
  <c r="M504" i="22"/>
  <c r="D504" i="22"/>
  <c r="R503" i="22"/>
  <c r="O503" i="22"/>
  <c r="M503" i="22"/>
  <c r="D503" i="22"/>
  <c r="R502" i="22"/>
  <c r="O502" i="22"/>
  <c r="M502" i="22"/>
  <c r="D502" i="22"/>
  <c r="T501" i="22"/>
  <c r="S501" i="22"/>
  <c r="R501" i="22"/>
  <c r="O501" i="22"/>
  <c r="M501" i="22"/>
  <c r="D501" i="22"/>
  <c r="S500" i="22"/>
  <c r="R500" i="22"/>
  <c r="T500" i="22" s="1"/>
  <c r="Q500" i="22"/>
  <c r="O500" i="22"/>
  <c r="M500" i="22"/>
  <c r="D500" i="22"/>
  <c r="R499" i="22"/>
  <c r="O499" i="22"/>
  <c r="M499" i="22"/>
  <c r="D499" i="22"/>
  <c r="S498" i="22"/>
  <c r="R498" i="22"/>
  <c r="T498" i="22" s="1"/>
  <c r="Q498" i="22"/>
  <c r="O498" i="22"/>
  <c r="M498" i="22"/>
  <c r="D498" i="22"/>
  <c r="R497" i="22"/>
  <c r="O497" i="22"/>
  <c r="M497" i="22"/>
  <c r="D497" i="22"/>
  <c r="S496" i="22"/>
  <c r="R496" i="22"/>
  <c r="O496" i="22"/>
  <c r="M496" i="22"/>
  <c r="D496" i="22"/>
  <c r="R495" i="22"/>
  <c r="O495" i="22"/>
  <c r="M495" i="22"/>
  <c r="D495" i="22"/>
  <c r="R494" i="22"/>
  <c r="O494" i="22"/>
  <c r="M494" i="22"/>
  <c r="D494" i="22"/>
  <c r="R493" i="22"/>
  <c r="Q493" i="22"/>
  <c r="O493" i="22"/>
  <c r="M493" i="22"/>
  <c r="D493" i="22"/>
  <c r="R492" i="22"/>
  <c r="Q492" i="22"/>
  <c r="O492" i="22"/>
  <c r="M492" i="22"/>
  <c r="D492" i="22"/>
  <c r="R491" i="22"/>
  <c r="O491" i="22"/>
  <c r="M491" i="22"/>
  <c r="D491" i="22"/>
  <c r="R490" i="22"/>
  <c r="O490" i="22"/>
  <c r="M490" i="22"/>
  <c r="D490" i="22"/>
  <c r="S489" i="22"/>
  <c r="R489" i="22"/>
  <c r="Q489" i="22"/>
  <c r="O489" i="22"/>
  <c r="M489" i="22"/>
  <c r="D489" i="22"/>
  <c r="R488" i="22"/>
  <c r="O488" i="22"/>
  <c r="M488" i="22"/>
  <c r="D488" i="22"/>
  <c r="S487" i="22"/>
  <c r="R487" i="22"/>
  <c r="T487" i="22" s="1"/>
  <c r="O487" i="22"/>
  <c r="M487" i="22"/>
  <c r="D487" i="22"/>
  <c r="R486" i="22"/>
  <c r="O486" i="22"/>
  <c r="M486" i="22"/>
  <c r="D486" i="22"/>
  <c r="R485" i="22"/>
  <c r="O485" i="22"/>
  <c r="M485" i="22"/>
  <c r="D485" i="22"/>
  <c r="T484" i="22"/>
  <c r="S484" i="22"/>
  <c r="R484" i="22"/>
  <c r="O484" i="22"/>
  <c r="M484" i="22"/>
  <c r="D484" i="22"/>
  <c r="R483" i="22"/>
  <c r="Q483" i="22"/>
  <c r="O483" i="22"/>
  <c r="M483" i="22"/>
  <c r="D483" i="22"/>
  <c r="R482" i="22"/>
  <c r="Q482" i="22"/>
  <c r="O482" i="22"/>
  <c r="M482" i="22"/>
  <c r="D482" i="22"/>
  <c r="R481" i="22"/>
  <c r="O481" i="22"/>
  <c r="M481" i="22"/>
  <c r="D481" i="22"/>
  <c r="R480" i="22"/>
  <c r="O480" i="22"/>
  <c r="M480" i="22"/>
  <c r="D480" i="22"/>
  <c r="R479" i="22"/>
  <c r="O479" i="22"/>
  <c r="M479" i="22"/>
  <c r="D479" i="22"/>
  <c r="S478" i="22"/>
  <c r="R478" i="22"/>
  <c r="O478" i="22"/>
  <c r="M478" i="22"/>
  <c r="D478" i="22"/>
  <c r="R477" i="22"/>
  <c r="O477" i="22"/>
  <c r="M477" i="22"/>
  <c r="D477" i="22"/>
  <c r="R476" i="22"/>
  <c r="Q476" i="22"/>
  <c r="O476" i="22"/>
  <c r="M476" i="22"/>
  <c r="D476" i="22"/>
  <c r="T475" i="22"/>
  <c r="S475" i="22"/>
  <c r="R475" i="22"/>
  <c r="O475" i="22"/>
  <c r="M475" i="22"/>
  <c r="D475" i="22"/>
  <c r="S474" i="22"/>
  <c r="R474" i="22"/>
  <c r="O474" i="22"/>
  <c r="M474" i="22"/>
  <c r="D474" i="22"/>
  <c r="R473" i="22"/>
  <c r="O473" i="22"/>
  <c r="M473" i="22"/>
  <c r="D473" i="22"/>
  <c r="R472" i="22"/>
  <c r="O472" i="22"/>
  <c r="M472" i="22"/>
  <c r="D472" i="22"/>
  <c r="R471" i="22"/>
  <c r="O471" i="22"/>
  <c r="M471" i="22"/>
  <c r="D471" i="22"/>
  <c r="S470" i="22"/>
  <c r="R470" i="22"/>
  <c r="T470" i="22" s="1"/>
  <c r="Q470" i="22"/>
  <c r="O470" i="22"/>
  <c r="M470" i="22"/>
  <c r="D470" i="22"/>
  <c r="O469" i="22"/>
  <c r="M469" i="22"/>
  <c r="D469" i="22"/>
  <c r="S468" i="22"/>
  <c r="R468" i="22"/>
  <c r="T468" i="22" s="1"/>
  <c r="O468" i="22"/>
  <c r="M468" i="22"/>
  <c r="D468" i="22"/>
  <c r="T467" i="22"/>
  <c r="S467" i="22"/>
  <c r="R467" i="22"/>
  <c r="O467" i="22"/>
  <c r="M467" i="22"/>
  <c r="D467" i="22"/>
  <c r="R466" i="22"/>
  <c r="O466" i="22"/>
  <c r="M466" i="22"/>
  <c r="D466" i="22"/>
  <c r="S465" i="22"/>
  <c r="R465" i="22"/>
  <c r="O465" i="22"/>
  <c r="M465" i="22"/>
  <c r="D465" i="22"/>
  <c r="S464" i="22"/>
  <c r="R464" i="22"/>
  <c r="O464" i="22"/>
  <c r="M464" i="22"/>
  <c r="D464" i="22"/>
  <c r="R463" i="22"/>
  <c r="O463" i="22"/>
  <c r="M463" i="22"/>
  <c r="D463" i="22"/>
  <c r="S462" i="22"/>
  <c r="T462" i="22" s="1"/>
  <c r="R462" i="22"/>
  <c r="O462" i="22"/>
  <c r="M462" i="22"/>
  <c r="D462" i="22"/>
  <c r="R461" i="22"/>
  <c r="O461" i="22"/>
  <c r="M461" i="22"/>
  <c r="D461" i="22"/>
  <c r="R460" i="22"/>
  <c r="O460" i="22"/>
  <c r="M460" i="22"/>
  <c r="D460" i="22"/>
  <c r="R459" i="22"/>
  <c r="O459" i="22"/>
  <c r="M459" i="22"/>
  <c r="D459" i="22"/>
  <c r="O458" i="22"/>
  <c r="M458" i="22"/>
  <c r="D458" i="22"/>
  <c r="R457" i="22"/>
  <c r="O457" i="22"/>
  <c r="M457" i="22"/>
  <c r="D457" i="22"/>
  <c r="S456" i="22"/>
  <c r="R456" i="22"/>
  <c r="O456" i="22"/>
  <c r="M456" i="22"/>
  <c r="D456" i="22"/>
  <c r="R455" i="22"/>
  <c r="O455" i="22"/>
  <c r="M455" i="22"/>
  <c r="D455" i="22"/>
  <c r="S454" i="22"/>
  <c r="R454" i="22"/>
  <c r="T454" i="22" s="1"/>
  <c r="Q454" i="22"/>
  <c r="O454" i="22"/>
  <c r="M454" i="22"/>
  <c r="D454" i="22"/>
  <c r="R453" i="22"/>
  <c r="O453" i="22"/>
  <c r="M453" i="22"/>
  <c r="D453" i="22"/>
  <c r="S452" i="22"/>
  <c r="R452" i="22"/>
  <c r="O452" i="22"/>
  <c r="M452" i="22"/>
  <c r="D452" i="22"/>
  <c r="T451" i="22"/>
  <c r="S451" i="22"/>
  <c r="R451" i="22"/>
  <c r="O451" i="22"/>
  <c r="M451" i="22"/>
  <c r="D451" i="22"/>
  <c r="R450" i="22"/>
  <c r="O450" i="22"/>
  <c r="M450" i="22"/>
  <c r="D450" i="22"/>
  <c r="R449" i="22"/>
  <c r="Q449" i="22"/>
  <c r="O449" i="22"/>
  <c r="M449" i="22"/>
  <c r="D449" i="22"/>
  <c r="S448" i="22"/>
  <c r="R448" i="22"/>
  <c r="O448" i="22"/>
  <c r="M448" i="22"/>
  <c r="D448" i="22"/>
  <c r="R447" i="22"/>
  <c r="O447" i="22"/>
  <c r="M447" i="22"/>
  <c r="D447" i="22"/>
  <c r="R446" i="22"/>
  <c r="O446" i="22"/>
  <c r="M446" i="22"/>
  <c r="D446" i="22"/>
  <c r="R445" i="22"/>
  <c r="O445" i="22"/>
  <c r="M445" i="22"/>
  <c r="D445" i="22"/>
  <c r="R444" i="22"/>
  <c r="O444" i="22"/>
  <c r="M444" i="22"/>
  <c r="D444" i="22"/>
  <c r="R443" i="22"/>
  <c r="O443" i="22"/>
  <c r="M443" i="22"/>
  <c r="D443" i="22"/>
  <c r="R442" i="22"/>
  <c r="Q442" i="22"/>
  <c r="O442" i="22"/>
  <c r="M442" i="22"/>
  <c r="D442" i="22"/>
  <c r="Q441" i="22"/>
  <c r="O441" i="22"/>
  <c r="M441" i="22"/>
  <c r="D441" i="22"/>
  <c r="R440" i="22"/>
  <c r="O440" i="22"/>
  <c r="M440" i="22"/>
  <c r="D440" i="22"/>
  <c r="R439" i="22"/>
  <c r="O439" i="22"/>
  <c r="M439" i="22"/>
  <c r="D439" i="22"/>
  <c r="R438" i="22"/>
  <c r="O438" i="22"/>
  <c r="M438" i="22"/>
  <c r="D438" i="22"/>
  <c r="R437" i="22"/>
  <c r="O437" i="22"/>
  <c r="M437" i="22"/>
  <c r="D437" i="22"/>
  <c r="R436" i="22"/>
  <c r="O436" i="22"/>
  <c r="M436" i="22"/>
  <c r="D436" i="22"/>
  <c r="R435" i="22"/>
  <c r="O435" i="22"/>
  <c r="M435" i="22"/>
  <c r="D435" i="22"/>
  <c r="R434" i="22"/>
  <c r="O434" i="22"/>
  <c r="M434" i="22"/>
  <c r="D434" i="22"/>
  <c r="R433" i="22"/>
  <c r="O433" i="22"/>
  <c r="M433" i="22"/>
  <c r="D433" i="22"/>
  <c r="R432" i="22"/>
  <c r="Q432" i="22"/>
  <c r="O432" i="22"/>
  <c r="M432" i="22"/>
  <c r="D432" i="22"/>
  <c r="R431" i="22"/>
  <c r="O431" i="22"/>
  <c r="M431" i="22"/>
  <c r="D431" i="22"/>
  <c r="R430" i="22"/>
  <c r="O430" i="22"/>
  <c r="M430" i="22"/>
  <c r="D430" i="22"/>
  <c r="R429" i="22"/>
  <c r="Q429" i="22"/>
  <c r="O429" i="22"/>
  <c r="M429" i="22"/>
  <c r="D429" i="22"/>
  <c r="R428" i="22"/>
  <c r="O428" i="22"/>
  <c r="M428" i="22"/>
  <c r="D428" i="22"/>
  <c r="R427" i="22"/>
  <c r="O427" i="22"/>
  <c r="M427" i="22"/>
  <c r="D427" i="22"/>
  <c r="R426" i="22"/>
  <c r="O426" i="22"/>
  <c r="M426" i="22"/>
  <c r="D426" i="22"/>
  <c r="R425" i="22"/>
  <c r="O425" i="22"/>
  <c r="M425" i="22"/>
  <c r="D425" i="22"/>
  <c r="S424" i="22"/>
  <c r="R424" i="22"/>
  <c r="O424" i="22"/>
  <c r="M424" i="22"/>
  <c r="D424" i="22"/>
  <c r="R423" i="22"/>
  <c r="O423" i="22"/>
  <c r="M423" i="22"/>
  <c r="D423" i="22"/>
  <c r="S422" i="22"/>
  <c r="R422" i="22"/>
  <c r="T422" i="22" s="1"/>
  <c r="O422" i="22"/>
  <c r="M422" i="22"/>
  <c r="D422" i="22"/>
  <c r="S421" i="22"/>
  <c r="Q421" i="22"/>
  <c r="O421" i="22"/>
  <c r="M421" i="22"/>
  <c r="D421" i="22"/>
  <c r="R420" i="22"/>
  <c r="O420" i="22"/>
  <c r="M420" i="22"/>
  <c r="D420" i="22"/>
  <c r="R419" i="22"/>
  <c r="O419" i="22"/>
  <c r="M419" i="22"/>
  <c r="D419" i="22"/>
  <c r="S418" i="22"/>
  <c r="R418" i="22"/>
  <c r="Q418" i="22"/>
  <c r="O418" i="22"/>
  <c r="M418" i="22"/>
  <c r="D418" i="22"/>
  <c r="R417" i="22"/>
  <c r="O417" i="22"/>
  <c r="M417" i="22"/>
  <c r="D417" i="22"/>
  <c r="R416" i="22"/>
  <c r="O416" i="22"/>
  <c r="M416" i="22"/>
  <c r="D416" i="22"/>
  <c r="S415" i="22"/>
  <c r="R415" i="22"/>
  <c r="T415" i="22" s="1"/>
  <c r="Q415" i="22"/>
  <c r="O415" i="22"/>
  <c r="M415" i="22"/>
  <c r="D415" i="22"/>
  <c r="O414" i="22"/>
  <c r="M414" i="22"/>
  <c r="D414" i="22"/>
  <c r="S413" i="22"/>
  <c r="R413" i="22"/>
  <c r="O413" i="22"/>
  <c r="M413" i="22"/>
  <c r="D413" i="22"/>
  <c r="R412" i="22"/>
  <c r="O412" i="22"/>
  <c r="M412" i="22"/>
  <c r="D412" i="22"/>
  <c r="R411" i="22"/>
  <c r="O411" i="22"/>
  <c r="M411" i="22"/>
  <c r="D411" i="22"/>
  <c r="R410" i="22"/>
  <c r="Q410" i="22"/>
  <c r="O410" i="22"/>
  <c r="M410" i="22"/>
  <c r="D410" i="22"/>
  <c r="R409" i="22"/>
  <c r="O409" i="22"/>
  <c r="M409" i="22"/>
  <c r="D409" i="22"/>
  <c r="S408" i="22"/>
  <c r="R408" i="22"/>
  <c r="O408" i="22"/>
  <c r="M408" i="22"/>
  <c r="D408" i="22"/>
  <c r="R407" i="22"/>
  <c r="O407" i="22"/>
  <c r="M407" i="22"/>
  <c r="D407" i="22"/>
  <c r="R406" i="22"/>
  <c r="O406" i="22"/>
  <c r="M406" i="22"/>
  <c r="D406" i="22"/>
  <c r="R405" i="22"/>
  <c r="O405" i="22"/>
  <c r="M405" i="22"/>
  <c r="D405" i="22"/>
  <c r="T404" i="22"/>
  <c r="S404" i="22"/>
  <c r="R404" i="22"/>
  <c r="O404" i="22"/>
  <c r="M404" i="22"/>
  <c r="D404" i="22"/>
  <c r="R403" i="22"/>
  <c r="Q403" i="22"/>
  <c r="O403" i="22"/>
  <c r="M403" i="22"/>
  <c r="D403" i="22"/>
  <c r="R402" i="22"/>
  <c r="Q402" i="22"/>
  <c r="O402" i="22"/>
  <c r="M402" i="22"/>
  <c r="D402" i="22"/>
  <c r="R401" i="22"/>
  <c r="O401" i="22"/>
  <c r="M401" i="22"/>
  <c r="D401" i="22"/>
  <c r="R400" i="22"/>
  <c r="O400" i="22"/>
  <c r="M400" i="22"/>
  <c r="D400" i="22"/>
  <c r="S399" i="22"/>
  <c r="R399" i="22"/>
  <c r="O399" i="22"/>
  <c r="M399" i="22"/>
  <c r="D399" i="22"/>
  <c r="S398" i="22"/>
  <c r="R398" i="22"/>
  <c r="T398" i="22" s="1"/>
  <c r="Q398" i="22"/>
  <c r="O398" i="22"/>
  <c r="M398" i="22"/>
  <c r="D398" i="22"/>
  <c r="R397" i="22"/>
  <c r="O397" i="22"/>
  <c r="M397" i="22"/>
  <c r="D397" i="22"/>
  <c r="R396" i="22"/>
  <c r="O396" i="22"/>
  <c r="M396" i="22"/>
  <c r="D396" i="22"/>
  <c r="R395" i="22"/>
  <c r="Q395" i="22"/>
  <c r="O395" i="22"/>
  <c r="M395" i="22"/>
  <c r="D395" i="22"/>
  <c r="S394" i="22"/>
  <c r="R394" i="22"/>
  <c r="T394" i="22" s="1"/>
  <c r="O394" i="22"/>
  <c r="M394" i="22"/>
  <c r="D394" i="22"/>
  <c r="R393" i="22"/>
  <c r="O393" i="22"/>
  <c r="M393" i="22"/>
  <c r="D393" i="22"/>
  <c r="R392" i="22"/>
  <c r="O392" i="22"/>
  <c r="M392" i="22"/>
  <c r="D392" i="22"/>
  <c r="R391" i="22"/>
  <c r="O391" i="22"/>
  <c r="M391" i="22"/>
  <c r="D391" i="22"/>
  <c r="R390" i="22"/>
  <c r="O390" i="22"/>
  <c r="M390" i="22"/>
  <c r="D390" i="22"/>
  <c r="R389" i="22"/>
  <c r="Q389" i="22"/>
  <c r="O389" i="22"/>
  <c r="M389" i="22"/>
  <c r="D389" i="22"/>
  <c r="R388" i="22"/>
  <c r="O388" i="22"/>
  <c r="M388" i="22"/>
  <c r="D388" i="22"/>
  <c r="R387" i="22"/>
  <c r="O387" i="22"/>
  <c r="M387" i="22"/>
  <c r="D387" i="22"/>
  <c r="S386" i="22"/>
  <c r="R386" i="22"/>
  <c r="O386" i="22"/>
  <c r="M386" i="22"/>
  <c r="D386" i="22"/>
  <c r="S385" i="22"/>
  <c r="R385" i="22"/>
  <c r="O385" i="22"/>
  <c r="M385" i="22"/>
  <c r="D385" i="22"/>
  <c r="R384" i="22"/>
  <c r="O384" i="22"/>
  <c r="M384" i="22"/>
  <c r="D384" i="22"/>
  <c r="R383" i="22"/>
  <c r="O383" i="22"/>
  <c r="M383" i="22"/>
  <c r="D383" i="22"/>
  <c r="S382" i="22"/>
  <c r="R382" i="22"/>
  <c r="T382" i="22" s="1"/>
  <c r="O382" i="22"/>
  <c r="M382" i="22"/>
  <c r="D382" i="22"/>
  <c r="R381" i="22"/>
  <c r="O381" i="22"/>
  <c r="M381" i="22"/>
  <c r="D381" i="22"/>
  <c r="R380" i="22"/>
  <c r="O380" i="22"/>
  <c r="M380" i="22"/>
  <c r="D380" i="22"/>
  <c r="S379" i="22"/>
  <c r="R379" i="22"/>
  <c r="T379" i="22" s="1"/>
  <c r="Q379" i="22"/>
  <c r="O379" i="22"/>
  <c r="M379" i="22"/>
  <c r="D379" i="22"/>
  <c r="R378" i="22"/>
  <c r="O378" i="22"/>
  <c r="M378" i="22"/>
  <c r="D378" i="22"/>
  <c r="R377" i="22"/>
  <c r="O377" i="22"/>
  <c r="M377" i="22"/>
  <c r="D377" i="22"/>
  <c r="R376" i="22"/>
  <c r="O376" i="22"/>
  <c r="M376" i="22"/>
  <c r="D376" i="22"/>
  <c r="R375" i="22"/>
  <c r="O375" i="22"/>
  <c r="M375" i="22"/>
  <c r="D375" i="22"/>
  <c r="R374" i="22"/>
  <c r="Q374" i="22"/>
  <c r="O374" i="22"/>
  <c r="M374" i="22"/>
  <c r="D374" i="22"/>
  <c r="O373" i="22"/>
  <c r="M373" i="22"/>
  <c r="D373" i="22"/>
  <c r="R372" i="22"/>
  <c r="O372" i="22"/>
  <c r="M372" i="22"/>
  <c r="D372" i="22"/>
  <c r="R371" i="22"/>
  <c r="O371" i="22"/>
  <c r="M371" i="22"/>
  <c r="D371" i="22"/>
  <c r="R370" i="22"/>
  <c r="O370" i="22"/>
  <c r="M370" i="22"/>
  <c r="D370" i="22"/>
  <c r="R369" i="22"/>
  <c r="O369" i="22"/>
  <c r="M369" i="22"/>
  <c r="D369" i="22"/>
  <c r="O368" i="22"/>
  <c r="M368" i="22"/>
  <c r="D368" i="22"/>
  <c r="R367" i="22"/>
  <c r="Q367" i="22"/>
  <c r="O367" i="22"/>
  <c r="M367" i="22"/>
  <c r="D367" i="22"/>
  <c r="R366" i="22"/>
  <c r="O366" i="22"/>
  <c r="M366" i="22"/>
  <c r="D366" i="22"/>
  <c r="S365" i="22"/>
  <c r="R365" i="22"/>
  <c r="Q365" i="22"/>
  <c r="O365" i="22"/>
  <c r="M365" i="22"/>
  <c r="D365" i="22"/>
  <c r="S364" i="22"/>
  <c r="R364" i="22"/>
  <c r="O364" i="22"/>
  <c r="M364" i="22"/>
  <c r="D364" i="22"/>
  <c r="R363" i="22"/>
  <c r="O363" i="22"/>
  <c r="M363" i="22"/>
  <c r="D363" i="22"/>
  <c r="R362" i="22"/>
  <c r="O362" i="22"/>
  <c r="M362" i="22"/>
  <c r="D362" i="22"/>
  <c r="R361" i="22"/>
  <c r="O361" i="22"/>
  <c r="M361" i="22"/>
  <c r="D361" i="22"/>
  <c r="S360" i="22"/>
  <c r="R360" i="22"/>
  <c r="O360" i="22"/>
  <c r="M360" i="22"/>
  <c r="D360" i="22"/>
  <c r="R359" i="22"/>
  <c r="O359" i="22"/>
  <c r="M359" i="22"/>
  <c r="D359" i="22"/>
  <c r="S358" i="22"/>
  <c r="R358" i="22"/>
  <c r="T358" i="22" s="1"/>
  <c r="O358" i="22"/>
  <c r="M358" i="22"/>
  <c r="D358" i="22"/>
  <c r="R357" i="22"/>
  <c r="O357" i="22"/>
  <c r="M357" i="22"/>
  <c r="D357" i="22"/>
  <c r="R356" i="22"/>
  <c r="Q356" i="22"/>
  <c r="O356" i="22"/>
  <c r="M356" i="22"/>
  <c r="D356" i="22"/>
  <c r="R355" i="22"/>
  <c r="O355" i="22"/>
  <c r="M355" i="22"/>
  <c r="D355" i="22"/>
  <c r="S354" i="22"/>
  <c r="R354" i="22"/>
  <c r="T354" i="22" s="1"/>
  <c r="O354" i="22"/>
  <c r="M354" i="22"/>
  <c r="D354" i="22"/>
  <c r="S353" i="22"/>
  <c r="T353" i="22" s="1"/>
  <c r="R353" i="22"/>
  <c r="Q353" i="22"/>
  <c r="O353" i="22"/>
  <c r="M353" i="22"/>
  <c r="D353" i="22"/>
  <c r="R352" i="22"/>
  <c r="Q352" i="22"/>
  <c r="O352" i="22"/>
  <c r="M352" i="22"/>
  <c r="D352" i="22"/>
  <c r="R351" i="22"/>
  <c r="O351" i="22"/>
  <c r="M351" i="22"/>
  <c r="D351" i="22"/>
  <c r="S350" i="22"/>
  <c r="R350" i="22"/>
  <c r="T350" i="22" s="1"/>
  <c r="O350" i="22"/>
  <c r="M350" i="22"/>
  <c r="D350" i="22"/>
  <c r="R349" i="22"/>
  <c r="O349" i="22"/>
  <c r="M349" i="22"/>
  <c r="D349" i="22"/>
  <c r="R348" i="22"/>
  <c r="O348" i="22"/>
  <c r="M348" i="22"/>
  <c r="D348" i="22"/>
  <c r="R347" i="22"/>
  <c r="O347" i="22"/>
  <c r="M347" i="22"/>
  <c r="D347" i="22"/>
  <c r="R346" i="22"/>
  <c r="O346" i="22"/>
  <c r="M346" i="22"/>
  <c r="D346" i="22"/>
  <c r="S345" i="22"/>
  <c r="R345" i="22"/>
  <c r="T345" i="22" s="1"/>
  <c r="Q345" i="22"/>
  <c r="O345" i="22"/>
  <c r="M345" i="22"/>
  <c r="D345" i="22"/>
  <c r="R344" i="22"/>
  <c r="Q344" i="22"/>
  <c r="O344" i="22"/>
  <c r="M344" i="22"/>
  <c r="D344" i="22"/>
  <c r="R343" i="22"/>
  <c r="Q343" i="22"/>
  <c r="O343" i="22"/>
  <c r="M343" i="22"/>
  <c r="D343" i="22"/>
  <c r="R342" i="22"/>
  <c r="O342" i="22"/>
  <c r="M342" i="22"/>
  <c r="D342" i="22"/>
  <c r="R341" i="22"/>
  <c r="O341" i="22"/>
  <c r="M341" i="22"/>
  <c r="D341" i="22"/>
  <c r="R340" i="22"/>
  <c r="O340" i="22"/>
  <c r="M340" i="22"/>
  <c r="D340" i="22"/>
  <c r="S339" i="22"/>
  <c r="R339" i="22"/>
  <c r="O339" i="22"/>
  <c r="M339" i="22"/>
  <c r="D339" i="22"/>
  <c r="R338" i="22"/>
  <c r="O338" i="22"/>
  <c r="M338" i="22"/>
  <c r="D338" i="22"/>
  <c r="R337" i="22"/>
  <c r="O337" i="22"/>
  <c r="M337" i="22"/>
  <c r="D337" i="22"/>
  <c r="R336" i="22"/>
  <c r="Q336" i="22"/>
  <c r="O336" i="22"/>
  <c r="M336" i="22"/>
  <c r="D336" i="22"/>
  <c r="R335" i="22"/>
  <c r="O335" i="22"/>
  <c r="M335" i="22"/>
  <c r="D335" i="22"/>
  <c r="R334" i="22"/>
  <c r="Q334" i="22"/>
  <c r="O334" i="22"/>
  <c r="M334" i="22"/>
  <c r="D334" i="22"/>
  <c r="S333" i="22"/>
  <c r="T333" i="22" s="1"/>
  <c r="R333" i="22"/>
  <c r="Q333" i="22"/>
  <c r="O333" i="22"/>
  <c r="M333" i="22"/>
  <c r="D333" i="22"/>
  <c r="R332" i="22"/>
  <c r="O332" i="22"/>
  <c r="M332" i="22"/>
  <c r="D332" i="22"/>
  <c r="R331" i="22"/>
  <c r="O331" i="22"/>
  <c r="M331" i="22"/>
  <c r="D331" i="22"/>
  <c r="R330" i="22"/>
  <c r="O330" i="22"/>
  <c r="M330" i="22"/>
  <c r="D330" i="22"/>
  <c r="R329" i="22"/>
  <c r="O329" i="22"/>
  <c r="M329" i="22"/>
  <c r="D329" i="22"/>
  <c r="R328" i="22"/>
  <c r="O328" i="22"/>
  <c r="M328" i="22"/>
  <c r="Q326" i="24" s="1"/>
  <c r="D328" i="22"/>
  <c r="R327" i="22"/>
  <c r="O327" i="22"/>
  <c r="M327" i="22"/>
  <c r="D327" i="22"/>
  <c r="S326" i="22"/>
  <c r="T326" i="22" s="1"/>
  <c r="R326" i="22"/>
  <c r="O326" i="22"/>
  <c r="M326" i="22"/>
  <c r="D326" i="22"/>
  <c r="S325" i="22"/>
  <c r="R325" i="22"/>
  <c r="O325" i="22"/>
  <c r="M325" i="22"/>
  <c r="D325" i="22"/>
  <c r="R324" i="22"/>
  <c r="O324" i="22"/>
  <c r="M324" i="22"/>
  <c r="D324" i="22"/>
  <c r="R323" i="22"/>
  <c r="O323" i="22"/>
  <c r="M323" i="22"/>
  <c r="D323" i="22"/>
  <c r="R322" i="22"/>
  <c r="O322" i="22"/>
  <c r="M322" i="22"/>
  <c r="D322" i="22"/>
  <c r="O321" i="22"/>
  <c r="M321" i="22"/>
  <c r="D321" i="22"/>
  <c r="T320" i="22"/>
  <c r="S320" i="22"/>
  <c r="R320" i="22"/>
  <c r="Q320" i="22"/>
  <c r="O320" i="22"/>
  <c r="M320" i="22"/>
  <c r="D320" i="22"/>
  <c r="R319" i="22"/>
  <c r="O319" i="22"/>
  <c r="M319" i="22"/>
  <c r="D319" i="22"/>
  <c r="S318" i="22"/>
  <c r="R318" i="22"/>
  <c r="O318" i="22"/>
  <c r="M318" i="22"/>
  <c r="D318" i="22"/>
  <c r="R317" i="22"/>
  <c r="Q317" i="22"/>
  <c r="O317" i="22"/>
  <c r="M317" i="22"/>
  <c r="D317" i="22"/>
  <c r="R316" i="22"/>
  <c r="O316" i="22"/>
  <c r="M316" i="22"/>
  <c r="D316" i="22"/>
  <c r="R315" i="22"/>
  <c r="Q315" i="22"/>
  <c r="O315" i="22"/>
  <c r="M315" i="22"/>
  <c r="D315" i="22"/>
  <c r="R314" i="22"/>
  <c r="O314" i="22"/>
  <c r="M314" i="22"/>
  <c r="D314" i="22"/>
  <c r="S313" i="22"/>
  <c r="R313" i="22"/>
  <c r="T313" i="22" s="1"/>
  <c r="O313" i="22"/>
  <c r="M313" i="22"/>
  <c r="D313" i="22"/>
  <c r="R312" i="22"/>
  <c r="O312" i="22"/>
  <c r="M312" i="22"/>
  <c r="D312" i="22"/>
  <c r="R311" i="22"/>
  <c r="O311" i="22"/>
  <c r="M311" i="22"/>
  <c r="D311" i="22"/>
  <c r="R310" i="22"/>
  <c r="O310" i="22"/>
  <c r="M310" i="22"/>
  <c r="D310" i="22"/>
  <c r="R309" i="22"/>
  <c r="O309" i="22"/>
  <c r="M309" i="22"/>
  <c r="D309" i="22"/>
  <c r="R308" i="22"/>
  <c r="O308" i="22"/>
  <c r="M308" i="22"/>
  <c r="D308" i="22"/>
  <c r="R307" i="22"/>
  <c r="O307" i="22"/>
  <c r="M307" i="22"/>
  <c r="D307" i="22"/>
  <c r="S306" i="22"/>
  <c r="T306" i="22" s="1"/>
  <c r="R306" i="22"/>
  <c r="O306" i="22"/>
  <c r="M306" i="22"/>
  <c r="D306" i="22"/>
  <c r="R305" i="22"/>
  <c r="Q305" i="22"/>
  <c r="O305" i="22"/>
  <c r="M305" i="22"/>
  <c r="D305" i="22"/>
  <c r="R304" i="22"/>
  <c r="O304" i="22"/>
  <c r="M304" i="22"/>
  <c r="D304" i="22"/>
  <c r="R303" i="22"/>
  <c r="Q303" i="22"/>
  <c r="O303" i="22"/>
  <c r="M303" i="22"/>
  <c r="D303" i="22"/>
  <c r="R302" i="22"/>
  <c r="O302" i="22"/>
  <c r="M302" i="22"/>
  <c r="D302" i="22"/>
  <c r="S301" i="22"/>
  <c r="R301" i="22"/>
  <c r="O301" i="22"/>
  <c r="M301" i="22"/>
  <c r="D301" i="22"/>
  <c r="R300" i="22"/>
  <c r="O300" i="22"/>
  <c r="M300" i="22"/>
  <c r="D300" i="22"/>
  <c r="R299" i="22"/>
  <c r="O299" i="22"/>
  <c r="M299" i="22"/>
  <c r="D299" i="22"/>
  <c r="S298" i="22"/>
  <c r="R298" i="22"/>
  <c r="T298" i="22" s="1"/>
  <c r="Q298" i="22"/>
  <c r="O298" i="22"/>
  <c r="M298" i="22"/>
  <c r="D298" i="22"/>
  <c r="R297" i="22"/>
  <c r="O297" i="22"/>
  <c r="M297" i="22"/>
  <c r="Q295" i="24" s="1"/>
  <c r="D297" i="22"/>
  <c r="R296" i="22"/>
  <c r="O296" i="22"/>
  <c r="M296" i="22"/>
  <c r="D296" i="22"/>
  <c r="R295" i="22"/>
  <c r="O295" i="22"/>
  <c r="M295" i="22"/>
  <c r="D295" i="22"/>
  <c r="S294" i="22"/>
  <c r="R294" i="22"/>
  <c r="O294" i="22"/>
  <c r="M294" i="22"/>
  <c r="D294" i="22"/>
  <c r="R293" i="22"/>
  <c r="Q293" i="22"/>
  <c r="O293" i="22"/>
  <c r="M293" i="22"/>
  <c r="D293" i="22"/>
  <c r="R292" i="22"/>
  <c r="O292" i="22"/>
  <c r="M292" i="22"/>
  <c r="D292" i="22"/>
  <c r="R291" i="22"/>
  <c r="O291" i="22"/>
  <c r="M291" i="22"/>
  <c r="D291" i="22"/>
  <c r="R290" i="22"/>
  <c r="O290" i="22"/>
  <c r="M290" i="22"/>
  <c r="D290" i="22"/>
  <c r="S289" i="22"/>
  <c r="R289" i="22"/>
  <c r="O289" i="22"/>
  <c r="M289" i="22"/>
  <c r="D289" i="22"/>
  <c r="R288" i="22"/>
  <c r="O288" i="22"/>
  <c r="M288" i="22"/>
  <c r="Q286" i="24" s="1"/>
  <c r="D288" i="22"/>
  <c r="R287" i="22"/>
  <c r="Q287" i="22"/>
  <c r="O287" i="22"/>
  <c r="M287" i="22"/>
  <c r="D287" i="22"/>
  <c r="R286" i="22"/>
  <c r="O286" i="22"/>
  <c r="M286" i="22"/>
  <c r="D286" i="22"/>
  <c r="R285" i="22"/>
  <c r="O285" i="22"/>
  <c r="M285" i="22"/>
  <c r="Q283" i="24" s="1"/>
  <c r="D285" i="22"/>
  <c r="S284" i="22"/>
  <c r="R284" i="22"/>
  <c r="O284" i="22"/>
  <c r="M284" i="22"/>
  <c r="D284" i="22"/>
  <c r="R283" i="22"/>
  <c r="Q283" i="22"/>
  <c r="O283" i="22"/>
  <c r="M283" i="22"/>
  <c r="D283" i="22"/>
  <c r="R282" i="22"/>
  <c r="O282" i="22"/>
  <c r="M282" i="22"/>
  <c r="D282" i="22"/>
  <c r="R281" i="22"/>
  <c r="O281" i="22"/>
  <c r="M281" i="22"/>
  <c r="D281" i="22"/>
  <c r="R280" i="22"/>
  <c r="O280" i="22"/>
  <c r="M280" i="22"/>
  <c r="Q278" i="24" s="1"/>
  <c r="D280" i="22"/>
  <c r="R279" i="22"/>
  <c r="O279" i="22"/>
  <c r="M279" i="22"/>
  <c r="D279" i="22"/>
  <c r="R278" i="22"/>
  <c r="O278" i="22"/>
  <c r="M278" i="22"/>
  <c r="D278" i="22"/>
  <c r="R277" i="22"/>
  <c r="O277" i="22"/>
  <c r="M277" i="22"/>
  <c r="D277" i="22"/>
  <c r="T276" i="22"/>
  <c r="S276" i="22"/>
  <c r="R276" i="22"/>
  <c r="Q276" i="22"/>
  <c r="O276" i="22"/>
  <c r="M276" i="22"/>
  <c r="D276" i="22"/>
  <c r="R275" i="22"/>
  <c r="O275" i="22"/>
  <c r="M275" i="22"/>
  <c r="D275" i="22"/>
  <c r="R274" i="22"/>
  <c r="O274" i="22"/>
  <c r="M274" i="22"/>
  <c r="D274" i="22"/>
  <c r="R273" i="22"/>
  <c r="O273" i="22"/>
  <c r="M273" i="22"/>
  <c r="D273" i="22"/>
  <c r="R272" i="22"/>
  <c r="O272" i="22"/>
  <c r="M272" i="22"/>
  <c r="Q270" i="24" s="1"/>
  <c r="D272" i="22"/>
  <c r="R271" i="22"/>
  <c r="Q271" i="22"/>
  <c r="O271" i="22"/>
  <c r="M271" i="22"/>
  <c r="D271" i="22"/>
  <c r="R270" i="22"/>
  <c r="O270" i="22"/>
  <c r="M270" i="22"/>
  <c r="D270" i="22"/>
  <c r="S269" i="22"/>
  <c r="R269" i="22"/>
  <c r="O269" i="22"/>
  <c r="M269" i="22"/>
  <c r="D269" i="22"/>
  <c r="S268" i="22"/>
  <c r="R268" i="22"/>
  <c r="Q268" i="22"/>
  <c r="O268" i="22"/>
  <c r="M268" i="22"/>
  <c r="D268" i="22"/>
  <c r="R267" i="22"/>
  <c r="O267" i="22"/>
  <c r="M267" i="22"/>
  <c r="D267" i="22"/>
  <c r="R266" i="22"/>
  <c r="O266" i="22"/>
  <c r="M266" i="22"/>
  <c r="D266" i="22"/>
  <c r="R265" i="22"/>
  <c r="O265" i="22"/>
  <c r="M265" i="22"/>
  <c r="D265" i="22"/>
  <c r="S264" i="22"/>
  <c r="R264" i="22"/>
  <c r="Q264" i="22"/>
  <c r="O264" i="22"/>
  <c r="M264" i="22"/>
  <c r="D264" i="22"/>
  <c r="R263" i="22"/>
  <c r="O263" i="22"/>
  <c r="M263" i="22"/>
  <c r="D263" i="22"/>
  <c r="S262" i="22"/>
  <c r="T262" i="22" s="1"/>
  <c r="R262" i="22"/>
  <c r="O262" i="22"/>
  <c r="M262" i="22"/>
  <c r="D262" i="22"/>
  <c r="S261" i="22"/>
  <c r="R261" i="22"/>
  <c r="T261" i="22" s="1"/>
  <c r="Q261" i="22"/>
  <c r="O261" i="22"/>
  <c r="M261" i="22"/>
  <c r="D261" i="22"/>
  <c r="R260" i="22"/>
  <c r="O260" i="22"/>
  <c r="M260" i="22"/>
  <c r="D260" i="22"/>
  <c r="R259" i="22"/>
  <c r="O259" i="22"/>
  <c r="M259" i="22"/>
  <c r="D259" i="22"/>
  <c r="R258" i="22"/>
  <c r="Q258" i="22"/>
  <c r="O258" i="22"/>
  <c r="M258" i="22"/>
  <c r="D258" i="22"/>
  <c r="R257" i="22"/>
  <c r="O257" i="22"/>
  <c r="M257" i="22"/>
  <c r="D257" i="22"/>
  <c r="S256" i="22"/>
  <c r="R256" i="22"/>
  <c r="O256" i="22"/>
  <c r="M256" i="22"/>
  <c r="D256" i="22"/>
  <c r="R255" i="22"/>
  <c r="O255" i="22"/>
  <c r="M255" i="22"/>
  <c r="D255" i="22"/>
  <c r="R254" i="22"/>
  <c r="O254" i="22"/>
  <c r="M254" i="22"/>
  <c r="D254" i="22"/>
  <c r="R253" i="22"/>
  <c r="O253" i="22"/>
  <c r="M253" i="22"/>
  <c r="D253" i="22"/>
  <c r="R252" i="22"/>
  <c r="O252" i="22"/>
  <c r="M252" i="22"/>
  <c r="D252" i="22"/>
  <c r="R251" i="22"/>
  <c r="O251" i="22"/>
  <c r="M251" i="22"/>
  <c r="D251" i="22"/>
  <c r="R250" i="22"/>
  <c r="O250" i="22"/>
  <c r="M250" i="22"/>
  <c r="D250" i="22"/>
  <c r="R249" i="22"/>
  <c r="Q249" i="22"/>
  <c r="O249" i="22"/>
  <c r="M249" i="22"/>
  <c r="D249" i="22"/>
  <c r="R248" i="22"/>
  <c r="Q248" i="22"/>
  <c r="O248" i="22"/>
  <c r="M248" i="22"/>
  <c r="D248" i="22"/>
  <c r="R247" i="22"/>
  <c r="O247" i="22"/>
  <c r="M247" i="22"/>
  <c r="D247" i="22"/>
  <c r="R246" i="22"/>
  <c r="O246" i="22"/>
  <c r="M246" i="22"/>
  <c r="D246" i="22"/>
  <c r="R245" i="22"/>
  <c r="O245" i="22"/>
  <c r="M245" i="22"/>
  <c r="Q243" i="24" s="1"/>
  <c r="D245" i="22"/>
  <c r="R244" i="22"/>
  <c r="O244" i="22"/>
  <c r="M244" i="22"/>
  <c r="D244" i="22"/>
  <c r="R243" i="22"/>
  <c r="O243" i="22"/>
  <c r="M243" i="22"/>
  <c r="D243" i="22"/>
  <c r="R242" i="22"/>
  <c r="Q242" i="22"/>
  <c r="O242" i="22"/>
  <c r="M242" i="22"/>
  <c r="D242" i="22"/>
  <c r="S241" i="22"/>
  <c r="R241" i="22"/>
  <c r="T241" i="22" s="1"/>
  <c r="O241" i="22"/>
  <c r="M241" i="22"/>
  <c r="D241" i="22"/>
  <c r="R240" i="22"/>
  <c r="O240" i="22"/>
  <c r="M240" i="22"/>
  <c r="D240" i="22"/>
  <c r="R239" i="22"/>
  <c r="O239" i="22"/>
  <c r="M239" i="22"/>
  <c r="D239" i="22"/>
  <c r="T238" i="22"/>
  <c r="S238" i="22"/>
  <c r="R238" i="22"/>
  <c r="O238" i="22"/>
  <c r="M238" i="22"/>
  <c r="D238" i="22"/>
  <c r="R237" i="22"/>
  <c r="O237" i="22"/>
  <c r="M237" i="22"/>
  <c r="D237" i="22"/>
  <c r="R236" i="22"/>
  <c r="O236" i="22"/>
  <c r="M236" i="22"/>
  <c r="D236" i="22"/>
  <c r="R235" i="22"/>
  <c r="O235" i="22"/>
  <c r="M235" i="22"/>
  <c r="D235" i="22"/>
  <c r="O234" i="22"/>
  <c r="M234" i="22"/>
  <c r="D234" i="22"/>
  <c r="R233" i="22"/>
  <c r="O233" i="22"/>
  <c r="M233" i="22"/>
  <c r="D233" i="22"/>
  <c r="Q232" i="22"/>
  <c r="O232" i="22"/>
  <c r="M232" i="22"/>
  <c r="D232" i="22"/>
  <c r="R231" i="22"/>
  <c r="O231" i="22"/>
  <c r="M231" i="22"/>
  <c r="Q229" i="24" s="1"/>
  <c r="D231" i="22"/>
  <c r="T230" i="22"/>
  <c r="S230" i="22"/>
  <c r="R230" i="22"/>
  <c r="Q230" i="22"/>
  <c r="O230" i="22"/>
  <c r="M230" i="22"/>
  <c r="D230" i="22"/>
  <c r="R229" i="22"/>
  <c r="O229" i="22"/>
  <c r="M229" i="22"/>
  <c r="Q227" i="24" s="1"/>
  <c r="D229" i="22"/>
  <c r="T228" i="22"/>
  <c r="S228" i="22"/>
  <c r="R228" i="22"/>
  <c r="O228" i="22"/>
  <c r="M228" i="22"/>
  <c r="D228" i="22"/>
  <c r="R227" i="22"/>
  <c r="O227" i="22"/>
  <c r="M227" i="22"/>
  <c r="D227" i="22"/>
  <c r="R226" i="22"/>
  <c r="O226" i="22"/>
  <c r="M226" i="22"/>
  <c r="D226" i="22"/>
  <c r="R225" i="22"/>
  <c r="O225" i="22"/>
  <c r="M225" i="22"/>
  <c r="Q223" i="24" s="1"/>
  <c r="D225" i="22"/>
  <c r="S224" i="22"/>
  <c r="R224" i="22"/>
  <c r="O224" i="22"/>
  <c r="M224" i="22"/>
  <c r="D224" i="22"/>
  <c r="R223" i="22"/>
  <c r="O223" i="22"/>
  <c r="M223" i="22"/>
  <c r="Q221" i="24" s="1"/>
  <c r="D223" i="22"/>
  <c r="R222" i="22"/>
  <c r="O222" i="22"/>
  <c r="M222" i="22"/>
  <c r="D222" i="22"/>
  <c r="R221" i="22"/>
  <c r="O221" i="22"/>
  <c r="M221" i="22"/>
  <c r="Q219" i="24" s="1"/>
  <c r="D221" i="22"/>
  <c r="R220" i="22"/>
  <c r="O220" i="22"/>
  <c r="M220" i="22"/>
  <c r="D220" i="22"/>
  <c r="R219" i="22"/>
  <c r="O219" i="22"/>
  <c r="M219" i="22"/>
  <c r="Q217" i="24" s="1"/>
  <c r="D219" i="22"/>
  <c r="T218" i="22"/>
  <c r="S218" i="22"/>
  <c r="R218" i="22"/>
  <c r="O218" i="22"/>
  <c r="M218" i="22"/>
  <c r="D218" i="22"/>
  <c r="S217" i="22"/>
  <c r="R217" i="22"/>
  <c r="T217" i="22" s="1"/>
  <c r="Q217" i="22"/>
  <c r="O217" i="22"/>
  <c r="M217" i="22"/>
  <c r="D217" i="22"/>
  <c r="S216" i="22"/>
  <c r="R216" i="22"/>
  <c r="T216" i="22" s="1"/>
  <c r="O216" i="22"/>
  <c r="M216" i="22"/>
  <c r="Q214" i="24" s="1"/>
  <c r="D216" i="22"/>
  <c r="S215" i="22"/>
  <c r="R215" i="22"/>
  <c r="O215" i="22"/>
  <c r="M215" i="22"/>
  <c r="D215" i="22"/>
  <c r="R214" i="22"/>
  <c r="O214" i="22"/>
  <c r="M214" i="22"/>
  <c r="Q212" i="24" s="1"/>
  <c r="D214" i="22"/>
  <c r="R213" i="22"/>
  <c r="O213" i="22"/>
  <c r="M213" i="22"/>
  <c r="D213" i="22"/>
  <c r="R212" i="22"/>
  <c r="O212" i="22"/>
  <c r="M212" i="22"/>
  <c r="D212" i="22"/>
  <c r="R211" i="22"/>
  <c r="Q211" i="22"/>
  <c r="O211" i="22"/>
  <c r="M211" i="22"/>
  <c r="D211" i="22"/>
  <c r="S210" i="22"/>
  <c r="R210" i="22"/>
  <c r="T210" i="22" s="1"/>
  <c r="Q210" i="22"/>
  <c r="O210" i="22"/>
  <c r="M210" i="22"/>
  <c r="D210" i="22"/>
  <c r="R209" i="22"/>
  <c r="Q209" i="22"/>
  <c r="O209" i="22"/>
  <c r="M209" i="22"/>
  <c r="Q207" i="24" s="1"/>
  <c r="D209" i="22"/>
  <c r="T208" i="22"/>
  <c r="S208" i="22"/>
  <c r="R208" i="22"/>
  <c r="O208" i="22"/>
  <c r="M208" i="22"/>
  <c r="D208" i="22"/>
  <c r="R207" i="22"/>
  <c r="O207" i="22"/>
  <c r="M207" i="22"/>
  <c r="Q205" i="24" s="1"/>
  <c r="D207" i="22"/>
  <c r="T206" i="22"/>
  <c r="S206" i="22"/>
  <c r="R206" i="22"/>
  <c r="O206" i="22"/>
  <c r="M206" i="22"/>
  <c r="D206" i="22"/>
  <c r="R205" i="22"/>
  <c r="O205" i="22"/>
  <c r="M205" i="22"/>
  <c r="Q203" i="24" s="1"/>
  <c r="D205" i="22"/>
  <c r="R204" i="22"/>
  <c r="O204" i="22"/>
  <c r="M204" i="22"/>
  <c r="D204" i="22"/>
  <c r="T203" i="22"/>
  <c r="S203" i="22"/>
  <c r="R203" i="22"/>
  <c r="O203" i="22"/>
  <c r="M203" i="22"/>
  <c r="D203" i="22"/>
  <c r="R202" i="22"/>
  <c r="O202" i="22"/>
  <c r="M202" i="22"/>
  <c r="D202" i="22"/>
  <c r="S201" i="22"/>
  <c r="R201" i="22"/>
  <c r="O201" i="22"/>
  <c r="M201" i="22"/>
  <c r="D201" i="22"/>
  <c r="R200" i="22"/>
  <c r="O200" i="22"/>
  <c r="M200" i="22"/>
  <c r="D200" i="22"/>
  <c r="BH199" i="22"/>
  <c r="BG199" i="22"/>
  <c r="R199" i="22"/>
  <c r="O199" i="22"/>
  <c r="M199" i="22"/>
  <c r="D199" i="22"/>
  <c r="BH198" i="22"/>
  <c r="BG198" i="22"/>
  <c r="T198" i="22"/>
  <c r="S198" i="22"/>
  <c r="R198" i="22"/>
  <c r="Q198" i="22"/>
  <c r="O198" i="22"/>
  <c r="M198" i="22"/>
  <c r="D198" i="22"/>
  <c r="BH197" i="22"/>
  <c r="BG197" i="22"/>
  <c r="R197" i="22"/>
  <c r="Q197" i="22"/>
  <c r="O197" i="22"/>
  <c r="M197" i="22"/>
  <c r="D197" i="22"/>
  <c r="BH196" i="22"/>
  <c r="BG196" i="22"/>
  <c r="R196" i="22"/>
  <c r="O196" i="22"/>
  <c r="M196" i="22"/>
  <c r="D196" i="22"/>
  <c r="BH195" i="22"/>
  <c r="BG195" i="22"/>
  <c r="R195" i="22"/>
  <c r="O195" i="22"/>
  <c r="M195" i="22"/>
  <c r="D195" i="22"/>
  <c r="BH194" i="22"/>
  <c r="BG194" i="22"/>
  <c r="R194" i="22"/>
  <c r="O194" i="22"/>
  <c r="M194" i="22"/>
  <c r="D194" i="22"/>
  <c r="BH193" i="22"/>
  <c r="BG193" i="22"/>
  <c r="R193" i="22"/>
  <c r="Q193" i="22"/>
  <c r="O193" i="22"/>
  <c r="M193" i="22"/>
  <c r="D193" i="22"/>
  <c r="BH192" i="22"/>
  <c r="BG192" i="22"/>
  <c r="R192" i="22"/>
  <c r="O192" i="22"/>
  <c r="M192" i="22"/>
  <c r="D192" i="22"/>
  <c r="BH191" i="22"/>
  <c r="BG191" i="22"/>
  <c r="R191" i="22"/>
  <c r="O191" i="22"/>
  <c r="M191" i="22"/>
  <c r="Q189" i="24" s="1"/>
  <c r="D191" i="22"/>
  <c r="BH190" i="22"/>
  <c r="BG190" i="22"/>
  <c r="R190" i="22"/>
  <c r="O190" i="22"/>
  <c r="M190" i="22"/>
  <c r="D190" i="22"/>
  <c r="BH189" i="22"/>
  <c r="BG189" i="22"/>
  <c r="R189" i="22"/>
  <c r="O189" i="22"/>
  <c r="M189" i="22"/>
  <c r="Q187" i="24" s="1"/>
  <c r="D189" i="22"/>
  <c r="BH188" i="22"/>
  <c r="BG188" i="22"/>
  <c r="S188" i="22"/>
  <c r="R188" i="22"/>
  <c r="T188" i="22" s="1"/>
  <c r="O188" i="22"/>
  <c r="M188" i="22"/>
  <c r="D188" i="22"/>
  <c r="BH187" i="22"/>
  <c r="BG187" i="22"/>
  <c r="R187" i="22"/>
  <c r="O187" i="22"/>
  <c r="M187" i="22"/>
  <c r="Q185" i="24" s="1"/>
  <c r="D187" i="22"/>
  <c r="BH186" i="22"/>
  <c r="BG186" i="22"/>
  <c r="R186" i="22"/>
  <c r="O186" i="22"/>
  <c r="M186" i="22"/>
  <c r="D186" i="22"/>
  <c r="BH185" i="22"/>
  <c r="BG185" i="22"/>
  <c r="R185" i="22"/>
  <c r="O185" i="22"/>
  <c r="M185" i="22"/>
  <c r="D185" i="22"/>
  <c r="BH184" i="22"/>
  <c r="BG184" i="22"/>
  <c r="R184" i="22"/>
  <c r="O184" i="22"/>
  <c r="M184" i="22"/>
  <c r="D184" i="22"/>
  <c r="BH183" i="22"/>
  <c r="BG183" i="22"/>
  <c r="R183" i="22"/>
  <c r="O183" i="22"/>
  <c r="M183" i="22"/>
  <c r="D183" i="22"/>
  <c r="BH182" i="22"/>
  <c r="BG182" i="22"/>
  <c r="R182" i="22"/>
  <c r="O182" i="22"/>
  <c r="M182" i="22"/>
  <c r="D182" i="22"/>
  <c r="BH181" i="22"/>
  <c r="BG181" i="22"/>
  <c r="R181" i="22"/>
  <c r="O181" i="22"/>
  <c r="M181" i="22"/>
  <c r="D181" i="22"/>
  <c r="BH180" i="22"/>
  <c r="BG180" i="22"/>
  <c r="R180" i="22"/>
  <c r="Q180" i="22"/>
  <c r="O180" i="22"/>
  <c r="M180" i="22"/>
  <c r="D180" i="22"/>
  <c r="BH179" i="22"/>
  <c r="BG179" i="22"/>
  <c r="R179" i="22"/>
  <c r="O179" i="22"/>
  <c r="M179" i="22"/>
  <c r="D179" i="22"/>
  <c r="BH178" i="22"/>
  <c r="BG178" i="22"/>
  <c r="R178" i="22"/>
  <c r="O178" i="22"/>
  <c r="M178" i="22"/>
  <c r="D178" i="22"/>
  <c r="BH177" i="22"/>
  <c r="BG177" i="22"/>
  <c r="R177" i="22"/>
  <c r="O177" i="22"/>
  <c r="M177" i="22"/>
  <c r="D177" i="22"/>
  <c r="BH176" i="22"/>
  <c r="BG176" i="22"/>
  <c r="S176" i="22"/>
  <c r="R176" i="22"/>
  <c r="Q176" i="22"/>
  <c r="O176" i="22"/>
  <c r="M176" i="22"/>
  <c r="D176" i="22"/>
  <c r="BH175" i="22"/>
  <c r="BG175" i="22"/>
  <c r="R175" i="22"/>
  <c r="O175" i="22"/>
  <c r="M175" i="22"/>
  <c r="D175" i="22"/>
  <c r="BH174" i="22"/>
  <c r="BG174" i="22"/>
  <c r="R174" i="22"/>
  <c r="O174" i="22"/>
  <c r="M174" i="22"/>
  <c r="D174" i="22"/>
  <c r="BH173" i="22"/>
  <c r="BG173" i="22"/>
  <c r="R173" i="22"/>
  <c r="O173" i="22"/>
  <c r="M173" i="22"/>
  <c r="D173" i="22"/>
  <c r="BH172" i="22"/>
  <c r="BG172" i="22"/>
  <c r="R172" i="22"/>
  <c r="Q172" i="22"/>
  <c r="O172" i="22"/>
  <c r="M172" i="22"/>
  <c r="D172" i="22"/>
  <c r="BH171" i="22"/>
  <c r="BG171" i="22"/>
  <c r="U171" i="22"/>
  <c r="W171" i="22" s="1"/>
  <c r="R171" i="22"/>
  <c r="O171" i="22"/>
  <c r="M171" i="22"/>
  <c r="D171" i="22"/>
  <c r="BH170" i="22"/>
  <c r="BG170" i="22"/>
  <c r="R170" i="22"/>
  <c r="Q170" i="22"/>
  <c r="O170" i="22"/>
  <c r="M170" i="22"/>
  <c r="D170" i="22"/>
  <c r="BH169" i="22"/>
  <c r="BG169" i="22"/>
  <c r="R169" i="22"/>
  <c r="Q169" i="22"/>
  <c r="O169" i="22"/>
  <c r="M169" i="22"/>
  <c r="D169" i="22"/>
  <c r="BH168" i="22"/>
  <c r="BG168" i="22"/>
  <c r="S168" i="22"/>
  <c r="R168" i="22"/>
  <c r="O168" i="22"/>
  <c r="M168" i="22"/>
  <c r="D168" i="22"/>
  <c r="BH167" i="22"/>
  <c r="BG167" i="22"/>
  <c r="R167" i="22"/>
  <c r="O167" i="22"/>
  <c r="M167" i="22"/>
  <c r="D167" i="22"/>
  <c r="BH166" i="22"/>
  <c r="BG166" i="22"/>
  <c r="R166" i="22"/>
  <c r="Q166" i="22"/>
  <c r="O166" i="22"/>
  <c r="M166" i="22"/>
  <c r="D166" i="22"/>
  <c r="BH165" i="22"/>
  <c r="BG165" i="22"/>
  <c r="R165" i="22"/>
  <c r="O165" i="22"/>
  <c r="M165" i="22"/>
  <c r="D165" i="22"/>
  <c r="BH164" i="22"/>
  <c r="BG164" i="22"/>
  <c r="R164" i="22"/>
  <c r="O164" i="22"/>
  <c r="M164" i="22"/>
  <c r="D164" i="22"/>
  <c r="BH163" i="22"/>
  <c r="BG163" i="22"/>
  <c r="R163" i="22"/>
  <c r="Q163" i="22"/>
  <c r="O163" i="22"/>
  <c r="M163" i="22"/>
  <c r="D163" i="22"/>
  <c r="BH162" i="22"/>
  <c r="BG162" i="22"/>
  <c r="R162" i="22"/>
  <c r="O162" i="22"/>
  <c r="M162" i="22"/>
  <c r="Q160" i="24" s="1"/>
  <c r="D162" i="22"/>
  <c r="BH161" i="22"/>
  <c r="BG161" i="22"/>
  <c r="R161" i="22"/>
  <c r="O161" i="22"/>
  <c r="M161" i="22"/>
  <c r="D161" i="22"/>
  <c r="BH160" i="22"/>
  <c r="BG160" i="22"/>
  <c r="R160" i="22"/>
  <c r="O160" i="22"/>
  <c r="M160" i="22"/>
  <c r="D160" i="22"/>
  <c r="BH159" i="22"/>
  <c r="BG159" i="22"/>
  <c r="R159" i="22"/>
  <c r="Q159" i="22"/>
  <c r="O159" i="22"/>
  <c r="M159" i="22"/>
  <c r="BH158" i="22"/>
  <c r="BG158" i="22"/>
  <c r="R158" i="22"/>
  <c r="Q158" i="22"/>
  <c r="O158" i="22"/>
  <c r="M158" i="22"/>
  <c r="BH157" i="22"/>
  <c r="BG157" i="22"/>
  <c r="R157" i="22"/>
  <c r="Q157" i="22"/>
  <c r="O157" i="22"/>
  <c r="M157" i="22"/>
  <c r="BH156" i="22"/>
  <c r="BG156" i="22"/>
  <c r="S156" i="22"/>
  <c r="R156" i="22"/>
  <c r="O156" i="22"/>
  <c r="M156" i="22"/>
  <c r="BH155" i="22"/>
  <c r="BG155" i="22"/>
  <c r="S155" i="22"/>
  <c r="R155" i="22"/>
  <c r="O155" i="22"/>
  <c r="M155" i="22"/>
  <c r="BH154" i="22"/>
  <c r="BG154" i="22"/>
  <c r="R154" i="22"/>
  <c r="O154" i="22"/>
  <c r="M154" i="22"/>
  <c r="BH153" i="22"/>
  <c r="BG153" i="22"/>
  <c r="R153" i="22"/>
  <c r="Q153" i="22"/>
  <c r="O153" i="22"/>
  <c r="M153" i="22"/>
  <c r="BH152" i="22"/>
  <c r="BG152" i="22"/>
  <c r="R152" i="22"/>
  <c r="Q152" i="22"/>
  <c r="O152" i="22"/>
  <c r="M152" i="22"/>
  <c r="BH151" i="22"/>
  <c r="BG151" i="22"/>
  <c r="U151" i="22"/>
  <c r="V151" i="22" s="1"/>
  <c r="S151" i="22"/>
  <c r="R151" i="22"/>
  <c r="O151" i="22"/>
  <c r="M151" i="22"/>
  <c r="BH150" i="22"/>
  <c r="BG150" i="22"/>
  <c r="S150" i="22"/>
  <c r="R150" i="22"/>
  <c r="O150" i="22"/>
  <c r="M150" i="22"/>
  <c r="BH149" i="22"/>
  <c r="BG149" i="22"/>
  <c r="R149" i="22"/>
  <c r="O149" i="22"/>
  <c r="M149" i="22"/>
  <c r="BH148" i="22"/>
  <c r="BG148" i="22"/>
  <c r="R148" i="22"/>
  <c r="O148" i="22"/>
  <c r="M148" i="22"/>
  <c r="BH147" i="22"/>
  <c r="BG147" i="22"/>
  <c r="R147" i="22"/>
  <c r="O147" i="22"/>
  <c r="M147" i="22"/>
  <c r="BH146" i="22"/>
  <c r="BG146" i="22"/>
  <c r="R146" i="22"/>
  <c r="O146" i="22"/>
  <c r="M146" i="22"/>
  <c r="BH145" i="22"/>
  <c r="BG145" i="22"/>
  <c r="W145" i="22"/>
  <c r="U145" i="22"/>
  <c r="V145" i="22" s="1"/>
  <c r="S145" i="22"/>
  <c r="R145" i="22"/>
  <c r="O145" i="22"/>
  <c r="M145" i="22"/>
  <c r="BH144" i="22"/>
  <c r="BG144" i="22"/>
  <c r="S144" i="22"/>
  <c r="R144" i="22"/>
  <c r="Q144" i="22"/>
  <c r="O144" i="22"/>
  <c r="M144" i="22"/>
  <c r="BH143" i="22"/>
  <c r="BG143" i="22"/>
  <c r="R143" i="22"/>
  <c r="O143" i="22"/>
  <c r="M143" i="22"/>
  <c r="BH142" i="22"/>
  <c r="BG142" i="22"/>
  <c r="R142" i="22"/>
  <c r="O142" i="22"/>
  <c r="M142" i="22"/>
  <c r="BH141" i="22"/>
  <c r="BG141" i="22"/>
  <c r="R141" i="22"/>
  <c r="O141" i="22"/>
  <c r="M141" i="22"/>
  <c r="BH140" i="22"/>
  <c r="BG140" i="22"/>
  <c r="R140" i="22"/>
  <c r="O140" i="22"/>
  <c r="M140" i="22"/>
  <c r="BH139" i="22"/>
  <c r="BG139" i="22"/>
  <c r="R139" i="22"/>
  <c r="Q139" i="22"/>
  <c r="O139" i="22"/>
  <c r="M139" i="22"/>
  <c r="BH138" i="22"/>
  <c r="BG138" i="22"/>
  <c r="R138" i="22"/>
  <c r="O138" i="22"/>
  <c r="M138" i="22"/>
  <c r="R137" i="22"/>
  <c r="O137" i="22"/>
  <c r="M137" i="22"/>
  <c r="R136" i="22"/>
  <c r="Q136" i="22"/>
  <c r="O136" i="22"/>
  <c r="M136" i="22"/>
  <c r="S135" i="22"/>
  <c r="R135" i="22"/>
  <c r="O135" i="22"/>
  <c r="M135" i="22"/>
  <c r="S134" i="22"/>
  <c r="R134" i="22"/>
  <c r="O134" i="22"/>
  <c r="M134" i="22"/>
  <c r="S133" i="22"/>
  <c r="Q133" i="22"/>
  <c r="O133" i="22"/>
  <c r="M133" i="22"/>
  <c r="O132" i="22"/>
  <c r="M132" i="22"/>
  <c r="O131" i="22"/>
  <c r="M131" i="22"/>
  <c r="S130" i="22"/>
  <c r="O130" i="22"/>
  <c r="M130" i="22"/>
  <c r="O129" i="22"/>
  <c r="M129" i="22"/>
  <c r="O128" i="22"/>
  <c r="M128" i="22"/>
  <c r="O127" i="22"/>
  <c r="M127" i="22"/>
  <c r="O126" i="22"/>
  <c r="M126" i="22"/>
  <c r="Q125" i="22"/>
  <c r="O125" i="22"/>
  <c r="M125" i="22"/>
  <c r="O124" i="22"/>
  <c r="M124" i="22"/>
  <c r="S123" i="22"/>
  <c r="O123" i="22"/>
  <c r="M123" i="22"/>
  <c r="O122" i="22"/>
  <c r="M122" i="22"/>
  <c r="O121" i="22"/>
  <c r="M121" i="22"/>
  <c r="O120" i="22"/>
  <c r="M120" i="22"/>
  <c r="O119" i="22"/>
  <c r="M119" i="22"/>
  <c r="O118" i="22"/>
  <c r="M118" i="22"/>
  <c r="O117" i="22"/>
  <c r="M117" i="22"/>
  <c r="S116" i="22"/>
  <c r="Q116" i="22"/>
  <c r="O116" i="22"/>
  <c r="M116" i="22"/>
  <c r="Q115" i="22"/>
  <c r="O115" i="22"/>
  <c r="M115" i="22"/>
  <c r="O114" i="22"/>
  <c r="M114" i="22"/>
  <c r="O113" i="22"/>
  <c r="M113" i="22"/>
  <c r="S112" i="22"/>
  <c r="Q112" i="22"/>
  <c r="O112" i="22"/>
  <c r="M112" i="22"/>
  <c r="S111" i="22"/>
  <c r="O111" i="22"/>
  <c r="M111" i="22"/>
  <c r="O110" i="22"/>
  <c r="M110" i="22"/>
  <c r="O109" i="22"/>
  <c r="M109" i="22"/>
  <c r="O108" i="22"/>
  <c r="M108" i="22"/>
  <c r="S107" i="22"/>
  <c r="O107" i="22"/>
  <c r="M107" i="22"/>
  <c r="S106" i="22"/>
  <c r="Q106" i="22"/>
  <c r="O106" i="22"/>
  <c r="M106" i="22"/>
  <c r="S105" i="22"/>
  <c r="Q105" i="22"/>
  <c r="O105" i="22"/>
  <c r="M105" i="22"/>
  <c r="O104" i="22"/>
  <c r="M104" i="22"/>
  <c r="O103" i="22"/>
  <c r="M103" i="22"/>
  <c r="O102" i="22"/>
  <c r="M102" i="22"/>
  <c r="S101" i="22"/>
  <c r="Q101" i="22"/>
  <c r="O101" i="22"/>
  <c r="M101" i="22"/>
  <c r="S100" i="22"/>
  <c r="O100" i="22"/>
  <c r="M100" i="22"/>
  <c r="S99" i="22"/>
  <c r="O99" i="22"/>
  <c r="M99" i="22"/>
  <c r="O98" i="22"/>
  <c r="M98" i="22"/>
  <c r="Q96" i="24" s="1"/>
  <c r="O97" i="22"/>
  <c r="M97" i="22"/>
  <c r="S96" i="22"/>
  <c r="Q96" i="22"/>
  <c r="O96" i="22"/>
  <c r="M96" i="22"/>
  <c r="S95" i="22"/>
  <c r="Q95" i="22"/>
  <c r="O95" i="22"/>
  <c r="M95" i="22"/>
  <c r="S94" i="22"/>
  <c r="Q94" i="22"/>
  <c r="O94" i="22"/>
  <c r="M94" i="22"/>
  <c r="O93" i="22"/>
  <c r="M93" i="22"/>
  <c r="O92" i="22"/>
  <c r="M92" i="22"/>
  <c r="O91" i="22"/>
  <c r="M91" i="22"/>
  <c r="O90" i="22"/>
  <c r="M90" i="22"/>
  <c r="S89" i="22"/>
  <c r="O89" i="22"/>
  <c r="M89" i="22"/>
  <c r="S88" i="22"/>
  <c r="Q88" i="22"/>
  <c r="O88" i="22"/>
  <c r="M88" i="22"/>
  <c r="S87" i="22"/>
  <c r="Q87" i="22"/>
  <c r="O87" i="22"/>
  <c r="M87" i="22"/>
  <c r="O86" i="22"/>
  <c r="M86" i="22"/>
  <c r="O85" i="22"/>
  <c r="M85" i="22"/>
  <c r="S84" i="22"/>
  <c r="Q84" i="22"/>
  <c r="O84" i="22"/>
  <c r="M84" i="22"/>
  <c r="S83" i="22"/>
  <c r="Q83" i="22"/>
  <c r="O83" i="22"/>
  <c r="M83" i="22"/>
  <c r="O82" i="22"/>
  <c r="M82" i="22"/>
  <c r="AD81" i="22"/>
  <c r="O81" i="22"/>
  <c r="M81" i="22"/>
  <c r="AD80" i="22"/>
  <c r="O80" i="22"/>
  <c r="M80" i="22"/>
  <c r="AD79" i="22"/>
  <c r="S79" i="22"/>
  <c r="O79" i="22"/>
  <c r="M79" i="22"/>
  <c r="Q77" i="24" s="1"/>
  <c r="AD78" i="22"/>
  <c r="S78" i="22"/>
  <c r="O78" i="22"/>
  <c r="M78" i="22"/>
  <c r="AD77" i="22"/>
  <c r="O77" i="22"/>
  <c r="M77" i="22"/>
  <c r="AD76" i="22"/>
  <c r="O76" i="22"/>
  <c r="M76" i="22"/>
  <c r="AD75" i="22"/>
  <c r="O75" i="22"/>
  <c r="M75" i="22"/>
  <c r="AD74" i="22"/>
  <c r="S74" i="22"/>
  <c r="Q74" i="22"/>
  <c r="O74" i="22"/>
  <c r="M74" i="22"/>
  <c r="AD73" i="22"/>
  <c r="S73" i="22"/>
  <c r="Q73" i="22"/>
  <c r="O73" i="22"/>
  <c r="M73" i="22"/>
  <c r="AD72" i="22"/>
  <c r="S72" i="22"/>
  <c r="Q72" i="22"/>
  <c r="O72" i="22"/>
  <c r="M72" i="22"/>
  <c r="AD71" i="22"/>
  <c r="O71" i="22"/>
  <c r="M71" i="22"/>
  <c r="AD70" i="22"/>
  <c r="O70" i="22"/>
  <c r="M70" i="22"/>
  <c r="AD69" i="22"/>
  <c r="O69" i="22"/>
  <c r="M69" i="22"/>
  <c r="AD68" i="22"/>
  <c r="Q68" i="22"/>
  <c r="O68" i="22"/>
  <c r="M68" i="22"/>
  <c r="AD67" i="22"/>
  <c r="S67" i="22"/>
  <c r="O67" i="22"/>
  <c r="M67" i="22"/>
  <c r="AD66" i="22"/>
  <c r="O66" i="22"/>
  <c r="M66" i="22"/>
  <c r="AD65" i="22"/>
  <c r="O65" i="22"/>
  <c r="M65" i="22"/>
  <c r="AD64" i="22"/>
  <c r="O64" i="22"/>
  <c r="M64" i="22"/>
  <c r="AF63" i="22"/>
  <c r="AD63" i="22"/>
  <c r="S63" i="22"/>
  <c r="Q63" i="22"/>
  <c r="O63" i="22"/>
  <c r="M63" i="22"/>
  <c r="AF62" i="22"/>
  <c r="AD62" i="22"/>
  <c r="O62" i="22"/>
  <c r="M62" i="22"/>
  <c r="AF61" i="22"/>
  <c r="AD61" i="22"/>
  <c r="S61" i="22"/>
  <c r="Q61" i="22"/>
  <c r="O61" i="22"/>
  <c r="M61" i="22"/>
  <c r="AF60" i="22"/>
  <c r="AD60" i="22"/>
  <c r="O60" i="22"/>
  <c r="M60" i="22"/>
  <c r="AF59" i="22"/>
  <c r="AD59" i="22"/>
  <c r="S59" i="22"/>
  <c r="Q59" i="22"/>
  <c r="O59" i="22"/>
  <c r="M59" i="22"/>
  <c r="AF58" i="22"/>
  <c r="AD58" i="22"/>
  <c r="O58" i="22"/>
  <c r="M58" i="22"/>
  <c r="AF57" i="22"/>
  <c r="AD57" i="22"/>
  <c r="O57" i="22"/>
  <c r="M57" i="22"/>
  <c r="AF56" i="22"/>
  <c r="AD56" i="22"/>
  <c r="S56" i="22"/>
  <c r="O56" i="22"/>
  <c r="M56" i="22"/>
  <c r="AF55" i="22"/>
  <c r="AD55" i="22"/>
  <c r="O55" i="22"/>
  <c r="M55" i="22"/>
  <c r="Q53" i="24" s="1"/>
  <c r="AF54" i="22"/>
  <c r="AD54" i="22"/>
  <c r="S54" i="22"/>
  <c r="Q54" i="22"/>
  <c r="M54" i="22"/>
  <c r="AF53" i="22"/>
  <c r="AD53" i="22"/>
  <c r="M53" i="22"/>
  <c r="AF52" i="22"/>
  <c r="AD52" i="22"/>
  <c r="S52" i="22"/>
  <c r="Q52" i="22"/>
  <c r="M52" i="22"/>
  <c r="AF51" i="22"/>
  <c r="AD51" i="22"/>
  <c r="S51" i="22"/>
  <c r="Q51" i="22"/>
  <c r="M51" i="22"/>
  <c r="AF50" i="22"/>
  <c r="AD50" i="22"/>
  <c r="S50" i="22"/>
  <c r="O50" i="22"/>
  <c r="M50" i="22"/>
  <c r="AF49" i="22"/>
  <c r="AD49" i="22"/>
  <c r="O49" i="22"/>
  <c r="M49" i="22"/>
  <c r="AF48" i="22"/>
  <c r="AD48" i="22"/>
  <c r="O48" i="22"/>
  <c r="M48" i="22"/>
  <c r="AF47" i="22"/>
  <c r="AD47" i="22"/>
  <c r="O47" i="22"/>
  <c r="M47" i="22"/>
  <c r="AF46" i="22"/>
  <c r="AD46" i="22"/>
  <c r="O46" i="22"/>
  <c r="M46" i="22"/>
  <c r="Q44" i="24" s="1"/>
  <c r="AF45" i="22"/>
  <c r="AD45" i="22"/>
  <c r="O45" i="22"/>
  <c r="M45" i="22"/>
  <c r="AF44" i="22"/>
  <c r="AD44" i="22"/>
  <c r="S44" i="22"/>
  <c r="Q44" i="22"/>
  <c r="O44" i="22"/>
  <c r="M44" i="22"/>
  <c r="AF43" i="22"/>
  <c r="AD43" i="22"/>
  <c r="S43" i="22"/>
  <c r="Q43" i="22"/>
  <c r="O43" i="22"/>
  <c r="M43" i="22"/>
  <c r="Q41" i="24" s="1"/>
  <c r="AF42" i="22"/>
  <c r="AD42" i="22"/>
  <c r="S42" i="22"/>
  <c r="Q42" i="22"/>
  <c r="O42" i="22"/>
  <c r="M42" i="22"/>
  <c r="AF41" i="22"/>
  <c r="AD41" i="22"/>
  <c r="O41" i="22"/>
  <c r="M41" i="22"/>
  <c r="AF40" i="22"/>
  <c r="AD40" i="22"/>
  <c r="O40" i="22"/>
  <c r="M40" i="22"/>
  <c r="AF39" i="22"/>
  <c r="AD39" i="22"/>
  <c r="S39" i="22"/>
  <c r="O39" i="22"/>
  <c r="M39" i="22"/>
  <c r="AF38" i="22"/>
  <c r="AD38" i="22"/>
  <c r="O38" i="22"/>
  <c r="M38" i="22"/>
  <c r="AF37" i="22"/>
  <c r="AD37" i="22"/>
  <c r="S37" i="22"/>
  <c r="O37" i="22"/>
  <c r="M37" i="22"/>
  <c r="AF36" i="22"/>
  <c r="AD36" i="22"/>
  <c r="O36" i="22"/>
  <c r="M36" i="22"/>
  <c r="AF35" i="22"/>
  <c r="AD35" i="22"/>
  <c r="O35" i="22"/>
  <c r="M35" i="22"/>
  <c r="AF34" i="22"/>
  <c r="AD34" i="22"/>
  <c r="S34" i="22"/>
  <c r="Q34" i="22"/>
  <c r="O34" i="22"/>
  <c r="M34" i="22"/>
  <c r="AF33" i="22"/>
  <c r="AD33" i="22"/>
  <c r="S33" i="22"/>
  <c r="Q33" i="22"/>
  <c r="O33" i="22"/>
  <c r="M33" i="22"/>
  <c r="AF32" i="22"/>
  <c r="AD32" i="22"/>
  <c r="O32" i="22"/>
  <c r="M32" i="22"/>
  <c r="AF31" i="22"/>
  <c r="AD31" i="22"/>
  <c r="S31" i="22"/>
  <c r="Q31" i="22"/>
  <c r="O31" i="22"/>
  <c r="M31" i="22"/>
  <c r="AF30" i="22"/>
  <c r="AD30" i="22"/>
  <c r="S30" i="22"/>
  <c r="O30" i="22"/>
  <c r="M30" i="22"/>
  <c r="AF29" i="22"/>
  <c r="AD29" i="22"/>
  <c r="S29" i="22"/>
  <c r="Q29" i="22"/>
  <c r="O29" i="22"/>
  <c r="M29" i="22"/>
  <c r="AF28" i="22"/>
  <c r="AD28" i="22"/>
  <c r="O28" i="22"/>
  <c r="M28" i="22"/>
  <c r="AF27" i="22"/>
  <c r="AD27" i="22"/>
  <c r="O27" i="22"/>
  <c r="M27" i="22"/>
  <c r="AF26" i="22"/>
  <c r="AD26" i="22"/>
  <c r="S26" i="22"/>
  <c r="O26" i="22"/>
  <c r="M26" i="22"/>
  <c r="AF25" i="22"/>
  <c r="AD25" i="22"/>
  <c r="O25" i="22"/>
  <c r="M25" i="22"/>
  <c r="AF24" i="22"/>
  <c r="AD24" i="22"/>
  <c r="S24" i="22"/>
  <c r="Q24" i="22"/>
  <c r="O24" i="22"/>
  <c r="M24" i="22"/>
  <c r="AF23" i="22"/>
  <c r="AD23" i="22"/>
  <c r="O23" i="22"/>
  <c r="M23" i="22"/>
  <c r="AF22" i="22"/>
  <c r="AD22" i="22"/>
  <c r="S22" i="22"/>
  <c r="Q22" i="22"/>
  <c r="O22" i="22"/>
  <c r="M22" i="22"/>
  <c r="AF21" i="22"/>
  <c r="AD21" i="22"/>
  <c r="S21" i="22"/>
  <c r="Q21" i="22"/>
  <c r="O21" i="22"/>
  <c r="AF20" i="22"/>
  <c r="AD20" i="22"/>
  <c r="S20" i="22"/>
  <c r="O20" i="22"/>
  <c r="AF19" i="22"/>
  <c r="AD19" i="22"/>
  <c r="S19" i="22"/>
  <c r="Q19" i="22"/>
  <c r="O19" i="22"/>
  <c r="AF18" i="22"/>
  <c r="AD18" i="22"/>
  <c r="S18" i="22"/>
  <c r="Q18" i="22"/>
  <c r="O18" i="22"/>
  <c r="AF17" i="22"/>
  <c r="AD17" i="22"/>
  <c r="S17" i="22"/>
  <c r="Q17" i="22"/>
  <c r="O17" i="22"/>
  <c r="AF16" i="22"/>
  <c r="AD16" i="22"/>
  <c r="S16" i="22"/>
  <c r="Q16" i="22"/>
  <c r="O16" i="22"/>
  <c r="AF15" i="22"/>
  <c r="AD15" i="22"/>
  <c r="O15" i="22"/>
  <c r="AF14" i="22"/>
  <c r="AD14" i="22"/>
  <c r="S14" i="22"/>
  <c r="Q14" i="22"/>
  <c r="O14" i="22"/>
  <c r="AF13" i="22"/>
  <c r="AD13" i="22"/>
  <c r="Q13" i="22"/>
  <c r="O13" i="22"/>
  <c r="AF12" i="22"/>
  <c r="AE12" i="22"/>
  <c r="AD12" i="22"/>
  <c r="Q12" i="22"/>
  <c r="O12" i="22"/>
  <c r="AF11" i="22"/>
  <c r="AE11" i="22"/>
  <c r="AD11" i="22"/>
  <c r="O11" i="22"/>
  <c r="AF10" i="22"/>
  <c r="AE10" i="22"/>
  <c r="AD10" i="22"/>
  <c r="Q10" i="22"/>
  <c r="O10" i="22"/>
  <c r="AF9" i="22"/>
  <c r="AE9" i="22"/>
  <c r="AD9" i="22"/>
  <c r="S9" i="22"/>
  <c r="Q9" i="22"/>
  <c r="O9" i="22"/>
  <c r="AF8" i="22"/>
  <c r="AE8" i="22"/>
  <c r="AD8" i="22"/>
  <c r="S8" i="22"/>
  <c r="Q8" i="22"/>
  <c r="O8" i="22"/>
  <c r="AF7" i="22"/>
  <c r="AE7" i="22"/>
  <c r="AD7" i="22"/>
  <c r="O7" i="22"/>
  <c r="AF6" i="22"/>
  <c r="AE6" i="22"/>
  <c r="AD6" i="22"/>
  <c r="S6" i="22"/>
  <c r="Q6" i="22"/>
  <c r="O6" i="22"/>
  <c r="AF5" i="22"/>
  <c r="AE5" i="22"/>
  <c r="AD5" i="22"/>
  <c r="AC5" i="22"/>
  <c r="AB5" i="22"/>
  <c r="X5" i="22"/>
  <c r="F90" i="19"/>
  <c r="E90" i="19"/>
  <c r="D90" i="19"/>
  <c r="C90" i="19"/>
  <c r="B90" i="19"/>
  <c r="F89" i="19"/>
  <c r="E89" i="19"/>
  <c r="D89" i="19"/>
  <c r="C89" i="19"/>
  <c r="B89" i="19"/>
  <c r="F88" i="19"/>
  <c r="E88" i="19"/>
  <c r="D88" i="19"/>
  <c r="C88" i="19"/>
  <c r="B88" i="19"/>
  <c r="B73" i="19" s="1"/>
  <c r="F87" i="19"/>
  <c r="E87" i="19"/>
  <c r="E72" i="19" s="1"/>
  <c r="D87" i="19"/>
  <c r="D72" i="19" s="1"/>
  <c r="C87" i="19"/>
  <c r="B87" i="19"/>
  <c r="F86" i="19"/>
  <c r="E86" i="19"/>
  <c r="D86" i="19"/>
  <c r="C86" i="19"/>
  <c r="B86" i="19"/>
  <c r="F85" i="19"/>
  <c r="E85" i="19"/>
  <c r="D85" i="19"/>
  <c r="D70" i="19" s="1"/>
  <c r="C85" i="19"/>
  <c r="B85" i="19"/>
  <c r="F84" i="19"/>
  <c r="E84" i="19"/>
  <c r="D84" i="19"/>
  <c r="C84" i="19"/>
  <c r="B84" i="19"/>
  <c r="F83" i="19"/>
  <c r="E83" i="19"/>
  <c r="D83" i="19"/>
  <c r="C83" i="19"/>
  <c r="B83" i="19"/>
  <c r="B68" i="19" s="1"/>
  <c r="F82" i="19"/>
  <c r="E82" i="19"/>
  <c r="D82" i="19"/>
  <c r="C82" i="19"/>
  <c r="B82" i="19"/>
  <c r="F81" i="19"/>
  <c r="E81" i="19"/>
  <c r="D81" i="19"/>
  <c r="C81" i="19"/>
  <c r="B81" i="19"/>
  <c r="G80" i="19"/>
  <c r="F80" i="19"/>
  <c r="F65" i="19" s="1"/>
  <c r="E80" i="19"/>
  <c r="E65" i="19" s="1"/>
  <c r="D80" i="19"/>
  <c r="C80" i="19"/>
  <c r="C65" i="19" s="1"/>
  <c r="B80" i="19"/>
  <c r="G79" i="19"/>
  <c r="F79" i="19"/>
  <c r="F64" i="19" s="1"/>
  <c r="E79" i="19"/>
  <c r="E64" i="19" s="1"/>
  <c r="D79" i="19"/>
  <c r="C79" i="19"/>
  <c r="B79"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C78" i="19"/>
  <c r="B78" i="19"/>
  <c r="F74" i="19"/>
  <c r="E74" i="19"/>
  <c r="C74" i="19"/>
  <c r="B74" i="19"/>
  <c r="D73" i="19"/>
  <c r="C70" i="19"/>
  <c r="F69" i="19"/>
  <c r="E69" i="19"/>
  <c r="D69" i="19"/>
  <c r="C69" i="19"/>
  <c r="B69" i="19"/>
  <c r="F67" i="19"/>
  <c r="G64" i="19"/>
  <c r="B64" i="19"/>
  <c r="AF62" i="19"/>
  <c r="AE62" i="19"/>
  <c r="AD62" i="19"/>
  <c r="AC62" i="19"/>
  <c r="AB62" i="19"/>
  <c r="AA62" i="19"/>
  <c r="Z62" i="19"/>
  <c r="Y62" i="19"/>
  <c r="X62" i="19"/>
  <c r="W62" i="19"/>
  <c r="V62" i="19"/>
  <c r="U62" i="19"/>
  <c r="T62" i="19"/>
  <c r="S62" i="19"/>
  <c r="R62" i="19"/>
  <c r="Q62" i="19"/>
  <c r="P62" i="19"/>
  <c r="O62" i="19"/>
  <c r="N62" i="19"/>
  <c r="M62" i="19"/>
  <c r="L62" i="19"/>
  <c r="K62" i="19"/>
  <c r="J62" i="19"/>
  <c r="I62" i="19"/>
  <c r="H62" i="19"/>
  <c r="G62" i="19"/>
  <c r="F62" i="19"/>
  <c r="E62" i="19"/>
  <c r="D62" i="19"/>
  <c r="C62" i="19"/>
  <c r="B62" i="19"/>
  <c r="E59" i="19"/>
  <c r="E8" i="19" s="1"/>
  <c r="F58" i="19"/>
  <c r="E58" i="19"/>
  <c r="D58" i="19"/>
  <c r="C58" i="19"/>
  <c r="B58" i="19"/>
  <c r="F57" i="19"/>
  <c r="E57" i="19"/>
  <c r="D57" i="19"/>
  <c r="C57" i="19"/>
  <c r="B57" i="19"/>
  <c r="F56" i="19"/>
  <c r="E56" i="19"/>
  <c r="D56" i="19"/>
  <c r="C56" i="19"/>
  <c r="C57" i="16" s="1"/>
  <c r="B56" i="19"/>
  <c r="F55" i="19"/>
  <c r="F56" i="16" s="1"/>
  <c r="E55" i="19"/>
  <c r="D55" i="19"/>
  <c r="D56" i="16" s="1"/>
  <c r="C55" i="19"/>
  <c r="C56" i="16" s="1"/>
  <c r="B55" i="19"/>
  <c r="B56" i="16" s="1"/>
  <c r="F54" i="19"/>
  <c r="E54" i="19"/>
  <c r="D54" i="19"/>
  <c r="C54" i="19"/>
  <c r="B54" i="19"/>
  <c r="F53" i="19"/>
  <c r="E53" i="19"/>
  <c r="D53" i="19"/>
  <c r="C53" i="19"/>
  <c r="B53" i="19"/>
  <c r="F52" i="19"/>
  <c r="E52" i="19"/>
  <c r="D52" i="19"/>
  <c r="C52" i="19"/>
  <c r="B52" i="19"/>
  <c r="F51" i="19"/>
  <c r="E51" i="19"/>
  <c r="D51" i="19"/>
  <c r="D52" i="16" s="1"/>
  <c r="C51" i="19"/>
  <c r="C52" i="16" s="1"/>
  <c r="B51" i="19"/>
  <c r="B52" i="16" s="1"/>
  <c r="F50" i="19"/>
  <c r="F51" i="16" s="1"/>
  <c r="E50" i="19"/>
  <c r="D50" i="19"/>
  <c r="C50" i="19"/>
  <c r="B50" i="19"/>
  <c r="F49" i="19"/>
  <c r="E49" i="19"/>
  <c r="D49" i="19"/>
  <c r="C49" i="19"/>
  <c r="B49" i="19"/>
  <c r="F48" i="19"/>
  <c r="E48" i="19"/>
  <c r="D48" i="19"/>
  <c r="C48" i="19"/>
  <c r="B48" i="19"/>
  <c r="G47" i="19"/>
  <c r="F47" i="19"/>
  <c r="E47" i="19"/>
  <c r="E48" i="16" s="1"/>
  <c r="D47" i="19"/>
  <c r="C47" i="19"/>
  <c r="B47" i="19"/>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G46" i="19"/>
  <c r="F46" i="19"/>
  <c r="E46" i="19"/>
  <c r="D46" i="19"/>
  <c r="C46" i="19"/>
  <c r="B46" i="19"/>
  <c r="AF42" i="19"/>
  <c r="AE42" i="19"/>
  <c r="AD42" i="19"/>
  <c r="AC42" i="19"/>
  <c r="AB42" i="19"/>
  <c r="Z42" i="19"/>
  <c r="Y42" i="19"/>
  <c r="X42" i="19"/>
  <c r="W42" i="19"/>
  <c r="V42" i="19"/>
  <c r="U42" i="19"/>
  <c r="T42" i="19"/>
  <c r="S42" i="19"/>
  <c r="F42" i="19"/>
  <c r="F43" i="16" s="1"/>
  <c r="E42" i="19"/>
  <c r="E43" i="16" s="1"/>
  <c r="D42" i="19"/>
  <c r="D43" i="16" s="1"/>
  <c r="C42" i="19"/>
  <c r="C43" i="16" s="1"/>
  <c r="B42" i="19"/>
  <c r="B43" i="16" s="1"/>
  <c r="AB41" i="19"/>
  <c r="AA41" i="19"/>
  <c r="Z41" i="19"/>
  <c r="Y41" i="19"/>
  <c r="X41" i="19"/>
  <c r="W41" i="19"/>
  <c r="V41" i="19"/>
  <c r="U41" i="19"/>
  <c r="T41" i="19"/>
  <c r="S41" i="19"/>
  <c r="F41" i="19"/>
  <c r="E41" i="19"/>
  <c r="E73" i="19" s="1"/>
  <c r="D41" i="19"/>
  <c r="C41" i="19"/>
  <c r="C73" i="19" s="1"/>
  <c r="B41" i="19"/>
  <c r="AB40" i="19"/>
  <c r="Z40" i="19"/>
  <c r="Y40" i="19"/>
  <c r="X40" i="19"/>
  <c r="W40" i="19"/>
  <c r="V40" i="19"/>
  <c r="U40" i="19"/>
  <c r="T40" i="19"/>
  <c r="S40" i="19"/>
  <c r="F40" i="19"/>
  <c r="E40" i="19"/>
  <c r="D40" i="19"/>
  <c r="C40" i="19"/>
  <c r="B40" i="19"/>
  <c r="AB39" i="19"/>
  <c r="Z39" i="19"/>
  <c r="Y39" i="19"/>
  <c r="X39" i="19"/>
  <c r="W39" i="19"/>
  <c r="V39" i="19"/>
  <c r="U39" i="19"/>
  <c r="T39" i="19"/>
  <c r="S39" i="19"/>
  <c r="F39" i="19"/>
  <c r="E39" i="19"/>
  <c r="D39" i="19"/>
  <c r="C39" i="19"/>
  <c r="B39" i="19"/>
  <c r="AB38" i="19"/>
  <c r="Z38" i="19"/>
  <c r="Y38" i="19"/>
  <c r="X38" i="19"/>
  <c r="W38" i="19"/>
  <c r="V38" i="19"/>
  <c r="U38" i="19"/>
  <c r="T38" i="19"/>
  <c r="S38" i="19"/>
  <c r="F38" i="19"/>
  <c r="E38" i="19"/>
  <c r="D38" i="19"/>
  <c r="C38" i="19"/>
  <c r="B38" i="19"/>
  <c r="AB37" i="19"/>
  <c r="AA37" i="19"/>
  <c r="Z37" i="19"/>
  <c r="Y37" i="19"/>
  <c r="X37" i="19"/>
  <c r="W37" i="19"/>
  <c r="V37" i="19"/>
  <c r="U37" i="19"/>
  <c r="T37" i="19"/>
  <c r="S37" i="19"/>
  <c r="F37" i="19"/>
  <c r="E37" i="19"/>
  <c r="D37" i="19"/>
  <c r="D38" i="16" s="1"/>
  <c r="C37" i="19"/>
  <c r="B37" i="19"/>
  <c r="AB36" i="19"/>
  <c r="AA36" i="19"/>
  <c r="Z36" i="19"/>
  <c r="Y36" i="19"/>
  <c r="X36" i="19"/>
  <c r="W36" i="19"/>
  <c r="V36" i="19"/>
  <c r="U36" i="19"/>
  <c r="T36" i="19"/>
  <c r="S36" i="19"/>
  <c r="F36" i="19"/>
  <c r="F37" i="16" s="1"/>
  <c r="E36" i="19"/>
  <c r="D36" i="19"/>
  <c r="C36" i="19"/>
  <c r="B36" i="19"/>
  <c r="AF35" i="19"/>
  <c r="AE35" i="19"/>
  <c r="AD35" i="19"/>
  <c r="AC35" i="19"/>
  <c r="AB35" i="19"/>
  <c r="Z35" i="19"/>
  <c r="Y35" i="19"/>
  <c r="X35" i="19"/>
  <c r="W35" i="19"/>
  <c r="V35" i="19"/>
  <c r="U35" i="19"/>
  <c r="T35" i="19"/>
  <c r="S35" i="19"/>
  <c r="F35" i="19"/>
  <c r="E35" i="19"/>
  <c r="D35" i="19"/>
  <c r="C35" i="19"/>
  <c r="C36" i="16" s="1"/>
  <c r="B35" i="19"/>
  <c r="Z34" i="19"/>
  <c r="Y34" i="19"/>
  <c r="X34" i="19"/>
  <c r="W34" i="19"/>
  <c r="V34" i="19"/>
  <c r="U34" i="19"/>
  <c r="T34" i="19"/>
  <c r="S34" i="19"/>
  <c r="F34" i="19"/>
  <c r="E34" i="19"/>
  <c r="D34" i="19"/>
  <c r="C34" i="19"/>
  <c r="B34" i="19"/>
  <c r="B66" i="19" s="1"/>
  <c r="Z33" i="19"/>
  <c r="Y33" i="19"/>
  <c r="X33" i="19"/>
  <c r="W33" i="19"/>
  <c r="V33" i="19"/>
  <c r="U33" i="19"/>
  <c r="T33" i="19"/>
  <c r="S33" i="19"/>
  <c r="F33" i="19"/>
  <c r="E33" i="19"/>
  <c r="D33" i="19"/>
  <c r="C33" i="19"/>
  <c r="B33" i="19"/>
  <c r="Z32" i="19"/>
  <c r="Y32" i="19"/>
  <c r="X32" i="19"/>
  <c r="W32" i="19"/>
  <c r="V32" i="19"/>
  <c r="U32" i="19"/>
  <c r="T32" i="19"/>
  <c r="S32" i="19"/>
  <c r="G32" i="19"/>
  <c r="F32" i="19"/>
  <c r="F33" i="16" s="1"/>
  <c r="E32" i="19"/>
  <c r="D32" i="19"/>
  <c r="C32" i="19"/>
  <c r="B32" i="19"/>
  <c r="Z31" i="19"/>
  <c r="Z43" i="19" s="1"/>
  <c r="Y31" i="19"/>
  <c r="X31" i="19"/>
  <c r="W31" i="19"/>
  <c r="V31" i="19"/>
  <c r="V43" i="19" s="1"/>
  <c r="AC239" i="12" s="1"/>
  <c r="U31" i="19"/>
  <c r="T31" i="19"/>
  <c r="S31" i="19"/>
  <c r="G31" i="19"/>
  <c r="F31" i="19"/>
  <c r="F63" i="19" s="1"/>
  <c r="E31" i="19"/>
  <c r="D31" i="19"/>
  <c r="C31" i="19"/>
  <c r="B31" i="19"/>
  <c r="AF30" i="19"/>
  <c r="AE30" i="19"/>
  <c r="AD30" i="19"/>
  <c r="AC30" i="19"/>
  <c r="AB30" i="19"/>
  <c r="AA30" i="19"/>
  <c r="Z30" i="19"/>
  <c r="Y30" i="19"/>
  <c r="X30" i="19"/>
  <c r="W30" i="19"/>
  <c r="V30" i="19"/>
  <c r="U30" i="19"/>
  <c r="T30" i="19"/>
  <c r="S30" i="19"/>
  <c r="R30" i="19"/>
  <c r="Q30" i="19"/>
  <c r="P30" i="19"/>
  <c r="O30" i="19"/>
  <c r="N30" i="19"/>
  <c r="M30" i="19"/>
  <c r="L30" i="19"/>
  <c r="K30" i="19"/>
  <c r="J30" i="19"/>
  <c r="I30" i="19"/>
  <c r="H30" i="19"/>
  <c r="G30" i="19"/>
  <c r="F30" i="19"/>
  <c r="E30" i="19"/>
  <c r="D30" i="19"/>
  <c r="C30" i="19"/>
  <c r="B30" i="19"/>
  <c r="F27" i="19"/>
  <c r="F5" i="19" s="1"/>
  <c r="F6" i="19" s="1"/>
  <c r="F26" i="19"/>
  <c r="E26" i="19"/>
  <c r="D26" i="19"/>
  <c r="C26" i="19"/>
  <c r="B26" i="19"/>
  <c r="F25" i="19"/>
  <c r="E25" i="19"/>
  <c r="D25" i="19"/>
  <c r="C25" i="19"/>
  <c r="B25" i="19"/>
  <c r="F24" i="19"/>
  <c r="E24" i="19"/>
  <c r="D24" i="19"/>
  <c r="C24" i="19"/>
  <c r="B24" i="19"/>
  <c r="F23" i="19"/>
  <c r="E23" i="19"/>
  <c r="E24" i="16" s="1"/>
  <c r="D23" i="19"/>
  <c r="C23" i="19"/>
  <c r="B23" i="19"/>
  <c r="F22" i="19"/>
  <c r="E22" i="19"/>
  <c r="D22" i="19"/>
  <c r="D23" i="16" s="1"/>
  <c r="C22" i="19"/>
  <c r="B22" i="19"/>
  <c r="B70" i="19" s="1"/>
  <c r="F21" i="19"/>
  <c r="E21" i="19"/>
  <c r="D21" i="19"/>
  <c r="C21" i="19"/>
  <c r="B21" i="19"/>
  <c r="F20" i="19"/>
  <c r="E20" i="19"/>
  <c r="D20" i="19"/>
  <c r="C20" i="19"/>
  <c r="B20" i="19"/>
  <c r="F19" i="19"/>
  <c r="E19" i="19"/>
  <c r="D19" i="19"/>
  <c r="C19" i="19"/>
  <c r="C20" i="16" s="1"/>
  <c r="B19" i="19"/>
  <c r="F18" i="19"/>
  <c r="F19" i="16" s="1"/>
  <c r="E18" i="19"/>
  <c r="D18" i="19"/>
  <c r="C18" i="19"/>
  <c r="B18" i="19"/>
  <c r="F17" i="19"/>
  <c r="E17" i="19"/>
  <c r="D17" i="19"/>
  <c r="D65" i="19" s="1"/>
  <c r="C17" i="19"/>
  <c r="B17" i="19"/>
  <c r="B65" i="19" s="1"/>
  <c r="G16" i="19"/>
  <c r="F16" i="19"/>
  <c r="E16" i="19"/>
  <c r="D16" i="19"/>
  <c r="C16" i="19"/>
  <c r="B16" i="19"/>
  <c r="G15" i="19"/>
  <c r="F15" i="19"/>
  <c r="E15" i="19"/>
  <c r="D15" i="19"/>
  <c r="C15" i="19"/>
  <c r="B15" i="19"/>
  <c r="AF14" i="19"/>
  <c r="AE14" i="19"/>
  <c r="AD14" i="19"/>
  <c r="AC14" i="19"/>
  <c r="AB14" i="19"/>
  <c r="AA14" i="19"/>
  <c r="Z14" i="19"/>
  <c r="Y14" i="19"/>
  <c r="X14" i="19"/>
  <c r="W14" i="19"/>
  <c r="V14" i="19"/>
  <c r="U14" i="19"/>
  <c r="T14" i="19"/>
  <c r="S14" i="19"/>
  <c r="R14" i="19"/>
  <c r="Q14" i="19"/>
  <c r="P14" i="19"/>
  <c r="O14" i="19"/>
  <c r="N14" i="19"/>
  <c r="M14" i="19"/>
  <c r="L14" i="19"/>
  <c r="K14" i="19"/>
  <c r="J14" i="19"/>
  <c r="I14" i="19"/>
  <c r="H14" i="19"/>
  <c r="G14" i="19"/>
  <c r="F14" i="19"/>
  <c r="E14" i="19"/>
  <c r="D14" i="19"/>
  <c r="C14" i="19"/>
  <c r="B14" i="19"/>
  <c r="F11" i="19"/>
  <c r="E11" i="19"/>
  <c r="F4" i="19" s="1"/>
  <c r="D11" i="19"/>
  <c r="C11" i="19"/>
  <c r="D4" i="19" s="1"/>
  <c r="B11" i="19"/>
  <c r="E4" i="19"/>
  <c r="C4" i="19"/>
  <c r="F89" i="18"/>
  <c r="F10" i="18" s="1"/>
  <c r="E89" i="18"/>
  <c r="E10" i="18" s="1"/>
  <c r="D89" i="18"/>
  <c r="D10" i="18" s="1"/>
  <c r="C89" i="18"/>
  <c r="C10" i="18" s="1"/>
  <c r="B89" i="18"/>
  <c r="B10" i="18" s="1"/>
  <c r="F88" i="18"/>
  <c r="E88" i="18"/>
  <c r="D88" i="18"/>
  <c r="D73" i="18" s="1"/>
  <c r="C88" i="18"/>
  <c r="C73" i="18" s="1"/>
  <c r="B88" i="18"/>
  <c r="F87" i="18"/>
  <c r="E87" i="18"/>
  <c r="D87" i="18"/>
  <c r="C87" i="18"/>
  <c r="C72" i="18" s="1"/>
  <c r="B87" i="18"/>
  <c r="F86" i="18"/>
  <c r="E86" i="18"/>
  <c r="D86" i="18"/>
  <c r="C86" i="18"/>
  <c r="B86" i="18"/>
  <c r="F85" i="18"/>
  <c r="E85" i="18"/>
  <c r="D85" i="18"/>
  <c r="C85" i="18"/>
  <c r="B85" i="18"/>
  <c r="B70" i="18" s="1"/>
  <c r="F84" i="18"/>
  <c r="E84" i="18"/>
  <c r="D84" i="18"/>
  <c r="D69" i="18" s="1"/>
  <c r="C84" i="18"/>
  <c r="B84" i="18"/>
  <c r="B69" i="18" s="1"/>
  <c r="F83" i="18"/>
  <c r="F68" i="18" s="1"/>
  <c r="E83" i="18"/>
  <c r="E68" i="18" s="1"/>
  <c r="D83" i="18"/>
  <c r="D68" i="18" s="1"/>
  <c r="C83" i="18"/>
  <c r="B83" i="18"/>
  <c r="F82" i="18"/>
  <c r="E82" i="18"/>
  <c r="D82" i="18"/>
  <c r="C82" i="18"/>
  <c r="B82" i="18"/>
  <c r="F81" i="18"/>
  <c r="E81" i="18"/>
  <c r="D81" i="18"/>
  <c r="C81" i="18"/>
  <c r="B81" i="18"/>
  <c r="F80" i="18"/>
  <c r="E80" i="18"/>
  <c r="D80" i="18"/>
  <c r="C80" i="18"/>
  <c r="B80" i="18"/>
  <c r="G79" i="18"/>
  <c r="F79" i="18"/>
  <c r="E79" i="18"/>
  <c r="E64" i="18" s="1"/>
  <c r="D79" i="18"/>
  <c r="C79" i="18"/>
  <c r="B79" i="18"/>
  <c r="G78" i="18"/>
  <c r="F78" i="18"/>
  <c r="E78" i="18"/>
  <c r="D78" i="18"/>
  <c r="C78" i="18"/>
  <c r="B78"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C77" i="18"/>
  <c r="B77" i="18"/>
  <c r="F73" i="18"/>
  <c r="B72" i="18"/>
  <c r="E71" i="18"/>
  <c r="D71" i="18"/>
  <c r="C71" i="18"/>
  <c r="B71" i="18"/>
  <c r="F70" i="18"/>
  <c r="E70" i="18"/>
  <c r="D70" i="18"/>
  <c r="F69" i="18"/>
  <c r="F66" i="18"/>
  <c r="D66" i="18"/>
  <c r="C66" i="18"/>
  <c r="B66" i="18"/>
  <c r="G62" i="18"/>
  <c r="F62" i="18"/>
  <c r="C62"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F57" i="18"/>
  <c r="E57" i="18"/>
  <c r="D57" i="18"/>
  <c r="C57" i="18"/>
  <c r="C59" i="16" s="1"/>
  <c r="B57" i="18"/>
  <c r="B59" i="16" s="1"/>
  <c r="F56" i="18"/>
  <c r="F58" i="16" s="1"/>
  <c r="E56" i="18"/>
  <c r="E58" i="16" s="1"/>
  <c r="D56" i="18"/>
  <c r="D58" i="16" s="1"/>
  <c r="C56" i="18"/>
  <c r="B56" i="18"/>
  <c r="F55" i="18"/>
  <c r="F57" i="16" s="1"/>
  <c r="E55" i="18"/>
  <c r="E57" i="16" s="1"/>
  <c r="D55" i="18"/>
  <c r="D57" i="16" s="1"/>
  <c r="C55" i="18"/>
  <c r="B55" i="18"/>
  <c r="F54" i="18"/>
  <c r="E54" i="18"/>
  <c r="D54" i="18"/>
  <c r="C54" i="18"/>
  <c r="B54" i="18"/>
  <c r="F53" i="18"/>
  <c r="E53" i="18"/>
  <c r="D53" i="18"/>
  <c r="C53" i="18"/>
  <c r="B53" i="18"/>
  <c r="F52" i="18"/>
  <c r="F54" i="16" s="1"/>
  <c r="E52" i="18"/>
  <c r="E54" i="16" s="1"/>
  <c r="D52" i="18"/>
  <c r="D54" i="16" s="1"/>
  <c r="C52" i="18"/>
  <c r="C54" i="16" s="1"/>
  <c r="B52" i="18"/>
  <c r="F51" i="18"/>
  <c r="F53" i="16" s="1"/>
  <c r="E51" i="18"/>
  <c r="E53" i="16" s="1"/>
  <c r="D51" i="18"/>
  <c r="D53" i="16" s="1"/>
  <c r="C51" i="18"/>
  <c r="B51" i="18"/>
  <c r="B53" i="16" s="1"/>
  <c r="F50" i="18"/>
  <c r="E50" i="18"/>
  <c r="D50" i="18"/>
  <c r="C50" i="18"/>
  <c r="B50" i="18"/>
  <c r="F49" i="18"/>
  <c r="E49" i="18"/>
  <c r="D49" i="18"/>
  <c r="C49" i="18"/>
  <c r="B49" i="18"/>
  <c r="F48" i="18"/>
  <c r="F50" i="16" s="1"/>
  <c r="E48" i="18"/>
  <c r="E50" i="16" s="1"/>
  <c r="D48" i="18"/>
  <c r="C48" i="18"/>
  <c r="C50" i="16" s="1"/>
  <c r="B48" i="18"/>
  <c r="G47" i="18"/>
  <c r="F47" i="18"/>
  <c r="F49" i="16" s="1"/>
  <c r="E47" i="18"/>
  <c r="D47" i="18"/>
  <c r="C47" i="18"/>
  <c r="B47" i="18"/>
  <c r="G46" i="18"/>
  <c r="G48" i="16" s="1"/>
  <c r="F46" i="18"/>
  <c r="E46" i="18"/>
  <c r="D46" i="18"/>
  <c r="C46" i="18"/>
  <c r="B46" i="18"/>
  <c r="AF45" i="18"/>
  <c r="AE45" i="18"/>
  <c r="AD45" i="18"/>
  <c r="AC45" i="18"/>
  <c r="AB45" i="18"/>
  <c r="AA45" i="18"/>
  <c r="Z45" i="18"/>
  <c r="Y45" i="18"/>
  <c r="X45" i="18"/>
  <c r="W45" i="18"/>
  <c r="V45" i="18"/>
  <c r="U45" i="18"/>
  <c r="T45" i="18"/>
  <c r="S45" i="18"/>
  <c r="R45" i="18"/>
  <c r="Q45" i="18"/>
  <c r="P45" i="18"/>
  <c r="O45" i="18"/>
  <c r="N45" i="18"/>
  <c r="M45" i="18"/>
  <c r="L45" i="18"/>
  <c r="K45" i="18"/>
  <c r="J45" i="18"/>
  <c r="I45" i="18"/>
  <c r="H45" i="18"/>
  <c r="G45" i="18"/>
  <c r="F45" i="18"/>
  <c r="E45" i="18"/>
  <c r="D45" i="18"/>
  <c r="C45" i="18"/>
  <c r="B45" i="18"/>
  <c r="AI41" i="18"/>
  <c r="AA42" i="19" s="1"/>
  <c r="F41" i="18"/>
  <c r="E41" i="18"/>
  <c r="D41" i="18"/>
  <c r="C41" i="18"/>
  <c r="B41" i="18"/>
  <c r="AI40" i="18"/>
  <c r="F40" i="18"/>
  <c r="E40" i="18"/>
  <c r="D40" i="18"/>
  <c r="C40" i="18"/>
  <c r="B40" i="18"/>
  <c r="F39" i="18"/>
  <c r="E39" i="18"/>
  <c r="D39" i="18"/>
  <c r="D41" i="16" s="1"/>
  <c r="C39" i="18"/>
  <c r="C41" i="16" s="1"/>
  <c r="B39" i="18"/>
  <c r="F38" i="18"/>
  <c r="F40" i="16" s="1"/>
  <c r="E38" i="18"/>
  <c r="D38" i="18"/>
  <c r="C38" i="18"/>
  <c r="B38" i="18"/>
  <c r="AI38" i="18" s="1"/>
  <c r="AA39" i="19" s="1"/>
  <c r="AI37" i="18"/>
  <c r="AA38" i="19" s="1"/>
  <c r="F37" i="18"/>
  <c r="E37" i="18"/>
  <c r="D37" i="18"/>
  <c r="C37" i="18"/>
  <c r="B37" i="18"/>
  <c r="B39" i="16" s="1"/>
  <c r="F36" i="18"/>
  <c r="E36" i="18"/>
  <c r="D36" i="18"/>
  <c r="C36" i="18"/>
  <c r="AI36" i="18" s="1"/>
  <c r="B36" i="18"/>
  <c r="AI35" i="18"/>
  <c r="F35" i="18"/>
  <c r="E35" i="18"/>
  <c r="D35" i="18"/>
  <c r="C35" i="18"/>
  <c r="B35" i="18"/>
  <c r="F34" i="18"/>
  <c r="E34" i="18"/>
  <c r="D34" i="18"/>
  <c r="AI34" i="18" s="1"/>
  <c r="AA35" i="19" s="1"/>
  <c r="C34" i="18"/>
  <c r="B34" i="18"/>
  <c r="F33" i="18"/>
  <c r="E33" i="18"/>
  <c r="D33" i="18"/>
  <c r="C33" i="18"/>
  <c r="B33" i="18"/>
  <c r="AI32" i="18"/>
  <c r="F32" i="18"/>
  <c r="E32" i="18"/>
  <c r="D32" i="18"/>
  <c r="C32" i="18"/>
  <c r="B32" i="18"/>
  <c r="G31" i="18"/>
  <c r="G63" i="18" s="1"/>
  <c r="F31" i="18"/>
  <c r="F42" i="18" s="1"/>
  <c r="F7" i="18" s="1"/>
  <c r="E31" i="18"/>
  <c r="D31" i="18"/>
  <c r="C31" i="18"/>
  <c r="B31" i="18"/>
  <c r="AI30" i="18"/>
  <c r="G30" i="18"/>
  <c r="F30" i="18"/>
  <c r="E30" i="18"/>
  <c r="D30" i="18"/>
  <c r="C30" i="18"/>
  <c r="B30" i="18"/>
  <c r="AF29" i="18"/>
  <c r="AE29" i="18"/>
  <c r="AD29" i="18"/>
  <c r="AC29" i="18"/>
  <c r="AB29" i="18"/>
  <c r="AA29" i="18"/>
  <c r="Z29" i="18"/>
  <c r="Y29" i="18"/>
  <c r="X29" i="18"/>
  <c r="W29" i="18"/>
  <c r="V29" i="18"/>
  <c r="U29" i="18"/>
  <c r="T29" i="18"/>
  <c r="S29" i="18"/>
  <c r="R29" i="18"/>
  <c r="Q29" i="18"/>
  <c r="P29" i="18"/>
  <c r="O29" i="18"/>
  <c r="N29" i="18"/>
  <c r="M29" i="18"/>
  <c r="L29" i="18"/>
  <c r="K29" i="18"/>
  <c r="J29" i="18"/>
  <c r="I29" i="18"/>
  <c r="H29" i="18"/>
  <c r="G29" i="18"/>
  <c r="F29" i="18"/>
  <c r="E29" i="18"/>
  <c r="D29" i="18"/>
  <c r="C29" i="18"/>
  <c r="B29" i="18"/>
  <c r="F25" i="18"/>
  <c r="E25" i="18"/>
  <c r="E27" i="16" s="1"/>
  <c r="D25" i="18"/>
  <c r="D27" i="16" s="1"/>
  <c r="D75" i="16" s="1"/>
  <c r="D123" i="16" s="1"/>
  <c r="C25" i="18"/>
  <c r="C27" i="16" s="1"/>
  <c r="B25" i="18"/>
  <c r="F24" i="18"/>
  <c r="E24" i="18"/>
  <c r="D24" i="18"/>
  <c r="C24" i="18"/>
  <c r="B24" i="18"/>
  <c r="AW23" i="18"/>
  <c r="AP23" i="18"/>
  <c r="F23" i="18"/>
  <c r="E23" i="18"/>
  <c r="D23" i="18"/>
  <c r="C23" i="18"/>
  <c r="B23" i="18"/>
  <c r="AY22" i="18"/>
  <c r="AX22" i="18"/>
  <c r="AW22" i="18"/>
  <c r="AV22" i="18"/>
  <c r="AU22" i="18"/>
  <c r="AT22" i="18"/>
  <c r="F22" i="18"/>
  <c r="E22" i="18"/>
  <c r="D22" i="18"/>
  <c r="AL16" i="18" s="1"/>
  <c r="C22" i="18"/>
  <c r="C70" i="18" s="1"/>
  <c r="B22" i="18"/>
  <c r="AW21" i="18"/>
  <c r="AV21" i="18"/>
  <c r="AT21" i="18"/>
  <c r="F21" i="18"/>
  <c r="E21" i="18"/>
  <c r="D21" i="18"/>
  <c r="C21" i="18"/>
  <c r="C23" i="16" s="1"/>
  <c r="B21" i="18"/>
  <c r="AX20" i="18"/>
  <c r="AW20" i="18"/>
  <c r="AV20" i="18"/>
  <c r="AP20" i="18"/>
  <c r="AO20" i="18"/>
  <c r="F20" i="18"/>
  <c r="AN16" i="18" s="1"/>
  <c r="E20" i="18"/>
  <c r="D20" i="18"/>
  <c r="C20" i="18"/>
  <c r="B20" i="18"/>
  <c r="F19" i="18"/>
  <c r="F21" i="16" s="1"/>
  <c r="E19" i="18"/>
  <c r="D19" i="18"/>
  <c r="C19" i="18"/>
  <c r="B19" i="18"/>
  <c r="AO18" i="18"/>
  <c r="F18" i="18"/>
  <c r="E18" i="18"/>
  <c r="E66" i="18" s="1"/>
  <c r="D18" i="18"/>
  <c r="C18" i="18"/>
  <c r="B18" i="18"/>
  <c r="AY17" i="18"/>
  <c r="AX17" i="18"/>
  <c r="AW17" i="18"/>
  <c r="AV17" i="18"/>
  <c r="AU17" i="18"/>
  <c r="AT17" i="18"/>
  <c r="AS17" i="18"/>
  <c r="AR17" i="18"/>
  <c r="AQ17" i="18"/>
  <c r="AP17" i="18"/>
  <c r="AO17" i="18"/>
  <c r="F17" i="18"/>
  <c r="E17" i="18"/>
  <c r="D17" i="18"/>
  <c r="C17" i="18"/>
  <c r="B17" i="18"/>
  <c r="AY16" i="18"/>
  <c r="AX16" i="18"/>
  <c r="AY23" i="18" s="1"/>
  <c r="AW16" i="18"/>
  <c r="AV16" i="18"/>
  <c r="AV23" i="18" s="1"/>
  <c r="AU16" i="18"/>
  <c r="AU23" i="18" s="1"/>
  <c r="AT16" i="18"/>
  <c r="AS16" i="18"/>
  <c r="AR16" i="18"/>
  <c r="AQ16" i="18"/>
  <c r="AQ21" i="18" s="1"/>
  <c r="AP16" i="18"/>
  <c r="AP21" i="18" s="1"/>
  <c r="AO16" i="18"/>
  <c r="AO21" i="18" s="1"/>
  <c r="F16" i="18"/>
  <c r="F18" i="16" s="1"/>
  <c r="F66" i="16" s="1"/>
  <c r="E16" i="18"/>
  <c r="D16" i="18"/>
  <c r="D18" i="16" s="1"/>
  <c r="D66" i="16" s="1"/>
  <c r="C16" i="18"/>
  <c r="C18" i="16" s="1"/>
  <c r="C66" i="16" s="1"/>
  <c r="B16" i="18"/>
  <c r="B18" i="16" s="1"/>
  <c r="AY15" i="18"/>
  <c r="AY21" i="18" s="1"/>
  <c r="AX15" i="18"/>
  <c r="AW15" i="18"/>
  <c r="AV15" i="18"/>
  <c r="AU15" i="18"/>
  <c r="AT15" i="18"/>
  <c r="AS15" i="18"/>
  <c r="AR15" i="18"/>
  <c r="AQ15" i="18"/>
  <c r="AQ20" i="18" s="1"/>
  <c r="AP15" i="18"/>
  <c r="AO15" i="18"/>
  <c r="G15" i="18"/>
  <c r="F15" i="18"/>
  <c r="E15" i="18"/>
  <c r="D15" i="18"/>
  <c r="D17" i="16" s="1"/>
  <c r="C15" i="18"/>
  <c r="C17" i="16" s="1"/>
  <c r="B15" i="18"/>
  <c r="AY14" i="18"/>
  <c r="AY18" i="18" s="1"/>
  <c r="AX14" i="18"/>
  <c r="AX18" i="18" s="1"/>
  <c r="AW14" i="18"/>
  <c r="AW18" i="18" s="1"/>
  <c r="AX24" i="18" s="1"/>
  <c r="AV14" i="18"/>
  <c r="AV18" i="18" s="1"/>
  <c r="AU14" i="18"/>
  <c r="AU18" i="18" s="1"/>
  <c r="AT14" i="18"/>
  <c r="AT18" i="18" s="1"/>
  <c r="AS14" i="18"/>
  <c r="AR14" i="18"/>
  <c r="AQ14" i="18"/>
  <c r="AP14" i="18"/>
  <c r="AP18" i="18" s="1"/>
  <c r="AO14" i="18"/>
  <c r="AM14" i="18"/>
  <c r="G14" i="18"/>
  <c r="F14" i="18"/>
  <c r="E14" i="18"/>
  <c r="D14" i="18"/>
  <c r="C14" i="18"/>
  <c r="B14" i="18"/>
  <c r="AF13" i="18"/>
  <c r="AE13" i="18"/>
  <c r="AD13" i="18"/>
  <c r="AC13" i="18"/>
  <c r="AB13" i="18"/>
  <c r="AA13" i="18"/>
  <c r="Z13" i="18"/>
  <c r="Y13" i="18"/>
  <c r="X13" i="18"/>
  <c r="W13" i="18"/>
  <c r="V13" i="18"/>
  <c r="U13" i="18"/>
  <c r="T13" i="18"/>
  <c r="S13" i="18"/>
  <c r="R13" i="18"/>
  <c r="Q13" i="18"/>
  <c r="P13" i="18"/>
  <c r="O13" i="18"/>
  <c r="N13" i="18"/>
  <c r="M13" i="18"/>
  <c r="L13" i="18"/>
  <c r="K13" i="18"/>
  <c r="J13" i="18"/>
  <c r="I13" i="18"/>
  <c r="H13" i="18"/>
  <c r="G13" i="18"/>
  <c r="F13" i="18"/>
  <c r="E13" i="18"/>
  <c r="D13" i="18"/>
  <c r="C13" i="18"/>
  <c r="B13" i="18"/>
  <c r="AF4" i="18"/>
  <c r="AE4" i="18"/>
  <c r="AD4" i="18"/>
  <c r="AC4" i="18"/>
  <c r="AB4" i="18"/>
  <c r="AA4" i="18"/>
  <c r="Z4" i="18"/>
  <c r="Y4" i="18"/>
  <c r="X4" i="18"/>
  <c r="W4" i="18"/>
  <c r="V4" i="18"/>
  <c r="U4" i="18"/>
  <c r="T4" i="18"/>
  <c r="S4" i="18"/>
  <c r="R4" i="18"/>
  <c r="Q4" i="18"/>
  <c r="P4" i="18"/>
  <c r="O4" i="18"/>
  <c r="N4" i="18"/>
  <c r="M4" i="18"/>
  <c r="L4" i="18"/>
  <c r="K4" i="18"/>
  <c r="J4" i="18"/>
  <c r="I4" i="18"/>
  <c r="H4" i="18"/>
  <c r="G4" i="18"/>
  <c r="F4" i="18"/>
  <c r="E4" i="18"/>
  <c r="D4" i="18"/>
  <c r="C4" i="18"/>
  <c r="F120" i="16"/>
  <c r="E120"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C111" i="16"/>
  <c r="B111"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C95" i="16"/>
  <c r="B95" i="16"/>
  <c r="F91" i="16"/>
  <c r="E91" i="16"/>
  <c r="D91" i="16"/>
  <c r="C91" i="16"/>
  <c r="C12" i="16" s="1"/>
  <c r="B91" i="16"/>
  <c r="F90" i="16"/>
  <c r="E90" i="16"/>
  <c r="D90" i="16"/>
  <c r="C90" i="16"/>
  <c r="C75" i="16" s="1"/>
  <c r="C123" i="16" s="1"/>
  <c r="B90" i="16"/>
  <c r="F89" i="16"/>
  <c r="E89" i="16"/>
  <c r="D89" i="16"/>
  <c r="C89" i="16"/>
  <c r="B89" i="16"/>
  <c r="F88" i="16"/>
  <c r="E88" i="16"/>
  <c r="D88" i="16"/>
  <c r="C88" i="16"/>
  <c r="B88" i="16"/>
  <c r="F87" i="16"/>
  <c r="F72" i="16" s="1"/>
  <c r="E87" i="16"/>
  <c r="E72" i="16" s="1"/>
  <c r="D87" i="16"/>
  <c r="C87" i="16"/>
  <c r="B87" i="16"/>
  <c r="F86" i="16"/>
  <c r="E86" i="16"/>
  <c r="D86" i="16"/>
  <c r="D71" i="16" s="1"/>
  <c r="C86" i="16"/>
  <c r="B86" i="16"/>
  <c r="F85" i="16"/>
  <c r="F70" i="16" s="1"/>
  <c r="E85" i="16"/>
  <c r="E70" i="16" s="1"/>
  <c r="D85" i="16"/>
  <c r="C85" i="16"/>
  <c r="B85" i="16"/>
  <c r="F84" i="16"/>
  <c r="E84" i="16"/>
  <c r="D84" i="16"/>
  <c r="C84" i="16"/>
  <c r="B84" i="16"/>
  <c r="F83" i="16"/>
  <c r="E83" i="16"/>
  <c r="D83" i="16"/>
  <c r="C83" i="16"/>
  <c r="B83" i="16"/>
  <c r="F82" i="16"/>
  <c r="E82" i="16"/>
  <c r="D82" i="16"/>
  <c r="C82" i="16"/>
  <c r="B82" i="16"/>
  <c r="F81" i="16"/>
  <c r="E81" i="16"/>
  <c r="D81" i="16"/>
  <c r="C81" i="16"/>
  <c r="B81" i="16"/>
  <c r="F80" i="16"/>
  <c r="E80" i="16"/>
  <c r="D80" i="16"/>
  <c r="C80" i="16"/>
  <c r="B80"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B79" i="16"/>
  <c r="E75" i="16"/>
  <c r="E123" i="16" s="1"/>
  <c r="E73" i="16"/>
  <c r="D73" i="16"/>
  <c r="AF63" i="16"/>
  <c r="AE63" i="16"/>
  <c r="AD63" i="16"/>
  <c r="AC63" i="16"/>
  <c r="AB63" i="16"/>
  <c r="AA63" i="16"/>
  <c r="Z63" i="16"/>
  <c r="Y63" i="16"/>
  <c r="X63" i="16"/>
  <c r="W63" i="16"/>
  <c r="V63" i="16"/>
  <c r="U63" i="16"/>
  <c r="T63" i="16"/>
  <c r="S63" i="16"/>
  <c r="R63" i="16"/>
  <c r="Q63" i="16"/>
  <c r="P63" i="16"/>
  <c r="O63" i="16"/>
  <c r="N63" i="16"/>
  <c r="M63" i="16"/>
  <c r="L63" i="16"/>
  <c r="K63" i="16"/>
  <c r="J63" i="16"/>
  <c r="I63" i="16"/>
  <c r="H63" i="16"/>
  <c r="G63" i="16"/>
  <c r="F63" i="16"/>
  <c r="E63" i="16"/>
  <c r="D63" i="16"/>
  <c r="C63" i="16"/>
  <c r="B63" i="16"/>
  <c r="E60" i="16"/>
  <c r="E9" i="16" s="1"/>
  <c r="F59" i="16"/>
  <c r="F75" i="16" s="1"/>
  <c r="F123" i="16" s="1"/>
  <c r="E59" i="16"/>
  <c r="D59" i="16"/>
  <c r="C58" i="16"/>
  <c r="B58" i="16"/>
  <c r="B57" i="16"/>
  <c r="E56" i="16"/>
  <c r="F55" i="16"/>
  <c r="E55" i="16"/>
  <c r="D55" i="16"/>
  <c r="C55" i="16"/>
  <c r="B55" i="16"/>
  <c r="C53" i="16"/>
  <c r="F52" i="16"/>
  <c r="E52" i="16"/>
  <c r="E51" i="16"/>
  <c r="D51" i="16"/>
  <c r="C51" i="16"/>
  <c r="B51" i="16"/>
  <c r="D50" i="16"/>
  <c r="G49" i="16"/>
  <c r="E49" i="16"/>
  <c r="C49" i="16"/>
  <c r="B49" i="16"/>
  <c r="F48" i="16"/>
  <c r="D48" i="16"/>
  <c r="AF47" i="16"/>
  <c r="AE47" i="16"/>
  <c r="AD47" i="16"/>
  <c r="AC47" i="16"/>
  <c r="AB47" i="16"/>
  <c r="AA47" i="16"/>
  <c r="Z47" i="16"/>
  <c r="Y47" i="16"/>
  <c r="X47" i="16"/>
  <c r="W47" i="16"/>
  <c r="V47" i="16"/>
  <c r="U47" i="16"/>
  <c r="T47" i="16"/>
  <c r="S47" i="16"/>
  <c r="R47" i="16"/>
  <c r="Q47" i="16"/>
  <c r="P47" i="16"/>
  <c r="O47" i="16"/>
  <c r="N47" i="16"/>
  <c r="M47" i="16"/>
  <c r="L47" i="16"/>
  <c r="K47" i="16"/>
  <c r="J47" i="16"/>
  <c r="I47" i="16"/>
  <c r="H47" i="16"/>
  <c r="G47" i="16"/>
  <c r="F47" i="16"/>
  <c r="E47" i="16"/>
  <c r="D47" i="16"/>
  <c r="C47" i="16"/>
  <c r="B47" i="16"/>
  <c r="F42" i="16"/>
  <c r="E42" i="16"/>
  <c r="D42" i="16"/>
  <c r="C42" i="16"/>
  <c r="B42" i="16"/>
  <c r="F41" i="16"/>
  <c r="E41" i="16"/>
  <c r="E40" i="16"/>
  <c r="C40" i="16"/>
  <c r="F39" i="16"/>
  <c r="E39" i="16"/>
  <c r="D39" i="16"/>
  <c r="C39" i="16"/>
  <c r="F38" i="16"/>
  <c r="E38" i="16"/>
  <c r="C38" i="16"/>
  <c r="B38" i="16"/>
  <c r="B37" i="16"/>
  <c r="F36" i="16"/>
  <c r="E36" i="16"/>
  <c r="D36" i="16"/>
  <c r="B36" i="16"/>
  <c r="B35" i="16"/>
  <c r="B99" i="16" s="1"/>
  <c r="F34" i="16"/>
  <c r="E34" i="16"/>
  <c r="D34" i="16"/>
  <c r="C34" i="16"/>
  <c r="B34" i="16"/>
  <c r="AK33" i="16"/>
  <c r="AB32" i="19" s="1"/>
  <c r="G33" i="16"/>
  <c r="B33" i="16"/>
  <c r="AL32" i="16"/>
  <c r="AC31" i="19" s="1"/>
  <c r="AK32" i="16"/>
  <c r="AB31" i="19" s="1"/>
  <c r="G32" i="16"/>
  <c r="F32" i="16"/>
  <c r="E32" i="16"/>
  <c r="D32" i="16"/>
  <c r="C32" i="16"/>
  <c r="B32" i="16"/>
  <c r="AK31" i="16"/>
  <c r="AK35" i="16" s="1"/>
  <c r="AB34" i="19" s="1"/>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AP34" i="16" s="1"/>
  <c r="F31" i="16"/>
  <c r="E31" i="16"/>
  <c r="D31" i="16"/>
  <c r="C31" i="16"/>
  <c r="B31" i="16"/>
  <c r="AK34" i="16" s="1"/>
  <c r="AB33" i="19" s="1"/>
  <c r="F27" i="16"/>
  <c r="F26" i="16"/>
  <c r="E26" i="16"/>
  <c r="AN18" i="16" s="1"/>
  <c r="D26" i="16"/>
  <c r="D74" i="16" s="1"/>
  <c r="C26" i="16"/>
  <c r="B26" i="16"/>
  <c r="B74" i="16" s="1"/>
  <c r="E25" i="16"/>
  <c r="D25" i="16"/>
  <c r="AM18" i="16" s="1"/>
  <c r="B25" i="16"/>
  <c r="F24" i="16"/>
  <c r="F22" i="16"/>
  <c r="E22" i="16"/>
  <c r="D22" i="16"/>
  <c r="B22" i="16"/>
  <c r="F20" i="16"/>
  <c r="F68" i="16" s="1"/>
  <c r="E20" i="16"/>
  <c r="D20" i="16"/>
  <c r="D68" i="16" s="1"/>
  <c r="B19" i="16"/>
  <c r="E18" i="16"/>
  <c r="G17" i="16"/>
  <c r="E17" i="16"/>
  <c r="G16" i="16"/>
  <c r="F16" i="16"/>
  <c r="E16" i="16"/>
  <c r="D16" i="16"/>
  <c r="C16" i="16"/>
  <c r="AF15" i="16"/>
  <c r="AE15" i="16"/>
  <c r="AD15" i="16"/>
  <c r="AC15" i="16"/>
  <c r="AB15" i="16"/>
  <c r="AA15" i="16"/>
  <c r="Z15" i="16"/>
  <c r="Y15" i="16"/>
  <c r="X15" i="16"/>
  <c r="W15" i="16"/>
  <c r="V15" i="16"/>
  <c r="U15" i="16"/>
  <c r="T15" i="16"/>
  <c r="S15" i="16"/>
  <c r="R15" i="16"/>
  <c r="Q15" i="16"/>
  <c r="AZ14" i="16" s="1"/>
  <c r="P15" i="16"/>
  <c r="AY14" i="16" s="1"/>
  <c r="O15" i="16"/>
  <c r="AX14" i="16" s="1"/>
  <c r="N15" i="16"/>
  <c r="AW14" i="16" s="1"/>
  <c r="M15" i="16"/>
  <c r="AV14" i="16" s="1"/>
  <c r="L15" i="16"/>
  <c r="AU14" i="16" s="1"/>
  <c r="K15" i="16"/>
  <c r="AT14" i="16" s="1"/>
  <c r="J15" i="16"/>
  <c r="AS14" i="16" s="1"/>
  <c r="I15" i="16"/>
  <c r="AR14" i="16" s="1"/>
  <c r="H15" i="16"/>
  <c r="AQ14" i="16" s="1"/>
  <c r="G15" i="16"/>
  <c r="AP14" i="16" s="1"/>
  <c r="F15" i="16"/>
  <c r="E15" i="16"/>
  <c r="AN14" i="16" s="1"/>
  <c r="D15" i="16"/>
  <c r="C15" i="16"/>
  <c r="B15" i="16"/>
  <c r="AO14" i="16"/>
  <c r="AM14" i="16"/>
  <c r="AL14" i="16"/>
  <c r="AK14" i="16"/>
  <c r="F12" i="16"/>
  <c r="G4" i="16" s="1"/>
  <c r="E12" i="16"/>
  <c r="F4" i="16" s="1"/>
  <c r="D12" i="16"/>
  <c r="E4" i="16" s="1"/>
  <c r="B12" i="16"/>
  <c r="R9" i="16"/>
  <c r="Q9" i="16"/>
  <c r="P9" i="16"/>
  <c r="O9" i="16"/>
  <c r="N9" i="16"/>
  <c r="M9" i="16"/>
  <c r="L9" i="16"/>
  <c r="K9" i="16"/>
  <c r="J9" i="16"/>
  <c r="I9" i="16"/>
  <c r="H9" i="16"/>
  <c r="G9" i="16"/>
  <c r="AF7" i="16"/>
  <c r="AE7" i="16"/>
  <c r="AD7" i="16"/>
  <c r="AC7" i="16"/>
  <c r="AB7" i="16"/>
  <c r="AA7" i="16"/>
  <c r="Z7" i="16"/>
  <c r="Y7" i="16"/>
  <c r="X7" i="16"/>
  <c r="W7" i="16"/>
  <c r="V7" i="16"/>
  <c r="U7" i="16"/>
  <c r="T7" i="16"/>
  <c r="S7" i="16"/>
  <c r="R4" i="16"/>
  <c r="Q4" i="16"/>
  <c r="P4" i="16"/>
  <c r="O4" i="16"/>
  <c r="N4" i="16"/>
  <c r="M4" i="16"/>
  <c r="L4" i="16"/>
  <c r="K4" i="16"/>
  <c r="J4" i="16"/>
  <c r="I4" i="16"/>
  <c r="H4" i="16"/>
  <c r="D4" i="16"/>
  <c r="C4" i="16"/>
  <c r="B4" i="16"/>
  <c r="X78" i="14"/>
  <c r="W78" i="14"/>
  <c r="V78" i="14"/>
  <c r="U78" i="14"/>
  <c r="T78" i="14"/>
  <c r="S78" i="14"/>
  <c r="R78" i="14"/>
  <c r="Q78" i="14"/>
  <c r="P78" i="14"/>
  <c r="O78" i="14"/>
  <c r="N78" i="14"/>
  <c r="M78" i="14"/>
  <c r="L78" i="14"/>
  <c r="K78" i="14"/>
  <c r="J78" i="14"/>
  <c r="I78" i="14"/>
  <c r="H78" i="14"/>
  <c r="G78" i="14"/>
  <c r="F78" i="14"/>
  <c r="E78" i="14"/>
  <c r="D78" i="14"/>
  <c r="C78" i="14"/>
  <c r="B78" i="14"/>
  <c r="D74" i="14"/>
  <c r="C74" i="14"/>
  <c r="B74" i="14"/>
  <c r="D73" i="14"/>
  <c r="C73" i="14"/>
  <c r="B73" i="14"/>
  <c r="D72" i="14"/>
  <c r="C72" i="14"/>
  <c r="B72" i="14"/>
  <c r="E71" i="14"/>
  <c r="D71" i="14"/>
  <c r="C71" i="14"/>
  <c r="B71" i="14"/>
  <c r="E70" i="14"/>
  <c r="D70" i="14"/>
  <c r="C70" i="14"/>
  <c r="B70" i="14"/>
  <c r="E69" i="14"/>
  <c r="D69" i="14"/>
  <c r="C69" i="14"/>
  <c r="B69" i="14"/>
  <c r="E68" i="14"/>
  <c r="D68" i="14"/>
  <c r="C68" i="14"/>
  <c r="B68" i="14"/>
  <c r="E67" i="14"/>
  <c r="D67" i="14"/>
  <c r="C67" i="14"/>
  <c r="B67" i="14"/>
  <c r="E66" i="14"/>
  <c r="D66" i="14"/>
  <c r="C66" i="14"/>
  <c r="B66" i="14"/>
  <c r="E65" i="14"/>
  <c r="D65" i="14"/>
  <c r="C65" i="14"/>
  <c r="B65" i="14"/>
  <c r="B75" i="14" s="1"/>
  <c r="E64" i="14"/>
  <c r="D64" i="14"/>
  <c r="C64" i="14"/>
  <c r="B64" i="14"/>
  <c r="E63" i="14"/>
  <c r="D63" i="14"/>
  <c r="C63" i="14"/>
  <c r="B63" i="14"/>
  <c r="X62" i="14"/>
  <c r="W62" i="14"/>
  <c r="V62" i="14"/>
  <c r="U62" i="14"/>
  <c r="T62" i="14"/>
  <c r="S62" i="14"/>
  <c r="R62" i="14"/>
  <c r="Q62" i="14"/>
  <c r="P62" i="14"/>
  <c r="O62" i="14"/>
  <c r="N62" i="14"/>
  <c r="M62" i="14"/>
  <c r="L62" i="14"/>
  <c r="K62" i="14"/>
  <c r="J62" i="14"/>
  <c r="I62" i="14"/>
  <c r="H62" i="14"/>
  <c r="G62" i="14"/>
  <c r="F62" i="14"/>
  <c r="E62" i="14"/>
  <c r="D62" i="14"/>
  <c r="C62" i="14"/>
  <c r="B62" i="14"/>
  <c r="D59" i="14"/>
  <c r="C59" i="14"/>
  <c r="C8" i="14" s="1"/>
  <c r="B59" i="14"/>
  <c r="X46" i="14"/>
  <c r="W46" i="14"/>
  <c r="V46" i="14"/>
  <c r="U46" i="14"/>
  <c r="T46" i="14"/>
  <c r="S46" i="14"/>
  <c r="R46" i="14"/>
  <c r="Q46" i="14"/>
  <c r="P46" i="14"/>
  <c r="O46" i="14"/>
  <c r="N46" i="14"/>
  <c r="M46" i="14"/>
  <c r="L46" i="14"/>
  <c r="K46" i="14"/>
  <c r="J46" i="14"/>
  <c r="I46" i="14"/>
  <c r="H46" i="14"/>
  <c r="G46" i="14"/>
  <c r="F46" i="14"/>
  <c r="E46" i="14"/>
  <c r="D46" i="14"/>
  <c r="C46" i="14"/>
  <c r="B46" i="14"/>
  <c r="D43" i="14"/>
  <c r="D7" i="14" s="1"/>
  <c r="C43" i="14"/>
  <c r="C7" i="14" s="1"/>
  <c r="B43" i="14"/>
  <c r="X30" i="14"/>
  <c r="W30" i="14"/>
  <c r="V30" i="14"/>
  <c r="U30" i="14"/>
  <c r="T30" i="14"/>
  <c r="S30" i="14"/>
  <c r="R30" i="14"/>
  <c r="Q30" i="14"/>
  <c r="P30" i="14"/>
  <c r="O30" i="14"/>
  <c r="N30" i="14"/>
  <c r="M30" i="14"/>
  <c r="L30" i="14"/>
  <c r="K30" i="14"/>
  <c r="J30" i="14"/>
  <c r="I30" i="14"/>
  <c r="H30" i="14"/>
  <c r="G30" i="14"/>
  <c r="F30" i="14"/>
  <c r="E30" i="14"/>
  <c r="D30" i="14"/>
  <c r="C30" i="14"/>
  <c r="B30" i="14"/>
  <c r="D27" i="14"/>
  <c r="C27" i="14"/>
  <c r="C5" i="14" s="1"/>
  <c r="B27" i="14"/>
  <c r="B5" i="14" s="1"/>
  <c r="B6" i="14" s="1"/>
  <c r="B10" i="14" s="1"/>
  <c r="B9" i="14" s="1"/>
  <c r="X14" i="14"/>
  <c r="W14" i="14"/>
  <c r="V14" i="14"/>
  <c r="U14" i="14"/>
  <c r="T14" i="14"/>
  <c r="S14" i="14"/>
  <c r="R14" i="14"/>
  <c r="Q14" i="14"/>
  <c r="P14" i="14"/>
  <c r="O14" i="14"/>
  <c r="N14" i="14"/>
  <c r="M14" i="14"/>
  <c r="L14" i="14"/>
  <c r="K14" i="14"/>
  <c r="J14" i="14"/>
  <c r="I14" i="14"/>
  <c r="H14" i="14"/>
  <c r="G14" i="14"/>
  <c r="F14" i="14"/>
  <c r="E14" i="14"/>
  <c r="D14" i="14"/>
  <c r="C14" i="14"/>
  <c r="B14" i="14"/>
  <c r="D11" i="14"/>
  <c r="C11" i="14"/>
  <c r="D4" i="14" s="1"/>
  <c r="D6" i="14" s="1"/>
  <c r="B11" i="14"/>
  <c r="D8" i="14"/>
  <c r="B8" i="14"/>
  <c r="B7" i="14"/>
  <c r="D5" i="14"/>
  <c r="C4" i="14"/>
  <c r="C6" i="14" s="1"/>
  <c r="C10" i="14" s="1"/>
  <c r="G78"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C77" i="13"/>
  <c r="B77" i="13"/>
  <c r="F73" i="13"/>
  <c r="E73" i="13"/>
  <c r="D73" i="13"/>
  <c r="C73" i="13"/>
  <c r="B73" i="13"/>
  <c r="F72" i="13"/>
  <c r="E72" i="13"/>
  <c r="D72" i="13"/>
  <c r="C72" i="13"/>
  <c r="B72" i="13"/>
  <c r="F71" i="13"/>
  <c r="E71" i="13"/>
  <c r="D71" i="13"/>
  <c r="C71" i="13"/>
  <c r="B71" i="13"/>
  <c r="F70" i="13"/>
  <c r="E70" i="13"/>
  <c r="D70" i="13"/>
  <c r="C70" i="13"/>
  <c r="B70" i="13"/>
  <c r="F69" i="13"/>
  <c r="E69" i="13"/>
  <c r="D69" i="13"/>
  <c r="C69" i="13"/>
  <c r="B69" i="13"/>
  <c r="F68" i="13"/>
  <c r="E68" i="13"/>
  <c r="D68" i="13"/>
  <c r="C68" i="13"/>
  <c r="B68" i="13"/>
  <c r="F67" i="13"/>
  <c r="E67" i="13"/>
  <c r="D67" i="13"/>
  <c r="C67" i="13"/>
  <c r="B67" i="13"/>
  <c r="F66" i="13"/>
  <c r="E66" i="13"/>
  <c r="D66" i="13"/>
  <c r="C66" i="13"/>
  <c r="B66" i="13"/>
  <c r="F65" i="13"/>
  <c r="E65" i="13"/>
  <c r="D65" i="13"/>
  <c r="C65" i="13"/>
  <c r="B65" i="13"/>
  <c r="F64" i="13"/>
  <c r="E64" i="13"/>
  <c r="D64" i="13"/>
  <c r="C64" i="13"/>
  <c r="B64" i="13"/>
  <c r="F63" i="13"/>
  <c r="F74" i="13" s="1"/>
  <c r="E63" i="13"/>
  <c r="D63" i="13"/>
  <c r="C63" i="13"/>
  <c r="B63" i="13"/>
  <c r="F62" i="13"/>
  <c r="E62" i="13"/>
  <c r="D62" i="13"/>
  <c r="C62" i="13"/>
  <c r="B62" i="13"/>
  <c r="AF61" i="13"/>
  <c r="AE61" i="13"/>
  <c r="AD61" i="13"/>
  <c r="AC61" i="13"/>
  <c r="AB61" i="13"/>
  <c r="AA61" i="13"/>
  <c r="Z61" i="13"/>
  <c r="Y61" i="13"/>
  <c r="X61" i="13"/>
  <c r="W61" i="13"/>
  <c r="V61" i="13"/>
  <c r="U61" i="13"/>
  <c r="T61" i="13"/>
  <c r="S61" i="13"/>
  <c r="R61" i="13"/>
  <c r="Q61" i="13"/>
  <c r="P61" i="13"/>
  <c r="O61" i="13"/>
  <c r="N61" i="13"/>
  <c r="M61" i="13"/>
  <c r="L61" i="13"/>
  <c r="K61" i="13"/>
  <c r="J61" i="13"/>
  <c r="I61" i="13"/>
  <c r="H61" i="13"/>
  <c r="G61" i="13"/>
  <c r="F61" i="13"/>
  <c r="E61" i="13"/>
  <c r="D61" i="13"/>
  <c r="C61" i="13"/>
  <c r="B61" i="13"/>
  <c r="F58" i="13"/>
  <c r="F7" i="13" s="1"/>
  <c r="E58" i="13"/>
  <c r="E7" i="13" s="1"/>
  <c r="D58" i="13"/>
  <c r="C58" i="13"/>
  <c r="C7" i="13" s="1"/>
  <c r="B58" i="13"/>
  <c r="AF45" i="13"/>
  <c r="AE45" i="13"/>
  <c r="AD45" i="13"/>
  <c r="AC45" i="13"/>
  <c r="AB45" i="13"/>
  <c r="AA45" i="13"/>
  <c r="Z45" i="13"/>
  <c r="Y45" i="13"/>
  <c r="X45" i="13"/>
  <c r="W45" i="13"/>
  <c r="V45" i="13"/>
  <c r="U45" i="13"/>
  <c r="T45" i="13"/>
  <c r="S45" i="13"/>
  <c r="R45" i="13"/>
  <c r="Q45" i="13"/>
  <c r="P45" i="13"/>
  <c r="O45" i="13"/>
  <c r="N45" i="13"/>
  <c r="M45" i="13"/>
  <c r="L45" i="13"/>
  <c r="K45" i="13"/>
  <c r="J45" i="13"/>
  <c r="I45" i="13"/>
  <c r="H45" i="13"/>
  <c r="G45" i="13"/>
  <c r="F45" i="13"/>
  <c r="E45" i="13"/>
  <c r="D45" i="13"/>
  <c r="C45" i="13"/>
  <c r="B45" i="13"/>
  <c r="G42" i="13"/>
  <c r="F42" i="13"/>
  <c r="E42" i="13"/>
  <c r="D42" i="13"/>
  <c r="C42" i="13"/>
  <c r="C6" i="13" s="1"/>
  <c r="B42" i="13"/>
  <c r="G34" i="13"/>
  <c r="AF29" i="13"/>
  <c r="AE29" i="13"/>
  <c r="AD29" i="13"/>
  <c r="AC29" i="13"/>
  <c r="AB29" i="13"/>
  <c r="AA29" i="13"/>
  <c r="Z29" i="13"/>
  <c r="Y29" i="13"/>
  <c r="X29" i="13"/>
  <c r="W29" i="13"/>
  <c r="V29" i="13"/>
  <c r="U29" i="13"/>
  <c r="T29" i="13"/>
  <c r="S29" i="13"/>
  <c r="R29" i="13"/>
  <c r="Q29" i="13"/>
  <c r="P29" i="13"/>
  <c r="O29" i="13"/>
  <c r="N29" i="13"/>
  <c r="M29" i="13"/>
  <c r="L29" i="13"/>
  <c r="K29" i="13"/>
  <c r="J29" i="13"/>
  <c r="I29" i="13"/>
  <c r="H29" i="13"/>
  <c r="G29" i="13"/>
  <c r="F29" i="13"/>
  <c r="E29" i="13"/>
  <c r="D29" i="13"/>
  <c r="C29" i="13"/>
  <c r="B29" i="13"/>
  <c r="F26" i="13"/>
  <c r="E26" i="13"/>
  <c r="D26" i="13"/>
  <c r="C26" i="13"/>
  <c r="C4" i="13" s="1"/>
  <c r="B26" i="13"/>
  <c r="B4" i="13" s="1"/>
  <c r="B5" i="13" s="1"/>
  <c r="B9" i="13" s="1"/>
  <c r="AF13" i="13"/>
  <c r="AE13" i="13"/>
  <c r="AD13" i="13"/>
  <c r="AC13" i="13"/>
  <c r="AB13" i="13"/>
  <c r="AA13" i="13"/>
  <c r="Z13" i="13"/>
  <c r="Y13" i="13"/>
  <c r="X13" i="13"/>
  <c r="W13" i="13"/>
  <c r="V13" i="13"/>
  <c r="U13" i="13"/>
  <c r="T13" i="13"/>
  <c r="S13" i="13"/>
  <c r="R13" i="13"/>
  <c r="Q13" i="13"/>
  <c r="P13" i="13"/>
  <c r="O13" i="13"/>
  <c r="N13" i="13"/>
  <c r="M13" i="13"/>
  <c r="L13" i="13"/>
  <c r="K13" i="13"/>
  <c r="J13" i="13"/>
  <c r="I13" i="13"/>
  <c r="H13" i="13"/>
  <c r="G13" i="13"/>
  <c r="F13" i="13"/>
  <c r="E13" i="13"/>
  <c r="D13" i="13"/>
  <c r="C13" i="13"/>
  <c r="B13" i="13"/>
  <c r="F10" i="13"/>
  <c r="E10" i="13"/>
  <c r="D10" i="13"/>
  <c r="C10" i="13"/>
  <c r="B10" i="13"/>
  <c r="AF7" i="13"/>
  <c r="AE7" i="13"/>
  <c r="AD7" i="13"/>
  <c r="AC7" i="13"/>
  <c r="AB7" i="13"/>
  <c r="AA7" i="13"/>
  <c r="Z7" i="13"/>
  <c r="Y7" i="13"/>
  <c r="X7" i="13"/>
  <c r="W7" i="13"/>
  <c r="V7" i="13"/>
  <c r="U7" i="13"/>
  <c r="T7" i="13"/>
  <c r="S7" i="13"/>
  <c r="R7" i="13"/>
  <c r="Q7" i="13"/>
  <c r="P7" i="13"/>
  <c r="O7" i="13"/>
  <c r="N7" i="13"/>
  <c r="M7" i="13"/>
  <c r="L7" i="13"/>
  <c r="K7" i="13"/>
  <c r="J7" i="13"/>
  <c r="I7" i="13"/>
  <c r="H7" i="13"/>
  <c r="G7" i="13"/>
  <c r="D7" i="13"/>
  <c r="B7" i="13"/>
  <c r="E6" i="13"/>
  <c r="F6" i="13" s="1"/>
  <c r="G6" i="13" s="1"/>
  <c r="H6" i="13" s="1"/>
  <c r="D6" i="13"/>
  <c r="D4" i="13"/>
  <c r="E4" i="13" s="1"/>
  <c r="F4" i="13" s="1"/>
  <c r="G4" i="13" s="1"/>
  <c r="G3" i="13"/>
  <c r="G5" i="13" s="1"/>
  <c r="F3" i="13"/>
  <c r="E3" i="13"/>
  <c r="D3" i="13"/>
  <c r="C3" i="13"/>
  <c r="H324" i="12"/>
  <c r="G324" i="12"/>
  <c r="F324" i="12"/>
  <c r="E324" i="12"/>
  <c r="D324" i="12"/>
  <c r="C324" i="12"/>
  <c r="B324" i="12"/>
  <c r="AM311" i="12"/>
  <c r="AL311" i="12"/>
  <c r="AK311" i="12"/>
  <c r="AJ311" i="12"/>
  <c r="AI311" i="12"/>
  <c r="AH311" i="12"/>
  <c r="AG311" i="12"/>
  <c r="AF311" i="12"/>
  <c r="AE311" i="12"/>
  <c r="AD311" i="12"/>
  <c r="AC311" i="12"/>
  <c r="AB311" i="12"/>
  <c r="AA311" i="12"/>
  <c r="Z311" i="12"/>
  <c r="Y311" i="12"/>
  <c r="X311" i="12"/>
  <c r="W311" i="12"/>
  <c r="V311" i="12"/>
  <c r="U311" i="12"/>
  <c r="T311" i="12"/>
  <c r="S311" i="12"/>
  <c r="R311" i="12"/>
  <c r="Q311" i="12"/>
  <c r="P311" i="12"/>
  <c r="O311" i="12"/>
  <c r="N311" i="12"/>
  <c r="M311" i="12"/>
  <c r="L311" i="12"/>
  <c r="K311" i="12"/>
  <c r="J311" i="12"/>
  <c r="I311" i="12"/>
  <c r="H311" i="12"/>
  <c r="G311" i="12"/>
  <c r="F311" i="12"/>
  <c r="E311" i="12"/>
  <c r="D311" i="12"/>
  <c r="C311" i="12"/>
  <c r="B311" i="12"/>
  <c r="H308" i="12"/>
  <c r="G308" i="12"/>
  <c r="F308" i="12"/>
  <c r="E308" i="12"/>
  <c r="D308" i="12"/>
  <c r="C308" i="12"/>
  <c r="B308" i="12"/>
  <c r="AM295" i="12"/>
  <c r="AL295" i="12"/>
  <c r="AK295" i="12"/>
  <c r="AJ295" i="12"/>
  <c r="AI295" i="12"/>
  <c r="AH295" i="12"/>
  <c r="AG295" i="12"/>
  <c r="AF295" i="12"/>
  <c r="AE295" i="12"/>
  <c r="AD295" i="12"/>
  <c r="AC295" i="12"/>
  <c r="AB295" i="12"/>
  <c r="AA295" i="12"/>
  <c r="Z295" i="12"/>
  <c r="Y295" i="12"/>
  <c r="X295" i="12"/>
  <c r="W295" i="12"/>
  <c r="V295" i="12"/>
  <c r="U295" i="12"/>
  <c r="T295" i="12"/>
  <c r="S295" i="12"/>
  <c r="R295" i="12"/>
  <c r="Q295" i="12"/>
  <c r="P295" i="12"/>
  <c r="O295" i="12"/>
  <c r="N295" i="12"/>
  <c r="M295" i="12"/>
  <c r="L295" i="12"/>
  <c r="K295" i="12"/>
  <c r="J295" i="12"/>
  <c r="I295" i="12"/>
  <c r="H295" i="12"/>
  <c r="G295" i="12"/>
  <c r="F295" i="12"/>
  <c r="E295" i="12"/>
  <c r="D295" i="12"/>
  <c r="C295" i="12"/>
  <c r="B295" i="12"/>
  <c r="H292" i="12"/>
  <c r="G292" i="12"/>
  <c r="F292" i="12"/>
  <c r="E292" i="12"/>
  <c r="D292" i="12"/>
  <c r="C292" i="12"/>
  <c r="B292" i="12"/>
  <c r="AM279" i="12"/>
  <c r="AL279" i="12"/>
  <c r="AK279" i="12"/>
  <c r="AJ279" i="12"/>
  <c r="AI279" i="12"/>
  <c r="AH279" i="12"/>
  <c r="AG279" i="12"/>
  <c r="AF279" i="12"/>
  <c r="AE279" i="12"/>
  <c r="AD279" i="12"/>
  <c r="AC279" i="12"/>
  <c r="AB279" i="12"/>
  <c r="AA279" i="12"/>
  <c r="Z279" i="12"/>
  <c r="Y279" i="12"/>
  <c r="X279" i="12"/>
  <c r="W279" i="12"/>
  <c r="V279" i="12"/>
  <c r="U279" i="12"/>
  <c r="T279" i="12"/>
  <c r="S279" i="12"/>
  <c r="R279" i="12"/>
  <c r="Q279" i="12"/>
  <c r="P279" i="12"/>
  <c r="O279" i="12"/>
  <c r="N279" i="12"/>
  <c r="M279" i="12"/>
  <c r="L279" i="12"/>
  <c r="K279" i="12"/>
  <c r="J279" i="12"/>
  <c r="I279" i="12"/>
  <c r="H279" i="12"/>
  <c r="G279" i="12"/>
  <c r="F279" i="12"/>
  <c r="E279" i="12"/>
  <c r="D279" i="12"/>
  <c r="C279" i="12"/>
  <c r="B279" i="12"/>
  <c r="H276" i="12"/>
  <c r="G276" i="12"/>
  <c r="F276" i="12"/>
  <c r="E276" i="12"/>
  <c r="D276" i="12"/>
  <c r="C276" i="12"/>
  <c r="B276" i="12"/>
  <c r="AM263" i="12"/>
  <c r="AL263" i="12"/>
  <c r="AK263" i="12"/>
  <c r="AJ263" i="12"/>
  <c r="AI263" i="12"/>
  <c r="AH263" i="12"/>
  <c r="AG263" i="12"/>
  <c r="AF263" i="12"/>
  <c r="AE263" i="12"/>
  <c r="AD263" i="12"/>
  <c r="AC263" i="12"/>
  <c r="AB263" i="12"/>
  <c r="AA263" i="12"/>
  <c r="Z263" i="12"/>
  <c r="Y263" i="12"/>
  <c r="X263" i="12"/>
  <c r="W263" i="12"/>
  <c r="V263" i="12"/>
  <c r="U263" i="12"/>
  <c r="T263" i="12"/>
  <c r="S263" i="12"/>
  <c r="R263" i="12"/>
  <c r="Q263" i="12"/>
  <c r="P263" i="12"/>
  <c r="O263" i="12"/>
  <c r="N263" i="12"/>
  <c r="M263" i="12"/>
  <c r="L263" i="12"/>
  <c r="K263" i="12"/>
  <c r="J263" i="12"/>
  <c r="I263" i="12"/>
  <c r="H263" i="12"/>
  <c r="G263" i="12"/>
  <c r="F263" i="12"/>
  <c r="E263" i="12"/>
  <c r="D263" i="12"/>
  <c r="C263" i="12"/>
  <c r="B263" i="12"/>
  <c r="J247" i="12"/>
  <c r="J244" i="12"/>
  <c r="I244" i="12"/>
  <c r="I247" i="12" s="1"/>
  <c r="AG240" i="12"/>
  <c r="AG241" i="12" s="1"/>
  <c r="AG239" i="12"/>
  <c r="AM238" i="12"/>
  <c r="AL238" i="12"/>
  <c r="AK238" i="12"/>
  <c r="AJ238" i="12"/>
  <c r="AI238" i="12"/>
  <c r="AH238" i="12"/>
  <c r="AG238" i="12"/>
  <c r="AF238" i="12"/>
  <c r="AE238" i="12"/>
  <c r="AD238" i="12"/>
  <c r="AC238" i="12"/>
  <c r="AB238" i="12"/>
  <c r="AA238" i="12"/>
  <c r="Z238" i="12"/>
  <c r="M238" i="12"/>
  <c r="AM236" i="12"/>
  <c r="AL236" i="12"/>
  <c r="AK236" i="12"/>
  <c r="AJ236" i="12"/>
  <c r="AI236" i="12"/>
  <c r="AH236" i="12"/>
  <c r="AG236" i="12"/>
  <c r="AF236" i="12"/>
  <c r="AE236" i="12"/>
  <c r="AD236" i="12"/>
  <c r="AC236" i="12"/>
  <c r="AB236" i="12"/>
  <c r="AA236" i="12"/>
  <c r="Z236" i="12"/>
  <c r="Y236" i="12"/>
  <c r="X236" i="12"/>
  <c r="W236" i="12"/>
  <c r="V236" i="12"/>
  <c r="U236" i="12"/>
  <c r="T236" i="12"/>
  <c r="S236" i="12"/>
  <c r="R236" i="12"/>
  <c r="Q236" i="12"/>
  <c r="P236" i="12"/>
  <c r="O236" i="12"/>
  <c r="N236" i="12"/>
  <c r="M236" i="12"/>
  <c r="L236" i="12"/>
  <c r="K236" i="12"/>
  <c r="J236" i="12"/>
  <c r="I236" i="12"/>
  <c r="G232" i="12"/>
  <c r="G231" i="12"/>
  <c r="H230" i="12"/>
  <c r="G230" i="12"/>
  <c r="AM228" i="12"/>
  <c r="AL228" i="12"/>
  <c r="AK228" i="12"/>
  <c r="AJ228" i="12"/>
  <c r="AI228" i="12"/>
  <c r="AH228" i="12"/>
  <c r="AG228" i="12"/>
  <c r="AF228" i="12"/>
  <c r="AE228" i="12"/>
  <c r="AD228" i="12"/>
  <c r="AC228" i="12"/>
  <c r="AB228" i="12"/>
  <c r="AA228" i="12"/>
  <c r="Z228" i="12"/>
  <c r="Y228" i="12"/>
  <c r="X228" i="12"/>
  <c r="W228" i="12"/>
  <c r="V228" i="12"/>
  <c r="U228" i="12"/>
  <c r="T228" i="12"/>
  <c r="S228" i="12"/>
  <c r="R228" i="12"/>
  <c r="Q228" i="12"/>
  <c r="P228" i="12"/>
  <c r="O228" i="12"/>
  <c r="N228" i="12"/>
  <c r="M228" i="12"/>
  <c r="L228" i="12"/>
  <c r="K228" i="12"/>
  <c r="J228" i="12"/>
  <c r="I228" i="12"/>
  <c r="H228" i="12"/>
  <c r="G228" i="12"/>
  <c r="F228" i="12"/>
  <c r="E228" i="12"/>
  <c r="D228" i="12"/>
  <c r="C228" i="12"/>
  <c r="B228" i="12"/>
  <c r="H225" i="12"/>
  <c r="G225" i="12"/>
  <c r="F225" i="12"/>
  <c r="F232" i="12" s="1"/>
  <c r="E225" i="12"/>
  <c r="D225" i="12"/>
  <c r="C225" i="12"/>
  <c r="B225" i="12"/>
  <c r="I224" i="12"/>
  <c r="I324" i="12" s="1"/>
  <c r="I223" i="12"/>
  <c r="AM220" i="12"/>
  <c r="AL220" i="12"/>
  <c r="AK220" i="12"/>
  <c r="AJ220" i="12"/>
  <c r="AI220" i="12"/>
  <c r="AH220" i="12"/>
  <c r="AG220" i="12"/>
  <c r="AF220" i="12"/>
  <c r="AE220" i="12"/>
  <c r="AD220" i="12"/>
  <c r="AC220" i="12"/>
  <c r="AB220" i="12"/>
  <c r="AA220" i="12"/>
  <c r="Z220" i="12"/>
  <c r="Y220" i="12"/>
  <c r="X220" i="12"/>
  <c r="W220" i="12"/>
  <c r="V220" i="12"/>
  <c r="U220" i="12"/>
  <c r="T220" i="12"/>
  <c r="S220" i="12"/>
  <c r="R220" i="12"/>
  <c r="Q220" i="12"/>
  <c r="P220" i="12"/>
  <c r="O220" i="12"/>
  <c r="N220" i="12"/>
  <c r="M220" i="12"/>
  <c r="L220" i="12"/>
  <c r="K220" i="12"/>
  <c r="J220" i="12"/>
  <c r="I220" i="12"/>
  <c r="H220" i="12"/>
  <c r="G220" i="12"/>
  <c r="F220" i="12"/>
  <c r="E220" i="12"/>
  <c r="D220" i="12"/>
  <c r="C220" i="12"/>
  <c r="B220" i="12"/>
  <c r="AJ217" i="12"/>
  <c r="AK210" i="12" s="1"/>
  <c r="AI217" i="12"/>
  <c r="AJ210" i="12" s="1"/>
  <c r="X217" i="12"/>
  <c r="Y210" i="12" s="1"/>
  <c r="W217" i="12"/>
  <c r="X210" i="12" s="1"/>
  <c r="N217" i="12"/>
  <c r="M217" i="12"/>
  <c r="L217" i="12"/>
  <c r="M210" i="12" s="1"/>
  <c r="E213" i="12"/>
  <c r="E216" i="12" s="1"/>
  <c r="E214" i="12" s="1"/>
  <c r="D213" i="12"/>
  <c r="D216" i="12" s="1"/>
  <c r="D214" i="12" s="1"/>
  <c r="C213" i="12"/>
  <c r="C216" i="12" s="1"/>
  <c r="C214" i="12" s="1"/>
  <c r="B213" i="12"/>
  <c r="B216" i="12" s="1"/>
  <c r="B214" i="12" s="1"/>
  <c r="AA212" i="12"/>
  <c r="Z212" i="12"/>
  <c r="Y212" i="12"/>
  <c r="X212" i="12"/>
  <c r="W212" i="12"/>
  <c r="U212" i="12"/>
  <c r="T212" i="12"/>
  <c r="S212" i="12"/>
  <c r="R212" i="12"/>
  <c r="N211" i="12"/>
  <c r="AM210" i="12"/>
  <c r="AL210" i="12"/>
  <c r="Q210" i="12"/>
  <c r="P210" i="12"/>
  <c r="O210" i="12"/>
  <c r="N210" i="12"/>
  <c r="L210" i="12"/>
  <c r="K210" i="12"/>
  <c r="K213" i="12" s="1"/>
  <c r="K216" i="12" s="1"/>
  <c r="K214" i="12" s="1"/>
  <c r="J210" i="12"/>
  <c r="J213" i="12" s="1"/>
  <c r="J216" i="12" s="1"/>
  <c r="J214" i="12" s="1"/>
  <c r="I210" i="12"/>
  <c r="I213" i="12" s="1"/>
  <c r="I216" i="12" s="1"/>
  <c r="I214" i="12" s="1"/>
  <c r="H210" i="12"/>
  <c r="G210" i="12"/>
  <c r="G213" i="12" s="1"/>
  <c r="F210" i="12"/>
  <c r="F213" i="12" s="1"/>
  <c r="E210" i="12"/>
  <c r="D210" i="12"/>
  <c r="C210" i="12"/>
  <c r="AM209" i="12"/>
  <c r="AL209" i="12"/>
  <c r="AK209" i="12"/>
  <c r="AJ209" i="12"/>
  <c r="AI209" i="12"/>
  <c r="AH209" i="12"/>
  <c r="AG209" i="12"/>
  <c r="AF209" i="12"/>
  <c r="AE209" i="12"/>
  <c r="AD209" i="12"/>
  <c r="AC209" i="12"/>
  <c r="AB209" i="12"/>
  <c r="AA209" i="12"/>
  <c r="Z209" i="12"/>
  <c r="Y209" i="12"/>
  <c r="X209" i="12"/>
  <c r="W209" i="12"/>
  <c r="V209" i="12"/>
  <c r="U209" i="12"/>
  <c r="T209" i="12"/>
  <c r="S209" i="12"/>
  <c r="R209" i="12"/>
  <c r="Q209" i="12"/>
  <c r="P209" i="12"/>
  <c r="O209" i="12"/>
  <c r="N209" i="12"/>
  <c r="M209" i="12"/>
  <c r="L209" i="12"/>
  <c r="K209" i="12"/>
  <c r="J209" i="12"/>
  <c r="I209" i="12"/>
  <c r="H209" i="12"/>
  <c r="G209" i="12"/>
  <c r="F209" i="12"/>
  <c r="E209" i="12"/>
  <c r="D209" i="12"/>
  <c r="C209" i="12"/>
  <c r="B209" i="12"/>
  <c r="M204" i="12"/>
  <c r="K204" i="12"/>
  <c r="J204" i="12"/>
  <c r="J202" i="12"/>
  <c r="I202" i="12"/>
  <c r="I198" i="12"/>
  <c r="M197" i="12"/>
  <c r="L197" i="12"/>
  <c r="K197" i="12"/>
  <c r="M196" i="12"/>
  <c r="K195" i="12"/>
  <c r="J195" i="12"/>
  <c r="I195" i="12"/>
  <c r="J194" i="12"/>
  <c r="I194" i="12"/>
  <c r="AM193" i="12"/>
  <c r="AL193" i="12"/>
  <c r="AK193"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C193" i="12"/>
  <c r="B193" i="12"/>
  <c r="AM190" i="12"/>
  <c r="AL190" i="12"/>
  <c r="AK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M17" i="12" s="1"/>
  <c r="L190" i="12"/>
  <c r="K190" i="12"/>
  <c r="J190" i="12"/>
  <c r="I190" i="12"/>
  <c r="AM177" i="12"/>
  <c r="AL177" i="12"/>
  <c r="AK177"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C177" i="12"/>
  <c r="B177" i="12"/>
  <c r="M174" i="12"/>
  <c r="L174" i="12"/>
  <c r="K174" i="12"/>
  <c r="J174" i="12"/>
  <c r="I174" i="12"/>
  <c r="I16" i="12" s="1"/>
  <c r="AM161" i="12"/>
  <c r="AL161" i="12"/>
  <c r="AK161"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C161" i="12"/>
  <c r="B161" i="12"/>
  <c r="M155" i="12"/>
  <c r="L155" i="12"/>
  <c r="K155" i="12"/>
  <c r="J155" i="12"/>
  <c r="I155" i="12"/>
  <c r="M154" i="12"/>
  <c r="M64" i="12" s="1"/>
  <c r="L154" i="12"/>
  <c r="L64" i="12" s="1"/>
  <c r="K154" i="12"/>
  <c r="K64" i="12" s="1"/>
  <c r="O58" i="7" s="1"/>
  <c r="J154" i="12"/>
  <c r="J64" i="12" s="1"/>
  <c r="I154" i="12"/>
  <c r="I64" i="12" s="1"/>
  <c r="M153" i="12"/>
  <c r="L153" i="12"/>
  <c r="L63" i="12" s="1"/>
  <c r="K153" i="12"/>
  <c r="J153" i="12"/>
  <c r="I153" i="12"/>
  <c r="M152" i="12"/>
  <c r="L152" i="12"/>
  <c r="L62" i="12" s="1"/>
  <c r="L78" i="12" s="1"/>
  <c r="K152" i="12"/>
  <c r="K62" i="12" s="1"/>
  <c r="J152" i="12"/>
  <c r="J62" i="12" s="1"/>
  <c r="J78" i="12" s="1"/>
  <c r="I152" i="12"/>
  <c r="I62" i="12" s="1"/>
  <c r="M56" i="7" s="1"/>
  <c r="M151" i="12"/>
  <c r="L151" i="12"/>
  <c r="L61" i="12" s="1"/>
  <c r="K151" i="12"/>
  <c r="K61" i="12" s="1"/>
  <c r="J151" i="12"/>
  <c r="I151" i="12"/>
  <c r="I61" i="12" s="1"/>
  <c r="M150" i="12"/>
  <c r="L150" i="12"/>
  <c r="K150" i="12"/>
  <c r="J150" i="12"/>
  <c r="I150" i="12"/>
  <c r="M149" i="12"/>
  <c r="L149" i="12"/>
  <c r="K149" i="12"/>
  <c r="K156" i="12" s="1"/>
  <c r="J149" i="12"/>
  <c r="I149" i="12"/>
  <c r="M148" i="12"/>
  <c r="L148" i="12"/>
  <c r="L58" i="12" s="1"/>
  <c r="K148" i="12"/>
  <c r="J148" i="12"/>
  <c r="I148" i="12"/>
  <c r="M147" i="12"/>
  <c r="M57" i="12" s="1"/>
  <c r="L147" i="12"/>
  <c r="K147" i="12"/>
  <c r="J147" i="12"/>
  <c r="I147" i="12"/>
  <c r="N146" i="12"/>
  <c r="M146" i="12"/>
  <c r="L146" i="12"/>
  <c r="K146" i="12"/>
  <c r="J146" i="12"/>
  <c r="I146" i="12"/>
  <c r="N145" i="12"/>
  <c r="M145" i="12"/>
  <c r="L145" i="12"/>
  <c r="K145" i="12"/>
  <c r="J145" i="12"/>
  <c r="I145" i="12"/>
  <c r="N144" i="12"/>
  <c r="M144" i="12"/>
  <c r="L144" i="12"/>
  <c r="K144" i="12"/>
  <c r="J144" i="12"/>
  <c r="I144" i="12"/>
  <c r="AM143" i="12"/>
  <c r="AL143" i="12"/>
  <c r="AK143"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C143" i="12"/>
  <c r="B143" i="12"/>
  <c r="AM140" i="12"/>
  <c r="AL140" i="12"/>
  <c r="AK140"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39" i="12"/>
  <c r="L139" i="12"/>
  <c r="L49" i="12" s="1"/>
  <c r="P43" i="7" s="1"/>
  <c r="K139" i="12"/>
  <c r="J139" i="12"/>
  <c r="J49" i="12" s="1"/>
  <c r="AS41" i="12" s="1"/>
  <c r="I139" i="12"/>
  <c r="I49" i="12" s="1"/>
  <c r="AR41" i="12" s="1"/>
  <c r="M138" i="12"/>
  <c r="L138" i="12"/>
  <c r="K138" i="12"/>
  <c r="J138" i="12"/>
  <c r="J48" i="12" s="1"/>
  <c r="I138" i="12"/>
  <c r="M137" i="12"/>
  <c r="L137" i="12"/>
  <c r="K137" i="12"/>
  <c r="J137" i="12"/>
  <c r="I137" i="12"/>
  <c r="M136" i="12"/>
  <c r="M46" i="12" s="1"/>
  <c r="L136" i="12"/>
  <c r="L46" i="12" s="1"/>
  <c r="K136" i="12"/>
  <c r="K46" i="12" s="1"/>
  <c r="J136" i="12"/>
  <c r="J46" i="12" s="1"/>
  <c r="I136" i="12"/>
  <c r="M135" i="12"/>
  <c r="M45" i="12" s="1"/>
  <c r="L135" i="12"/>
  <c r="K135" i="12"/>
  <c r="J135" i="12"/>
  <c r="J45" i="12" s="1"/>
  <c r="I135" i="12"/>
  <c r="M134" i="12"/>
  <c r="M44" i="12" s="1"/>
  <c r="L134" i="12"/>
  <c r="K134" i="12"/>
  <c r="K44" i="12" s="1"/>
  <c r="J134" i="12"/>
  <c r="I134" i="12"/>
  <c r="I44" i="12" s="1"/>
  <c r="M133" i="12"/>
  <c r="L133" i="12"/>
  <c r="K133" i="12"/>
  <c r="J133" i="12"/>
  <c r="I133" i="12"/>
  <c r="M132" i="12"/>
  <c r="L132" i="12"/>
  <c r="K132" i="12"/>
  <c r="J132" i="12"/>
  <c r="I132" i="12"/>
  <c r="M131" i="12"/>
  <c r="L131" i="12"/>
  <c r="K131" i="12"/>
  <c r="J131" i="12"/>
  <c r="I131" i="12"/>
  <c r="N130" i="12"/>
  <c r="M130" i="12"/>
  <c r="L130" i="12"/>
  <c r="K130" i="12"/>
  <c r="J130" i="12"/>
  <c r="I130" i="12"/>
  <c r="N129" i="12"/>
  <c r="M129" i="12"/>
  <c r="L129" i="12"/>
  <c r="K129" i="12"/>
  <c r="J129" i="12"/>
  <c r="J39" i="12" s="1"/>
  <c r="I129" i="12"/>
  <c r="I39" i="12" s="1"/>
  <c r="N128" i="12"/>
  <c r="M128" i="12"/>
  <c r="M38" i="12" s="1"/>
  <c r="L128" i="12"/>
  <c r="K128" i="12"/>
  <c r="J128" i="12"/>
  <c r="I128" i="12"/>
  <c r="AM127" i="12"/>
  <c r="AL127" i="12"/>
  <c r="AK127"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C127" i="12"/>
  <c r="B127" i="12"/>
  <c r="I124" i="12"/>
  <c r="J122" i="12"/>
  <c r="K118" i="12"/>
  <c r="J118" i="12"/>
  <c r="I118" i="12"/>
  <c r="AF115" i="12"/>
  <c r="AG115" i="12" s="1"/>
  <c r="AH115" i="12" s="1"/>
  <c r="AI115" i="12" s="1"/>
  <c r="AJ115" i="12" s="1"/>
  <c r="AK115" i="12" s="1"/>
  <c r="AL115" i="12" s="1"/>
  <c r="AM115" i="12" s="1"/>
  <c r="AE115" i="12"/>
  <c r="AD115" i="12"/>
  <c r="T115" i="12"/>
  <c r="U115" i="12" s="1"/>
  <c r="V115" i="12" s="1"/>
  <c r="W115" i="12" s="1"/>
  <c r="X115" i="12" s="1"/>
  <c r="Y115" i="12" s="1"/>
  <c r="Z115" i="12" s="1"/>
  <c r="AA115" i="12" s="1"/>
  <c r="AB115" i="12" s="1"/>
  <c r="Q115" i="12"/>
  <c r="R115" i="12" s="1"/>
  <c r="P115" i="12"/>
  <c r="O115" i="12"/>
  <c r="C114" i="12"/>
  <c r="S113" i="12"/>
  <c r="T113" i="12" s="1"/>
  <c r="U113" i="12" s="1"/>
  <c r="V113" i="12" s="1"/>
  <c r="W113" i="12" s="1"/>
  <c r="X113" i="12" s="1"/>
  <c r="Y113" i="12" s="1"/>
  <c r="Z113" i="12" s="1"/>
  <c r="AA113" i="12" s="1"/>
  <c r="AB113" i="12" s="1"/>
  <c r="AC113" i="12" s="1"/>
  <c r="AD113" i="12" s="1"/>
  <c r="AE113" i="12" s="1"/>
  <c r="AF113" i="12" s="1"/>
  <c r="AG113" i="12" s="1"/>
  <c r="AH113" i="12" s="1"/>
  <c r="AI113" i="12" s="1"/>
  <c r="AJ113" i="12" s="1"/>
  <c r="AK113" i="12" s="1"/>
  <c r="AL113" i="12" s="1"/>
  <c r="AM113" i="12" s="1"/>
  <c r="N113" i="12"/>
  <c r="O113" i="12" s="1"/>
  <c r="P113" i="12" s="1"/>
  <c r="Q113" i="12" s="1"/>
  <c r="R113" i="12" s="1"/>
  <c r="M113" i="12"/>
  <c r="L113" i="12"/>
  <c r="AM112" i="12"/>
  <c r="AL112" i="12"/>
  <c r="AK112"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C112" i="12"/>
  <c r="B112" i="12"/>
  <c r="AM109" i="12"/>
  <c r="AM217" i="12" s="1"/>
  <c r="AL109" i="12"/>
  <c r="AL217" i="12" s="1"/>
  <c r="AK109" i="12"/>
  <c r="AK217" i="12" s="1"/>
  <c r="AJ109" i="12"/>
  <c r="AI109" i="12"/>
  <c r="AH109" i="12"/>
  <c r="AH217" i="12" s="1"/>
  <c r="AI210" i="12" s="1"/>
  <c r="AG109" i="12"/>
  <c r="AG217" i="12" s="1"/>
  <c r="AH210" i="12" s="1"/>
  <c r="AF109" i="12"/>
  <c r="AF217" i="12" s="1"/>
  <c r="AG210" i="12" s="1"/>
  <c r="AE109" i="12"/>
  <c r="AE217" i="12" s="1"/>
  <c r="AF210" i="12" s="1"/>
  <c r="AD109" i="12"/>
  <c r="AD217" i="12" s="1"/>
  <c r="AE210" i="12" s="1"/>
  <c r="AC109" i="12"/>
  <c r="AC217" i="12" s="1"/>
  <c r="AD210" i="12" s="1"/>
  <c r="AB109" i="12"/>
  <c r="AB217" i="12" s="1"/>
  <c r="AC210" i="12" s="1"/>
  <c r="AA109" i="12"/>
  <c r="AA217" i="12" s="1"/>
  <c r="AB210" i="12" s="1"/>
  <c r="Z109" i="12"/>
  <c r="Z217" i="12" s="1"/>
  <c r="AA210" i="12" s="1"/>
  <c r="Y109" i="12"/>
  <c r="Y217" i="12" s="1"/>
  <c r="Z210" i="12" s="1"/>
  <c r="X109" i="12"/>
  <c r="W109" i="12"/>
  <c r="X102" i="12" s="1"/>
  <c r="V109" i="12"/>
  <c r="W102" i="12" s="1"/>
  <c r="U109" i="12"/>
  <c r="U217" i="12" s="1"/>
  <c r="V210" i="12" s="1"/>
  <c r="T109" i="12"/>
  <c r="S109" i="12"/>
  <c r="R109" i="12"/>
  <c r="Q109" i="12"/>
  <c r="Q217" i="12" s="1"/>
  <c r="R210" i="12" s="1"/>
  <c r="P109" i="12"/>
  <c r="P217" i="12" s="1"/>
  <c r="O109" i="12"/>
  <c r="O217" i="12" s="1"/>
  <c r="N109" i="12"/>
  <c r="H109" i="12"/>
  <c r="G109" i="12"/>
  <c r="F109" i="12"/>
  <c r="E109" i="12"/>
  <c r="D109" i="12"/>
  <c r="C109" i="12"/>
  <c r="B109" i="12"/>
  <c r="E108" i="12"/>
  <c r="D108" i="12"/>
  <c r="C108" i="12"/>
  <c r="B108" i="12"/>
  <c r="H107" i="12"/>
  <c r="G107" i="12"/>
  <c r="F107" i="12"/>
  <c r="E107" i="12"/>
  <c r="D107" i="12"/>
  <c r="C107" i="12"/>
  <c r="B107" i="12"/>
  <c r="E106" i="12"/>
  <c r="E114" i="12" s="1"/>
  <c r="D106" i="12"/>
  <c r="D114" i="12" s="1"/>
  <c r="C106" i="12"/>
  <c r="B106" i="12"/>
  <c r="B114" i="12" s="1"/>
  <c r="E105" i="12"/>
  <c r="D105" i="12"/>
  <c r="C105" i="12"/>
  <c r="B105" i="12"/>
  <c r="AM104" i="12"/>
  <c r="AM212" i="12" s="1"/>
  <c r="AL104" i="12"/>
  <c r="AL212" i="12" s="1"/>
  <c r="AK104" i="12"/>
  <c r="AK212" i="12" s="1"/>
  <c r="AJ104" i="12"/>
  <c r="AJ212" i="12" s="1"/>
  <c r="AI104" i="12"/>
  <c r="AI212" i="12" s="1"/>
  <c r="AH104" i="12"/>
  <c r="AH212" i="12" s="1"/>
  <c r="AG104" i="12"/>
  <c r="AG212" i="12" s="1"/>
  <c r="AF104" i="12"/>
  <c r="AF212" i="12" s="1"/>
  <c r="AE104" i="12"/>
  <c r="AE212" i="12" s="1"/>
  <c r="AD104" i="12"/>
  <c r="AD212" i="12" s="1"/>
  <c r="AC104" i="12"/>
  <c r="AC212" i="12" s="1"/>
  <c r="AB104" i="12"/>
  <c r="AB212" i="12" s="1"/>
  <c r="AA104" i="12"/>
  <c r="Z104" i="12"/>
  <c r="Y104" i="12"/>
  <c r="X104" i="12"/>
  <c r="W104" i="12"/>
  <c r="V104" i="12"/>
  <c r="V212" i="12" s="1"/>
  <c r="U104" i="12"/>
  <c r="T104" i="12"/>
  <c r="S104" i="12"/>
  <c r="R104" i="12"/>
  <c r="Q104" i="12"/>
  <c r="Q212" i="12" s="1"/>
  <c r="P104" i="12"/>
  <c r="P212" i="12" s="1"/>
  <c r="O104" i="12"/>
  <c r="O212" i="12" s="1"/>
  <c r="N104" i="12"/>
  <c r="N212" i="12" s="1"/>
  <c r="H104" i="12"/>
  <c r="G104" i="12"/>
  <c r="F104" i="12"/>
  <c r="E104" i="12"/>
  <c r="D104" i="12"/>
  <c r="C104" i="12"/>
  <c r="B104" i="12"/>
  <c r="H103" i="12"/>
  <c r="G103" i="12"/>
  <c r="F103" i="12"/>
  <c r="E103" i="12"/>
  <c r="D103" i="12"/>
  <c r="C103" i="12"/>
  <c r="B103" i="12"/>
  <c r="AM102" i="12"/>
  <c r="AL102" i="12"/>
  <c r="AK102" i="12"/>
  <c r="AJ102" i="12"/>
  <c r="AI102" i="12"/>
  <c r="AH102" i="12"/>
  <c r="AG102" i="12"/>
  <c r="AF102" i="12"/>
  <c r="AE102" i="12"/>
  <c r="AD102" i="12"/>
  <c r="AC102" i="12"/>
  <c r="AB102" i="12"/>
  <c r="AA102" i="12"/>
  <c r="Z102" i="12"/>
  <c r="Y102" i="12"/>
  <c r="V102" i="12"/>
  <c r="R102" i="12"/>
  <c r="Q102" i="12"/>
  <c r="P102" i="12"/>
  <c r="O102" i="12"/>
  <c r="I102" i="12"/>
  <c r="G102" i="12"/>
  <c r="F102" i="12"/>
  <c r="E102" i="12"/>
  <c r="D102" i="12"/>
  <c r="C102" i="12"/>
  <c r="B102" i="12"/>
  <c r="AM101" i="12"/>
  <c r="AL101" i="12"/>
  <c r="AK101"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C101" i="12"/>
  <c r="B101" i="12"/>
  <c r="M97" i="12"/>
  <c r="L97" i="12"/>
  <c r="M194" i="12" s="1"/>
  <c r="K97" i="12"/>
  <c r="K205" i="12" s="1"/>
  <c r="J97" i="12"/>
  <c r="I97" i="12"/>
  <c r="M96" i="12"/>
  <c r="L96" i="12"/>
  <c r="K96" i="12"/>
  <c r="J96" i="12"/>
  <c r="I96" i="12"/>
  <c r="M95" i="12"/>
  <c r="L95" i="12"/>
  <c r="K95" i="12"/>
  <c r="J95" i="12"/>
  <c r="I95" i="12"/>
  <c r="M94" i="12"/>
  <c r="M202" i="12" s="1"/>
  <c r="L94" i="12"/>
  <c r="K94" i="12"/>
  <c r="K202" i="12" s="1"/>
  <c r="J94" i="12"/>
  <c r="I94" i="12"/>
  <c r="M93" i="12"/>
  <c r="L93" i="12"/>
  <c r="L202" i="12" s="1"/>
  <c r="K93" i="12"/>
  <c r="J93" i="12"/>
  <c r="I93" i="12"/>
  <c r="M92" i="12"/>
  <c r="M201" i="12" s="1"/>
  <c r="L92" i="12"/>
  <c r="L201" i="12" s="1"/>
  <c r="K92" i="12"/>
  <c r="J92" i="12"/>
  <c r="I92" i="12"/>
  <c r="M91" i="12"/>
  <c r="L91" i="12"/>
  <c r="K91" i="12"/>
  <c r="J91" i="12"/>
  <c r="AR87" i="12" s="1"/>
  <c r="I91" i="12"/>
  <c r="AQ87" i="12" s="1"/>
  <c r="M90" i="12"/>
  <c r="L90" i="12"/>
  <c r="K90" i="12"/>
  <c r="J90" i="12"/>
  <c r="J75" i="12" s="1"/>
  <c r="I90" i="12"/>
  <c r="AU89" i="12"/>
  <c r="AT89" i="12"/>
  <c r="AS89" i="12"/>
  <c r="AR89" i="12"/>
  <c r="M89" i="12"/>
  <c r="L89" i="12"/>
  <c r="K89" i="12"/>
  <c r="J89" i="12"/>
  <c r="I89" i="12"/>
  <c r="AQ88" i="12"/>
  <c r="M88" i="12"/>
  <c r="L88" i="12"/>
  <c r="AT86" i="12" s="1"/>
  <c r="K88" i="12"/>
  <c r="AS86" i="12" s="1"/>
  <c r="J88" i="12"/>
  <c r="I88" i="12"/>
  <c r="AT87" i="12"/>
  <c r="AS87" i="12"/>
  <c r="N87" i="12"/>
  <c r="M87" i="12"/>
  <c r="L87" i="12"/>
  <c r="L196" i="12" s="1"/>
  <c r="K87" i="12"/>
  <c r="K196" i="12" s="1"/>
  <c r="J87" i="12"/>
  <c r="I87" i="12"/>
  <c r="AU86" i="12"/>
  <c r="N86" i="12"/>
  <c r="M86" i="12"/>
  <c r="L86" i="12"/>
  <c r="K86" i="12"/>
  <c r="J86" i="12"/>
  <c r="I86" i="12"/>
  <c r="AM85" i="12"/>
  <c r="AL85" i="12"/>
  <c r="AK85"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Q82" i="12"/>
  <c r="P82" i="12"/>
  <c r="O82" i="12"/>
  <c r="J79" i="12"/>
  <c r="I79" i="12"/>
  <c r="AQ74" i="12"/>
  <c r="AQ73" i="12"/>
  <c r="I73" i="12"/>
  <c r="AQ72" i="12"/>
  <c r="AQ71" i="12"/>
  <c r="AQ70" i="12"/>
  <c r="AM69" i="12"/>
  <c r="AL69" i="12"/>
  <c r="AK69" i="12"/>
  <c r="AJ69" i="12"/>
  <c r="AI69" i="12"/>
  <c r="AH69" i="12"/>
  <c r="AG69" i="12"/>
  <c r="AF69" i="12"/>
  <c r="AE69" i="12"/>
  <c r="AD69" i="12"/>
  <c r="AC69" i="12"/>
  <c r="AB69" i="12"/>
  <c r="AA69" i="12"/>
  <c r="Z69" i="12"/>
  <c r="Y69" i="12"/>
  <c r="X69" i="12"/>
  <c r="W69" i="12"/>
  <c r="V69" i="12"/>
  <c r="U69" i="12"/>
  <c r="T69" i="12"/>
  <c r="S69" i="12"/>
  <c r="R69" i="12"/>
  <c r="Q69" i="12"/>
  <c r="P69" i="12"/>
  <c r="O69" i="12"/>
  <c r="N69" i="12"/>
  <c r="M69" i="12"/>
  <c r="L69" i="12"/>
  <c r="K69" i="12"/>
  <c r="J69" i="12"/>
  <c r="I69" i="12"/>
  <c r="M65" i="12"/>
  <c r="L65" i="12"/>
  <c r="K65" i="12"/>
  <c r="J65" i="12"/>
  <c r="I65" i="12"/>
  <c r="M63" i="12"/>
  <c r="K63" i="12"/>
  <c r="J63" i="12"/>
  <c r="I63" i="12"/>
  <c r="AQ62" i="12"/>
  <c r="M62" i="12"/>
  <c r="M61" i="12"/>
  <c r="J61" i="12"/>
  <c r="M60" i="12"/>
  <c r="L60" i="12"/>
  <c r="K60" i="12"/>
  <c r="J60" i="12"/>
  <c r="I60" i="12"/>
  <c r="M59" i="12"/>
  <c r="Q53" i="7" s="1"/>
  <c r="L59" i="12"/>
  <c r="P53" i="7" s="1"/>
  <c r="K59" i="12"/>
  <c r="O53" i="7" s="1"/>
  <c r="J59" i="12"/>
  <c r="I59" i="12"/>
  <c r="M53" i="7" s="1"/>
  <c r="M58" i="12"/>
  <c r="K58" i="12"/>
  <c r="J58" i="12"/>
  <c r="I58" i="12"/>
  <c r="AQ57" i="12"/>
  <c r="K57" i="12"/>
  <c r="J57" i="12"/>
  <c r="I57" i="12"/>
  <c r="AV56" i="12"/>
  <c r="AU56" i="12"/>
  <c r="AT56" i="12"/>
  <c r="AS56" i="12"/>
  <c r="AQ56" i="12"/>
  <c r="AQ61" i="12" s="1"/>
  <c r="M56" i="12"/>
  <c r="L56" i="12"/>
  <c r="K56" i="12"/>
  <c r="J56" i="12"/>
  <c r="I56" i="12"/>
  <c r="AQ55" i="12"/>
  <c r="M55" i="12"/>
  <c r="L55" i="12"/>
  <c r="K55" i="12"/>
  <c r="J55" i="12"/>
  <c r="I55" i="12"/>
  <c r="AQ54" i="12"/>
  <c r="M54" i="12"/>
  <c r="L54" i="12"/>
  <c r="AU54" i="12" s="1"/>
  <c r="K54" i="12"/>
  <c r="J54" i="12"/>
  <c r="J66" i="12" s="1"/>
  <c r="J8" i="12" s="1"/>
  <c r="J107" i="12" s="1"/>
  <c r="I54" i="12"/>
  <c r="AM53" i="12"/>
  <c r="AL53" i="12"/>
  <c r="AK53" i="12"/>
  <c r="AJ53" i="12"/>
  <c r="AI53" i="12"/>
  <c r="AH53" i="12"/>
  <c r="AG53" i="12"/>
  <c r="AF53" i="12"/>
  <c r="AE53" i="12"/>
  <c r="AD53" i="12"/>
  <c r="AC53" i="12"/>
  <c r="AB53" i="12"/>
  <c r="AA53" i="12"/>
  <c r="Z53" i="12"/>
  <c r="Y53" i="12"/>
  <c r="X53" i="12"/>
  <c r="W53" i="12"/>
  <c r="V53" i="12"/>
  <c r="U53" i="12"/>
  <c r="T53" i="12"/>
  <c r="S53" i="12"/>
  <c r="R53" i="12"/>
  <c r="Q53" i="12"/>
  <c r="P53" i="12"/>
  <c r="O53" i="12"/>
  <c r="N53" i="12"/>
  <c r="M53" i="12"/>
  <c r="L53" i="12"/>
  <c r="K53" i="12"/>
  <c r="J53" i="12"/>
  <c r="I53" i="12"/>
  <c r="AM50" i="12"/>
  <c r="AL50" i="12"/>
  <c r="AK50" i="12"/>
  <c r="AJ50" i="12"/>
  <c r="AI50" i="12"/>
  <c r="AH50" i="12"/>
  <c r="AG50" i="12"/>
  <c r="AF50" i="12"/>
  <c r="AE50" i="12"/>
  <c r="AD50" i="12"/>
  <c r="AC50" i="12"/>
  <c r="AB50" i="12"/>
  <c r="AA50" i="12"/>
  <c r="Z50" i="12"/>
  <c r="Y50" i="12"/>
  <c r="X50" i="12"/>
  <c r="W50" i="12"/>
  <c r="V50" i="12"/>
  <c r="U50" i="12"/>
  <c r="T50" i="12"/>
  <c r="S50" i="12"/>
  <c r="R50" i="12"/>
  <c r="Q50" i="12"/>
  <c r="P50" i="12"/>
  <c r="O50" i="12"/>
  <c r="N50" i="12"/>
  <c r="M49" i="12"/>
  <c r="K49" i="12"/>
  <c r="M48" i="12"/>
  <c r="AV41" i="12" s="1"/>
  <c r="L48" i="12"/>
  <c r="K48" i="12"/>
  <c r="I48" i="12"/>
  <c r="AQ47" i="12"/>
  <c r="M47" i="12"/>
  <c r="L47" i="12"/>
  <c r="K47" i="12"/>
  <c r="J47" i="12"/>
  <c r="I47" i="12"/>
  <c r="AQ46" i="12"/>
  <c r="I46" i="12"/>
  <c r="L45" i="12"/>
  <c r="K45" i="12"/>
  <c r="I45" i="12"/>
  <c r="L44" i="12"/>
  <c r="J44" i="12"/>
  <c r="M43" i="12"/>
  <c r="L43" i="12"/>
  <c r="K43" i="12"/>
  <c r="J43" i="12"/>
  <c r="I43" i="12"/>
  <c r="M42" i="12"/>
  <c r="L42" i="12"/>
  <c r="K42" i="12"/>
  <c r="J42" i="12"/>
  <c r="I42" i="12"/>
  <c r="AU41" i="12"/>
  <c r="AT41" i="12"/>
  <c r="AQ41" i="12"/>
  <c r="M41" i="12"/>
  <c r="L41" i="12"/>
  <c r="K41" i="12"/>
  <c r="J41" i="12"/>
  <c r="I41" i="12"/>
  <c r="AV40" i="12"/>
  <c r="AU40" i="12"/>
  <c r="AT40" i="12"/>
  <c r="AQ40" i="12"/>
  <c r="M40" i="12"/>
  <c r="L40" i="12"/>
  <c r="K40" i="12"/>
  <c r="J40" i="12"/>
  <c r="I40" i="12"/>
  <c r="AR39" i="12"/>
  <c r="AQ39" i="12"/>
  <c r="M39" i="12"/>
  <c r="L39" i="12"/>
  <c r="K39" i="12"/>
  <c r="AV38" i="12"/>
  <c r="AQ38" i="12"/>
  <c r="I38" i="12"/>
  <c r="AM37" i="12"/>
  <c r="AL37" i="12"/>
  <c r="AK37" i="12"/>
  <c r="AJ37" i="12"/>
  <c r="AI37" i="12"/>
  <c r="AH37" i="12"/>
  <c r="AG37" i="12"/>
  <c r="AF37" i="12"/>
  <c r="AE37" i="12"/>
  <c r="AD37" i="12"/>
  <c r="AC37" i="12"/>
  <c r="AB37" i="12"/>
  <c r="AA37" i="12"/>
  <c r="Z37" i="12"/>
  <c r="Y37" i="12"/>
  <c r="X37" i="12"/>
  <c r="W37" i="12"/>
  <c r="V37" i="12"/>
  <c r="U37" i="12"/>
  <c r="T37" i="12"/>
  <c r="S37" i="12"/>
  <c r="R37" i="12"/>
  <c r="Q37" i="12"/>
  <c r="P37" i="12"/>
  <c r="O37" i="12"/>
  <c r="N37" i="12"/>
  <c r="M37" i="12"/>
  <c r="L37" i="12"/>
  <c r="K37" i="12"/>
  <c r="J37" i="12"/>
  <c r="I37" i="12"/>
  <c r="M33" i="12"/>
  <c r="L33" i="12"/>
  <c r="K33" i="12"/>
  <c r="J33" i="12"/>
  <c r="I33" i="12"/>
  <c r="M32" i="12"/>
  <c r="L32" i="12"/>
  <c r="K32" i="12"/>
  <c r="J32" i="12"/>
  <c r="I32" i="12"/>
  <c r="M31" i="12"/>
  <c r="L31" i="12"/>
  <c r="K31" i="12"/>
  <c r="N14" i="27" s="1"/>
  <c r="J31" i="12"/>
  <c r="I31" i="12"/>
  <c r="M30" i="12"/>
  <c r="L30" i="12"/>
  <c r="K30" i="12"/>
  <c r="J30" i="12"/>
  <c r="I30" i="12"/>
  <c r="M29" i="12"/>
  <c r="L29" i="12"/>
  <c r="K29" i="12"/>
  <c r="J29" i="12"/>
  <c r="I29" i="12"/>
  <c r="M28" i="12"/>
  <c r="L28" i="12"/>
  <c r="K28" i="12"/>
  <c r="J28" i="12"/>
  <c r="I28" i="12"/>
  <c r="M27" i="12"/>
  <c r="L27" i="12"/>
  <c r="K27" i="12"/>
  <c r="J27" i="12"/>
  <c r="I27" i="12"/>
  <c r="M26" i="12"/>
  <c r="L26" i="12"/>
  <c r="K26" i="12"/>
  <c r="J26" i="12"/>
  <c r="I26" i="12"/>
  <c r="AV25" i="12"/>
  <c r="AU25" i="12"/>
  <c r="AT25" i="12"/>
  <c r="M25" i="12"/>
  <c r="L25" i="12"/>
  <c r="K25" i="12"/>
  <c r="J25" i="12"/>
  <c r="I25" i="12"/>
  <c r="AS24" i="12"/>
  <c r="M24" i="12"/>
  <c r="L24" i="12"/>
  <c r="K24" i="12"/>
  <c r="J24" i="12"/>
  <c r="I24" i="12"/>
  <c r="N23" i="12"/>
  <c r="M23" i="12"/>
  <c r="L23" i="12"/>
  <c r="K23" i="12"/>
  <c r="J23" i="12"/>
  <c r="M6" i="27" s="1"/>
  <c r="I23" i="12"/>
  <c r="N22" i="12"/>
  <c r="M22" i="12"/>
  <c r="L22" i="12"/>
  <c r="E96" i="16" s="1"/>
  <c r="K22" i="12"/>
  <c r="J22" i="12"/>
  <c r="I22" i="12"/>
  <c r="AM21" i="12"/>
  <c r="AL21" i="12"/>
  <c r="AK21" i="12"/>
  <c r="AJ21" i="12"/>
  <c r="AI21" i="12"/>
  <c r="AH21" i="12"/>
  <c r="AG21" i="12"/>
  <c r="AF21" i="12"/>
  <c r="AE21" i="12"/>
  <c r="AD21" i="12"/>
  <c r="AC21" i="12"/>
  <c r="AB21" i="12"/>
  <c r="AA21" i="12"/>
  <c r="Z21" i="12"/>
  <c r="Y21" i="12"/>
  <c r="X21" i="12"/>
  <c r="W21" i="12"/>
  <c r="V21" i="12"/>
  <c r="U21" i="12"/>
  <c r="T21" i="12"/>
  <c r="S21" i="12"/>
  <c r="R21" i="12"/>
  <c r="Q21" i="12"/>
  <c r="P21" i="12"/>
  <c r="O21" i="12"/>
  <c r="N21" i="12"/>
  <c r="M21" i="12"/>
  <c r="L21" i="12"/>
  <c r="K21" i="12"/>
  <c r="J21" i="12"/>
  <c r="I21" i="12"/>
  <c r="K17" i="12"/>
  <c r="J17" i="12"/>
  <c r="I17" i="12"/>
  <c r="M16" i="12"/>
  <c r="AG11" i="28" s="1"/>
  <c r="L16" i="12"/>
  <c r="AF11" i="28" s="1"/>
  <c r="K16" i="12"/>
  <c r="J16" i="12"/>
  <c r="N12" i="12"/>
  <c r="M10" i="12"/>
  <c r="M109" i="12" s="1"/>
  <c r="N102" i="12" s="1"/>
  <c r="L10" i="12"/>
  <c r="L109" i="12" s="1"/>
  <c r="K10" i="12"/>
  <c r="K109" i="12" s="1"/>
  <c r="J10" i="12"/>
  <c r="J109" i="12" s="1"/>
  <c r="N6" i="12"/>
  <c r="N9" i="12" s="1"/>
  <c r="N4" i="12"/>
  <c r="AH8" i="28" s="1"/>
  <c r="H4" i="12"/>
  <c r="H34" i="12" s="1"/>
  <c r="G4" i="12"/>
  <c r="G34" i="12" s="1"/>
  <c r="F4" i="12"/>
  <c r="F34" i="12" s="1"/>
  <c r="E4" i="12"/>
  <c r="E34" i="12" s="1"/>
  <c r="D4" i="12"/>
  <c r="D34" i="12" s="1"/>
  <c r="C4" i="12"/>
  <c r="C34" i="12" s="1"/>
  <c r="B4" i="12"/>
  <c r="B34" i="12" s="1"/>
  <c r="AM3" i="12"/>
  <c r="AL3" i="12"/>
  <c r="AK3" i="12"/>
  <c r="AJ3" i="12"/>
  <c r="AI3" i="12"/>
  <c r="AH3" i="12"/>
  <c r="AG3" i="12"/>
  <c r="AF3" i="12"/>
  <c r="AE3" i="12"/>
  <c r="AD3" i="12"/>
  <c r="AC3" i="12"/>
  <c r="AB3" i="12"/>
  <c r="AA3" i="12"/>
  <c r="Z3" i="12"/>
  <c r="Y3" i="12"/>
  <c r="X3" i="12"/>
  <c r="W3" i="12"/>
  <c r="V3" i="12"/>
  <c r="U3" i="12"/>
  <c r="T3" i="12"/>
  <c r="S3" i="12"/>
  <c r="R3" i="12"/>
  <c r="Q3" i="12"/>
  <c r="P3" i="12"/>
  <c r="O3" i="12"/>
  <c r="N3" i="12"/>
  <c r="E2" i="11"/>
  <c r="D2" i="11"/>
  <c r="C2" i="11"/>
  <c r="A424" i="10"/>
  <c r="A423" i="10"/>
  <c r="A422" i="10"/>
  <c r="A421" i="10"/>
  <c r="A420" i="10"/>
  <c r="A419" i="10"/>
  <c r="A416" i="10"/>
  <c r="A414" i="10"/>
  <c r="A402" i="10"/>
  <c r="A401" i="10"/>
  <c r="A399" i="10"/>
  <c r="A397" i="10"/>
  <c r="A394" i="10"/>
  <c r="A393" i="10"/>
  <c r="A392" i="10"/>
  <c r="A391" i="10"/>
  <c r="A379" i="10"/>
  <c r="A378" i="10"/>
  <c r="A375" i="10"/>
  <c r="A372" i="10"/>
  <c r="A370" i="10"/>
  <c r="A356" i="10"/>
  <c r="A355" i="10"/>
  <c r="A353" i="10"/>
  <c r="A352" i="10"/>
  <c r="A351" i="10"/>
  <c r="A350" i="10"/>
  <c r="A349" i="10"/>
  <c r="A348" i="10"/>
  <c r="A347" i="10"/>
  <c r="A325" i="10"/>
  <c r="A313" i="10"/>
  <c r="A311" i="10"/>
  <c r="A308" i="10"/>
  <c r="A306" i="10"/>
  <c r="A305" i="10"/>
  <c r="A304" i="10"/>
  <c r="A282" i="10"/>
  <c r="A281" i="10"/>
  <c r="A269" i="10"/>
  <c r="A267" i="10"/>
  <c r="A266" i="10"/>
  <c r="A264" i="10"/>
  <c r="A262" i="10"/>
  <c r="A240" i="10"/>
  <c r="A238" i="10"/>
  <c r="A237" i="10"/>
  <c r="A225" i="10"/>
  <c r="A224" i="10"/>
  <c r="A223" i="10"/>
  <c r="A222" i="10"/>
  <c r="A221" i="10"/>
  <c r="A220" i="10"/>
  <c r="A199" i="10"/>
  <c r="A196" i="10"/>
  <c r="A195" i="10"/>
  <c r="A194" i="10"/>
  <c r="A193" i="10"/>
  <c r="A181" i="10"/>
  <c r="A179" i="10"/>
  <c r="A157" i="10"/>
  <c r="A155" i="10"/>
  <c r="A153" i="10"/>
  <c r="A151" i="10"/>
  <c r="A150" i="10"/>
  <c r="A149" i="10"/>
  <c r="A138" i="10"/>
  <c r="A137" i="10"/>
  <c r="A115" i="10"/>
  <c r="A114" i="10"/>
  <c r="A113" i="10"/>
  <c r="A112" i="10"/>
  <c r="A111" i="10"/>
  <c r="A110" i="10"/>
  <c r="A109" i="10"/>
  <c r="A108" i="10"/>
  <c r="A107" i="10"/>
  <c r="A106" i="10"/>
  <c r="A105" i="10"/>
  <c r="A71" i="10"/>
  <c r="A70" i="10"/>
  <c r="A69" i="10"/>
  <c r="A68" i="10"/>
  <c r="A67" i="10"/>
  <c r="A66" i="10"/>
  <c r="A65" i="10"/>
  <c r="A64" i="10"/>
  <c r="A63" i="10"/>
  <c r="A62" i="10"/>
  <c r="A41" i="10"/>
  <c r="A40" i="10"/>
  <c r="A39" i="10"/>
  <c r="A28" i="10"/>
  <c r="A27" i="10"/>
  <c r="A26" i="10"/>
  <c r="A25" i="10"/>
  <c r="A24" i="10"/>
  <c r="A23" i="10"/>
  <c r="A22" i="10"/>
  <c r="A21" i="10"/>
  <c r="A20" i="10"/>
  <c r="X510" i="9"/>
  <c r="W510" i="9"/>
  <c r="O510" i="9"/>
  <c r="N510" i="9"/>
  <c r="M510" i="9"/>
  <c r="L510" i="9"/>
  <c r="K510" i="9"/>
  <c r="J510" i="9"/>
  <c r="I510" i="9"/>
  <c r="V510" i="9" s="1"/>
  <c r="H510" i="9"/>
  <c r="G510" i="9"/>
  <c r="F510" i="9"/>
  <c r="E510" i="9"/>
  <c r="D510" i="9"/>
  <c r="C510" i="9"/>
  <c r="B510" i="9"/>
  <c r="A510" i="9"/>
  <c r="O509" i="9"/>
  <c r="N509" i="9"/>
  <c r="M509" i="9"/>
  <c r="L509" i="9"/>
  <c r="K509" i="9"/>
  <c r="J509" i="9"/>
  <c r="I509" i="9"/>
  <c r="H509" i="9"/>
  <c r="G509" i="9"/>
  <c r="F509" i="9"/>
  <c r="E509" i="9"/>
  <c r="D509" i="9"/>
  <c r="C509" i="9"/>
  <c r="X509" i="9" s="1"/>
  <c r="B509" i="9"/>
  <c r="A509" i="9"/>
  <c r="X508" i="9"/>
  <c r="W508" i="9"/>
  <c r="V508" i="9"/>
  <c r="P508" i="9"/>
  <c r="O508" i="9"/>
  <c r="N508" i="9"/>
  <c r="M508" i="9"/>
  <c r="L508" i="9"/>
  <c r="K508" i="9"/>
  <c r="J508" i="9"/>
  <c r="I508" i="9"/>
  <c r="H508" i="9"/>
  <c r="G508" i="9"/>
  <c r="F508" i="9"/>
  <c r="E508" i="9"/>
  <c r="D508" i="9"/>
  <c r="C508" i="9"/>
  <c r="B508" i="9"/>
  <c r="A508" i="9"/>
  <c r="O507" i="9"/>
  <c r="V507" i="9" s="1"/>
  <c r="N507" i="9"/>
  <c r="M507" i="9"/>
  <c r="L507" i="9"/>
  <c r="K507" i="9"/>
  <c r="J507" i="9"/>
  <c r="I507" i="9"/>
  <c r="H507" i="9"/>
  <c r="G507" i="9"/>
  <c r="F507" i="9"/>
  <c r="E507" i="9"/>
  <c r="D507" i="9"/>
  <c r="C507" i="9"/>
  <c r="B507" i="9"/>
  <c r="A507" i="9"/>
  <c r="X506" i="9"/>
  <c r="O506" i="9"/>
  <c r="V506" i="9" s="1"/>
  <c r="N506" i="9"/>
  <c r="M506" i="9"/>
  <c r="L506" i="9"/>
  <c r="K506" i="9"/>
  <c r="J506" i="9"/>
  <c r="I506" i="9"/>
  <c r="H506" i="9"/>
  <c r="G506" i="9"/>
  <c r="F506" i="9"/>
  <c r="E506" i="9"/>
  <c r="D506" i="9"/>
  <c r="C506" i="9"/>
  <c r="B506" i="9"/>
  <c r="A506" i="9"/>
  <c r="O505" i="9"/>
  <c r="N505" i="9"/>
  <c r="M505" i="9"/>
  <c r="L505" i="9"/>
  <c r="K505" i="9"/>
  <c r="J505" i="9"/>
  <c r="I505" i="9"/>
  <c r="H505" i="9"/>
  <c r="G505" i="9"/>
  <c r="F505" i="9"/>
  <c r="E505" i="9"/>
  <c r="D505" i="9"/>
  <c r="C505" i="9"/>
  <c r="X505" i="9" s="1"/>
  <c r="B505" i="9"/>
  <c r="A505" i="9"/>
  <c r="O504" i="9"/>
  <c r="N504" i="9"/>
  <c r="M504" i="9"/>
  <c r="L504" i="9"/>
  <c r="K504" i="9"/>
  <c r="J504" i="9"/>
  <c r="I504" i="9"/>
  <c r="P504" i="9" s="1"/>
  <c r="H504" i="9"/>
  <c r="G504" i="9"/>
  <c r="F504" i="9"/>
  <c r="E504" i="9"/>
  <c r="D504" i="9"/>
  <c r="C504" i="9"/>
  <c r="X504" i="9" s="1"/>
  <c r="B504" i="9"/>
  <c r="W504" i="9" s="1"/>
  <c r="A504" i="9"/>
  <c r="O503" i="9"/>
  <c r="N503" i="9"/>
  <c r="M503" i="9"/>
  <c r="L503" i="9"/>
  <c r="K503" i="9"/>
  <c r="J503" i="9"/>
  <c r="I503" i="9"/>
  <c r="H503" i="9"/>
  <c r="G503" i="9"/>
  <c r="F503" i="9"/>
  <c r="E503" i="9"/>
  <c r="D503" i="9"/>
  <c r="C503" i="9"/>
  <c r="X503" i="9" s="1"/>
  <c r="B503" i="9"/>
  <c r="A503" i="9"/>
  <c r="O502" i="9"/>
  <c r="N502" i="9"/>
  <c r="M502" i="9"/>
  <c r="L502" i="9"/>
  <c r="K502" i="9"/>
  <c r="J502" i="9"/>
  <c r="I502" i="9"/>
  <c r="H502" i="9"/>
  <c r="W502" i="9" s="1"/>
  <c r="G502" i="9"/>
  <c r="F502" i="9"/>
  <c r="E502" i="9"/>
  <c r="D502" i="9"/>
  <c r="P502" i="9" s="1"/>
  <c r="C502" i="9"/>
  <c r="X502" i="9" s="1"/>
  <c r="B502" i="9"/>
  <c r="A502" i="9"/>
  <c r="X501" i="9"/>
  <c r="O501" i="9"/>
  <c r="V501" i="9" s="1"/>
  <c r="N501" i="9"/>
  <c r="M501" i="9"/>
  <c r="L501" i="9"/>
  <c r="K501" i="9"/>
  <c r="J501" i="9"/>
  <c r="I501" i="9"/>
  <c r="H501" i="9"/>
  <c r="G501" i="9"/>
  <c r="F501" i="9"/>
  <c r="E501" i="9"/>
  <c r="D501" i="9"/>
  <c r="C501" i="9"/>
  <c r="B501" i="9"/>
  <c r="A501" i="9"/>
  <c r="X500" i="9"/>
  <c r="O500" i="9"/>
  <c r="N500" i="9"/>
  <c r="M500" i="9"/>
  <c r="L500" i="9"/>
  <c r="K500" i="9"/>
  <c r="J500" i="9"/>
  <c r="I500" i="9"/>
  <c r="H500" i="9"/>
  <c r="G500" i="9"/>
  <c r="F500" i="9"/>
  <c r="E500" i="9"/>
  <c r="D500" i="9"/>
  <c r="C500" i="9"/>
  <c r="B500" i="9"/>
  <c r="A500" i="9"/>
  <c r="O499" i="9"/>
  <c r="N499" i="9"/>
  <c r="M499" i="9"/>
  <c r="L499" i="9"/>
  <c r="K499" i="9"/>
  <c r="J499" i="9"/>
  <c r="I499" i="9"/>
  <c r="P499" i="9" s="1"/>
  <c r="H499" i="9"/>
  <c r="W499" i="9" s="1"/>
  <c r="G499" i="9"/>
  <c r="F499" i="9"/>
  <c r="E499" i="9"/>
  <c r="D499" i="9"/>
  <c r="C499" i="9"/>
  <c r="X499" i="9" s="1"/>
  <c r="B499" i="9"/>
  <c r="A499" i="9"/>
  <c r="W498" i="9"/>
  <c r="V498" i="9"/>
  <c r="O498" i="9"/>
  <c r="N498" i="9"/>
  <c r="M498" i="9"/>
  <c r="L498" i="9"/>
  <c r="K498" i="9"/>
  <c r="J498" i="9"/>
  <c r="I498" i="9"/>
  <c r="H498" i="9"/>
  <c r="G498" i="9"/>
  <c r="F498" i="9"/>
  <c r="E498" i="9"/>
  <c r="D498" i="9"/>
  <c r="C498" i="9"/>
  <c r="X498" i="9" s="1"/>
  <c r="B498" i="9"/>
  <c r="A498" i="9"/>
  <c r="X497" i="9"/>
  <c r="O497" i="9"/>
  <c r="N497" i="9"/>
  <c r="M497" i="9"/>
  <c r="L497" i="9"/>
  <c r="K497" i="9"/>
  <c r="J497" i="9"/>
  <c r="I497" i="9"/>
  <c r="H497" i="9"/>
  <c r="G497" i="9"/>
  <c r="F497" i="9"/>
  <c r="E497" i="9"/>
  <c r="D497" i="9"/>
  <c r="C497" i="9"/>
  <c r="B497" i="9"/>
  <c r="A497" i="9"/>
  <c r="X496" i="9"/>
  <c r="W496" i="9"/>
  <c r="V496" i="9"/>
  <c r="O496" i="9"/>
  <c r="N496" i="9"/>
  <c r="P496" i="9" s="1"/>
  <c r="M496" i="9"/>
  <c r="L496" i="9"/>
  <c r="K496" i="9"/>
  <c r="J496" i="9"/>
  <c r="I496" i="9"/>
  <c r="H496" i="9"/>
  <c r="G496" i="9"/>
  <c r="F496" i="9"/>
  <c r="E496" i="9"/>
  <c r="D496" i="9"/>
  <c r="C496" i="9"/>
  <c r="B496" i="9"/>
  <c r="A496" i="9"/>
  <c r="O495" i="9"/>
  <c r="N495" i="9"/>
  <c r="M495" i="9"/>
  <c r="L495" i="9"/>
  <c r="K495" i="9"/>
  <c r="J495" i="9"/>
  <c r="I495" i="9"/>
  <c r="H495" i="9"/>
  <c r="G495" i="9"/>
  <c r="F495" i="9"/>
  <c r="E495" i="9"/>
  <c r="D495" i="9"/>
  <c r="C495" i="9"/>
  <c r="X495" i="9" s="1"/>
  <c r="B495" i="9"/>
  <c r="A495" i="9"/>
  <c r="X494" i="9"/>
  <c r="W494" i="9"/>
  <c r="V494" i="9"/>
  <c r="O494" i="9"/>
  <c r="N494" i="9"/>
  <c r="M494" i="9"/>
  <c r="P494" i="9" s="1"/>
  <c r="L494" i="9"/>
  <c r="K494" i="9"/>
  <c r="J494" i="9"/>
  <c r="I494" i="9"/>
  <c r="H494" i="9"/>
  <c r="G494" i="9"/>
  <c r="F494" i="9"/>
  <c r="E494" i="9"/>
  <c r="D494" i="9"/>
  <c r="C494" i="9"/>
  <c r="B494" i="9"/>
  <c r="A494" i="9"/>
  <c r="O493" i="9"/>
  <c r="N493" i="9"/>
  <c r="M493" i="9"/>
  <c r="L493" i="9"/>
  <c r="K493" i="9"/>
  <c r="J493" i="9"/>
  <c r="I493" i="9"/>
  <c r="H493" i="9"/>
  <c r="G493" i="9"/>
  <c r="F493" i="9"/>
  <c r="E493" i="9"/>
  <c r="D493" i="9"/>
  <c r="C493" i="9"/>
  <c r="X493" i="9" s="1"/>
  <c r="B493" i="9"/>
  <c r="A493" i="9"/>
  <c r="X492" i="9"/>
  <c r="O492" i="9"/>
  <c r="N492" i="9"/>
  <c r="M492" i="9"/>
  <c r="L492" i="9"/>
  <c r="K492" i="9"/>
  <c r="J492" i="9"/>
  <c r="I492" i="9"/>
  <c r="H492" i="9"/>
  <c r="G492" i="9"/>
  <c r="F492" i="9"/>
  <c r="P492" i="9" s="1"/>
  <c r="E492" i="9"/>
  <c r="D492" i="9"/>
  <c r="C492" i="9"/>
  <c r="B492" i="9"/>
  <c r="W492" i="9" s="1"/>
  <c r="A492" i="9"/>
  <c r="O491" i="9"/>
  <c r="N491" i="9"/>
  <c r="M491" i="9"/>
  <c r="L491" i="9"/>
  <c r="K491" i="9"/>
  <c r="J491" i="9"/>
  <c r="I491" i="9"/>
  <c r="H491" i="9"/>
  <c r="G491" i="9"/>
  <c r="F491" i="9"/>
  <c r="E491" i="9"/>
  <c r="D491" i="9"/>
  <c r="C491" i="9"/>
  <c r="X491" i="9" s="1"/>
  <c r="B491" i="9"/>
  <c r="A491" i="9"/>
  <c r="O490" i="9"/>
  <c r="N490" i="9"/>
  <c r="M490" i="9"/>
  <c r="L490" i="9"/>
  <c r="K490" i="9"/>
  <c r="J490" i="9"/>
  <c r="I490" i="9"/>
  <c r="H490" i="9"/>
  <c r="G490" i="9"/>
  <c r="F490" i="9"/>
  <c r="E490" i="9"/>
  <c r="D490" i="9"/>
  <c r="C490" i="9"/>
  <c r="X490" i="9" s="1"/>
  <c r="B490" i="9"/>
  <c r="A490" i="9"/>
  <c r="X489" i="9"/>
  <c r="O489" i="9"/>
  <c r="N489" i="9"/>
  <c r="M489" i="9"/>
  <c r="L489" i="9"/>
  <c r="W489" i="9" s="1"/>
  <c r="K489" i="9"/>
  <c r="P489" i="9" s="1"/>
  <c r="J489" i="9"/>
  <c r="I489" i="9"/>
  <c r="H489" i="9"/>
  <c r="G489" i="9"/>
  <c r="F489" i="9"/>
  <c r="E489" i="9"/>
  <c r="D489" i="9"/>
  <c r="C489" i="9"/>
  <c r="B489" i="9"/>
  <c r="A489" i="9"/>
  <c r="X488" i="9"/>
  <c r="O488" i="9"/>
  <c r="N488" i="9"/>
  <c r="M488" i="9"/>
  <c r="L488" i="9"/>
  <c r="K488" i="9"/>
  <c r="J488" i="9"/>
  <c r="I488" i="9"/>
  <c r="H488" i="9"/>
  <c r="W488" i="9" s="1"/>
  <c r="G488" i="9"/>
  <c r="F488" i="9"/>
  <c r="E488" i="9"/>
  <c r="D488" i="9"/>
  <c r="C488" i="9"/>
  <c r="B488" i="9"/>
  <c r="A488" i="9"/>
  <c r="O487" i="9"/>
  <c r="V487" i="9" s="1"/>
  <c r="N487" i="9"/>
  <c r="M487" i="9"/>
  <c r="L487" i="9"/>
  <c r="K487" i="9"/>
  <c r="J487" i="9"/>
  <c r="I487" i="9"/>
  <c r="H487" i="9"/>
  <c r="G487" i="9"/>
  <c r="F487" i="9"/>
  <c r="E487" i="9"/>
  <c r="D487" i="9"/>
  <c r="C487" i="9"/>
  <c r="X487" i="9" s="1"/>
  <c r="B487" i="9"/>
  <c r="A487" i="9"/>
  <c r="X486" i="9"/>
  <c r="W486" i="9"/>
  <c r="V486" i="9"/>
  <c r="P486" i="9"/>
  <c r="O486" i="9"/>
  <c r="N486" i="9"/>
  <c r="M486" i="9"/>
  <c r="L486" i="9"/>
  <c r="K486" i="9"/>
  <c r="J486" i="9"/>
  <c r="I486" i="9"/>
  <c r="H486" i="9"/>
  <c r="G486" i="9"/>
  <c r="F486" i="9"/>
  <c r="E486" i="9"/>
  <c r="D486" i="9"/>
  <c r="C486" i="9"/>
  <c r="B486" i="9"/>
  <c r="A486" i="9"/>
  <c r="O485" i="9"/>
  <c r="V485" i="9" s="1"/>
  <c r="N485" i="9"/>
  <c r="M485" i="9"/>
  <c r="L485" i="9"/>
  <c r="K485" i="9"/>
  <c r="J485" i="9"/>
  <c r="I485" i="9"/>
  <c r="H485" i="9"/>
  <c r="G485" i="9"/>
  <c r="F485" i="9"/>
  <c r="E485" i="9"/>
  <c r="D485" i="9"/>
  <c r="C485" i="9"/>
  <c r="X485" i="9" s="1"/>
  <c r="B485" i="9"/>
  <c r="A485" i="9"/>
  <c r="X484" i="9"/>
  <c r="O484" i="9"/>
  <c r="V484" i="9" s="1"/>
  <c r="N484" i="9"/>
  <c r="M484" i="9"/>
  <c r="P484" i="9" s="1"/>
  <c r="L484" i="9"/>
  <c r="K484" i="9"/>
  <c r="J484" i="9"/>
  <c r="I484" i="9"/>
  <c r="H484" i="9"/>
  <c r="G484" i="9"/>
  <c r="F484" i="9"/>
  <c r="E484" i="9"/>
  <c r="D484" i="9"/>
  <c r="C484" i="9"/>
  <c r="B484" i="9"/>
  <c r="A484" i="9"/>
  <c r="X483" i="9"/>
  <c r="W483" i="9"/>
  <c r="O483" i="9"/>
  <c r="V483" i="9" s="1"/>
  <c r="N483" i="9"/>
  <c r="M483" i="9"/>
  <c r="L483" i="9"/>
  <c r="K483" i="9"/>
  <c r="J483" i="9"/>
  <c r="I483" i="9"/>
  <c r="H483" i="9"/>
  <c r="G483" i="9"/>
  <c r="F483" i="9"/>
  <c r="E483" i="9"/>
  <c r="D483" i="9"/>
  <c r="C483" i="9"/>
  <c r="B483" i="9"/>
  <c r="P483" i="9" s="1"/>
  <c r="A483" i="9"/>
  <c r="O482" i="9"/>
  <c r="V482" i="9" s="1"/>
  <c r="N482" i="9"/>
  <c r="M482" i="9"/>
  <c r="L482" i="9"/>
  <c r="K482" i="9"/>
  <c r="J482" i="9"/>
  <c r="I482" i="9"/>
  <c r="H482" i="9"/>
  <c r="G482" i="9"/>
  <c r="F482" i="9"/>
  <c r="E482" i="9"/>
  <c r="D482" i="9"/>
  <c r="C482" i="9"/>
  <c r="X482" i="9" s="1"/>
  <c r="B482" i="9"/>
  <c r="W482" i="9" s="1"/>
  <c r="A482" i="9"/>
  <c r="X481" i="9"/>
  <c r="W481" i="9"/>
  <c r="O481" i="9"/>
  <c r="N481" i="9"/>
  <c r="M481" i="9"/>
  <c r="L481" i="9"/>
  <c r="K481" i="9"/>
  <c r="J481" i="9"/>
  <c r="I481" i="9"/>
  <c r="H481" i="9"/>
  <c r="G481" i="9"/>
  <c r="F481" i="9"/>
  <c r="V481" i="9" s="1"/>
  <c r="E481" i="9"/>
  <c r="D481" i="9"/>
  <c r="C481" i="9"/>
  <c r="B481" i="9"/>
  <c r="P481" i="9" s="1"/>
  <c r="A481" i="9"/>
  <c r="O480" i="9"/>
  <c r="N480" i="9"/>
  <c r="M480" i="9"/>
  <c r="L480" i="9"/>
  <c r="K480" i="9"/>
  <c r="J480" i="9"/>
  <c r="I480" i="9"/>
  <c r="H480" i="9"/>
  <c r="G480" i="9"/>
  <c r="F480" i="9"/>
  <c r="E480" i="9"/>
  <c r="D480" i="9"/>
  <c r="C480" i="9"/>
  <c r="X480" i="9" s="1"/>
  <c r="B480" i="9"/>
  <c r="A480" i="9"/>
  <c r="X479" i="9"/>
  <c r="V479" i="9"/>
  <c r="O479" i="9"/>
  <c r="N479" i="9"/>
  <c r="M479" i="9"/>
  <c r="L479" i="9"/>
  <c r="K479" i="9"/>
  <c r="J479" i="9"/>
  <c r="I479" i="9"/>
  <c r="H479" i="9"/>
  <c r="G479" i="9"/>
  <c r="F479" i="9"/>
  <c r="E479" i="9"/>
  <c r="D479" i="9"/>
  <c r="C479" i="9"/>
  <c r="B479" i="9"/>
  <c r="P479" i="9" s="1"/>
  <c r="A479" i="9"/>
  <c r="O478" i="9"/>
  <c r="N478" i="9"/>
  <c r="M478" i="9"/>
  <c r="L478" i="9"/>
  <c r="K478" i="9"/>
  <c r="J478" i="9"/>
  <c r="I478" i="9"/>
  <c r="H478" i="9"/>
  <c r="G478" i="9"/>
  <c r="F478" i="9"/>
  <c r="E478" i="9"/>
  <c r="D478" i="9"/>
  <c r="C478" i="9"/>
  <c r="X478" i="9" s="1"/>
  <c r="B478" i="9"/>
  <c r="A478" i="9"/>
  <c r="O477" i="9"/>
  <c r="N477" i="9"/>
  <c r="M477" i="9"/>
  <c r="L477" i="9"/>
  <c r="K477" i="9"/>
  <c r="J477" i="9"/>
  <c r="I477" i="9"/>
  <c r="P477" i="9" s="1"/>
  <c r="H477" i="9"/>
  <c r="W477" i="9" s="1"/>
  <c r="G477" i="9"/>
  <c r="F477" i="9"/>
  <c r="E477" i="9"/>
  <c r="D477" i="9"/>
  <c r="C477" i="9"/>
  <c r="X477" i="9" s="1"/>
  <c r="B477" i="9"/>
  <c r="A477" i="9"/>
  <c r="X476" i="9"/>
  <c r="W476" i="9"/>
  <c r="O476" i="9"/>
  <c r="N476" i="9"/>
  <c r="M476" i="9"/>
  <c r="L476" i="9"/>
  <c r="K476" i="9"/>
  <c r="J476" i="9"/>
  <c r="I476" i="9"/>
  <c r="H476" i="9"/>
  <c r="G476" i="9"/>
  <c r="F476" i="9"/>
  <c r="E476" i="9"/>
  <c r="D476" i="9"/>
  <c r="C476" i="9"/>
  <c r="B476" i="9"/>
  <c r="A476" i="9"/>
  <c r="X475" i="9"/>
  <c r="O475" i="9"/>
  <c r="V475" i="9" s="1"/>
  <c r="N475" i="9"/>
  <c r="M475" i="9"/>
  <c r="L475" i="9"/>
  <c r="K475" i="9"/>
  <c r="J475" i="9"/>
  <c r="I475" i="9"/>
  <c r="H475" i="9"/>
  <c r="G475" i="9"/>
  <c r="F475" i="9"/>
  <c r="E475" i="9"/>
  <c r="D475" i="9"/>
  <c r="C475" i="9"/>
  <c r="B475" i="9"/>
  <c r="A475" i="9"/>
  <c r="P474" i="9"/>
  <c r="O474" i="9"/>
  <c r="V474" i="9" s="1"/>
  <c r="N474" i="9"/>
  <c r="M474" i="9"/>
  <c r="L474" i="9"/>
  <c r="K474" i="9"/>
  <c r="J474" i="9"/>
  <c r="I474" i="9"/>
  <c r="H474" i="9"/>
  <c r="G474" i="9"/>
  <c r="F474" i="9"/>
  <c r="E474" i="9"/>
  <c r="D474" i="9"/>
  <c r="C474" i="9"/>
  <c r="X474" i="9" s="1"/>
  <c r="B474" i="9"/>
  <c r="A474" i="9"/>
  <c r="O473" i="9"/>
  <c r="N473" i="9"/>
  <c r="M473" i="9"/>
  <c r="L473" i="9"/>
  <c r="K473" i="9"/>
  <c r="J473" i="9"/>
  <c r="I473" i="9"/>
  <c r="H473" i="9"/>
  <c r="G473" i="9"/>
  <c r="F473" i="9"/>
  <c r="E473" i="9"/>
  <c r="D473" i="9"/>
  <c r="C473" i="9"/>
  <c r="X473" i="9" s="1"/>
  <c r="B473" i="9"/>
  <c r="A473" i="9"/>
  <c r="X472" i="9"/>
  <c r="O472" i="9"/>
  <c r="V472" i="9" s="1"/>
  <c r="N472" i="9"/>
  <c r="M472" i="9"/>
  <c r="L472" i="9"/>
  <c r="W472" i="9" s="1"/>
  <c r="K472" i="9"/>
  <c r="J472" i="9"/>
  <c r="I472" i="9"/>
  <c r="H472" i="9"/>
  <c r="G472" i="9"/>
  <c r="F472" i="9"/>
  <c r="E472" i="9"/>
  <c r="D472" i="9"/>
  <c r="C472" i="9"/>
  <c r="B472" i="9"/>
  <c r="A472" i="9"/>
  <c r="X471" i="9"/>
  <c r="W471" i="9"/>
  <c r="V471" i="9"/>
  <c r="O471" i="9"/>
  <c r="N471" i="9"/>
  <c r="M471" i="9"/>
  <c r="L471" i="9"/>
  <c r="K471" i="9"/>
  <c r="J471" i="9"/>
  <c r="I471" i="9"/>
  <c r="H471" i="9"/>
  <c r="G471" i="9"/>
  <c r="F471" i="9"/>
  <c r="E471" i="9"/>
  <c r="D471" i="9"/>
  <c r="C471" i="9"/>
  <c r="B471" i="9"/>
  <c r="P471" i="9" s="1"/>
  <c r="A471" i="9"/>
  <c r="X470" i="9"/>
  <c r="P470" i="9"/>
  <c r="O470" i="9"/>
  <c r="V470" i="9" s="1"/>
  <c r="N470" i="9"/>
  <c r="M470" i="9"/>
  <c r="L470" i="9"/>
  <c r="K470" i="9"/>
  <c r="J470" i="9"/>
  <c r="I470" i="9"/>
  <c r="H470" i="9"/>
  <c r="G470" i="9"/>
  <c r="F470" i="9"/>
  <c r="E470" i="9"/>
  <c r="D470" i="9"/>
  <c r="C470" i="9"/>
  <c r="B470" i="9"/>
  <c r="W470" i="9" s="1"/>
  <c r="A470" i="9"/>
  <c r="Y469" i="9"/>
  <c r="X469" i="9"/>
  <c r="W469" i="9"/>
  <c r="V469" i="9"/>
  <c r="O469" i="9"/>
  <c r="N469" i="9"/>
  <c r="M469" i="9"/>
  <c r="L469" i="9"/>
  <c r="K469" i="9"/>
  <c r="J469" i="9"/>
  <c r="I469" i="9"/>
  <c r="H469" i="9"/>
  <c r="G469" i="9"/>
  <c r="F469" i="9"/>
  <c r="E469" i="9"/>
  <c r="D469" i="9"/>
  <c r="C469" i="9"/>
  <c r="B469" i="9"/>
  <c r="A469" i="9"/>
  <c r="O468" i="9"/>
  <c r="N468" i="9"/>
  <c r="M468" i="9"/>
  <c r="L468" i="9"/>
  <c r="K468" i="9"/>
  <c r="J468" i="9"/>
  <c r="I468" i="9"/>
  <c r="H468" i="9"/>
  <c r="G468" i="9"/>
  <c r="F468" i="9"/>
  <c r="E468" i="9"/>
  <c r="D468" i="9"/>
  <c r="C468" i="9"/>
  <c r="X468" i="9" s="1"/>
  <c r="B468" i="9"/>
  <c r="A468" i="9"/>
  <c r="X467" i="9"/>
  <c r="W467" i="9"/>
  <c r="V467" i="9"/>
  <c r="O467" i="9"/>
  <c r="N467" i="9"/>
  <c r="M467" i="9"/>
  <c r="L467" i="9"/>
  <c r="K467" i="9"/>
  <c r="P467" i="9" s="1"/>
  <c r="J467" i="9"/>
  <c r="I467" i="9"/>
  <c r="H467" i="9"/>
  <c r="G467" i="9"/>
  <c r="F467" i="9"/>
  <c r="E467" i="9"/>
  <c r="D467" i="9"/>
  <c r="C467" i="9"/>
  <c r="B467" i="9"/>
  <c r="A467" i="9"/>
  <c r="O466" i="9"/>
  <c r="N466" i="9"/>
  <c r="M466" i="9"/>
  <c r="L466" i="9"/>
  <c r="K466" i="9"/>
  <c r="J466" i="9"/>
  <c r="I466" i="9"/>
  <c r="H466" i="9"/>
  <c r="W466" i="9" s="1"/>
  <c r="G466" i="9"/>
  <c r="F466" i="9"/>
  <c r="E466" i="9"/>
  <c r="D466" i="9"/>
  <c r="C466" i="9"/>
  <c r="X466" i="9" s="1"/>
  <c r="B466" i="9"/>
  <c r="A466" i="9"/>
  <c r="O465" i="9"/>
  <c r="N465" i="9"/>
  <c r="M465" i="9"/>
  <c r="L465" i="9"/>
  <c r="K465" i="9"/>
  <c r="J465" i="9"/>
  <c r="I465" i="9"/>
  <c r="H465" i="9"/>
  <c r="G465" i="9"/>
  <c r="F465" i="9"/>
  <c r="E465" i="9"/>
  <c r="D465" i="9"/>
  <c r="C465" i="9"/>
  <c r="X465" i="9" s="1"/>
  <c r="B465" i="9"/>
  <c r="W465" i="9" s="1"/>
  <c r="A465" i="9"/>
  <c r="X464" i="9"/>
  <c r="P464" i="9"/>
  <c r="O464" i="9"/>
  <c r="N464" i="9"/>
  <c r="M464" i="9"/>
  <c r="L464" i="9"/>
  <c r="K464" i="9"/>
  <c r="J464" i="9"/>
  <c r="I464" i="9"/>
  <c r="H464" i="9"/>
  <c r="G464" i="9"/>
  <c r="F464" i="9"/>
  <c r="E464" i="9"/>
  <c r="V464" i="9" s="1"/>
  <c r="D464" i="9"/>
  <c r="C464" i="9"/>
  <c r="B464" i="9"/>
  <c r="W464" i="9" s="1"/>
  <c r="A464" i="9"/>
  <c r="O463" i="9"/>
  <c r="N463" i="9"/>
  <c r="M463" i="9"/>
  <c r="L463" i="9"/>
  <c r="K463" i="9"/>
  <c r="J463" i="9"/>
  <c r="I463" i="9"/>
  <c r="H463" i="9"/>
  <c r="G463" i="9"/>
  <c r="F463" i="9"/>
  <c r="E463" i="9"/>
  <c r="D463" i="9"/>
  <c r="C463" i="9"/>
  <c r="X463" i="9" s="1"/>
  <c r="B463" i="9"/>
  <c r="A463" i="9"/>
  <c r="X462" i="9"/>
  <c r="O462" i="9"/>
  <c r="V462" i="9" s="1"/>
  <c r="N462" i="9"/>
  <c r="M462" i="9"/>
  <c r="L462" i="9"/>
  <c r="K462" i="9"/>
  <c r="J462" i="9"/>
  <c r="I462" i="9"/>
  <c r="H462" i="9"/>
  <c r="G462" i="9"/>
  <c r="F462" i="9"/>
  <c r="E462" i="9"/>
  <c r="D462" i="9"/>
  <c r="C462" i="9"/>
  <c r="B462" i="9"/>
  <c r="A462" i="9"/>
  <c r="X461" i="9"/>
  <c r="W461" i="9"/>
  <c r="AB461" i="9" s="1"/>
  <c r="O461" i="9"/>
  <c r="V461" i="9" s="1"/>
  <c r="Y461" i="9" s="1"/>
  <c r="AA461" i="9" s="1"/>
  <c r="N461" i="9"/>
  <c r="M461" i="9"/>
  <c r="L461" i="9"/>
  <c r="K461" i="9"/>
  <c r="J461" i="9"/>
  <c r="I461" i="9"/>
  <c r="H461" i="9"/>
  <c r="G461" i="9"/>
  <c r="F461" i="9"/>
  <c r="E461" i="9"/>
  <c r="D461" i="9"/>
  <c r="C461" i="9"/>
  <c r="B461" i="9"/>
  <c r="A461" i="9"/>
  <c r="O460" i="9"/>
  <c r="N460" i="9"/>
  <c r="M460" i="9"/>
  <c r="L460" i="9"/>
  <c r="K460" i="9"/>
  <c r="P460" i="9" s="1"/>
  <c r="J460" i="9"/>
  <c r="I460" i="9"/>
  <c r="H460" i="9"/>
  <c r="G460" i="9"/>
  <c r="F460" i="9"/>
  <c r="E460" i="9"/>
  <c r="D460" i="9"/>
  <c r="C460" i="9"/>
  <c r="X460" i="9" s="1"/>
  <c r="B460" i="9"/>
  <c r="A460" i="9"/>
  <c r="W459" i="9"/>
  <c r="V459" i="9"/>
  <c r="O459" i="9"/>
  <c r="N459" i="9"/>
  <c r="M459" i="9"/>
  <c r="L459" i="9"/>
  <c r="K459" i="9"/>
  <c r="J459" i="9"/>
  <c r="I459" i="9"/>
  <c r="H459" i="9"/>
  <c r="G459" i="9"/>
  <c r="F459" i="9"/>
  <c r="E459" i="9"/>
  <c r="D459" i="9"/>
  <c r="C459" i="9"/>
  <c r="X459" i="9" s="1"/>
  <c r="B459" i="9"/>
  <c r="P459" i="9" s="1"/>
  <c r="A459" i="9"/>
  <c r="O458" i="9"/>
  <c r="V458" i="9" s="1"/>
  <c r="N458" i="9"/>
  <c r="M458" i="9"/>
  <c r="L458" i="9"/>
  <c r="K458" i="9"/>
  <c r="J458" i="9"/>
  <c r="I458" i="9"/>
  <c r="H458" i="9"/>
  <c r="W458" i="9" s="1"/>
  <c r="G458" i="9"/>
  <c r="F458" i="9"/>
  <c r="E458" i="9"/>
  <c r="D458" i="9"/>
  <c r="C458" i="9"/>
  <c r="X458" i="9" s="1"/>
  <c r="B458" i="9"/>
  <c r="A458" i="9"/>
  <c r="Y457" i="9"/>
  <c r="X457" i="9"/>
  <c r="W457" i="9"/>
  <c r="V457" i="9"/>
  <c r="AA457" i="9" s="1"/>
  <c r="O457" i="9"/>
  <c r="N457" i="9"/>
  <c r="M457" i="9"/>
  <c r="L457" i="9"/>
  <c r="K457" i="9"/>
  <c r="J457" i="9"/>
  <c r="I457" i="9"/>
  <c r="H457" i="9"/>
  <c r="G457" i="9"/>
  <c r="F457" i="9"/>
  <c r="E457" i="9"/>
  <c r="D457" i="9"/>
  <c r="C457" i="9"/>
  <c r="B457" i="9"/>
  <c r="P457" i="9" s="1"/>
  <c r="A457" i="9"/>
  <c r="O456" i="9"/>
  <c r="N456" i="9"/>
  <c r="M456" i="9"/>
  <c r="L456" i="9"/>
  <c r="K456" i="9"/>
  <c r="J456" i="9"/>
  <c r="I456" i="9"/>
  <c r="H456" i="9"/>
  <c r="G456" i="9"/>
  <c r="F456" i="9"/>
  <c r="E456" i="9"/>
  <c r="D456" i="9"/>
  <c r="C456" i="9"/>
  <c r="X456" i="9" s="1"/>
  <c r="B456" i="9"/>
  <c r="A456" i="9"/>
  <c r="V455" i="9"/>
  <c r="O455" i="9"/>
  <c r="N455" i="9"/>
  <c r="M455" i="9"/>
  <c r="L455" i="9"/>
  <c r="K455" i="9"/>
  <c r="J455" i="9"/>
  <c r="I455" i="9"/>
  <c r="P455" i="9" s="1"/>
  <c r="H455" i="9"/>
  <c r="W455" i="9" s="1"/>
  <c r="G455" i="9"/>
  <c r="F455" i="9"/>
  <c r="E455" i="9"/>
  <c r="D455" i="9"/>
  <c r="C455" i="9"/>
  <c r="X455" i="9" s="1"/>
  <c r="B455" i="9"/>
  <c r="A455" i="9"/>
  <c r="O454" i="9"/>
  <c r="N454" i="9"/>
  <c r="M454" i="9"/>
  <c r="L454" i="9"/>
  <c r="K454" i="9"/>
  <c r="J454" i="9"/>
  <c r="I454" i="9"/>
  <c r="H454" i="9"/>
  <c r="G454" i="9"/>
  <c r="F454" i="9"/>
  <c r="E454" i="9"/>
  <c r="D454" i="9"/>
  <c r="C454" i="9"/>
  <c r="X454" i="9" s="1"/>
  <c r="B454" i="9"/>
  <c r="A454" i="9"/>
  <c r="X453" i="9"/>
  <c r="O453" i="9"/>
  <c r="N453" i="9"/>
  <c r="M453" i="9"/>
  <c r="L453" i="9"/>
  <c r="K453" i="9"/>
  <c r="J453" i="9"/>
  <c r="I453" i="9"/>
  <c r="H453" i="9"/>
  <c r="W453" i="9" s="1"/>
  <c r="G453" i="9"/>
  <c r="F453" i="9"/>
  <c r="E453" i="9"/>
  <c r="D453" i="9"/>
  <c r="C453" i="9"/>
  <c r="B453" i="9"/>
  <c r="A453" i="9"/>
  <c r="X452" i="9"/>
  <c r="O452" i="9"/>
  <c r="V452" i="9" s="1"/>
  <c r="N452" i="9"/>
  <c r="M452" i="9"/>
  <c r="L452" i="9"/>
  <c r="K452" i="9"/>
  <c r="J452" i="9"/>
  <c r="I452" i="9"/>
  <c r="H452" i="9"/>
  <c r="G452" i="9"/>
  <c r="F452" i="9"/>
  <c r="E452" i="9"/>
  <c r="D452" i="9"/>
  <c r="C452" i="9"/>
  <c r="B452" i="9"/>
  <c r="A452" i="9"/>
  <c r="O451" i="9"/>
  <c r="N451" i="9"/>
  <c r="M451" i="9"/>
  <c r="L451" i="9"/>
  <c r="K451" i="9"/>
  <c r="J451" i="9"/>
  <c r="I451" i="9"/>
  <c r="H451" i="9"/>
  <c r="G451" i="9"/>
  <c r="F451" i="9"/>
  <c r="E451" i="9"/>
  <c r="D451" i="9"/>
  <c r="C451" i="9"/>
  <c r="X451" i="9" s="1"/>
  <c r="B451" i="9"/>
  <c r="A451" i="9"/>
  <c r="X450" i="9"/>
  <c r="O450" i="9"/>
  <c r="N450" i="9"/>
  <c r="M450" i="9"/>
  <c r="L450" i="9"/>
  <c r="K450" i="9"/>
  <c r="J450" i="9"/>
  <c r="P450" i="9" s="1"/>
  <c r="I450" i="9"/>
  <c r="H450" i="9"/>
  <c r="G450" i="9"/>
  <c r="F450" i="9"/>
  <c r="E450" i="9"/>
  <c r="D450" i="9"/>
  <c r="C450" i="9"/>
  <c r="B450" i="9"/>
  <c r="A450" i="9"/>
  <c r="Y449" i="9"/>
  <c r="AA449" i="9" s="1"/>
  <c r="X449" i="9"/>
  <c r="W449" i="9"/>
  <c r="V449" i="9"/>
  <c r="O449" i="9"/>
  <c r="N449" i="9"/>
  <c r="M449" i="9"/>
  <c r="L449" i="9"/>
  <c r="K449" i="9"/>
  <c r="J449" i="9"/>
  <c r="I449" i="9"/>
  <c r="H449" i="9"/>
  <c r="G449" i="9"/>
  <c r="F449" i="9"/>
  <c r="E449" i="9"/>
  <c r="D449" i="9"/>
  <c r="C449" i="9"/>
  <c r="B449" i="9"/>
  <c r="A449" i="9"/>
  <c r="X448" i="9"/>
  <c r="O448" i="9"/>
  <c r="V448" i="9" s="1"/>
  <c r="N448" i="9"/>
  <c r="M448" i="9"/>
  <c r="L448" i="9"/>
  <c r="P448" i="9" s="1"/>
  <c r="K448" i="9"/>
  <c r="J448" i="9"/>
  <c r="I448" i="9"/>
  <c r="H448" i="9"/>
  <c r="G448" i="9"/>
  <c r="F448" i="9"/>
  <c r="E448" i="9"/>
  <c r="D448" i="9"/>
  <c r="C448" i="9"/>
  <c r="B448" i="9"/>
  <c r="A448" i="9"/>
  <c r="O447" i="9"/>
  <c r="N447" i="9"/>
  <c r="M447" i="9"/>
  <c r="L447" i="9"/>
  <c r="K447" i="9"/>
  <c r="J447" i="9"/>
  <c r="I447" i="9"/>
  <c r="H447" i="9"/>
  <c r="G447" i="9"/>
  <c r="F447" i="9"/>
  <c r="E447" i="9"/>
  <c r="D447" i="9"/>
  <c r="V447" i="9" s="1"/>
  <c r="C447" i="9"/>
  <c r="X447" i="9" s="1"/>
  <c r="B447" i="9"/>
  <c r="A447" i="9"/>
  <c r="O446" i="9"/>
  <c r="N446" i="9"/>
  <c r="M446" i="9"/>
  <c r="L446" i="9"/>
  <c r="K446" i="9"/>
  <c r="J446" i="9"/>
  <c r="I446" i="9"/>
  <c r="H446" i="9"/>
  <c r="G446" i="9"/>
  <c r="F446" i="9"/>
  <c r="E446" i="9"/>
  <c r="D446" i="9"/>
  <c r="C446" i="9"/>
  <c r="X446" i="9" s="1"/>
  <c r="B446" i="9"/>
  <c r="A446" i="9"/>
  <c r="X445" i="9"/>
  <c r="W445" i="9"/>
  <c r="V445" i="9"/>
  <c r="O445" i="9"/>
  <c r="N445" i="9"/>
  <c r="M445" i="9"/>
  <c r="L445" i="9"/>
  <c r="K445" i="9"/>
  <c r="P445" i="9" s="1"/>
  <c r="J445" i="9"/>
  <c r="I445" i="9"/>
  <c r="H445" i="9"/>
  <c r="G445" i="9"/>
  <c r="F445" i="9"/>
  <c r="E445" i="9"/>
  <c r="D445" i="9"/>
  <c r="C445" i="9"/>
  <c r="B445" i="9"/>
  <c r="A445" i="9"/>
  <c r="O444" i="9"/>
  <c r="N444" i="9"/>
  <c r="M444" i="9"/>
  <c r="L444" i="9"/>
  <c r="K444" i="9"/>
  <c r="J444" i="9"/>
  <c r="I444" i="9"/>
  <c r="V444" i="9" s="1"/>
  <c r="H444" i="9"/>
  <c r="G444" i="9"/>
  <c r="F444" i="9"/>
  <c r="E444" i="9"/>
  <c r="D444" i="9"/>
  <c r="C444" i="9"/>
  <c r="X444" i="9" s="1"/>
  <c r="B444" i="9"/>
  <c r="A444" i="9"/>
  <c r="X443" i="9"/>
  <c r="O443" i="9"/>
  <c r="N443" i="9"/>
  <c r="M443" i="9"/>
  <c r="L443" i="9"/>
  <c r="K443" i="9"/>
  <c r="J443" i="9"/>
  <c r="I443" i="9"/>
  <c r="H443" i="9"/>
  <c r="G443" i="9"/>
  <c r="P443" i="9" s="1"/>
  <c r="F443" i="9"/>
  <c r="E443" i="9"/>
  <c r="D443" i="9"/>
  <c r="C443" i="9"/>
  <c r="B443" i="9"/>
  <c r="W443" i="9" s="1"/>
  <c r="A443" i="9"/>
  <c r="X442" i="9"/>
  <c r="W442" i="9"/>
  <c r="O442" i="9"/>
  <c r="N442" i="9"/>
  <c r="M442" i="9"/>
  <c r="L442" i="9"/>
  <c r="K442" i="9"/>
  <c r="J442" i="9"/>
  <c r="I442" i="9"/>
  <c r="H442" i="9"/>
  <c r="G442" i="9"/>
  <c r="F442" i="9"/>
  <c r="E442" i="9"/>
  <c r="D442" i="9"/>
  <c r="C442" i="9"/>
  <c r="B442" i="9"/>
  <c r="A442" i="9"/>
  <c r="O441" i="9"/>
  <c r="N441" i="9"/>
  <c r="M441" i="9"/>
  <c r="L441" i="9"/>
  <c r="K441" i="9"/>
  <c r="J441" i="9"/>
  <c r="I441" i="9"/>
  <c r="H441" i="9"/>
  <c r="G441" i="9"/>
  <c r="F441" i="9"/>
  <c r="E441" i="9"/>
  <c r="D441" i="9"/>
  <c r="C441" i="9"/>
  <c r="X441" i="9" s="1"/>
  <c r="B441" i="9"/>
  <c r="A441" i="9"/>
  <c r="X440" i="9"/>
  <c r="O440" i="9"/>
  <c r="V440" i="9" s="1"/>
  <c r="N440" i="9"/>
  <c r="M440" i="9"/>
  <c r="L440" i="9"/>
  <c r="W440" i="9" s="1"/>
  <c r="K440" i="9"/>
  <c r="J440" i="9"/>
  <c r="I440" i="9"/>
  <c r="H440" i="9"/>
  <c r="G440" i="9"/>
  <c r="F440" i="9"/>
  <c r="E440" i="9"/>
  <c r="D440" i="9"/>
  <c r="C440" i="9"/>
  <c r="B440" i="9"/>
  <c r="A440" i="9"/>
  <c r="X439" i="9"/>
  <c r="W439" i="9"/>
  <c r="O439" i="9"/>
  <c r="N439" i="9"/>
  <c r="M439" i="9"/>
  <c r="L439" i="9"/>
  <c r="K439" i="9"/>
  <c r="J439" i="9"/>
  <c r="I439" i="9"/>
  <c r="H439" i="9"/>
  <c r="G439" i="9"/>
  <c r="F439" i="9"/>
  <c r="E439" i="9"/>
  <c r="D439" i="9"/>
  <c r="C439" i="9"/>
  <c r="B439" i="9"/>
  <c r="A439" i="9"/>
  <c r="O438" i="9"/>
  <c r="N438" i="9"/>
  <c r="M438" i="9"/>
  <c r="L438" i="9"/>
  <c r="K438" i="9"/>
  <c r="J438" i="9"/>
  <c r="I438" i="9"/>
  <c r="P438" i="9" s="1"/>
  <c r="H438" i="9"/>
  <c r="G438" i="9"/>
  <c r="F438" i="9"/>
  <c r="E438" i="9"/>
  <c r="D438" i="9"/>
  <c r="C438" i="9"/>
  <c r="X438" i="9" s="1"/>
  <c r="B438" i="9"/>
  <c r="A438" i="9"/>
  <c r="X437" i="9"/>
  <c r="W437" i="9"/>
  <c r="V437" i="9"/>
  <c r="O437" i="9"/>
  <c r="N437" i="9"/>
  <c r="M437" i="9"/>
  <c r="L437" i="9"/>
  <c r="K437" i="9"/>
  <c r="J437" i="9"/>
  <c r="I437" i="9"/>
  <c r="H437" i="9"/>
  <c r="G437" i="9"/>
  <c r="F437" i="9"/>
  <c r="E437" i="9"/>
  <c r="D437" i="9"/>
  <c r="C437" i="9"/>
  <c r="B437" i="9"/>
  <c r="P437" i="9" s="1"/>
  <c r="A437" i="9"/>
  <c r="O436" i="9"/>
  <c r="V436" i="9" s="1"/>
  <c r="N436" i="9"/>
  <c r="M436" i="9"/>
  <c r="L436" i="9"/>
  <c r="K436" i="9"/>
  <c r="J436" i="9"/>
  <c r="I436" i="9"/>
  <c r="H436" i="9"/>
  <c r="G436" i="9"/>
  <c r="F436" i="9"/>
  <c r="E436" i="9"/>
  <c r="D436" i="9"/>
  <c r="C436" i="9"/>
  <c r="X436" i="9" s="1"/>
  <c r="B436" i="9"/>
  <c r="A436" i="9"/>
  <c r="X435" i="9"/>
  <c r="O435" i="9"/>
  <c r="V435" i="9" s="1"/>
  <c r="N435" i="9"/>
  <c r="M435" i="9"/>
  <c r="L435" i="9"/>
  <c r="K435" i="9"/>
  <c r="J435" i="9"/>
  <c r="I435" i="9"/>
  <c r="H435" i="9"/>
  <c r="G435" i="9"/>
  <c r="F435" i="9"/>
  <c r="E435" i="9"/>
  <c r="D435" i="9"/>
  <c r="C435" i="9"/>
  <c r="B435" i="9"/>
  <c r="P435" i="9" s="1"/>
  <c r="A435" i="9"/>
  <c r="O434" i="9"/>
  <c r="N434" i="9"/>
  <c r="M434" i="9"/>
  <c r="L434" i="9"/>
  <c r="K434" i="9"/>
  <c r="J434" i="9"/>
  <c r="I434" i="9"/>
  <c r="H434" i="9"/>
  <c r="G434" i="9"/>
  <c r="F434" i="9"/>
  <c r="E434" i="9"/>
  <c r="D434" i="9"/>
  <c r="C434" i="9"/>
  <c r="X434" i="9" s="1"/>
  <c r="B434" i="9"/>
  <c r="A434" i="9"/>
  <c r="V433" i="9"/>
  <c r="O433" i="9"/>
  <c r="N433" i="9"/>
  <c r="M433" i="9"/>
  <c r="L433" i="9"/>
  <c r="K433" i="9"/>
  <c r="J433" i="9"/>
  <c r="I433" i="9"/>
  <c r="P433" i="9" s="1"/>
  <c r="H433" i="9"/>
  <c r="G433" i="9"/>
  <c r="F433" i="9"/>
  <c r="E433" i="9"/>
  <c r="D433" i="9"/>
  <c r="C433" i="9"/>
  <c r="X433" i="9" s="1"/>
  <c r="B433" i="9"/>
  <c r="A433" i="9"/>
  <c r="O432" i="9"/>
  <c r="N432" i="9"/>
  <c r="M432" i="9"/>
  <c r="L432" i="9"/>
  <c r="K432" i="9"/>
  <c r="J432" i="9"/>
  <c r="I432" i="9"/>
  <c r="H432" i="9"/>
  <c r="G432" i="9"/>
  <c r="F432" i="9"/>
  <c r="E432" i="9"/>
  <c r="D432" i="9"/>
  <c r="C432" i="9"/>
  <c r="X432" i="9" s="1"/>
  <c r="B432" i="9"/>
  <c r="A432" i="9"/>
  <c r="X431" i="9"/>
  <c r="O431" i="9"/>
  <c r="N431" i="9"/>
  <c r="M431" i="9"/>
  <c r="L431" i="9"/>
  <c r="K431" i="9"/>
  <c r="J431" i="9"/>
  <c r="I431" i="9"/>
  <c r="H431" i="9"/>
  <c r="W431" i="9" s="1"/>
  <c r="G431" i="9"/>
  <c r="F431" i="9"/>
  <c r="E431" i="9"/>
  <c r="D431" i="9"/>
  <c r="C431" i="9"/>
  <c r="B431" i="9"/>
  <c r="A431" i="9"/>
  <c r="V430" i="9"/>
  <c r="O430" i="9"/>
  <c r="N430" i="9"/>
  <c r="M430" i="9"/>
  <c r="L430" i="9"/>
  <c r="K430" i="9"/>
  <c r="J430" i="9"/>
  <c r="I430" i="9"/>
  <c r="H430" i="9"/>
  <c r="G430" i="9"/>
  <c r="F430" i="9"/>
  <c r="E430" i="9"/>
  <c r="D430" i="9"/>
  <c r="C430" i="9"/>
  <c r="X430" i="9" s="1"/>
  <c r="B430" i="9"/>
  <c r="W430" i="9" s="1"/>
  <c r="A430" i="9"/>
  <c r="O429" i="9"/>
  <c r="N429" i="9"/>
  <c r="M429" i="9"/>
  <c r="L429" i="9"/>
  <c r="K429" i="9"/>
  <c r="J429" i="9"/>
  <c r="I429" i="9"/>
  <c r="H429" i="9"/>
  <c r="G429" i="9"/>
  <c r="F429" i="9"/>
  <c r="E429" i="9"/>
  <c r="D429" i="9"/>
  <c r="C429" i="9"/>
  <c r="X429" i="9" s="1"/>
  <c r="B429" i="9"/>
  <c r="A429" i="9"/>
  <c r="X428" i="9"/>
  <c r="O428" i="9"/>
  <c r="N428" i="9"/>
  <c r="M428" i="9"/>
  <c r="L428" i="9"/>
  <c r="K428" i="9"/>
  <c r="J428" i="9"/>
  <c r="I428" i="9"/>
  <c r="H428" i="9"/>
  <c r="G428" i="9"/>
  <c r="F428" i="9"/>
  <c r="E428" i="9"/>
  <c r="D428" i="9"/>
  <c r="C428" i="9"/>
  <c r="B428" i="9"/>
  <c r="A428" i="9"/>
  <c r="X427" i="9"/>
  <c r="W427" i="9"/>
  <c r="V427" i="9"/>
  <c r="O427" i="9"/>
  <c r="N427" i="9"/>
  <c r="M427" i="9"/>
  <c r="L427" i="9"/>
  <c r="K427" i="9"/>
  <c r="J427" i="9"/>
  <c r="I427" i="9"/>
  <c r="H427" i="9"/>
  <c r="G427" i="9"/>
  <c r="F427" i="9"/>
  <c r="E427" i="9"/>
  <c r="D427" i="9"/>
  <c r="C427" i="9"/>
  <c r="B427" i="9"/>
  <c r="A427" i="9"/>
  <c r="X426" i="9"/>
  <c r="O426" i="9"/>
  <c r="V426" i="9" s="1"/>
  <c r="N426" i="9"/>
  <c r="P426" i="9" s="1"/>
  <c r="M426" i="9"/>
  <c r="L426" i="9"/>
  <c r="K426" i="9"/>
  <c r="J426" i="9"/>
  <c r="I426" i="9"/>
  <c r="H426" i="9"/>
  <c r="G426" i="9"/>
  <c r="F426" i="9"/>
  <c r="E426" i="9"/>
  <c r="D426" i="9"/>
  <c r="C426" i="9"/>
  <c r="B426" i="9"/>
  <c r="A426" i="9"/>
  <c r="A426" i="10" s="1"/>
  <c r="X425" i="9"/>
  <c r="V425" i="9"/>
  <c r="O425" i="9"/>
  <c r="N425" i="9"/>
  <c r="M425" i="9"/>
  <c r="L425" i="9"/>
  <c r="K425" i="9"/>
  <c r="J425" i="9"/>
  <c r="I425" i="9"/>
  <c r="H425" i="9"/>
  <c r="G425" i="9"/>
  <c r="F425" i="9"/>
  <c r="E425" i="9"/>
  <c r="D425" i="9"/>
  <c r="C425" i="9"/>
  <c r="B425" i="9"/>
  <c r="W425" i="9" s="1"/>
  <c r="A425" i="9"/>
  <c r="A425" i="10" s="1"/>
  <c r="O424" i="9"/>
  <c r="V424" i="9" s="1"/>
  <c r="N424" i="9"/>
  <c r="M424" i="9"/>
  <c r="L424" i="9"/>
  <c r="K424" i="9"/>
  <c r="J424" i="9"/>
  <c r="I424" i="9"/>
  <c r="H424" i="9"/>
  <c r="G424" i="9"/>
  <c r="F424" i="9"/>
  <c r="E424" i="9"/>
  <c r="D424" i="9"/>
  <c r="C424" i="9"/>
  <c r="X424" i="9" s="1"/>
  <c r="B424" i="9"/>
  <c r="A424" i="9"/>
  <c r="X423" i="9"/>
  <c r="W423" i="9"/>
  <c r="V423" i="9"/>
  <c r="P423" i="9"/>
  <c r="O423" i="9"/>
  <c r="N423" i="9"/>
  <c r="M423" i="9"/>
  <c r="L423" i="9"/>
  <c r="K423" i="9"/>
  <c r="J423" i="9"/>
  <c r="I423" i="9"/>
  <c r="H423" i="9"/>
  <c r="G423" i="9"/>
  <c r="F423" i="9"/>
  <c r="E423" i="9"/>
  <c r="D423" i="9"/>
  <c r="C423" i="9"/>
  <c r="B423" i="9"/>
  <c r="A423" i="9"/>
  <c r="O422" i="9"/>
  <c r="N422" i="9"/>
  <c r="M422" i="9"/>
  <c r="L422" i="9"/>
  <c r="K422" i="9"/>
  <c r="J422" i="9"/>
  <c r="I422" i="9"/>
  <c r="H422" i="9"/>
  <c r="G422" i="9"/>
  <c r="F422" i="9"/>
  <c r="E422" i="9"/>
  <c r="D422" i="9"/>
  <c r="C422" i="9"/>
  <c r="X422" i="9" s="1"/>
  <c r="B422" i="9"/>
  <c r="A422" i="9"/>
  <c r="O421" i="9"/>
  <c r="N421" i="9"/>
  <c r="M421" i="9"/>
  <c r="L421" i="9"/>
  <c r="K421" i="9"/>
  <c r="J421" i="9"/>
  <c r="I421" i="9"/>
  <c r="H421" i="9"/>
  <c r="G421" i="9"/>
  <c r="P421" i="9" s="1"/>
  <c r="F421" i="9"/>
  <c r="E421" i="9"/>
  <c r="D421" i="9"/>
  <c r="C421" i="9"/>
  <c r="X421" i="9" s="1"/>
  <c r="B421" i="9"/>
  <c r="W421" i="9" s="1"/>
  <c r="A421" i="9"/>
  <c r="O420" i="9"/>
  <c r="N420" i="9"/>
  <c r="M420" i="9"/>
  <c r="L420" i="9"/>
  <c r="K420" i="9"/>
  <c r="J420" i="9"/>
  <c r="V420" i="9" s="1"/>
  <c r="I420" i="9"/>
  <c r="H420" i="9"/>
  <c r="G420" i="9"/>
  <c r="F420" i="9"/>
  <c r="E420" i="9"/>
  <c r="D420" i="9"/>
  <c r="C420" i="9"/>
  <c r="X420" i="9" s="1"/>
  <c r="B420" i="9"/>
  <c r="W420" i="9" s="1"/>
  <c r="A420" i="9"/>
  <c r="O419" i="9"/>
  <c r="N419" i="9"/>
  <c r="M419" i="9"/>
  <c r="L419" i="9"/>
  <c r="K419" i="9"/>
  <c r="J419" i="9"/>
  <c r="I419" i="9"/>
  <c r="H419" i="9"/>
  <c r="G419" i="9"/>
  <c r="F419" i="9"/>
  <c r="E419" i="9"/>
  <c r="D419" i="9"/>
  <c r="C419" i="9"/>
  <c r="X419" i="9" s="1"/>
  <c r="B419" i="9"/>
  <c r="A419" i="9"/>
  <c r="X418" i="9"/>
  <c r="O418" i="9"/>
  <c r="N418" i="9"/>
  <c r="M418" i="9"/>
  <c r="L418" i="9"/>
  <c r="W418" i="9" s="1"/>
  <c r="K418" i="9"/>
  <c r="J418" i="9"/>
  <c r="I418" i="9"/>
  <c r="H418" i="9"/>
  <c r="G418" i="9"/>
  <c r="F418" i="9"/>
  <c r="P418" i="9" s="1"/>
  <c r="E418" i="9"/>
  <c r="D418" i="9"/>
  <c r="C418" i="9"/>
  <c r="B418" i="9"/>
  <c r="A418" i="9"/>
  <c r="A418" i="10" s="1"/>
  <c r="X417" i="9"/>
  <c r="W417" i="9"/>
  <c r="O417" i="9"/>
  <c r="N417" i="9"/>
  <c r="M417" i="9"/>
  <c r="L417" i="9"/>
  <c r="K417" i="9"/>
  <c r="J417" i="9"/>
  <c r="I417" i="9"/>
  <c r="H417" i="9"/>
  <c r="G417" i="9"/>
  <c r="F417" i="9"/>
  <c r="E417" i="9"/>
  <c r="D417" i="9"/>
  <c r="C417" i="9"/>
  <c r="B417" i="9"/>
  <c r="A417" i="9"/>
  <c r="A417" i="10" s="1"/>
  <c r="P416" i="9"/>
  <c r="O416" i="9"/>
  <c r="N416" i="9"/>
  <c r="M416" i="9"/>
  <c r="L416" i="9"/>
  <c r="K416" i="9"/>
  <c r="J416" i="9"/>
  <c r="I416" i="9"/>
  <c r="H416" i="9"/>
  <c r="G416" i="9"/>
  <c r="F416" i="9"/>
  <c r="E416" i="9"/>
  <c r="D416" i="9"/>
  <c r="C416" i="9"/>
  <c r="X416" i="9" s="1"/>
  <c r="B416" i="9"/>
  <c r="A416" i="9"/>
  <c r="X415" i="9"/>
  <c r="W415" i="9"/>
  <c r="V415" i="9"/>
  <c r="Y415" i="9" s="1"/>
  <c r="O415" i="9"/>
  <c r="N415" i="9"/>
  <c r="M415" i="9"/>
  <c r="L415" i="9"/>
  <c r="K415" i="9"/>
  <c r="J415" i="9"/>
  <c r="I415" i="9"/>
  <c r="H415" i="9"/>
  <c r="G415" i="9"/>
  <c r="F415" i="9"/>
  <c r="E415" i="9"/>
  <c r="D415" i="9"/>
  <c r="C415" i="9"/>
  <c r="B415" i="9"/>
  <c r="A415" i="9"/>
  <c r="A415" i="10" s="1"/>
  <c r="V414" i="9"/>
  <c r="O414" i="9"/>
  <c r="N414" i="9"/>
  <c r="M414" i="9"/>
  <c r="L414" i="9"/>
  <c r="K414" i="9"/>
  <c r="J414" i="9"/>
  <c r="I414" i="9"/>
  <c r="H414" i="9"/>
  <c r="W414" i="9" s="1"/>
  <c r="G414" i="9"/>
  <c r="F414" i="9"/>
  <c r="E414" i="9"/>
  <c r="D414" i="9"/>
  <c r="C414" i="9"/>
  <c r="X414" i="9" s="1"/>
  <c r="B414" i="9"/>
  <c r="A414" i="9"/>
  <c r="X413" i="9"/>
  <c r="V413" i="9"/>
  <c r="O413" i="9"/>
  <c r="N413" i="9"/>
  <c r="M413" i="9"/>
  <c r="L413" i="9"/>
  <c r="K413" i="9"/>
  <c r="J413" i="9"/>
  <c r="I413" i="9"/>
  <c r="H413" i="9"/>
  <c r="G413" i="9"/>
  <c r="F413" i="9"/>
  <c r="E413" i="9"/>
  <c r="D413" i="9"/>
  <c r="C413" i="9"/>
  <c r="B413" i="9"/>
  <c r="A413" i="9"/>
  <c r="A413" i="10" s="1"/>
  <c r="O412" i="9"/>
  <c r="N412" i="9"/>
  <c r="M412" i="9"/>
  <c r="L412" i="9"/>
  <c r="K412" i="9"/>
  <c r="J412" i="9"/>
  <c r="I412" i="9"/>
  <c r="H412" i="9"/>
  <c r="G412" i="9"/>
  <c r="F412" i="9"/>
  <c r="E412" i="9"/>
  <c r="D412" i="9"/>
  <c r="C412" i="9"/>
  <c r="X412" i="9" s="1"/>
  <c r="B412" i="9"/>
  <c r="A412" i="9"/>
  <c r="A412" i="10" s="1"/>
  <c r="O411" i="9"/>
  <c r="V411" i="9" s="1"/>
  <c r="N411" i="9"/>
  <c r="M411" i="9"/>
  <c r="L411" i="9"/>
  <c r="K411" i="9"/>
  <c r="J411" i="9"/>
  <c r="I411" i="9"/>
  <c r="H411" i="9"/>
  <c r="W411" i="9" s="1"/>
  <c r="G411" i="9"/>
  <c r="F411" i="9"/>
  <c r="E411" i="9"/>
  <c r="D411" i="9"/>
  <c r="C411" i="9"/>
  <c r="B411" i="9"/>
  <c r="A411" i="9"/>
  <c r="A411" i="10" s="1"/>
  <c r="X410" i="9"/>
  <c r="O410" i="9"/>
  <c r="N410" i="9"/>
  <c r="M410" i="9"/>
  <c r="L410" i="9"/>
  <c r="W410" i="9" s="1"/>
  <c r="K410" i="9"/>
  <c r="J410" i="9"/>
  <c r="I410" i="9"/>
  <c r="H410" i="9"/>
  <c r="G410" i="9"/>
  <c r="V410" i="9" s="1"/>
  <c r="F410" i="9"/>
  <c r="E410" i="9"/>
  <c r="D410" i="9"/>
  <c r="C410" i="9"/>
  <c r="B410" i="9"/>
  <c r="A410" i="9"/>
  <c r="A410" i="10" s="1"/>
  <c r="X409" i="9"/>
  <c r="O409" i="9"/>
  <c r="N409" i="9"/>
  <c r="M409" i="9"/>
  <c r="L409" i="9"/>
  <c r="K409" i="9"/>
  <c r="J409" i="9"/>
  <c r="I409" i="9"/>
  <c r="H409" i="9"/>
  <c r="G409" i="9"/>
  <c r="F409" i="9"/>
  <c r="E409" i="9"/>
  <c r="D409" i="9"/>
  <c r="C409" i="9"/>
  <c r="B409" i="9"/>
  <c r="A409" i="9"/>
  <c r="A409" i="10" s="1"/>
  <c r="X408" i="9"/>
  <c r="O408" i="9"/>
  <c r="V408" i="9" s="1"/>
  <c r="N408" i="9"/>
  <c r="W408" i="9" s="1"/>
  <c r="M408" i="9"/>
  <c r="L408" i="9"/>
  <c r="K408" i="9"/>
  <c r="J408" i="9"/>
  <c r="I408" i="9"/>
  <c r="H408" i="9"/>
  <c r="G408" i="9"/>
  <c r="F408" i="9"/>
  <c r="E408" i="9"/>
  <c r="D408" i="9"/>
  <c r="C408" i="9"/>
  <c r="B408" i="9"/>
  <c r="A408" i="9"/>
  <c r="A408" i="10" s="1"/>
  <c r="O407" i="9"/>
  <c r="N407" i="9"/>
  <c r="M407" i="9"/>
  <c r="L407" i="9"/>
  <c r="K407" i="9"/>
  <c r="J407" i="9"/>
  <c r="I407" i="9"/>
  <c r="H407" i="9"/>
  <c r="G407" i="9"/>
  <c r="F407" i="9"/>
  <c r="E407" i="9"/>
  <c r="D407" i="9"/>
  <c r="C407" i="9"/>
  <c r="X407" i="9" s="1"/>
  <c r="B407" i="9"/>
  <c r="A407" i="9"/>
  <c r="A407" i="10" s="1"/>
  <c r="X406" i="9"/>
  <c r="O406" i="9"/>
  <c r="V406" i="9" s="1"/>
  <c r="N406" i="9"/>
  <c r="W406" i="9" s="1"/>
  <c r="M406" i="9"/>
  <c r="L406" i="9"/>
  <c r="K406" i="9"/>
  <c r="J406" i="9"/>
  <c r="I406" i="9"/>
  <c r="H406" i="9"/>
  <c r="G406" i="9"/>
  <c r="F406" i="9"/>
  <c r="E406" i="9"/>
  <c r="D406" i="9"/>
  <c r="C406" i="9"/>
  <c r="B406" i="9"/>
  <c r="A406" i="9"/>
  <c r="A406" i="10" s="1"/>
  <c r="X405" i="9"/>
  <c r="O405" i="9"/>
  <c r="N405" i="9"/>
  <c r="M405" i="9"/>
  <c r="L405" i="9"/>
  <c r="K405" i="9"/>
  <c r="J405" i="9"/>
  <c r="I405" i="9"/>
  <c r="H405" i="9"/>
  <c r="G405" i="9"/>
  <c r="F405" i="9"/>
  <c r="E405" i="9"/>
  <c r="D405" i="9"/>
  <c r="C405" i="9"/>
  <c r="B405" i="9"/>
  <c r="A405" i="9"/>
  <c r="A405" i="10" s="1"/>
  <c r="X404" i="9"/>
  <c r="O404" i="9"/>
  <c r="N404" i="9"/>
  <c r="M404" i="9"/>
  <c r="L404" i="9"/>
  <c r="K404" i="9"/>
  <c r="J404" i="9"/>
  <c r="I404" i="9"/>
  <c r="H404" i="9"/>
  <c r="G404" i="9"/>
  <c r="F404" i="9"/>
  <c r="P404" i="9" s="1"/>
  <c r="E404" i="9"/>
  <c r="D404" i="9"/>
  <c r="C404" i="9"/>
  <c r="B404" i="9"/>
  <c r="W404" i="9" s="1"/>
  <c r="A404" i="9"/>
  <c r="A404" i="10" s="1"/>
  <c r="O403" i="9"/>
  <c r="N403" i="9"/>
  <c r="M403" i="9"/>
  <c r="L403" i="9"/>
  <c r="K403" i="9"/>
  <c r="J403" i="9"/>
  <c r="I403" i="9"/>
  <c r="H403" i="9"/>
  <c r="G403" i="9"/>
  <c r="F403" i="9"/>
  <c r="E403" i="9"/>
  <c r="D403" i="9"/>
  <c r="C403" i="9"/>
  <c r="X403" i="9" s="1"/>
  <c r="B403" i="9"/>
  <c r="A403" i="9"/>
  <c r="A403" i="10" s="1"/>
  <c r="O402" i="9"/>
  <c r="N402" i="9"/>
  <c r="M402" i="9"/>
  <c r="L402" i="9"/>
  <c r="K402" i="9"/>
  <c r="J402" i="9"/>
  <c r="I402" i="9"/>
  <c r="H402" i="9"/>
  <c r="G402" i="9"/>
  <c r="F402" i="9"/>
  <c r="E402" i="9"/>
  <c r="D402" i="9"/>
  <c r="C402" i="9"/>
  <c r="X402" i="9" s="1"/>
  <c r="B402" i="9"/>
  <c r="A402" i="9"/>
  <c r="X401" i="9"/>
  <c r="O401" i="9"/>
  <c r="N401" i="9"/>
  <c r="M401" i="9"/>
  <c r="L401" i="9"/>
  <c r="W401" i="9" s="1"/>
  <c r="K401" i="9"/>
  <c r="J401" i="9"/>
  <c r="I401" i="9"/>
  <c r="H401" i="9"/>
  <c r="G401" i="9"/>
  <c r="F401" i="9"/>
  <c r="E401" i="9"/>
  <c r="D401" i="9"/>
  <c r="C401" i="9"/>
  <c r="B401" i="9"/>
  <c r="A401" i="9"/>
  <c r="X400" i="9"/>
  <c r="V400" i="9"/>
  <c r="O400" i="9"/>
  <c r="N400" i="9"/>
  <c r="W400" i="9" s="1"/>
  <c r="M400" i="9"/>
  <c r="L400" i="9"/>
  <c r="K400" i="9"/>
  <c r="J400" i="9"/>
  <c r="I400" i="9"/>
  <c r="H400" i="9"/>
  <c r="G400" i="9"/>
  <c r="F400" i="9"/>
  <c r="E400" i="9"/>
  <c r="D400" i="9"/>
  <c r="C400" i="9"/>
  <c r="B400" i="9"/>
  <c r="A400" i="9"/>
  <c r="A400" i="10" s="1"/>
  <c r="O399" i="9"/>
  <c r="V399" i="9" s="1"/>
  <c r="N399" i="9"/>
  <c r="M399" i="9"/>
  <c r="L399" i="9"/>
  <c r="K399" i="9"/>
  <c r="J399" i="9"/>
  <c r="I399" i="9"/>
  <c r="H399" i="9"/>
  <c r="G399" i="9"/>
  <c r="F399" i="9"/>
  <c r="E399" i="9"/>
  <c r="D399" i="9"/>
  <c r="C399" i="9"/>
  <c r="X399" i="9" s="1"/>
  <c r="B399" i="9"/>
  <c r="A399" i="9"/>
  <c r="V398" i="9"/>
  <c r="Y398" i="9" s="1"/>
  <c r="AA398" i="9" s="1"/>
  <c r="P398" i="9"/>
  <c r="O398" i="9"/>
  <c r="N398" i="9"/>
  <c r="M398" i="9"/>
  <c r="L398" i="9"/>
  <c r="K398" i="9"/>
  <c r="J398" i="9"/>
  <c r="I398" i="9"/>
  <c r="H398" i="9"/>
  <c r="G398" i="9"/>
  <c r="F398" i="9"/>
  <c r="E398" i="9"/>
  <c r="D398" i="9"/>
  <c r="C398" i="9"/>
  <c r="X398" i="9" s="1"/>
  <c r="B398" i="9"/>
  <c r="W398" i="9" s="1"/>
  <c r="A398" i="9"/>
  <c r="A398" i="10" s="1"/>
  <c r="O397" i="9"/>
  <c r="N397" i="9"/>
  <c r="M397" i="9"/>
  <c r="L397" i="9"/>
  <c r="K397" i="9"/>
  <c r="J397" i="9"/>
  <c r="I397" i="9"/>
  <c r="H397" i="9"/>
  <c r="G397" i="9"/>
  <c r="F397" i="9"/>
  <c r="E397" i="9"/>
  <c r="D397" i="9"/>
  <c r="C397" i="9"/>
  <c r="X397" i="9" s="1"/>
  <c r="B397" i="9"/>
  <c r="W397" i="9" s="1"/>
  <c r="A397" i="9"/>
  <c r="X396" i="9"/>
  <c r="W396" i="9"/>
  <c r="V396" i="9"/>
  <c r="O396" i="9"/>
  <c r="N396" i="9"/>
  <c r="M396" i="9"/>
  <c r="L396" i="9"/>
  <c r="K396" i="9"/>
  <c r="J396" i="9"/>
  <c r="I396" i="9"/>
  <c r="H396" i="9"/>
  <c r="G396" i="9"/>
  <c r="F396" i="9"/>
  <c r="P396" i="9" s="1"/>
  <c r="E396" i="9"/>
  <c r="D396" i="9"/>
  <c r="C396" i="9"/>
  <c r="B396" i="9"/>
  <c r="A396" i="9"/>
  <c r="A396" i="10" s="1"/>
  <c r="O395" i="9"/>
  <c r="N395" i="9"/>
  <c r="M395" i="9"/>
  <c r="L395" i="9"/>
  <c r="K395" i="9"/>
  <c r="J395" i="9"/>
  <c r="I395" i="9"/>
  <c r="H395" i="9"/>
  <c r="G395" i="9"/>
  <c r="F395" i="9"/>
  <c r="E395" i="9"/>
  <c r="D395" i="9"/>
  <c r="C395" i="9"/>
  <c r="X395" i="9" s="1"/>
  <c r="B395" i="9"/>
  <c r="A395" i="9"/>
  <c r="A395" i="10" s="1"/>
  <c r="O394" i="9"/>
  <c r="N394" i="9"/>
  <c r="M394" i="9"/>
  <c r="L394" i="9"/>
  <c r="K394" i="9"/>
  <c r="J394" i="9"/>
  <c r="I394" i="9"/>
  <c r="H394" i="9"/>
  <c r="G394" i="9"/>
  <c r="F394" i="9"/>
  <c r="E394" i="9"/>
  <c r="D394" i="9"/>
  <c r="C394" i="9"/>
  <c r="X394" i="9" s="1"/>
  <c r="B394" i="9"/>
  <c r="A394" i="9"/>
  <c r="X393" i="9"/>
  <c r="W393" i="9"/>
  <c r="O393" i="9"/>
  <c r="N393" i="9"/>
  <c r="M393" i="9"/>
  <c r="L393" i="9"/>
  <c r="K393" i="9"/>
  <c r="J393" i="9"/>
  <c r="I393" i="9"/>
  <c r="H393" i="9"/>
  <c r="G393" i="9"/>
  <c r="F393" i="9"/>
  <c r="E393" i="9"/>
  <c r="D393" i="9"/>
  <c r="C393" i="9"/>
  <c r="B393" i="9"/>
  <c r="A393" i="9"/>
  <c r="O392" i="9"/>
  <c r="V392" i="9" s="1"/>
  <c r="N392" i="9"/>
  <c r="M392" i="9"/>
  <c r="L392" i="9"/>
  <c r="K392" i="9"/>
  <c r="J392" i="9"/>
  <c r="I392" i="9"/>
  <c r="H392" i="9"/>
  <c r="G392" i="9"/>
  <c r="F392" i="9"/>
  <c r="E392" i="9"/>
  <c r="D392" i="9"/>
  <c r="C392" i="9"/>
  <c r="X392" i="9" s="1"/>
  <c r="B392" i="9"/>
  <c r="A392" i="9"/>
  <c r="X391" i="9"/>
  <c r="P391" i="9"/>
  <c r="O391" i="9"/>
  <c r="V391" i="9" s="1"/>
  <c r="N391" i="9"/>
  <c r="M391" i="9"/>
  <c r="L391" i="9"/>
  <c r="K391" i="9"/>
  <c r="J391" i="9"/>
  <c r="I391" i="9"/>
  <c r="H391" i="9"/>
  <c r="G391" i="9"/>
  <c r="F391" i="9"/>
  <c r="E391" i="9"/>
  <c r="D391" i="9"/>
  <c r="C391" i="9"/>
  <c r="B391" i="9"/>
  <c r="A391" i="9"/>
  <c r="X390" i="9"/>
  <c r="P390" i="9"/>
  <c r="O390" i="9"/>
  <c r="V390" i="9" s="1"/>
  <c r="Y390" i="9" s="1"/>
  <c r="N390" i="9"/>
  <c r="M390" i="9"/>
  <c r="L390" i="9"/>
  <c r="K390" i="9"/>
  <c r="J390" i="9"/>
  <c r="I390" i="9"/>
  <c r="H390" i="9"/>
  <c r="G390" i="9"/>
  <c r="F390" i="9"/>
  <c r="E390" i="9"/>
  <c r="D390" i="9"/>
  <c r="C390" i="9"/>
  <c r="B390" i="9"/>
  <c r="W390" i="9" s="1"/>
  <c r="A390" i="9"/>
  <c r="A390" i="10" s="1"/>
  <c r="P389" i="9"/>
  <c r="O389" i="9"/>
  <c r="V389" i="9" s="1"/>
  <c r="N389" i="9"/>
  <c r="M389" i="9"/>
  <c r="L389" i="9"/>
  <c r="K389" i="9"/>
  <c r="J389" i="9"/>
  <c r="I389" i="9"/>
  <c r="H389" i="9"/>
  <c r="G389" i="9"/>
  <c r="F389" i="9"/>
  <c r="E389" i="9"/>
  <c r="D389" i="9"/>
  <c r="C389" i="9"/>
  <c r="X389" i="9" s="1"/>
  <c r="B389" i="9"/>
  <c r="A389" i="9"/>
  <c r="A389" i="10" s="1"/>
  <c r="X388" i="9"/>
  <c r="V388" i="9"/>
  <c r="O388" i="9"/>
  <c r="N388" i="9"/>
  <c r="M388" i="9"/>
  <c r="L388" i="9"/>
  <c r="K388" i="9"/>
  <c r="J388" i="9"/>
  <c r="I388" i="9"/>
  <c r="H388" i="9"/>
  <c r="G388" i="9"/>
  <c r="F388" i="9"/>
  <c r="E388" i="9"/>
  <c r="D388" i="9"/>
  <c r="C388" i="9"/>
  <c r="B388" i="9"/>
  <c r="P388" i="9" s="1"/>
  <c r="A388" i="9"/>
  <c r="A388" i="10" s="1"/>
  <c r="X387" i="9"/>
  <c r="O387" i="9"/>
  <c r="N387" i="9"/>
  <c r="M387" i="9"/>
  <c r="L387" i="9"/>
  <c r="K387" i="9"/>
  <c r="J387" i="9"/>
  <c r="I387" i="9"/>
  <c r="H387" i="9"/>
  <c r="W387" i="9" s="1"/>
  <c r="G387" i="9"/>
  <c r="F387" i="9"/>
  <c r="E387" i="9"/>
  <c r="D387" i="9"/>
  <c r="C387" i="9"/>
  <c r="B387" i="9"/>
  <c r="A387" i="9"/>
  <c r="A387" i="10" s="1"/>
  <c r="X386" i="9"/>
  <c r="V386" i="9"/>
  <c r="O386" i="9"/>
  <c r="N386" i="9"/>
  <c r="M386" i="9"/>
  <c r="L386" i="9"/>
  <c r="K386" i="9"/>
  <c r="J386" i="9"/>
  <c r="I386" i="9"/>
  <c r="H386" i="9"/>
  <c r="G386" i="9"/>
  <c r="F386" i="9"/>
  <c r="E386" i="9"/>
  <c r="D386" i="9"/>
  <c r="C386" i="9"/>
  <c r="B386" i="9"/>
  <c r="A386" i="9"/>
  <c r="A386" i="10" s="1"/>
  <c r="O385" i="9"/>
  <c r="N385" i="9"/>
  <c r="M385" i="9"/>
  <c r="L385" i="9"/>
  <c r="K385" i="9"/>
  <c r="J385" i="9"/>
  <c r="I385" i="9"/>
  <c r="H385" i="9"/>
  <c r="G385" i="9"/>
  <c r="F385" i="9"/>
  <c r="E385" i="9"/>
  <c r="D385" i="9"/>
  <c r="C385" i="9"/>
  <c r="X385" i="9" s="1"/>
  <c r="B385" i="9"/>
  <c r="A385" i="9"/>
  <c r="A385" i="10" s="1"/>
  <c r="X384" i="9"/>
  <c r="O384" i="9"/>
  <c r="V384" i="9" s="1"/>
  <c r="N384" i="9"/>
  <c r="M384" i="9"/>
  <c r="L384" i="9"/>
  <c r="K384" i="9"/>
  <c r="J384" i="9"/>
  <c r="I384" i="9"/>
  <c r="H384" i="9"/>
  <c r="G384" i="9"/>
  <c r="F384" i="9"/>
  <c r="E384" i="9"/>
  <c r="D384" i="9"/>
  <c r="C384" i="9"/>
  <c r="B384" i="9"/>
  <c r="A384" i="9"/>
  <c r="A384" i="10" s="1"/>
  <c r="X383" i="9"/>
  <c r="W383" i="9"/>
  <c r="V383" i="9"/>
  <c r="O383" i="9"/>
  <c r="N383" i="9"/>
  <c r="M383" i="9"/>
  <c r="L383" i="9"/>
  <c r="K383" i="9"/>
  <c r="J383" i="9"/>
  <c r="I383" i="9"/>
  <c r="H383" i="9"/>
  <c r="G383" i="9"/>
  <c r="F383" i="9"/>
  <c r="E383" i="9"/>
  <c r="D383" i="9"/>
  <c r="C383" i="9"/>
  <c r="B383" i="9"/>
  <c r="A383" i="9"/>
  <c r="A383" i="10" s="1"/>
  <c r="X382" i="9"/>
  <c r="O382" i="9"/>
  <c r="V382" i="9" s="1"/>
  <c r="N382" i="9"/>
  <c r="M382" i="9"/>
  <c r="L382" i="9"/>
  <c r="K382" i="9"/>
  <c r="J382" i="9"/>
  <c r="I382" i="9"/>
  <c r="H382" i="9"/>
  <c r="G382" i="9"/>
  <c r="F382" i="9"/>
  <c r="E382" i="9"/>
  <c r="D382" i="9"/>
  <c r="C382" i="9"/>
  <c r="B382" i="9"/>
  <c r="A382" i="9"/>
  <c r="A382" i="10" s="1"/>
  <c r="X381" i="9"/>
  <c r="W381" i="9"/>
  <c r="V381" i="9"/>
  <c r="Y381" i="9" s="1"/>
  <c r="O381" i="9"/>
  <c r="N381" i="9"/>
  <c r="M381" i="9"/>
  <c r="L381" i="9"/>
  <c r="K381" i="9"/>
  <c r="J381" i="9"/>
  <c r="I381" i="9"/>
  <c r="H381" i="9"/>
  <c r="G381" i="9"/>
  <c r="F381" i="9"/>
  <c r="E381" i="9"/>
  <c r="D381" i="9"/>
  <c r="C381" i="9"/>
  <c r="B381" i="9"/>
  <c r="P381" i="9" s="1"/>
  <c r="A381" i="9"/>
  <c r="A381" i="10" s="1"/>
  <c r="O380" i="9"/>
  <c r="N380" i="9"/>
  <c r="M380" i="9"/>
  <c r="L380" i="9"/>
  <c r="K380" i="9"/>
  <c r="J380" i="9"/>
  <c r="I380" i="9"/>
  <c r="H380" i="9"/>
  <c r="G380" i="9"/>
  <c r="F380" i="9"/>
  <c r="E380" i="9"/>
  <c r="D380" i="9"/>
  <c r="C380" i="9"/>
  <c r="X380" i="9" s="1"/>
  <c r="B380" i="9"/>
  <c r="A380" i="9"/>
  <c r="A380" i="10" s="1"/>
  <c r="X379" i="9"/>
  <c r="W379" i="9"/>
  <c r="V379" i="9"/>
  <c r="O379" i="9"/>
  <c r="N379" i="9"/>
  <c r="M379" i="9"/>
  <c r="L379" i="9"/>
  <c r="K379" i="9"/>
  <c r="J379" i="9"/>
  <c r="I379" i="9"/>
  <c r="H379" i="9"/>
  <c r="G379" i="9"/>
  <c r="F379" i="9"/>
  <c r="E379" i="9"/>
  <c r="P379" i="9" s="1"/>
  <c r="D379" i="9"/>
  <c r="C379" i="9"/>
  <c r="B379" i="9"/>
  <c r="A379" i="9"/>
  <c r="O378" i="9"/>
  <c r="N378" i="9"/>
  <c r="M378" i="9"/>
  <c r="L378" i="9"/>
  <c r="K378" i="9"/>
  <c r="J378" i="9"/>
  <c r="I378" i="9"/>
  <c r="H378" i="9"/>
  <c r="G378" i="9"/>
  <c r="F378" i="9"/>
  <c r="E378" i="9"/>
  <c r="D378" i="9"/>
  <c r="C378" i="9"/>
  <c r="X378" i="9" s="1"/>
  <c r="B378" i="9"/>
  <c r="A378" i="9"/>
  <c r="O377" i="9"/>
  <c r="N377" i="9"/>
  <c r="M377" i="9"/>
  <c r="L377" i="9"/>
  <c r="K377" i="9"/>
  <c r="J377" i="9"/>
  <c r="I377" i="9"/>
  <c r="H377" i="9"/>
  <c r="G377" i="9"/>
  <c r="F377" i="9"/>
  <c r="E377" i="9"/>
  <c r="D377" i="9"/>
  <c r="C377" i="9"/>
  <c r="X377" i="9" s="1"/>
  <c r="B377" i="9"/>
  <c r="A377" i="9"/>
  <c r="A377" i="10" s="1"/>
  <c r="O376" i="9"/>
  <c r="N376" i="9"/>
  <c r="M376" i="9"/>
  <c r="L376" i="9"/>
  <c r="K376" i="9"/>
  <c r="J376" i="9"/>
  <c r="I376" i="9"/>
  <c r="H376" i="9"/>
  <c r="G376" i="9"/>
  <c r="F376" i="9"/>
  <c r="E376" i="9"/>
  <c r="D376" i="9"/>
  <c r="C376" i="9"/>
  <c r="X376" i="9" s="1"/>
  <c r="B376" i="9"/>
  <c r="W376" i="9" s="1"/>
  <c r="A376" i="9"/>
  <c r="A376" i="10" s="1"/>
  <c r="O375" i="9"/>
  <c r="N375" i="9"/>
  <c r="M375" i="9"/>
  <c r="L375" i="9"/>
  <c r="K375" i="9"/>
  <c r="J375" i="9"/>
  <c r="I375" i="9"/>
  <c r="H375" i="9"/>
  <c r="G375" i="9"/>
  <c r="F375" i="9"/>
  <c r="E375" i="9"/>
  <c r="D375" i="9"/>
  <c r="C375" i="9"/>
  <c r="X375" i="9" s="1"/>
  <c r="B375" i="9"/>
  <c r="A375" i="9"/>
  <c r="X374" i="9"/>
  <c r="O374" i="9"/>
  <c r="V374" i="9" s="1"/>
  <c r="N374" i="9"/>
  <c r="M374" i="9"/>
  <c r="L374" i="9"/>
  <c r="K374" i="9"/>
  <c r="J374" i="9"/>
  <c r="I374" i="9"/>
  <c r="H374" i="9"/>
  <c r="G374" i="9"/>
  <c r="F374" i="9"/>
  <c r="E374" i="9"/>
  <c r="D374" i="9"/>
  <c r="C374" i="9"/>
  <c r="B374" i="9"/>
  <c r="A374" i="9"/>
  <c r="A374" i="10" s="1"/>
  <c r="X373" i="9"/>
  <c r="W373" i="9"/>
  <c r="O373" i="9"/>
  <c r="V373" i="9" s="1"/>
  <c r="N373" i="9"/>
  <c r="M373" i="9"/>
  <c r="L373" i="9"/>
  <c r="K373" i="9"/>
  <c r="J373" i="9"/>
  <c r="I373" i="9"/>
  <c r="H373" i="9"/>
  <c r="G373" i="9"/>
  <c r="F373" i="9"/>
  <c r="E373" i="9"/>
  <c r="D373" i="9"/>
  <c r="C373" i="9"/>
  <c r="B373" i="9"/>
  <c r="A373" i="9"/>
  <c r="A373" i="10" s="1"/>
  <c r="W372" i="9"/>
  <c r="O372" i="9"/>
  <c r="N372" i="9"/>
  <c r="M372" i="9"/>
  <c r="L372" i="9"/>
  <c r="K372" i="9"/>
  <c r="J372" i="9"/>
  <c r="I372" i="9"/>
  <c r="H372" i="9"/>
  <c r="G372" i="9"/>
  <c r="F372" i="9"/>
  <c r="E372" i="9"/>
  <c r="D372" i="9"/>
  <c r="C372" i="9"/>
  <c r="X372" i="9" s="1"/>
  <c r="B372" i="9"/>
  <c r="A372" i="9"/>
  <c r="O371" i="9"/>
  <c r="N371" i="9"/>
  <c r="M371" i="9"/>
  <c r="L371" i="9"/>
  <c r="K371" i="9"/>
  <c r="V371" i="9" s="1"/>
  <c r="J371" i="9"/>
  <c r="I371" i="9"/>
  <c r="H371" i="9"/>
  <c r="W371" i="9" s="1"/>
  <c r="G371" i="9"/>
  <c r="F371" i="9"/>
  <c r="E371" i="9"/>
  <c r="D371" i="9"/>
  <c r="C371" i="9"/>
  <c r="X371" i="9" s="1"/>
  <c r="B371" i="9"/>
  <c r="A371" i="9"/>
  <c r="A371" i="10" s="1"/>
  <c r="O370" i="9"/>
  <c r="N370" i="9"/>
  <c r="M370" i="9"/>
  <c r="L370" i="9"/>
  <c r="K370" i="9"/>
  <c r="J370" i="9"/>
  <c r="I370" i="9"/>
  <c r="H370" i="9"/>
  <c r="W370" i="9" s="1"/>
  <c r="G370" i="9"/>
  <c r="P370" i="9" s="1"/>
  <c r="F370" i="9"/>
  <c r="E370" i="9"/>
  <c r="D370" i="9"/>
  <c r="C370" i="9"/>
  <c r="X370" i="9" s="1"/>
  <c r="B370" i="9"/>
  <c r="A370" i="9"/>
  <c r="X369" i="9"/>
  <c r="W369" i="9"/>
  <c r="V369" i="9"/>
  <c r="O369" i="9"/>
  <c r="N369" i="9"/>
  <c r="P369" i="9" s="1"/>
  <c r="M369" i="9"/>
  <c r="L369" i="9"/>
  <c r="K369" i="9"/>
  <c r="J369" i="9"/>
  <c r="I369" i="9"/>
  <c r="H369" i="9"/>
  <c r="G369" i="9"/>
  <c r="F369" i="9"/>
  <c r="E369" i="9"/>
  <c r="D369" i="9"/>
  <c r="C369" i="9"/>
  <c r="B369" i="9"/>
  <c r="A369" i="9"/>
  <c r="A369" i="10" s="1"/>
  <c r="O368" i="9"/>
  <c r="N368" i="9"/>
  <c r="M368" i="9"/>
  <c r="L368" i="9"/>
  <c r="K368" i="9"/>
  <c r="J368" i="9"/>
  <c r="I368" i="9"/>
  <c r="H368" i="9"/>
  <c r="G368" i="9"/>
  <c r="F368" i="9"/>
  <c r="E368" i="9"/>
  <c r="D368" i="9"/>
  <c r="C368" i="9"/>
  <c r="X368" i="9" s="1"/>
  <c r="B368" i="9"/>
  <c r="A368" i="9"/>
  <c r="A368" i="10" s="1"/>
  <c r="O367" i="9"/>
  <c r="N367" i="9"/>
  <c r="M367" i="9"/>
  <c r="L367" i="9"/>
  <c r="K367" i="9"/>
  <c r="J367" i="9"/>
  <c r="I367" i="9"/>
  <c r="H367" i="9"/>
  <c r="W367" i="9" s="1"/>
  <c r="G367" i="9"/>
  <c r="F367" i="9"/>
  <c r="E367" i="9"/>
  <c r="D367" i="9"/>
  <c r="C367" i="9"/>
  <c r="B367" i="9"/>
  <c r="A367" i="9"/>
  <c r="A367" i="10" s="1"/>
  <c r="X366" i="9"/>
  <c r="O366" i="9"/>
  <c r="N366" i="9"/>
  <c r="M366" i="9"/>
  <c r="L366" i="9"/>
  <c r="K366" i="9"/>
  <c r="J366" i="9"/>
  <c r="I366" i="9"/>
  <c r="H366" i="9"/>
  <c r="G366" i="9"/>
  <c r="F366" i="9"/>
  <c r="E366" i="9"/>
  <c r="D366" i="9"/>
  <c r="C366" i="9"/>
  <c r="B366" i="9"/>
  <c r="A366" i="9"/>
  <c r="A366" i="10" s="1"/>
  <c r="X365" i="9"/>
  <c r="O365" i="9"/>
  <c r="V365" i="9" s="1"/>
  <c r="N365" i="9"/>
  <c r="M365" i="9"/>
  <c r="P365" i="9" s="1"/>
  <c r="L365" i="9"/>
  <c r="W365" i="9" s="1"/>
  <c r="K365" i="9"/>
  <c r="J365" i="9"/>
  <c r="I365" i="9"/>
  <c r="H365" i="9"/>
  <c r="G365" i="9"/>
  <c r="F365" i="9"/>
  <c r="E365" i="9"/>
  <c r="D365" i="9"/>
  <c r="C365" i="9"/>
  <c r="B365" i="9"/>
  <c r="A365" i="9"/>
  <c r="A365" i="10" s="1"/>
  <c r="W364" i="9"/>
  <c r="O364" i="9"/>
  <c r="N364" i="9"/>
  <c r="M364" i="9"/>
  <c r="L364" i="9"/>
  <c r="K364" i="9"/>
  <c r="J364" i="9"/>
  <c r="I364" i="9"/>
  <c r="H364" i="9"/>
  <c r="G364" i="9"/>
  <c r="F364" i="9"/>
  <c r="E364" i="9"/>
  <c r="D364" i="9"/>
  <c r="C364" i="9"/>
  <c r="X364" i="9" s="1"/>
  <c r="B364" i="9"/>
  <c r="A364" i="9"/>
  <c r="A364" i="10" s="1"/>
  <c r="O363" i="9"/>
  <c r="N363" i="9"/>
  <c r="M363" i="9"/>
  <c r="L363" i="9"/>
  <c r="K363" i="9"/>
  <c r="J363" i="9"/>
  <c r="I363" i="9"/>
  <c r="H363" i="9"/>
  <c r="G363" i="9"/>
  <c r="F363" i="9"/>
  <c r="E363" i="9"/>
  <c r="D363" i="9"/>
  <c r="C363" i="9"/>
  <c r="X363" i="9" s="1"/>
  <c r="B363" i="9"/>
  <c r="A363" i="9"/>
  <c r="A363" i="10" s="1"/>
  <c r="X362" i="9"/>
  <c r="O362" i="9"/>
  <c r="N362" i="9"/>
  <c r="M362" i="9"/>
  <c r="L362" i="9"/>
  <c r="K362" i="9"/>
  <c r="J362" i="9"/>
  <c r="I362" i="9"/>
  <c r="H362" i="9"/>
  <c r="G362" i="9"/>
  <c r="P362" i="9" s="1"/>
  <c r="F362" i="9"/>
  <c r="E362" i="9"/>
  <c r="D362" i="9"/>
  <c r="C362" i="9"/>
  <c r="B362" i="9"/>
  <c r="A362" i="9"/>
  <c r="A362" i="10" s="1"/>
  <c r="V361" i="9"/>
  <c r="O361" i="9"/>
  <c r="N361" i="9"/>
  <c r="M361" i="9"/>
  <c r="L361" i="9"/>
  <c r="K361" i="9"/>
  <c r="J361" i="9"/>
  <c r="I361" i="9"/>
  <c r="H361" i="9"/>
  <c r="G361" i="9"/>
  <c r="F361" i="9"/>
  <c r="E361" i="9"/>
  <c r="D361" i="9"/>
  <c r="C361" i="9"/>
  <c r="X361" i="9" s="1"/>
  <c r="B361" i="9"/>
  <c r="A361" i="9"/>
  <c r="A361" i="10" s="1"/>
  <c r="O360" i="9"/>
  <c r="N360" i="9"/>
  <c r="M360" i="9"/>
  <c r="L360" i="9"/>
  <c r="K360" i="9"/>
  <c r="J360" i="9"/>
  <c r="I360" i="9"/>
  <c r="H360" i="9"/>
  <c r="G360" i="9"/>
  <c r="F360" i="9"/>
  <c r="E360" i="9"/>
  <c r="D360" i="9"/>
  <c r="C360" i="9"/>
  <c r="X360" i="9" s="1"/>
  <c r="B360" i="9"/>
  <c r="A360" i="9"/>
  <c r="A360" i="10" s="1"/>
  <c r="X359" i="9"/>
  <c r="O359" i="9"/>
  <c r="N359" i="9"/>
  <c r="M359" i="9"/>
  <c r="L359" i="9"/>
  <c r="K359" i="9"/>
  <c r="J359" i="9"/>
  <c r="I359" i="9"/>
  <c r="H359" i="9"/>
  <c r="G359" i="9"/>
  <c r="F359" i="9"/>
  <c r="P359" i="9" s="1"/>
  <c r="E359" i="9"/>
  <c r="D359" i="9"/>
  <c r="C359" i="9"/>
  <c r="B359" i="9"/>
  <c r="A359" i="9"/>
  <c r="A359" i="10" s="1"/>
  <c r="O358" i="9"/>
  <c r="V358" i="9" s="1"/>
  <c r="N358" i="9"/>
  <c r="W358" i="9" s="1"/>
  <c r="M358" i="9"/>
  <c r="L358" i="9"/>
  <c r="K358" i="9"/>
  <c r="J358" i="9"/>
  <c r="I358" i="9"/>
  <c r="H358" i="9"/>
  <c r="G358" i="9"/>
  <c r="F358" i="9"/>
  <c r="E358" i="9"/>
  <c r="D358" i="9"/>
  <c r="C358" i="9"/>
  <c r="X358" i="9" s="1"/>
  <c r="B358" i="9"/>
  <c r="A358" i="9"/>
  <c r="A358" i="10" s="1"/>
  <c r="X357" i="9"/>
  <c r="O357" i="9"/>
  <c r="N357" i="9"/>
  <c r="M357" i="9"/>
  <c r="L357" i="9"/>
  <c r="K357" i="9"/>
  <c r="J357" i="9"/>
  <c r="I357" i="9"/>
  <c r="H357" i="9"/>
  <c r="G357" i="9"/>
  <c r="F357" i="9"/>
  <c r="E357" i="9"/>
  <c r="D357" i="9"/>
  <c r="C357" i="9"/>
  <c r="B357" i="9"/>
  <c r="A357" i="9"/>
  <c r="A357" i="10" s="1"/>
  <c r="X356" i="9"/>
  <c r="O356" i="9"/>
  <c r="N356" i="9"/>
  <c r="M356" i="9"/>
  <c r="L356" i="9"/>
  <c r="K356" i="9"/>
  <c r="J356" i="9"/>
  <c r="I356" i="9"/>
  <c r="H356" i="9"/>
  <c r="W356" i="9" s="1"/>
  <c r="G356" i="9"/>
  <c r="F356" i="9"/>
  <c r="E356" i="9"/>
  <c r="D356" i="9"/>
  <c r="P356" i="9" s="1"/>
  <c r="C356" i="9"/>
  <c r="B356" i="9"/>
  <c r="A356" i="9"/>
  <c r="O355" i="9"/>
  <c r="V355" i="9" s="1"/>
  <c r="N355" i="9"/>
  <c r="M355" i="9"/>
  <c r="L355" i="9"/>
  <c r="K355" i="9"/>
  <c r="J355" i="9"/>
  <c r="P355" i="9" s="1"/>
  <c r="I355" i="9"/>
  <c r="H355" i="9"/>
  <c r="G355" i="9"/>
  <c r="F355" i="9"/>
  <c r="E355" i="9"/>
  <c r="D355" i="9"/>
  <c r="C355" i="9"/>
  <c r="X355" i="9" s="1"/>
  <c r="B355" i="9"/>
  <c r="A355" i="9"/>
  <c r="O354" i="9"/>
  <c r="N354" i="9"/>
  <c r="M354" i="9"/>
  <c r="L354" i="9"/>
  <c r="K354" i="9"/>
  <c r="J354" i="9"/>
  <c r="I354" i="9"/>
  <c r="H354" i="9"/>
  <c r="G354" i="9"/>
  <c r="F354" i="9"/>
  <c r="E354" i="9"/>
  <c r="V354" i="9" s="1"/>
  <c r="D354" i="9"/>
  <c r="C354" i="9"/>
  <c r="X354" i="9" s="1"/>
  <c r="B354" i="9"/>
  <c r="W354" i="9" s="1"/>
  <c r="A354" i="9"/>
  <c r="A354" i="10" s="1"/>
  <c r="O353" i="9"/>
  <c r="N353" i="9"/>
  <c r="M353" i="9"/>
  <c r="L353" i="9"/>
  <c r="K353" i="9"/>
  <c r="J353" i="9"/>
  <c r="I353" i="9"/>
  <c r="H353" i="9"/>
  <c r="G353" i="9"/>
  <c r="F353" i="9"/>
  <c r="E353" i="9"/>
  <c r="D353" i="9"/>
  <c r="C353" i="9"/>
  <c r="X353" i="9" s="1"/>
  <c r="B353" i="9"/>
  <c r="A353" i="9"/>
  <c r="X352" i="9"/>
  <c r="O352" i="9"/>
  <c r="N352" i="9"/>
  <c r="M352" i="9"/>
  <c r="L352" i="9"/>
  <c r="W352" i="9" s="1"/>
  <c r="K352" i="9"/>
  <c r="J352" i="9"/>
  <c r="P352" i="9" s="1"/>
  <c r="I352" i="9"/>
  <c r="H352" i="9"/>
  <c r="G352" i="9"/>
  <c r="F352" i="9"/>
  <c r="E352" i="9"/>
  <c r="D352" i="9"/>
  <c r="C352" i="9"/>
  <c r="B352" i="9"/>
  <c r="A352" i="9"/>
  <c r="X351" i="9"/>
  <c r="O351" i="9"/>
  <c r="N351" i="9"/>
  <c r="M351" i="9"/>
  <c r="L351" i="9"/>
  <c r="K351" i="9"/>
  <c r="J351" i="9"/>
  <c r="I351" i="9"/>
  <c r="H351" i="9"/>
  <c r="G351" i="9"/>
  <c r="F351" i="9"/>
  <c r="E351" i="9"/>
  <c r="D351" i="9"/>
  <c r="C351" i="9"/>
  <c r="B351" i="9"/>
  <c r="W351" i="9" s="1"/>
  <c r="A351" i="9"/>
  <c r="X350" i="9"/>
  <c r="O350" i="9"/>
  <c r="N350" i="9"/>
  <c r="M350" i="9"/>
  <c r="L350" i="9"/>
  <c r="K350" i="9"/>
  <c r="J350" i="9"/>
  <c r="I350" i="9"/>
  <c r="H350" i="9"/>
  <c r="W350" i="9" s="1"/>
  <c r="G350" i="9"/>
  <c r="F350" i="9"/>
  <c r="P350" i="9" s="1"/>
  <c r="E350" i="9"/>
  <c r="D350" i="9"/>
  <c r="C350" i="9"/>
  <c r="B350" i="9"/>
  <c r="A350" i="9"/>
  <c r="W349" i="9"/>
  <c r="P349" i="9"/>
  <c r="O349" i="9"/>
  <c r="V349" i="9" s="1"/>
  <c r="N349" i="9"/>
  <c r="M349" i="9"/>
  <c r="L349" i="9"/>
  <c r="K349" i="9"/>
  <c r="J349" i="9"/>
  <c r="I349" i="9"/>
  <c r="H349" i="9"/>
  <c r="G349" i="9"/>
  <c r="F349" i="9"/>
  <c r="E349" i="9"/>
  <c r="D349" i="9"/>
  <c r="C349" i="9"/>
  <c r="X349" i="9" s="1"/>
  <c r="B349" i="9"/>
  <c r="A349" i="9"/>
  <c r="O348" i="9"/>
  <c r="N348" i="9"/>
  <c r="M348" i="9"/>
  <c r="L348" i="9"/>
  <c r="K348" i="9"/>
  <c r="J348" i="9"/>
  <c r="I348" i="9"/>
  <c r="H348" i="9"/>
  <c r="G348" i="9"/>
  <c r="F348" i="9"/>
  <c r="E348" i="9"/>
  <c r="D348" i="9"/>
  <c r="C348" i="9"/>
  <c r="X348" i="9" s="1"/>
  <c r="B348" i="9"/>
  <c r="A348" i="9"/>
  <c r="X347" i="9"/>
  <c r="O347" i="9"/>
  <c r="N347" i="9"/>
  <c r="M347" i="9"/>
  <c r="L347" i="9"/>
  <c r="K347" i="9"/>
  <c r="P347" i="9" s="1"/>
  <c r="J347" i="9"/>
  <c r="I347" i="9"/>
  <c r="H347" i="9"/>
  <c r="G347" i="9"/>
  <c r="F347" i="9"/>
  <c r="E347" i="9"/>
  <c r="D347" i="9"/>
  <c r="C347" i="9"/>
  <c r="B347" i="9"/>
  <c r="A347" i="9"/>
  <c r="X346" i="9"/>
  <c r="AC346" i="9" s="1"/>
  <c r="V346" i="9"/>
  <c r="Y346" i="9" s="1"/>
  <c r="AB346" i="9" s="1"/>
  <c r="O346" i="9"/>
  <c r="N346" i="9"/>
  <c r="M346" i="9"/>
  <c r="L346" i="9"/>
  <c r="K346" i="9"/>
  <c r="J346" i="9"/>
  <c r="I346" i="9"/>
  <c r="H346" i="9"/>
  <c r="G346" i="9"/>
  <c r="F346" i="9"/>
  <c r="E346" i="9"/>
  <c r="D346" i="9"/>
  <c r="C346" i="9"/>
  <c r="B346" i="9"/>
  <c r="W346" i="9" s="1"/>
  <c r="A346" i="9"/>
  <c r="A346" i="10" s="1"/>
  <c r="X345" i="9"/>
  <c r="O345" i="9"/>
  <c r="V345" i="9" s="1"/>
  <c r="N345" i="9"/>
  <c r="M345" i="9"/>
  <c r="L345" i="9"/>
  <c r="K345" i="9"/>
  <c r="J345" i="9"/>
  <c r="I345" i="9"/>
  <c r="H345" i="9"/>
  <c r="G345" i="9"/>
  <c r="F345" i="9"/>
  <c r="E345" i="9"/>
  <c r="D345" i="9"/>
  <c r="C345" i="9"/>
  <c r="B345" i="9"/>
  <c r="A345" i="9"/>
  <c r="A345" i="10" s="1"/>
  <c r="X344" i="9"/>
  <c r="W344" i="9"/>
  <c r="P344" i="9"/>
  <c r="O344" i="9"/>
  <c r="N344" i="9"/>
  <c r="M344" i="9"/>
  <c r="L344" i="9"/>
  <c r="K344" i="9"/>
  <c r="J344" i="9"/>
  <c r="I344" i="9"/>
  <c r="H344" i="9"/>
  <c r="G344" i="9"/>
  <c r="F344" i="9"/>
  <c r="E344" i="9"/>
  <c r="D344" i="9"/>
  <c r="V344" i="9" s="1"/>
  <c r="C344" i="9"/>
  <c r="B344" i="9"/>
  <c r="A344" i="9"/>
  <c r="A344" i="10" s="1"/>
  <c r="O343" i="9"/>
  <c r="N343" i="9"/>
  <c r="M343" i="9"/>
  <c r="L343" i="9"/>
  <c r="K343" i="9"/>
  <c r="J343" i="9"/>
  <c r="I343" i="9"/>
  <c r="H343" i="9"/>
  <c r="G343" i="9"/>
  <c r="F343" i="9"/>
  <c r="E343" i="9"/>
  <c r="D343" i="9"/>
  <c r="C343" i="9"/>
  <c r="X343" i="9" s="1"/>
  <c r="B343" i="9"/>
  <c r="W343" i="9" s="1"/>
  <c r="A343" i="9"/>
  <c r="A343" i="10" s="1"/>
  <c r="X342" i="9"/>
  <c r="W342" i="9"/>
  <c r="O342" i="9"/>
  <c r="V342" i="9" s="1"/>
  <c r="N342" i="9"/>
  <c r="M342" i="9"/>
  <c r="L342" i="9"/>
  <c r="K342" i="9"/>
  <c r="J342" i="9"/>
  <c r="I342" i="9"/>
  <c r="H342" i="9"/>
  <c r="G342" i="9"/>
  <c r="F342" i="9"/>
  <c r="E342" i="9"/>
  <c r="D342" i="9"/>
  <c r="C342" i="9"/>
  <c r="B342" i="9"/>
  <c r="A342" i="9"/>
  <c r="A342" i="10" s="1"/>
  <c r="O341" i="9"/>
  <c r="N341" i="9"/>
  <c r="M341" i="9"/>
  <c r="L341" i="9"/>
  <c r="K341" i="9"/>
  <c r="J341" i="9"/>
  <c r="I341" i="9"/>
  <c r="H341" i="9"/>
  <c r="G341" i="9"/>
  <c r="F341" i="9"/>
  <c r="E341" i="9"/>
  <c r="D341" i="9"/>
  <c r="C341" i="9"/>
  <c r="X341" i="9" s="1"/>
  <c r="B341" i="9"/>
  <c r="A341" i="9"/>
  <c r="A341" i="10" s="1"/>
  <c r="O340" i="9"/>
  <c r="N340" i="9"/>
  <c r="M340" i="9"/>
  <c r="L340" i="9"/>
  <c r="K340" i="9"/>
  <c r="P340" i="9" s="1"/>
  <c r="J340" i="9"/>
  <c r="I340" i="9"/>
  <c r="H340" i="9"/>
  <c r="G340" i="9"/>
  <c r="F340" i="9"/>
  <c r="E340" i="9"/>
  <c r="D340" i="9"/>
  <c r="C340" i="9"/>
  <c r="X340" i="9" s="1"/>
  <c r="B340" i="9"/>
  <c r="W340" i="9" s="1"/>
  <c r="A340" i="9"/>
  <c r="A340" i="10" s="1"/>
  <c r="X339" i="9"/>
  <c r="O339" i="9"/>
  <c r="N339" i="9"/>
  <c r="M339" i="9"/>
  <c r="L339" i="9"/>
  <c r="K339" i="9"/>
  <c r="J339" i="9"/>
  <c r="I339" i="9"/>
  <c r="H339" i="9"/>
  <c r="G339" i="9"/>
  <c r="F339" i="9"/>
  <c r="E339" i="9"/>
  <c r="V339" i="9" s="1"/>
  <c r="D339" i="9"/>
  <c r="C339" i="9"/>
  <c r="B339" i="9"/>
  <c r="A339" i="9"/>
  <c r="A339" i="10" s="1"/>
  <c r="O338" i="9"/>
  <c r="N338" i="9"/>
  <c r="M338" i="9"/>
  <c r="L338" i="9"/>
  <c r="K338" i="9"/>
  <c r="J338" i="9"/>
  <c r="I338" i="9"/>
  <c r="H338" i="9"/>
  <c r="W338" i="9" s="1"/>
  <c r="G338" i="9"/>
  <c r="F338" i="9"/>
  <c r="E338" i="9"/>
  <c r="D338" i="9"/>
  <c r="P338" i="9" s="1"/>
  <c r="C338" i="9"/>
  <c r="X338" i="9" s="1"/>
  <c r="B338" i="9"/>
  <c r="A338" i="9"/>
  <c r="A338" i="10" s="1"/>
  <c r="X337" i="9"/>
  <c r="W337" i="9"/>
  <c r="O337" i="9"/>
  <c r="V337" i="9" s="1"/>
  <c r="N337" i="9"/>
  <c r="M337" i="9"/>
  <c r="P337" i="9" s="1"/>
  <c r="L337" i="9"/>
  <c r="K337" i="9"/>
  <c r="J337" i="9"/>
  <c r="I337" i="9"/>
  <c r="H337" i="9"/>
  <c r="G337" i="9"/>
  <c r="F337" i="9"/>
  <c r="E337" i="9"/>
  <c r="D337" i="9"/>
  <c r="C337" i="9"/>
  <c r="B337" i="9"/>
  <c r="A337" i="9"/>
  <c r="A337" i="10" s="1"/>
  <c r="O336" i="9"/>
  <c r="N336" i="9"/>
  <c r="M336" i="9"/>
  <c r="L336" i="9"/>
  <c r="K336" i="9"/>
  <c r="J336" i="9"/>
  <c r="I336" i="9"/>
  <c r="H336" i="9"/>
  <c r="G336" i="9"/>
  <c r="F336" i="9"/>
  <c r="E336" i="9"/>
  <c r="D336" i="9"/>
  <c r="C336" i="9"/>
  <c r="X336" i="9" s="1"/>
  <c r="B336" i="9"/>
  <c r="A336" i="9"/>
  <c r="A336" i="10" s="1"/>
  <c r="O335" i="9"/>
  <c r="N335" i="9"/>
  <c r="M335" i="9"/>
  <c r="L335" i="9"/>
  <c r="W335" i="9" s="1"/>
  <c r="K335" i="9"/>
  <c r="J335" i="9"/>
  <c r="I335" i="9"/>
  <c r="H335" i="9"/>
  <c r="G335" i="9"/>
  <c r="F335" i="9"/>
  <c r="E335" i="9"/>
  <c r="D335" i="9"/>
  <c r="C335" i="9"/>
  <c r="X335" i="9" s="1"/>
  <c r="B335" i="9"/>
  <c r="A335" i="9"/>
  <c r="A335" i="10" s="1"/>
  <c r="X334" i="9"/>
  <c r="O334" i="9"/>
  <c r="N334" i="9"/>
  <c r="M334" i="9"/>
  <c r="L334" i="9"/>
  <c r="K334" i="9"/>
  <c r="J334" i="9"/>
  <c r="I334" i="9"/>
  <c r="H334" i="9"/>
  <c r="G334" i="9"/>
  <c r="F334" i="9"/>
  <c r="E334" i="9"/>
  <c r="D334" i="9"/>
  <c r="C334" i="9"/>
  <c r="B334" i="9"/>
  <c r="W334" i="9" s="1"/>
  <c r="A334" i="9"/>
  <c r="A334" i="10" s="1"/>
  <c r="X333" i="9"/>
  <c r="O333" i="9"/>
  <c r="N333" i="9"/>
  <c r="M333" i="9"/>
  <c r="L333" i="9"/>
  <c r="K333" i="9"/>
  <c r="J333" i="9"/>
  <c r="I333" i="9"/>
  <c r="H333" i="9"/>
  <c r="G333" i="9"/>
  <c r="F333" i="9"/>
  <c r="E333" i="9"/>
  <c r="P333" i="9" s="1"/>
  <c r="D333" i="9"/>
  <c r="C333" i="9"/>
  <c r="B333" i="9"/>
  <c r="A333" i="9"/>
  <c r="A333" i="10" s="1"/>
  <c r="X332" i="9"/>
  <c r="O332" i="9"/>
  <c r="V332" i="9" s="1"/>
  <c r="N332" i="9"/>
  <c r="M332" i="9"/>
  <c r="L332" i="9"/>
  <c r="K332" i="9"/>
  <c r="J332" i="9"/>
  <c r="I332" i="9"/>
  <c r="H332" i="9"/>
  <c r="G332" i="9"/>
  <c r="F332" i="9"/>
  <c r="E332" i="9"/>
  <c r="D332" i="9"/>
  <c r="C332" i="9"/>
  <c r="B332" i="9"/>
  <c r="A332" i="9"/>
  <c r="A332" i="10" s="1"/>
  <c r="O331" i="9"/>
  <c r="N331" i="9"/>
  <c r="M331" i="9"/>
  <c r="L331" i="9"/>
  <c r="K331" i="9"/>
  <c r="J331" i="9"/>
  <c r="I331" i="9"/>
  <c r="H331" i="9"/>
  <c r="G331" i="9"/>
  <c r="F331" i="9"/>
  <c r="E331" i="9"/>
  <c r="D331" i="9"/>
  <c r="C331" i="9"/>
  <c r="X331" i="9" s="1"/>
  <c r="B331" i="9"/>
  <c r="A331" i="9"/>
  <c r="A331" i="10" s="1"/>
  <c r="X330" i="9"/>
  <c r="O330" i="9"/>
  <c r="N330" i="9"/>
  <c r="M330" i="9"/>
  <c r="L330" i="9"/>
  <c r="W330" i="9" s="1"/>
  <c r="K330" i="9"/>
  <c r="J330" i="9"/>
  <c r="P330" i="9" s="1"/>
  <c r="I330" i="9"/>
  <c r="H330" i="9"/>
  <c r="G330" i="9"/>
  <c r="F330" i="9"/>
  <c r="E330" i="9"/>
  <c r="D330" i="9"/>
  <c r="C330" i="9"/>
  <c r="B330" i="9"/>
  <c r="A330" i="9"/>
  <c r="A330" i="10" s="1"/>
  <c r="X329" i="9"/>
  <c r="W329" i="9"/>
  <c r="V329" i="9"/>
  <c r="O329" i="9"/>
  <c r="N329" i="9"/>
  <c r="M329" i="9"/>
  <c r="L329" i="9"/>
  <c r="K329" i="9"/>
  <c r="J329" i="9"/>
  <c r="I329" i="9"/>
  <c r="H329" i="9"/>
  <c r="G329" i="9"/>
  <c r="F329" i="9"/>
  <c r="E329" i="9"/>
  <c r="D329" i="9"/>
  <c r="C329" i="9"/>
  <c r="B329" i="9"/>
  <c r="A329" i="9"/>
  <c r="A329" i="10" s="1"/>
  <c r="X328" i="9"/>
  <c r="O328" i="9"/>
  <c r="N328" i="9"/>
  <c r="M328" i="9"/>
  <c r="L328" i="9"/>
  <c r="K328" i="9"/>
  <c r="J328" i="9"/>
  <c r="I328" i="9"/>
  <c r="P328" i="9" s="1"/>
  <c r="H328" i="9"/>
  <c r="G328" i="9"/>
  <c r="F328" i="9"/>
  <c r="E328" i="9"/>
  <c r="D328" i="9"/>
  <c r="C328" i="9"/>
  <c r="B328" i="9"/>
  <c r="A328" i="9"/>
  <c r="A328" i="10" s="1"/>
  <c r="X327" i="9"/>
  <c r="W327" i="9"/>
  <c r="O327" i="9"/>
  <c r="V327" i="9" s="1"/>
  <c r="N327" i="9"/>
  <c r="M327" i="9"/>
  <c r="L327" i="9"/>
  <c r="K327" i="9"/>
  <c r="J327" i="9"/>
  <c r="I327" i="9"/>
  <c r="H327" i="9"/>
  <c r="G327" i="9"/>
  <c r="F327" i="9"/>
  <c r="E327" i="9"/>
  <c r="D327" i="9"/>
  <c r="C327" i="9"/>
  <c r="B327" i="9"/>
  <c r="A327" i="9"/>
  <c r="A327" i="10" s="1"/>
  <c r="O326" i="9"/>
  <c r="V326" i="9" s="1"/>
  <c r="N326" i="9"/>
  <c r="M326" i="9"/>
  <c r="L326" i="9"/>
  <c r="K326" i="9"/>
  <c r="J326" i="9"/>
  <c r="I326" i="9"/>
  <c r="H326" i="9"/>
  <c r="G326" i="9"/>
  <c r="F326" i="9"/>
  <c r="E326" i="9"/>
  <c r="D326" i="9"/>
  <c r="C326" i="9"/>
  <c r="X326" i="9" s="1"/>
  <c r="B326" i="9"/>
  <c r="A326" i="9"/>
  <c r="A326" i="10" s="1"/>
  <c r="X325" i="9"/>
  <c r="W325" i="9"/>
  <c r="O325" i="9"/>
  <c r="V325" i="9" s="1"/>
  <c r="N325" i="9"/>
  <c r="M325" i="9"/>
  <c r="P325" i="9" s="1"/>
  <c r="L325" i="9"/>
  <c r="K325" i="9"/>
  <c r="J325" i="9"/>
  <c r="I325" i="9"/>
  <c r="H325" i="9"/>
  <c r="G325" i="9"/>
  <c r="F325" i="9"/>
  <c r="E325" i="9"/>
  <c r="D325" i="9"/>
  <c r="C325" i="9"/>
  <c r="B325" i="9"/>
  <c r="A325" i="9"/>
  <c r="O324" i="9"/>
  <c r="N324" i="9"/>
  <c r="M324" i="9"/>
  <c r="L324" i="9"/>
  <c r="K324" i="9"/>
  <c r="J324" i="9"/>
  <c r="I324" i="9"/>
  <c r="H324" i="9"/>
  <c r="G324" i="9"/>
  <c r="F324" i="9"/>
  <c r="E324" i="9"/>
  <c r="D324" i="9"/>
  <c r="C324" i="9"/>
  <c r="X324" i="9" s="1"/>
  <c r="B324" i="9"/>
  <c r="P324" i="9" s="1"/>
  <c r="A324" i="9"/>
  <c r="A324" i="10" s="1"/>
  <c r="X323" i="9"/>
  <c r="P323" i="9"/>
  <c r="O323" i="9"/>
  <c r="N323" i="9"/>
  <c r="M323" i="9"/>
  <c r="L323" i="9"/>
  <c r="K323" i="9"/>
  <c r="J323" i="9"/>
  <c r="I323" i="9"/>
  <c r="H323" i="9"/>
  <c r="G323" i="9"/>
  <c r="F323" i="9"/>
  <c r="E323" i="9"/>
  <c r="D323" i="9"/>
  <c r="C323" i="9"/>
  <c r="B323" i="9"/>
  <c r="W323" i="9" s="1"/>
  <c r="A323" i="9"/>
  <c r="A323" i="10" s="1"/>
  <c r="X322" i="9"/>
  <c r="O322" i="9"/>
  <c r="N322" i="9"/>
  <c r="M322" i="9"/>
  <c r="L322" i="9"/>
  <c r="K322" i="9"/>
  <c r="J322" i="9"/>
  <c r="I322" i="9"/>
  <c r="H322" i="9"/>
  <c r="G322" i="9"/>
  <c r="F322" i="9"/>
  <c r="E322" i="9"/>
  <c r="D322" i="9"/>
  <c r="V322" i="9" s="1"/>
  <c r="C322" i="9"/>
  <c r="B322" i="9"/>
  <c r="P322" i="9" s="1"/>
  <c r="A322" i="9"/>
  <c r="A322" i="10" s="1"/>
  <c r="O321" i="9"/>
  <c r="N321" i="9"/>
  <c r="M321" i="9"/>
  <c r="L321" i="9"/>
  <c r="K321" i="9"/>
  <c r="J321" i="9"/>
  <c r="I321" i="9"/>
  <c r="H321" i="9"/>
  <c r="G321" i="9"/>
  <c r="F321" i="9"/>
  <c r="E321" i="9"/>
  <c r="D321" i="9"/>
  <c r="C321" i="9"/>
  <c r="X321" i="9" s="1"/>
  <c r="B321" i="9"/>
  <c r="W321" i="9" s="1"/>
  <c r="A321" i="9"/>
  <c r="A321" i="10" s="1"/>
  <c r="X320" i="9"/>
  <c r="W320" i="9"/>
  <c r="V320" i="9"/>
  <c r="O320" i="9"/>
  <c r="N320" i="9"/>
  <c r="P320" i="9" s="1"/>
  <c r="M320" i="9"/>
  <c r="L320" i="9"/>
  <c r="K320" i="9"/>
  <c r="J320" i="9"/>
  <c r="I320" i="9"/>
  <c r="H320" i="9"/>
  <c r="G320" i="9"/>
  <c r="F320" i="9"/>
  <c r="E320" i="9"/>
  <c r="D320" i="9"/>
  <c r="C320" i="9"/>
  <c r="B320" i="9"/>
  <c r="A320" i="9"/>
  <c r="A320" i="10" s="1"/>
  <c r="O319" i="9"/>
  <c r="N319" i="9"/>
  <c r="M319" i="9"/>
  <c r="L319" i="9"/>
  <c r="K319" i="9"/>
  <c r="J319" i="9"/>
  <c r="I319" i="9"/>
  <c r="H319" i="9"/>
  <c r="G319" i="9"/>
  <c r="F319" i="9"/>
  <c r="E319" i="9"/>
  <c r="D319" i="9"/>
  <c r="C319" i="9"/>
  <c r="X319" i="9" s="1"/>
  <c r="B319" i="9"/>
  <c r="A319" i="9"/>
  <c r="A319" i="10" s="1"/>
  <c r="O318" i="9"/>
  <c r="N318" i="9"/>
  <c r="M318" i="9"/>
  <c r="L318" i="9"/>
  <c r="K318" i="9"/>
  <c r="J318" i="9"/>
  <c r="I318" i="9"/>
  <c r="H318" i="9"/>
  <c r="P318" i="9" s="1"/>
  <c r="G318" i="9"/>
  <c r="F318" i="9"/>
  <c r="E318" i="9"/>
  <c r="D318" i="9"/>
  <c r="C318" i="9"/>
  <c r="X318" i="9" s="1"/>
  <c r="B318" i="9"/>
  <c r="W318" i="9" s="1"/>
  <c r="A318" i="9"/>
  <c r="A318" i="10" s="1"/>
  <c r="W317" i="9"/>
  <c r="O317" i="9"/>
  <c r="N317" i="9"/>
  <c r="M317" i="9"/>
  <c r="L317" i="9"/>
  <c r="K317" i="9"/>
  <c r="J317" i="9"/>
  <c r="I317" i="9"/>
  <c r="H317" i="9"/>
  <c r="G317" i="9"/>
  <c r="F317" i="9"/>
  <c r="E317" i="9"/>
  <c r="D317" i="9"/>
  <c r="C317" i="9"/>
  <c r="X317" i="9" s="1"/>
  <c r="B317" i="9"/>
  <c r="A317" i="9"/>
  <c r="A317" i="10" s="1"/>
  <c r="O316" i="9"/>
  <c r="N316" i="9"/>
  <c r="M316" i="9"/>
  <c r="L316" i="9"/>
  <c r="K316" i="9"/>
  <c r="J316" i="9"/>
  <c r="I316" i="9"/>
  <c r="H316" i="9"/>
  <c r="G316" i="9"/>
  <c r="F316" i="9"/>
  <c r="E316" i="9"/>
  <c r="D316" i="9"/>
  <c r="C316" i="9"/>
  <c r="X316" i="9" s="1"/>
  <c r="B316" i="9"/>
  <c r="A316" i="9"/>
  <c r="A316" i="10" s="1"/>
  <c r="X315" i="9"/>
  <c r="V315" i="9"/>
  <c r="O315" i="9"/>
  <c r="N315" i="9"/>
  <c r="M315" i="9"/>
  <c r="L315" i="9"/>
  <c r="K315" i="9"/>
  <c r="J315" i="9"/>
  <c r="I315" i="9"/>
  <c r="H315" i="9"/>
  <c r="G315" i="9"/>
  <c r="F315" i="9"/>
  <c r="E315" i="9"/>
  <c r="D315" i="9"/>
  <c r="C315" i="9"/>
  <c r="B315" i="9"/>
  <c r="A315" i="9"/>
  <c r="A315" i="10" s="1"/>
  <c r="X314" i="9"/>
  <c r="O314" i="9"/>
  <c r="N314" i="9"/>
  <c r="M314" i="9"/>
  <c r="L314" i="9"/>
  <c r="K314" i="9"/>
  <c r="J314" i="9"/>
  <c r="I314" i="9"/>
  <c r="H314" i="9"/>
  <c r="G314" i="9"/>
  <c r="F314" i="9"/>
  <c r="E314" i="9"/>
  <c r="D314" i="9"/>
  <c r="C314" i="9"/>
  <c r="B314" i="9"/>
  <c r="A314" i="9"/>
  <c r="A314" i="10" s="1"/>
  <c r="O313" i="9"/>
  <c r="V313" i="9" s="1"/>
  <c r="N313" i="9"/>
  <c r="M313" i="9"/>
  <c r="L313" i="9"/>
  <c r="W313" i="9" s="1"/>
  <c r="K313" i="9"/>
  <c r="J313" i="9"/>
  <c r="I313" i="9"/>
  <c r="H313" i="9"/>
  <c r="G313" i="9"/>
  <c r="F313" i="9"/>
  <c r="E313" i="9"/>
  <c r="D313" i="9"/>
  <c r="C313" i="9"/>
  <c r="X313" i="9" s="1"/>
  <c r="B313" i="9"/>
  <c r="A313" i="9"/>
  <c r="W312" i="9"/>
  <c r="V312" i="9"/>
  <c r="O312" i="9"/>
  <c r="N312" i="9"/>
  <c r="M312" i="9"/>
  <c r="L312" i="9"/>
  <c r="K312" i="9"/>
  <c r="J312" i="9"/>
  <c r="I312" i="9"/>
  <c r="H312" i="9"/>
  <c r="G312" i="9"/>
  <c r="F312" i="9"/>
  <c r="E312" i="9"/>
  <c r="D312" i="9"/>
  <c r="C312" i="9"/>
  <c r="X312" i="9" s="1"/>
  <c r="B312" i="9"/>
  <c r="A312" i="9"/>
  <c r="A312" i="10" s="1"/>
  <c r="X311" i="9"/>
  <c r="O311" i="9"/>
  <c r="N311" i="9"/>
  <c r="M311" i="9"/>
  <c r="L311" i="9"/>
  <c r="K311" i="9"/>
  <c r="J311" i="9"/>
  <c r="I311" i="9"/>
  <c r="H311" i="9"/>
  <c r="W311" i="9" s="1"/>
  <c r="G311" i="9"/>
  <c r="F311" i="9"/>
  <c r="E311" i="9"/>
  <c r="D311" i="9"/>
  <c r="C311" i="9"/>
  <c r="B311" i="9"/>
  <c r="A311" i="9"/>
  <c r="X310" i="9"/>
  <c r="V310" i="9"/>
  <c r="O310" i="9"/>
  <c r="N310" i="9"/>
  <c r="W310" i="9" s="1"/>
  <c r="M310" i="9"/>
  <c r="L310" i="9"/>
  <c r="K310" i="9"/>
  <c r="J310" i="9"/>
  <c r="I310" i="9"/>
  <c r="H310" i="9"/>
  <c r="G310" i="9"/>
  <c r="F310" i="9"/>
  <c r="E310" i="9"/>
  <c r="D310" i="9"/>
  <c r="C310" i="9"/>
  <c r="B310" i="9"/>
  <c r="A310" i="9"/>
  <c r="A310" i="10" s="1"/>
  <c r="O309" i="9"/>
  <c r="V309" i="9" s="1"/>
  <c r="N309" i="9"/>
  <c r="M309" i="9"/>
  <c r="L309" i="9"/>
  <c r="K309" i="9"/>
  <c r="J309" i="9"/>
  <c r="I309" i="9"/>
  <c r="H309" i="9"/>
  <c r="G309" i="9"/>
  <c r="F309" i="9"/>
  <c r="E309" i="9"/>
  <c r="D309" i="9"/>
  <c r="C309" i="9"/>
  <c r="X309" i="9" s="1"/>
  <c r="B309" i="9"/>
  <c r="A309" i="9"/>
  <c r="A309" i="10" s="1"/>
  <c r="X308" i="9"/>
  <c r="O308" i="9"/>
  <c r="V308" i="9" s="1"/>
  <c r="N308" i="9"/>
  <c r="M308" i="9"/>
  <c r="L308" i="9"/>
  <c r="W308" i="9" s="1"/>
  <c r="K308" i="9"/>
  <c r="J308" i="9"/>
  <c r="P308" i="9" s="1"/>
  <c r="I308" i="9"/>
  <c r="H308" i="9"/>
  <c r="G308" i="9"/>
  <c r="F308" i="9"/>
  <c r="E308" i="9"/>
  <c r="D308" i="9"/>
  <c r="C308" i="9"/>
  <c r="B308" i="9"/>
  <c r="A308" i="9"/>
  <c r="X307" i="9"/>
  <c r="W307" i="9"/>
  <c r="V307" i="9"/>
  <c r="O307" i="9"/>
  <c r="N307" i="9"/>
  <c r="M307" i="9"/>
  <c r="L307" i="9"/>
  <c r="K307" i="9"/>
  <c r="J307" i="9"/>
  <c r="I307" i="9"/>
  <c r="H307" i="9"/>
  <c r="G307" i="9"/>
  <c r="F307" i="9"/>
  <c r="E307" i="9"/>
  <c r="D307" i="9"/>
  <c r="C307" i="9"/>
  <c r="B307" i="9"/>
  <c r="A307" i="9"/>
  <c r="A307" i="10" s="1"/>
  <c r="X306" i="9"/>
  <c r="O306" i="9"/>
  <c r="V306" i="9" s="1"/>
  <c r="N306" i="9"/>
  <c r="P306" i="9" s="1"/>
  <c r="M306" i="9"/>
  <c r="L306" i="9"/>
  <c r="K306" i="9"/>
  <c r="J306" i="9"/>
  <c r="I306" i="9"/>
  <c r="H306" i="9"/>
  <c r="G306" i="9"/>
  <c r="F306" i="9"/>
  <c r="E306" i="9"/>
  <c r="D306" i="9"/>
  <c r="C306" i="9"/>
  <c r="B306" i="9"/>
  <c r="A306" i="9"/>
  <c r="V305" i="9"/>
  <c r="O305" i="9"/>
  <c r="N305" i="9"/>
  <c r="M305" i="9"/>
  <c r="L305" i="9"/>
  <c r="K305" i="9"/>
  <c r="J305" i="9"/>
  <c r="I305" i="9"/>
  <c r="H305" i="9"/>
  <c r="G305" i="9"/>
  <c r="F305" i="9"/>
  <c r="E305" i="9"/>
  <c r="D305" i="9"/>
  <c r="C305" i="9"/>
  <c r="X305" i="9" s="1"/>
  <c r="B305" i="9"/>
  <c r="P305" i="9" s="1"/>
  <c r="A305" i="9"/>
  <c r="O304" i="9"/>
  <c r="N304" i="9"/>
  <c r="M304" i="9"/>
  <c r="L304" i="9"/>
  <c r="K304" i="9"/>
  <c r="J304" i="9"/>
  <c r="I304" i="9"/>
  <c r="H304" i="9"/>
  <c r="G304" i="9"/>
  <c r="F304" i="9"/>
  <c r="E304" i="9"/>
  <c r="D304" i="9"/>
  <c r="C304" i="9"/>
  <c r="X304" i="9" s="1"/>
  <c r="B304" i="9"/>
  <c r="A304" i="9"/>
  <c r="X303" i="9"/>
  <c r="W303" i="9"/>
  <c r="V303" i="9"/>
  <c r="O303" i="9"/>
  <c r="N303" i="9"/>
  <c r="M303" i="9"/>
  <c r="L303" i="9"/>
  <c r="P303" i="9" s="1"/>
  <c r="K303" i="9"/>
  <c r="J303" i="9"/>
  <c r="I303" i="9"/>
  <c r="H303" i="9"/>
  <c r="G303" i="9"/>
  <c r="F303" i="9"/>
  <c r="E303" i="9"/>
  <c r="D303" i="9"/>
  <c r="C303" i="9"/>
  <c r="B303" i="9"/>
  <c r="A303" i="9"/>
  <c r="A303" i="10" s="1"/>
  <c r="O302" i="9"/>
  <c r="N302" i="9"/>
  <c r="M302" i="9"/>
  <c r="L302" i="9"/>
  <c r="K302" i="9"/>
  <c r="J302" i="9"/>
  <c r="I302" i="9"/>
  <c r="H302" i="9"/>
  <c r="G302" i="9"/>
  <c r="F302" i="9"/>
  <c r="E302" i="9"/>
  <c r="D302" i="9"/>
  <c r="C302" i="9"/>
  <c r="X302" i="9" s="1"/>
  <c r="B302" i="9"/>
  <c r="A302" i="9"/>
  <c r="A302" i="10" s="1"/>
  <c r="X301" i="9"/>
  <c r="O301" i="9"/>
  <c r="N301" i="9"/>
  <c r="M301" i="9"/>
  <c r="L301" i="9"/>
  <c r="K301" i="9"/>
  <c r="J301" i="9"/>
  <c r="I301" i="9"/>
  <c r="H301" i="9"/>
  <c r="G301" i="9"/>
  <c r="F301" i="9"/>
  <c r="E301" i="9"/>
  <c r="D301" i="9"/>
  <c r="C301" i="9"/>
  <c r="B301" i="9"/>
  <c r="W301" i="9" s="1"/>
  <c r="A301" i="9"/>
  <c r="A301" i="10" s="1"/>
  <c r="O300" i="9"/>
  <c r="N300" i="9"/>
  <c r="M300" i="9"/>
  <c r="L300" i="9"/>
  <c r="K300" i="9"/>
  <c r="J300" i="9"/>
  <c r="I300" i="9"/>
  <c r="H300" i="9"/>
  <c r="G300" i="9"/>
  <c r="F300" i="9"/>
  <c r="E300" i="9"/>
  <c r="D300" i="9"/>
  <c r="V300" i="9" s="1"/>
  <c r="C300" i="9"/>
  <c r="X300" i="9" s="1"/>
  <c r="B300" i="9"/>
  <c r="W300" i="9" s="1"/>
  <c r="A300" i="9"/>
  <c r="A300" i="10" s="1"/>
  <c r="O299" i="9"/>
  <c r="N299" i="9"/>
  <c r="M299" i="9"/>
  <c r="L299" i="9"/>
  <c r="K299" i="9"/>
  <c r="J299" i="9"/>
  <c r="I299" i="9"/>
  <c r="H299" i="9"/>
  <c r="G299" i="9"/>
  <c r="F299" i="9"/>
  <c r="E299" i="9"/>
  <c r="D299" i="9"/>
  <c r="C299" i="9"/>
  <c r="X299" i="9" s="1"/>
  <c r="B299" i="9"/>
  <c r="A299" i="9"/>
  <c r="A299" i="10" s="1"/>
  <c r="X298" i="9"/>
  <c r="O298" i="9"/>
  <c r="V298" i="9" s="1"/>
  <c r="N298" i="9"/>
  <c r="M298" i="9"/>
  <c r="L298" i="9"/>
  <c r="K298" i="9"/>
  <c r="J298" i="9"/>
  <c r="I298" i="9"/>
  <c r="H298" i="9"/>
  <c r="G298" i="9"/>
  <c r="F298" i="9"/>
  <c r="E298" i="9"/>
  <c r="D298" i="9"/>
  <c r="C298" i="9"/>
  <c r="B298" i="9"/>
  <c r="A298" i="9"/>
  <c r="A298" i="10" s="1"/>
  <c r="X297" i="9"/>
  <c r="W297" i="9"/>
  <c r="O297" i="9"/>
  <c r="V297" i="9" s="1"/>
  <c r="N297" i="9"/>
  <c r="M297" i="9"/>
  <c r="L297" i="9"/>
  <c r="K297" i="9"/>
  <c r="J297" i="9"/>
  <c r="I297" i="9"/>
  <c r="H297" i="9"/>
  <c r="G297" i="9"/>
  <c r="F297" i="9"/>
  <c r="E297" i="9"/>
  <c r="D297" i="9"/>
  <c r="C297" i="9"/>
  <c r="B297" i="9"/>
  <c r="A297" i="9"/>
  <c r="A297" i="10" s="1"/>
  <c r="O296" i="9"/>
  <c r="N296" i="9"/>
  <c r="M296" i="9"/>
  <c r="L296" i="9"/>
  <c r="K296" i="9"/>
  <c r="J296" i="9"/>
  <c r="I296" i="9"/>
  <c r="H296" i="9"/>
  <c r="P296" i="9" s="1"/>
  <c r="G296" i="9"/>
  <c r="F296" i="9"/>
  <c r="E296" i="9"/>
  <c r="D296" i="9"/>
  <c r="C296" i="9"/>
  <c r="X296" i="9" s="1"/>
  <c r="B296" i="9"/>
  <c r="A296" i="9"/>
  <c r="A296" i="10" s="1"/>
  <c r="W295" i="9"/>
  <c r="V295" i="9"/>
  <c r="O295" i="9"/>
  <c r="N295" i="9"/>
  <c r="M295" i="9"/>
  <c r="L295" i="9"/>
  <c r="K295" i="9"/>
  <c r="J295" i="9"/>
  <c r="I295" i="9"/>
  <c r="H295" i="9"/>
  <c r="G295" i="9"/>
  <c r="F295" i="9"/>
  <c r="E295" i="9"/>
  <c r="D295" i="9"/>
  <c r="C295" i="9"/>
  <c r="X295" i="9" s="1"/>
  <c r="B295" i="9"/>
  <c r="A295" i="9"/>
  <c r="A295" i="10" s="1"/>
  <c r="O294" i="9"/>
  <c r="N294" i="9"/>
  <c r="M294" i="9"/>
  <c r="L294" i="9"/>
  <c r="K294" i="9"/>
  <c r="J294" i="9"/>
  <c r="I294" i="9"/>
  <c r="H294" i="9"/>
  <c r="W294" i="9" s="1"/>
  <c r="G294" i="9"/>
  <c r="F294" i="9"/>
  <c r="E294" i="9"/>
  <c r="D294" i="9"/>
  <c r="C294" i="9"/>
  <c r="X294" i="9" s="1"/>
  <c r="B294" i="9"/>
  <c r="A294" i="9"/>
  <c r="A294" i="10" s="1"/>
  <c r="X293" i="9"/>
  <c r="P293" i="9"/>
  <c r="O293" i="9"/>
  <c r="V293" i="9" s="1"/>
  <c r="N293" i="9"/>
  <c r="M293" i="9"/>
  <c r="W293" i="9" s="1"/>
  <c r="L293" i="9"/>
  <c r="K293" i="9"/>
  <c r="J293" i="9"/>
  <c r="I293" i="9"/>
  <c r="H293" i="9"/>
  <c r="G293" i="9"/>
  <c r="F293" i="9"/>
  <c r="E293" i="9"/>
  <c r="D293" i="9"/>
  <c r="C293" i="9"/>
  <c r="B293" i="9"/>
  <c r="A293" i="9"/>
  <c r="A293" i="10" s="1"/>
  <c r="X292" i="9"/>
  <c r="O292" i="9"/>
  <c r="N292" i="9"/>
  <c r="M292" i="9"/>
  <c r="L292" i="9"/>
  <c r="K292" i="9"/>
  <c r="J292" i="9"/>
  <c r="I292" i="9"/>
  <c r="H292" i="9"/>
  <c r="G292" i="9"/>
  <c r="F292" i="9"/>
  <c r="E292" i="9"/>
  <c r="D292" i="9"/>
  <c r="C292" i="9"/>
  <c r="B292" i="9"/>
  <c r="A292" i="9"/>
  <c r="A292" i="10" s="1"/>
  <c r="O291" i="9"/>
  <c r="N291" i="9"/>
  <c r="M291" i="9"/>
  <c r="L291" i="9"/>
  <c r="K291" i="9"/>
  <c r="J291" i="9"/>
  <c r="P291" i="9" s="1"/>
  <c r="I291" i="9"/>
  <c r="H291" i="9"/>
  <c r="G291" i="9"/>
  <c r="F291" i="9"/>
  <c r="E291" i="9"/>
  <c r="D291" i="9"/>
  <c r="C291" i="9"/>
  <c r="X291" i="9" s="1"/>
  <c r="B291" i="9"/>
  <c r="A291" i="9"/>
  <c r="A291" i="10" s="1"/>
  <c r="X290" i="9"/>
  <c r="V290" i="9"/>
  <c r="O290" i="9"/>
  <c r="N290" i="9"/>
  <c r="M290" i="9"/>
  <c r="L290" i="9"/>
  <c r="K290" i="9"/>
  <c r="J290" i="9"/>
  <c r="I290" i="9"/>
  <c r="H290" i="9"/>
  <c r="G290" i="9"/>
  <c r="F290" i="9"/>
  <c r="E290" i="9"/>
  <c r="D290" i="9"/>
  <c r="C290" i="9"/>
  <c r="B290" i="9"/>
  <c r="A290" i="9"/>
  <c r="A290" i="10" s="1"/>
  <c r="X289" i="9"/>
  <c r="O289" i="9"/>
  <c r="V289" i="9" s="1"/>
  <c r="N289" i="9"/>
  <c r="M289" i="9"/>
  <c r="L289" i="9"/>
  <c r="K289" i="9"/>
  <c r="J289" i="9"/>
  <c r="I289" i="9"/>
  <c r="H289" i="9"/>
  <c r="G289" i="9"/>
  <c r="F289" i="9"/>
  <c r="E289" i="9"/>
  <c r="D289" i="9"/>
  <c r="C289" i="9"/>
  <c r="B289" i="9"/>
  <c r="A289" i="9"/>
  <c r="A289" i="10" s="1"/>
  <c r="X288" i="9"/>
  <c r="W288" i="9"/>
  <c r="Y288" i="9" s="1"/>
  <c r="AA288" i="9" s="1"/>
  <c r="O288" i="9"/>
  <c r="V288" i="9" s="1"/>
  <c r="N288" i="9"/>
  <c r="M288" i="9"/>
  <c r="L288" i="9"/>
  <c r="K288" i="9"/>
  <c r="J288" i="9"/>
  <c r="I288" i="9"/>
  <c r="H288" i="9"/>
  <c r="G288" i="9"/>
  <c r="F288" i="9"/>
  <c r="E288" i="9"/>
  <c r="D288" i="9"/>
  <c r="C288" i="9"/>
  <c r="B288" i="9"/>
  <c r="P288" i="9" s="1"/>
  <c r="A288" i="9"/>
  <c r="A288" i="10" s="1"/>
  <c r="O287" i="9"/>
  <c r="N287" i="9"/>
  <c r="M287" i="9"/>
  <c r="L287" i="9"/>
  <c r="K287" i="9"/>
  <c r="J287" i="9"/>
  <c r="I287" i="9"/>
  <c r="H287" i="9"/>
  <c r="G287" i="9"/>
  <c r="F287" i="9"/>
  <c r="E287" i="9"/>
  <c r="D287" i="9"/>
  <c r="C287" i="9"/>
  <c r="X287" i="9" s="1"/>
  <c r="B287" i="9"/>
  <c r="A287" i="9"/>
  <c r="A287" i="10" s="1"/>
  <c r="X286" i="9"/>
  <c r="V286" i="9"/>
  <c r="P286" i="9"/>
  <c r="O286" i="9"/>
  <c r="N286" i="9"/>
  <c r="M286" i="9"/>
  <c r="L286" i="9"/>
  <c r="K286" i="9"/>
  <c r="J286" i="9"/>
  <c r="I286" i="9"/>
  <c r="H286" i="9"/>
  <c r="G286" i="9"/>
  <c r="F286" i="9"/>
  <c r="E286" i="9"/>
  <c r="D286" i="9"/>
  <c r="C286" i="9"/>
  <c r="B286" i="9"/>
  <c r="A286" i="9"/>
  <c r="A286" i="10" s="1"/>
  <c r="X285" i="9"/>
  <c r="O285" i="9"/>
  <c r="N285" i="9"/>
  <c r="M285" i="9"/>
  <c r="L285" i="9"/>
  <c r="K285" i="9"/>
  <c r="J285" i="9"/>
  <c r="I285" i="9"/>
  <c r="H285" i="9"/>
  <c r="G285" i="9"/>
  <c r="F285" i="9"/>
  <c r="E285" i="9"/>
  <c r="D285" i="9"/>
  <c r="C285" i="9"/>
  <c r="B285" i="9"/>
  <c r="A285" i="9"/>
  <c r="A285" i="10" s="1"/>
  <c r="X284" i="9"/>
  <c r="O284" i="9"/>
  <c r="N284" i="9"/>
  <c r="M284" i="9"/>
  <c r="L284" i="9"/>
  <c r="K284" i="9"/>
  <c r="J284" i="9"/>
  <c r="I284" i="9"/>
  <c r="H284" i="9"/>
  <c r="G284" i="9"/>
  <c r="F284" i="9"/>
  <c r="E284" i="9"/>
  <c r="D284" i="9"/>
  <c r="C284" i="9"/>
  <c r="B284" i="9"/>
  <c r="A284" i="9"/>
  <c r="A284" i="10" s="1"/>
  <c r="X283" i="9"/>
  <c r="V283" i="9"/>
  <c r="O283" i="9"/>
  <c r="N283" i="9"/>
  <c r="M283" i="9"/>
  <c r="L283" i="9"/>
  <c r="K283" i="9"/>
  <c r="J283" i="9"/>
  <c r="I283" i="9"/>
  <c r="H283" i="9"/>
  <c r="G283" i="9"/>
  <c r="F283" i="9"/>
  <c r="E283" i="9"/>
  <c r="D283" i="9"/>
  <c r="C283" i="9"/>
  <c r="B283" i="9"/>
  <c r="A283" i="9"/>
  <c r="A283" i="10" s="1"/>
  <c r="O282" i="9"/>
  <c r="N282" i="9"/>
  <c r="M282" i="9"/>
  <c r="L282" i="9"/>
  <c r="K282" i="9"/>
  <c r="J282" i="9"/>
  <c r="I282" i="9"/>
  <c r="H282" i="9"/>
  <c r="G282" i="9"/>
  <c r="F282" i="9"/>
  <c r="E282" i="9"/>
  <c r="D282" i="9"/>
  <c r="C282" i="9"/>
  <c r="X282" i="9" s="1"/>
  <c r="B282" i="9"/>
  <c r="A282" i="9"/>
  <c r="X281" i="9"/>
  <c r="O281" i="9"/>
  <c r="N281" i="9"/>
  <c r="M281" i="9"/>
  <c r="L281" i="9"/>
  <c r="W281" i="9" s="1"/>
  <c r="K281" i="9"/>
  <c r="J281" i="9"/>
  <c r="I281" i="9"/>
  <c r="H281" i="9"/>
  <c r="G281" i="9"/>
  <c r="F281" i="9"/>
  <c r="E281" i="9"/>
  <c r="D281" i="9"/>
  <c r="C281" i="9"/>
  <c r="B281" i="9"/>
  <c r="A281" i="9"/>
  <c r="X280" i="9"/>
  <c r="O280" i="9"/>
  <c r="N280" i="9"/>
  <c r="M280" i="9"/>
  <c r="L280" i="9"/>
  <c r="K280" i="9"/>
  <c r="J280" i="9"/>
  <c r="I280" i="9"/>
  <c r="H280" i="9"/>
  <c r="G280" i="9"/>
  <c r="F280" i="9"/>
  <c r="E280" i="9"/>
  <c r="D280" i="9"/>
  <c r="C280" i="9"/>
  <c r="B280" i="9"/>
  <c r="W280" i="9" s="1"/>
  <c r="A280" i="9"/>
  <c r="A280" i="10" s="1"/>
  <c r="X279" i="9"/>
  <c r="O279" i="9"/>
  <c r="N279" i="9"/>
  <c r="M279" i="9"/>
  <c r="L279" i="9"/>
  <c r="K279" i="9"/>
  <c r="J279" i="9"/>
  <c r="I279" i="9"/>
  <c r="H279" i="9"/>
  <c r="G279" i="9"/>
  <c r="F279" i="9"/>
  <c r="E279" i="9"/>
  <c r="D279" i="9"/>
  <c r="C279" i="9"/>
  <c r="B279" i="9"/>
  <c r="A279" i="9"/>
  <c r="A279" i="10" s="1"/>
  <c r="X278" i="9"/>
  <c r="P278" i="9"/>
  <c r="O278" i="9"/>
  <c r="N278" i="9"/>
  <c r="M278" i="9"/>
  <c r="L278" i="9"/>
  <c r="K278" i="9"/>
  <c r="J278" i="9"/>
  <c r="I278" i="9"/>
  <c r="H278" i="9"/>
  <c r="G278" i="9"/>
  <c r="F278" i="9"/>
  <c r="E278" i="9"/>
  <c r="D278" i="9"/>
  <c r="V278" i="9" s="1"/>
  <c r="C278" i="9"/>
  <c r="B278" i="9"/>
  <c r="W278" i="9" s="1"/>
  <c r="A278" i="9"/>
  <c r="A278" i="10" s="1"/>
  <c r="O277" i="9"/>
  <c r="N277" i="9"/>
  <c r="M277" i="9"/>
  <c r="L277" i="9"/>
  <c r="K277" i="9"/>
  <c r="J277" i="9"/>
  <c r="I277" i="9"/>
  <c r="H277" i="9"/>
  <c r="G277" i="9"/>
  <c r="F277" i="9"/>
  <c r="E277" i="9"/>
  <c r="D277" i="9"/>
  <c r="C277" i="9"/>
  <c r="X277" i="9" s="1"/>
  <c r="B277" i="9"/>
  <c r="A277" i="9"/>
  <c r="A277" i="10" s="1"/>
  <c r="X276" i="9"/>
  <c r="O276" i="9"/>
  <c r="V276" i="9" s="1"/>
  <c r="N276" i="9"/>
  <c r="M276" i="9"/>
  <c r="L276" i="9"/>
  <c r="K276" i="9"/>
  <c r="J276" i="9"/>
  <c r="I276" i="9"/>
  <c r="H276" i="9"/>
  <c r="G276" i="9"/>
  <c r="F276" i="9"/>
  <c r="E276" i="9"/>
  <c r="D276" i="9"/>
  <c r="C276" i="9"/>
  <c r="B276" i="9"/>
  <c r="A276" i="9"/>
  <c r="A276" i="10" s="1"/>
  <c r="W275" i="9"/>
  <c r="O275" i="9"/>
  <c r="V275" i="9" s="1"/>
  <c r="Y275" i="9" s="1"/>
  <c r="AA275" i="9" s="1"/>
  <c r="N275" i="9"/>
  <c r="M275" i="9"/>
  <c r="L275" i="9"/>
  <c r="K275" i="9"/>
  <c r="J275" i="9"/>
  <c r="I275" i="9"/>
  <c r="H275" i="9"/>
  <c r="G275" i="9"/>
  <c r="F275" i="9"/>
  <c r="E275" i="9"/>
  <c r="D275" i="9"/>
  <c r="C275" i="9"/>
  <c r="X275" i="9" s="1"/>
  <c r="B275" i="9"/>
  <c r="A275" i="9"/>
  <c r="A275" i="10" s="1"/>
  <c r="O274" i="9"/>
  <c r="N274" i="9"/>
  <c r="M274" i="9"/>
  <c r="L274" i="9"/>
  <c r="K274" i="9"/>
  <c r="J274" i="9"/>
  <c r="P274" i="9" s="1"/>
  <c r="I274" i="9"/>
  <c r="H274" i="9"/>
  <c r="G274" i="9"/>
  <c r="F274" i="9"/>
  <c r="E274" i="9"/>
  <c r="D274" i="9"/>
  <c r="C274" i="9"/>
  <c r="X274" i="9" s="1"/>
  <c r="B274" i="9"/>
  <c r="A274" i="9"/>
  <c r="A274" i="10" s="1"/>
  <c r="X273" i="9"/>
  <c r="O273" i="9"/>
  <c r="N273" i="9"/>
  <c r="M273" i="9"/>
  <c r="L273" i="9"/>
  <c r="K273" i="9"/>
  <c r="J273" i="9"/>
  <c r="I273" i="9"/>
  <c r="H273" i="9"/>
  <c r="G273" i="9"/>
  <c r="F273" i="9"/>
  <c r="E273" i="9"/>
  <c r="V273" i="9" s="1"/>
  <c r="D273" i="9"/>
  <c r="C273" i="9"/>
  <c r="B273" i="9"/>
  <c r="P273" i="9" s="1"/>
  <c r="A273" i="9"/>
  <c r="A273" i="10" s="1"/>
  <c r="O272" i="9"/>
  <c r="V272" i="9" s="1"/>
  <c r="N272" i="9"/>
  <c r="M272" i="9"/>
  <c r="L272" i="9"/>
  <c r="K272" i="9"/>
  <c r="J272" i="9"/>
  <c r="I272" i="9"/>
  <c r="H272" i="9"/>
  <c r="G272" i="9"/>
  <c r="F272" i="9"/>
  <c r="E272" i="9"/>
  <c r="D272" i="9"/>
  <c r="C272" i="9"/>
  <c r="X272" i="9" s="1"/>
  <c r="B272" i="9"/>
  <c r="A272" i="9"/>
  <c r="A272" i="10" s="1"/>
  <c r="X271" i="9"/>
  <c r="W271" i="9"/>
  <c r="V271" i="9"/>
  <c r="Y271" i="9" s="1"/>
  <c r="P271" i="9"/>
  <c r="O271" i="9"/>
  <c r="N271" i="9"/>
  <c r="M271" i="9"/>
  <c r="L271" i="9"/>
  <c r="K271" i="9"/>
  <c r="J271" i="9"/>
  <c r="I271" i="9"/>
  <c r="H271" i="9"/>
  <c r="G271" i="9"/>
  <c r="F271" i="9"/>
  <c r="E271" i="9"/>
  <c r="D271" i="9"/>
  <c r="C271" i="9"/>
  <c r="B271" i="9"/>
  <c r="A271" i="9"/>
  <c r="A271" i="10" s="1"/>
  <c r="O270" i="9"/>
  <c r="N270" i="9"/>
  <c r="M270" i="9"/>
  <c r="L270" i="9"/>
  <c r="K270" i="9"/>
  <c r="J270" i="9"/>
  <c r="I270" i="9"/>
  <c r="H270" i="9"/>
  <c r="G270" i="9"/>
  <c r="F270" i="9"/>
  <c r="E270" i="9"/>
  <c r="D270" i="9"/>
  <c r="C270" i="9"/>
  <c r="X270" i="9" s="1"/>
  <c r="B270" i="9"/>
  <c r="A270" i="9"/>
  <c r="A270" i="10" s="1"/>
  <c r="P269" i="9"/>
  <c r="O269" i="9"/>
  <c r="V269" i="9" s="1"/>
  <c r="N269" i="9"/>
  <c r="M269" i="9"/>
  <c r="L269" i="9"/>
  <c r="K269" i="9"/>
  <c r="J269" i="9"/>
  <c r="I269" i="9"/>
  <c r="H269" i="9"/>
  <c r="G269" i="9"/>
  <c r="F269" i="9"/>
  <c r="E269" i="9"/>
  <c r="D269" i="9"/>
  <c r="C269" i="9"/>
  <c r="X269" i="9" s="1"/>
  <c r="B269" i="9"/>
  <c r="A269" i="9"/>
  <c r="X268" i="9"/>
  <c r="W268" i="9"/>
  <c r="O268" i="9"/>
  <c r="N268" i="9"/>
  <c r="M268" i="9"/>
  <c r="L268" i="9"/>
  <c r="K268" i="9"/>
  <c r="J268" i="9"/>
  <c r="I268" i="9"/>
  <c r="H268" i="9"/>
  <c r="G268" i="9"/>
  <c r="F268" i="9"/>
  <c r="E268" i="9"/>
  <c r="D268" i="9"/>
  <c r="C268" i="9"/>
  <c r="B268" i="9"/>
  <c r="A268" i="9"/>
  <c r="A268" i="10" s="1"/>
  <c r="X267" i="9"/>
  <c r="O267" i="9"/>
  <c r="N267" i="9"/>
  <c r="M267" i="9"/>
  <c r="L267" i="9"/>
  <c r="K267" i="9"/>
  <c r="J267" i="9"/>
  <c r="I267" i="9"/>
  <c r="H267" i="9"/>
  <c r="G267" i="9"/>
  <c r="F267" i="9"/>
  <c r="E267" i="9"/>
  <c r="P267" i="9" s="1"/>
  <c r="D267" i="9"/>
  <c r="C267" i="9"/>
  <c r="B267" i="9"/>
  <c r="A267" i="9"/>
  <c r="X266" i="9"/>
  <c r="W266" i="9"/>
  <c r="V266" i="9"/>
  <c r="Y266" i="9" s="1"/>
  <c r="O266" i="9"/>
  <c r="N266" i="9"/>
  <c r="M266" i="9"/>
  <c r="L266" i="9"/>
  <c r="K266" i="9"/>
  <c r="J266" i="9"/>
  <c r="I266" i="9"/>
  <c r="H266" i="9"/>
  <c r="G266" i="9"/>
  <c r="F266" i="9"/>
  <c r="E266" i="9"/>
  <c r="D266" i="9"/>
  <c r="C266" i="9"/>
  <c r="B266" i="9"/>
  <c r="P266" i="9" s="1"/>
  <c r="A266" i="9"/>
  <c r="O265" i="9"/>
  <c r="N265" i="9"/>
  <c r="M265" i="9"/>
  <c r="L265" i="9"/>
  <c r="K265" i="9"/>
  <c r="J265" i="9"/>
  <c r="I265" i="9"/>
  <c r="H265" i="9"/>
  <c r="G265" i="9"/>
  <c r="F265" i="9"/>
  <c r="E265" i="9"/>
  <c r="D265" i="9"/>
  <c r="C265" i="9"/>
  <c r="X265" i="9" s="1"/>
  <c r="B265" i="9"/>
  <c r="A265" i="9"/>
  <c r="A265" i="10" s="1"/>
  <c r="X264" i="9"/>
  <c r="O264" i="9"/>
  <c r="V264" i="9" s="1"/>
  <c r="N264" i="9"/>
  <c r="M264" i="9"/>
  <c r="L264" i="9"/>
  <c r="W264" i="9" s="1"/>
  <c r="K264" i="9"/>
  <c r="J264" i="9"/>
  <c r="P264" i="9" s="1"/>
  <c r="I264" i="9"/>
  <c r="H264" i="9"/>
  <c r="G264" i="9"/>
  <c r="F264" i="9"/>
  <c r="E264" i="9"/>
  <c r="D264" i="9"/>
  <c r="C264" i="9"/>
  <c r="B264" i="9"/>
  <c r="A264" i="9"/>
  <c r="O263" i="9"/>
  <c r="N263" i="9"/>
  <c r="M263" i="9"/>
  <c r="L263" i="9"/>
  <c r="K263" i="9"/>
  <c r="J263" i="9"/>
  <c r="I263" i="9"/>
  <c r="H263" i="9"/>
  <c r="G263" i="9"/>
  <c r="F263" i="9"/>
  <c r="E263" i="9"/>
  <c r="D263" i="9"/>
  <c r="C263" i="9"/>
  <c r="X263" i="9" s="1"/>
  <c r="B263" i="9"/>
  <c r="W263" i="9" s="1"/>
  <c r="A263" i="9"/>
  <c r="A263" i="10" s="1"/>
  <c r="X262" i="9"/>
  <c r="O262" i="9"/>
  <c r="N262" i="9"/>
  <c r="M262" i="9"/>
  <c r="L262" i="9"/>
  <c r="K262" i="9"/>
  <c r="J262" i="9"/>
  <c r="I262" i="9"/>
  <c r="H262" i="9"/>
  <c r="W262" i="9" s="1"/>
  <c r="G262" i="9"/>
  <c r="F262" i="9"/>
  <c r="E262" i="9"/>
  <c r="D262" i="9"/>
  <c r="C262" i="9"/>
  <c r="B262" i="9"/>
  <c r="A262" i="9"/>
  <c r="W261" i="9"/>
  <c r="O261" i="9"/>
  <c r="N261" i="9"/>
  <c r="M261" i="9"/>
  <c r="L261" i="9"/>
  <c r="K261" i="9"/>
  <c r="J261" i="9"/>
  <c r="I261" i="9"/>
  <c r="H261" i="9"/>
  <c r="G261" i="9"/>
  <c r="F261" i="9"/>
  <c r="E261" i="9"/>
  <c r="D261" i="9"/>
  <c r="C261" i="9"/>
  <c r="X261" i="9" s="1"/>
  <c r="B261" i="9"/>
  <c r="A261" i="9"/>
  <c r="A261" i="10" s="1"/>
  <c r="O260" i="9"/>
  <c r="N260" i="9"/>
  <c r="M260" i="9"/>
  <c r="L260" i="9"/>
  <c r="K260" i="9"/>
  <c r="J260" i="9"/>
  <c r="I260" i="9"/>
  <c r="H260" i="9"/>
  <c r="G260" i="9"/>
  <c r="F260" i="9"/>
  <c r="E260" i="9"/>
  <c r="D260" i="9"/>
  <c r="C260" i="9"/>
  <c r="X260" i="9" s="1"/>
  <c r="B260" i="9"/>
  <c r="A260" i="9"/>
  <c r="A260" i="10" s="1"/>
  <c r="X259" i="9"/>
  <c r="O259" i="9"/>
  <c r="V259" i="9" s="1"/>
  <c r="N259" i="9"/>
  <c r="M259" i="9"/>
  <c r="P259" i="9" s="1"/>
  <c r="L259" i="9"/>
  <c r="K259" i="9"/>
  <c r="J259" i="9"/>
  <c r="I259" i="9"/>
  <c r="H259" i="9"/>
  <c r="G259" i="9"/>
  <c r="F259" i="9"/>
  <c r="E259" i="9"/>
  <c r="D259" i="9"/>
  <c r="C259" i="9"/>
  <c r="B259" i="9"/>
  <c r="A259" i="9"/>
  <c r="A259" i="10" s="1"/>
  <c r="X258" i="9"/>
  <c r="W258" i="9"/>
  <c r="V258" i="9"/>
  <c r="O258" i="9"/>
  <c r="N258" i="9"/>
  <c r="M258" i="9"/>
  <c r="L258" i="9"/>
  <c r="K258" i="9"/>
  <c r="J258" i="9"/>
  <c r="I258" i="9"/>
  <c r="H258" i="9"/>
  <c r="G258" i="9"/>
  <c r="F258" i="9"/>
  <c r="E258" i="9"/>
  <c r="D258" i="9"/>
  <c r="C258" i="9"/>
  <c r="B258" i="9"/>
  <c r="A258" i="9"/>
  <c r="A258" i="10" s="1"/>
  <c r="X257" i="9"/>
  <c r="O257" i="9"/>
  <c r="V257" i="9" s="1"/>
  <c r="N257" i="9"/>
  <c r="M257" i="9"/>
  <c r="L257" i="9"/>
  <c r="K257" i="9"/>
  <c r="J257" i="9"/>
  <c r="I257" i="9"/>
  <c r="H257" i="9"/>
  <c r="G257" i="9"/>
  <c r="F257" i="9"/>
  <c r="E257" i="9"/>
  <c r="D257" i="9"/>
  <c r="C257" i="9"/>
  <c r="B257" i="9"/>
  <c r="A257" i="9"/>
  <c r="A257" i="10" s="1"/>
  <c r="X256" i="9"/>
  <c r="W256" i="9"/>
  <c r="V256" i="9"/>
  <c r="P256" i="9"/>
  <c r="O256" i="9"/>
  <c r="N256" i="9"/>
  <c r="M256" i="9"/>
  <c r="L256" i="9"/>
  <c r="K256" i="9"/>
  <c r="J256" i="9"/>
  <c r="I256" i="9"/>
  <c r="H256" i="9"/>
  <c r="G256" i="9"/>
  <c r="F256" i="9"/>
  <c r="E256" i="9"/>
  <c r="D256" i="9"/>
  <c r="C256" i="9"/>
  <c r="B256" i="9"/>
  <c r="A256" i="9"/>
  <c r="A256" i="10" s="1"/>
  <c r="O255" i="9"/>
  <c r="N255" i="9"/>
  <c r="M255" i="9"/>
  <c r="L255" i="9"/>
  <c r="K255" i="9"/>
  <c r="J255" i="9"/>
  <c r="I255" i="9"/>
  <c r="H255" i="9"/>
  <c r="G255" i="9"/>
  <c r="F255" i="9"/>
  <c r="E255" i="9"/>
  <c r="D255" i="9"/>
  <c r="C255" i="9"/>
  <c r="X255" i="9" s="1"/>
  <c r="B255" i="9"/>
  <c r="A255" i="9"/>
  <c r="A255" i="10" s="1"/>
  <c r="X254" i="9"/>
  <c r="O254" i="9"/>
  <c r="V254" i="9" s="1"/>
  <c r="N254" i="9"/>
  <c r="M254" i="9"/>
  <c r="P254" i="9" s="1"/>
  <c r="L254" i="9"/>
  <c r="K254" i="9"/>
  <c r="J254" i="9"/>
  <c r="I254" i="9"/>
  <c r="H254" i="9"/>
  <c r="G254" i="9"/>
  <c r="F254" i="9"/>
  <c r="E254" i="9"/>
  <c r="D254" i="9"/>
  <c r="C254" i="9"/>
  <c r="B254" i="9"/>
  <c r="A254" i="9"/>
  <c r="A254" i="10" s="1"/>
  <c r="X253" i="9"/>
  <c r="O253" i="9"/>
  <c r="N253" i="9"/>
  <c r="M253" i="9"/>
  <c r="L253" i="9"/>
  <c r="K253" i="9"/>
  <c r="J253" i="9"/>
  <c r="I253" i="9"/>
  <c r="H253" i="9"/>
  <c r="G253" i="9"/>
  <c r="F253" i="9"/>
  <c r="E253" i="9"/>
  <c r="D253" i="9"/>
  <c r="C253" i="9"/>
  <c r="B253" i="9"/>
  <c r="A253" i="9"/>
  <c r="A253" i="10" s="1"/>
  <c r="O252" i="9"/>
  <c r="V252" i="9" s="1"/>
  <c r="N252" i="9"/>
  <c r="M252" i="9"/>
  <c r="L252" i="9"/>
  <c r="K252" i="9"/>
  <c r="J252" i="9"/>
  <c r="I252" i="9"/>
  <c r="H252" i="9"/>
  <c r="G252" i="9"/>
  <c r="F252" i="9"/>
  <c r="E252" i="9"/>
  <c r="D252" i="9"/>
  <c r="C252" i="9"/>
  <c r="X252" i="9" s="1"/>
  <c r="B252" i="9"/>
  <c r="W252" i="9" s="1"/>
  <c r="A252" i="9"/>
  <c r="A252" i="10" s="1"/>
  <c r="X251" i="9"/>
  <c r="W251" i="9"/>
  <c r="V251" i="9"/>
  <c r="O251" i="9"/>
  <c r="N251" i="9"/>
  <c r="M251" i="9"/>
  <c r="L251" i="9"/>
  <c r="K251" i="9"/>
  <c r="J251" i="9"/>
  <c r="I251" i="9"/>
  <c r="H251" i="9"/>
  <c r="G251" i="9"/>
  <c r="F251" i="9"/>
  <c r="E251" i="9"/>
  <c r="D251" i="9"/>
  <c r="C251" i="9"/>
  <c r="B251" i="9"/>
  <c r="A251" i="9"/>
  <c r="A251" i="10" s="1"/>
  <c r="O250" i="9"/>
  <c r="N250" i="9"/>
  <c r="M250" i="9"/>
  <c r="L250" i="9"/>
  <c r="K250" i="9"/>
  <c r="J250" i="9"/>
  <c r="I250" i="9"/>
  <c r="H250" i="9"/>
  <c r="G250" i="9"/>
  <c r="F250" i="9"/>
  <c r="E250" i="9"/>
  <c r="D250" i="9"/>
  <c r="P250" i="9" s="1"/>
  <c r="C250" i="9"/>
  <c r="X250" i="9" s="1"/>
  <c r="B250" i="9"/>
  <c r="A250" i="9"/>
  <c r="A250" i="10" s="1"/>
  <c r="Y249" i="9"/>
  <c r="X249" i="9"/>
  <c r="W249" i="9"/>
  <c r="V249" i="9"/>
  <c r="O249" i="9"/>
  <c r="N249" i="9"/>
  <c r="M249" i="9"/>
  <c r="P249" i="9" s="1"/>
  <c r="L249" i="9"/>
  <c r="K249" i="9"/>
  <c r="J249" i="9"/>
  <c r="I249" i="9"/>
  <c r="H249" i="9"/>
  <c r="G249" i="9"/>
  <c r="F249" i="9"/>
  <c r="E249" i="9"/>
  <c r="D249" i="9"/>
  <c r="C249" i="9"/>
  <c r="B249" i="9"/>
  <c r="A249" i="9"/>
  <c r="A249" i="10" s="1"/>
  <c r="O248" i="9"/>
  <c r="N248" i="9"/>
  <c r="M248" i="9"/>
  <c r="L248" i="9"/>
  <c r="K248" i="9"/>
  <c r="J248" i="9"/>
  <c r="I248" i="9"/>
  <c r="H248" i="9"/>
  <c r="G248" i="9"/>
  <c r="F248" i="9"/>
  <c r="E248" i="9"/>
  <c r="D248" i="9"/>
  <c r="C248" i="9"/>
  <c r="X248" i="9" s="1"/>
  <c r="B248" i="9"/>
  <c r="A248" i="9"/>
  <c r="A248" i="10" s="1"/>
  <c r="O247" i="9"/>
  <c r="N247" i="9"/>
  <c r="M247" i="9"/>
  <c r="L247" i="9"/>
  <c r="K247" i="9"/>
  <c r="J247" i="9"/>
  <c r="I247" i="9"/>
  <c r="P247" i="9" s="1"/>
  <c r="H247" i="9"/>
  <c r="G247" i="9"/>
  <c r="F247" i="9"/>
  <c r="E247" i="9"/>
  <c r="D247" i="9"/>
  <c r="C247" i="9"/>
  <c r="X247" i="9" s="1"/>
  <c r="B247" i="9"/>
  <c r="A247" i="9"/>
  <c r="A247" i="10" s="1"/>
  <c r="O246" i="9"/>
  <c r="N246" i="9"/>
  <c r="M246" i="9"/>
  <c r="L246" i="9"/>
  <c r="K246" i="9"/>
  <c r="J246" i="9"/>
  <c r="I246" i="9"/>
  <c r="H246" i="9"/>
  <c r="G246" i="9"/>
  <c r="F246" i="9"/>
  <c r="E246" i="9"/>
  <c r="D246" i="9"/>
  <c r="C246" i="9"/>
  <c r="X246" i="9" s="1"/>
  <c r="B246" i="9"/>
  <c r="A246" i="9"/>
  <c r="A246" i="10" s="1"/>
  <c r="X245" i="9"/>
  <c r="O245" i="9"/>
  <c r="N245" i="9"/>
  <c r="M245" i="9"/>
  <c r="L245" i="9"/>
  <c r="K245" i="9"/>
  <c r="J245" i="9"/>
  <c r="I245" i="9"/>
  <c r="H245" i="9"/>
  <c r="G245" i="9"/>
  <c r="F245" i="9"/>
  <c r="E245" i="9"/>
  <c r="D245" i="9"/>
  <c r="C245" i="9"/>
  <c r="B245" i="9"/>
  <c r="W245" i="9" s="1"/>
  <c r="A245" i="9"/>
  <c r="A245" i="10" s="1"/>
  <c r="X244" i="9"/>
  <c r="V244" i="9"/>
  <c r="Y244" i="9" s="1"/>
  <c r="AA244" i="9" s="1"/>
  <c r="O244" i="9"/>
  <c r="N244" i="9"/>
  <c r="M244" i="9"/>
  <c r="L244" i="9"/>
  <c r="K244" i="9"/>
  <c r="J244" i="9"/>
  <c r="I244" i="9"/>
  <c r="H244" i="9"/>
  <c r="G244" i="9"/>
  <c r="F244" i="9"/>
  <c r="E244" i="9"/>
  <c r="D244" i="9"/>
  <c r="C244" i="9"/>
  <c r="B244" i="9"/>
  <c r="W244" i="9" s="1"/>
  <c r="A244" i="9"/>
  <c r="A244" i="10" s="1"/>
  <c r="O243" i="9"/>
  <c r="N243" i="9"/>
  <c r="M243" i="9"/>
  <c r="L243" i="9"/>
  <c r="K243" i="9"/>
  <c r="J243" i="9"/>
  <c r="I243" i="9"/>
  <c r="H243" i="9"/>
  <c r="G243" i="9"/>
  <c r="F243" i="9"/>
  <c r="E243" i="9"/>
  <c r="D243" i="9"/>
  <c r="C243" i="9"/>
  <c r="X243" i="9" s="1"/>
  <c r="B243" i="9"/>
  <c r="A243" i="9"/>
  <c r="A243" i="10" s="1"/>
  <c r="X242" i="9"/>
  <c r="O242" i="9"/>
  <c r="N242" i="9"/>
  <c r="M242" i="9"/>
  <c r="L242" i="9"/>
  <c r="K242" i="9"/>
  <c r="J242" i="9"/>
  <c r="I242" i="9"/>
  <c r="H242" i="9"/>
  <c r="G242" i="9"/>
  <c r="F242" i="9"/>
  <c r="E242" i="9"/>
  <c r="D242" i="9"/>
  <c r="C242" i="9"/>
  <c r="B242" i="9"/>
  <c r="A242" i="9"/>
  <c r="A242" i="10" s="1"/>
  <c r="X241" i="9"/>
  <c r="W241" i="9"/>
  <c r="V241" i="9"/>
  <c r="O241" i="9"/>
  <c r="N241" i="9"/>
  <c r="M241" i="9"/>
  <c r="L241" i="9"/>
  <c r="K241" i="9"/>
  <c r="J241" i="9"/>
  <c r="I241" i="9"/>
  <c r="H241" i="9"/>
  <c r="G241" i="9"/>
  <c r="F241" i="9"/>
  <c r="E241" i="9"/>
  <c r="D241" i="9"/>
  <c r="C241" i="9"/>
  <c r="B241" i="9"/>
  <c r="P241" i="9" s="1"/>
  <c r="A241" i="9"/>
  <c r="A241" i="10" s="1"/>
  <c r="O240" i="9"/>
  <c r="N240" i="9"/>
  <c r="M240" i="9"/>
  <c r="L240" i="9"/>
  <c r="K240" i="9"/>
  <c r="J240" i="9"/>
  <c r="I240" i="9"/>
  <c r="H240" i="9"/>
  <c r="W240" i="9" s="1"/>
  <c r="G240" i="9"/>
  <c r="F240" i="9"/>
  <c r="P240" i="9" s="1"/>
  <c r="E240" i="9"/>
  <c r="D240" i="9"/>
  <c r="C240" i="9"/>
  <c r="X240" i="9" s="1"/>
  <c r="B240" i="9"/>
  <c r="A240" i="9"/>
  <c r="W239" i="9"/>
  <c r="P239" i="9"/>
  <c r="O239" i="9"/>
  <c r="V239" i="9" s="1"/>
  <c r="N239" i="9"/>
  <c r="M239" i="9"/>
  <c r="L239" i="9"/>
  <c r="K239" i="9"/>
  <c r="J239" i="9"/>
  <c r="I239" i="9"/>
  <c r="H239" i="9"/>
  <c r="G239" i="9"/>
  <c r="F239" i="9"/>
  <c r="E239" i="9"/>
  <c r="D239" i="9"/>
  <c r="C239" i="9"/>
  <c r="X239" i="9" s="1"/>
  <c r="B239" i="9"/>
  <c r="A239" i="9"/>
  <c r="A239" i="10" s="1"/>
  <c r="O238" i="9"/>
  <c r="N238" i="9"/>
  <c r="M238" i="9"/>
  <c r="L238" i="9"/>
  <c r="K238" i="9"/>
  <c r="J238" i="9"/>
  <c r="I238" i="9"/>
  <c r="H238" i="9"/>
  <c r="G238" i="9"/>
  <c r="F238" i="9"/>
  <c r="E238" i="9"/>
  <c r="D238" i="9"/>
  <c r="C238" i="9"/>
  <c r="X238" i="9" s="1"/>
  <c r="B238" i="9"/>
  <c r="A238" i="9"/>
  <c r="X237" i="9"/>
  <c r="O237" i="9"/>
  <c r="N237" i="9"/>
  <c r="M237" i="9"/>
  <c r="L237" i="9"/>
  <c r="K237" i="9"/>
  <c r="V237" i="9" s="1"/>
  <c r="J237" i="9"/>
  <c r="I237" i="9"/>
  <c r="H237" i="9"/>
  <c r="G237" i="9"/>
  <c r="F237" i="9"/>
  <c r="E237" i="9"/>
  <c r="D237" i="9"/>
  <c r="C237" i="9"/>
  <c r="B237" i="9"/>
  <c r="A237" i="9"/>
  <c r="X236" i="9"/>
  <c r="V236" i="9"/>
  <c r="O236" i="9"/>
  <c r="N236" i="9"/>
  <c r="M236" i="9"/>
  <c r="L236" i="9"/>
  <c r="K236" i="9"/>
  <c r="J236" i="9"/>
  <c r="I236" i="9"/>
  <c r="H236" i="9"/>
  <c r="G236" i="9"/>
  <c r="F236" i="9"/>
  <c r="E236" i="9"/>
  <c r="D236" i="9"/>
  <c r="C236" i="9"/>
  <c r="B236" i="9"/>
  <c r="P236" i="9" s="1"/>
  <c r="A236" i="9"/>
  <c r="A236" i="10" s="1"/>
  <c r="X235" i="9"/>
  <c r="O235" i="9"/>
  <c r="V235" i="9" s="1"/>
  <c r="N235" i="9"/>
  <c r="M235" i="9"/>
  <c r="P235" i="9" s="1"/>
  <c r="L235" i="9"/>
  <c r="K235" i="9"/>
  <c r="J235" i="9"/>
  <c r="I235" i="9"/>
  <c r="H235" i="9"/>
  <c r="G235" i="9"/>
  <c r="F235" i="9"/>
  <c r="E235" i="9"/>
  <c r="D235" i="9"/>
  <c r="C235" i="9"/>
  <c r="B235" i="9"/>
  <c r="A235" i="9"/>
  <c r="A235" i="10" s="1"/>
  <c r="O234" i="9"/>
  <c r="N234" i="9"/>
  <c r="M234" i="9"/>
  <c r="L234" i="9"/>
  <c r="K234" i="9"/>
  <c r="J234" i="9"/>
  <c r="I234" i="9"/>
  <c r="H234" i="9"/>
  <c r="G234" i="9"/>
  <c r="F234" i="9"/>
  <c r="E234" i="9"/>
  <c r="D234" i="9"/>
  <c r="V234" i="9" s="1"/>
  <c r="C234" i="9"/>
  <c r="X234" i="9" s="1"/>
  <c r="B234" i="9"/>
  <c r="P234" i="9" s="1"/>
  <c r="A234" i="9"/>
  <c r="A234" i="10" s="1"/>
  <c r="O233" i="9"/>
  <c r="N233" i="9"/>
  <c r="M233" i="9"/>
  <c r="L233" i="9"/>
  <c r="K233" i="9"/>
  <c r="J233" i="9"/>
  <c r="I233" i="9"/>
  <c r="H233" i="9"/>
  <c r="G233" i="9"/>
  <c r="F233" i="9"/>
  <c r="E233" i="9"/>
  <c r="D233" i="9"/>
  <c r="C233" i="9"/>
  <c r="X233" i="9" s="1"/>
  <c r="B233" i="9"/>
  <c r="W233" i="9" s="1"/>
  <c r="A233" i="9"/>
  <c r="A233" i="10" s="1"/>
  <c r="X232" i="9"/>
  <c r="W232" i="9"/>
  <c r="V232" i="9"/>
  <c r="P232" i="9"/>
  <c r="O232" i="9"/>
  <c r="N232" i="9"/>
  <c r="M232" i="9"/>
  <c r="L232" i="9"/>
  <c r="K232" i="9"/>
  <c r="J232" i="9"/>
  <c r="I232" i="9"/>
  <c r="H232" i="9"/>
  <c r="G232" i="9"/>
  <c r="F232" i="9"/>
  <c r="E232" i="9"/>
  <c r="D232" i="9"/>
  <c r="C232" i="9"/>
  <c r="B232" i="9"/>
  <c r="A232" i="9"/>
  <c r="A232" i="10" s="1"/>
  <c r="O231" i="9"/>
  <c r="N231" i="9"/>
  <c r="M231" i="9"/>
  <c r="L231" i="9"/>
  <c r="K231" i="9"/>
  <c r="J231" i="9"/>
  <c r="I231" i="9"/>
  <c r="H231" i="9"/>
  <c r="G231" i="9"/>
  <c r="F231" i="9"/>
  <c r="E231" i="9"/>
  <c r="D231" i="9"/>
  <c r="C231" i="9"/>
  <c r="X231" i="9" s="1"/>
  <c r="B231" i="9"/>
  <c r="A231" i="9"/>
  <c r="A231" i="10" s="1"/>
  <c r="O230" i="9"/>
  <c r="N230" i="9"/>
  <c r="M230" i="9"/>
  <c r="L230" i="9"/>
  <c r="K230" i="9"/>
  <c r="J230" i="9"/>
  <c r="I230" i="9"/>
  <c r="H230" i="9"/>
  <c r="P230" i="9" s="1"/>
  <c r="G230" i="9"/>
  <c r="F230" i="9"/>
  <c r="E230" i="9"/>
  <c r="D230" i="9"/>
  <c r="C230" i="9"/>
  <c r="X230" i="9" s="1"/>
  <c r="B230" i="9"/>
  <c r="A230" i="9"/>
  <c r="A230" i="10" s="1"/>
  <c r="O229" i="9"/>
  <c r="N229" i="9"/>
  <c r="M229" i="9"/>
  <c r="L229" i="9"/>
  <c r="K229" i="9"/>
  <c r="J229" i="9"/>
  <c r="I229" i="9"/>
  <c r="H229" i="9"/>
  <c r="G229" i="9"/>
  <c r="F229" i="9"/>
  <c r="E229" i="9"/>
  <c r="V229" i="9" s="1"/>
  <c r="D229" i="9"/>
  <c r="C229" i="9"/>
  <c r="X229" i="9" s="1"/>
  <c r="B229" i="9"/>
  <c r="A229" i="9"/>
  <c r="A229" i="10" s="1"/>
  <c r="O228" i="9"/>
  <c r="N228" i="9"/>
  <c r="M228" i="9"/>
  <c r="L228" i="9"/>
  <c r="K228" i="9"/>
  <c r="J228" i="9"/>
  <c r="I228" i="9"/>
  <c r="H228" i="9"/>
  <c r="W228" i="9" s="1"/>
  <c r="G228" i="9"/>
  <c r="F228" i="9"/>
  <c r="E228" i="9"/>
  <c r="D228" i="9"/>
  <c r="C228" i="9"/>
  <c r="X228" i="9" s="1"/>
  <c r="B228" i="9"/>
  <c r="A228" i="9"/>
  <c r="A228" i="10" s="1"/>
  <c r="X227" i="9"/>
  <c r="V227" i="9"/>
  <c r="O227" i="9"/>
  <c r="N227" i="9"/>
  <c r="M227" i="9"/>
  <c r="W227" i="9" s="1"/>
  <c r="L227" i="9"/>
  <c r="K227" i="9"/>
  <c r="J227" i="9"/>
  <c r="I227" i="9"/>
  <c r="H227" i="9"/>
  <c r="G227" i="9"/>
  <c r="F227" i="9"/>
  <c r="E227" i="9"/>
  <c r="D227" i="9"/>
  <c r="C227" i="9"/>
  <c r="B227" i="9"/>
  <c r="A227" i="9"/>
  <c r="A227" i="10" s="1"/>
  <c r="O226" i="9"/>
  <c r="N226" i="9"/>
  <c r="M226" i="9"/>
  <c r="L226" i="9"/>
  <c r="K226" i="9"/>
  <c r="J226" i="9"/>
  <c r="I226" i="9"/>
  <c r="H226" i="9"/>
  <c r="G226" i="9"/>
  <c r="F226" i="9"/>
  <c r="E226" i="9"/>
  <c r="D226" i="9"/>
  <c r="C226" i="9"/>
  <c r="X226" i="9" s="1"/>
  <c r="B226" i="9"/>
  <c r="A226" i="9"/>
  <c r="A226" i="10" s="1"/>
  <c r="O225" i="9"/>
  <c r="N225" i="9"/>
  <c r="M225" i="9"/>
  <c r="L225" i="9"/>
  <c r="W225" i="9" s="1"/>
  <c r="K225" i="9"/>
  <c r="J225" i="9"/>
  <c r="I225" i="9"/>
  <c r="P225" i="9" s="1"/>
  <c r="H225" i="9"/>
  <c r="G225" i="9"/>
  <c r="F225" i="9"/>
  <c r="E225" i="9"/>
  <c r="D225" i="9"/>
  <c r="C225" i="9"/>
  <c r="X225" i="9" s="1"/>
  <c r="B225" i="9"/>
  <c r="A225" i="9"/>
  <c r="W224" i="9"/>
  <c r="O224" i="9"/>
  <c r="N224" i="9"/>
  <c r="M224" i="9"/>
  <c r="L224" i="9"/>
  <c r="K224" i="9"/>
  <c r="J224" i="9"/>
  <c r="I224" i="9"/>
  <c r="H224" i="9"/>
  <c r="G224" i="9"/>
  <c r="F224" i="9"/>
  <c r="V224" i="9" s="1"/>
  <c r="E224" i="9"/>
  <c r="D224" i="9"/>
  <c r="C224" i="9"/>
  <c r="X224" i="9" s="1"/>
  <c r="B224" i="9"/>
  <c r="A224" i="9"/>
  <c r="X223" i="9"/>
  <c r="O223" i="9"/>
  <c r="N223" i="9"/>
  <c r="M223" i="9"/>
  <c r="L223" i="9"/>
  <c r="K223" i="9"/>
  <c r="J223" i="9"/>
  <c r="I223" i="9"/>
  <c r="H223" i="9"/>
  <c r="G223" i="9"/>
  <c r="F223" i="9"/>
  <c r="E223" i="9"/>
  <c r="P223" i="9" s="1"/>
  <c r="D223" i="9"/>
  <c r="C223" i="9"/>
  <c r="B223" i="9"/>
  <c r="A223" i="9"/>
  <c r="X222" i="9"/>
  <c r="O222" i="9"/>
  <c r="V222" i="9" s="1"/>
  <c r="N222" i="9"/>
  <c r="W222" i="9" s="1"/>
  <c r="M222" i="9"/>
  <c r="L222" i="9"/>
  <c r="K222" i="9"/>
  <c r="J222" i="9"/>
  <c r="I222" i="9"/>
  <c r="H222" i="9"/>
  <c r="G222" i="9"/>
  <c r="F222" i="9"/>
  <c r="E222" i="9"/>
  <c r="D222" i="9"/>
  <c r="C222" i="9"/>
  <c r="B222" i="9"/>
  <c r="A222" i="9"/>
  <c r="O221" i="9"/>
  <c r="N221" i="9"/>
  <c r="M221" i="9"/>
  <c r="L221" i="9"/>
  <c r="K221" i="9"/>
  <c r="J221" i="9"/>
  <c r="I221" i="9"/>
  <c r="H221" i="9"/>
  <c r="G221" i="9"/>
  <c r="F221" i="9"/>
  <c r="E221" i="9"/>
  <c r="D221" i="9"/>
  <c r="C221" i="9"/>
  <c r="X221" i="9" s="1"/>
  <c r="B221" i="9"/>
  <c r="A221" i="9"/>
  <c r="X220" i="9"/>
  <c r="O220" i="9"/>
  <c r="N220" i="9"/>
  <c r="M220" i="9"/>
  <c r="L220" i="9"/>
  <c r="W220" i="9" s="1"/>
  <c r="K220" i="9"/>
  <c r="J220" i="9"/>
  <c r="P220" i="9" s="1"/>
  <c r="I220" i="9"/>
  <c r="H220" i="9"/>
  <c r="G220" i="9"/>
  <c r="F220" i="9"/>
  <c r="E220" i="9"/>
  <c r="D220" i="9"/>
  <c r="C220" i="9"/>
  <c r="B220" i="9"/>
  <c r="A220" i="9"/>
  <c r="X219" i="9"/>
  <c r="W219" i="9"/>
  <c r="O219" i="9"/>
  <c r="N219" i="9"/>
  <c r="M219" i="9"/>
  <c r="L219" i="9"/>
  <c r="K219" i="9"/>
  <c r="J219" i="9"/>
  <c r="I219" i="9"/>
  <c r="H219" i="9"/>
  <c r="G219" i="9"/>
  <c r="V219" i="9" s="1"/>
  <c r="F219" i="9"/>
  <c r="E219" i="9"/>
  <c r="D219" i="9"/>
  <c r="C219" i="9"/>
  <c r="B219" i="9"/>
  <c r="A219" i="9"/>
  <c r="A219" i="10" s="1"/>
  <c r="O218" i="9"/>
  <c r="N218" i="9"/>
  <c r="M218" i="9"/>
  <c r="L218" i="9"/>
  <c r="K218" i="9"/>
  <c r="J218" i="9"/>
  <c r="P218" i="9" s="1"/>
  <c r="I218" i="9"/>
  <c r="H218" i="9"/>
  <c r="G218" i="9"/>
  <c r="F218" i="9"/>
  <c r="E218" i="9"/>
  <c r="D218" i="9"/>
  <c r="C218" i="9"/>
  <c r="X218" i="9" s="1"/>
  <c r="B218" i="9"/>
  <c r="A218" i="9"/>
  <c r="A218" i="10" s="1"/>
  <c r="X217" i="9"/>
  <c r="W217" i="9"/>
  <c r="O217" i="9"/>
  <c r="P217" i="9" s="1"/>
  <c r="N217" i="9"/>
  <c r="M217" i="9"/>
  <c r="L217" i="9"/>
  <c r="K217" i="9"/>
  <c r="J217" i="9"/>
  <c r="I217" i="9"/>
  <c r="H217" i="9"/>
  <c r="G217" i="9"/>
  <c r="F217" i="9"/>
  <c r="E217" i="9"/>
  <c r="D217" i="9"/>
  <c r="C217" i="9"/>
  <c r="B217" i="9"/>
  <c r="A217" i="9"/>
  <c r="A217" i="10" s="1"/>
  <c r="O216" i="9"/>
  <c r="V216" i="9" s="1"/>
  <c r="N216" i="9"/>
  <c r="M216" i="9"/>
  <c r="L216" i="9"/>
  <c r="K216" i="9"/>
  <c r="J216" i="9"/>
  <c r="I216" i="9"/>
  <c r="H216" i="9"/>
  <c r="G216" i="9"/>
  <c r="F216" i="9"/>
  <c r="E216" i="9"/>
  <c r="D216" i="9"/>
  <c r="C216" i="9"/>
  <c r="X216" i="9" s="1"/>
  <c r="B216" i="9"/>
  <c r="A216" i="9"/>
  <c r="A216" i="10" s="1"/>
  <c r="X215" i="9"/>
  <c r="O215" i="9"/>
  <c r="V215" i="9" s="1"/>
  <c r="N215" i="9"/>
  <c r="W215" i="9" s="1"/>
  <c r="M215" i="9"/>
  <c r="L215" i="9"/>
  <c r="K215" i="9"/>
  <c r="J215" i="9"/>
  <c r="I215" i="9"/>
  <c r="H215" i="9"/>
  <c r="G215" i="9"/>
  <c r="F215" i="9"/>
  <c r="E215" i="9"/>
  <c r="D215" i="9"/>
  <c r="C215" i="9"/>
  <c r="B215" i="9"/>
  <c r="A215" i="9"/>
  <c r="A215" i="10" s="1"/>
  <c r="X214" i="9"/>
  <c r="O214" i="9"/>
  <c r="N214" i="9"/>
  <c r="M214" i="9"/>
  <c r="L214" i="9"/>
  <c r="K214" i="9"/>
  <c r="J214" i="9"/>
  <c r="I214" i="9"/>
  <c r="H214" i="9"/>
  <c r="G214" i="9"/>
  <c r="F214" i="9"/>
  <c r="E214" i="9"/>
  <c r="D214" i="9"/>
  <c r="C214" i="9"/>
  <c r="B214" i="9"/>
  <c r="A214" i="9"/>
  <c r="A214" i="10" s="1"/>
  <c r="X213" i="9"/>
  <c r="O213" i="9"/>
  <c r="N213" i="9"/>
  <c r="M213" i="9"/>
  <c r="L213" i="9"/>
  <c r="K213" i="9"/>
  <c r="P213" i="9" s="1"/>
  <c r="J213" i="9"/>
  <c r="I213" i="9"/>
  <c r="H213" i="9"/>
  <c r="G213" i="9"/>
  <c r="F213" i="9"/>
  <c r="E213" i="9"/>
  <c r="D213" i="9"/>
  <c r="C213" i="9"/>
  <c r="B213" i="9"/>
  <c r="W213" i="9" s="1"/>
  <c r="A213" i="9"/>
  <c r="A213" i="10" s="1"/>
  <c r="W212" i="9"/>
  <c r="V212" i="9"/>
  <c r="O212" i="9"/>
  <c r="N212" i="9"/>
  <c r="M212" i="9"/>
  <c r="L212" i="9"/>
  <c r="K212" i="9"/>
  <c r="J212" i="9"/>
  <c r="I212" i="9"/>
  <c r="H212" i="9"/>
  <c r="G212" i="9"/>
  <c r="F212" i="9"/>
  <c r="E212" i="9"/>
  <c r="D212" i="9"/>
  <c r="C212" i="9"/>
  <c r="X212" i="9" s="1"/>
  <c r="B212" i="9"/>
  <c r="A212" i="9"/>
  <c r="A212" i="10" s="1"/>
  <c r="O211" i="9"/>
  <c r="N211" i="9"/>
  <c r="M211" i="9"/>
  <c r="L211" i="9"/>
  <c r="K211" i="9"/>
  <c r="J211" i="9"/>
  <c r="I211" i="9"/>
  <c r="H211" i="9"/>
  <c r="G211" i="9"/>
  <c r="F211" i="9"/>
  <c r="E211" i="9"/>
  <c r="D211" i="9"/>
  <c r="C211" i="9"/>
  <c r="X211" i="9" s="1"/>
  <c r="B211" i="9"/>
  <c r="W211" i="9" s="1"/>
  <c r="A211" i="9"/>
  <c r="A211" i="10" s="1"/>
  <c r="X210" i="9"/>
  <c r="W210" i="9"/>
  <c r="O210" i="9"/>
  <c r="V210" i="9" s="1"/>
  <c r="N210" i="9"/>
  <c r="M210" i="9"/>
  <c r="L210" i="9"/>
  <c r="P210" i="9" s="1"/>
  <c r="K210" i="9"/>
  <c r="J210" i="9"/>
  <c r="I210" i="9"/>
  <c r="H210" i="9"/>
  <c r="G210" i="9"/>
  <c r="F210" i="9"/>
  <c r="E210" i="9"/>
  <c r="D210" i="9"/>
  <c r="C210" i="9"/>
  <c r="B210" i="9"/>
  <c r="A210" i="9"/>
  <c r="A210" i="10" s="1"/>
  <c r="O209" i="9"/>
  <c r="N209" i="9"/>
  <c r="M209" i="9"/>
  <c r="L209" i="9"/>
  <c r="K209" i="9"/>
  <c r="J209" i="9"/>
  <c r="I209" i="9"/>
  <c r="H209" i="9"/>
  <c r="G209" i="9"/>
  <c r="F209" i="9"/>
  <c r="E209" i="9"/>
  <c r="D209" i="9"/>
  <c r="C209" i="9"/>
  <c r="X209" i="9" s="1"/>
  <c r="B209" i="9"/>
  <c r="W209" i="9" s="1"/>
  <c r="A209" i="9"/>
  <c r="A209" i="10" s="1"/>
  <c r="O208" i="9"/>
  <c r="N208" i="9"/>
  <c r="M208" i="9"/>
  <c r="L208" i="9"/>
  <c r="K208" i="9"/>
  <c r="J208" i="9"/>
  <c r="I208" i="9"/>
  <c r="H208" i="9"/>
  <c r="P208" i="9" s="1"/>
  <c r="G208" i="9"/>
  <c r="F208" i="9"/>
  <c r="E208" i="9"/>
  <c r="D208" i="9"/>
  <c r="C208" i="9"/>
  <c r="X208" i="9" s="1"/>
  <c r="B208" i="9"/>
  <c r="A208" i="9"/>
  <c r="A208" i="10" s="1"/>
  <c r="X207" i="9"/>
  <c r="O207" i="9"/>
  <c r="N207" i="9"/>
  <c r="M207" i="9"/>
  <c r="L207" i="9"/>
  <c r="K207" i="9"/>
  <c r="J207" i="9"/>
  <c r="I207" i="9"/>
  <c r="H207" i="9"/>
  <c r="G207" i="9"/>
  <c r="F207" i="9"/>
  <c r="E207" i="9"/>
  <c r="V207" i="9" s="1"/>
  <c r="D207" i="9"/>
  <c r="C207" i="9"/>
  <c r="B207" i="9"/>
  <c r="W207" i="9" s="1"/>
  <c r="A207" i="9"/>
  <c r="A207" i="10" s="1"/>
  <c r="O206" i="9"/>
  <c r="N206" i="9"/>
  <c r="M206" i="9"/>
  <c r="L206" i="9"/>
  <c r="K206" i="9"/>
  <c r="J206" i="9"/>
  <c r="I206" i="9"/>
  <c r="H206" i="9"/>
  <c r="G206" i="9"/>
  <c r="F206" i="9"/>
  <c r="E206" i="9"/>
  <c r="D206" i="9"/>
  <c r="C206" i="9"/>
  <c r="X206" i="9" s="1"/>
  <c r="B206" i="9"/>
  <c r="A206" i="9"/>
  <c r="A206" i="10" s="1"/>
  <c r="X205" i="9"/>
  <c r="O205" i="9"/>
  <c r="V205" i="9" s="1"/>
  <c r="N205" i="9"/>
  <c r="M205" i="9"/>
  <c r="L205" i="9"/>
  <c r="K205" i="9"/>
  <c r="J205" i="9"/>
  <c r="I205" i="9"/>
  <c r="H205" i="9"/>
  <c r="G205" i="9"/>
  <c r="F205" i="9"/>
  <c r="E205" i="9"/>
  <c r="D205" i="9"/>
  <c r="C205" i="9"/>
  <c r="B205" i="9"/>
  <c r="A205" i="9"/>
  <c r="A205" i="10" s="1"/>
  <c r="X204" i="9"/>
  <c r="O204" i="9"/>
  <c r="N204" i="9"/>
  <c r="M204" i="9"/>
  <c r="L204" i="9"/>
  <c r="K204" i="9"/>
  <c r="J204" i="9"/>
  <c r="I204" i="9"/>
  <c r="H204" i="9"/>
  <c r="G204" i="9"/>
  <c r="F204" i="9"/>
  <c r="E204" i="9"/>
  <c r="D204" i="9"/>
  <c r="C204" i="9"/>
  <c r="B204" i="9"/>
  <c r="A204" i="9"/>
  <c r="A204" i="10" s="1"/>
  <c r="O203" i="9"/>
  <c r="N203" i="9"/>
  <c r="M203" i="9"/>
  <c r="L203" i="9"/>
  <c r="W203" i="9" s="1"/>
  <c r="K203" i="9"/>
  <c r="J203" i="9"/>
  <c r="I203" i="9"/>
  <c r="P203" i="9" s="1"/>
  <c r="H203" i="9"/>
  <c r="G203" i="9"/>
  <c r="F203" i="9"/>
  <c r="E203" i="9"/>
  <c r="D203" i="9"/>
  <c r="C203" i="9"/>
  <c r="X203" i="9" s="1"/>
  <c r="B203" i="9"/>
  <c r="A203" i="9"/>
  <c r="A203" i="10" s="1"/>
  <c r="X202" i="9"/>
  <c r="W202" i="9"/>
  <c r="V202" i="9"/>
  <c r="O202" i="9"/>
  <c r="N202" i="9"/>
  <c r="M202" i="9"/>
  <c r="L202" i="9"/>
  <c r="K202" i="9"/>
  <c r="J202" i="9"/>
  <c r="I202" i="9"/>
  <c r="H202" i="9"/>
  <c r="G202" i="9"/>
  <c r="F202" i="9"/>
  <c r="E202" i="9"/>
  <c r="D202" i="9"/>
  <c r="C202" i="9"/>
  <c r="B202" i="9"/>
  <c r="A202" i="9"/>
  <c r="A202" i="10" s="1"/>
  <c r="X201" i="9"/>
  <c r="O201" i="9"/>
  <c r="V201" i="9" s="1"/>
  <c r="N201" i="9"/>
  <c r="M201" i="9"/>
  <c r="L201" i="9"/>
  <c r="K201" i="9"/>
  <c r="J201" i="9"/>
  <c r="I201" i="9"/>
  <c r="H201" i="9"/>
  <c r="G201" i="9"/>
  <c r="F201" i="9"/>
  <c r="E201" i="9"/>
  <c r="D201" i="9"/>
  <c r="C201" i="9"/>
  <c r="B201" i="9"/>
  <c r="A201" i="9"/>
  <c r="A201" i="10" s="1"/>
  <c r="AI200" i="9"/>
  <c r="X200" i="9"/>
  <c r="W200" i="9"/>
  <c r="R200" i="9"/>
  <c r="O200" i="9"/>
  <c r="V200" i="9" s="1"/>
  <c r="N200" i="9"/>
  <c r="M200" i="9"/>
  <c r="L200" i="9"/>
  <c r="K200" i="9"/>
  <c r="J200" i="9"/>
  <c r="I200" i="9"/>
  <c r="H200" i="9"/>
  <c r="G200" i="9"/>
  <c r="F200" i="9"/>
  <c r="E200" i="9"/>
  <c r="D200" i="9"/>
  <c r="C200" i="9"/>
  <c r="B200" i="9"/>
  <c r="A200" i="9"/>
  <c r="A200" i="10" s="1"/>
  <c r="AI199" i="9"/>
  <c r="O199" i="9"/>
  <c r="N199" i="9"/>
  <c r="M199" i="9"/>
  <c r="L199" i="9"/>
  <c r="K199" i="9"/>
  <c r="J199" i="9"/>
  <c r="I199" i="9"/>
  <c r="H199" i="9"/>
  <c r="G199" i="9"/>
  <c r="F199" i="9"/>
  <c r="E199" i="9"/>
  <c r="D199" i="9"/>
  <c r="C199" i="9"/>
  <c r="X199" i="9" s="1"/>
  <c r="B199" i="9"/>
  <c r="W199" i="9" s="1"/>
  <c r="A199" i="9"/>
  <c r="AI198" i="9"/>
  <c r="X198" i="9"/>
  <c r="V198" i="9"/>
  <c r="R198" i="9"/>
  <c r="AN198" i="9" s="1"/>
  <c r="P198" i="9"/>
  <c r="O198" i="9"/>
  <c r="N198" i="9"/>
  <c r="M198" i="9"/>
  <c r="W198" i="9" s="1"/>
  <c r="L198" i="9"/>
  <c r="K198" i="9"/>
  <c r="J198" i="9"/>
  <c r="I198" i="9"/>
  <c r="H198" i="9"/>
  <c r="G198" i="9"/>
  <c r="F198" i="9"/>
  <c r="E198" i="9"/>
  <c r="D198" i="9"/>
  <c r="C198" i="9"/>
  <c r="B198" i="9"/>
  <c r="A198" i="9"/>
  <c r="A198" i="10" s="1"/>
  <c r="AI197" i="9"/>
  <c r="O197" i="9"/>
  <c r="N197" i="9"/>
  <c r="M197" i="9"/>
  <c r="L197" i="9"/>
  <c r="K197" i="9"/>
  <c r="J197" i="9"/>
  <c r="I197" i="9"/>
  <c r="H197" i="9"/>
  <c r="G197" i="9"/>
  <c r="F197" i="9"/>
  <c r="E197" i="9"/>
  <c r="D197" i="9"/>
  <c r="C197" i="9"/>
  <c r="X197" i="9" s="1"/>
  <c r="B197" i="9"/>
  <c r="A197" i="9"/>
  <c r="A197" i="10" s="1"/>
  <c r="AI196" i="9"/>
  <c r="X196" i="9"/>
  <c r="W196" i="9"/>
  <c r="V196" i="9"/>
  <c r="R196" i="9"/>
  <c r="AN196" i="9" s="1"/>
  <c r="O196" i="9"/>
  <c r="N196" i="9"/>
  <c r="M196" i="9"/>
  <c r="L196" i="9"/>
  <c r="K196" i="9"/>
  <c r="P196" i="9" s="1"/>
  <c r="J196" i="9"/>
  <c r="I196" i="9"/>
  <c r="H196" i="9"/>
  <c r="G196" i="9"/>
  <c r="F196" i="9"/>
  <c r="E196" i="9"/>
  <c r="D196" i="9"/>
  <c r="C196" i="9"/>
  <c r="B196" i="9"/>
  <c r="A196" i="9"/>
  <c r="AI195" i="9"/>
  <c r="O195" i="9"/>
  <c r="N195" i="9"/>
  <c r="M195" i="9"/>
  <c r="L195" i="9"/>
  <c r="K195" i="9"/>
  <c r="J195" i="9"/>
  <c r="I195" i="9"/>
  <c r="H195" i="9"/>
  <c r="G195" i="9"/>
  <c r="F195" i="9"/>
  <c r="E195" i="9"/>
  <c r="D195" i="9"/>
  <c r="C195" i="9"/>
  <c r="X195" i="9" s="1"/>
  <c r="B195" i="9"/>
  <c r="A195" i="9"/>
  <c r="AN194" i="9"/>
  <c r="AI194" i="9"/>
  <c r="S194" i="9"/>
  <c r="R194" i="9"/>
  <c r="O194" i="9"/>
  <c r="N194" i="9"/>
  <c r="M194" i="9"/>
  <c r="L194" i="9"/>
  <c r="W194" i="9" s="1"/>
  <c r="K194" i="9"/>
  <c r="J194" i="9"/>
  <c r="I194" i="9"/>
  <c r="P194" i="9" s="1"/>
  <c r="H194" i="9"/>
  <c r="G194" i="9"/>
  <c r="F194" i="9"/>
  <c r="E194" i="9"/>
  <c r="D194" i="9"/>
  <c r="C194" i="9"/>
  <c r="X194" i="9" s="1"/>
  <c r="B194" i="9"/>
  <c r="A194" i="9"/>
  <c r="AI193" i="9"/>
  <c r="X193" i="9"/>
  <c r="O193" i="9"/>
  <c r="N193" i="9"/>
  <c r="M193" i="9"/>
  <c r="L193" i="9"/>
  <c r="K193" i="9"/>
  <c r="J193" i="9"/>
  <c r="I193" i="9"/>
  <c r="H193" i="9"/>
  <c r="G193" i="9"/>
  <c r="F193" i="9"/>
  <c r="E193" i="9"/>
  <c r="D193" i="9"/>
  <c r="C193" i="9"/>
  <c r="B193" i="9"/>
  <c r="W193" i="9" s="1"/>
  <c r="A193" i="9"/>
  <c r="AN192" i="9"/>
  <c r="AI192" i="9"/>
  <c r="X192" i="9"/>
  <c r="R192" i="9"/>
  <c r="S192" i="9" s="1"/>
  <c r="O192" i="9"/>
  <c r="N192" i="9"/>
  <c r="M192" i="9"/>
  <c r="L192" i="9"/>
  <c r="K192" i="9"/>
  <c r="J192" i="9"/>
  <c r="I192" i="9"/>
  <c r="H192" i="9"/>
  <c r="G192" i="9"/>
  <c r="P192" i="9" s="1"/>
  <c r="F192" i="9"/>
  <c r="E192" i="9"/>
  <c r="D192" i="9"/>
  <c r="C192" i="9"/>
  <c r="B192" i="9"/>
  <c r="A192" i="9"/>
  <c r="A192" i="10" s="1"/>
  <c r="AI191" i="9"/>
  <c r="X191" i="9"/>
  <c r="W191" i="9"/>
  <c r="V191" i="9"/>
  <c r="O191" i="9"/>
  <c r="N191" i="9"/>
  <c r="M191" i="9"/>
  <c r="L191" i="9"/>
  <c r="K191" i="9"/>
  <c r="J191" i="9"/>
  <c r="I191" i="9"/>
  <c r="H191" i="9"/>
  <c r="G191" i="9"/>
  <c r="F191" i="9"/>
  <c r="E191" i="9"/>
  <c r="D191" i="9"/>
  <c r="C191" i="9"/>
  <c r="B191" i="9"/>
  <c r="A191" i="9"/>
  <c r="A191" i="10" s="1"/>
  <c r="AI190" i="9"/>
  <c r="X190" i="9"/>
  <c r="O190" i="9"/>
  <c r="N190" i="9"/>
  <c r="M190" i="9"/>
  <c r="L190" i="9"/>
  <c r="K190" i="9"/>
  <c r="J190" i="9"/>
  <c r="I190" i="9"/>
  <c r="H190" i="9"/>
  <c r="G190" i="9"/>
  <c r="F190" i="9"/>
  <c r="E190" i="9"/>
  <c r="D190" i="9"/>
  <c r="C190" i="9"/>
  <c r="B190" i="9"/>
  <c r="A190" i="9"/>
  <c r="A190" i="10" s="1"/>
  <c r="AI189" i="9"/>
  <c r="R189" i="9"/>
  <c r="AN189" i="9" s="1"/>
  <c r="O189" i="9"/>
  <c r="V189" i="9" s="1"/>
  <c r="N189" i="9"/>
  <c r="M189" i="9"/>
  <c r="L189" i="9"/>
  <c r="K189" i="9"/>
  <c r="J189" i="9"/>
  <c r="I189" i="9"/>
  <c r="H189" i="9"/>
  <c r="G189" i="9"/>
  <c r="F189" i="9"/>
  <c r="E189" i="9"/>
  <c r="D189" i="9"/>
  <c r="C189" i="9"/>
  <c r="X189" i="9" s="1"/>
  <c r="B189" i="9"/>
  <c r="W189" i="9" s="1"/>
  <c r="A189" i="9"/>
  <c r="A189" i="10" s="1"/>
  <c r="AI188" i="9"/>
  <c r="O188" i="9"/>
  <c r="N188" i="9"/>
  <c r="M188" i="9"/>
  <c r="L188" i="9"/>
  <c r="K188" i="9"/>
  <c r="J188" i="9"/>
  <c r="I188" i="9"/>
  <c r="H188" i="9"/>
  <c r="G188" i="9"/>
  <c r="F188" i="9"/>
  <c r="E188" i="9"/>
  <c r="D188" i="9"/>
  <c r="C188" i="9"/>
  <c r="X188" i="9" s="1"/>
  <c r="B188" i="9"/>
  <c r="W188" i="9" s="1"/>
  <c r="A188" i="9"/>
  <c r="A188" i="10" s="1"/>
  <c r="AI187" i="9"/>
  <c r="X187" i="9"/>
  <c r="W187" i="9"/>
  <c r="V187" i="9"/>
  <c r="S187" i="9"/>
  <c r="T187" i="9" s="1"/>
  <c r="R187" i="9"/>
  <c r="AN187" i="9" s="1"/>
  <c r="O187" i="9"/>
  <c r="N187" i="9"/>
  <c r="M187" i="9"/>
  <c r="P187" i="9" s="1"/>
  <c r="L187" i="9"/>
  <c r="K187" i="9"/>
  <c r="J187" i="9"/>
  <c r="I187" i="9"/>
  <c r="H187" i="9"/>
  <c r="G187" i="9"/>
  <c r="F187" i="9"/>
  <c r="E187" i="9"/>
  <c r="D187" i="9"/>
  <c r="C187" i="9"/>
  <c r="B187" i="9"/>
  <c r="A187" i="9"/>
  <c r="A187" i="10" s="1"/>
  <c r="AI186" i="9"/>
  <c r="O186" i="9"/>
  <c r="N186" i="9"/>
  <c r="M186" i="9"/>
  <c r="L186" i="9"/>
  <c r="K186" i="9"/>
  <c r="J186" i="9"/>
  <c r="I186" i="9"/>
  <c r="H186" i="9"/>
  <c r="G186" i="9"/>
  <c r="F186" i="9"/>
  <c r="E186" i="9"/>
  <c r="D186" i="9"/>
  <c r="C186" i="9"/>
  <c r="X186" i="9" s="1"/>
  <c r="B186" i="9"/>
  <c r="A186" i="9"/>
  <c r="A186" i="10" s="1"/>
  <c r="AI185" i="9"/>
  <c r="X185" i="9"/>
  <c r="S185" i="9"/>
  <c r="R185" i="9"/>
  <c r="AN185" i="9" s="1"/>
  <c r="P185" i="9"/>
  <c r="T185" i="9" s="1"/>
  <c r="O185" i="9"/>
  <c r="N185" i="9"/>
  <c r="M185" i="9"/>
  <c r="W185" i="9" s="1"/>
  <c r="L185" i="9"/>
  <c r="K185" i="9"/>
  <c r="V185" i="9" s="1"/>
  <c r="J185" i="9"/>
  <c r="I185" i="9"/>
  <c r="H185" i="9"/>
  <c r="G185" i="9"/>
  <c r="F185" i="9"/>
  <c r="E185" i="9"/>
  <c r="D185" i="9"/>
  <c r="C185" i="9"/>
  <c r="B185" i="9"/>
  <c r="A185" i="9"/>
  <c r="A185" i="10" s="1"/>
  <c r="AI184" i="9"/>
  <c r="X184" i="9"/>
  <c r="O184" i="9"/>
  <c r="N184" i="9"/>
  <c r="M184" i="9"/>
  <c r="L184" i="9"/>
  <c r="K184" i="9"/>
  <c r="J184" i="9"/>
  <c r="I184" i="9"/>
  <c r="H184" i="9"/>
  <c r="G184" i="9"/>
  <c r="F184" i="9"/>
  <c r="E184" i="9"/>
  <c r="D184" i="9"/>
  <c r="C184" i="9"/>
  <c r="B184" i="9"/>
  <c r="W184" i="9" s="1"/>
  <c r="A184" i="9"/>
  <c r="A184" i="10" s="1"/>
  <c r="AI183" i="9"/>
  <c r="O183" i="9"/>
  <c r="N183" i="9"/>
  <c r="M183" i="9"/>
  <c r="L183" i="9"/>
  <c r="W183" i="9" s="1"/>
  <c r="K183" i="9"/>
  <c r="J183" i="9"/>
  <c r="P183" i="9" s="1"/>
  <c r="I183" i="9"/>
  <c r="H183" i="9"/>
  <c r="G183" i="9"/>
  <c r="F183" i="9"/>
  <c r="E183" i="9"/>
  <c r="D183" i="9"/>
  <c r="C183" i="9"/>
  <c r="X183" i="9" s="1"/>
  <c r="B183" i="9"/>
  <c r="A183" i="9"/>
  <c r="A183" i="10" s="1"/>
  <c r="AI182" i="9"/>
  <c r="X182" i="9"/>
  <c r="W182" i="9"/>
  <c r="V182" i="9"/>
  <c r="O182" i="9"/>
  <c r="N182" i="9"/>
  <c r="M182" i="9"/>
  <c r="L182" i="9"/>
  <c r="K182" i="9"/>
  <c r="J182" i="9"/>
  <c r="I182" i="9"/>
  <c r="H182" i="9"/>
  <c r="G182" i="9"/>
  <c r="F182" i="9"/>
  <c r="E182" i="9"/>
  <c r="D182" i="9"/>
  <c r="C182" i="9"/>
  <c r="B182" i="9"/>
  <c r="P182" i="9" s="1"/>
  <c r="A182" i="9"/>
  <c r="A182" i="10" s="1"/>
  <c r="AI181" i="9"/>
  <c r="R181" i="9"/>
  <c r="AN181" i="9" s="1"/>
  <c r="AO181" i="9" s="1"/>
  <c r="O181" i="9"/>
  <c r="N181" i="9"/>
  <c r="M181" i="9"/>
  <c r="L181" i="9"/>
  <c r="K181" i="9"/>
  <c r="J181" i="9"/>
  <c r="I181" i="9"/>
  <c r="P181" i="9" s="1"/>
  <c r="H181" i="9"/>
  <c r="G181" i="9"/>
  <c r="F181" i="9"/>
  <c r="E181" i="9"/>
  <c r="D181" i="9"/>
  <c r="C181" i="9"/>
  <c r="X181" i="9" s="1"/>
  <c r="B181" i="9"/>
  <c r="A181" i="9"/>
  <c r="AI180" i="9"/>
  <c r="X180" i="9"/>
  <c r="V180" i="9"/>
  <c r="Y180" i="9" s="1"/>
  <c r="O180" i="9"/>
  <c r="N180" i="9"/>
  <c r="M180" i="9"/>
  <c r="L180" i="9"/>
  <c r="K180" i="9"/>
  <c r="J180" i="9"/>
  <c r="I180" i="9"/>
  <c r="H180" i="9"/>
  <c r="G180" i="9"/>
  <c r="F180" i="9"/>
  <c r="E180" i="9"/>
  <c r="D180" i="9"/>
  <c r="C180" i="9"/>
  <c r="B180" i="9"/>
  <c r="W180" i="9" s="1"/>
  <c r="A180" i="9"/>
  <c r="A180" i="10" s="1"/>
  <c r="AI179" i="9"/>
  <c r="O179" i="9"/>
  <c r="V179" i="9" s="1"/>
  <c r="N179" i="9"/>
  <c r="P179" i="9" s="1"/>
  <c r="M179" i="9"/>
  <c r="L179" i="9"/>
  <c r="K179" i="9"/>
  <c r="J179" i="9"/>
  <c r="I179" i="9"/>
  <c r="H179" i="9"/>
  <c r="G179" i="9"/>
  <c r="F179" i="9"/>
  <c r="E179" i="9"/>
  <c r="D179" i="9"/>
  <c r="C179" i="9"/>
  <c r="X179" i="9" s="1"/>
  <c r="B179" i="9"/>
  <c r="A179" i="9"/>
  <c r="AI178" i="9"/>
  <c r="X178" i="9"/>
  <c r="W178" i="9"/>
  <c r="O178" i="9"/>
  <c r="N178" i="9"/>
  <c r="M178" i="9"/>
  <c r="L178" i="9"/>
  <c r="K178" i="9"/>
  <c r="J178" i="9"/>
  <c r="I178" i="9"/>
  <c r="H178" i="9"/>
  <c r="G178" i="9"/>
  <c r="F178" i="9"/>
  <c r="E178" i="9"/>
  <c r="D178" i="9"/>
  <c r="C178" i="9"/>
  <c r="B178" i="9"/>
  <c r="A178" i="9"/>
  <c r="A178" i="10" s="1"/>
  <c r="AO177" i="9"/>
  <c r="AN177" i="9"/>
  <c r="AI177" i="9"/>
  <c r="S177" i="9"/>
  <c r="R177" i="9"/>
  <c r="O177" i="9"/>
  <c r="N177" i="9"/>
  <c r="M177" i="9"/>
  <c r="L177" i="9"/>
  <c r="K177" i="9"/>
  <c r="J177" i="9"/>
  <c r="I177" i="9"/>
  <c r="H177" i="9"/>
  <c r="P177" i="9" s="1"/>
  <c r="G177" i="9"/>
  <c r="F177" i="9"/>
  <c r="E177" i="9"/>
  <c r="D177" i="9"/>
  <c r="C177" i="9"/>
  <c r="X177" i="9" s="1"/>
  <c r="B177" i="9"/>
  <c r="A177" i="9"/>
  <c r="A177" i="10" s="1"/>
  <c r="AI176" i="9"/>
  <c r="O176" i="9"/>
  <c r="N176" i="9"/>
  <c r="M176" i="9"/>
  <c r="L176" i="9"/>
  <c r="K176" i="9"/>
  <c r="J176" i="9"/>
  <c r="I176" i="9"/>
  <c r="H176" i="9"/>
  <c r="G176" i="9"/>
  <c r="F176" i="9"/>
  <c r="E176" i="9"/>
  <c r="D176" i="9"/>
  <c r="C176" i="9"/>
  <c r="X176" i="9" s="1"/>
  <c r="B176" i="9"/>
  <c r="A176" i="9"/>
  <c r="A176" i="10" s="1"/>
  <c r="AO175" i="9"/>
  <c r="AN175" i="9"/>
  <c r="AI175" i="9"/>
  <c r="S175" i="9"/>
  <c r="R175" i="9"/>
  <c r="O175" i="9"/>
  <c r="N175" i="9"/>
  <c r="M175" i="9"/>
  <c r="L175" i="9"/>
  <c r="K175" i="9"/>
  <c r="J175" i="9"/>
  <c r="I175" i="9"/>
  <c r="H175" i="9"/>
  <c r="P175" i="9" s="1"/>
  <c r="G175" i="9"/>
  <c r="F175" i="9"/>
  <c r="E175" i="9"/>
  <c r="D175" i="9"/>
  <c r="C175" i="9"/>
  <c r="X175" i="9" s="1"/>
  <c r="B175" i="9"/>
  <c r="W175" i="9" s="1"/>
  <c r="A175" i="9"/>
  <c r="A175" i="10" s="1"/>
  <c r="AI174" i="9"/>
  <c r="X174" i="9"/>
  <c r="O174" i="9"/>
  <c r="N174" i="9"/>
  <c r="M174" i="9"/>
  <c r="L174" i="9"/>
  <c r="K174" i="9"/>
  <c r="J174" i="9"/>
  <c r="I174" i="9"/>
  <c r="H174" i="9"/>
  <c r="G174" i="9"/>
  <c r="F174" i="9"/>
  <c r="E174" i="9"/>
  <c r="D174" i="9"/>
  <c r="C174" i="9"/>
  <c r="B174" i="9"/>
  <c r="W174" i="9" s="1"/>
  <c r="A174" i="9"/>
  <c r="A174" i="10" s="1"/>
  <c r="AI173" i="9"/>
  <c r="R173" i="9"/>
  <c r="O173" i="9"/>
  <c r="V173" i="9" s="1"/>
  <c r="N173" i="9"/>
  <c r="M173" i="9"/>
  <c r="L173" i="9"/>
  <c r="K173" i="9"/>
  <c r="J173" i="9"/>
  <c r="I173" i="9"/>
  <c r="H173" i="9"/>
  <c r="G173" i="9"/>
  <c r="F173" i="9"/>
  <c r="E173" i="9"/>
  <c r="D173" i="9"/>
  <c r="C173" i="9"/>
  <c r="X173" i="9" s="1"/>
  <c r="B173" i="9"/>
  <c r="A173" i="9"/>
  <c r="A173" i="10" s="1"/>
  <c r="AI172" i="9"/>
  <c r="X172" i="9"/>
  <c r="W172" i="9"/>
  <c r="V172" i="9"/>
  <c r="Y172" i="9" s="1"/>
  <c r="O172" i="9"/>
  <c r="N172" i="9"/>
  <c r="M172" i="9"/>
  <c r="L172" i="9"/>
  <c r="K172" i="9"/>
  <c r="J172" i="9"/>
  <c r="I172" i="9"/>
  <c r="H172" i="9"/>
  <c r="G172" i="9"/>
  <c r="F172" i="9"/>
  <c r="E172" i="9"/>
  <c r="D172" i="9"/>
  <c r="C172" i="9"/>
  <c r="B172" i="9"/>
  <c r="A172" i="9"/>
  <c r="A172" i="10" s="1"/>
  <c r="AI171" i="9"/>
  <c r="O171" i="9"/>
  <c r="V171" i="9" s="1"/>
  <c r="N171" i="9"/>
  <c r="M171" i="9"/>
  <c r="P171" i="9" s="1"/>
  <c r="L171" i="9"/>
  <c r="K171" i="9"/>
  <c r="J171" i="9"/>
  <c r="I171" i="9"/>
  <c r="H171" i="9"/>
  <c r="G171" i="9"/>
  <c r="F171" i="9"/>
  <c r="E171" i="9"/>
  <c r="D171" i="9"/>
  <c r="C171" i="9"/>
  <c r="X171" i="9" s="1"/>
  <c r="B171" i="9"/>
  <c r="A171" i="9"/>
  <c r="A171" i="10" s="1"/>
  <c r="AI170" i="9"/>
  <c r="X170" i="9"/>
  <c r="W170" i="9"/>
  <c r="V170" i="9"/>
  <c r="O170" i="9"/>
  <c r="N170" i="9"/>
  <c r="M170" i="9"/>
  <c r="L170" i="9"/>
  <c r="K170" i="9"/>
  <c r="J170" i="9"/>
  <c r="I170" i="9"/>
  <c r="H170" i="9"/>
  <c r="G170" i="9"/>
  <c r="F170" i="9"/>
  <c r="E170" i="9"/>
  <c r="D170" i="9"/>
  <c r="C170" i="9"/>
  <c r="B170" i="9"/>
  <c r="P170" i="9" s="1"/>
  <c r="A170" i="9"/>
  <c r="A170" i="10" s="1"/>
  <c r="AI169" i="9"/>
  <c r="R169" i="9"/>
  <c r="AN169" i="9" s="1"/>
  <c r="AO169" i="9" s="1"/>
  <c r="O169" i="9"/>
  <c r="N169" i="9"/>
  <c r="M169" i="9"/>
  <c r="L169" i="9"/>
  <c r="K169" i="9"/>
  <c r="J169" i="9"/>
  <c r="I169" i="9"/>
  <c r="H169" i="9"/>
  <c r="P169" i="9" s="1"/>
  <c r="G169" i="9"/>
  <c r="F169" i="9"/>
  <c r="E169" i="9"/>
  <c r="D169" i="9"/>
  <c r="C169" i="9"/>
  <c r="X169" i="9" s="1"/>
  <c r="B169" i="9"/>
  <c r="W169" i="9" s="1"/>
  <c r="A169" i="9"/>
  <c r="A169" i="10" s="1"/>
  <c r="AI168" i="9"/>
  <c r="O168" i="9"/>
  <c r="N168" i="9"/>
  <c r="M168" i="9"/>
  <c r="L168" i="9"/>
  <c r="K168" i="9"/>
  <c r="J168" i="9"/>
  <c r="I168" i="9"/>
  <c r="H168" i="9"/>
  <c r="G168" i="9"/>
  <c r="F168" i="9"/>
  <c r="E168" i="9"/>
  <c r="D168" i="9"/>
  <c r="C168" i="9"/>
  <c r="X168" i="9" s="1"/>
  <c r="B168" i="9"/>
  <c r="A168" i="9"/>
  <c r="A168" i="10" s="1"/>
  <c r="AI167" i="9"/>
  <c r="O167" i="9"/>
  <c r="N167" i="9"/>
  <c r="M167" i="9"/>
  <c r="L167" i="9"/>
  <c r="K167" i="9"/>
  <c r="J167" i="9"/>
  <c r="I167" i="9"/>
  <c r="H167" i="9"/>
  <c r="G167" i="9"/>
  <c r="F167" i="9"/>
  <c r="E167" i="9"/>
  <c r="D167" i="9"/>
  <c r="C167" i="9"/>
  <c r="X167" i="9" s="1"/>
  <c r="B167" i="9"/>
  <c r="W167" i="9" s="1"/>
  <c r="A167" i="9"/>
  <c r="A167" i="10" s="1"/>
  <c r="AI166" i="9"/>
  <c r="W166" i="9"/>
  <c r="O166" i="9"/>
  <c r="N166" i="9"/>
  <c r="M166" i="9"/>
  <c r="L166" i="9"/>
  <c r="K166" i="9"/>
  <c r="J166" i="9"/>
  <c r="I166" i="9"/>
  <c r="H166" i="9"/>
  <c r="G166" i="9"/>
  <c r="F166" i="9"/>
  <c r="E166" i="9"/>
  <c r="D166" i="9"/>
  <c r="C166" i="9"/>
  <c r="X166" i="9" s="1"/>
  <c r="B166" i="9"/>
  <c r="A166" i="9"/>
  <c r="A166" i="10" s="1"/>
  <c r="AI165" i="9"/>
  <c r="S165" i="9"/>
  <c r="R165" i="9"/>
  <c r="AN165" i="9" s="1"/>
  <c r="AO165" i="9" s="1"/>
  <c r="O165" i="9"/>
  <c r="N165" i="9"/>
  <c r="M165" i="9"/>
  <c r="L165" i="9"/>
  <c r="K165" i="9"/>
  <c r="J165" i="9"/>
  <c r="I165" i="9"/>
  <c r="H165" i="9"/>
  <c r="P165" i="9" s="1"/>
  <c r="G165" i="9"/>
  <c r="F165" i="9"/>
  <c r="E165" i="9"/>
  <c r="D165" i="9"/>
  <c r="C165" i="9"/>
  <c r="X165" i="9" s="1"/>
  <c r="B165" i="9"/>
  <c r="A165" i="9"/>
  <c r="A165" i="10" s="1"/>
  <c r="AI164" i="9"/>
  <c r="X164" i="9"/>
  <c r="W164" i="9"/>
  <c r="V164" i="9"/>
  <c r="O164" i="9"/>
  <c r="N164" i="9"/>
  <c r="M164" i="9"/>
  <c r="L164" i="9"/>
  <c r="K164" i="9"/>
  <c r="J164" i="9"/>
  <c r="I164" i="9"/>
  <c r="H164" i="9"/>
  <c r="G164" i="9"/>
  <c r="F164" i="9"/>
  <c r="E164" i="9"/>
  <c r="D164" i="9"/>
  <c r="C164" i="9"/>
  <c r="B164" i="9"/>
  <c r="A164" i="9"/>
  <c r="A164" i="10" s="1"/>
  <c r="AI163" i="9"/>
  <c r="S163" i="9"/>
  <c r="R163" i="9"/>
  <c r="AN163" i="9" s="1"/>
  <c r="AO163" i="9" s="1"/>
  <c r="O163" i="9"/>
  <c r="N163" i="9"/>
  <c r="M163" i="9"/>
  <c r="L163" i="9"/>
  <c r="K163" i="9"/>
  <c r="J163" i="9"/>
  <c r="P163" i="9" s="1"/>
  <c r="I163" i="9"/>
  <c r="H163" i="9"/>
  <c r="G163" i="9"/>
  <c r="F163" i="9"/>
  <c r="E163" i="9"/>
  <c r="D163" i="9"/>
  <c r="C163" i="9"/>
  <c r="X163" i="9" s="1"/>
  <c r="B163" i="9"/>
  <c r="A163" i="9"/>
  <c r="A163" i="10" s="1"/>
  <c r="AI162" i="9"/>
  <c r="V162" i="9"/>
  <c r="O162" i="9"/>
  <c r="N162" i="9"/>
  <c r="M162" i="9"/>
  <c r="L162" i="9"/>
  <c r="K162" i="9"/>
  <c r="J162" i="9"/>
  <c r="I162" i="9"/>
  <c r="H162" i="9"/>
  <c r="G162" i="9"/>
  <c r="F162" i="9"/>
  <c r="E162" i="9"/>
  <c r="D162" i="9"/>
  <c r="C162" i="9"/>
  <c r="X162" i="9" s="1"/>
  <c r="B162" i="9"/>
  <c r="P162" i="9" s="1"/>
  <c r="A162" i="9"/>
  <c r="A162" i="10" s="1"/>
  <c r="AN161" i="9"/>
  <c r="AO161" i="9" s="1"/>
  <c r="AI161" i="9"/>
  <c r="S161" i="9"/>
  <c r="R161" i="9"/>
  <c r="O161" i="9"/>
  <c r="V161" i="9" s="1"/>
  <c r="N161" i="9"/>
  <c r="M161" i="9"/>
  <c r="L161" i="9"/>
  <c r="K161" i="9"/>
  <c r="J161" i="9"/>
  <c r="I161" i="9"/>
  <c r="H161" i="9"/>
  <c r="G161" i="9"/>
  <c r="F161" i="9"/>
  <c r="E161" i="9"/>
  <c r="D161" i="9"/>
  <c r="C161" i="9"/>
  <c r="X161" i="9" s="1"/>
  <c r="B161" i="9"/>
  <c r="W161" i="9" s="1"/>
  <c r="A161" i="9"/>
  <c r="A161" i="10" s="1"/>
  <c r="AI160" i="9"/>
  <c r="W160" i="9"/>
  <c r="O160" i="9"/>
  <c r="N160" i="9"/>
  <c r="M160" i="9"/>
  <c r="L160" i="9"/>
  <c r="K160" i="9"/>
  <c r="J160" i="9"/>
  <c r="I160" i="9"/>
  <c r="H160" i="9"/>
  <c r="G160" i="9"/>
  <c r="F160" i="9"/>
  <c r="E160" i="9"/>
  <c r="D160" i="9"/>
  <c r="C160" i="9"/>
  <c r="X160" i="9" s="1"/>
  <c r="B160" i="9"/>
  <c r="A160" i="9"/>
  <c r="A160" i="10" s="1"/>
  <c r="AI159" i="9"/>
  <c r="O159" i="9"/>
  <c r="N159" i="9"/>
  <c r="M159" i="9"/>
  <c r="L159" i="9"/>
  <c r="K159" i="9"/>
  <c r="J159" i="9"/>
  <c r="I159" i="9"/>
  <c r="H159" i="9"/>
  <c r="P159" i="9" s="1"/>
  <c r="G159" i="9"/>
  <c r="F159" i="9"/>
  <c r="E159" i="9"/>
  <c r="D159" i="9"/>
  <c r="C159" i="9"/>
  <c r="X159" i="9" s="1"/>
  <c r="B159" i="9"/>
  <c r="W159" i="9" s="1"/>
  <c r="A159" i="9"/>
  <c r="A159" i="10" s="1"/>
  <c r="AI158" i="9"/>
  <c r="O158" i="9"/>
  <c r="N158" i="9"/>
  <c r="M158" i="9"/>
  <c r="L158" i="9"/>
  <c r="K158" i="9"/>
  <c r="J158" i="9"/>
  <c r="I158" i="9"/>
  <c r="H158" i="9"/>
  <c r="G158" i="9"/>
  <c r="F158" i="9"/>
  <c r="E158" i="9"/>
  <c r="D158" i="9"/>
  <c r="C158" i="9"/>
  <c r="X158" i="9" s="1"/>
  <c r="B158" i="9"/>
  <c r="A158" i="9"/>
  <c r="A158" i="10" s="1"/>
  <c r="AI157" i="9"/>
  <c r="O157" i="9"/>
  <c r="N157" i="9"/>
  <c r="M157" i="9"/>
  <c r="L157" i="9"/>
  <c r="K157" i="9"/>
  <c r="J157" i="9"/>
  <c r="I157" i="9"/>
  <c r="H157" i="9"/>
  <c r="G157" i="9"/>
  <c r="F157" i="9"/>
  <c r="E157" i="9"/>
  <c r="D157" i="9"/>
  <c r="C157" i="9"/>
  <c r="X157" i="9" s="1"/>
  <c r="B157" i="9"/>
  <c r="A157" i="9"/>
  <c r="AI156" i="9"/>
  <c r="X156" i="9"/>
  <c r="W156" i="9"/>
  <c r="V156" i="9"/>
  <c r="O156" i="9"/>
  <c r="N156" i="9"/>
  <c r="M156" i="9"/>
  <c r="L156" i="9"/>
  <c r="K156" i="9"/>
  <c r="J156" i="9"/>
  <c r="I156" i="9"/>
  <c r="H156" i="9"/>
  <c r="G156" i="9"/>
  <c r="F156" i="9"/>
  <c r="E156" i="9"/>
  <c r="D156" i="9"/>
  <c r="C156" i="9"/>
  <c r="B156" i="9"/>
  <c r="A156" i="9"/>
  <c r="A156" i="10" s="1"/>
  <c r="AI155" i="9"/>
  <c r="O155" i="9"/>
  <c r="N155" i="9"/>
  <c r="M155" i="9"/>
  <c r="L155" i="9"/>
  <c r="K155" i="9"/>
  <c r="J155" i="9"/>
  <c r="I155" i="9"/>
  <c r="H155" i="9"/>
  <c r="P155" i="9" s="1"/>
  <c r="G155" i="9"/>
  <c r="F155" i="9"/>
  <c r="E155" i="9"/>
  <c r="D155" i="9"/>
  <c r="C155" i="9"/>
  <c r="X155" i="9" s="1"/>
  <c r="B155" i="9"/>
  <c r="A155" i="9"/>
  <c r="AI154" i="9"/>
  <c r="X154" i="9"/>
  <c r="W154" i="9"/>
  <c r="O154" i="9"/>
  <c r="N154" i="9"/>
  <c r="M154" i="9"/>
  <c r="L154" i="9"/>
  <c r="K154" i="9"/>
  <c r="J154" i="9"/>
  <c r="I154" i="9"/>
  <c r="H154" i="9"/>
  <c r="G154" i="9"/>
  <c r="V154" i="9" s="1"/>
  <c r="F154" i="9"/>
  <c r="E154" i="9"/>
  <c r="D154" i="9"/>
  <c r="C154" i="9"/>
  <c r="B154" i="9"/>
  <c r="A154" i="9"/>
  <c r="A154" i="10" s="1"/>
  <c r="AN153" i="9"/>
  <c r="AO153" i="9" s="1"/>
  <c r="AI153" i="9"/>
  <c r="R153" i="9"/>
  <c r="S153" i="9" s="1"/>
  <c r="O153" i="9"/>
  <c r="V153" i="9" s="1"/>
  <c r="N153" i="9"/>
  <c r="M153" i="9"/>
  <c r="P153" i="9" s="1"/>
  <c r="L153" i="9"/>
  <c r="K153" i="9"/>
  <c r="J153" i="9"/>
  <c r="I153" i="9"/>
  <c r="H153" i="9"/>
  <c r="G153" i="9"/>
  <c r="F153" i="9"/>
  <c r="E153" i="9"/>
  <c r="D153" i="9"/>
  <c r="C153" i="9"/>
  <c r="X153" i="9" s="1"/>
  <c r="B153" i="9"/>
  <c r="A153" i="9"/>
  <c r="AI152" i="9"/>
  <c r="W152" i="9"/>
  <c r="V152" i="9"/>
  <c r="O152" i="9"/>
  <c r="N152" i="9"/>
  <c r="M152" i="9"/>
  <c r="L152" i="9"/>
  <c r="K152" i="9"/>
  <c r="J152" i="9"/>
  <c r="I152" i="9"/>
  <c r="H152" i="9"/>
  <c r="G152" i="9"/>
  <c r="F152" i="9"/>
  <c r="E152" i="9"/>
  <c r="D152" i="9"/>
  <c r="C152" i="9"/>
  <c r="X152" i="9" s="1"/>
  <c r="B152" i="9"/>
  <c r="P152" i="9" s="1"/>
  <c r="A152" i="9"/>
  <c r="A152" i="10" s="1"/>
  <c r="AN151" i="9"/>
  <c r="AO151" i="9" s="1"/>
  <c r="AI151" i="9"/>
  <c r="S151" i="9"/>
  <c r="R151" i="9"/>
  <c r="O151" i="9"/>
  <c r="V151" i="9" s="1"/>
  <c r="N151" i="9"/>
  <c r="M151" i="9"/>
  <c r="L151" i="9"/>
  <c r="K151" i="9"/>
  <c r="J151" i="9"/>
  <c r="I151" i="9"/>
  <c r="H151" i="9"/>
  <c r="P151" i="9" s="1"/>
  <c r="G151" i="9"/>
  <c r="F151" i="9"/>
  <c r="E151" i="9"/>
  <c r="D151" i="9"/>
  <c r="C151" i="9"/>
  <c r="X151" i="9" s="1"/>
  <c r="B151" i="9"/>
  <c r="W151" i="9" s="1"/>
  <c r="A151" i="9"/>
  <c r="AI150" i="9"/>
  <c r="O150" i="9"/>
  <c r="N150" i="9"/>
  <c r="M150" i="9"/>
  <c r="L150" i="9"/>
  <c r="K150" i="9"/>
  <c r="J150" i="9"/>
  <c r="I150" i="9"/>
  <c r="H150" i="9"/>
  <c r="G150" i="9"/>
  <c r="F150" i="9"/>
  <c r="E150" i="9"/>
  <c r="D150" i="9"/>
  <c r="C150" i="9"/>
  <c r="X150" i="9" s="1"/>
  <c r="B150" i="9"/>
  <c r="A150" i="9"/>
  <c r="AI149" i="9"/>
  <c r="R149" i="9"/>
  <c r="AN149" i="9" s="1"/>
  <c r="AO149" i="9" s="1"/>
  <c r="O149" i="9"/>
  <c r="N149" i="9"/>
  <c r="M149" i="9"/>
  <c r="L149" i="9"/>
  <c r="K149" i="9"/>
  <c r="J149" i="9"/>
  <c r="I149" i="9"/>
  <c r="H149" i="9"/>
  <c r="P149" i="9" s="1"/>
  <c r="G149" i="9"/>
  <c r="F149" i="9"/>
  <c r="E149" i="9"/>
  <c r="D149" i="9"/>
  <c r="C149" i="9"/>
  <c r="X149" i="9" s="1"/>
  <c r="B149" i="9"/>
  <c r="W149" i="9" s="1"/>
  <c r="A149" i="9"/>
  <c r="AI148" i="9"/>
  <c r="X148" i="9"/>
  <c r="O148" i="9"/>
  <c r="N148" i="9"/>
  <c r="M148" i="9"/>
  <c r="L148" i="9"/>
  <c r="K148" i="9"/>
  <c r="J148" i="9"/>
  <c r="I148" i="9"/>
  <c r="H148" i="9"/>
  <c r="G148" i="9"/>
  <c r="F148" i="9"/>
  <c r="E148" i="9"/>
  <c r="D148" i="9"/>
  <c r="C148" i="9"/>
  <c r="B148" i="9"/>
  <c r="W148" i="9" s="1"/>
  <c r="A148" i="9"/>
  <c r="A148" i="10" s="1"/>
  <c r="AN147" i="9"/>
  <c r="AO147" i="9" s="1"/>
  <c r="AI147" i="9"/>
  <c r="R147" i="9"/>
  <c r="S147" i="9" s="1"/>
  <c r="O147" i="9"/>
  <c r="V147" i="9" s="1"/>
  <c r="N147" i="9"/>
  <c r="P147" i="9" s="1"/>
  <c r="M147" i="9"/>
  <c r="L147" i="9"/>
  <c r="K147" i="9"/>
  <c r="J147" i="9"/>
  <c r="I147" i="9"/>
  <c r="H147" i="9"/>
  <c r="G147" i="9"/>
  <c r="F147" i="9"/>
  <c r="E147" i="9"/>
  <c r="D147" i="9"/>
  <c r="C147" i="9"/>
  <c r="X147" i="9" s="1"/>
  <c r="B147" i="9"/>
  <c r="A147" i="9"/>
  <c r="A147" i="10" s="1"/>
  <c r="AI146" i="9"/>
  <c r="X146" i="9"/>
  <c r="W146" i="9"/>
  <c r="V146" i="9"/>
  <c r="Y146" i="9" s="1"/>
  <c r="O146" i="9"/>
  <c r="N146" i="9"/>
  <c r="M146" i="9"/>
  <c r="L146" i="9"/>
  <c r="K146" i="9"/>
  <c r="J146" i="9"/>
  <c r="I146" i="9"/>
  <c r="H146" i="9"/>
  <c r="G146" i="9"/>
  <c r="F146" i="9"/>
  <c r="E146" i="9"/>
  <c r="D146" i="9"/>
  <c r="C146" i="9"/>
  <c r="B146" i="9"/>
  <c r="A146" i="9"/>
  <c r="A146" i="10" s="1"/>
  <c r="AI145" i="9"/>
  <c r="R145" i="9"/>
  <c r="AN145" i="9" s="1"/>
  <c r="AO145" i="9" s="1"/>
  <c r="O145" i="9"/>
  <c r="N145" i="9"/>
  <c r="M145" i="9"/>
  <c r="L145" i="9"/>
  <c r="K145" i="9"/>
  <c r="J145" i="9"/>
  <c r="I145" i="9"/>
  <c r="H145" i="9"/>
  <c r="G145" i="9"/>
  <c r="F145" i="9"/>
  <c r="E145" i="9"/>
  <c r="D145" i="9"/>
  <c r="C145" i="9"/>
  <c r="X145" i="9" s="1"/>
  <c r="B145" i="9"/>
  <c r="A145" i="9"/>
  <c r="A145" i="10" s="1"/>
  <c r="AI144" i="9"/>
  <c r="X144" i="9"/>
  <c r="AC144" i="9" s="1"/>
  <c r="W144" i="9"/>
  <c r="AB144" i="9" s="1"/>
  <c r="V144" i="9"/>
  <c r="Y144" i="9" s="1"/>
  <c r="O144" i="9"/>
  <c r="N144" i="9"/>
  <c r="M144" i="9"/>
  <c r="L144" i="9"/>
  <c r="K144" i="9"/>
  <c r="J144" i="9"/>
  <c r="I144" i="9"/>
  <c r="H144" i="9"/>
  <c r="G144" i="9"/>
  <c r="F144" i="9"/>
  <c r="E144" i="9"/>
  <c r="D144" i="9"/>
  <c r="C144" i="9"/>
  <c r="B144" i="9"/>
  <c r="P144" i="9" s="1"/>
  <c r="A144" i="9"/>
  <c r="A144" i="10" s="1"/>
  <c r="AI143" i="9"/>
  <c r="R143" i="9"/>
  <c r="AN143" i="9" s="1"/>
  <c r="AO143" i="9" s="1"/>
  <c r="P143" i="9"/>
  <c r="O143" i="9"/>
  <c r="N143" i="9"/>
  <c r="M143" i="9"/>
  <c r="L143" i="9"/>
  <c r="K143" i="9"/>
  <c r="J143" i="9"/>
  <c r="I143" i="9"/>
  <c r="H143" i="9"/>
  <c r="G143" i="9"/>
  <c r="F143" i="9"/>
  <c r="E143" i="9"/>
  <c r="D143" i="9"/>
  <c r="C143" i="9"/>
  <c r="X143" i="9" s="1"/>
  <c r="B143" i="9"/>
  <c r="W143" i="9" s="1"/>
  <c r="A143" i="9"/>
  <c r="A143" i="10" s="1"/>
  <c r="AI142" i="9"/>
  <c r="X142" i="9"/>
  <c r="O142" i="9"/>
  <c r="N142" i="9"/>
  <c r="M142" i="9"/>
  <c r="L142" i="9"/>
  <c r="K142" i="9"/>
  <c r="J142" i="9"/>
  <c r="I142" i="9"/>
  <c r="H142" i="9"/>
  <c r="G142" i="9"/>
  <c r="F142" i="9"/>
  <c r="E142" i="9"/>
  <c r="D142" i="9"/>
  <c r="C142" i="9"/>
  <c r="B142" i="9"/>
  <c r="A142" i="9"/>
  <c r="A142" i="10" s="1"/>
  <c r="AI141" i="9"/>
  <c r="O141" i="9"/>
  <c r="N141" i="9"/>
  <c r="M141" i="9"/>
  <c r="L141" i="9"/>
  <c r="K141" i="9"/>
  <c r="J141" i="9"/>
  <c r="I141" i="9"/>
  <c r="H141" i="9"/>
  <c r="P141" i="9" s="1"/>
  <c r="G141" i="9"/>
  <c r="F141" i="9"/>
  <c r="E141" i="9"/>
  <c r="D141" i="9"/>
  <c r="C141" i="9"/>
  <c r="X141" i="9" s="1"/>
  <c r="B141" i="9"/>
  <c r="W141" i="9" s="1"/>
  <c r="A141" i="9"/>
  <c r="A141" i="10" s="1"/>
  <c r="AI140" i="9"/>
  <c r="O140" i="9"/>
  <c r="N140" i="9"/>
  <c r="M140" i="9"/>
  <c r="L140" i="9"/>
  <c r="K140" i="9"/>
  <c r="J140" i="9"/>
  <c r="I140" i="9"/>
  <c r="H140" i="9"/>
  <c r="G140" i="9"/>
  <c r="F140" i="9"/>
  <c r="E140" i="9"/>
  <c r="D140" i="9"/>
  <c r="C140" i="9"/>
  <c r="X140" i="9" s="1"/>
  <c r="B140" i="9"/>
  <c r="W140" i="9" s="1"/>
  <c r="A140" i="9"/>
  <c r="A140" i="10" s="1"/>
  <c r="AI139" i="9"/>
  <c r="R139" i="9"/>
  <c r="AN139" i="9" s="1"/>
  <c r="AO139" i="9" s="1"/>
  <c r="O139" i="9"/>
  <c r="N139" i="9"/>
  <c r="M139" i="9"/>
  <c r="L139" i="9"/>
  <c r="K139" i="9"/>
  <c r="J139" i="9"/>
  <c r="I139" i="9"/>
  <c r="H139" i="9"/>
  <c r="P139" i="9" s="1"/>
  <c r="G139" i="9"/>
  <c r="F139" i="9"/>
  <c r="E139" i="9"/>
  <c r="D139" i="9"/>
  <c r="C139" i="9"/>
  <c r="X139" i="9" s="1"/>
  <c r="B139" i="9"/>
  <c r="A139" i="9"/>
  <c r="A139" i="10" s="1"/>
  <c r="X138" i="9"/>
  <c r="V138" i="9"/>
  <c r="R138" i="9"/>
  <c r="S138" i="9" s="1"/>
  <c r="O138" i="9"/>
  <c r="N138" i="9"/>
  <c r="M138" i="9"/>
  <c r="L138" i="9"/>
  <c r="K138" i="9"/>
  <c r="J138" i="9"/>
  <c r="I138" i="9"/>
  <c r="H138" i="9"/>
  <c r="G138" i="9"/>
  <c r="F138" i="9"/>
  <c r="E138" i="9"/>
  <c r="D138" i="9"/>
  <c r="C138" i="9"/>
  <c r="B138" i="9"/>
  <c r="A138" i="9"/>
  <c r="X137" i="9"/>
  <c r="R137" i="9"/>
  <c r="S137" i="9" s="1"/>
  <c r="T137" i="9" s="1"/>
  <c r="P137" i="9"/>
  <c r="O137" i="9"/>
  <c r="N137" i="9"/>
  <c r="M137" i="9"/>
  <c r="L137" i="9"/>
  <c r="K137" i="9"/>
  <c r="J137" i="9"/>
  <c r="I137" i="9"/>
  <c r="H137" i="9"/>
  <c r="G137" i="9"/>
  <c r="F137" i="9"/>
  <c r="E137" i="9"/>
  <c r="D137" i="9"/>
  <c r="V137" i="9" s="1"/>
  <c r="C137" i="9"/>
  <c r="B137" i="9"/>
  <c r="W137" i="9" s="1"/>
  <c r="A137" i="9"/>
  <c r="X136" i="9"/>
  <c r="W136" i="9"/>
  <c r="V136" i="9"/>
  <c r="S136" i="9"/>
  <c r="R136" i="9"/>
  <c r="O136" i="9"/>
  <c r="N136" i="9"/>
  <c r="M136" i="9"/>
  <c r="L136" i="9"/>
  <c r="K136" i="9"/>
  <c r="J136" i="9"/>
  <c r="I136" i="9"/>
  <c r="H136" i="9"/>
  <c r="G136" i="9"/>
  <c r="F136" i="9"/>
  <c r="E136" i="9"/>
  <c r="D136" i="9"/>
  <c r="C136" i="9"/>
  <c r="B136" i="9"/>
  <c r="A136" i="9"/>
  <c r="A136" i="10" s="1"/>
  <c r="S135" i="9"/>
  <c r="R135" i="9"/>
  <c r="O135" i="9"/>
  <c r="N135" i="9"/>
  <c r="M135" i="9"/>
  <c r="L135" i="9"/>
  <c r="K135" i="9"/>
  <c r="J135" i="9"/>
  <c r="I135" i="9"/>
  <c r="H135" i="9"/>
  <c r="G135" i="9"/>
  <c r="F135" i="9"/>
  <c r="E135" i="9"/>
  <c r="D135" i="9"/>
  <c r="C135" i="9"/>
  <c r="X135" i="9" s="1"/>
  <c r="B135" i="9"/>
  <c r="A135" i="9"/>
  <c r="A135" i="10" s="1"/>
  <c r="X134" i="9"/>
  <c r="R134" i="9"/>
  <c r="S134" i="9" s="1"/>
  <c r="O134" i="9"/>
  <c r="N134" i="9"/>
  <c r="M134" i="9"/>
  <c r="L134" i="9"/>
  <c r="K134" i="9"/>
  <c r="J134" i="9"/>
  <c r="I134" i="9"/>
  <c r="H134" i="9"/>
  <c r="W134" i="9" s="1"/>
  <c r="G134" i="9"/>
  <c r="F134" i="9"/>
  <c r="P134" i="9" s="1"/>
  <c r="E134" i="9"/>
  <c r="D134" i="9"/>
  <c r="C134" i="9"/>
  <c r="B134" i="9"/>
  <c r="A134" i="9"/>
  <c r="A134" i="10" s="1"/>
  <c r="X133" i="9"/>
  <c r="R133" i="9"/>
  <c r="S133" i="9" s="1"/>
  <c r="O133" i="9"/>
  <c r="N133" i="9"/>
  <c r="M133" i="9"/>
  <c r="L133" i="9"/>
  <c r="W133" i="9" s="1"/>
  <c r="K133" i="9"/>
  <c r="J133" i="9"/>
  <c r="P133" i="9" s="1"/>
  <c r="I133" i="9"/>
  <c r="H133" i="9"/>
  <c r="G133" i="9"/>
  <c r="F133" i="9"/>
  <c r="E133" i="9"/>
  <c r="D133" i="9"/>
  <c r="C133" i="9"/>
  <c r="B133" i="9"/>
  <c r="A133" i="9"/>
  <c r="A133" i="10" s="1"/>
  <c r="X132" i="9"/>
  <c r="S132" i="9"/>
  <c r="R132" i="9"/>
  <c r="O132" i="9"/>
  <c r="V132" i="9" s="1"/>
  <c r="N132" i="9"/>
  <c r="M132" i="9"/>
  <c r="L132" i="9"/>
  <c r="K132" i="9"/>
  <c r="J132" i="9"/>
  <c r="I132" i="9"/>
  <c r="H132" i="9"/>
  <c r="G132" i="9"/>
  <c r="F132" i="9"/>
  <c r="E132" i="9"/>
  <c r="D132" i="9"/>
  <c r="C132" i="9"/>
  <c r="B132" i="9"/>
  <c r="A132" i="9"/>
  <c r="A132" i="10" s="1"/>
  <c r="X131" i="9"/>
  <c r="V131" i="9"/>
  <c r="S131" i="9"/>
  <c r="T131" i="9" s="1"/>
  <c r="R131" i="9"/>
  <c r="O131" i="9"/>
  <c r="N131" i="9"/>
  <c r="M131" i="9"/>
  <c r="L131" i="9"/>
  <c r="K131" i="9"/>
  <c r="J131" i="9"/>
  <c r="I131" i="9"/>
  <c r="H131" i="9"/>
  <c r="G131" i="9"/>
  <c r="F131" i="9"/>
  <c r="E131" i="9"/>
  <c r="D131" i="9"/>
  <c r="C131" i="9"/>
  <c r="B131" i="9"/>
  <c r="P131" i="9" s="1"/>
  <c r="A131" i="9"/>
  <c r="A131" i="10" s="1"/>
  <c r="X130" i="9"/>
  <c r="R130" i="9"/>
  <c r="S130" i="9" s="1"/>
  <c r="O130" i="9"/>
  <c r="N130" i="9"/>
  <c r="M130" i="9"/>
  <c r="L130" i="9"/>
  <c r="K130" i="9"/>
  <c r="V130" i="9" s="1"/>
  <c r="J130" i="9"/>
  <c r="I130" i="9"/>
  <c r="H130" i="9"/>
  <c r="G130" i="9"/>
  <c r="F130" i="9"/>
  <c r="E130" i="9"/>
  <c r="D130" i="9"/>
  <c r="C130" i="9"/>
  <c r="B130" i="9"/>
  <c r="A130" i="9"/>
  <c r="A130" i="10" s="1"/>
  <c r="S129" i="9"/>
  <c r="R129" i="9"/>
  <c r="O129" i="9"/>
  <c r="N129" i="9"/>
  <c r="M129" i="9"/>
  <c r="L129" i="9"/>
  <c r="K129" i="9"/>
  <c r="J129" i="9"/>
  <c r="I129" i="9"/>
  <c r="H129" i="9"/>
  <c r="G129" i="9"/>
  <c r="F129" i="9"/>
  <c r="E129" i="9"/>
  <c r="D129" i="9"/>
  <c r="C129" i="9"/>
  <c r="X129" i="9" s="1"/>
  <c r="B129" i="9"/>
  <c r="A129" i="9"/>
  <c r="A129" i="10" s="1"/>
  <c r="S128" i="9"/>
  <c r="R128" i="9"/>
  <c r="O128" i="9"/>
  <c r="N128" i="9"/>
  <c r="M128" i="9"/>
  <c r="L128" i="9"/>
  <c r="K128" i="9"/>
  <c r="J128" i="9"/>
  <c r="I128" i="9"/>
  <c r="H128" i="9"/>
  <c r="P128" i="9" s="1"/>
  <c r="G128" i="9"/>
  <c r="F128" i="9"/>
  <c r="E128" i="9"/>
  <c r="D128" i="9"/>
  <c r="C128" i="9"/>
  <c r="X128" i="9" s="1"/>
  <c r="B128" i="9"/>
  <c r="W128" i="9" s="1"/>
  <c r="A128" i="9"/>
  <c r="A128" i="10" s="1"/>
  <c r="X127" i="9"/>
  <c r="W127" i="9"/>
  <c r="S127" i="9"/>
  <c r="R127" i="9"/>
  <c r="O127" i="9"/>
  <c r="V127" i="9" s="1"/>
  <c r="N127" i="9"/>
  <c r="M127" i="9"/>
  <c r="L127" i="9"/>
  <c r="P127" i="9" s="1"/>
  <c r="K127" i="9"/>
  <c r="J127" i="9"/>
  <c r="I127" i="9"/>
  <c r="H127" i="9"/>
  <c r="G127" i="9"/>
  <c r="F127" i="9"/>
  <c r="E127" i="9"/>
  <c r="D127" i="9"/>
  <c r="C127" i="9"/>
  <c r="B127" i="9"/>
  <c r="A127" i="9"/>
  <c r="A127" i="10" s="1"/>
  <c r="A126" i="9"/>
  <c r="A126" i="10" s="1"/>
  <c r="A125" i="9"/>
  <c r="A125" i="10" s="1"/>
  <c r="A124" i="9"/>
  <c r="A124" i="10" s="1"/>
  <c r="A123" i="9"/>
  <c r="A123" i="10" s="1"/>
  <c r="A122" i="9"/>
  <c r="A122" i="10" s="1"/>
  <c r="A121" i="9"/>
  <c r="A121" i="10" s="1"/>
  <c r="A120" i="9"/>
  <c r="A120" i="10" s="1"/>
  <c r="A119" i="9"/>
  <c r="A119" i="10" s="1"/>
  <c r="A118" i="9"/>
  <c r="A118" i="10" s="1"/>
  <c r="A117" i="9"/>
  <c r="A117" i="10" s="1"/>
  <c r="A116" i="9"/>
  <c r="A116" i="10" s="1"/>
  <c r="A115" i="9"/>
  <c r="A114" i="9"/>
  <c r="A113" i="9"/>
  <c r="A112" i="9"/>
  <c r="A111" i="9"/>
  <c r="A110" i="9"/>
  <c r="A109" i="9"/>
  <c r="A108" i="9"/>
  <c r="A107" i="9"/>
  <c r="A106" i="9"/>
  <c r="A105" i="9"/>
  <c r="A104" i="9"/>
  <c r="A104" i="10" s="1"/>
  <c r="A103" i="9"/>
  <c r="A103" i="10" s="1"/>
  <c r="A102" i="9"/>
  <c r="A102" i="10" s="1"/>
  <c r="A101" i="9"/>
  <c r="A101" i="10" s="1"/>
  <c r="A100" i="9"/>
  <c r="A100" i="10" s="1"/>
  <c r="A99" i="9"/>
  <c r="A99" i="10" s="1"/>
  <c r="A98" i="9"/>
  <c r="A98" i="10" s="1"/>
  <c r="A97" i="9"/>
  <c r="A97" i="10" s="1"/>
  <c r="A96" i="9"/>
  <c r="A96" i="10" s="1"/>
  <c r="A95" i="9"/>
  <c r="A95" i="10" s="1"/>
  <c r="A94" i="9"/>
  <c r="A94" i="10" s="1"/>
  <c r="A93" i="9"/>
  <c r="A93" i="10" s="1"/>
  <c r="A92" i="9"/>
  <c r="A92" i="10" s="1"/>
  <c r="A91" i="9"/>
  <c r="A91" i="10" s="1"/>
  <c r="A90" i="9"/>
  <c r="A90" i="10" s="1"/>
  <c r="A89" i="9"/>
  <c r="A89" i="10" s="1"/>
  <c r="A88" i="9"/>
  <c r="A88" i="10" s="1"/>
  <c r="A87" i="9"/>
  <c r="A87" i="10" s="1"/>
  <c r="A86" i="9"/>
  <c r="A86" i="10" s="1"/>
  <c r="A85" i="9"/>
  <c r="A85" i="10" s="1"/>
  <c r="A84" i="9"/>
  <c r="A84" i="10" s="1"/>
  <c r="A83" i="9"/>
  <c r="A83" i="10" s="1"/>
  <c r="A82" i="9"/>
  <c r="A82" i="10" s="1"/>
  <c r="A81" i="9"/>
  <c r="A81" i="10" s="1"/>
  <c r="A80" i="9"/>
  <c r="A80" i="10" s="1"/>
  <c r="A79" i="9"/>
  <c r="A79" i="10" s="1"/>
  <c r="A78" i="9"/>
  <c r="A78" i="10" s="1"/>
  <c r="A77" i="9"/>
  <c r="A77" i="10" s="1"/>
  <c r="A76" i="9"/>
  <c r="A76" i="10" s="1"/>
  <c r="A75" i="9"/>
  <c r="A75" i="10" s="1"/>
  <c r="A74" i="9"/>
  <c r="A74" i="10" s="1"/>
  <c r="A73" i="9"/>
  <c r="A73" i="10" s="1"/>
  <c r="A72" i="9"/>
  <c r="A72" i="10" s="1"/>
  <c r="A71" i="9"/>
  <c r="A70" i="9"/>
  <c r="A69" i="9"/>
  <c r="A68" i="9"/>
  <c r="A67" i="9"/>
  <c r="A66" i="9"/>
  <c r="A65" i="9"/>
  <c r="A64" i="9"/>
  <c r="A63" i="9"/>
  <c r="A62" i="9"/>
  <c r="A61" i="9"/>
  <c r="A61" i="10" s="1"/>
  <c r="A60" i="9"/>
  <c r="A60" i="10" s="1"/>
  <c r="A59" i="9"/>
  <c r="A59" i="10" s="1"/>
  <c r="A58" i="9"/>
  <c r="A58" i="10" s="1"/>
  <c r="A57" i="9"/>
  <c r="A57" i="10" s="1"/>
  <c r="A56" i="9"/>
  <c r="A56" i="10" s="1"/>
  <c r="A55" i="9"/>
  <c r="A55" i="10" s="1"/>
  <c r="A54" i="9"/>
  <c r="A54" i="10" s="1"/>
  <c r="A53" i="9"/>
  <c r="A53" i="10" s="1"/>
  <c r="A52" i="9"/>
  <c r="A52" i="10" s="1"/>
  <c r="A51" i="9"/>
  <c r="A51" i="10" s="1"/>
  <c r="A50" i="9"/>
  <c r="A50" i="10" s="1"/>
  <c r="A49" i="9"/>
  <c r="A49" i="10" s="1"/>
  <c r="A48" i="9"/>
  <c r="A48" i="10" s="1"/>
  <c r="A47" i="9"/>
  <c r="A47" i="10" s="1"/>
  <c r="A46" i="9"/>
  <c r="A46" i="10" s="1"/>
  <c r="A45" i="9"/>
  <c r="A45" i="10" s="1"/>
  <c r="A44" i="9"/>
  <c r="A44" i="10" s="1"/>
  <c r="A43" i="9"/>
  <c r="A43" i="10" s="1"/>
  <c r="A42" i="9"/>
  <c r="A42" i="10" s="1"/>
  <c r="A41" i="9"/>
  <c r="A40" i="9"/>
  <c r="A39" i="9"/>
  <c r="A38" i="9"/>
  <c r="A38" i="10" s="1"/>
  <c r="A37" i="9"/>
  <c r="A37" i="10" s="1"/>
  <c r="A36" i="9"/>
  <c r="A36" i="10" s="1"/>
  <c r="A35" i="9"/>
  <c r="A35" i="10" s="1"/>
  <c r="A34" i="9"/>
  <c r="A34" i="10" s="1"/>
  <c r="A33" i="9"/>
  <c r="A33" i="10" s="1"/>
  <c r="A32" i="9"/>
  <c r="A32" i="10" s="1"/>
  <c r="A31" i="9"/>
  <c r="A31" i="10" s="1"/>
  <c r="A30" i="9"/>
  <c r="A30" i="10" s="1"/>
  <c r="A29" i="9"/>
  <c r="A29" i="10" s="1"/>
  <c r="A28" i="9"/>
  <c r="A27" i="9"/>
  <c r="A26" i="9"/>
  <c r="A25" i="9"/>
  <c r="A24" i="9"/>
  <c r="A23" i="9"/>
  <c r="A22" i="9"/>
  <c r="A21" i="9"/>
  <c r="A20" i="9"/>
  <c r="A19" i="9"/>
  <c r="A19" i="10" s="1"/>
  <c r="A18" i="9"/>
  <c r="A18" i="10" s="1"/>
  <c r="A17" i="9"/>
  <c r="A17" i="10" s="1"/>
  <c r="A16" i="9"/>
  <c r="A16" i="10" s="1"/>
  <c r="A15" i="9"/>
  <c r="A15" i="10" s="1"/>
  <c r="A14" i="9"/>
  <c r="A14" i="10" s="1"/>
  <c r="A13" i="9"/>
  <c r="A13" i="10" s="1"/>
  <c r="A12" i="9"/>
  <c r="A12" i="10" s="1"/>
  <c r="A11" i="9"/>
  <c r="A11" i="10" s="1"/>
  <c r="A10" i="9"/>
  <c r="A10" i="10" s="1"/>
  <c r="A9" i="9"/>
  <c r="A9" i="10" s="1"/>
  <c r="A8" i="9"/>
  <c r="A8" i="10" s="1"/>
  <c r="A7" i="9"/>
  <c r="A7" i="10" s="1"/>
  <c r="N165" i="8"/>
  <c r="M165" i="8"/>
  <c r="Q164" i="8"/>
  <c r="O155" i="8"/>
  <c r="Q154" i="8"/>
  <c r="P154" i="8"/>
  <c r="O154" i="8"/>
  <c r="AQ153" i="8"/>
  <c r="AP153" i="8"/>
  <c r="AO153" i="8"/>
  <c r="AN153" i="8"/>
  <c r="AM153" i="8"/>
  <c r="AL153" i="8"/>
  <c r="AK153"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C153" i="8"/>
  <c r="B153" i="8"/>
  <c r="Q149" i="8"/>
  <c r="P149" i="8"/>
  <c r="O149" i="8"/>
  <c r="N149" i="8"/>
  <c r="M149" i="8"/>
  <c r="Q148" i="8"/>
  <c r="P148" i="8"/>
  <c r="O148" i="8"/>
  <c r="N148" i="8"/>
  <c r="M148" i="8"/>
  <c r="Q147" i="8"/>
  <c r="P147" i="8"/>
  <c r="O147" i="8"/>
  <c r="N147" i="8"/>
  <c r="M147" i="8"/>
  <c r="Q146" i="8"/>
  <c r="P146" i="8"/>
  <c r="O146" i="8"/>
  <c r="N146" i="8"/>
  <c r="M146" i="8"/>
  <c r="Q145" i="8"/>
  <c r="P145" i="8"/>
  <c r="O145" i="8"/>
  <c r="N145" i="8"/>
  <c r="M145" i="8"/>
  <c r="Q144" i="8"/>
  <c r="P144" i="8"/>
  <c r="O144" i="8"/>
  <c r="N144" i="8"/>
  <c r="M144" i="8"/>
  <c r="Q143" i="8"/>
  <c r="P143" i="8"/>
  <c r="O143" i="8"/>
  <c r="N143" i="8"/>
  <c r="M143" i="8"/>
  <c r="Q142" i="8"/>
  <c r="P142" i="8"/>
  <c r="O142" i="8"/>
  <c r="N142" i="8"/>
  <c r="M142" i="8"/>
  <c r="Q141" i="8"/>
  <c r="P141" i="8"/>
  <c r="O141" i="8"/>
  <c r="N141" i="8"/>
  <c r="M141" i="8"/>
  <c r="Q140" i="8"/>
  <c r="P140" i="8"/>
  <c r="O140" i="8"/>
  <c r="N140" i="8"/>
  <c r="M140" i="8"/>
  <c r="R139" i="8"/>
  <c r="Q139" i="8"/>
  <c r="P139" i="8"/>
  <c r="O139" i="8"/>
  <c r="N139" i="8"/>
  <c r="M139" i="8"/>
  <c r="R138" i="8"/>
  <c r="Q138" i="8"/>
  <c r="P138" i="8"/>
  <c r="O138" i="8"/>
  <c r="N138" i="8"/>
  <c r="M138" i="8"/>
  <c r="AQ137" i="8"/>
  <c r="AP137" i="8"/>
  <c r="AO137" i="8"/>
  <c r="AN137" i="8"/>
  <c r="AM137" i="8"/>
  <c r="AL137" i="8"/>
  <c r="AK137"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C137" i="8"/>
  <c r="B137" i="8"/>
  <c r="AJ134" i="8"/>
  <c r="AI134" i="8"/>
  <c r="AH134" i="8"/>
  <c r="AG134" i="8"/>
  <c r="AF134" i="8"/>
  <c r="AE134" i="8"/>
  <c r="AD134" i="8"/>
  <c r="AC134" i="8"/>
  <c r="AB134" i="8"/>
  <c r="AA134" i="8"/>
  <c r="Q133" i="8"/>
  <c r="P133" i="8"/>
  <c r="O133" i="8"/>
  <c r="N133" i="8"/>
  <c r="M133" i="8"/>
  <c r="Q132" i="8"/>
  <c r="P132" i="8"/>
  <c r="O132" i="8"/>
  <c r="N132" i="8"/>
  <c r="M132" i="8"/>
  <c r="Q131" i="8"/>
  <c r="P131" i="8"/>
  <c r="O131" i="8"/>
  <c r="N131" i="8"/>
  <c r="M131" i="8"/>
  <c r="Q130" i="8"/>
  <c r="P130" i="8"/>
  <c r="O130" i="8"/>
  <c r="N130" i="8"/>
  <c r="M130" i="8"/>
  <c r="Q129" i="8"/>
  <c r="P129" i="8"/>
  <c r="O129" i="8"/>
  <c r="N129" i="8"/>
  <c r="M129" i="8"/>
  <c r="M134" i="8" s="1"/>
  <c r="M16" i="8" s="1"/>
  <c r="Q128" i="8"/>
  <c r="P128" i="8"/>
  <c r="O128" i="8"/>
  <c r="N128" i="8"/>
  <c r="M128" i="8"/>
  <c r="Q127" i="8"/>
  <c r="P127" i="8"/>
  <c r="O127" i="8"/>
  <c r="N127" i="8"/>
  <c r="M127" i="8"/>
  <c r="Q126" i="8"/>
  <c r="P126" i="8"/>
  <c r="O126" i="8"/>
  <c r="N126" i="8"/>
  <c r="M126" i="8"/>
  <c r="Q125" i="8"/>
  <c r="P125" i="8"/>
  <c r="O125" i="8"/>
  <c r="N125" i="8"/>
  <c r="M125" i="8"/>
  <c r="Q124" i="8"/>
  <c r="P124" i="8"/>
  <c r="O124" i="8"/>
  <c r="O134" i="8" s="1"/>
  <c r="O16" i="8" s="1"/>
  <c r="N124" i="8"/>
  <c r="M124" i="8"/>
  <c r="R123" i="8"/>
  <c r="Q123" i="8"/>
  <c r="P123" i="8"/>
  <c r="O123" i="8"/>
  <c r="N123" i="8"/>
  <c r="M123" i="8"/>
  <c r="R122" i="8"/>
  <c r="Q122" i="8"/>
  <c r="P122" i="8"/>
  <c r="O122" i="8"/>
  <c r="N122" i="8"/>
  <c r="M122" i="8"/>
  <c r="AQ121" i="8"/>
  <c r="AP121" i="8"/>
  <c r="AO121" i="8"/>
  <c r="AN121" i="8"/>
  <c r="AM121" i="8"/>
  <c r="AL121" i="8"/>
  <c r="AK121"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C121" i="8"/>
  <c r="B121" i="8"/>
  <c r="AQ105" i="8"/>
  <c r="AP105" i="8"/>
  <c r="AO105" i="8"/>
  <c r="AN105" i="8"/>
  <c r="AM105" i="8"/>
  <c r="AL105" i="8"/>
  <c r="AK105"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C105" i="8"/>
  <c r="B105" i="8"/>
  <c r="Q101" i="8"/>
  <c r="P101" i="8"/>
  <c r="Q74" i="8" s="1"/>
  <c r="O101" i="8"/>
  <c r="N101" i="8"/>
  <c r="N10" i="8" s="1"/>
  <c r="M101" i="8"/>
  <c r="Q100" i="8"/>
  <c r="P100" i="8"/>
  <c r="O100" i="8"/>
  <c r="N100" i="8"/>
  <c r="M100" i="8"/>
  <c r="Q99" i="8"/>
  <c r="P99" i="8"/>
  <c r="O99" i="8"/>
  <c r="N99" i="8"/>
  <c r="M99" i="8"/>
  <c r="M164" i="8" s="1"/>
  <c r="Q98" i="8"/>
  <c r="P98" i="8"/>
  <c r="O98" i="8"/>
  <c r="N98" i="8"/>
  <c r="M98" i="8"/>
  <c r="Q97" i="8"/>
  <c r="P97" i="8"/>
  <c r="O97" i="8"/>
  <c r="N97" i="8"/>
  <c r="M97" i="8"/>
  <c r="M82" i="8" s="1"/>
  <c r="Q96" i="8"/>
  <c r="Q161" i="8" s="1"/>
  <c r="P96" i="8"/>
  <c r="P161" i="8" s="1"/>
  <c r="O96" i="8"/>
  <c r="N96" i="8"/>
  <c r="N160" i="8" s="1"/>
  <c r="M96" i="8"/>
  <c r="M161" i="8" s="1"/>
  <c r="Q95" i="8"/>
  <c r="P95" i="8"/>
  <c r="O95" i="8"/>
  <c r="N95" i="8"/>
  <c r="M95" i="8"/>
  <c r="Q94" i="8"/>
  <c r="Q78" i="8" s="1"/>
  <c r="P94" i="8"/>
  <c r="O94" i="8"/>
  <c r="N94" i="8"/>
  <c r="N159" i="8" s="1"/>
  <c r="M94" i="8"/>
  <c r="Q93" i="8"/>
  <c r="P93" i="8"/>
  <c r="O93" i="8"/>
  <c r="N93" i="8"/>
  <c r="M93" i="8"/>
  <c r="M158" i="8" s="1"/>
  <c r="Q92" i="8"/>
  <c r="P92" i="8"/>
  <c r="O92" i="8"/>
  <c r="N92" i="8"/>
  <c r="N77" i="8" s="1"/>
  <c r="M92" i="8"/>
  <c r="R91" i="8"/>
  <c r="Q91" i="8"/>
  <c r="P91" i="8"/>
  <c r="O91" i="8"/>
  <c r="N91" i="8"/>
  <c r="M91" i="8"/>
  <c r="R90" i="8"/>
  <c r="Q90" i="8"/>
  <c r="P90" i="8"/>
  <c r="O90" i="8"/>
  <c r="N90" i="8"/>
  <c r="M90" i="8"/>
  <c r="AQ89" i="8"/>
  <c r="AP89" i="8"/>
  <c r="AO89" i="8"/>
  <c r="AN89" i="8"/>
  <c r="AM89" i="8"/>
  <c r="AL89" i="8"/>
  <c r="AK89" i="8"/>
  <c r="AJ89" i="8"/>
  <c r="AI89" i="8"/>
  <c r="AH89" i="8"/>
  <c r="AG89" i="8"/>
  <c r="AF89" i="8"/>
  <c r="AE89" i="8"/>
  <c r="AD89" i="8"/>
  <c r="AC89" i="8"/>
  <c r="AB89" i="8"/>
  <c r="AA89" i="8"/>
  <c r="Z89" i="8"/>
  <c r="Y89" i="8"/>
  <c r="X89" i="8"/>
  <c r="W89" i="8"/>
  <c r="V89" i="8"/>
  <c r="U89" i="8"/>
  <c r="T89" i="8"/>
  <c r="S89" i="8"/>
  <c r="R89" i="8"/>
  <c r="R154" i="8" s="1"/>
  <c r="Q89" i="8"/>
  <c r="P89" i="8"/>
  <c r="O89" i="8"/>
  <c r="N89" i="8"/>
  <c r="N154" i="8" s="1"/>
  <c r="M89" i="8"/>
  <c r="M154" i="8" s="1"/>
  <c r="L89" i="8"/>
  <c r="K89" i="8"/>
  <c r="J89" i="8"/>
  <c r="I89" i="8"/>
  <c r="H89" i="8"/>
  <c r="G89" i="8"/>
  <c r="F89" i="8"/>
  <c r="E89" i="8"/>
  <c r="D89" i="8"/>
  <c r="C89" i="8"/>
  <c r="B89" i="8"/>
  <c r="O85" i="8"/>
  <c r="Q81" i="8"/>
  <c r="P81" i="8"/>
  <c r="O81" i="8"/>
  <c r="N81" i="8"/>
  <c r="N79" i="8"/>
  <c r="P78" i="8"/>
  <c r="O78" i="8"/>
  <c r="M78" i="8"/>
  <c r="Q76" i="8"/>
  <c r="P76" i="8"/>
  <c r="N74" i="8"/>
  <c r="M74" i="8"/>
  <c r="AQ73" i="8"/>
  <c r="AP73" i="8"/>
  <c r="AO73" i="8"/>
  <c r="AN73" i="8"/>
  <c r="AM73" i="8"/>
  <c r="AL73" i="8"/>
  <c r="AK73"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C73" i="8"/>
  <c r="B73" i="8"/>
  <c r="O70" i="8"/>
  <c r="O8" i="8" s="1"/>
  <c r="N70" i="8"/>
  <c r="N8" i="8" s="1"/>
  <c r="L70" i="8"/>
  <c r="K70" i="8"/>
  <c r="K8" i="8" s="1"/>
  <c r="J70" i="8"/>
  <c r="I70" i="8"/>
  <c r="H70" i="8"/>
  <c r="G70" i="8"/>
  <c r="F70" i="8"/>
  <c r="E70" i="8"/>
  <c r="D70" i="8"/>
  <c r="C70" i="8"/>
  <c r="B70" i="8"/>
  <c r="Q69" i="8"/>
  <c r="P69" i="8"/>
  <c r="P59" i="7" s="1"/>
  <c r="O69" i="8"/>
  <c r="N69" i="8"/>
  <c r="M69" i="8"/>
  <c r="M59" i="7" s="1"/>
  <c r="Q68" i="8"/>
  <c r="P68" i="8"/>
  <c r="O68" i="8"/>
  <c r="N68" i="8"/>
  <c r="M68" i="8"/>
  <c r="Q67" i="8"/>
  <c r="P67" i="8"/>
  <c r="P57" i="7" s="1"/>
  <c r="O67" i="8"/>
  <c r="O57" i="7" s="1"/>
  <c r="N67" i="8"/>
  <c r="N57" i="7" s="1"/>
  <c r="M67" i="8"/>
  <c r="M57" i="7" s="1"/>
  <c r="Q66" i="8"/>
  <c r="P66" i="8"/>
  <c r="P56" i="7" s="1"/>
  <c r="O66" i="8"/>
  <c r="O56" i="7" s="1"/>
  <c r="N66" i="8"/>
  <c r="M66" i="8"/>
  <c r="Q65" i="8"/>
  <c r="P65" i="8"/>
  <c r="O65" i="8"/>
  <c r="N65" i="8"/>
  <c r="M65" i="8"/>
  <c r="Q64" i="8"/>
  <c r="P64" i="8"/>
  <c r="O64" i="8"/>
  <c r="N64" i="8"/>
  <c r="M64" i="8"/>
  <c r="M54" i="7" s="1"/>
  <c r="Q63" i="8"/>
  <c r="P63" i="8"/>
  <c r="O63" i="8"/>
  <c r="N63" i="8"/>
  <c r="M63" i="8"/>
  <c r="Q62" i="8"/>
  <c r="Q52" i="7" s="1"/>
  <c r="P62" i="8"/>
  <c r="P52" i="7" s="1"/>
  <c r="O62" i="8"/>
  <c r="O52" i="7" s="1"/>
  <c r="N62" i="8"/>
  <c r="N52" i="7" s="1"/>
  <c r="M62" i="8"/>
  <c r="M52" i="7" s="1"/>
  <c r="Q61" i="8"/>
  <c r="Q51" i="7" s="1"/>
  <c r="P61" i="8"/>
  <c r="O61" i="8"/>
  <c r="N61" i="8"/>
  <c r="M61" i="8"/>
  <c r="R60" i="8"/>
  <c r="Q60" i="8"/>
  <c r="P60" i="8"/>
  <c r="O60" i="8"/>
  <c r="N60" i="8"/>
  <c r="M60" i="8"/>
  <c r="M50" i="7" s="1"/>
  <c r="R59" i="8"/>
  <c r="R107" i="8" s="1"/>
  <c r="Q59" i="8"/>
  <c r="P59" i="8"/>
  <c r="P49" i="7" s="1"/>
  <c r="O59" i="8"/>
  <c r="O49" i="7" s="1"/>
  <c r="N59" i="8"/>
  <c r="N49" i="7" s="1"/>
  <c r="M59" i="8"/>
  <c r="M49" i="7" s="1"/>
  <c r="R58" i="8"/>
  <c r="Q58" i="8"/>
  <c r="P58" i="8"/>
  <c r="O58" i="8"/>
  <c r="N58" i="8"/>
  <c r="M58" i="8"/>
  <c r="AQ57" i="8"/>
  <c r="AP57" i="8"/>
  <c r="AO57" i="8"/>
  <c r="AN57" i="8"/>
  <c r="AM57" i="8"/>
  <c r="AL57" i="8"/>
  <c r="AK57" i="8"/>
  <c r="AJ57" i="8"/>
  <c r="AI57" i="8"/>
  <c r="AH57" i="8"/>
  <c r="AG57"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57" i="8"/>
  <c r="B57" i="8"/>
  <c r="AK54" i="8"/>
  <c r="AB54" i="8"/>
  <c r="L54" i="8"/>
  <c r="L5" i="8" s="1"/>
  <c r="K54" i="8"/>
  <c r="K5" i="8" s="1"/>
  <c r="J54" i="8"/>
  <c r="J5" i="8" s="1"/>
  <c r="I54" i="8"/>
  <c r="I5" i="8" s="1"/>
  <c r="H54" i="8"/>
  <c r="H5" i="8" s="1"/>
  <c r="G54" i="8"/>
  <c r="F54" i="8"/>
  <c r="F5" i="8" s="1"/>
  <c r="F21" i="8" s="1"/>
  <c r="E54" i="8"/>
  <c r="E5" i="8" s="1"/>
  <c r="D54" i="8"/>
  <c r="C54" i="8"/>
  <c r="B54" i="8"/>
  <c r="Q53" i="8"/>
  <c r="P53" i="8"/>
  <c r="O53" i="8"/>
  <c r="N53" i="8"/>
  <c r="N43" i="7" s="1"/>
  <c r="M53" i="8"/>
  <c r="Q52" i="8"/>
  <c r="P52" i="8"/>
  <c r="P42" i="7" s="1"/>
  <c r="O52" i="8"/>
  <c r="O42" i="7" s="1"/>
  <c r="N52" i="8"/>
  <c r="N42" i="7" s="1"/>
  <c r="M52" i="8"/>
  <c r="M42" i="7" s="1"/>
  <c r="Q51" i="8"/>
  <c r="P51" i="8"/>
  <c r="O51" i="8"/>
  <c r="N51" i="8"/>
  <c r="M51" i="8"/>
  <c r="Q50" i="8"/>
  <c r="P50" i="8"/>
  <c r="O50" i="8"/>
  <c r="N50" i="8"/>
  <c r="M50" i="8"/>
  <c r="M162" i="8" s="1"/>
  <c r="Q49" i="8"/>
  <c r="P49" i="8"/>
  <c r="O49" i="8"/>
  <c r="N49" i="8"/>
  <c r="M49" i="8"/>
  <c r="Q48" i="8"/>
  <c r="P48" i="8"/>
  <c r="O48" i="8"/>
  <c r="O38" i="7" s="1"/>
  <c r="N48" i="8"/>
  <c r="N38" i="7" s="1"/>
  <c r="M48" i="8"/>
  <c r="M38" i="7" s="1"/>
  <c r="Q47" i="8"/>
  <c r="Q37" i="7" s="1"/>
  <c r="P47" i="8"/>
  <c r="P37" i="7" s="1"/>
  <c r="O47" i="8"/>
  <c r="O37" i="7" s="1"/>
  <c r="N47" i="8"/>
  <c r="M47" i="8"/>
  <c r="M37" i="7" s="1"/>
  <c r="Q46" i="8"/>
  <c r="Q36" i="7" s="1"/>
  <c r="P46" i="8"/>
  <c r="O46" i="8"/>
  <c r="N46" i="8"/>
  <c r="M46" i="8"/>
  <c r="Q45" i="8"/>
  <c r="P45" i="8"/>
  <c r="P35" i="7" s="1"/>
  <c r="O45" i="8"/>
  <c r="N45" i="8"/>
  <c r="N35" i="7" s="1"/>
  <c r="M45" i="8"/>
  <c r="R44" i="8"/>
  <c r="Q44" i="8"/>
  <c r="P44" i="8"/>
  <c r="O44" i="8"/>
  <c r="N44" i="8"/>
  <c r="M44" i="8"/>
  <c r="R43" i="8"/>
  <c r="Q43" i="8"/>
  <c r="P43" i="8"/>
  <c r="P33" i="7" s="1"/>
  <c r="O43" i="8"/>
  <c r="O33" i="7" s="1"/>
  <c r="N43" i="8"/>
  <c r="N33" i="7" s="1"/>
  <c r="M43" i="8"/>
  <c r="R42" i="8"/>
  <c r="Q42" i="8"/>
  <c r="P42" i="8"/>
  <c r="O42" i="8"/>
  <c r="N42" i="8"/>
  <c r="M42" i="8"/>
  <c r="AQ41" i="8"/>
  <c r="AP41" i="8"/>
  <c r="AO41" i="8"/>
  <c r="AN41" i="8"/>
  <c r="AM41" i="8"/>
  <c r="AL41" i="8"/>
  <c r="AK41" i="8"/>
  <c r="AJ41" i="8"/>
  <c r="AI41" i="8"/>
  <c r="AH41"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F41" i="8"/>
  <c r="E41" i="8"/>
  <c r="D41" i="8"/>
  <c r="C41" i="8"/>
  <c r="B41" i="8"/>
  <c r="AQ38" i="8"/>
  <c r="AE38" i="8"/>
  <c r="AD38" i="8"/>
  <c r="AC38" i="8"/>
  <c r="AB38" i="8"/>
  <c r="AA38" i="8"/>
  <c r="Z38" i="8"/>
  <c r="Y38" i="8"/>
  <c r="X38" i="8"/>
  <c r="W38" i="8"/>
  <c r="V38" i="8"/>
  <c r="U38" i="8"/>
  <c r="L38" i="8"/>
  <c r="Q37" i="8"/>
  <c r="P25" i="32" s="1"/>
  <c r="P37" i="8"/>
  <c r="O37" i="8"/>
  <c r="N37" i="8"/>
  <c r="M37" i="8"/>
  <c r="Q36" i="8"/>
  <c r="P24" i="32" s="1"/>
  <c r="P36" i="8"/>
  <c r="O24" i="32" s="1"/>
  <c r="O36" i="8"/>
  <c r="N24" i="32" s="1"/>
  <c r="N36" i="8"/>
  <c r="M24" i="32" s="1"/>
  <c r="M72" i="32" s="1"/>
  <c r="M36" i="8"/>
  <c r="L24" i="32" s="1"/>
  <c r="L72" i="32" s="1"/>
  <c r="Q35" i="8"/>
  <c r="P23" i="32" s="1"/>
  <c r="P35" i="8"/>
  <c r="O35" i="8"/>
  <c r="N35" i="8"/>
  <c r="M35" i="8"/>
  <c r="Q34" i="8"/>
  <c r="P34" i="8"/>
  <c r="O34" i="8"/>
  <c r="N34" i="8"/>
  <c r="M34" i="8"/>
  <c r="L22" i="32" s="1"/>
  <c r="L70" i="32" s="1"/>
  <c r="Q33" i="8"/>
  <c r="P21" i="32" s="1"/>
  <c r="P33" i="8"/>
  <c r="O21" i="32" s="1"/>
  <c r="O33" i="8"/>
  <c r="N21" i="32" s="1"/>
  <c r="N33" i="8"/>
  <c r="M21" i="32" s="1"/>
  <c r="M69" i="32" s="1"/>
  <c r="M33" i="8"/>
  <c r="L21" i="32" s="1"/>
  <c r="L69" i="32" s="1"/>
  <c r="Q32" i="8"/>
  <c r="Q80" i="8" s="1"/>
  <c r="P32" i="8"/>
  <c r="P80" i="8" s="1"/>
  <c r="O32" i="8"/>
  <c r="N20" i="32" s="1"/>
  <c r="N32" i="8"/>
  <c r="M20" i="32" s="1"/>
  <c r="M68" i="32" s="1"/>
  <c r="M32" i="8"/>
  <c r="Q31" i="8"/>
  <c r="P19" i="32" s="1"/>
  <c r="P31" i="8"/>
  <c r="O19" i="32" s="1"/>
  <c r="O31" i="8"/>
  <c r="N19" i="32" s="1"/>
  <c r="N31" i="8"/>
  <c r="M19" i="32" s="1"/>
  <c r="M67" i="32" s="1"/>
  <c r="M31" i="8"/>
  <c r="L19" i="32" s="1"/>
  <c r="L67" i="32" s="1"/>
  <c r="Q30" i="8"/>
  <c r="P30" i="8"/>
  <c r="O18" i="32" s="1"/>
  <c r="O30" i="8"/>
  <c r="N30" i="8"/>
  <c r="M18" i="32" s="1"/>
  <c r="M66" i="32" s="1"/>
  <c r="M30" i="8"/>
  <c r="L18" i="32" s="1"/>
  <c r="L66" i="32" s="1"/>
  <c r="Q29" i="8"/>
  <c r="P29" i="8"/>
  <c r="O29" i="8"/>
  <c r="N29" i="8"/>
  <c r="M17" i="32" s="1"/>
  <c r="M65" i="32" s="1"/>
  <c r="M29" i="8"/>
  <c r="L17" i="32" s="1"/>
  <c r="L65" i="32" s="1"/>
  <c r="Q28" i="8"/>
  <c r="P16" i="32" s="1"/>
  <c r="P28" i="8"/>
  <c r="O16" i="32" s="1"/>
  <c r="O28" i="8"/>
  <c r="N16" i="32" s="1"/>
  <c r="N28" i="8"/>
  <c r="M16" i="32" s="1"/>
  <c r="M64" i="32" s="1"/>
  <c r="M28" i="8"/>
  <c r="L16" i="32" s="1"/>
  <c r="L64" i="32" s="1"/>
  <c r="R27" i="8"/>
  <c r="Q15" i="32" s="1"/>
  <c r="Q27" i="8"/>
  <c r="P27" i="8"/>
  <c r="O27" i="8"/>
  <c r="N27" i="8"/>
  <c r="M27" i="8"/>
  <c r="R26" i="8"/>
  <c r="Q14" i="32" s="1"/>
  <c r="Q26" i="8"/>
  <c r="P14" i="32" s="1"/>
  <c r="P26" i="8"/>
  <c r="O14" i="32" s="1"/>
  <c r="O26" i="8"/>
  <c r="N14" i="32" s="1"/>
  <c r="N26" i="8"/>
  <c r="M14" i="32" s="1"/>
  <c r="M26" i="8"/>
  <c r="L14" i="32" s="1"/>
  <c r="AQ25" i="8"/>
  <c r="AP25" i="8"/>
  <c r="AO25" i="8"/>
  <c r="AN25" i="8"/>
  <c r="AM25" i="8"/>
  <c r="AL25" i="8"/>
  <c r="AK25" i="8"/>
  <c r="AJ25" i="8"/>
  <c r="AI25" i="8"/>
  <c r="AH25" i="8"/>
  <c r="AG25" i="8"/>
  <c r="AF25" i="8"/>
  <c r="AE25" i="8"/>
  <c r="AD25" i="8"/>
  <c r="AC25" i="8"/>
  <c r="AB25" i="8"/>
  <c r="AA25" i="8"/>
  <c r="Z25" i="8"/>
  <c r="Y25" i="8"/>
  <c r="X25" i="8"/>
  <c r="W25" i="8"/>
  <c r="V25" i="8"/>
  <c r="U25" i="8"/>
  <c r="T25" i="8"/>
  <c r="S25" i="8"/>
  <c r="R25" i="8"/>
  <c r="Q25" i="8"/>
  <c r="P25" i="8"/>
  <c r="O25" i="8"/>
  <c r="N25" i="8"/>
  <c r="M25" i="8"/>
  <c r="L25" i="8"/>
  <c r="K25" i="8"/>
  <c r="J25" i="8"/>
  <c r="I25" i="8"/>
  <c r="H25" i="8"/>
  <c r="G25" i="8"/>
  <c r="F25" i="8"/>
  <c r="E25" i="8"/>
  <c r="D25" i="8"/>
  <c r="C25" i="8"/>
  <c r="B25" i="8"/>
  <c r="R22" i="8"/>
  <c r="K22" i="8"/>
  <c r="J22" i="8"/>
  <c r="K23" i="8" s="1"/>
  <c r="I22" i="8"/>
  <c r="H22" i="8"/>
  <c r="I23" i="8" s="1"/>
  <c r="G22" i="8"/>
  <c r="H23" i="8" s="1"/>
  <c r="F22" i="8"/>
  <c r="G23" i="8" s="1"/>
  <c r="E22" i="8"/>
  <c r="E23" i="8" s="1"/>
  <c r="D22" i="8"/>
  <c r="C22" i="8"/>
  <c r="E21" i="8"/>
  <c r="D21" i="8"/>
  <c r="C21" i="8"/>
  <c r="AQ20" i="8"/>
  <c r="AP20" i="8"/>
  <c r="AO20" i="8"/>
  <c r="AN20" i="8"/>
  <c r="AM20" i="8"/>
  <c r="AL20" i="8"/>
  <c r="AK20" i="8"/>
  <c r="AJ20" i="8"/>
  <c r="AI20" i="8"/>
  <c r="AH20" i="8"/>
  <c r="AG20" i="8"/>
  <c r="AF20" i="8"/>
  <c r="AE20" i="8"/>
  <c r="AD20" i="8"/>
  <c r="AC20" i="8"/>
  <c r="AB20" i="8"/>
  <c r="AA20" i="8"/>
  <c r="Z20" i="8"/>
  <c r="Y20" i="8"/>
  <c r="X20" i="8"/>
  <c r="W20" i="8"/>
  <c r="V20" i="8"/>
  <c r="U20" i="8"/>
  <c r="T20" i="8"/>
  <c r="S20" i="8"/>
  <c r="R20" i="8"/>
  <c r="Q20" i="8"/>
  <c r="P20" i="8"/>
  <c r="O20" i="8"/>
  <c r="N20" i="8"/>
  <c r="M20" i="8"/>
  <c r="L20" i="8"/>
  <c r="K20" i="8"/>
  <c r="J20" i="8"/>
  <c r="I20" i="8"/>
  <c r="H20" i="8"/>
  <c r="G20" i="8"/>
  <c r="F20" i="8"/>
  <c r="E20" i="8"/>
  <c r="D20" i="8"/>
  <c r="C20" i="8"/>
  <c r="AQ16" i="8"/>
  <c r="AQ134" i="8" s="1"/>
  <c r="AP16" i="8"/>
  <c r="AP134" i="8" s="1"/>
  <c r="AO16" i="8"/>
  <c r="AO134" i="8" s="1"/>
  <c r="AN16" i="8"/>
  <c r="AN134" i="8" s="1"/>
  <c r="AM16" i="8"/>
  <c r="AM134" i="8" s="1"/>
  <c r="AL16" i="8"/>
  <c r="AL134" i="8" s="1"/>
  <c r="AK16" i="8"/>
  <c r="AK134" i="8" s="1"/>
  <c r="AJ16" i="8"/>
  <c r="AI16" i="8"/>
  <c r="AH16" i="8"/>
  <c r="AG16" i="8"/>
  <c r="AF16" i="8"/>
  <c r="AE16" i="8"/>
  <c r="AD16" i="8"/>
  <c r="AC16" i="8"/>
  <c r="AB16" i="8"/>
  <c r="AA16" i="8"/>
  <c r="Z16" i="8"/>
  <c r="Z134" i="8" s="1"/>
  <c r="Y16" i="8"/>
  <c r="Y134" i="8" s="1"/>
  <c r="X16" i="8"/>
  <c r="X134" i="8" s="1"/>
  <c r="W16" i="8"/>
  <c r="W134" i="8" s="1"/>
  <c r="V16" i="8"/>
  <c r="V134" i="8" s="1"/>
  <c r="U16" i="8"/>
  <c r="U134" i="8" s="1"/>
  <c r="T16" i="8"/>
  <c r="T134" i="8" s="1"/>
  <c r="S16" i="8"/>
  <c r="S134" i="8" s="1"/>
  <c r="R16" i="8"/>
  <c r="R134" i="8" s="1"/>
  <c r="AK11" i="8"/>
  <c r="Q10" i="8"/>
  <c r="O10" i="8"/>
  <c r="M10" i="8"/>
  <c r="N3" i="8" s="1"/>
  <c r="AB9" i="8"/>
  <c r="AB11" i="8" s="1"/>
  <c r="X9" i="8"/>
  <c r="L8" i="8"/>
  <c r="J8" i="8"/>
  <c r="I8" i="8"/>
  <c r="H8" i="8"/>
  <c r="G8" i="8"/>
  <c r="F8" i="8"/>
  <c r="E8" i="8"/>
  <c r="D8" i="8"/>
  <c r="C8" i="8"/>
  <c r="B8" i="8"/>
  <c r="X6" i="8"/>
  <c r="AO5" i="8"/>
  <c r="AO54" i="8" s="1"/>
  <c r="AN5" i="8"/>
  <c r="AN54" i="8" s="1"/>
  <c r="AM5" i="8"/>
  <c r="AM54" i="8" s="1"/>
  <c r="AK5" i="8"/>
  <c r="AK6" i="8" s="1"/>
  <c r="AK9" i="8" s="1"/>
  <c r="AE5" i="8"/>
  <c r="AE54" i="8" s="1"/>
  <c r="AD5" i="8"/>
  <c r="AD54" i="8" s="1"/>
  <c r="AC5" i="8"/>
  <c r="AC54" i="8" s="1"/>
  <c r="X5" i="8"/>
  <c r="X54" i="8" s="1"/>
  <c r="W5" i="8"/>
  <c r="W54" i="8" s="1"/>
  <c r="S5" i="8"/>
  <c r="S54" i="8" s="1"/>
  <c r="R5" i="8"/>
  <c r="R54" i="8" s="1"/>
  <c r="G5" i="8"/>
  <c r="G21" i="8" s="1"/>
  <c r="D5" i="8"/>
  <c r="C5" i="8"/>
  <c r="B5" i="8"/>
  <c r="AQ4" i="8"/>
  <c r="AQ5" i="8" s="1"/>
  <c r="AQ54" i="8" s="1"/>
  <c r="AP4" i="8"/>
  <c r="AP38" i="8" s="1"/>
  <c r="AO4" i="8"/>
  <c r="AO38" i="8" s="1"/>
  <c r="AN4" i="8"/>
  <c r="AN38" i="8" s="1"/>
  <c r="AM4" i="8"/>
  <c r="AM38" i="8" s="1"/>
  <c r="AL4" i="8"/>
  <c r="AK4" i="8"/>
  <c r="AK38" i="8" s="1"/>
  <c r="AJ4" i="8"/>
  <c r="AI4" i="8"/>
  <c r="AH4" i="8"/>
  <c r="AG4" i="8"/>
  <c r="AF4" i="8"/>
  <c r="AE4" i="8"/>
  <c r="AD4" i="8"/>
  <c r="AC4" i="8"/>
  <c r="AB4" i="8"/>
  <c r="AB5" i="8" s="1"/>
  <c r="AA4" i="8"/>
  <c r="AA5" i="8" s="1"/>
  <c r="AA54" i="8" s="1"/>
  <c r="Z4" i="8"/>
  <c r="Z5" i="8" s="1"/>
  <c r="Z54" i="8" s="1"/>
  <c r="Y4" i="8"/>
  <c r="Y5" i="8" s="1"/>
  <c r="Y54" i="8" s="1"/>
  <c r="X4" i="8"/>
  <c r="W4" i="8"/>
  <c r="V4" i="8"/>
  <c r="V5" i="8" s="1"/>
  <c r="V54" i="8" s="1"/>
  <c r="U4" i="8"/>
  <c r="U5" i="8" s="1"/>
  <c r="U54" i="8" s="1"/>
  <c r="T4" i="8"/>
  <c r="T38" i="8" s="1"/>
  <c r="S4" i="8"/>
  <c r="S38" i="8" s="1"/>
  <c r="R4" i="8"/>
  <c r="R38" i="8" s="1"/>
  <c r="L4" i="8"/>
  <c r="AQ3" i="8"/>
  <c r="AQ6" i="8" s="1"/>
  <c r="AQ9" i="8" s="1"/>
  <c r="AP3" i="8"/>
  <c r="AO3" i="8"/>
  <c r="AO6" i="8" s="1"/>
  <c r="AO9" i="8" s="1"/>
  <c r="AN3" i="8"/>
  <c r="AN6" i="8" s="1"/>
  <c r="AN9" i="8" s="1"/>
  <c r="AM3" i="8"/>
  <c r="AM6" i="8" s="1"/>
  <c r="AM9" i="8" s="1"/>
  <c r="AL3" i="8"/>
  <c r="AK3" i="8"/>
  <c r="AJ3" i="8"/>
  <c r="AI3" i="8"/>
  <c r="AH3" i="8"/>
  <c r="AG3" i="8"/>
  <c r="AF3" i="8"/>
  <c r="AE3" i="8"/>
  <c r="AD3" i="8"/>
  <c r="AC3" i="8"/>
  <c r="AB3" i="8"/>
  <c r="AB6" i="8" s="1"/>
  <c r="AA3" i="8"/>
  <c r="AA6" i="8" s="1"/>
  <c r="AA9" i="8" s="1"/>
  <c r="Z3" i="8"/>
  <c r="Z6" i="8" s="1"/>
  <c r="Z9" i="8" s="1"/>
  <c r="Y3" i="8"/>
  <c r="Y6" i="8" s="1"/>
  <c r="Y9" i="8" s="1"/>
  <c r="X3" i="8"/>
  <c r="W3" i="8"/>
  <c r="W6" i="8" s="1"/>
  <c r="W9" i="8" s="1"/>
  <c r="V3" i="8"/>
  <c r="V6" i="8" s="1"/>
  <c r="V9" i="8" s="1"/>
  <c r="U3" i="8"/>
  <c r="U6" i="8" s="1"/>
  <c r="U9" i="8" s="1"/>
  <c r="T3" i="8"/>
  <c r="S3" i="8"/>
  <c r="S6" i="8" s="1"/>
  <c r="S9" i="8" s="1"/>
  <c r="P3" i="8"/>
  <c r="Q123" i="7"/>
  <c r="P123" i="7"/>
  <c r="O123" i="7"/>
  <c r="N123" i="7"/>
  <c r="N12" i="7" s="1"/>
  <c r="O3" i="7" s="1"/>
  <c r="M123" i="7"/>
  <c r="Q122" i="7"/>
  <c r="P122" i="7"/>
  <c r="O122" i="7"/>
  <c r="N122" i="7"/>
  <c r="M122" i="7"/>
  <c r="M107" i="7" s="1"/>
  <c r="Q121" i="7"/>
  <c r="Q106" i="7" s="1"/>
  <c r="P121" i="7"/>
  <c r="P106" i="7" s="1"/>
  <c r="O121" i="7"/>
  <c r="N121" i="7"/>
  <c r="M121" i="7"/>
  <c r="Q120" i="7"/>
  <c r="P120" i="7"/>
  <c r="O120" i="7"/>
  <c r="N120" i="7"/>
  <c r="N104" i="7" s="1"/>
  <c r="M120" i="7"/>
  <c r="M104" i="7" s="1"/>
  <c r="Q119" i="7"/>
  <c r="Q104" i="7" s="1"/>
  <c r="P119" i="7"/>
  <c r="O119" i="7"/>
  <c r="N119" i="7"/>
  <c r="M119" i="7"/>
  <c r="Q118" i="7"/>
  <c r="P118" i="7"/>
  <c r="O118" i="7"/>
  <c r="N118" i="7"/>
  <c r="M118" i="7"/>
  <c r="Q117" i="7"/>
  <c r="Q102" i="7" s="1"/>
  <c r="P117" i="7"/>
  <c r="P102" i="7" s="1"/>
  <c r="O117" i="7"/>
  <c r="O102" i="7" s="1"/>
  <c r="N117" i="7"/>
  <c r="M117" i="7"/>
  <c r="Q116" i="7"/>
  <c r="Q101" i="7" s="1"/>
  <c r="P116" i="7"/>
  <c r="P101" i="7" s="1"/>
  <c r="O116" i="7"/>
  <c r="O100" i="7" s="1"/>
  <c r="N116" i="7"/>
  <c r="N101" i="7" s="1"/>
  <c r="M116" i="7"/>
  <c r="Q115" i="7"/>
  <c r="P115" i="7"/>
  <c r="P99" i="7" s="1"/>
  <c r="O115" i="7"/>
  <c r="N115" i="7"/>
  <c r="M115" i="7"/>
  <c r="Q114" i="7"/>
  <c r="P114" i="7"/>
  <c r="O114" i="7"/>
  <c r="N114" i="7"/>
  <c r="M114" i="7"/>
  <c r="R113" i="7"/>
  <c r="Q113" i="7"/>
  <c r="P113" i="7"/>
  <c r="P98" i="7" s="1"/>
  <c r="O113" i="7"/>
  <c r="N113" i="7"/>
  <c r="M113" i="7"/>
  <c r="R112" i="7"/>
  <c r="Q112" i="7"/>
  <c r="P112" i="7"/>
  <c r="P97" i="7" s="1"/>
  <c r="O112" i="7"/>
  <c r="O97" i="7" s="1"/>
  <c r="N112" i="7"/>
  <c r="N97" i="7" s="1"/>
  <c r="M112" i="7"/>
  <c r="M97" i="7" s="1"/>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Q107" i="7"/>
  <c r="P107" i="7"/>
  <c r="O107" i="7"/>
  <c r="N107" i="7"/>
  <c r="P103" i="7"/>
  <c r="O103" i="7"/>
  <c r="N103" i="7"/>
  <c r="O101" i="7"/>
  <c r="Q99"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R92" i="7"/>
  <c r="Q91" i="7"/>
  <c r="P91" i="7"/>
  <c r="O91" i="7"/>
  <c r="N91" i="7"/>
  <c r="M91" i="7"/>
  <c r="Q90" i="7"/>
  <c r="P90" i="7"/>
  <c r="O90" i="7"/>
  <c r="N90" i="7"/>
  <c r="M90" i="7"/>
  <c r="Q89" i="7"/>
  <c r="P89" i="7"/>
  <c r="O89" i="7"/>
  <c r="N89" i="7"/>
  <c r="M89" i="7"/>
  <c r="Q88" i="7"/>
  <c r="P88" i="7"/>
  <c r="O88" i="7"/>
  <c r="N88" i="7"/>
  <c r="M88" i="7"/>
  <c r="Q87" i="7"/>
  <c r="Q103" i="7" s="1"/>
  <c r="P87" i="7"/>
  <c r="R87" i="7" s="1"/>
  <c r="O87" i="7"/>
  <c r="N87" i="7"/>
  <c r="M87" i="7"/>
  <c r="Q86" i="7"/>
  <c r="P86" i="7"/>
  <c r="O86" i="7"/>
  <c r="N86" i="7"/>
  <c r="M86" i="7"/>
  <c r="Q85" i="7"/>
  <c r="P85" i="7"/>
  <c r="O85" i="7"/>
  <c r="N85" i="7"/>
  <c r="M85" i="7"/>
  <c r="Q84" i="7"/>
  <c r="P84" i="7"/>
  <c r="O84" i="7"/>
  <c r="N84" i="7"/>
  <c r="M84" i="7"/>
  <c r="Q83" i="7"/>
  <c r="P83" i="7"/>
  <c r="O83" i="7"/>
  <c r="N83" i="7"/>
  <c r="M83" i="7"/>
  <c r="Q82" i="7"/>
  <c r="P82" i="7"/>
  <c r="O82" i="7"/>
  <c r="N82" i="7"/>
  <c r="M82" i="7"/>
  <c r="R81" i="7"/>
  <c r="Q81" i="7"/>
  <c r="P81" i="7"/>
  <c r="P92" i="7" s="1"/>
  <c r="P9" i="7" s="1"/>
  <c r="O81" i="7"/>
  <c r="N81" i="7"/>
  <c r="M81" i="7"/>
  <c r="M92" i="7" s="1"/>
  <c r="M9" i="7" s="1"/>
  <c r="R80" i="7"/>
  <c r="Q80" i="7"/>
  <c r="Q92" i="7" s="1"/>
  <c r="P80" i="7"/>
  <c r="O80" i="7"/>
  <c r="O92" i="7" s="1"/>
  <c r="O9" i="7" s="1"/>
  <c r="N80" i="7"/>
  <c r="N92" i="7" s="1"/>
  <c r="N9" i="7" s="1"/>
  <c r="M80" i="7"/>
  <c r="AI79" i="7"/>
  <c r="AH79" i="7"/>
  <c r="AG79" i="7"/>
  <c r="AF79" i="7"/>
  <c r="AE79" i="7"/>
  <c r="AD79" i="7"/>
  <c r="AC79" i="7"/>
  <c r="AB79" i="7"/>
  <c r="AA79" i="7"/>
  <c r="Z79" i="7"/>
  <c r="Y79" i="7"/>
  <c r="X79" i="7"/>
  <c r="W79" i="7"/>
  <c r="V79" i="7"/>
  <c r="U79" i="7"/>
  <c r="T79" i="7"/>
  <c r="S79" i="7"/>
  <c r="R79" i="7"/>
  <c r="Q79" i="7"/>
  <c r="P79" i="7"/>
  <c r="O79" i="7"/>
  <c r="N79" i="7"/>
  <c r="M79" i="7"/>
  <c r="L79" i="7"/>
  <c r="K79" i="7"/>
  <c r="J79" i="7"/>
  <c r="I79" i="7"/>
  <c r="H79" i="7"/>
  <c r="G79" i="7"/>
  <c r="F79" i="7"/>
  <c r="E79" i="7"/>
  <c r="D79" i="7"/>
  <c r="C79" i="7"/>
  <c r="B79" i="7"/>
  <c r="R76" i="7"/>
  <c r="Q75" i="7"/>
  <c r="P75" i="7"/>
  <c r="O75" i="7"/>
  <c r="N75" i="7"/>
  <c r="M75" i="7"/>
  <c r="Q74" i="7"/>
  <c r="P74" i="7"/>
  <c r="O74" i="7"/>
  <c r="N74" i="7"/>
  <c r="M74" i="7"/>
  <c r="Q73" i="7"/>
  <c r="P73" i="7"/>
  <c r="O73" i="7"/>
  <c r="N73" i="7"/>
  <c r="M73" i="7"/>
  <c r="Q72" i="7"/>
  <c r="P72" i="7"/>
  <c r="O72" i="7"/>
  <c r="N72" i="7"/>
  <c r="M72" i="7"/>
  <c r="Q71" i="7"/>
  <c r="P71" i="7"/>
  <c r="O71" i="7"/>
  <c r="N71" i="7"/>
  <c r="M71" i="7"/>
  <c r="Q70" i="7"/>
  <c r="P70" i="7"/>
  <c r="O70" i="7"/>
  <c r="N70" i="7"/>
  <c r="M70" i="7"/>
  <c r="Q69" i="7"/>
  <c r="P69" i="7"/>
  <c r="O69" i="7"/>
  <c r="N69" i="7"/>
  <c r="M69" i="7"/>
  <c r="Q68" i="7"/>
  <c r="P68" i="7"/>
  <c r="O68" i="7"/>
  <c r="N68" i="7"/>
  <c r="M68" i="7"/>
  <c r="Q67" i="7"/>
  <c r="P67" i="7"/>
  <c r="O67" i="7"/>
  <c r="N67" i="7"/>
  <c r="M67" i="7"/>
  <c r="Q66" i="7"/>
  <c r="P66" i="7"/>
  <c r="O66" i="7"/>
  <c r="N66" i="7"/>
  <c r="M66" i="7"/>
  <c r="R65" i="7"/>
  <c r="Q65" i="7"/>
  <c r="P65" i="7"/>
  <c r="O65" i="7"/>
  <c r="N65" i="7"/>
  <c r="M65" i="7"/>
  <c r="R64" i="7"/>
  <c r="R96" i="7" s="1"/>
  <c r="Q64" i="7"/>
  <c r="P64" i="7"/>
  <c r="P76" i="7" s="1"/>
  <c r="P7" i="7" s="1"/>
  <c r="O64" i="7"/>
  <c r="N64" i="7"/>
  <c r="M64" i="7"/>
  <c r="AI63" i="7"/>
  <c r="AH63" i="7"/>
  <c r="AG63" i="7"/>
  <c r="AF63" i="7"/>
  <c r="AE63" i="7"/>
  <c r="AD63" i="7"/>
  <c r="AC63" i="7"/>
  <c r="AB63" i="7"/>
  <c r="AA63" i="7"/>
  <c r="Z63" i="7"/>
  <c r="Y63" i="7"/>
  <c r="X63" i="7"/>
  <c r="W63" i="7"/>
  <c r="V63" i="7"/>
  <c r="U63" i="7"/>
  <c r="T63" i="7"/>
  <c r="S63" i="7"/>
  <c r="R63" i="7"/>
  <c r="Q63" i="7"/>
  <c r="P63" i="7"/>
  <c r="O63" i="7"/>
  <c r="N63" i="7"/>
  <c r="M63" i="7"/>
  <c r="L63" i="7"/>
  <c r="K63" i="7"/>
  <c r="J63" i="7"/>
  <c r="I63" i="7"/>
  <c r="H63" i="7"/>
  <c r="G63" i="7"/>
  <c r="F63" i="7"/>
  <c r="E63" i="7"/>
  <c r="D63" i="7"/>
  <c r="C63" i="7"/>
  <c r="B63" i="7"/>
  <c r="O59" i="7"/>
  <c r="N59" i="7"/>
  <c r="N56" i="7"/>
  <c r="P55" i="7"/>
  <c r="O55" i="7"/>
  <c r="N55" i="7"/>
  <c r="M55" i="7"/>
  <c r="P54" i="7"/>
  <c r="O54" i="7"/>
  <c r="N54" i="7"/>
  <c r="O51" i="7"/>
  <c r="N51" i="7"/>
  <c r="M51" i="7"/>
  <c r="Q50" i="7"/>
  <c r="P50" i="7"/>
  <c r="O50" i="7"/>
  <c r="N50" i="7"/>
  <c r="Q49" i="7"/>
  <c r="Q48" i="7"/>
  <c r="P48" i="7"/>
  <c r="AI47" i="7"/>
  <c r="AH47" i="7"/>
  <c r="AG47" i="7"/>
  <c r="AF47" i="7"/>
  <c r="AE47" i="7"/>
  <c r="AD47" i="7"/>
  <c r="AC47" i="7"/>
  <c r="AB47" i="7"/>
  <c r="AA47" i="7"/>
  <c r="Z47" i="7"/>
  <c r="Y47" i="7"/>
  <c r="X47" i="7"/>
  <c r="W47" i="7"/>
  <c r="V47" i="7"/>
  <c r="U47" i="7"/>
  <c r="T47" i="7"/>
  <c r="S47" i="7"/>
  <c r="R47" i="7"/>
  <c r="Q47" i="7"/>
  <c r="P47" i="7"/>
  <c r="O47" i="7"/>
  <c r="N47" i="7"/>
  <c r="M47" i="7"/>
  <c r="L47" i="7"/>
  <c r="K47" i="7"/>
  <c r="J47" i="7"/>
  <c r="I47" i="7"/>
  <c r="H47" i="7"/>
  <c r="G47" i="7"/>
  <c r="F47" i="7"/>
  <c r="E47" i="7"/>
  <c r="D47" i="7"/>
  <c r="C47" i="7"/>
  <c r="B47" i="7"/>
  <c r="O43" i="7"/>
  <c r="P41" i="7"/>
  <c r="O41" i="7"/>
  <c r="N41" i="7"/>
  <c r="M41" i="7"/>
  <c r="O40" i="7"/>
  <c r="N40" i="7"/>
  <c r="M40" i="7"/>
  <c r="P39" i="7"/>
  <c r="O39" i="7"/>
  <c r="N39" i="7"/>
  <c r="M39" i="7"/>
  <c r="P38" i="7"/>
  <c r="P36" i="7"/>
  <c r="O36" i="7"/>
  <c r="N36" i="7"/>
  <c r="M36" i="7"/>
  <c r="Q35" i="7"/>
  <c r="M35" i="7"/>
  <c r="Q34" i="7"/>
  <c r="P34" i="7"/>
  <c r="O34" i="7"/>
  <c r="N34" i="7"/>
  <c r="M34" i="7"/>
  <c r="Q33" i="7"/>
  <c r="M32"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E31" i="7"/>
  <c r="D31" i="7"/>
  <c r="C31" i="7"/>
  <c r="B31" i="7"/>
  <c r="R28" i="7"/>
  <c r="Q27" i="7"/>
  <c r="P27" i="7"/>
  <c r="O27" i="7"/>
  <c r="N27" i="7"/>
  <c r="M27" i="7"/>
  <c r="Q26" i="7"/>
  <c r="P26" i="7"/>
  <c r="O26" i="7"/>
  <c r="N26" i="7"/>
  <c r="M26" i="7"/>
  <c r="Q25" i="7"/>
  <c r="P25" i="7"/>
  <c r="O25" i="7"/>
  <c r="N25" i="7"/>
  <c r="M25" i="7"/>
  <c r="Q24" i="7"/>
  <c r="P24" i="7"/>
  <c r="O24" i="7"/>
  <c r="N24" i="7"/>
  <c r="M24" i="7"/>
  <c r="Q23" i="7"/>
  <c r="P23" i="7"/>
  <c r="O23" i="7"/>
  <c r="N23" i="7"/>
  <c r="M23" i="7"/>
  <c r="Q22" i="7"/>
  <c r="P22" i="7"/>
  <c r="O22" i="7"/>
  <c r="N22" i="7"/>
  <c r="M22" i="7"/>
  <c r="Q21" i="7"/>
  <c r="P21" i="7"/>
  <c r="O21" i="7"/>
  <c r="N21" i="7"/>
  <c r="M21" i="7"/>
  <c r="Q20" i="7"/>
  <c r="P20" i="7"/>
  <c r="O20" i="7"/>
  <c r="N20" i="7"/>
  <c r="M20" i="7"/>
  <c r="Q19" i="7"/>
  <c r="P19" i="7"/>
  <c r="O19" i="7"/>
  <c r="O99" i="7" s="1"/>
  <c r="N19" i="7"/>
  <c r="N99" i="7" s="1"/>
  <c r="M19" i="7"/>
  <c r="M99" i="7" s="1"/>
  <c r="Q18" i="7"/>
  <c r="Q98" i="7" s="1"/>
  <c r="P18" i="7"/>
  <c r="O18" i="7"/>
  <c r="N18" i="7"/>
  <c r="M18" i="7"/>
  <c r="R17" i="7"/>
  <c r="Q17" i="7"/>
  <c r="P17" i="7"/>
  <c r="O17" i="7"/>
  <c r="N17" i="7"/>
  <c r="M17" i="7"/>
  <c r="R16" i="7"/>
  <c r="Q16" i="7"/>
  <c r="P16" i="7"/>
  <c r="O16" i="7"/>
  <c r="N16" i="7"/>
  <c r="M16" i="7"/>
  <c r="AI15" i="7"/>
  <c r="AH15" i="7"/>
  <c r="AG15" i="7"/>
  <c r="AF15" i="7"/>
  <c r="AE15" i="7"/>
  <c r="AD15" i="7"/>
  <c r="AC15" i="7"/>
  <c r="AB15" i="7"/>
  <c r="AA15" i="7"/>
  <c r="Z15" i="7"/>
  <c r="Y15" i="7"/>
  <c r="X15" i="7"/>
  <c r="W15" i="7"/>
  <c r="V15" i="7"/>
  <c r="U15" i="7"/>
  <c r="T15" i="7"/>
  <c r="S15" i="7"/>
  <c r="R15" i="7"/>
  <c r="Q15" i="7"/>
  <c r="P15" i="7"/>
  <c r="O15" i="7"/>
  <c r="N15" i="7"/>
  <c r="M15" i="7"/>
  <c r="L15" i="7"/>
  <c r="K15" i="7"/>
  <c r="J15" i="7"/>
  <c r="I15" i="7"/>
  <c r="H15" i="7"/>
  <c r="G15" i="7"/>
  <c r="F15" i="7"/>
  <c r="E15" i="7"/>
  <c r="D15" i="7"/>
  <c r="C15" i="7"/>
  <c r="B15" i="7"/>
  <c r="P12" i="7"/>
  <c r="O12" i="7"/>
  <c r="M12" i="7"/>
  <c r="Q6" i="7"/>
  <c r="Q11" i="7" s="1"/>
  <c r="Q7" i="7" s="1"/>
  <c r="L6" i="7"/>
  <c r="K6" i="7"/>
  <c r="J6" i="7"/>
  <c r="I6" i="7"/>
  <c r="H6" i="7"/>
  <c r="G6" i="7"/>
  <c r="F6" i="7"/>
  <c r="E6" i="7"/>
  <c r="D6" i="7"/>
  <c r="C6" i="7"/>
  <c r="R3" i="7"/>
  <c r="R6" i="7" s="1"/>
  <c r="R11" i="7" s="1"/>
  <c r="R7" i="7" s="1"/>
  <c r="Q3" i="7"/>
  <c r="P3" i="7"/>
  <c r="N3" i="7"/>
  <c r="U46" i="6"/>
  <c r="U45" i="6"/>
  <c r="U44" i="6"/>
  <c r="U43" i="6"/>
  <c r="U42" i="6"/>
  <c r="U41" i="6"/>
  <c r="U40" i="6"/>
  <c r="Y37" i="6"/>
  <c r="Y36" i="6"/>
  <c r="Y35" i="6"/>
  <c r="Y34" i="6"/>
  <c r="Y33" i="6"/>
  <c r="Y32" i="6"/>
  <c r="Y31" i="6"/>
  <c r="Y30" i="6"/>
  <c r="Y29" i="6"/>
  <c r="Y28" i="6"/>
  <c r="Y27" i="6"/>
  <c r="Y26" i="6"/>
  <c r="Y25" i="6"/>
  <c r="Y24" i="6"/>
  <c r="Y23" i="6"/>
  <c r="Y22" i="6"/>
  <c r="Y21" i="6"/>
  <c r="Y20" i="6"/>
  <c r="Y19" i="6"/>
  <c r="Y18" i="6"/>
  <c r="Y17" i="6"/>
  <c r="Y16" i="6"/>
  <c r="Y15" i="6"/>
  <c r="Y14" i="6"/>
  <c r="Y13" i="6"/>
  <c r="Y12" i="6"/>
  <c r="Y11" i="6"/>
  <c r="Y10" i="6"/>
  <c r="Y9" i="6"/>
  <c r="Y8" i="6"/>
  <c r="Y7" i="6"/>
  <c r="Y6" i="6"/>
  <c r="Y5" i="6"/>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V11" i="8" l="1"/>
  <c r="AB180" i="9"/>
  <c r="AA180" i="9"/>
  <c r="AG180" i="9" s="1"/>
  <c r="AH180" i="9" s="1"/>
  <c r="AK180" i="9" s="1"/>
  <c r="W11" i="8"/>
  <c r="M13" i="8"/>
  <c r="AB215" i="9"/>
  <c r="AA200" i="9"/>
  <c r="AG200" i="9" s="1"/>
  <c r="AH200" i="9" s="1"/>
  <c r="AK200" i="9" s="1"/>
  <c r="Y200" i="9"/>
  <c r="AA215" i="9"/>
  <c r="Y215" i="9"/>
  <c r="AB358" i="9"/>
  <c r="Z11" i="8"/>
  <c r="AC152" i="9"/>
  <c r="AA358" i="9"/>
  <c r="R25" i="7"/>
  <c r="AC170" i="9"/>
  <c r="O13" i="8"/>
  <c r="Y11" i="8"/>
  <c r="AB307" i="9"/>
  <c r="AA308" i="9"/>
  <c r="Y308" i="9"/>
  <c r="Y212" i="9"/>
  <c r="AA212" i="9" s="1"/>
  <c r="AB390" i="9"/>
  <c r="AA390" i="9"/>
  <c r="R108" i="8"/>
  <c r="AA327" i="9"/>
  <c r="Y327" i="9"/>
  <c r="Y237" i="9"/>
  <c r="AA237" i="9" s="1"/>
  <c r="AA425" i="9"/>
  <c r="S11" i="8"/>
  <c r="AB275" i="9"/>
  <c r="AC180" i="9"/>
  <c r="Y234" i="9"/>
  <c r="AC275" i="9"/>
  <c r="Y325" i="9"/>
  <c r="AB325" i="9" s="1"/>
  <c r="AS61" i="12"/>
  <c r="AA510" i="9"/>
  <c r="Y510" i="9"/>
  <c r="AC415" i="9"/>
  <c r="Y189" i="9"/>
  <c r="AB400" i="9"/>
  <c r="AC189" i="9"/>
  <c r="Y309" i="9"/>
  <c r="AG38" i="8"/>
  <c r="AG5" i="8"/>
  <c r="AA297" i="9"/>
  <c r="Y297" i="9"/>
  <c r="P222" i="9"/>
  <c r="P155" i="8"/>
  <c r="AN173" i="9"/>
  <c r="AO173" i="9" s="1"/>
  <c r="S173" i="9"/>
  <c r="T173" i="9" s="1"/>
  <c r="AC288" i="9"/>
  <c r="V503" i="9"/>
  <c r="V150" i="9"/>
  <c r="P302" i="9"/>
  <c r="W302" i="9"/>
  <c r="AA406" i="9"/>
  <c r="Y406" i="9"/>
  <c r="AC406" i="9" s="1"/>
  <c r="Y136" i="9"/>
  <c r="AA136" i="9"/>
  <c r="AC172" i="9"/>
  <c r="AC202" i="9"/>
  <c r="W270" i="9"/>
  <c r="P270" i="9"/>
  <c r="W452" i="9"/>
  <c r="P452" i="9"/>
  <c r="P252" i="9"/>
  <c r="V385" i="9"/>
  <c r="AA172" i="9"/>
  <c r="AG172" i="9" s="1"/>
  <c r="AH172" i="9" s="1"/>
  <c r="AK172" i="9" s="1"/>
  <c r="N106" i="7"/>
  <c r="AA266" i="9"/>
  <c r="AB312" i="9"/>
  <c r="M33" i="7"/>
  <c r="M44" i="7" s="1"/>
  <c r="M5" i="7" s="1"/>
  <c r="M54" i="8"/>
  <c r="M5" i="8" s="1"/>
  <c r="P70" i="8"/>
  <c r="P8" i="8" s="1"/>
  <c r="Y251" i="9"/>
  <c r="AB308" i="9"/>
  <c r="Y358" i="9"/>
  <c r="AC358" i="9" s="1"/>
  <c r="P84" i="8"/>
  <c r="P164" i="8"/>
  <c r="Y216" i="9"/>
  <c r="O3" i="8"/>
  <c r="Y153" i="9"/>
  <c r="V174" i="9"/>
  <c r="P253" i="9"/>
  <c r="W253" i="9"/>
  <c r="W484" i="9"/>
  <c r="M96" i="7"/>
  <c r="O98" i="7"/>
  <c r="M22" i="32"/>
  <c r="M70" i="32" s="1"/>
  <c r="N82" i="8"/>
  <c r="R159" i="9"/>
  <c r="N162" i="8"/>
  <c r="P158" i="8"/>
  <c r="T151" i="9"/>
  <c r="Y182" i="9"/>
  <c r="P215" i="9"/>
  <c r="Y219" i="9"/>
  <c r="V240" i="9"/>
  <c r="AA249" i="9"/>
  <c r="V268" i="9"/>
  <c r="W276" i="9"/>
  <c r="W283" i="9"/>
  <c r="P283" i="9"/>
  <c r="V285" i="9"/>
  <c r="Y307" i="9"/>
  <c r="V314" i="9"/>
  <c r="AT47" i="12"/>
  <c r="AT44" i="12"/>
  <c r="AT46" i="12"/>
  <c r="AQ86" i="12"/>
  <c r="AQ90" i="12" s="1"/>
  <c r="I197" i="12"/>
  <c r="I72" i="12"/>
  <c r="AC191" i="9"/>
  <c r="AB232" i="9"/>
  <c r="AL15" i="16"/>
  <c r="V140" i="9"/>
  <c r="AC239" i="9"/>
  <c r="V357" i="9"/>
  <c r="Y202" i="9"/>
  <c r="AA202" i="9"/>
  <c r="AC297" i="9"/>
  <c r="M100" i="7"/>
  <c r="M101" i="7"/>
  <c r="T136" i="9"/>
  <c r="AB202" i="9"/>
  <c r="R22" i="7"/>
  <c r="AA485" i="9"/>
  <c r="Y485" i="9"/>
  <c r="AC485" i="9" s="1"/>
  <c r="X11" i="8"/>
  <c r="AA196" i="9"/>
  <c r="AG196" i="9" s="1"/>
  <c r="AH196" i="9" s="1"/>
  <c r="Y196" i="9"/>
  <c r="P285" i="9"/>
  <c r="W285" i="9"/>
  <c r="AA207" i="9"/>
  <c r="Y207" i="9"/>
  <c r="AB207" i="9" s="1"/>
  <c r="W254" i="9"/>
  <c r="P310" i="9"/>
  <c r="W403" i="9"/>
  <c r="P403" i="9"/>
  <c r="N98" i="7"/>
  <c r="AA137" i="9"/>
  <c r="Y137" i="9"/>
  <c r="AC137" i="9" s="1"/>
  <c r="P142" i="9"/>
  <c r="W142" i="9"/>
  <c r="N22" i="32"/>
  <c r="O82" i="8"/>
  <c r="O162" i="8"/>
  <c r="R171" i="9"/>
  <c r="Q158" i="8"/>
  <c r="V148" i="9"/>
  <c r="Y152" i="9"/>
  <c r="AA152" i="9" s="1"/>
  <c r="AG152" i="9" s="1"/>
  <c r="AH152" i="9" s="1"/>
  <c r="AK152" i="9" s="1"/>
  <c r="T153" i="9"/>
  <c r="R155" i="9"/>
  <c r="R179" i="9"/>
  <c r="V181" i="9"/>
  <c r="T194" i="9"/>
  <c r="AB249" i="9"/>
  <c r="Y264" i="9"/>
  <c r="V280" i="9"/>
  <c r="Y408" i="9"/>
  <c r="W434" i="9"/>
  <c r="P434" i="9"/>
  <c r="Y481" i="9"/>
  <c r="AC481" i="9" s="1"/>
  <c r="W506" i="9"/>
  <c r="P506" i="9"/>
  <c r="P509" i="9"/>
  <c r="AU47" i="12"/>
  <c r="AU46" i="12"/>
  <c r="AR86" i="12"/>
  <c r="J197" i="12"/>
  <c r="J73" i="12"/>
  <c r="M23" i="32"/>
  <c r="M71" i="32" s="1"/>
  <c r="R160" i="9"/>
  <c r="N83" i="8"/>
  <c r="P257" i="9"/>
  <c r="AL38" i="8"/>
  <c r="AL5" i="8"/>
  <c r="S145" i="9"/>
  <c r="T145" i="9" s="1"/>
  <c r="AC198" i="9"/>
  <c r="Y241" i="9"/>
  <c r="AB241" i="9" s="1"/>
  <c r="V296" i="9"/>
  <c r="O84" i="8"/>
  <c r="P246" i="9"/>
  <c r="W246" i="9"/>
  <c r="V155" i="9"/>
  <c r="V330" i="9"/>
  <c r="N96" i="7"/>
  <c r="O96" i="7"/>
  <c r="AC154" i="9"/>
  <c r="V158" i="9"/>
  <c r="AC182" i="9"/>
  <c r="V217" i="9"/>
  <c r="P229" i="9"/>
  <c r="W229" i="9"/>
  <c r="W237" i="9"/>
  <c r="Y239" i="9"/>
  <c r="AB239" i="9" s="1"/>
  <c r="V246" i="9"/>
  <c r="AC249" i="9"/>
  <c r="P284" i="9"/>
  <c r="AB293" i="9"/>
  <c r="V294" i="9"/>
  <c r="AA295" i="9"/>
  <c r="Y295" i="9"/>
  <c r="AB295" i="9" s="1"/>
  <c r="P301" i="9"/>
  <c r="AA310" i="9"/>
  <c r="Y310" i="9"/>
  <c r="AB310" i="9" s="1"/>
  <c r="AC312" i="9"/>
  <c r="Y349" i="9"/>
  <c r="AB349" i="9" s="1"/>
  <c r="AA349" i="9"/>
  <c r="Y396" i="9"/>
  <c r="AA396" i="9" s="1"/>
  <c r="V401" i="9"/>
  <c r="W447" i="9"/>
  <c r="P447" i="9"/>
  <c r="AR57" i="12"/>
  <c r="M58" i="7"/>
  <c r="BP141" i="22"/>
  <c r="AA173" i="9"/>
  <c r="AG173" i="9" s="1"/>
  <c r="AH173" i="9" s="1"/>
  <c r="Y173" i="9"/>
  <c r="Y222" i="9"/>
  <c r="AB222" i="9" s="1"/>
  <c r="L17" i="12"/>
  <c r="N180" i="12"/>
  <c r="V214" i="9"/>
  <c r="U11" i="8"/>
  <c r="Y171" i="9"/>
  <c r="AC210" i="9"/>
  <c r="AC271" i="9"/>
  <c r="Q28" i="7"/>
  <c r="AJ38" i="8"/>
  <c r="AJ5" i="8"/>
  <c r="AJ54" i="8" s="1"/>
  <c r="AB161" i="9"/>
  <c r="S198" i="9"/>
  <c r="T198" i="9" s="1"/>
  <c r="Y425" i="9"/>
  <c r="AC425" i="9" s="1"/>
  <c r="F64" i="16"/>
  <c r="AA256" i="9"/>
  <c r="AB256" i="9"/>
  <c r="V277" i="9"/>
  <c r="Q70" i="8"/>
  <c r="Q8" i="8" s="1"/>
  <c r="R8" i="8" s="1"/>
  <c r="P444" i="9"/>
  <c r="W444" i="9"/>
  <c r="P482" i="9"/>
  <c r="V281" i="9"/>
  <c r="P281" i="9"/>
  <c r="P472" i="9"/>
  <c r="P96" i="7"/>
  <c r="M156" i="8"/>
  <c r="M76" i="8"/>
  <c r="Y154" i="9"/>
  <c r="V165" i="9"/>
  <c r="V243" i="9"/>
  <c r="P262" i="9"/>
  <c r="W298" i="9"/>
  <c r="P298" i="9"/>
  <c r="AA329" i="9"/>
  <c r="W363" i="9"/>
  <c r="P363" i="9"/>
  <c r="AB396" i="9"/>
  <c r="AB398" i="9"/>
  <c r="Y410" i="9"/>
  <c r="AC410" i="9" s="1"/>
  <c r="AA471" i="9"/>
  <c r="Y471" i="9"/>
  <c r="AS57" i="12"/>
  <c r="N58" i="7"/>
  <c r="AC240" i="12"/>
  <c r="AC241" i="12" s="1"/>
  <c r="AO11" i="8"/>
  <c r="W361" i="9"/>
  <c r="P361" i="9"/>
  <c r="I66" i="12"/>
  <c r="I8" i="12" s="1"/>
  <c r="I107" i="12" s="1"/>
  <c r="M48" i="7"/>
  <c r="M60" i="7" s="1"/>
  <c r="M8" i="7" s="1"/>
  <c r="AR54" i="12"/>
  <c r="AA257" i="9"/>
  <c r="Y257" i="9"/>
  <c r="AC257" i="9" s="1"/>
  <c r="AB271" i="9"/>
  <c r="V166" i="9"/>
  <c r="L6" i="8"/>
  <c r="L21" i="8"/>
  <c r="L22" i="8"/>
  <c r="L23" i="8" s="1"/>
  <c r="AB172" i="9"/>
  <c r="V429" i="9"/>
  <c r="AC464" i="9"/>
  <c r="P105" i="7"/>
  <c r="P104" i="7"/>
  <c r="AA146" i="9"/>
  <c r="AG146" i="9" s="1"/>
  <c r="AH146" i="9" s="1"/>
  <c r="AK146" i="9" s="1"/>
  <c r="AA252" i="9"/>
  <c r="Y252" i="9"/>
  <c r="P290" i="9"/>
  <c r="W290" i="9"/>
  <c r="AB136" i="9"/>
  <c r="AA198" i="9"/>
  <c r="AG198" i="9" s="1"/>
  <c r="AH198" i="9" s="1"/>
  <c r="AC266" i="9"/>
  <c r="V220" i="9"/>
  <c r="V324" i="9"/>
  <c r="Y344" i="9"/>
  <c r="AA344" i="9" s="1"/>
  <c r="Y496" i="9"/>
  <c r="W205" i="9"/>
  <c r="P205" i="9"/>
  <c r="K75" i="12"/>
  <c r="R234" i="22"/>
  <c r="S234" i="22"/>
  <c r="AA11" i="8"/>
  <c r="P158" i="9"/>
  <c r="W158" i="9"/>
  <c r="Y256" i="9"/>
  <c r="P368" i="9"/>
  <c r="W368" i="9"/>
  <c r="AA415" i="9"/>
  <c r="N102" i="7"/>
  <c r="W394" i="9"/>
  <c r="P394" i="9"/>
  <c r="W462" i="9"/>
  <c r="P462" i="9"/>
  <c r="N17" i="32"/>
  <c r="R166" i="9"/>
  <c r="O77" i="8"/>
  <c r="N156" i="8"/>
  <c r="N76" i="8"/>
  <c r="V133" i="9"/>
  <c r="W138" i="9"/>
  <c r="P138" i="9"/>
  <c r="T138" i="9" s="1"/>
  <c r="V142" i="9"/>
  <c r="V168" i="9"/>
  <c r="S181" i="9"/>
  <c r="T181" i="9" s="1"/>
  <c r="Y185" i="9"/>
  <c r="W259" i="9"/>
  <c r="W265" i="9"/>
  <c r="P265" i="9"/>
  <c r="P276" i="9"/>
  <c r="W291" i="9"/>
  <c r="AA293" i="9"/>
  <c r="Y293" i="9"/>
  <c r="Y300" i="9"/>
  <c r="W305" i="9"/>
  <c r="V328" i="9"/>
  <c r="AB329" i="9"/>
  <c r="AA337" i="9"/>
  <c r="P339" i="9"/>
  <c r="W339" i="9"/>
  <c r="P345" i="9"/>
  <c r="AB354" i="9"/>
  <c r="P378" i="9"/>
  <c r="W378" i="9"/>
  <c r="AC398" i="9"/>
  <c r="Y447" i="9"/>
  <c r="Y470" i="9"/>
  <c r="AA470" i="9" s="1"/>
  <c r="AB471" i="9"/>
  <c r="L16" i="27"/>
  <c r="U149" i="22"/>
  <c r="I205" i="12"/>
  <c r="AR25" i="12"/>
  <c r="L80" i="12"/>
  <c r="L204" i="12"/>
  <c r="AD240" i="12"/>
  <c r="AD241" i="12" s="1"/>
  <c r="AB210" i="9"/>
  <c r="P382" i="9"/>
  <c r="AS54" i="12"/>
  <c r="AS58" i="12" s="1"/>
  <c r="N48" i="7"/>
  <c r="F105" i="12"/>
  <c r="F216" i="12"/>
  <c r="D64" i="16"/>
  <c r="AM15" i="16"/>
  <c r="S169" i="9"/>
  <c r="T169" i="9" s="1"/>
  <c r="AB449" i="9"/>
  <c r="H102" i="12"/>
  <c r="H213" i="12"/>
  <c r="K6" i="8"/>
  <c r="K21" i="8"/>
  <c r="W186" i="9"/>
  <c r="P186" i="9"/>
  <c r="AB146" i="9"/>
  <c r="AB425" i="9"/>
  <c r="V466" i="9"/>
  <c r="AB200" i="9"/>
  <c r="AB342" i="9"/>
  <c r="AR73" i="12"/>
  <c r="Q97" i="7"/>
  <c r="Q96" i="7"/>
  <c r="Q108" i="7" s="1"/>
  <c r="N100" i="7"/>
  <c r="O17" i="32"/>
  <c r="R178" i="9"/>
  <c r="P77" i="8"/>
  <c r="L25" i="32"/>
  <c r="L73" i="32" s="1"/>
  <c r="R150" i="9"/>
  <c r="O156" i="8"/>
  <c r="O76" i="8"/>
  <c r="N157" i="8"/>
  <c r="T133" i="9"/>
  <c r="AA161" i="9"/>
  <c r="AG161" i="9" s="1"/>
  <c r="AH161" i="9" s="1"/>
  <c r="Y161" i="9"/>
  <c r="AC161" i="9" s="1"/>
  <c r="P189" i="9"/>
  <c r="V192" i="9"/>
  <c r="P195" i="9"/>
  <c r="W195" i="9"/>
  <c r="AC215" i="9"/>
  <c r="Y229" i="9"/>
  <c r="AC308" i="9"/>
  <c r="P313" i="9"/>
  <c r="P316" i="9"/>
  <c r="W324" i="9"/>
  <c r="Y326" i="9"/>
  <c r="AC329" i="9"/>
  <c r="V336" i="9"/>
  <c r="AB337" i="9"/>
  <c r="P367" i="9"/>
  <c r="X367" i="9"/>
  <c r="Y373" i="9"/>
  <c r="P413" i="9"/>
  <c r="W413" i="9"/>
  <c r="AC471" i="9"/>
  <c r="AU57" i="12"/>
  <c r="P58" i="7"/>
  <c r="P15" i="32"/>
  <c r="R188" i="9"/>
  <c r="Q155" i="8"/>
  <c r="Q75" i="8"/>
  <c r="AA271" i="9"/>
  <c r="AC383" i="9"/>
  <c r="V405" i="9"/>
  <c r="AI38" i="8"/>
  <c r="AI5" i="8"/>
  <c r="AI54" i="8" s="1"/>
  <c r="Y371" i="9"/>
  <c r="AB406" i="9"/>
  <c r="Y423" i="9"/>
  <c r="AB423" i="9" s="1"/>
  <c r="J6" i="8"/>
  <c r="J21" i="8"/>
  <c r="AA346" i="9"/>
  <c r="V176" i="9"/>
  <c r="P231" i="9"/>
  <c r="W231" i="9"/>
  <c r="W287" i="9"/>
  <c r="P287" i="9"/>
  <c r="Y320" i="9"/>
  <c r="AA320" i="9" s="1"/>
  <c r="AB415" i="9"/>
  <c r="AB196" i="9"/>
  <c r="R35" i="8"/>
  <c r="R32" i="8"/>
  <c r="R29" i="8"/>
  <c r="N84" i="8"/>
  <c r="AC342" i="9"/>
  <c r="AC379" i="9"/>
  <c r="AB137" i="9"/>
  <c r="W315" i="9"/>
  <c r="P315" i="9"/>
  <c r="Y483" i="9"/>
  <c r="AA483" i="9" s="1"/>
  <c r="P85" i="8"/>
  <c r="Y156" i="9"/>
  <c r="AC156" i="9" s="1"/>
  <c r="V204" i="9"/>
  <c r="V263" i="9"/>
  <c r="W501" i="9"/>
  <c r="P501" i="9"/>
  <c r="O35" i="7"/>
  <c r="V364" i="9"/>
  <c r="Y494" i="9"/>
  <c r="AC494" i="9" s="1"/>
  <c r="M76" i="7"/>
  <c r="P17" i="32"/>
  <c r="Q77" i="8"/>
  <c r="R190" i="9"/>
  <c r="M25" i="32"/>
  <c r="M73" i="32" s="1"/>
  <c r="R162" i="9"/>
  <c r="O157" i="8"/>
  <c r="Y127" i="9"/>
  <c r="AA127" i="9"/>
  <c r="P161" i="9"/>
  <c r="T161" i="9" s="1"/>
  <c r="W236" i="9"/>
  <c r="P237" i="9"/>
  <c r="W282" i="9"/>
  <c r="P282" i="9"/>
  <c r="AA303" i="9"/>
  <c r="Y303" i="9"/>
  <c r="P319" i="9"/>
  <c r="W319" i="9"/>
  <c r="P327" i="9"/>
  <c r="Y329" i="9"/>
  <c r="AC337" i="9"/>
  <c r="W347" i="9"/>
  <c r="V348" i="9"/>
  <c r="V351" i="9"/>
  <c r="P371" i="9"/>
  <c r="AA411" i="9"/>
  <c r="Y411" i="9"/>
  <c r="AB411" i="9" s="1"/>
  <c r="Y437" i="9"/>
  <c r="V441" i="9"/>
  <c r="AA170" i="9"/>
  <c r="AG170" i="9" s="1"/>
  <c r="AH170" i="9" s="1"/>
  <c r="V178" i="9"/>
  <c r="AB297" i="9"/>
  <c r="Y342" i="9"/>
  <c r="AA342" i="9" s="1"/>
  <c r="P200" i="9"/>
  <c r="M77" i="8"/>
  <c r="M157" i="8"/>
  <c r="AA131" i="9"/>
  <c r="T147" i="9"/>
  <c r="V145" i="9"/>
  <c r="Q105" i="7"/>
  <c r="AC136" i="9"/>
  <c r="AC196" i="9"/>
  <c r="AC256" i="9"/>
  <c r="W336" i="9"/>
  <c r="P336" i="9"/>
  <c r="W374" i="9"/>
  <c r="P374" i="9"/>
  <c r="P422" i="9"/>
  <c r="W422" i="9"/>
  <c r="AS39" i="12"/>
  <c r="N134" i="8"/>
  <c r="N16" i="8" s="1"/>
  <c r="N76" i="7"/>
  <c r="N7" i="7" s="1"/>
  <c r="P100" i="7"/>
  <c r="L15" i="32"/>
  <c r="L63" i="32" s="1"/>
  <c r="R140" i="9"/>
  <c r="M75" i="8"/>
  <c r="M155" i="8"/>
  <c r="N25" i="32"/>
  <c r="R174" i="9"/>
  <c r="O165" i="8"/>
  <c r="P157" i="8"/>
  <c r="M160" i="8"/>
  <c r="W132" i="9"/>
  <c r="P132" i="9"/>
  <c r="Y164" i="9"/>
  <c r="AB164" i="9" s="1"/>
  <c r="AA164" i="9"/>
  <c r="AG164" i="9" s="1"/>
  <c r="AH164" i="9" s="1"/>
  <c r="P178" i="9"/>
  <c r="S189" i="9"/>
  <c r="V190" i="9"/>
  <c r="W206" i="9"/>
  <c r="P214" i="9"/>
  <c r="W214" i="9"/>
  <c r="W216" i="9"/>
  <c r="P216" i="9"/>
  <c r="V223" i="9"/>
  <c r="V226" i="9"/>
  <c r="Y227" i="9"/>
  <c r="AA227" i="9" s="1"/>
  <c r="P245" i="9"/>
  <c r="AA259" i="9"/>
  <c r="Y259" i="9"/>
  <c r="Y278" i="9"/>
  <c r="P279" i="9"/>
  <c r="AB303" i="9"/>
  <c r="P307" i="9"/>
  <c r="Y337" i="9"/>
  <c r="AA354" i="9"/>
  <c r="Y354" i="9"/>
  <c r="AC354" i="9" s="1"/>
  <c r="Y369" i="9"/>
  <c r="AB369" i="9" s="1"/>
  <c r="AA400" i="9"/>
  <c r="Y400" i="9"/>
  <c r="Y427" i="9"/>
  <c r="Y459" i="9"/>
  <c r="AC470" i="9"/>
  <c r="Y130" i="9"/>
  <c r="AC327" i="9"/>
  <c r="W353" i="9"/>
  <c r="P353" i="9"/>
  <c r="BP174" i="22"/>
  <c r="H6" i="8"/>
  <c r="H21" i="8"/>
  <c r="P173" i="9"/>
  <c r="AB288" i="9"/>
  <c r="AC349" i="9"/>
  <c r="P342" i="9"/>
  <c r="O105" i="7"/>
  <c r="O104" i="7"/>
  <c r="N18" i="32"/>
  <c r="R167" i="9"/>
  <c r="AN200" i="9"/>
  <c r="S200" i="9"/>
  <c r="T200" i="9" s="1"/>
  <c r="Y224" i="9"/>
  <c r="AB224" i="9" s="1"/>
  <c r="V476" i="9"/>
  <c r="S143" i="9"/>
  <c r="T143" i="9" s="1"/>
  <c r="AB266" i="9"/>
  <c r="M70" i="8"/>
  <c r="M8" i="8" s="1"/>
  <c r="AC200" i="9"/>
  <c r="AA381" i="9"/>
  <c r="V463" i="9"/>
  <c r="V489" i="9"/>
  <c r="V353" i="9"/>
  <c r="Y472" i="9"/>
  <c r="V499" i="9"/>
  <c r="O158" i="8"/>
  <c r="Q84" i="8"/>
  <c r="Q100" i="7"/>
  <c r="M15" i="32"/>
  <c r="M63" i="32" s="1"/>
  <c r="R152" i="9"/>
  <c r="N75" i="8"/>
  <c r="N155" i="8"/>
  <c r="O25" i="32"/>
  <c r="R186" i="9"/>
  <c r="M163" i="8"/>
  <c r="Q157" i="8"/>
  <c r="T127" i="9"/>
  <c r="AA132" i="9"/>
  <c r="Y132" i="9"/>
  <c r="AC132" i="9" s="1"/>
  <c r="P145" i="9"/>
  <c r="W162" i="9"/>
  <c r="W179" i="9"/>
  <c r="AA187" i="9"/>
  <c r="AG187" i="9" s="1"/>
  <c r="AH187" i="9" s="1"/>
  <c r="Y187" i="9"/>
  <c r="V203" i="9"/>
  <c r="AC207" i="9"/>
  <c r="W234" i="9"/>
  <c r="P242" i="9"/>
  <c r="Y289" i="9"/>
  <c r="AA289" i="9" s="1"/>
  <c r="AC295" i="9"/>
  <c r="AC303" i="9"/>
  <c r="AB313" i="9"/>
  <c r="V352" i="9"/>
  <c r="P357" i="9"/>
  <c r="W357" i="9"/>
  <c r="P409" i="9"/>
  <c r="P425" i="9"/>
  <c r="AA469" i="9"/>
  <c r="P493" i="9"/>
  <c r="W493" i="9"/>
  <c r="I201" i="12"/>
  <c r="I77" i="12"/>
  <c r="AC224" i="9"/>
  <c r="N23" i="32"/>
  <c r="R172" i="9"/>
  <c r="Q163" i="8"/>
  <c r="Q83" i="8"/>
  <c r="O23" i="32"/>
  <c r="R184" i="9"/>
  <c r="P83" i="8"/>
  <c r="I6" i="8"/>
  <c r="I21" i="8"/>
  <c r="M81" i="8"/>
  <c r="E64" i="16"/>
  <c r="AN15" i="16"/>
  <c r="D23" i="8"/>
  <c r="AA144" i="9"/>
  <c r="AG144" i="9" s="1"/>
  <c r="AH144" i="9" s="1"/>
  <c r="AK144" i="9" s="1"/>
  <c r="V193" i="9"/>
  <c r="Y312" i="9"/>
  <c r="AA312" i="9" s="1"/>
  <c r="V261" i="9"/>
  <c r="P261" i="9"/>
  <c r="V311" i="9"/>
  <c r="AC483" i="9"/>
  <c r="N158" i="8"/>
  <c r="AC6" i="8"/>
  <c r="AC9" i="8" s="1"/>
  <c r="AB152" i="9"/>
  <c r="Y179" i="9"/>
  <c r="AA179" i="9" s="1"/>
  <c r="AG179" i="9" s="1"/>
  <c r="AH179" i="9" s="1"/>
  <c r="V317" i="9"/>
  <c r="R88" i="7"/>
  <c r="AM11" i="8"/>
  <c r="F23" i="8"/>
  <c r="N15" i="32"/>
  <c r="R164" i="9"/>
  <c r="O79" i="8"/>
  <c r="O159" i="8"/>
  <c r="N163" i="8"/>
  <c r="N164" i="8"/>
  <c r="AB127" i="9"/>
  <c r="P150" i="9"/>
  <c r="W150" i="9"/>
  <c r="Y162" i="9"/>
  <c r="AC164" i="9"/>
  <c r="P167" i="9"/>
  <c r="AB187" i="9"/>
  <c r="Y191" i="9"/>
  <c r="AA191" i="9"/>
  <c r="AG191" i="9" s="1"/>
  <c r="AH191" i="9" s="1"/>
  <c r="AK191" i="9" s="1"/>
  <c r="P228" i="9"/>
  <c r="V242" i="9"/>
  <c r="AB244" i="9"/>
  <c r="W273" i="9"/>
  <c r="W322" i="9"/>
  <c r="V347" i="9"/>
  <c r="AC369" i="9"/>
  <c r="V376" i="9"/>
  <c r="P376" i="9"/>
  <c r="AC390" i="9"/>
  <c r="P399" i="9"/>
  <c r="W412" i="9"/>
  <c r="P412" i="9"/>
  <c r="W446" i="9"/>
  <c r="P446" i="9"/>
  <c r="AC461" i="9"/>
  <c r="AB469" i="9"/>
  <c r="L57" i="12"/>
  <c r="L156" i="12"/>
  <c r="L157" i="12" s="1"/>
  <c r="D230" i="12"/>
  <c r="D234" i="12"/>
  <c r="D231" i="12"/>
  <c r="D229" i="12"/>
  <c r="D232" i="12"/>
  <c r="Q79" i="8"/>
  <c r="Q86" i="8" s="1"/>
  <c r="Q159" i="8"/>
  <c r="Y210" i="9"/>
  <c r="AA210" i="9"/>
  <c r="Y313" i="9"/>
  <c r="AH38" i="8"/>
  <c r="AH5" i="8"/>
  <c r="AC325" i="9"/>
  <c r="V334" i="9"/>
  <c r="V363" i="9"/>
  <c r="AQ11" i="8"/>
  <c r="Y201" i="9"/>
  <c r="Y258" i="9"/>
  <c r="Y286" i="9"/>
  <c r="AC286" i="9" s="1"/>
  <c r="AA420" i="9"/>
  <c r="Y420" i="9"/>
  <c r="V493" i="9"/>
  <c r="AT54" i="12"/>
  <c r="AT58" i="12" s="1"/>
  <c r="O48" i="7"/>
  <c r="O60" i="7" s="1"/>
  <c r="O8" i="7" s="1"/>
  <c r="G105" i="12"/>
  <c r="G216" i="12"/>
  <c r="Y170" i="9"/>
  <c r="AB170" i="9" s="1"/>
  <c r="AB381" i="9"/>
  <c r="V432" i="9"/>
  <c r="W491" i="9"/>
  <c r="P491" i="9"/>
  <c r="AR56" i="12"/>
  <c r="P18" i="32"/>
  <c r="R191" i="9"/>
  <c r="V135" i="9"/>
  <c r="V331" i="9"/>
  <c r="AA379" i="9"/>
  <c r="Y379" i="9"/>
  <c r="AB379" i="9" s="1"/>
  <c r="M106" i="7"/>
  <c r="M105" i="7"/>
  <c r="M84" i="8"/>
  <c r="AC146" i="9"/>
  <c r="AB320" i="9"/>
  <c r="W360" i="9"/>
  <c r="P360" i="9"/>
  <c r="W424" i="9"/>
  <c r="P424" i="9"/>
  <c r="AT62" i="12"/>
  <c r="AT63" i="12"/>
  <c r="K66" i="12"/>
  <c r="K8" i="12" s="1"/>
  <c r="K107" i="12" s="1"/>
  <c r="V160" i="9"/>
  <c r="Y198" i="9"/>
  <c r="AB198" i="9" s="1"/>
  <c r="V299" i="9"/>
  <c r="AC320" i="9"/>
  <c r="V454" i="9"/>
  <c r="V302" i="9"/>
  <c r="V451" i="9"/>
  <c r="Y482" i="9"/>
  <c r="V488" i="9"/>
  <c r="M98" i="7"/>
  <c r="AB156" i="9"/>
  <c r="P168" i="9"/>
  <c r="W168" i="9"/>
  <c r="Q76" i="7"/>
  <c r="R83" i="7"/>
  <c r="AN11" i="8"/>
  <c r="AF38" i="8"/>
  <c r="AF5" i="8"/>
  <c r="O15" i="32"/>
  <c r="R176" i="9"/>
  <c r="P38" i="8"/>
  <c r="P4" i="8" s="1"/>
  <c r="L23" i="32"/>
  <c r="L71" i="32" s="1"/>
  <c r="R148" i="9"/>
  <c r="M83" i="8"/>
  <c r="N78" i="8"/>
  <c r="N86" i="8" s="1"/>
  <c r="P79" i="8"/>
  <c r="P159" i="8"/>
  <c r="O163" i="8"/>
  <c r="O83" i="8"/>
  <c r="O164" i="8"/>
  <c r="AC127" i="9"/>
  <c r="T132" i="9"/>
  <c r="P157" i="9"/>
  <c r="T163" i="9"/>
  <c r="P176" i="9"/>
  <c r="W176" i="9"/>
  <c r="AC187" i="9"/>
  <c r="AB191" i="9"/>
  <c r="W208" i="9"/>
  <c r="P212" i="9"/>
  <c r="V221" i="9"/>
  <c r="Y232" i="9"/>
  <c r="AA232" i="9" s="1"/>
  <c r="W242" i="9"/>
  <c r="W248" i="9"/>
  <c r="P248" i="9"/>
  <c r="W304" i="9"/>
  <c r="P304" i="9"/>
  <c r="AB327" i="9"/>
  <c r="W332" i="9"/>
  <c r="P332" i="9"/>
  <c r="P335" i="9"/>
  <c r="W366" i="9"/>
  <c r="AB383" i="9"/>
  <c r="W409" i="9"/>
  <c r="W435" i="9"/>
  <c r="AC469" i="9"/>
  <c r="AV55" i="12"/>
  <c r="AV61" i="12" s="1"/>
  <c r="E230" i="12"/>
  <c r="E234" i="12"/>
  <c r="E231" i="12"/>
  <c r="E229" i="12"/>
  <c r="E232" i="12"/>
  <c r="V473" i="9"/>
  <c r="AV47" i="12"/>
  <c r="AV46" i="12"/>
  <c r="AU62" i="12"/>
  <c r="AU63" i="12"/>
  <c r="AS73" i="12"/>
  <c r="J201" i="12"/>
  <c r="J206" i="12" s="1"/>
  <c r="J77" i="12"/>
  <c r="J200" i="12"/>
  <c r="I308" i="12"/>
  <c r="I250" i="12"/>
  <c r="I253" i="12" s="1"/>
  <c r="R97" i="7"/>
  <c r="M102" i="7"/>
  <c r="O106" i="7"/>
  <c r="M43" i="7"/>
  <c r="O74" i="8"/>
  <c r="Q85" i="8"/>
  <c r="P163" i="8"/>
  <c r="P134" i="8"/>
  <c r="R128" i="8" s="1"/>
  <c r="W129" i="9"/>
  <c r="P160" i="9"/>
  <c r="V163" i="9"/>
  <c r="W177" i="9"/>
  <c r="W197" i="9"/>
  <c r="P197" i="9"/>
  <c r="V218" i="9"/>
  <c r="W230" i="9"/>
  <c r="AC232" i="9"/>
  <c r="V238" i="9"/>
  <c r="P251" i="9"/>
  <c r="V260" i="9"/>
  <c r="P268" i="9"/>
  <c r="V274" i="9"/>
  <c r="V291" i="9"/>
  <c r="W316" i="9"/>
  <c r="W333" i="9"/>
  <c r="P341" i="9"/>
  <c r="W380" i="9"/>
  <c r="P380" i="9"/>
  <c r="AC381" i="9"/>
  <c r="P384" i="9"/>
  <c r="W388" i="9"/>
  <c r="P415" i="9"/>
  <c r="P432" i="9"/>
  <c r="W432" i="9"/>
  <c r="AC433" i="9"/>
  <c r="P454" i="9"/>
  <c r="W454" i="9"/>
  <c r="W479" i="9"/>
  <c r="Y486" i="9"/>
  <c r="AV62" i="12"/>
  <c r="AV63" i="12"/>
  <c r="AS55" i="12"/>
  <c r="AS60" i="12" s="1"/>
  <c r="N53" i="7"/>
  <c r="B58" i="18"/>
  <c r="B50" i="16"/>
  <c r="O22" i="32"/>
  <c r="P82" i="8"/>
  <c r="W153" i="9"/>
  <c r="V183" i="9"/>
  <c r="V206" i="9"/>
  <c r="W235" i="9"/>
  <c r="V248" i="9"/>
  <c r="V265" i="9"/>
  <c r="V279" i="9"/>
  <c r="W284" i="9"/>
  <c r="W326" i="9"/>
  <c r="P326" i="9"/>
  <c r="V350" i="9"/>
  <c r="AC396" i="9"/>
  <c r="AC400" i="9"/>
  <c r="AA458" i="9"/>
  <c r="Y458" i="9"/>
  <c r="AC458" i="9" s="1"/>
  <c r="AB510" i="9"/>
  <c r="AD11" i="28"/>
  <c r="J117" i="12"/>
  <c r="M16" i="27"/>
  <c r="U161" i="22"/>
  <c r="J81" i="12"/>
  <c r="C107" i="16"/>
  <c r="BP161" i="22" s="1"/>
  <c r="J205" i="12"/>
  <c r="AQ44" i="12"/>
  <c r="AQ45" i="12"/>
  <c r="B69" i="16"/>
  <c r="R133" i="8"/>
  <c r="AC179" i="9"/>
  <c r="W255" i="9"/>
  <c r="AE6" i="8"/>
  <c r="AE9" i="8" s="1"/>
  <c r="P22" i="32"/>
  <c r="Q82" i="8"/>
  <c r="R195" i="9"/>
  <c r="N32" i="7"/>
  <c r="N44" i="7" s="1"/>
  <c r="N5" i="7" s="1"/>
  <c r="N54" i="8"/>
  <c r="Q156" i="8"/>
  <c r="O161" i="8"/>
  <c r="O160" i="8"/>
  <c r="V129" i="9"/>
  <c r="W131" i="9"/>
  <c r="P154" i="9"/>
  <c r="V157" i="9"/>
  <c r="W171" i="9"/>
  <c r="V186" i="9"/>
  <c r="V209" i="9"/>
  <c r="V211" i="9"/>
  <c r="P219" i="9"/>
  <c r="AC237" i="9"/>
  <c r="W250" i="9"/>
  <c r="W267" i="9"/>
  <c r="P275" i="9"/>
  <c r="W292" i="9"/>
  <c r="P292" i="9"/>
  <c r="W309" i="9"/>
  <c r="P309" i="9"/>
  <c r="AC310" i="9"/>
  <c r="V316" i="9"/>
  <c r="V333" i="9"/>
  <c r="P346" i="9"/>
  <c r="V375" i="9"/>
  <c r="AA507" i="9"/>
  <c r="AC510" i="9"/>
  <c r="AE11" i="28"/>
  <c r="K117" i="12"/>
  <c r="AS25" i="12"/>
  <c r="M78" i="12"/>
  <c r="L38" i="12"/>
  <c r="L140" i="12"/>
  <c r="K78" i="12"/>
  <c r="V134" i="9"/>
  <c r="AJ144" i="9"/>
  <c r="V184" i="9"/>
  <c r="P40" i="7"/>
  <c r="J23" i="8"/>
  <c r="O54" i="8"/>
  <c r="T134" i="9"/>
  <c r="W145" i="9"/>
  <c r="T165" i="9"/>
  <c r="P172" i="9"/>
  <c r="V175" i="9"/>
  <c r="AJ180" i="9"/>
  <c r="R183" i="9"/>
  <c r="P191" i="9"/>
  <c r="V194" i="9"/>
  <c r="V195" i="9"/>
  <c r="AJ200" i="9"/>
  <c r="V225" i="9"/>
  <c r="P244" i="9"/>
  <c r="V262" i="9"/>
  <c r="AB264" i="9"/>
  <c r="P272" i="9"/>
  <c r="AC293" i="9"/>
  <c r="P300" i="9"/>
  <c r="V319" i="9"/>
  <c r="V321" i="9"/>
  <c r="W345" i="9"/>
  <c r="W384" i="9"/>
  <c r="W386" i="9"/>
  <c r="P386" i="9"/>
  <c r="P406" i="9"/>
  <c r="V409" i="9"/>
  <c r="X411" i="9"/>
  <c r="P411" i="9"/>
  <c r="V422" i="9"/>
  <c r="P431" i="9"/>
  <c r="Y462" i="9"/>
  <c r="AC462" i="9" s="1"/>
  <c r="Y467" i="9"/>
  <c r="W490" i="9"/>
  <c r="P490" i="9"/>
  <c r="W497" i="9"/>
  <c r="V509" i="9"/>
  <c r="AR38" i="12"/>
  <c r="I50" i="12"/>
  <c r="R217" i="12"/>
  <c r="S210" i="12" s="1"/>
  <c r="S102" i="12"/>
  <c r="B6" i="13"/>
  <c r="G40" i="13"/>
  <c r="G39" i="13"/>
  <c r="T165" i="24"/>
  <c r="U165" i="24"/>
  <c r="P156" i="8"/>
  <c r="Q134" i="8"/>
  <c r="Q16" i="8" s="1"/>
  <c r="T192" i="9"/>
  <c r="L20" i="32"/>
  <c r="M80" i="8"/>
  <c r="P32" i="7"/>
  <c r="P44" i="7" s="1"/>
  <c r="P5" i="7" s="1"/>
  <c r="P54" i="8"/>
  <c r="P5" i="8" s="1"/>
  <c r="O75" i="8"/>
  <c r="Y131" i="9"/>
  <c r="AC131" i="9" s="1"/>
  <c r="P136" i="9"/>
  <c r="S139" i="9"/>
  <c r="T139" i="9" s="1"/>
  <c r="P146" i="9"/>
  <c r="V149" i="9"/>
  <c r="R157" i="9"/>
  <c r="W163" i="9"/>
  <c r="V197" i="9"/>
  <c r="P202" i="9"/>
  <c r="V208" i="9"/>
  <c r="W238" i="9"/>
  <c r="P238" i="9"/>
  <c r="V245" i="9"/>
  <c r="W247" i="9"/>
  <c r="P258" i="9"/>
  <c r="W274" i="9"/>
  <c r="V282" i="9"/>
  <c r="P289" i="9"/>
  <c r="P329" i="9"/>
  <c r="V356" i="9"/>
  <c r="W359" i="9"/>
  <c r="V367" i="9"/>
  <c r="V393" i="9"/>
  <c r="P428" i="9"/>
  <c r="Y440" i="9"/>
  <c r="AB440" i="9" s="1"/>
  <c r="V442" i="9"/>
  <c r="P442" i="9"/>
  <c r="W450" i="9"/>
  <c r="P453" i="9"/>
  <c r="V460" i="9"/>
  <c r="AB464" i="9"/>
  <c r="P469" i="9"/>
  <c r="P475" i="9"/>
  <c r="V477" i="9"/>
  <c r="P487" i="9"/>
  <c r="N225" i="12"/>
  <c r="E107" i="16"/>
  <c r="BP185" i="22" s="1"/>
  <c r="E103" i="16"/>
  <c r="BP181" i="22" s="1"/>
  <c r="C103" i="16"/>
  <c r="BP157" i="22" s="1"/>
  <c r="I156" i="12"/>
  <c r="J156" i="12"/>
  <c r="Q167" i="22"/>
  <c r="AD6" i="8"/>
  <c r="AD9" i="8" s="1"/>
  <c r="N161" i="8"/>
  <c r="V139" i="9"/>
  <c r="P180" i="9"/>
  <c r="M103" i="7"/>
  <c r="P10" i="8"/>
  <c r="Q32" i="7"/>
  <c r="Q54" i="8"/>
  <c r="Q5" i="8" s="1"/>
  <c r="P75" i="8"/>
  <c r="N80" i="8"/>
  <c r="P74" i="8"/>
  <c r="P164" i="9"/>
  <c r="V167" i="9"/>
  <c r="AJ172" i="9"/>
  <c r="W181" i="9"/>
  <c r="W221" i="9"/>
  <c r="P221" i="9"/>
  <c r="P227" i="9"/>
  <c r="V228" i="9"/>
  <c r="W257" i="9"/>
  <c r="P295" i="9"/>
  <c r="P312" i="9"/>
  <c r="V318" i="9"/>
  <c r="V335" i="9"/>
  <c r="W362" i="9"/>
  <c r="V378" i="9"/>
  <c r="P387" i="9"/>
  <c r="W391" i="9"/>
  <c r="V403" i="9"/>
  <c r="P408" i="9"/>
  <c r="P440" i="9"/>
  <c r="AB457" i="9"/>
  <c r="P465" i="9"/>
  <c r="AB470" i="9"/>
  <c r="W474" i="9"/>
  <c r="J196" i="12"/>
  <c r="J72" i="12"/>
  <c r="C35" i="16"/>
  <c r="C65" i="18"/>
  <c r="W428" i="9"/>
  <c r="AC430" i="9"/>
  <c r="V439" i="9"/>
  <c r="AC457" i="9"/>
  <c r="W478" i="9"/>
  <c r="P478" i="9"/>
  <c r="L5" i="27"/>
  <c r="U138" i="22"/>
  <c r="I34" i="12"/>
  <c r="H323" i="12" s="1"/>
  <c r="AR22" i="12"/>
  <c r="AR26" i="12" s="1"/>
  <c r="H234" i="12"/>
  <c r="Q159" i="24"/>
  <c r="S161" i="22"/>
  <c r="O76" i="7"/>
  <c r="O7" i="7" s="1"/>
  <c r="M85" i="8"/>
  <c r="P190" i="9"/>
  <c r="AJ191" i="9"/>
  <c r="V231" i="9"/>
  <c r="AC259" i="9"/>
  <c r="V270" i="9"/>
  <c r="V301" i="9"/>
  <c r="W306" i="9"/>
  <c r="W348" i="9"/>
  <c r="P348" i="9"/>
  <c r="Y365" i="9"/>
  <c r="V366" i="9"/>
  <c r="Y384" i="9"/>
  <c r="AJ6" i="8"/>
  <c r="AJ9" i="8" s="1"/>
  <c r="S122" i="8"/>
  <c r="O20" i="32"/>
  <c r="O26" i="32" s="1"/>
  <c r="P160" i="8"/>
  <c r="S42" i="8"/>
  <c r="R155" i="8"/>
  <c r="N85" i="8"/>
  <c r="R74" i="8"/>
  <c r="N150" i="8"/>
  <c r="N17" i="8" s="1"/>
  <c r="Q150" i="8"/>
  <c r="Q17" i="8" s="1"/>
  <c r="W130" i="9"/>
  <c r="P130" i="9"/>
  <c r="T130" i="9" s="1"/>
  <c r="S149" i="9"/>
  <c r="T149" i="9" s="1"/>
  <c r="P156" i="9"/>
  <c r="V159" i="9"/>
  <c r="W173" i="9"/>
  <c r="V188" i="9"/>
  <c r="V247" i="9"/>
  <c r="W272" i="9"/>
  <c r="W289" i="9"/>
  <c r="P297" i="9"/>
  <c r="W314" i="9"/>
  <c r="P314" i="9"/>
  <c r="W331" i="9"/>
  <c r="P331" i="9"/>
  <c r="V338" i="9"/>
  <c r="V359" i="9"/>
  <c r="V370" i="9"/>
  <c r="P373" i="9"/>
  <c r="P395" i="9"/>
  <c r="W395" i="9"/>
  <c r="V418" i="9"/>
  <c r="V450" i="9"/>
  <c r="Y455" i="9"/>
  <c r="AA464" i="9"/>
  <c r="Y464" i="9"/>
  <c r="W468" i="9"/>
  <c r="P468" i="9"/>
  <c r="W475" i="9"/>
  <c r="AA508" i="9"/>
  <c r="M5" i="27"/>
  <c r="M17" i="27" s="1"/>
  <c r="U150" i="22"/>
  <c r="J34" i="12"/>
  <c r="AS22" i="12"/>
  <c r="M72" i="12"/>
  <c r="AV54" i="12"/>
  <c r="M66" i="12"/>
  <c r="M8" i="12" s="1"/>
  <c r="U159" i="24"/>
  <c r="T159" i="24"/>
  <c r="R84" i="7"/>
  <c r="O80" i="8"/>
  <c r="M150" i="8"/>
  <c r="M17" i="8" s="1"/>
  <c r="V128" i="9"/>
  <c r="AA138" i="9"/>
  <c r="Y138" i="9"/>
  <c r="AC138" i="9" s="1"/>
  <c r="W204" i="9"/>
  <c r="P204" i="9"/>
  <c r="V233" i="9"/>
  <c r="W277" i="9"/>
  <c r="V287" i="9"/>
  <c r="AA315" i="9"/>
  <c r="M28" i="7"/>
  <c r="P20" i="32"/>
  <c r="P26" i="32" s="1"/>
  <c r="R193" i="9"/>
  <c r="Q160" i="8"/>
  <c r="O150" i="8"/>
  <c r="O17" i="8" s="1"/>
  <c r="R141" i="9"/>
  <c r="W147" i="9"/>
  <c r="AC173" i="9"/>
  <c r="P174" i="9"/>
  <c r="V177" i="9"/>
  <c r="W192" i="9"/>
  <c r="P193" i="9"/>
  <c r="P201" i="9"/>
  <c r="P224" i="9"/>
  <c r="V230" i="9"/>
  <c r="W260" i="9"/>
  <c r="P260" i="9"/>
  <c r="V284" i="9"/>
  <c r="W286" i="9"/>
  <c r="P294" i="9"/>
  <c r="V341" i="9"/>
  <c r="V343" i="9"/>
  <c r="V362" i="9"/>
  <c r="P372" i="9"/>
  <c r="W392" i="9"/>
  <c r="P401" i="9"/>
  <c r="AA445" i="9"/>
  <c r="Y445" i="9"/>
  <c r="P505" i="9"/>
  <c r="W505" i="9"/>
  <c r="AB508" i="9"/>
  <c r="N5" i="27"/>
  <c r="U162" i="22"/>
  <c r="AT22" i="12"/>
  <c r="K34" i="12"/>
  <c r="K194" i="12"/>
  <c r="AQ42" i="12"/>
  <c r="J203" i="12"/>
  <c r="AR88" i="12"/>
  <c r="R75" i="8"/>
  <c r="P165" i="8"/>
  <c r="T128" i="9"/>
  <c r="P148" i="9"/>
  <c r="AA151" i="9"/>
  <c r="AG151" i="9" s="1"/>
  <c r="AH151" i="9" s="1"/>
  <c r="Y151" i="9"/>
  <c r="AC151" i="9" s="1"/>
  <c r="W165" i="9"/>
  <c r="W190" i="9"/>
  <c r="V199" i="9"/>
  <c r="P207" i="9"/>
  <c r="W223" i="9"/>
  <c r="W243" i="9"/>
  <c r="P243" i="9"/>
  <c r="AC244" i="9"/>
  <c r="V250" i="9"/>
  <c r="V267" i="9"/>
  <c r="W269" i="9"/>
  <c r="P280" i="9"/>
  <c r="W296" i="9"/>
  <c r="V304" i="9"/>
  <c r="P311" i="9"/>
  <c r="Y315" i="9"/>
  <c r="AC315" i="9" s="1"/>
  <c r="W341" i="9"/>
  <c r="P351" i="9"/>
  <c r="P377" i="9"/>
  <c r="P405" i="9"/>
  <c r="W405" i="9"/>
  <c r="Y414" i="9"/>
  <c r="AC414" i="9" s="1"/>
  <c r="V417" i="9"/>
  <c r="V428" i="9"/>
  <c r="V438" i="9"/>
  <c r="AB445" i="9"/>
  <c r="Y498" i="9"/>
  <c r="AC508" i="9"/>
  <c r="O21" i="27"/>
  <c r="O5" i="27"/>
  <c r="U174" i="22"/>
  <c r="L34" i="12"/>
  <c r="AU22" i="12"/>
  <c r="AU87" i="12"/>
  <c r="M199" i="12"/>
  <c r="M76" i="12"/>
  <c r="M200" i="12"/>
  <c r="K203" i="12"/>
  <c r="AS88" i="12"/>
  <c r="AS90" i="12" s="1"/>
  <c r="K79" i="12"/>
  <c r="D121" i="16"/>
  <c r="W135" i="9"/>
  <c r="P135" i="9"/>
  <c r="T135" i="9" s="1"/>
  <c r="V141" i="9"/>
  <c r="W155" i="9"/>
  <c r="T175" i="9"/>
  <c r="N28" i="7"/>
  <c r="N4" i="7" s="1"/>
  <c r="O28" i="7"/>
  <c r="O4" i="7" s="1"/>
  <c r="M159" i="8"/>
  <c r="M166" i="8" s="1"/>
  <c r="Q165" i="8"/>
  <c r="P162" i="8"/>
  <c r="W139" i="9"/>
  <c r="P166" i="9"/>
  <c r="V169" i="9"/>
  <c r="P184" i="9"/>
  <c r="S196" i="9"/>
  <c r="T196" i="9" s="1"/>
  <c r="P206" i="9"/>
  <c r="V213" i="9"/>
  <c r="W218" i="9"/>
  <c r="W226" i="9"/>
  <c r="P226" i="9"/>
  <c r="V253" i="9"/>
  <c r="V255" i="9"/>
  <c r="W279" i="9"/>
  <c r="P317" i="9"/>
  <c r="P334" i="9"/>
  <c r="V340" i="9"/>
  <c r="Y424" i="9"/>
  <c r="AC424" i="9" s="1"/>
  <c r="AC445" i="9"/>
  <c r="W456" i="9"/>
  <c r="P456" i="9"/>
  <c r="V491" i="9"/>
  <c r="V497" i="9"/>
  <c r="Y508" i="9"/>
  <c r="U186" i="22"/>
  <c r="W186" i="22" s="1"/>
  <c r="M34" i="12"/>
  <c r="AV22" i="12"/>
  <c r="AV60" i="12"/>
  <c r="AT57" i="12"/>
  <c r="L203" i="12"/>
  <c r="L79" i="12"/>
  <c r="AT88" i="12"/>
  <c r="AT90" i="12" s="1"/>
  <c r="AL34" i="16"/>
  <c r="AC33" i="19" s="1"/>
  <c r="B75" i="16"/>
  <c r="B123" i="16" s="1"/>
  <c r="R90" i="7"/>
  <c r="R86" i="7"/>
  <c r="R82" i="7"/>
  <c r="R89" i="7"/>
  <c r="R85" i="7"/>
  <c r="R127" i="8"/>
  <c r="P150" i="8"/>
  <c r="P17" i="8" s="1"/>
  <c r="P28" i="7"/>
  <c r="P4" i="7" s="1"/>
  <c r="N105" i="7"/>
  <c r="R3" i="8"/>
  <c r="R6" i="8" s="1"/>
  <c r="R9" i="8" s="1"/>
  <c r="N37" i="7"/>
  <c r="M79" i="8"/>
  <c r="Q162" i="8"/>
  <c r="P129" i="9"/>
  <c r="T129" i="9" s="1"/>
  <c r="P140" i="9"/>
  <c r="V143" i="9"/>
  <c r="W157" i="9"/>
  <c r="T177" i="9"/>
  <c r="W201" i="9"/>
  <c r="P209" i="9"/>
  <c r="P263" i="9"/>
  <c r="V292" i="9"/>
  <c r="W299" i="9"/>
  <c r="V323" i="9"/>
  <c r="W328" i="9"/>
  <c r="P354" i="9"/>
  <c r="P364" i="9"/>
  <c r="Y383" i="9"/>
  <c r="AA383" i="9"/>
  <c r="V416" i="9"/>
  <c r="AA424" i="9"/>
  <c r="Y433" i="9"/>
  <c r="AA433" i="9" s="1"/>
  <c r="AC449" i="9"/>
  <c r="P497" i="9"/>
  <c r="P503" i="9"/>
  <c r="W503" i="9"/>
  <c r="AV57" i="12"/>
  <c r="I70" i="12"/>
  <c r="M203" i="12"/>
  <c r="M79" i="12"/>
  <c r="AU88" i="12"/>
  <c r="B71" i="16"/>
  <c r="F103" i="16"/>
  <c r="BP193" i="22" s="1"/>
  <c r="BQ193" i="22" s="1"/>
  <c r="V402" i="9"/>
  <c r="W407" i="9"/>
  <c r="P407" i="9"/>
  <c r="V419" i="9"/>
  <c r="W495" i="9"/>
  <c r="P495" i="9"/>
  <c r="V500" i="9"/>
  <c r="W507" i="9"/>
  <c r="Y507" i="9" s="1"/>
  <c r="N12" i="27"/>
  <c r="U169" i="22"/>
  <c r="L13" i="27"/>
  <c r="U146" i="22"/>
  <c r="AQ58" i="12"/>
  <c r="I78" i="12"/>
  <c r="S217" i="12"/>
  <c r="T210" i="12" s="1"/>
  <c r="T102" i="12"/>
  <c r="P358" i="9"/>
  <c r="V377" i="9"/>
  <c r="P449" i="9"/>
  <c r="P461" i="9"/>
  <c r="W480" i="9"/>
  <c r="X507" i="9"/>
  <c r="P507" i="9"/>
  <c r="T217" i="12"/>
  <c r="U210" i="12" s="1"/>
  <c r="U102" i="12"/>
  <c r="AK18" i="16"/>
  <c r="F59" i="19"/>
  <c r="F8" i="19" s="1"/>
  <c r="T5" i="8"/>
  <c r="AP5" i="8"/>
  <c r="P188" i="9"/>
  <c r="P199" i="9"/>
  <c r="P211" i="9"/>
  <c r="P233" i="9"/>
  <c r="P255" i="9"/>
  <c r="P277" i="9"/>
  <c r="P299" i="9"/>
  <c r="P321" i="9"/>
  <c r="P343" i="9"/>
  <c r="P420" i="9"/>
  <c r="P430" i="9"/>
  <c r="W433" i="9"/>
  <c r="V453" i="9"/>
  <c r="W460" i="9"/>
  <c r="V465" i="9"/>
  <c r="L6" i="27"/>
  <c r="U139" i="22"/>
  <c r="I71" i="12"/>
  <c r="M9" i="27"/>
  <c r="U154" i="22"/>
  <c r="J74" i="12"/>
  <c r="AS23" i="12"/>
  <c r="U195" i="22"/>
  <c r="W195" i="22" s="1"/>
  <c r="AC11" i="28"/>
  <c r="I117" i="12"/>
  <c r="F105" i="16"/>
  <c r="BP195" i="22" s="1"/>
  <c r="M38" i="8"/>
  <c r="M4" i="8" s="1"/>
  <c r="R199" i="9"/>
  <c r="W355" i="9"/>
  <c r="W375" i="9"/>
  <c r="P375" i="9"/>
  <c r="W399" i="9"/>
  <c r="P400" i="9"/>
  <c r="W416" i="9"/>
  <c r="P417" i="9"/>
  <c r="W426" i="9"/>
  <c r="P427" i="9"/>
  <c r="P439" i="9"/>
  <c r="W473" i="9"/>
  <c r="P473" i="9"/>
  <c r="V478" i="9"/>
  <c r="W485" i="9"/>
  <c r="V490" i="9"/>
  <c r="N9" i="27"/>
  <c r="U166" i="22"/>
  <c r="K74" i="12"/>
  <c r="AT23" i="12"/>
  <c r="L11" i="27"/>
  <c r="U144" i="22"/>
  <c r="AR24" i="12"/>
  <c r="AS30" i="12" s="1"/>
  <c r="I76" i="12"/>
  <c r="AT39" i="12"/>
  <c r="AT45" i="12" s="1"/>
  <c r="K72" i="12"/>
  <c r="G80" i="16"/>
  <c r="G79" i="13"/>
  <c r="T256" i="22"/>
  <c r="L62" i="32"/>
  <c r="N38" i="8"/>
  <c r="N4" i="8" s="1"/>
  <c r="W382" i="9"/>
  <c r="P383" i="9"/>
  <c r="V394" i="9"/>
  <c r="V395" i="9"/>
  <c r="V412" i="9"/>
  <c r="AB414" i="9"/>
  <c r="V431" i="9"/>
  <c r="W438" i="9"/>
  <c r="V443" i="9"/>
  <c r="AB458" i="9"/>
  <c r="P510" i="9"/>
  <c r="O9" i="27"/>
  <c r="U178" i="22"/>
  <c r="W178" i="22" s="1"/>
  <c r="AU23" i="12"/>
  <c r="L74" i="12"/>
  <c r="AU39" i="12"/>
  <c r="L72" i="12"/>
  <c r="AU24" i="18"/>
  <c r="AU25" i="18"/>
  <c r="B66" i="16"/>
  <c r="AK16" i="18"/>
  <c r="C22" i="16"/>
  <c r="Q108" i="24"/>
  <c r="S110" i="22"/>
  <c r="Q110" i="22"/>
  <c r="Q122" i="24"/>
  <c r="S124" i="22"/>
  <c r="Q124" i="22"/>
  <c r="W151" i="22"/>
  <c r="M62" i="32"/>
  <c r="M26" i="32"/>
  <c r="M4" i="32" s="1"/>
  <c r="O38" i="8"/>
  <c r="R197" i="9"/>
  <c r="V360" i="9"/>
  <c r="P498" i="9"/>
  <c r="V502" i="9"/>
  <c r="W509" i="9"/>
  <c r="AS28" i="12"/>
  <c r="AS29" i="12"/>
  <c r="U190" i="22"/>
  <c r="W190" i="22" s="1"/>
  <c r="AV23" i="12"/>
  <c r="N11" i="27"/>
  <c r="U168" i="22"/>
  <c r="K76" i="12"/>
  <c r="AT72" i="12" s="1"/>
  <c r="AV39" i="12"/>
  <c r="D116" i="16"/>
  <c r="AV24" i="18"/>
  <c r="AV25" i="18"/>
  <c r="C114" i="16"/>
  <c r="N62" i="32"/>
  <c r="N26" i="32"/>
  <c r="P366" i="9"/>
  <c r="V421" i="9"/>
  <c r="W436" i="9"/>
  <c r="W451" i="9"/>
  <c r="P451" i="9"/>
  <c r="V456" i="9"/>
  <c r="W463" i="9"/>
  <c r="V468" i="9"/>
  <c r="G35" i="12"/>
  <c r="AT24" i="12"/>
  <c r="AW24" i="18"/>
  <c r="AW25" i="18"/>
  <c r="D114" i="16"/>
  <c r="Q38" i="8"/>
  <c r="Q4" i="8" s="1"/>
  <c r="V372" i="9"/>
  <c r="W389" i="9"/>
  <c r="V404" i="9"/>
  <c r="W448" i="9"/>
  <c r="P488" i="9"/>
  <c r="H35" i="12"/>
  <c r="L10" i="27"/>
  <c r="U143" i="22"/>
  <c r="B101" i="16"/>
  <c r="I75" i="12"/>
  <c r="I199" i="12"/>
  <c r="AR23" i="12"/>
  <c r="AS40" i="12"/>
  <c r="K200" i="12"/>
  <c r="C74" i="13"/>
  <c r="F116" i="16"/>
  <c r="D122" i="16"/>
  <c r="V387" i="9"/>
  <c r="P393" i="9"/>
  <c r="P410" i="9"/>
  <c r="W429" i="9"/>
  <c r="P429" i="9"/>
  <c r="V434" i="9"/>
  <c r="W441" i="9"/>
  <c r="P476" i="9"/>
  <c r="V480" i="9"/>
  <c r="W487" i="9"/>
  <c r="V492" i="9"/>
  <c r="V505" i="9"/>
  <c r="M10" i="27"/>
  <c r="U155" i="22"/>
  <c r="J199" i="12"/>
  <c r="AS31" i="12"/>
  <c r="K77" i="12"/>
  <c r="I140" i="12"/>
  <c r="L200" i="12"/>
  <c r="Q34" i="24"/>
  <c r="S36" i="22"/>
  <c r="Q36" i="22"/>
  <c r="R142" i="9"/>
  <c r="R144" i="9"/>
  <c r="R146" i="9"/>
  <c r="R154" i="9"/>
  <c r="R156" i="9"/>
  <c r="R158" i="9"/>
  <c r="R168" i="9"/>
  <c r="R170" i="9"/>
  <c r="R180" i="9"/>
  <c r="R182" i="9"/>
  <c r="V368" i="9"/>
  <c r="V380" i="9"/>
  <c r="W402" i="9"/>
  <c r="P402" i="9"/>
  <c r="V407" i="9"/>
  <c r="W419" i="9"/>
  <c r="Y430" i="9"/>
  <c r="AB430" i="9" s="1"/>
  <c r="V446" i="9"/>
  <c r="V495" i="9"/>
  <c r="W500" i="9"/>
  <c r="P500" i="9"/>
  <c r="V504" i="9"/>
  <c r="N10" i="27"/>
  <c r="U167" i="22"/>
  <c r="L77" i="12"/>
  <c r="J38" i="12"/>
  <c r="J140" i="12"/>
  <c r="B230" i="12"/>
  <c r="B234" i="12"/>
  <c r="B231" i="12"/>
  <c r="B232" i="12"/>
  <c r="B229" i="12"/>
  <c r="C102" i="16"/>
  <c r="BP156" i="22" s="1"/>
  <c r="F60" i="16"/>
  <c r="F9" i="16" s="1"/>
  <c r="D103" i="16"/>
  <c r="BP169" i="22" s="1"/>
  <c r="BQ169" i="22" s="1"/>
  <c r="B68" i="18"/>
  <c r="B54" i="16"/>
  <c r="W377" i="9"/>
  <c r="W385" i="9"/>
  <c r="P385" i="9"/>
  <c r="V397" i="9"/>
  <c r="P466" i="9"/>
  <c r="N105" i="12"/>
  <c r="O10" i="27"/>
  <c r="U179" i="22"/>
  <c r="W179" i="22" s="1"/>
  <c r="L199" i="12"/>
  <c r="L75" i="12"/>
  <c r="M77" i="12"/>
  <c r="J124" i="12"/>
  <c r="K38" i="12"/>
  <c r="K140" i="12"/>
  <c r="V217" i="12"/>
  <c r="W210" i="12" s="1"/>
  <c r="C230" i="12"/>
  <c r="C234" i="12"/>
  <c r="C231" i="12"/>
  <c r="C232" i="12"/>
  <c r="C229" i="12"/>
  <c r="P392" i="9"/>
  <c r="P414" i="9"/>
  <c r="P436" i="9"/>
  <c r="P458" i="9"/>
  <c r="P480" i="9"/>
  <c r="Q5" i="27"/>
  <c r="Q21" i="27"/>
  <c r="U198" i="22"/>
  <c r="O11" i="27"/>
  <c r="U180" i="22"/>
  <c r="AU24" i="12"/>
  <c r="M13" i="27"/>
  <c r="U158" i="22"/>
  <c r="AU90" i="12"/>
  <c r="M50" i="12"/>
  <c r="M5" i="12" s="1"/>
  <c r="N185" i="12"/>
  <c r="N179" i="12"/>
  <c r="N184" i="12"/>
  <c r="O184" i="12" s="1"/>
  <c r="N178" i="12"/>
  <c r="N186" i="12"/>
  <c r="N181" i="12"/>
  <c r="N187" i="12"/>
  <c r="N182" i="12"/>
  <c r="N188" i="12"/>
  <c r="N183" i="12"/>
  <c r="O183" i="12" s="1"/>
  <c r="U34" i="24"/>
  <c r="T34" i="24"/>
  <c r="P397" i="9"/>
  <c r="P419" i="9"/>
  <c r="P441" i="9"/>
  <c r="P463" i="9"/>
  <c r="P485" i="9"/>
  <c r="U192" i="22"/>
  <c r="W192" i="22" s="1"/>
  <c r="AV24" i="12"/>
  <c r="N13" i="27"/>
  <c r="U170" i="22"/>
  <c r="L15" i="27"/>
  <c r="U148" i="22"/>
  <c r="AQ89" i="12"/>
  <c r="I10" i="12"/>
  <c r="O179" i="12"/>
  <c r="O178" i="12"/>
  <c r="O186" i="12"/>
  <c r="O187" i="12"/>
  <c r="O182" i="12"/>
  <c r="Q182" i="12" s="1"/>
  <c r="O188" i="12"/>
  <c r="Q188" i="12" s="1"/>
  <c r="L194" i="12"/>
  <c r="C9" i="14"/>
  <c r="F69" i="16"/>
  <c r="AY25" i="18"/>
  <c r="AZ18" i="18"/>
  <c r="AY24" i="18"/>
  <c r="F114" i="16"/>
  <c r="S43" i="19"/>
  <c r="Z239" i="12" s="1"/>
  <c r="O6" i="27"/>
  <c r="O22" i="27"/>
  <c r="U175" i="22"/>
  <c r="W175" i="22" s="1"/>
  <c r="L7" i="27"/>
  <c r="U140" i="22"/>
  <c r="M15" i="27"/>
  <c r="U160" i="22"/>
  <c r="AR55" i="12"/>
  <c r="I74" i="12"/>
  <c r="AR71" i="12" s="1"/>
  <c r="I81" i="12"/>
  <c r="P179" i="12"/>
  <c r="P184" i="12"/>
  <c r="P178" i="12"/>
  <c r="P183" i="12"/>
  <c r="P182" i="12"/>
  <c r="P188" i="12"/>
  <c r="B17" i="16"/>
  <c r="B63" i="18"/>
  <c r="C37" i="16"/>
  <c r="C68" i="19"/>
  <c r="T43" i="19"/>
  <c r="AA239" i="12" s="1"/>
  <c r="T191" i="22"/>
  <c r="P26" i="27" s="1"/>
  <c r="O59" i="23" s="1"/>
  <c r="U187" i="22"/>
  <c r="W187" i="22" s="1"/>
  <c r="M7" i="27"/>
  <c r="U152" i="22"/>
  <c r="U194" i="22"/>
  <c r="W194" i="22" s="1"/>
  <c r="F104" i="16"/>
  <c r="BP194" i="22" s="1"/>
  <c r="N15" i="27"/>
  <c r="U172" i="22"/>
  <c r="D37" i="16"/>
  <c r="D68" i="19"/>
  <c r="F211" i="24"/>
  <c r="E211" i="24"/>
  <c r="S213" i="22"/>
  <c r="Q213" i="22"/>
  <c r="U237" i="24"/>
  <c r="T237" i="24"/>
  <c r="S239" i="22"/>
  <c r="Q239" i="22"/>
  <c r="U199" i="22"/>
  <c r="W199" i="22" s="1"/>
  <c r="G97" i="16"/>
  <c r="BP199" i="22" s="1"/>
  <c r="N7" i="27"/>
  <c r="U164" i="22"/>
  <c r="U184" i="22"/>
  <c r="W184" i="22" s="1"/>
  <c r="AT55" i="12"/>
  <c r="AT60" i="12" s="1"/>
  <c r="K71" i="12"/>
  <c r="M70" i="12"/>
  <c r="M140" i="12"/>
  <c r="M141" i="12" s="1"/>
  <c r="G37" i="13"/>
  <c r="G36" i="13"/>
  <c r="G41" i="13"/>
  <c r="G30" i="13"/>
  <c r="G33" i="13"/>
  <c r="G32" i="13"/>
  <c r="G31" i="13"/>
  <c r="G35" i="13"/>
  <c r="G38" i="13"/>
  <c r="E37" i="16"/>
  <c r="E68" i="19"/>
  <c r="O23" i="27"/>
  <c r="O7" i="27"/>
  <c r="U176" i="22"/>
  <c r="U196" i="22"/>
  <c r="M80" i="12"/>
  <c r="L71" i="12"/>
  <c r="L76" i="12"/>
  <c r="J71" i="12"/>
  <c r="L81" i="12"/>
  <c r="AB43" i="19"/>
  <c r="AI239" i="12" s="1"/>
  <c r="B67" i="16"/>
  <c r="AR22" i="18"/>
  <c r="AR23" i="18"/>
  <c r="AR20" i="18"/>
  <c r="AR21" i="18"/>
  <c r="C64" i="19"/>
  <c r="C33" i="16"/>
  <c r="U183" i="24"/>
  <c r="T183" i="24"/>
  <c r="K3" i="12"/>
  <c r="P7" i="27"/>
  <c r="P23" i="27"/>
  <c r="O56" i="23" s="1"/>
  <c r="U188" i="22"/>
  <c r="L8" i="27"/>
  <c r="U141" i="22"/>
  <c r="H315" i="12"/>
  <c r="N34" i="12"/>
  <c r="M71" i="12"/>
  <c r="R82" i="12"/>
  <c r="M81" i="12"/>
  <c r="AJ14" i="18"/>
  <c r="AJ18" i="18" s="1"/>
  <c r="B16" i="16"/>
  <c r="B26" i="18"/>
  <c r="B5" i="18" s="1"/>
  <c r="B6" i="18" s="1"/>
  <c r="B9" i="18" s="1"/>
  <c r="B62" i="18"/>
  <c r="F63" i="18"/>
  <c r="F17" i="16"/>
  <c r="F26" i="18"/>
  <c r="AS22" i="18"/>
  <c r="AS23" i="18"/>
  <c r="AS20" i="18"/>
  <c r="AS21" i="18"/>
  <c r="B63" i="19"/>
  <c r="B27" i="19"/>
  <c r="B5" i="19" s="1"/>
  <c r="B6" i="19" s="1"/>
  <c r="B67" i="19"/>
  <c r="D71" i="19"/>
  <c r="D27" i="19"/>
  <c r="D5" i="19" s="1"/>
  <c r="D6" i="19" s="1"/>
  <c r="D24" i="16"/>
  <c r="L3" i="12"/>
  <c r="M8" i="27"/>
  <c r="U153" i="22"/>
  <c r="L195" i="12"/>
  <c r="I204" i="12"/>
  <c r="I80" i="12"/>
  <c r="M156" i="12"/>
  <c r="L205" i="12"/>
  <c r="H4" i="13"/>
  <c r="G26" i="13"/>
  <c r="C63" i="19"/>
  <c r="C75" i="19" s="1"/>
  <c r="C27" i="19"/>
  <c r="C5" i="19" s="1"/>
  <c r="U18" i="24"/>
  <c r="T18" i="24"/>
  <c r="T278" i="24"/>
  <c r="U278" i="24"/>
  <c r="M3" i="12"/>
  <c r="N8" i="27"/>
  <c r="U165" i="22"/>
  <c r="K73" i="12"/>
  <c r="AT71" i="12" s="1"/>
  <c r="M195" i="12"/>
  <c r="J80" i="12"/>
  <c r="AR40" i="12"/>
  <c r="H314" i="12"/>
  <c r="Q20" i="22"/>
  <c r="Q151" i="24"/>
  <c r="S153" i="22"/>
  <c r="F212" i="24"/>
  <c r="E212" i="24"/>
  <c r="S214" i="22"/>
  <c r="Q214" i="22"/>
  <c r="Q280" i="22"/>
  <c r="L9" i="27"/>
  <c r="U142" i="22"/>
  <c r="I196" i="12"/>
  <c r="K80" i="12"/>
  <c r="F67" i="16"/>
  <c r="D63" i="18"/>
  <c r="BI185" i="22"/>
  <c r="F234" i="24"/>
  <c r="E234" i="24"/>
  <c r="S236" i="22"/>
  <c r="Q236" i="22"/>
  <c r="M11" i="27"/>
  <c r="U156" i="22"/>
  <c r="U182" i="22"/>
  <c r="W182" i="22" s="1"/>
  <c r="AQ63" i="12"/>
  <c r="J76" i="12"/>
  <c r="AS72" i="12" s="1"/>
  <c r="K201" i="12"/>
  <c r="K199" i="12"/>
  <c r="I200" i="12"/>
  <c r="H299" i="12"/>
  <c r="H300" i="12"/>
  <c r="H303" i="12"/>
  <c r="H306" i="12"/>
  <c r="C74" i="16"/>
  <c r="AX25" i="18"/>
  <c r="AJ17" i="18"/>
  <c r="B27" i="16"/>
  <c r="T151" i="24"/>
  <c r="U151" i="24"/>
  <c r="F187" i="24"/>
  <c r="E187" i="24"/>
  <c r="S189" i="22"/>
  <c r="T189" i="22" s="1"/>
  <c r="P8" i="27" s="1"/>
  <c r="Q189" i="22"/>
  <c r="U207" i="24"/>
  <c r="T207" i="24"/>
  <c r="L14" i="27"/>
  <c r="U147" i="22"/>
  <c r="N16" i="27"/>
  <c r="U173" i="22"/>
  <c r="F234" i="12"/>
  <c r="F229" i="12"/>
  <c r="E121" i="16"/>
  <c r="C67" i="16"/>
  <c r="E27" i="19"/>
  <c r="E5" i="19" s="1"/>
  <c r="E6" i="19" s="1"/>
  <c r="E63" i="19"/>
  <c r="AP32" i="16"/>
  <c r="F101" i="16"/>
  <c r="BP191" i="22" s="1"/>
  <c r="BQ191" i="22" s="1"/>
  <c r="T108" i="24"/>
  <c r="U108" i="24"/>
  <c r="U438" i="24"/>
  <c r="T438" i="24"/>
  <c r="O8" i="27"/>
  <c r="U177" i="22"/>
  <c r="W177" i="22" s="1"/>
  <c r="U191" i="22"/>
  <c r="W191" i="22" s="1"/>
  <c r="M14" i="27"/>
  <c r="U159" i="22"/>
  <c r="U185" i="22"/>
  <c r="W185" i="22" s="1"/>
  <c r="J198" i="12"/>
  <c r="G234" i="12"/>
  <c r="G229" i="12"/>
  <c r="D75" i="14"/>
  <c r="D67" i="16"/>
  <c r="C100" i="16"/>
  <c r="BP154" i="22" s="1"/>
  <c r="N6" i="27"/>
  <c r="U163" i="22"/>
  <c r="P24" i="27"/>
  <c r="O57" i="23" s="1"/>
  <c r="U189" i="22"/>
  <c r="L12" i="27"/>
  <c r="B103" i="16"/>
  <c r="U197" i="22"/>
  <c r="W197" i="22" s="1"/>
  <c r="M73" i="12"/>
  <c r="K198" i="12"/>
  <c r="H229" i="12"/>
  <c r="H232" i="12"/>
  <c r="F230" i="12"/>
  <c r="I6" i="13"/>
  <c r="H42" i="13"/>
  <c r="B74" i="13"/>
  <c r="D10" i="14"/>
  <c r="D9" i="14" s="1"/>
  <c r="B65" i="16"/>
  <c r="B113" i="16" s="1"/>
  <c r="M12" i="27"/>
  <c r="U157" i="22"/>
  <c r="O30" i="27"/>
  <c r="O51" i="23" s="1"/>
  <c r="U183" i="22"/>
  <c r="L198" i="12"/>
  <c r="C106" i="16"/>
  <c r="BP160" i="22" s="1"/>
  <c r="E118" i="16"/>
  <c r="F67" i="18"/>
  <c r="C67" i="19"/>
  <c r="E71" i="19"/>
  <c r="U172" i="24"/>
  <c r="T172" i="24"/>
  <c r="E205" i="24"/>
  <c r="F205" i="24"/>
  <c r="S207" i="22"/>
  <c r="Q207" i="22"/>
  <c r="F221" i="24"/>
  <c r="E221" i="24"/>
  <c r="S223" i="22"/>
  <c r="F361" i="24"/>
  <c r="E361" i="24"/>
  <c r="S363" i="22"/>
  <c r="Q363" i="22"/>
  <c r="K81" i="12"/>
  <c r="M198" i="12"/>
  <c r="H282" i="12"/>
  <c r="H287" i="12"/>
  <c r="D74" i="13"/>
  <c r="B98" i="16"/>
  <c r="AL31" i="16"/>
  <c r="D106" i="16"/>
  <c r="BP172" i="22" s="1"/>
  <c r="F118" i="16"/>
  <c r="U53" i="24"/>
  <c r="T53" i="24"/>
  <c r="Q174" i="22"/>
  <c r="U181" i="22"/>
  <c r="M74" i="12"/>
  <c r="E74" i="13"/>
  <c r="F96" i="16"/>
  <c r="F44" i="16"/>
  <c r="F7" i="16" s="1"/>
  <c r="C98" i="16"/>
  <c r="BP152" i="22" s="1"/>
  <c r="E106" i="16"/>
  <c r="BP184" i="22" s="1"/>
  <c r="BQ184" i="22" s="1"/>
  <c r="B64" i="18"/>
  <c r="C68" i="18"/>
  <c r="E72" i="18"/>
  <c r="U44" i="24"/>
  <c r="T44" i="24"/>
  <c r="Q55" i="22"/>
  <c r="U221" i="24"/>
  <c r="T221" i="24"/>
  <c r="U193" i="22"/>
  <c r="W193" i="22" s="1"/>
  <c r="AQ60" i="12"/>
  <c r="C5" i="13"/>
  <c r="C9" i="13" s="1"/>
  <c r="C8" i="13" s="1"/>
  <c r="G96" i="16"/>
  <c r="D98" i="16"/>
  <c r="BP164" i="22" s="1"/>
  <c r="AN31" i="16"/>
  <c r="F106" i="16"/>
  <c r="BP196" i="22" s="1"/>
  <c r="B21" i="16"/>
  <c r="B67" i="18"/>
  <c r="C64" i="18"/>
  <c r="F72" i="18"/>
  <c r="U14" i="24"/>
  <c r="T14" i="24"/>
  <c r="Q46" i="22"/>
  <c r="S55" i="22"/>
  <c r="T124" i="24"/>
  <c r="U124" i="24"/>
  <c r="S126" i="22"/>
  <c r="Q126" i="22"/>
  <c r="S174" i="22"/>
  <c r="BI190" i="22"/>
  <c r="Q223" i="22"/>
  <c r="D5" i="13"/>
  <c r="D9" i="13" s="1"/>
  <c r="D8" i="13" s="1"/>
  <c r="AM17" i="16"/>
  <c r="E98" i="16"/>
  <c r="BP176" i="22" s="1"/>
  <c r="AO31" i="16"/>
  <c r="C68" i="16"/>
  <c r="C105" i="16"/>
  <c r="BP159" i="22" s="1"/>
  <c r="BQ159" i="22" s="1"/>
  <c r="C21" i="16"/>
  <c r="C69" i="16" s="1"/>
  <c r="C67" i="18"/>
  <c r="D64" i="18"/>
  <c r="B73" i="18"/>
  <c r="S46" i="22"/>
  <c r="F189" i="24"/>
  <c r="E189" i="24"/>
  <c r="S191" i="22"/>
  <c r="Q191" i="22"/>
  <c r="H281" i="12"/>
  <c r="H291" i="12"/>
  <c r="E5" i="13"/>
  <c r="E9" i="13" s="1"/>
  <c r="E8" i="13" s="1"/>
  <c r="B8" i="13"/>
  <c r="D105" i="16"/>
  <c r="BP171" i="22" s="1"/>
  <c r="D67" i="18"/>
  <c r="D21" i="16"/>
  <c r="D69" i="16" s="1"/>
  <c r="AA33" i="19"/>
  <c r="F68" i="19"/>
  <c r="Q66" i="24"/>
  <c r="S68" i="22"/>
  <c r="U77" i="24"/>
  <c r="T77" i="24"/>
  <c r="U214" i="24"/>
  <c r="T214" i="24"/>
  <c r="T217" i="24"/>
  <c r="U217" i="24"/>
  <c r="E278" i="24"/>
  <c r="F278" i="24"/>
  <c r="S280" i="22"/>
  <c r="M75" i="12"/>
  <c r="I203" i="12"/>
  <c r="M205" i="12"/>
  <c r="F231" i="12"/>
  <c r="F5" i="13"/>
  <c r="F9" i="13" s="1"/>
  <c r="F8" i="13" s="1"/>
  <c r="E68" i="16"/>
  <c r="E105" i="16"/>
  <c r="BP183" i="22" s="1"/>
  <c r="E67" i="18"/>
  <c r="E21" i="16"/>
  <c r="E69" i="16" s="1"/>
  <c r="E26" i="18"/>
  <c r="F64" i="18"/>
  <c r="D59" i="19"/>
  <c r="D8" i="19" s="1"/>
  <c r="U66" i="24"/>
  <c r="T66" i="24"/>
  <c r="Q79" i="22"/>
  <c r="U189" i="24"/>
  <c r="T189" i="24"/>
  <c r="Q216" i="22"/>
  <c r="AO34" i="16"/>
  <c r="AF33" i="19" s="1"/>
  <c r="F98" i="16"/>
  <c r="BP188" i="22" s="1"/>
  <c r="AP31" i="16"/>
  <c r="B102" i="16"/>
  <c r="D119" i="16"/>
  <c r="C6" i="18"/>
  <c r="B20" i="16"/>
  <c r="B68" i="16" s="1"/>
  <c r="AI33" i="18"/>
  <c r="B65" i="18"/>
  <c r="D33" i="16"/>
  <c r="AM34" i="16" s="1"/>
  <c r="AD33" i="19" s="1"/>
  <c r="D64" i="19"/>
  <c r="W43" i="19"/>
  <c r="AD239" i="12" s="1"/>
  <c r="B59" i="19"/>
  <c r="B8" i="19" s="1"/>
  <c r="Q30" i="24"/>
  <c r="S32" i="22"/>
  <c r="Q32" i="22"/>
  <c r="U67" i="24"/>
  <c r="T67" i="24"/>
  <c r="U84" i="24"/>
  <c r="T84" i="24"/>
  <c r="BI147" i="22"/>
  <c r="BI186" i="22"/>
  <c r="U212" i="24"/>
  <c r="T212" i="24"/>
  <c r="F219" i="24"/>
  <c r="E219" i="24"/>
  <c r="S221" i="22"/>
  <c r="F252" i="24"/>
  <c r="E252" i="24"/>
  <c r="S254" i="22"/>
  <c r="Q254" i="22"/>
  <c r="C48" i="16"/>
  <c r="C59" i="19"/>
  <c r="C8" i="19" s="1"/>
  <c r="F73" i="19"/>
  <c r="F72" i="19"/>
  <c r="T13" i="24"/>
  <c r="U13" i="24"/>
  <c r="U45" i="24"/>
  <c r="T45" i="24"/>
  <c r="Q75" i="24"/>
  <c r="S77" i="22"/>
  <c r="Q77" i="22"/>
  <c r="BI169" i="22"/>
  <c r="U187" i="24"/>
  <c r="T187" i="24"/>
  <c r="U286" i="24"/>
  <c r="T286" i="24"/>
  <c r="AK16" i="16"/>
  <c r="B97" i="16"/>
  <c r="E102" i="16"/>
  <c r="BP180" i="22" s="1"/>
  <c r="D35" i="16"/>
  <c r="D99" i="16" s="1"/>
  <c r="BP165" i="22" s="1"/>
  <c r="D65" i="18"/>
  <c r="F97" i="16"/>
  <c r="BP187" i="22" s="1"/>
  <c r="Q15" i="22"/>
  <c r="U75" i="24"/>
  <c r="T75" i="24"/>
  <c r="Q136" i="24"/>
  <c r="S138" i="22"/>
  <c r="Q138" i="22"/>
  <c r="BI159" i="22"/>
  <c r="Q200" i="24"/>
  <c r="S202" i="22"/>
  <c r="Q202" i="22"/>
  <c r="U219" i="24"/>
  <c r="T219" i="24"/>
  <c r="Q288" i="22"/>
  <c r="F507" i="24"/>
  <c r="E507" i="24"/>
  <c r="Q509" i="22"/>
  <c r="S509" i="22"/>
  <c r="B100" i="16"/>
  <c r="F102" i="16"/>
  <c r="BP192" i="22" s="1"/>
  <c r="B48" i="16"/>
  <c r="E35" i="16"/>
  <c r="E99" i="16" s="1"/>
  <c r="BP177" i="22" s="1"/>
  <c r="E65" i="18"/>
  <c r="B107" i="16"/>
  <c r="D74" i="19"/>
  <c r="S15" i="22"/>
  <c r="Q56" i="24"/>
  <c r="S58" i="22"/>
  <c r="Q58" i="22"/>
  <c r="BI143" i="22"/>
  <c r="Q221" i="22"/>
  <c r="T284" i="22"/>
  <c r="U297" i="24"/>
  <c r="T297" i="24"/>
  <c r="Q299" i="22"/>
  <c r="AY20" i="18"/>
  <c r="F35" i="16"/>
  <c r="F99" i="16" s="1"/>
  <c r="BP189" i="22" s="1"/>
  <c r="F65" i="18"/>
  <c r="U8" i="24"/>
  <c r="T8" i="24"/>
  <c r="U56" i="24"/>
  <c r="T56" i="24"/>
  <c r="U96" i="24"/>
  <c r="T96" i="24"/>
  <c r="U229" i="24"/>
  <c r="T229" i="24"/>
  <c r="S288" i="22"/>
  <c r="C75" i="14"/>
  <c r="D100" i="16"/>
  <c r="BP166" i="22" s="1"/>
  <c r="AJ16" i="18"/>
  <c r="B23" i="16"/>
  <c r="AA31" i="19"/>
  <c r="AA43" i="19" s="1"/>
  <c r="AH239" i="12" s="1"/>
  <c r="AH240" i="12" s="1"/>
  <c r="AH241" i="12" s="1"/>
  <c r="D107" i="16"/>
  <c r="BP173" i="22" s="1"/>
  <c r="Q98" i="22"/>
  <c r="Q102" i="24"/>
  <c r="S104" i="22"/>
  <c r="Q104" i="22"/>
  <c r="Q231" i="22"/>
  <c r="B40" i="16"/>
  <c r="C19" i="16"/>
  <c r="C28" i="16" s="1"/>
  <c r="C5" i="16" s="1"/>
  <c r="C6" i="16" s="1"/>
  <c r="C71" i="16"/>
  <c r="AK17" i="18"/>
  <c r="C25" i="16"/>
  <c r="AI31" i="18"/>
  <c r="B42" i="18"/>
  <c r="S10" i="22"/>
  <c r="Q23" i="24"/>
  <c r="S25" i="22"/>
  <c r="Q43" i="24"/>
  <c r="S45" i="22"/>
  <c r="Q45" i="22"/>
  <c r="U85" i="24"/>
  <c r="T85" i="24"/>
  <c r="S98" i="22"/>
  <c r="U164" i="24"/>
  <c r="T164" i="24"/>
  <c r="S166" i="22"/>
  <c r="T268" i="22"/>
  <c r="B96" i="16"/>
  <c r="F100" i="16"/>
  <c r="BP190" i="22" s="1"/>
  <c r="BQ190" i="22" s="1"/>
  <c r="C104" i="16"/>
  <c r="BP158" i="22" s="1"/>
  <c r="AM33" i="16"/>
  <c r="AL17" i="18"/>
  <c r="C42" i="18"/>
  <c r="AP33" i="16"/>
  <c r="C66" i="19"/>
  <c r="E70" i="19"/>
  <c r="F107" i="16"/>
  <c r="BP197" i="22" s="1"/>
  <c r="U23" i="24"/>
  <c r="T23" i="24"/>
  <c r="U41" i="24"/>
  <c r="T41" i="24"/>
  <c r="F330" i="24"/>
  <c r="E330" i="24"/>
  <c r="S332" i="22"/>
  <c r="Q332" i="22"/>
  <c r="B64" i="16"/>
  <c r="C44" i="16"/>
  <c r="C7" i="16" s="1"/>
  <c r="C96" i="16"/>
  <c r="D40" i="16"/>
  <c r="E23" i="16"/>
  <c r="E69" i="18"/>
  <c r="AM17" i="18"/>
  <c r="D66" i="19"/>
  <c r="F23" i="16"/>
  <c r="F70" i="19"/>
  <c r="Q25" i="22"/>
  <c r="T113" i="24"/>
  <c r="U113" i="24"/>
  <c r="F243" i="24"/>
  <c r="E243" i="24"/>
  <c r="Q245" i="22"/>
  <c r="S245" i="22"/>
  <c r="D96" i="16"/>
  <c r="E104" i="16"/>
  <c r="BP182" i="22" s="1"/>
  <c r="AO33" i="16"/>
  <c r="AS18" i="18"/>
  <c r="AN17" i="18"/>
  <c r="F25" i="16"/>
  <c r="F71" i="18"/>
  <c r="E33" i="16"/>
  <c r="E63" i="18"/>
  <c r="E42" i="18"/>
  <c r="E66" i="19"/>
  <c r="E19" i="16"/>
  <c r="B71" i="19"/>
  <c r="B24" i="16"/>
  <c r="B72" i="16" s="1"/>
  <c r="U43" i="19"/>
  <c r="AB239" i="12" s="1"/>
  <c r="U68" i="24"/>
  <c r="T68" i="24"/>
  <c r="S70" i="22"/>
  <c r="Q70" i="22"/>
  <c r="Q91" i="24"/>
  <c r="S93" i="22"/>
  <c r="Q93" i="22"/>
  <c r="F207" i="24"/>
  <c r="E207" i="24"/>
  <c r="S209" i="22"/>
  <c r="T209" i="22" s="1"/>
  <c r="F227" i="24"/>
  <c r="E227" i="24"/>
  <c r="S229" i="22"/>
  <c r="Q229" i="22"/>
  <c r="B122" i="16"/>
  <c r="D70" i="16"/>
  <c r="C63" i="18"/>
  <c r="AO16" i="16"/>
  <c r="C71" i="19"/>
  <c r="C24" i="16"/>
  <c r="C72" i="16" s="1"/>
  <c r="F66" i="19"/>
  <c r="F75" i="19" s="1"/>
  <c r="U57" i="24"/>
  <c r="T57" i="24"/>
  <c r="F214" i="24"/>
  <c r="E214" i="24"/>
  <c r="U243" i="24"/>
  <c r="T243" i="24"/>
  <c r="E100" i="16"/>
  <c r="BP178" i="22" s="1"/>
  <c r="E66" i="16"/>
  <c r="AK14" i="18"/>
  <c r="AT23" i="18"/>
  <c r="AU21" i="18"/>
  <c r="C69" i="18"/>
  <c r="E73" i="18"/>
  <c r="X43" i="19"/>
  <c r="AE239" i="12" s="1"/>
  <c r="D67" i="19"/>
  <c r="F71" i="19"/>
  <c r="K504" i="24"/>
  <c r="G502" i="24"/>
  <c r="C500" i="24"/>
  <c r="AB502" i="22" s="1"/>
  <c r="K493" i="24"/>
  <c r="G491" i="24"/>
  <c r="C489" i="24"/>
  <c r="K505" i="24"/>
  <c r="G504" i="24"/>
  <c r="C503" i="24"/>
  <c r="K499" i="24"/>
  <c r="G498" i="24"/>
  <c r="C497" i="24"/>
  <c r="K479" i="24"/>
  <c r="G477" i="24"/>
  <c r="C475" i="24"/>
  <c r="K468" i="24"/>
  <c r="G466" i="24"/>
  <c r="C464" i="24"/>
  <c r="K457" i="24"/>
  <c r="G455" i="24"/>
  <c r="C453" i="24"/>
  <c r="K492" i="24"/>
  <c r="K476" i="24"/>
  <c r="C470" i="24"/>
  <c r="G506" i="24"/>
  <c r="K496" i="24"/>
  <c r="K489" i="24"/>
  <c r="C484" i="24"/>
  <c r="K481" i="24"/>
  <c r="G471" i="24"/>
  <c r="G457" i="24"/>
  <c r="C450" i="24"/>
  <c r="K443" i="24"/>
  <c r="G441" i="24"/>
  <c r="C439" i="24"/>
  <c r="K432" i="24"/>
  <c r="G430" i="24"/>
  <c r="C428" i="24"/>
  <c r="C506" i="24"/>
  <c r="G503" i="24"/>
  <c r="K500" i="24"/>
  <c r="C499" i="24"/>
  <c r="AB501" i="22" s="1"/>
  <c r="G496" i="24"/>
  <c r="G489" i="24"/>
  <c r="K486" i="24"/>
  <c r="K482" i="24"/>
  <c r="K477" i="24"/>
  <c r="C471" i="24"/>
  <c r="AB473" i="22" s="1"/>
  <c r="G458" i="24"/>
  <c r="K445" i="24"/>
  <c r="G443" i="24"/>
  <c r="C441" i="24"/>
  <c r="K434" i="24"/>
  <c r="G432" i="24"/>
  <c r="C430" i="24"/>
  <c r="G507" i="24"/>
  <c r="G500" i="24"/>
  <c r="K497" i="24"/>
  <c r="G490" i="24"/>
  <c r="K473" i="24"/>
  <c r="C472" i="24"/>
  <c r="G460" i="24"/>
  <c r="K446" i="24"/>
  <c r="K441" i="24"/>
  <c r="C435" i="24"/>
  <c r="AB437" i="22" s="1"/>
  <c r="K419" i="24"/>
  <c r="G417" i="24"/>
  <c r="C415" i="24"/>
  <c r="K408" i="24"/>
  <c r="G406" i="24"/>
  <c r="C404" i="24"/>
  <c r="C502" i="24"/>
  <c r="G505" i="24"/>
  <c r="K498" i="24"/>
  <c r="C485" i="24"/>
  <c r="G476" i="24"/>
  <c r="G473" i="24"/>
  <c r="K461" i="24"/>
  <c r="C460" i="24"/>
  <c r="K458" i="24"/>
  <c r="G446" i="24"/>
  <c r="K421" i="24"/>
  <c r="G419" i="24"/>
  <c r="C417" i="24"/>
  <c r="AB419" i="22" s="1"/>
  <c r="K410" i="24"/>
  <c r="G408" i="24"/>
  <c r="C406" i="24"/>
  <c r="C493" i="24"/>
  <c r="G488" i="24"/>
  <c r="K483" i="24"/>
  <c r="C482" i="24"/>
  <c r="AB484" i="22" s="1"/>
  <c r="C476" i="24"/>
  <c r="AB478" i="22" s="1"/>
  <c r="G470" i="24"/>
  <c r="G467" i="24"/>
  <c r="C454" i="24"/>
  <c r="K447" i="24"/>
  <c r="K442" i="24"/>
  <c r="C436" i="24"/>
  <c r="K433" i="24"/>
  <c r="K428" i="24"/>
  <c r="G427" i="24"/>
  <c r="C426" i="24"/>
  <c r="C505" i="24"/>
  <c r="C488" i="24"/>
  <c r="K501" i="24"/>
  <c r="K474" i="24"/>
  <c r="C473" i="24"/>
  <c r="K494" i="24"/>
  <c r="G483" i="24"/>
  <c r="K471" i="24"/>
  <c r="C451" i="24"/>
  <c r="G447" i="24"/>
  <c r="C494" i="24"/>
  <c r="AB496" i="22" s="1"/>
  <c r="K487" i="24"/>
  <c r="G481" i="24"/>
  <c r="K475" i="24"/>
  <c r="C474" i="24"/>
  <c r="K469" i="24"/>
  <c r="G456" i="24"/>
  <c r="G497" i="24"/>
  <c r="C492" i="24"/>
  <c r="G487" i="24"/>
  <c r="K472" i="24"/>
  <c r="C455" i="24"/>
  <c r="G453" i="24"/>
  <c r="G448" i="24"/>
  <c r="G433" i="24"/>
  <c r="K430" i="24"/>
  <c r="C416" i="24"/>
  <c r="G494" i="24"/>
  <c r="K470" i="24"/>
  <c r="G468" i="24"/>
  <c r="K451" i="24"/>
  <c r="C442" i="24"/>
  <c r="G439" i="24"/>
  <c r="G436" i="24"/>
  <c r="C422" i="24"/>
  <c r="K418" i="24"/>
  <c r="K401" i="24"/>
  <c r="G400" i="24"/>
  <c r="C398" i="24"/>
  <c r="K391" i="24"/>
  <c r="G389" i="24"/>
  <c r="C387" i="24"/>
  <c r="K380" i="24"/>
  <c r="G378" i="24"/>
  <c r="C376" i="24"/>
  <c r="K369" i="24"/>
  <c r="G367" i="24"/>
  <c r="C365" i="24"/>
  <c r="K358" i="24"/>
  <c r="G356" i="24"/>
  <c r="C354" i="24"/>
  <c r="AB356" i="22" s="1"/>
  <c r="K347" i="24"/>
  <c r="G345" i="24"/>
  <c r="C343" i="24"/>
  <c r="K336" i="24"/>
  <c r="G334" i="24"/>
  <c r="C332" i="24"/>
  <c r="K325" i="24"/>
  <c r="G323" i="24"/>
  <c r="C321" i="24"/>
  <c r="K502" i="24"/>
  <c r="K480" i="24"/>
  <c r="K478" i="24"/>
  <c r="G472" i="24"/>
  <c r="K466" i="24"/>
  <c r="K464" i="24"/>
  <c r="C445" i="24"/>
  <c r="K427" i="24"/>
  <c r="G423" i="24"/>
  <c r="C487" i="24"/>
  <c r="G480" i="24"/>
  <c r="G478" i="24"/>
  <c r="G474" i="24"/>
  <c r="K462" i="24"/>
  <c r="K460" i="24"/>
  <c r="G451" i="24"/>
  <c r="K484" i="24"/>
  <c r="C468" i="24"/>
  <c r="AB470" i="22" s="1"/>
  <c r="G464" i="24"/>
  <c r="C448" i="24"/>
  <c r="C433" i="24"/>
  <c r="K424" i="24"/>
  <c r="G418" i="24"/>
  <c r="K507" i="24"/>
  <c r="G499" i="24"/>
  <c r="G482" i="24"/>
  <c r="C480" i="24"/>
  <c r="C466" i="24"/>
  <c r="G462" i="24"/>
  <c r="K449" i="24"/>
  <c r="K440" i="24"/>
  <c r="K437" i="24"/>
  <c r="K402" i="24"/>
  <c r="G401" i="24"/>
  <c r="C400" i="24"/>
  <c r="K393" i="24"/>
  <c r="G391" i="24"/>
  <c r="C389" i="24"/>
  <c r="K382" i="24"/>
  <c r="G380" i="24"/>
  <c r="C378" i="24"/>
  <c r="AB380" i="22" s="1"/>
  <c r="K371" i="24"/>
  <c r="G369" i="24"/>
  <c r="C367" i="24"/>
  <c r="K360" i="24"/>
  <c r="G358" i="24"/>
  <c r="C356" i="24"/>
  <c r="K349" i="24"/>
  <c r="G347" i="24"/>
  <c r="C345" i="24"/>
  <c r="K338" i="24"/>
  <c r="G336" i="24"/>
  <c r="C334" i="24"/>
  <c r="K327" i="24"/>
  <c r="G325" i="24"/>
  <c r="C323" i="24"/>
  <c r="K316" i="24"/>
  <c r="G314" i="24"/>
  <c r="K491" i="24"/>
  <c r="C478" i="24"/>
  <c r="C423" i="24"/>
  <c r="AB425" i="22" s="1"/>
  <c r="G407" i="24"/>
  <c r="G484" i="24"/>
  <c r="C462" i="24"/>
  <c r="K456" i="24"/>
  <c r="G437" i="24"/>
  <c r="C418" i="24"/>
  <c r="K414" i="24"/>
  <c r="G413" i="24"/>
  <c r="C412" i="24"/>
  <c r="K394" i="24"/>
  <c r="G392" i="24"/>
  <c r="C390" i="24"/>
  <c r="K383" i="24"/>
  <c r="G381" i="24"/>
  <c r="C379" i="24"/>
  <c r="K372" i="24"/>
  <c r="G370" i="24"/>
  <c r="C368" i="24"/>
  <c r="AB370" i="22" s="1"/>
  <c r="C507" i="24"/>
  <c r="AB509" i="22" s="1"/>
  <c r="C496" i="24"/>
  <c r="G486" i="24"/>
  <c r="C458" i="24"/>
  <c r="AB460" i="22" s="1"/>
  <c r="K454" i="24"/>
  <c r="G434" i="24"/>
  <c r="K431" i="24"/>
  <c r="C427" i="24"/>
  <c r="G424" i="24"/>
  <c r="K420" i="24"/>
  <c r="C491" i="24"/>
  <c r="G449" i="24"/>
  <c r="C446" i="24"/>
  <c r="C443" i="24"/>
  <c r="G440" i="24"/>
  <c r="G461" i="24"/>
  <c r="G425" i="24"/>
  <c r="C421" i="24"/>
  <c r="G415" i="24"/>
  <c r="K411" i="24"/>
  <c r="C380" i="24"/>
  <c r="C373" i="24"/>
  <c r="AB375" i="22" s="1"/>
  <c r="K364" i="24"/>
  <c r="C359" i="24"/>
  <c r="K356" i="24"/>
  <c r="C351" i="24"/>
  <c r="AB353" i="22" s="1"/>
  <c r="G340" i="24"/>
  <c r="G332" i="24"/>
  <c r="G328" i="24"/>
  <c r="C312" i="24"/>
  <c r="K305" i="24"/>
  <c r="G303" i="24"/>
  <c r="C301" i="24"/>
  <c r="K294" i="24"/>
  <c r="G292" i="24"/>
  <c r="C290" i="24"/>
  <c r="K283" i="24"/>
  <c r="G281" i="24"/>
  <c r="C279" i="24"/>
  <c r="K272" i="24"/>
  <c r="G270" i="24"/>
  <c r="C268" i="24"/>
  <c r="AB270" i="22" s="1"/>
  <c r="K261" i="24"/>
  <c r="G259" i="24"/>
  <c r="C257" i="24"/>
  <c r="G479" i="24"/>
  <c r="C461" i="24"/>
  <c r="G404" i="24"/>
  <c r="G396" i="24"/>
  <c r="G387" i="24"/>
  <c r="C370" i="24"/>
  <c r="C355" i="24"/>
  <c r="G348" i="24"/>
  <c r="K329" i="24"/>
  <c r="K324" i="24"/>
  <c r="C318" i="24"/>
  <c r="C483" i="24"/>
  <c r="C479" i="24"/>
  <c r="G445" i="24"/>
  <c r="K495" i="24"/>
  <c r="C486" i="24"/>
  <c r="G475" i="24"/>
  <c r="K467" i="24"/>
  <c r="K450" i="24"/>
  <c r="K444" i="24"/>
  <c r="G442" i="24"/>
  <c r="C425" i="24"/>
  <c r="AB427" i="22" s="1"/>
  <c r="G402" i="24"/>
  <c r="G399" i="24"/>
  <c r="C393" i="24"/>
  <c r="AB395" i="22" s="1"/>
  <c r="K381" i="24"/>
  <c r="G374" i="24"/>
  <c r="C432" i="24"/>
  <c r="K429" i="24"/>
  <c r="K422" i="24"/>
  <c r="G411" i="24"/>
  <c r="K490" i="24"/>
  <c r="C467" i="24"/>
  <c r="C411" i="24"/>
  <c r="K407" i="24"/>
  <c r="K397" i="24"/>
  <c r="C396" i="24"/>
  <c r="K388" i="24"/>
  <c r="K385" i="24"/>
  <c r="K378" i="24"/>
  <c r="C377" i="24"/>
  <c r="K361" i="24"/>
  <c r="C344" i="24"/>
  <c r="AB346" i="22" s="1"/>
  <c r="G337" i="24"/>
  <c r="G329" i="24"/>
  <c r="C504" i="24"/>
  <c r="AB506" i="22" s="1"/>
  <c r="K453" i="24"/>
  <c r="C434" i="24"/>
  <c r="AB436" i="22" s="1"/>
  <c r="K405" i="24"/>
  <c r="C402" i="24"/>
  <c r="K400" i="24"/>
  <c r="G394" i="24"/>
  <c r="C381" i="24"/>
  <c r="C374" i="24"/>
  <c r="K365" i="24"/>
  <c r="C495" i="24"/>
  <c r="C456" i="24"/>
  <c r="C447" i="24"/>
  <c r="G429" i="24"/>
  <c r="G422" i="24"/>
  <c r="K416" i="24"/>
  <c r="C371" i="24"/>
  <c r="C364" i="24"/>
  <c r="G361" i="24"/>
  <c r="G463" i="24"/>
  <c r="K459" i="24"/>
  <c r="K452" i="24"/>
  <c r="G431" i="24"/>
  <c r="K403" i="24"/>
  <c r="G397" i="24"/>
  <c r="C391" i="24"/>
  <c r="AB393" i="22" s="1"/>
  <c r="G428" i="24"/>
  <c r="K415" i="24"/>
  <c r="K412" i="24"/>
  <c r="C386" i="24"/>
  <c r="C340" i="24"/>
  <c r="G338" i="24"/>
  <c r="K333" i="24"/>
  <c r="G327" i="24"/>
  <c r="K315" i="24"/>
  <c r="K311" i="24"/>
  <c r="K295" i="24"/>
  <c r="G294" i="24"/>
  <c r="C293" i="24"/>
  <c r="K289" i="24"/>
  <c r="G288" i="24"/>
  <c r="C287" i="24"/>
  <c r="AB289" i="22" s="1"/>
  <c r="G271" i="24"/>
  <c r="C270" i="24"/>
  <c r="K266" i="24"/>
  <c r="G265" i="24"/>
  <c r="C264" i="24"/>
  <c r="AB266" i="22" s="1"/>
  <c r="K260" i="24"/>
  <c r="G501" i="24"/>
  <c r="K485" i="24"/>
  <c r="C449" i="24"/>
  <c r="G444" i="24"/>
  <c r="G412" i="24"/>
  <c r="K409" i="24"/>
  <c r="C392" i="24"/>
  <c r="C372" i="24"/>
  <c r="G364" i="24"/>
  <c r="K353" i="24"/>
  <c r="C350" i="24"/>
  <c r="K348" i="24"/>
  <c r="C335" i="24"/>
  <c r="G324" i="24"/>
  <c r="K246" i="24"/>
  <c r="G244" i="24"/>
  <c r="C242" i="24"/>
  <c r="AB244" i="22" s="1"/>
  <c r="K235" i="24"/>
  <c r="G233" i="24"/>
  <c r="C231" i="24"/>
  <c r="AB233" i="22" s="1"/>
  <c r="K224" i="24"/>
  <c r="G222" i="24"/>
  <c r="C220" i="24"/>
  <c r="K213" i="24"/>
  <c r="G211" i="24"/>
  <c r="C209" i="24"/>
  <c r="G485" i="24"/>
  <c r="C444" i="24"/>
  <c r="C440" i="24"/>
  <c r="C424" i="24"/>
  <c r="G421" i="24"/>
  <c r="G409" i="24"/>
  <c r="K396" i="24"/>
  <c r="C394" i="24"/>
  <c r="C501" i="24"/>
  <c r="C409" i="24"/>
  <c r="C401" i="24"/>
  <c r="AB403" i="22" s="1"/>
  <c r="K398" i="24"/>
  <c r="K465" i="24"/>
  <c r="G454" i="24"/>
  <c r="K435" i="24"/>
  <c r="K406" i="24"/>
  <c r="G360" i="24"/>
  <c r="K351" i="24"/>
  <c r="C338" i="24"/>
  <c r="K331" i="24"/>
  <c r="K328" i="24"/>
  <c r="C327" i="24"/>
  <c r="G311" i="24"/>
  <c r="K296" i="24"/>
  <c r="G295" i="24"/>
  <c r="G459" i="24"/>
  <c r="K439" i="24"/>
  <c r="C431" i="24"/>
  <c r="G403" i="24"/>
  <c r="G414" i="24"/>
  <c r="K379" i="24"/>
  <c r="K375" i="24"/>
  <c r="K373" i="24"/>
  <c r="C362" i="24"/>
  <c r="AB364" i="22" s="1"/>
  <c r="C360" i="24"/>
  <c r="K322" i="24"/>
  <c r="G307" i="24"/>
  <c r="C306" i="24"/>
  <c r="AB308" i="22" s="1"/>
  <c r="K302" i="24"/>
  <c r="G301" i="24"/>
  <c r="C300" i="24"/>
  <c r="K285" i="24"/>
  <c r="G284" i="24"/>
  <c r="C283" i="24"/>
  <c r="K279" i="24"/>
  <c r="G278" i="24"/>
  <c r="C277" i="24"/>
  <c r="K262" i="24"/>
  <c r="G261" i="24"/>
  <c r="C260" i="24"/>
  <c r="K256" i="24"/>
  <c r="G492" i="24"/>
  <c r="C477" i="24"/>
  <c r="K448" i="24"/>
  <c r="K438" i="24"/>
  <c r="G420" i="24"/>
  <c r="G398" i="24"/>
  <c r="G383" i="24"/>
  <c r="C353" i="24"/>
  <c r="C346" i="24"/>
  <c r="AB348" i="22" s="1"/>
  <c r="K339" i="24"/>
  <c r="K319" i="24"/>
  <c r="K308" i="24"/>
  <c r="C498" i="24"/>
  <c r="G465" i="24"/>
  <c r="C459" i="24"/>
  <c r="G452" i="24"/>
  <c r="G435" i="24"/>
  <c r="C420" i="24"/>
  <c r="K377" i="24"/>
  <c r="G375" i="24"/>
  <c r="G351" i="24"/>
  <c r="K344" i="24"/>
  <c r="C341" i="24"/>
  <c r="C336" i="24"/>
  <c r="K334" i="24"/>
  <c r="G331" i="24"/>
  <c r="C311" i="24"/>
  <c r="AB313" i="22" s="1"/>
  <c r="K297" i="24"/>
  <c r="G296" i="24"/>
  <c r="C295" i="24"/>
  <c r="K291" i="24"/>
  <c r="G290" i="24"/>
  <c r="C289" i="24"/>
  <c r="AB291" i="22" s="1"/>
  <c r="K274" i="24"/>
  <c r="K506" i="24"/>
  <c r="C490" i="24"/>
  <c r="C465" i="24"/>
  <c r="K423" i="24"/>
  <c r="K417" i="24"/>
  <c r="C414" i="24"/>
  <c r="G377" i="24"/>
  <c r="G373" i="24"/>
  <c r="K363" i="24"/>
  <c r="K354" i="24"/>
  <c r="G344" i="24"/>
  <c r="K342" i="24"/>
  <c r="G339" i="24"/>
  <c r="C328" i="24"/>
  <c r="AB330" i="22" s="1"/>
  <c r="C325" i="24"/>
  <c r="AB327" i="22" s="1"/>
  <c r="G322" i="24"/>
  <c r="K313" i="24"/>
  <c r="C408" i="24"/>
  <c r="K399" i="24"/>
  <c r="C395" i="24"/>
  <c r="G372" i="24"/>
  <c r="C369" i="24"/>
  <c r="C358" i="24"/>
  <c r="K350" i="24"/>
  <c r="C348" i="24"/>
  <c r="G343" i="24"/>
  <c r="C331" i="24"/>
  <c r="C273" i="24"/>
  <c r="K267" i="24"/>
  <c r="C266" i="24"/>
  <c r="G263" i="24"/>
  <c r="G256" i="24"/>
  <c r="C204" i="24"/>
  <c r="K197" i="24"/>
  <c r="K425" i="24"/>
  <c r="C403" i="24"/>
  <c r="K384" i="24"/>
  <c r="C375" i="24"/>
  <c r="K366" i="24"/>
  <c r="C481" i="24"/>
  <c r="C469" i="24"/>
  <c r="AB471" i="22" s="1"/>
  <c r="C457" i="24"/>
  <c r="AB459" i="22" s="1"/>
  <c r="G438" i="24"/>
  <c r="C399" i="24"/>
  <c r="K387" i="24"/>
  <c r="K340" i="24"/>
  <c r="K306" i="24"/>
  <c r="C303" i="24"/>
  <c r="K301" i="24"/>
  <c r="G298" i="24"/>
  <c r="G260" i="24"/>
  <c r="C419" i="24"/>
  <c r="G384" i="24"/>
  <c r="G495" i="24"/>
  <c r="K413" i="24"/>
  <c r="C413" i="24"/>
  <c r="C384" i="24"/>
  <c r="G371" i="24"/>
  <c r="C366" i="24"/>
  <c r="C363" i="24"/>
  <c r="AB365" i="22" s="1"/>
  <c r="K335" i="24"/>
  <c r="K330" i="24"/>
  <c r="K293" i="24"/>
  <c r="K290" i="24"/>
  <c r="K287" i="24"/>
  <c r="C286" i="24"/>
  <c r="K284" i="24"/>
  <c r="C280" i="24"/>
  <c r="C438" i="24"/>
  <c r="C407" i="24"/>
  <c r="G355" i="24"/>
  <c r="K352" i="24"/>
  <c r="G315" i="24"/>
  <c r="G313" i="24"/>
  <c r="K309" i="24"/>
  <c r="K304" i="24"/>
  <c r="C298" i="24"/>
  <c r="K455" i="24"/>
  <c r="K390" i="24"/>
  <c r="K386" i="24"/>
  <c r="G365" i="24"/>
  <c r="K357" i="24"/>
  <c r="G342" i="24"/>
  <c r="K337" i="24"/>
  <c r="C326" i="24"/>
  <c r="AB328" i="22" s="1"/>
  <c r="K299" i="24"/>
  <c r="G293" i="24"/>
  <c r="K281" i="24"/>
  <c r="K278" i="24"/>
  <c r="K275" i="24"/>
  <c r="C274" i="24"/>
  <c r="C267" i="24"/>
  <c r="G264" i="24"/>
  <c r="G257" i="24"/>
  <c r="K249" i="24"/>
  <c r="G248" i="24"/>
  <c r="C247" i="24"/>
  <c r="K243" i="24"/>
  <c r="G242" i="24"/>
  <c r="C241" i="24"/>
  <c r="G493" i="24"/>
  <c r="G393" i="24"/>
  <c r="G390" i="24"/>
  <c r="K374" i="24"/>
  <c r="K368" i="24"/>
  <c r="G352" i="24"/>
  <c r="G335" i="24"/>
  <c r="G319" i="24"/>
  <c r="G317" i="24"/>
  <c r="C315" i="24"/>
  <c r="C313" i="24"/>
  <c r="G304" i="24"/>
  <c r="C452" i="24"/>
  <c r="K389" i="24"/>
  <c r="C383" i="24"/>
  <c r="G362" i="24"/>
  <c r="C347" i="24"/>
  <c r="K310" i="24"/>
  <c r="C308" i="24"/>
  <c r="K288" i="24"/>
  <c r="K286" i="24"/>
  <c r="C271" i="24"/>
  <c r="C263" i="24"/>
  <c r="AB265" i="22" s="1"/>
  <c r="G258" i="24"/>
  <c r="G252" i="24"/>
  <c r="C235" i="24"/>
  <c r="AB237" i="22" s="1"/>
  <c r="C230" i="24"/>
  <c r="K227" i="24"/>
  <c r="K222" i="24"/>
  <c r="K208" i="24"/>
  <c r="K202" i="24"/>
  <c r="K194" i="24"/>
  <c r="G192" i="24"/>
  <c r="C190" i="24"/>
  <c r="K183" i="24"/>
  <c r="G181" i="24"/>
  <c r="C179" i="24"/>
  <c r="K172" i="24"/>
  <c r="G170" i="24"/>
  <c r="C168" i="24"/>
  <c r="K161" i="24"/>
  <c r="G159" i="24"/>
  <c r="C152" i="24"/>
  <c r="K148" i="24"/>
  <c r="G147" i="24"/>
  <c r="C141" i="24"/>
  <c r="AB143" i="22" s="1"/>
  <c r="K137" i="24"/>
  <c r="G136" i="24"/>
  <c r="C130" i="24"/>
  <c r="K126" i="24"/>
  <c r="G125" i="24"/>
  <c r="C119" i="24"/>
  <c r="AB121" i="22" s="1"/>
  <c r="K115" i="24"/>
  <c r="G114" i="24"/>
  <c r="K110" i="24"/>
  <c r="C100" i="24"/>
  <c r="G96" i="24"/>
  <c r="G416" i="24"/>
  <c r="K321" i="24"/>
  <c r="K282" i="24"/>
  <c r="K269" i="24"/>
  <c r="G266" i="24"/>
  <c r="G240" i="24"/>
  <c r="G236" i="24"/>
  <c r="G231" i="24"/>
  <c r="C221" i="24"/>
  <c r="C216" i="24"/>
  <c r="G201" i="24"/>
  <c r="G405" i="24"/>
  <c r="G376" i="24"/>
  <c r="G354" i="24"/>
  <c r="G330" i="24"/>
  <c r="K292" i="24"/>
  <c r="C284" i="24"/>
  <c r="AB286" i="22" s="1"/>
  <c r="K280" i="24"/>
  <c r="K264" i="24"/>
  <c r="C258" i="24"/>
  <c r="C255" i="24"/>
  <c r="K237" i="24"/>
  <c r="K426" i="24"/>
  <c r="C397" i="24"/>
  <c r="G385" i="24"/>
  <c r="G321" i="24"/>
  <c r="G286" i="24"/>
  <c r="G282" i="24"/>
  <c r="K276" i="24"/>
  <c r="K253" i="24"/>
  <c r="C248" i="24"/>
  <c r="K245" i="24"/>
  <c r="C244" i="24"/>
  <c r="K241" i="24"/>
  <c r="C226" i="24"/>
  <c r="K218" i="24"/>
  <c r="C405" i="24"/>
  <c r="C385" i="24"/>
  <c r="AB387" i="22" s="1"/>
  <c r="G366" i="24"/>
  <c r="C330" i="24"/>
  <c r="AB332" i="22" s="1"/>
  <c r="K318" i="24"/>
  <c r="G310" i="24"/>
  <c r="K307" i="24"/>
  <c r="G280" i="24"/>
  <c r="C261" i="24"/>
  <c r="C252" i="24"/>
  <c r="C240" i="24"/>
  <c r="G227" i="24"/>
  <c r="G213" i="24"/>
  <c r="G208" i="24"/>
  <c r="G202" i="24"/>
  <c r="G194" i="24"/>
  <c r="C192" i="24"/>
  <c r="AB194" i="22" s="1"/>
  <c r="K185" i="24"/>
  <c r="G183" i="24"/>
  <c r="C181" i="24"/>
  <c r="K174" i="24"/>
  <c r="G172" i="24"/>
  <c r="C170" i="24"/>
  <c r="AB172" i="22" s="1"/>
  <c r="K163" i="24"/>
  <c r="G161" i="24"/>
  <c r="C159" i="24"/>
  <c r="C153" i="24"/>
  <c r="K149" i="24"/>
  <c r="G148" i="24"/>
  <c r="C142" i="24"/>
  <c r="K503" i="24"/>
  <c r="G350" i="24"/>
  <c r="K346" i="24"/>
  <c r="K343" i="24"/>
  <c r="C324" i="24"/>
  <c r="K312" i="24"/>
  <c r="C310" i="24"/>
  <c r="G305" i="24"/>
  <c r="K298" i="24"/>
  <c r="C296" i="24"/>
  <c r="C282" i="24"/>
  <c r="AB284" i="22" s="1"/>
  <c r="G269" i="24"/>
  <c r="G249" i="24"/>
  <c r="G245" i="24"/>
  <c r="C236" i="24"/>
  <c r="AB238" i="22" s="1"/>
  <c r="K228" i="24"/>
  <c r="K223" i="24"/>
  <c r="C217" i="24"/>
  <c r="K214" i="24"/>
  <c r="K209" i="24"/>
  <c r="C201" i="24"/>
  <c r="K196" i="24"/>
  <c r="K111" i="24"/>
  <c r="C101" i="24"/>
  <c r="G97" i="24"/>
  <c r="C437" i="24"/>
  <c r="G426" i="24"/>
  <c r="K370" i="24"/>
  <c r="G357" i="24"/>
  <c r="G333" i="24"/>
  <c r="G318" i="24"/>
  <c r="G312" i="24"/>
  <c r="C294" i="24"/>
  <c r="C292" i="24"/>
  <c r="C288" i="24"/>
  <c r="AB290" i="22" s="1"/>
  <c r="C278" i="24"/>
  <c r="G274" i="24"/>
  <c r="K259" i="24"/>
  <c r="K395" i="24"/>
  <c r="G379" i="24"/>
  <c r="G349" i="24"/>
  <c r="G346" i="24"/>
  <c r="C333" i="24"/>
  <c r="C307" i="24"/>
  <c r="C305" i="24"/>
  <c r="K300" i="24"/>
  <c r="G276" i="24"/>
  <c r="G272" i="24"/>
  <c r="C269" i="24"/>
  <c r="G253" i="24"/>
  <c r="K250" i="24"/>
  <c r="K238" i="24"/>
  <c r="K233" i="24"/>
  <c r="G223" i="24"/>
  <c r="K219" i="24"/>
  <c r="G203" i="24"/>
  <c r="K436" i="24"/>
  <c r="C357" i="24"/>
  <c r="K332" i="24"/>
  <c r="K323" i="24"/>
  <c r="G267" i="24"/>
  <c r="C253" i="24"/>
  <c r="AB255" i="22" s="1"/>
  <c r="K242" i="24"/>
  <c r="C232" i="24"/>
  <c r="C227" i="24"/>
  <c r="C213" i="24"/>
  <c r="C208" i="24"/>
  <c r="C202" i="24"/>
  <c r="G196" i="24"/>
  <c r="C194" i="24"/>
  <c r="K187" i="24"/>
  <c r="G185" i="24"/>
  <c r="C183" i="24"/>
  <c r="K176" i="24"/>
  <c r="G174" i="24"/>
  <c r="C172" i="24"/>
  <c r="K165" i="24"/>
  <c r="G163" i="24"/>
  <c r="C161" i="24"/>
  <c r="C154" i="24"/>
  <c r="AB156" i="22" s="1"/>
  <c r="K150" i="24"/>
  <c r="G149" i="24"/>
  <c r="C143" i="24"/>
  <c r="AB145" i="22" s="1"/>
  <c r="K139" i="24"/>
  <c r="G138" i="24"/>
  <c r="C132" i="24"/>
  <c r="K128" i="24"/>
  <c r="G127" i="24"/>
  <c r="C352" i="24"/>
  <c r="C319" i="24"/>
  <c r="G309" i="24"/>
  <c r="C281" i="24"/>
  <c r="K257" i="24"/>
  <c r="K240" i="24"/>
  <c r="G232" i="24"/>
  <c r="C212" i="24"/>
  <c r="G191" i="24"/>
  <c r="C174" i="24"/>
  <c r="C167" i="24"/>
  <c r="K158" i="24"/>
  <c r="G144" i="24"/>
  <c r="G141" i="24"/>
  <c r="C134" i="24"/>
  <c r="AB136" i="22" s="1"/>
  <c r="G124" i="24"/>
  <c r="K117" i="24"/>
  <c r="C116" i="24"/>
  <c r="K113" i="24"/>
  <c r="C112" i="24"/>
  <c r="C102" i="24"/>
  <c r="K96" i="24"/>
  <c r="K92" i="24"/>
  <c r="C82" i="24"/>
  <c r="C78" i="24"/>
  <c r="G71" i="24"/>
  <c r="C67" i="24"/>
  <c r="G64" i="24"/>
  <c r="K59" i="24"/>
  <c r="C54" i="24"/>
  <c r="G52" i="24"/>
  <c r="K48" i="24"/>
  <c r="K46" i="24"/>
  <c r="K34" i="24"/>
  <c r="G27" i="24"/>
  <c r="AB29" i="22" s="1"/>
  <c r="K11" i="24"/>
  <c r="G469" i="24"/>
  <c r="C382" i="24"/>
  <c r="AB384" i="22" s="1"/>
  <c r="C329" i="24"/>
  <c r="AB331" i="22" s="1"/>
  <c r="C291" i="24"/>
  <c r="G287" i="24"/>
  <c r="K268" i="24"/>
  <c r="G255" i="24"/>
  <c r="G221" i="24"/>
  <c r="K217" i="24"/>
  <c r="G210" i="24"/>
  <c r="C205" i="24"/>
  <c r="G188" i="24"/>
  <c r="K175" i="24"/>
  <c r="G171" i="24"/>
  <c r="C164" i="24"/>
  <c r="G155" i="24"/>
  <c r="G152" i="24"/>
  <c r="K147" i="24"/>
  <c r="K135" i="24"/>
  <c r="G131" i="24"/>
  <c r="K121" i="24"/>
  <c r="C120" i="24"/>
  <c r="G109" i="24"/>
  <c r="K103" i="24"/>
  <c r="G99" i="24"/>
  <c r="C91" i="24"/>
  <c r="G87" i="24"/>
  <c r="K79" i="24"/>
  <c r="K68" i="24"/>
  <c r="C61" i="24"/>
  <c r="G44" i="24"/>
  <c r="K29" i="24"/>
  <c r="G22" i="24"/>
  <c r="G14" i="24"/>
  <c r="K463" i="24"/>
  <c r="K345" i="24"/>
  <c r="C314" i="24"/>
  <c r="K265" i="24"/>
  <c r="G246" i="24"/>
  <c r="K244" i="24"/>
  <c r="C238" i="24"/>
  <c r="C234" i="24"/>
  <c r="AB236" i="22" s="1"/>
  <c r="G228" i="24"/>
  <c r="K203" i="24"/>
  <c r="C197" i="24"/>
  <c r="G178" i="24"/>
  <c r="C339" i="24"/>
  <c r="AB341" i="22" s="1"/>
  <c r="K277" i="24"/>
  <c r="K271" i="24"/>
  <c r="K248" i="24"/>
  <c r="G230" i="24"/>
  <c r="K226" i="24"/>
  <c r="C219" i="24"/>
  <c r="G217" i="24"/>
  <c r="G215" i="24"/>
  <c r="C210" i="24"/>
  <c r="G200" i="24"/>
  <c r="K198" i="24"/>
  <c r="K195" i="24"/>
  <c r="K192" i="24"/>
  <c r="C191" i="24"/>
  <c r="G175" i="24"/>
  <c r="C463" i="24"/>
  <c r="C309" i="24"/>
  <c r="AB311" i="22" s="1"/>
  <c r="G277" i="24"/>
  <c r="G268" i="24"/>
  <c r="G250" i="24"/>
  <c r="K206" i="24"/>
  <c r="K189" i="24"/>
  <c r="K182" i="24"/>
  <c r="G388" i="24"/>
  <c r="K317" i="24"/>
  <c r="G262" i="24"/>
  <c r="K254" i="24"/>
  <c r="C246" i="24"/>
  <c r="C228" i="24"/>
  <c r="G224" i="24"/>
  <c r="C200" i="24"/>
  <c r="G195" i="24"/>
  <c r="C188" i="24"/>
  <c r="K179" i="24"/>
  <c r="K162" i="24"/>
  <c r="G150" i="24"/>
  <c r="K145" i="24"/>
  <c r="K142" i="24"/>
  <c r="G135" i="24"/>
  <c r="C128" i="24"/>
  <c r="AB130" i="22" s="1"/>
  <c r="K107" i="24"/>
  <c r="G103" i="24"/>
  <c r="C96" i="24"/>
  <c r="AB98" i="22" s="1"/>
  <c r="K93" i="24"/>
  <c r="C83" i="24"/>
  <c r="AB85" i="22" s="1"/>
  <c r="K76" i="24"/>
  <c r="K62" i="24"/>
  <c r="C59" i="24"/>
  <c r="K55" i="24"/>
  <c r="C48" i="24"/>
  <c r="C46" i="24"/>
  <c r="K31" i="24"/>
  <c r="G24" i="24"/>
  <c r="G19" i="24"/>
  <c r="G297" i="24"/>
  <c r="G283" i="24"/>
  <c r="K252" i="24"/>
  <c r="C203" i="24"/>
  <c r="C185" i="24"/>
  <c r="C178" i="24"/>
  <c r="K169" i="24"/>
  <c r="K156" i="24"/>
  <c r="K153" i="24"/>
  <c r="C147" i="24"/>
  <c r="AB149" i="22" s="1"/>
  <c r="K129" i="24"/>
  <c r="K122" i="24"/>
  <c r="C121" i="24"/>
  <c r="K118" i="24"/>
  <c r="C117" i="24"/>
  <c r="K114" i="24"/>
  <c r="C113" i="24"/>
  <c r="K97" i="24"/>
  <c r="C92" i="24"/>
  <c r="G88" i="24"/>
  <c r="K80" i="24"/>
  <c r="C79" i="24"/>
  <c r="G72" i="24"/>
  <c r="C68" i="24"/>
  <c r="G57" i="24"/>
  <c r="T49" i="24"/>
  <c r="C349" i="24"/>
  <c r="K273" i="24"/>
  <c r="K270" i="24"/>
  <c r="G254" i="24"/>
  <c r="G226" i="24"/>
  <c r="K220" i="24"/>
  <c r="C215" i="24"/>
  <c r="AB217" i="22" s="1"/>
  <c r="G206" i="24"/>
  <c r="G198" i="24"/>
  <c r="C195" i="24"/>
  <c r="K186" i="24"/>
  <c r="G182" i="24"/>
  <c r="C175" i="24"/>
  <c r="K166" i="24"/>
  <c r="G162" i="24"/>
  <c r="K159" i="24"/>
  <c r="C158" i="24"/>
  <c r="C150" i="24"/>
  <c r="C135" i="24"/>
  <c r="G132" i="24"/>
  <c r="G110" i="24"/>
  <c r="C103" i="24"/>
  <c r="K89" i="24"/>
  <c r="K69" i="24"/>
  <c r="G65" i="24"/>
  <c r="C388" i="24"/>
  <c r="AB390" i="22" s="1"/>
  <c r="G363" i="24"/>
  <c r="G300" i="24"/>
  <c r="C265" i="24"/>
  <c r="AB267" i="22" s="1"/>
  <c r="C250" i="24"/>
  <c r="AB252" i="22" s="1"/>
  <c r="K239" i="24"/>
  <c r="K211" i="24"/>
  <c r="K201" i="24"/>
  <c r="G189" i="24"/>
  <c r="C165" i="24"/>
  <c r="G142" i="24"/>
  <c r="G139" i="24"/>
  <c r="K136" i="24"/>
  <c r="C125" i="24"/>
  <c r="C110" i="24"/>
  <c r="K104" i="24"/>
  <c r="G100" i="24"/>
  <c r="C88" i="24"/>
  <c r="G84" i="24"/>
  <c r="G76" i="24"/>
  <c r="C72" i="24"/>
  <c r="C317" i="24"/>
  <c r="AB319" i="22" s="1"/>
  <c r="G395" i="24"/>
  <c r="K362" i="24"/>
  <c r="K326" i="24"/>
  <c r="C304" i="24"/>
  <c r="AB306" i="22" s="1"/>
  <c r="C297" i="24"/>
  <c r="AB299" i="22" s="1"/>
  <c r="C276" i="24"/>
  <c r="G273" i="24"/>
  <c r="K314" i="24"/>
  <c r="C285" i="24"/>
  <c r="C262" i="24"/>
  <c r="C249" i="24"/>
  <c r="C245" i="24"/>
  <c r="C207" i="24"/>
  <c r="G193" i="24"/>
  <c r="K181" i="24"/>
  <c r="C127" i="24"/>
  <c r="G123" i="24"/>
  <c r="K119" i="24"/>
  <c r="G112" i="24"/>
  <c r="G108" i="24"/>
  <c r="G106" i="24"/>
  <c r="G104" i="24"/>
  <c r="K100" i="24"/>
  <c r="K94" i="24"/>
  <c r="G82" i="24"/>
  <c r="G80" i="24"/>
  <c r="C69" i="24"/>
  <c r="AB71" i="22" s="1"/>
  <c r="K67" i="24"/>
  <c r="K57" i="24"/>
  <c r="K392" i="24"/>
  <c r="G359" i="24"/>
  <c r="G306" i="24"/>
  <c r="G291" i="24"/>
  <c r="C272" i="24"/>
  <c r="G237" i="24"/>
  <c r="G218" i="24"/>
  <c r="G209" i="24"/>
  <c r="K188" i="24"/>
  <c r="K140" i="24"/>
  <c r="C89" i="24"/>
  <c r="K87" i="24"/>
  <c r="K85" i="24"/>
  <c r="K78" i="24"/>
  <c r="C55" i="24"/>
  <c r="AB57" i="22" s="1"/>
  <c r="T52" i="24"/>
  <c r="K40" i="24"/>
  <c r="G32" i="24"/>
  <c r="AB34" i="22" s="1"/>
  <c r="G29" i="24"/>
  <c r="AB31" i="22" s="1"/>
  <c r="K23" i="24"/>
  <c r="K14" i="24"/>
  <c r="G11" i="24"/>
  <c r="K7" i="24"/>
  <c r="G410" i="24"/>
  <c r="G386" i="24"/>
  <c r="K234" i="24"/>
  <c r="K215" i="24"/>
  <c r="C193" i="24"/>
  <c r="K190" i="24"/>
  <c r="K167" i="24"/>
  <c r="G151" i="24"/>
  <c r="C149" i="24"/>
  <c r="C123" i="24"/>
  <c r="G121" i="24"/>
  <c r="C108" i="24"/>
  <c r="AB110" i="22" s="1"/>
  <c r="C106" i="24"/>
  <c r="C104" i="24"/>
  <c r="G102" i="24"/>
  <c r="G98" i="24"/>
  <c r="C80" i="24"/>
  <c r="K65" i="24"/>
  <c r="K63" i="24"/>
  <c r="G48" i="24"/>
  <c r="G43" i="24"/>
  <c r="C322" i="24"/>
  <c r="C237" i="24"/>
  <c r="C225" i="24"/>
  <c r="C218" i="24"/>
  <c r="C198" i="24"/>
  <c r="C176" i="24"/>
  <c r="G153" i="24"/>
  <c r="G450" i="24"/>
  <c r="G368" i="24"/>
  <c r="C256" i="24"/>
  <c r="G234" i="24"/>
  <c r="C224" i="24"/>
  <c r="K212" i="24"/>
  <c r="C206" i="24"/>
  <c r="G169" i="24"/>
  <c r="C151" i="24"/>
  <c r="AB153" i="22" s="1"/>
  <c r="K134" i="24"/>
  <c r="G119" i="24"/>
  <c r="C98" i="24"/>
  <c r="AB100" i="22" s="1"/>
  <c r="G94" i="24"/>
  <c r="G78" i="24"/>
  <c r="C76" i="24"/>
  <c r="C65" i="24"/>
  <c r="G59" i="24"/>
  <c r="K50" i="24"/>
  <c r="G40" i="24"/>
  <c r="G23" i="24"/>
  <c r="K10" i="24"/>
  <c r="G7" i="24"/>
  <c r="K355" i="24"/>
  <c r="C342" i="24"/>
  <c r="K320" i="24"/>
  <c r="G289" i="24"/>
  <c r="K221" i="24"/>
  <c r="G212" i="24"/>
  <c r="K178" i="24"/>
  <c r="K173" i="24"/>
  <c r="K157" i="24"/>
  <c r="K155" i="24"/>
  <c r="G140" i="24"/>
  <c r="K138" i="24"/>
  <c r="K130" i="24"/>
  <c r="C87" i="24"/>
  <c r="G85" i="24"/>
  <c r="K72" i="24"/>
  <c r="G63" i="24"/>
  <c r="G50" i="24"/>
  <c r="G17" i="24"/>
  <c r="C410" i="24"/>
  <c r="G190" i="24"/>
  <c r="K180" i="24"/>
  <c r="K171" i="24"/>
  <c r="G167" i="24"/>
  <c r="G165" i="24"/>
  <c r="K146" i="24"/>
  <c r="K144" i="24"/>
  <c r="K132" i="24"/>
  <c r="G117" i="24"/>
  <c r="C94" i="24"/>
  <c r="K90" i="24"/>
  <c r="G74" i="24"/>
  <c r="K70" i="24"/>
  <c r="G61" i="24"/>
  <c r="K52" i="24"/>
  <c r="K45" i="24"/>
  <c r="G37" i="24"/>
  <c r="AB39" i="22" s="1"/>
  <c r="G34" i="24"/>
  <c r="K28" i="24"/>
  <c r="G20" i="24"/>
  <c r="K13" i="24"/>
  <c r="K303" i="24"/>
  <c r="G173" i="24"/>
  <c r="C169" i="24"/>
  <c r="C155" i="24"/>
  <c r="C140" i="24"/>
  <c r="C138" i="24"/>
  <c r="C136" i="24"/>
  <c r="G115" i="24"/>
  <c r="C85" i="24"/>
  <c r="K83" i="24"/>
  <c r="K81" i="24"/>
  <c r="C63" i="24"/>
  <c r="C50" i="24"/>
  <c r="G31" i="24"/>
  <c r="AB33" i="22" s="1"/>
  <c r="G10" i="24"/>
  <c r="AB12" i="22" s="1"/>
  <c r="K367" i="24"/>
  <c r="G320" i="24"/>
  <c r="G302" i="24"/>
  <c r="K251" i="24"/>
  <c r="K247" i="24"/>
  <c r="C233" i="24"/>
  <c r="K230" i="24"/>
  <c r="G214" i="24"/>
  <c r="C163" i="24"/>
  <c r="C144" i="24"/>
  <c r="G134" i="24"/>
  <c r="K124" i="24"/>
  <c r="C115" i="24"/>
  <c r="G92" i="24"/>
  <c r="C74" i="24"/>
  <c r="K54" i="24"/>
  <c r="K42" i="24"/>
  <c r="K25" i="24"/>
  <c r="K16" i="24"/>
  <c r="K6" i="24"/>
  <c r="G353" i="24"/>
  <c r="K341" i="24"/>
  <c r="K205" i="24"/>
  <c r="K200" i="24"/>
  <c r="C173" i="24"/>
  <c r="C171" i="24"/>
  <c r="G157" i="24"/>
  <c r="G130" i="24"/>
  <c r="G128" i="24"/>
  <c r="G126" i="24"/>
  <c r="G111" i="24"/>
  <c r="K109" i="24"/>
  <c r="G107" i="24"/>
  <c r="K105" i="24"/>
  <c r="K101" i="24"/>
  <c r="G83" i="24"/>
  <c r="G70" i="24"/>
  <c r="C52" i="24"/>
  <c r="K47" i="24"/>
  <c r="G45" i="24"/>
  <c r="AB47" i="22" s="1"/>
  <c r="G28" i="24"/>
  <c r="AB30" i="22" s="1"/>
  <c r="K19" i="24"/>
  <c r="G13" i="24"/>
  <c r="AB15" i="22" s="1"/>
  <c r="G285" i="24"/>
  <c r="C223" i="24"/>
  <c r="AB225" i="22" s="1"/>
  <c r="G207" i="24"/>
  <c r="G129" i="24"/>
  <c r="K108" i="24"/>
  <c r="K84" i="24"/>
  <c r="K58" i="24"/>
  <c r="G55" i="24"/>
  <c r="G51" i="24"/>
  <c r="K33" i="24"/>
  <c r="K15" i="24"/>
  <c r="K376" i="24"/>
  <c r="G326" i="24"/>
  <c r="C299" i="24"/>
  <c r="C275" i="24"/>
  <c r="G247" i="24"/>
  <c r="G241" i="24"/>
  <c r="C229" i="24"/>
  <c r="C211" i="24"/>
  <c r="AB213" i="22" s="1"/>
  <c r="G166" i="24"/>
  <c r="K143" i="24"/>
  <c r="C97" i="24"/>
  <c r="AB99" i="22" s="1"/>
  <c r="G91" i="24"/>
  <c r="K77" i="24"/>
  <c r="G68" i="24"/>
  <c r="C62" i="24"/>
  <c r="C47" i="24"/>
  <c r="K4" i="24"/>
  <c r="K216" i="24"/>
  <c r="C182" i="24"/>
  <c r="K151" i="24"/>
  <c r="C129" i="24"/>
  <c r="G118" i="24"/>
  <c r="G90" i="24"/>
  <c r="C84" i="24"/>
  <c r="K71" i="24"/>
  <c r="C51" i="24"/>
  <c r="G42" i="24"/>
  <c r="G38" i="24"/>
  <c r="AB40" i="22" s="1"/>
  <c r="K24" i="24"/>
  <c r="K20" i="24"/>
  <c r="K9" i="24"/>
  <c r="G308" i="24"/>
  <c r="C254" i="24"/>
  <c r="C187" i="24"/>
  <c r="AB189" i="22" s="1"/>
  <c r="K177" i="24"/>
  <c r="G143" i="24"/>
  <c r="K125" i="24"/>
  <c r="C111" i="24"/>
  <c r="K74" i="24"/>
  <c r="G58" i="24"/>
  <c r="G54" i="24"/>
  <c r="G33" i="24"/>
  <c r="G15" i="24"/>
  <c r="K404" i="24"/>
  <c r="C222" i="24"/>
  <c r="C196" i="24"/>
  <c r="K191" i="24"/>
  <c r="C139" i="24"/>
  <c r="C118" i="24"/>
  <c r="C90" i="24"/>
  <c r="G77" i="24"/>
  <c r="T50" i="24"/>
  <c r="K488" i="24"/>
  <c r="G239" i="24"/>
  <c r="G205" i="24"/>
  <c r="G186" i="24"/>
  <c r="C166" i="24"/>
  <c r="AB168" i="22" s="1"/>
  <c r="C162" i="24"/>
  <c r="AB164" i="22" s="1"/>
  <c r="C107" i="24"/>
  <c r="AB109" i="22" s="1"/>
  <c r="G93" i="24"/>
  <c r="C71" i="24"/>
  <c r="C58" i="24"/>
  <c r="G9" i="24"/>
  <c r="K263" i="24"/>
  <c r="G216" i="24"/>
  <c r="K154" i="24"/>
  <c r="G146" i="24"/>
  <c r="K86" i="24"/>
  <c r="C77" i="24"/>
  <c r="K61" i="24"/>
  <c r="K41" i="24"/>
  <c r="K37" i="24"/>
  <c r="K210" i="24"/>
  <c r="K204" i="24"/>
  <c r="K199" i="24"/>
  <c r="G177" i="24"/>
  <c r="C93" i="24"/>
  <c r="K73" i="24"/>
  <c r="K64" i="24"/>
  <c r="K36" i="24"/>
  <c r="G220" i="24"/>
  <c r="G154" i="24"/>
  <c r="C146" i="24"/>
  <c r="C124" i="24"/>
  <c r="K53" i="24"/>
  <c r="K49" i="24"/>
  <c r="G46" i="24"/>
  <c r="G41" i="24"/>
  <c r="G341" i="24"/>
  <c r="C239" i="24"/>
  <c r="G204" i="24"/>
  <c r="C186" i="24"/>
  <c r="C114" i="24"/>
  <c r="AB116" i="22" s="1"/>
  <c r="K99" i="24"/>
  <c r="C70" i="24"/>
  <c r="AB72" i="22" s="1"/>
  <c r="K60" i="24"/>
  <c r="G36" i="24"/>
  <c r="AB38" i="22" s="1"/>
  <c r="K32" i="24"/>
  <c r="K18" i="24"/>
  <c r="K8" i="24"/>
  <c r="G279" i="24"/>
  <c r="C259" i="24"/>
  <c r="G179" i="24"/>
  <c r="G137" i="24"/>
  <c r="K123" i="24"/>
  <c r="C105" i="24"/>
  <c r="K98" i="24"/>
  <c r="G73" i="24"/>
  <c r="C56" i="24"/>
  <c r="AB58" i="22" s="1"/>
  <c r="G25" i="24"/>
  <c r="G6" i="24"/>
  <c r="G225" i="24"/>
  <c r="G187" i="24"/>
  <c r="G164" i="24"/>
  <c r="C157" i="24"/>
  <c r="C137" i="24"/>
  <c r="G79" i="24"/>
  <c r="G235" i="24"/>
  <c r="C73" i="24"/>
  <c r="K116" i="24"/>
  <c r="K91" i="24"/>
  <c r="G67" i="24"/>
  <c r="G62" i="24"/>
  <c r="K39" i="24"/>
  <c r="K22" i="24"/>
  <c r="C361" i="24"/>
  <c r="K170" i="24"/>
  <c r="K141" i="24"/>
  <c r="G122" i="24"/>
  <c r="G39" i="24"/>
  <c r="K5" i="24"/>
  <c r="K232" i="24"/>
  <c r="C177" i="24"/>
  <c r="K95" i="24"/>
  <c r="K66" i="24"/>
  <c r="C320" i="24"/>
  <c r="G243" i="24"/>
  <c r="K193" i="24"/>
  <c r="G156" i="24"/>
  <c r="C122" i="24"/>
  <c r="G116" i="24"/>
  <c r="C109" i="24"/>
  <c r="G60" i="24"/>
  <c r="K30" i="24"/>
  <c r="G299" i="24"/>
  <c r="G275" i="24"/>
  <c r="K258" i="24"/>
  <c r="G176" i="24"/>
  <c r="K168" i="24"/>
  <c r="C148" i="24"/>
  <c r="G53" i="24"/>
  <c r="G47" i="24"/>
  <c r="K12" i="24"/>
  <c r="C243" i="24"/>
  <c r="K231" i="24"/>
  <c r="K184" i="24"/>
  <c r="C156" i="24"/>
  <c r="K127" i="24"/>
  <c r="K120" i="24"/>
  <c r="G66" i="24"/>
  <c r="C60" i="24"/>
  <c r="K207" i="24"/>
  <c r="C189" i="24"/>
  <c r="G180" i="24"/>
  <c r="K131" i="24"/>
  <c r="C57" i="24"/>
  <c r="AB59" i="22" s="1"/>
  <c r="G18" i="24"/>
  <c r="AB20" i="22" s="1"/>
  <c r="G8" i="24"/>
  <c r="G35" i="24"/>
  <c r="G251" i="24"/>
  <c r="C180" i="24"/>
  <c r="C49" i="24"/>
  <c r="C429" i="24"/>
  <c r="C337" i="24"/>
  <c r="G229" i="24"/>
  <c r="G105" i="24"/>
  <c r="C251" i="24"/>
  <c r="K152" i="24"/>
  <c r="C126" i="24"/>
  <c r="G81" i="24"/>
  <c r="K17" i="24"/>
  <c r="K102" i="24"/>
  <c r="G30" i="24"/>
  <c r="K164" i="24"/>
  <c r="G113" i="24"/>
  <c r="C81" i="24"/>
  <c r="G16" i="24"/>
  <c r="G316" i="24"/>
  <c r="G89" i="24"/>
  <c r="K44" i="24"/>
  <c r="K225" i="24"/>
  <c r="G101" i="24"/>
  <c r="K88" i="24"/>
  <c r="K56" i="24"/>
  <c r="K27" i="24"/>
  <c r="G12" i="24"/>
  <c r="G69" i="24"/>
  <c r="C316" i="24"/>
  <c r="G199" i="24"/>
  <c r="C86" i="24"/>
  <c r="C64" i="24"/>
  <c r="K236" i="24"/>
  <c r="K38" i="24"/>
  <c r="K106" i="24"/>
  <c r="G382" i="24"/>
  <c r="C199" i="24"/>
  <c r="G168" i="24"/>
  <c r="G145" i="24"/>
  <c r="K229" i="24"/>
  <c r="C145" i="24"/>
  <c r="AB147" i="22" s="1"/>
  <c r="C99" i="24"/>
  <c r="AB101" i="22" s="1"/>
  <c r="K82" i="24"/>
  <c r="G197" i="24"/>
  <c r="G120" i="24"/>
  <c r="K359" i="24"/>
  <c r="G56" i="24"/>
  <c r="K35" i="24"/>
  <c r="C214" i="24"/>
  <c r="G158" i="24"/>
  <c r="G133" i="24"/>
  <c r="K112" i="24"/>
  <c r="K51" i="24"/>
  <c r="K21" i="24"/>
  <c r="G86" i="24"/>
  <c r="G238" i="24"/>
  <c r="C131" i="24"/>
  <c r="K43" i="24"/>
  <c r="G219" i="24"/>
  <c r="K160" i="24"/>
  <c r="K75" i="24"/>
  <c r="K26" i="24"/>
  <c r="G160" i="24"/>
  <c r="G75" i="24"/>
  <c r="G26" i="24"/>
  <c r="AB28" i="22" s="1"/>
  <c r="C160" i="24"/>
  <c r="C75" i="24"/>
  <c r="G184" i="24"/>
  <c r="G49" i="24"/>
  <c r="G95" i="24"/>
  <c r="C302" i="24"/>
  <c r="C184" i="24"/>
  <c r="G21" i="24"/>
  <c r="C95" i="24"/>
  <c r="K255" i="24"/>
  <c r="C66" i="24"/>
  <c r="C53" i="24"/>
  <c r="T51" i="24"/>
  <c r="K133" i="24"/>
  <c r="C133" i="24"/>
  <c r="AB135" i="22" s="1"/>
  <c r="AV15" i="22"/>
  <c r="U29" i="24"/>
  <c r="T29" i="24"/>
  <c r="Q33" i="24"/>
  <c r="T43" i="24"/>
  <c r="U43" i="24"/>
  <c r="U91" i="24"/>
  <c r="T91" i="24"/>
  <c r="U102" i="24"/>
  <c r="T102" i="24"/>
  <c r="Q138" i="24"/>
  <c r="S140" i="22"/>
  <c r="Q150" i="24"/>
  <c r="U205" i="24"/>
  <c r="T205" i="24"/>
  <c r="U227" i="24"/>
  <c r="T227" i="24"/>
  <c r="Q234" i="24"/>
  <c r="Q245" i="24"/>
  <c r="AL14" i="18"/>
  <c r="AL18" i="18" s="1"/>
  <c r="AM16" i="18"/>
  <c r="D42" i="18"/>
  <c r="B41" i="16"/>
  <c r="AI39" i="18"/>
  <c r="Y43" i="19"/>
  <c r="AF239" i="12" s="1"/>
  <c r="E67" i="19"/>
  <c r="B72" i="19"/>
  <c r="O506" i="24"/>
  <c r="M505" i="24"/>
  <c r="I503" i="24"/>
  <c r="O495" i="24"/>
  <c r="M494" i="24"/>
  <c r="I492" i="24"/>
  <c r="N506" i="24"/>
  <c r="L505" i="24"/>
  <c r="H503" i="24"/>
  <c r="D501" i="24"/>
  <c r="N495" i="24"/>
  <c r="L494" i="24"/>
  <c r="H492" i="24"/>
  <c r="D490" i="24"/>
  <c r="O500" i="24"/>
  <c r="O494" i="24"/>
  <c r="I493" i="24"/>
  <c r="M488" i="24"/>
  <c r="I487" i="24"/>
  <c r="O481" i="24"/>
  <c r="M480" i="24"/>
  <c r="I478" i="24"/>
  <c r="O470" i="24"/>
  <c r="M469" i="24"/>
  <c r="I467" i="24"/>
  <c r="O459" i="24"/>
  <c r="M458" i="24"/>
  <c r="I456" i="24"/>
  <c r="N500" i="24"/>
  <c r="N494" i="24"/>
  <c r="H493" i="24"/>
  <c r="D492" i="24"/>
  <c r="L488" i="24"/>
  <c r="H487" i="24"/>
  <c r="D486" i="24"/>
  <c r="N481" i="24"/>
  <c r="L480" i="24"/>
  <c r="H478" i="24"/>
  <c r="D476" i="24"/>
  <c r="N470" i="24"/>
  <c r="L469" i="24"/>
  <c r="H467" i="24"/>
  <c r="D465" i="24"/>
  <c r="N459" i="24"/>
  <c r="L458" i="24"/>
  <c r="H456" i="24"/>
  <c r="D454" i="24"/>
  <c r="N507" i="24"/>
  <c r="N501" i="24"/>
  <c r="L495" i="24"/>
  <c r="H494" i="24"/>
  <c r="D493" i="24"/>
  <c r="L489" i="24"/>
  <c r="H488" i="24"/>
  <c r="D487" i="24"/>
  <c r="N483" i="24"/>
  <c r="L482" i="24"/>
  <c r="H480" i="24"/>
  <c r="D478" i="24"/>
  <c r="N472" i="24"/>
  <c r="L471" i="24"/>
  <c r="H469" i="24"/>
  <c r="D467" i="24"/>
  <c r="N461" i="24"/>
  <c r="L460" i="24"/>
  <c r="H458" i="24"/>
  <c r="D456" i="24"/>
  <c r="H506" i="24"/>
  <c r="N503" i="24"/>
  <c r="I499" i="24"/>
  <c r="L496" i="24"/>
  <c r="M489" i="24"/>
  <c r="I485" i="24"/>
  <c r="D484" i="24"/>
  <c r="L481" i="24"/>
  <c r="M472" i="24"/>
  <c r="H471" i="24"/>
  <c r="M467" i="24"/>
  <c r="H466" i="24"/>
  <c r="O463" i="24"/>
  <c r="O458" i="24"/>
  <c r="H457" i="24"/>
  <c r="N453" i="24"/>
  <c r="D450" i="24"/>
  <c r="N444" i="24"/>
  <c r="L443" i="24"/>
  <c r="H441" i="24"/>
  <c r="D439" i="24"/>
  <c r="N433" i="24"/>
  <c r="L432" i="24"/>
  <c r="H430" i="24"/>
  <c r="D428" i="24"/>
  <c r="O507" i="24"/>
  <c r="M503" i="24"/>
  <c r="D502" i="24"/>
  <c r="H499" i="24"/>
  <c r="D495" i="24"/>
  <c r="D488" i="24"/>
  <c r="O486" i="24"/>
  <c r="H485" i="24"/>
  <c r="O477" i="24"/>
  <c r="L472" i="24"/>
  <c r="L467" i="24"/>
  <c r="N463" i="24"/>
  <c r="I462" i="24"/>
  <c r="D461" i="24"/>
  <c r="N458" i="24"/>
  <c r="M453" i="24"/>
  <c r="I452" i="24"/>
  <c r="O445" i="24"/>
  <c r="M444" i="24"/>
  <c r="I442" i="24"/>
  <c r="O434" i="24"/>
  <c r="M433" i="24"/>
  <c r="I431" i="24"/>
  <c r="N497" i="24"/>
  <c r="M493" i="24"/>
  <c r="N490" i="24"/>
  <c r="D485" i="24"/>
  <c r="M473" i="24"/>
  <c r="H472" i="24"/>
  <c r="M468" i="24"/>
  <c r="O464" i="24"/>
  <c r="M459" i="24"/>
  <c r="M454" i="24"/>
  <c r="I453" i="24"/>
  <c r="O447" i="24"/>
  <c r="M446" i="24"/>
  <c r="I444" i="24"/>
  <c r="O436" i="24"/>
  <c r="M435" i="24"/>
  <c r="I433" i="24"/>
  <c r="I507" i="24"/>
  <c r="M504" i="24"/>
  <c r="D503" i="24"/>
  <c r="O501" i="24"/>
  <c r="D496" i="24"/>
  <c r="O505" i="24"/>
  <c r="H502" i="24"/>
  <c r="I500" i="24"/>
  <c r="O498" i="24"/>
  <c r="D497" i="24"/>
  <c r="H495" i="24"/>
  <c r="O493" i="24"/>
  <c r="O488" i="24"/>
  <c r="H482" i="24"/>
  <c r="L479" i="24"/>
  <c r="M476" i="24"/>
  <c r="M470" i="24"/>
  <c r="D469" i="24"/>
  <c r="D466" i="24"/>
  <c r="N464" i="24"/>
  <c r="I457" i="24"/>
  <c r="N451" i="24"/>
  <c r="I450" i="24"/>
  <c r="D449" i="24"/>
  <c r="D440" i="24"/>
  <c r="M437" i="24"/>
  <c r="H436" i="24"/>
  <c r="M432" i="24"/>
  <c r="L427" i="24"/>
  <c r="H426" i="24"/>
  <c r="D425" i="24"/>
  <c r="O421" i="24"/>
  <c r="M420" i="24"/>
  <c r="I418" i="24"/>
  <c r="O410" i="24"/>
  <c r="M409" i="24"/>
  <c r="I407" i="24"/>
  <c r="N505" i="24"/>
  <c r="H500" i="24"/>
  <c r="N498" i="24"/>
  <c r="O503" i="24"/>
  <c r="D500" i="24"/>
  <c r="O496" i="24"/>
  <c r="M491" i="24"/>
  <c r="I488" i="24"/>
  <c r="N486" i="24"/>
  <c r="L483" i="24"/>
  <c r="D482" i="24"/>
  <c r="O474" i="24"/>
  <c r="H470" i="24"/>
  <c r="M455" i="24"/>
  <c r="L447" i="24"/>
  <c r="L442" i="24"/>
  <c r="N438" i="24"/>
  <c r="I437" i="24"/>
  <c r="D436" i="24"/>
  <c r="L433" i="24"/>
  <c r="L428" i="24"/>
  <c r="H427" i="24"/>
  <c r="D426" i="24"/>
  <c r="AC428" i="22" s="1"/>
  <c r="O423" i="24"/>
  <c r="M422" i="24"/>
  <c r="I420" i="24"/>
  <c r="O412" i="24"/>
  <c r="M411" i="24"/>
  <c r="I409" i="24"/>
  <c r="O401" i="24"/>
  <c r="M400" i="24"/>
  <c r="L503" i="24"/>
  <c r="N496" i="24"/>
  <c r="L491" i="24"/>
  <c r="M486" i="24"/>
  <c r="O480" i="24"/>
  <c r="D479" i="24"/>
  <c r="N477" i="24"/>
  <c r="N474" i="24"/>
  <c r="I464" i="24"/>
  <c r="L455" i="24"/>
  <c r="I451" i="24"/>
  <c r="D441" i="24"/>
  <c r="M438" i="24"/>
  <c r="H437" i="24"/>
  <c r="O429" i="24"/>
  <c r="N423" i="24"/>
  <c r="L422" i="24"/>
  <c r="L501" i="24"/>
  <c r="H498" i="24"/>
  <c r="I483" i="24"/>
  <c r="I496" i="24"/>
  <c r="I491" i="24"/>
  <c r="O489" i="24"/>
  <c r="I486" i="24"/>
  <c r="H483" i="24"/>
  <c r="M471" i="24"/>
  <c r="D470" i="24"/>
  <c r="N468" i="24"/>
  <c r="M506" i="24"/>
  <c r="D498" i="24"/>
  <c r="H496" i="24"/>
  <c r="H491" i="24"/>
  <c r="N489" i="24"/>
  <c r="H486" i="24"/>
  <c r="O484" i="24"/>
  <c r="I480" i="24"/>
  <c r="I477" i="24"/>
  <c r="L468" i="24"/>
  <c r="M465" i="24"/>
  <c r="N462" i="24"/>
  <c r="D458" i="24"/>
  <c r="H455" i="24"/>
  <c r="L452" i="24"/>
  <c r="L448" i="24"/>
  <c r="H504" i="24"/>
  <c r="N502" i="24"/>
  <c r="L492" i="24"/>
  <c r="M490" i="24"/>
  <c r="H484" i="24"/>
  <c r="N466" i="24"/>
  <c r="M463" i="24"/>
  <c r="D462" i="24"/>
  <c r="N460" i="24"/>
  <c r="O450" i="24"/>
  <c r="H505" i="24"/>
  <c r="M502" i="24"/>
  <c r="I494" i="24"/>
  <c r="O482" i="24"/>
  <c r="M478" i="24"/>
  <c r="O476" i="24"/>
  <c r="L474" i="24"/>
  <c r="L470" i="24"/>
  <c r="H468" i="24"/>
  <c r="M466" i="24"/>
  <c r="M464" i="24"/>
  <c r="O462" i="24"/>
  <c r="L451" i="24"/>
  <c r="O443" i="24"/>
  <c r="D442" i="24"/>
  <c r="H439" i="24"/>
  <c r="I436" i="24"/>
  <c r="N427" i="24"/>
  <c r="O424" i="24"/>
  <c r="I423" i="24"/>
  <c r="D422" i="24"/>
  <c r="L418" i="24"/>
  <c r="H417" i="24"/>
  <c r="N413" i="24"/>
  <c r="N407" i="24"/>
  <c r="D505" i="24"/>
  <c r="L502" i="24"/>
  <c r="O499" i="24"/>
  <c r="I489" i="24"/>
  <c r="N484" i="24"/>
  <c r="N482" i="24"/>
  <c r="N480" i="24"/>
  <c r="L478" i="24"/>
  <c r="N476" i="24"/>
  <c r="I474" i="24"/>
  <c r="I472" i="24"/>
  <c r="L466" i="24"/>
  <c r="L464" i="24"/>
  <c r="M462" i="24"/>
  <c r="O460" i="24"/>
  <c r="O449" i="24"/>
  <c r="O446" i="24"/>
  <c r="D445" i="24"/>
  <c r="N443" i="24"/>
  <c r="O440" i="24"/>
  <c r="M427" i="24"/>
  <c r="N424" i="24"/>
  <c r="H423" i="24"/>
  <c r="O419" i="24"/>
  <c r="M413" i="24"/>
  <c r="I412" i="24"/>
  <c r="M407" i="24"/>
  <c r="I406" i="24"/>
  <c r="D405" i="24"/>
  <c r="O402" i="24"/>
  <c r="O393" i="24"/>
  <c r="M392" i="24"/>
  <c r="I390" i="24"/>
  <c r="O382" i="24"/>
  <c r="M381" i="24"/>
  <c r="I379" i="24"/>
  <c r="O371" i="24"/>
  <c r="M370" i="24"/>
  <c r="I368" i="24"/>
  <c r="O360" i="24"/>
  <c r="M359" i="24"/>
  <c r="I357" i="24"/>
  <c r="O349" i="24"/>
  <c r="M348" i="24"/>
  <c r="I346" i="24"/>
  <c r="O338" i="24"/>
  <c r="M337" i="24"/>
  <c r="I335" i="24"/>
  <c r="O327" i="24"/>
  <c r="M326" i="24"/>
  <c r="I324" i="24"/>
  <c r="O316" i="24"/>
  <c r="M315" i="24"/>
  <c r="N499" i="24"/>
  <c r="H489" i="24"/>
  <c r="M484" i="24"/>
  <c r="M482" i="24"/>
  <c r="L476" i="24"/>
  <c r="H474" i="24"/>
  <c r="I470" i="24"/>
  <c r="L462" i="24"/>
  <c r="M460" i="24"/>
  <c r="H451" i="24"/>
  <c r="N449" i="24"/>
  <c r="N446" i="24"/>
  <c r="M443" i="24"/>
  <c r="N440" i="24"/>
  <c r="O437" i="24"/>
  <c r="N434" i="24"/>
  <c r="I430" i="24"/>
  <c r="M424" i="24"/>
  <c r="N419" i="24"/>
  <c r="L413" i="24"/>
  <c r="H412" i="24"/>
  <c r="D411" i="24"/>
  <c r="M507" i="24"/>
  <c r="M499" i="24"/>
  <c r="L484" i="24"/>
  <c r="I476" i="24"/>
  <c r="D468" i="24"/>
  <c r="H464" i="24"/>
  <c r="O456" i="24"/>
  <c r="D453" i="24"/>
  <c r="M449" i="24"/>
  <c r="D448" i="24"/>
  <c r="AC450" i="22" s="1"/>
  <c r="L446" i="24"/>
  <c r="L507" i="24"/>
  <c r="O504" i="24"/>
  <c r="I502" i="24"/>
  <c r="L499" i="24"/>
  <c r="D494" i="24"/>
  <c r="O491" i="24"/>
  <c r="I482" i="24"/>
  <c r="D480" i="24"/>
  <c r="H476" i="24"/>
  <c r="I466" i="24"/>
  <c r="H462" i="24"/>
  <c r="N456" i="24"/>
  <c r="D451" i="24"/>
  <c r="L449" i="24"/>
  <c r="I443" i="24"/>
  <c r="L440" i="24"/>
  <c r="L437" i="24"/>
  <c r="L434" i="24"/>
  <c r="O431" i="24"/>
  <c r="I427" i="24"/>
  <c r="L419" i="24"/>
  <c r="N414" i="24"/>
  <c r="N408" i="24"/>
  <c r="L402" i="24"/>
  <c r="H401" i="24"/>
  <c r="D400" i="24"/>
  <c r="N394" i="24"/>
  <c r="L393" i="24"/>
  <c r="H391" i="24"/>
  <c r="D389" i="24"/>
  <c r="N504" i="24"/>
  <c r="M496" i="24"/>
  <c r="N491" i="24"/>
  <c r="D489" i="24"/>
  <c r="D472" i="24"/>
  <c r="I460" i="24"/>
  <c r="I458" i="24"/>
  <c r="M456" i="24"/>
  <c r="O454" i="24"/>
  <c r="I446" i="24"/>
  <c r="H443" i="24"/>
  <c r="N431" i="24"/>
  <c r="D430" i="24"/>
  <c r="O428" i="24"/>
  <c r="D423" i="24"/>
  <c r="O420" i="24"/>
  <c r="M414" i="24"/>
  <c r="I413" i="24"/>
  <c r="M408" i="24"/>
  <c r="H407" i="24"/>
  <c r="D406" i="24"/>
  <c r="O403" i="24"/>
  <c r="O395" i="24"/>
  <c r="M394" i="24"/>
  <c r="I392" i="24"/>
  <c r="O384" i="24"/>
  <c r="M383" i="24"/>
  <c r="I381" i="24"/>
  <c r="O373" i="24"/>
  <c r="M372" i="24"/>
  <c r="I370" i="24"/>
  <c r="O362" i="24"/>
  <c r="M361" i="24"/>
  <c r="I359" i="24"/>
  <c r="O351" i="24"/>
  <c r="M350" i="24"/>
  <c r="I348" i="24"/>
  <c r="O340" i="24"/>
  <c r="M339" i="24"/>
  <c r="I337" i="24"/>
  <c r="O329" i="24"/>
  <c r="M328" i="24"/>
  <c r="I326" i="24"/>
  <c r="O318" i="24"/>
  <c r="M317" i="24"/>
  <c r="I315" i="24"/>
  <c r="H507" i="24"/>
  <c r="L504" i="24"/>
  <c r="D499" i="24"/>
  <c r="I484" i="24"/>
  <c r="D474" i="24"/>
  <c r="D464" i="24"/>
  <c r="H460" i="24"/>
  <c r="L456" i="24"/>
  <c r="N454" i="24"/>
  <c r="H446" i="24"/>
  <c r="I434" i="24"/>
  <c r="M431" i="24"/>
  <c r="N428" i="24"/>
  <c r="I424" i="24"/>
  <c r="N420" i="24"/>
  <c r="I419" i="24"/>
  <c r="D418" i="24"/>
  <c r="AC420" i="22" s="1"/>
  <c r="L414" i="24"/>
  <c r="H413" i="24"/>
  <c r="D412" i="24"/>
  <c r="L408" i="24"/>
  <c r="N403" i="24"/>
  <c r="N395" i="24"/>
  <c r="L394" i="24"/>
  <c r="H392" i="24"/>
  <c r="D390" i="24"/>
  <c r="N384" i="24"/>
  <c r="L383" i="24"/>
  <c r="H381" i="24"/>
  <c r="D379" i="24"/>
  <c r="N373" i="24"/>
  <c r="L372" i="24"/>
  <c r="H370" i="24"/>
  <c r="D368" i="24"/>
  <c r="N362" i="24"/>
  <c r="L361" i="24"/>
  <c r="H359" i="24"/>
  <c r="D357" i="24"/>
  <c r="N351" i="24"/>
  <c r="L350" i="24"/>
  <c r="H348" i="24"/>
  <c r="D346" i="24"/>
  <c r="N340" i="24"/>
  <c r="L339" i="24"/>
  <c r="H337" i="24"/>
  <c r="D335" i="24"/>
  <c r="N329" i="24"/>
  <c r="L328" i="24"/>
  <c r="H326" i="24"/>
  <c r="D324" i="24"/>
  <c r="N318" i="24"/>
  <c r="L317" i="24"/>
  <c r="H315" i="24"/>
  <c r="D507" i="24"/>
  <c r="AC509" i="22" s="1"/>
  <c r="I504" i="24"/>
  <c r="M501" i="24"/>
  <c r="L486" i="24"/>
  <c r="L454" i="24"/>
  <c r="O452" i="24"/>
  <c r="I449" i="24"/>
  <c r="I440" i="24"/>
  <c r="H434" i="24"/>
  <c r="L431" i="24"/>
  <c r="M428" i="24"/>
  <c r="D427" i="24"/>
  <c r="O425" i="24"/>
  <c r="H424" i="24"/>
  <c r="L420" i="24"/>
  <c r="H419" i="24"/>
  <c r="O415" i="24"/>
  <c r="O409" i="24"/>
  <c r="M403" i="24"/>
  <c r="I402" i="24"/>
  <c r="O396" i="24"/>
  <c r="M395" i="24"/>
  <c r="I393" i="24"/>
  <c r="O385" i="24"/>
  <c r="M384" i="24"/>
  <c r="I382" i="24"/>
  <c r="O374" i="24"/>
  <c r="M373" i="24"/>
  <c r="I371" i="24"/>
  <c r="I501" i="24"/>
  <c r="D491" i="24"/>
  <c r="N452" i="24"/>
  <c r="H449" i="24"/>
  <c r="D446" i="24"/>
  <c r="O444" i="24"/>
  <c r="D443" i="24"/>
  <c r="H440" i="24"/>
  <c r="N425" i="24"/>
  <c r="N415" i="24"/>
  <c r="N409" i="24"/>
  <c r="I408" i="24"/>
  <c r="D407" i="24"/>
  <c r="L403" i="24"/>
  <c r="H402" i="24"/>
  <c r="D401" i="24"/>
  <c r="N396" i="24"/>
  <c r="L395" i="24"/>
  <c r="H393" i="24"/>
  <c r="D391" i="24"/>
  <c r="AC393" i="22" s="1"/>
  <c r="N385" i="24"/>
  <c r="L384" i="24"/>
  <c r="H382" i="24"/>
  <c r="D380" i="24"/>
  <c r="N374" i="24"/>
  <c r="L373" i="24"/>
  <c r="H371" i="24"/>
  <c r="D369" i="24"/>
  <c r="N363" i="24"/>
  <c r="L362" i="24"/>
  <c r="H360" i="24"/>
  <c r="D358" i="24"/>
  <c r="N352" i="24"/>
  <c r="L351" i="24"/>
  <c r="H349" i="24"/>
  <c r="D347" i="24"/>
  <c r="N341" i="24"/>
  <c r="L340" i="24"/>
  <c r="H338" i="24"/>
  <c r="D336" i="24"/>
  <c r="N330" i="24"/>
  <c r="D504" i="24"/>
  <c r="AC506" i="22" s="1"/>
  <c r="H501" i="24"/>
  <c r="O475" i="24"/>
  <c r="O473" i="24"/>
  <c r="O471" i="24"/>
  <c r="O469" i="24"/>
  <c r="O465" i="24"/>
  <c r="D460" i="24"/>
  <c r="I454" i="24"/>
  <c r="M452" i="24"/>
  <c r="N447" i="24"/>
  <c r="L444" i="24"/>
  <c r="O441" i="24"/>
  <c r="O438" i="24"/>
  <c r="O435" i="24"/>
  <c r="H431" i="24"/>
  <c r="I428" i="24"/>
  <c r="M425" i="24"/>
  <c r="D506" i="24"/>
  <c r="M487" i="24"/>
  <c r="H479" i="24"/>
  <c r="I468" i="24"/>
  <c r="O457" i="24"/>
  <c r="N450" i="24"/>
  <c r="H448" i="24"/>
  <c r="I445" i="24"/>
  <c r="N442" i="24"/>
  <c r="N437" i="24"/>
  <c r="I417" i="24"/>
  <c r="H404" i="24"/>
  <c r="H396" i="24"/>
  <c r="H387" i="24"/>
  <c r="I384" i="24"/>
  <c r="O381" i="24"/>
  <c r="I377" i="24"/>
  <c r="D370" i="24"/>
  <c r="L360" i="24"/>
  <c r="D355" i="24"/>
  <c r="O353" i="24"/>
  <c r="I352" i="24"/>
  <c r="O345" i="24"/>
  <c r="I344" i="24"/>
  <c r="M341" i="24"/>
  <c r="O337" i="24"/>
  <c r="H336" i="24"/>
  <c r="M333" i="24"/>
  <c r="L329" i="24"/>
  <c r="L324" i="24"/>
  <c r="N320" i="24"/>
  <c r="I319" i="24"/>
  <c r="D318" i="24"/>
  <c r="N315" i="24"/>
  <c r="I314" i="24"/>
  <c r="O307" i="24"/>
  <c r="M306" i="24"/>
  <c r="I304" i="24"/>
  <c r="O296" i="24"/>
  <c r="M295" i="24"/>
  <c r="I293" i="24"/>
  <c r="O285" i="24"/>
  <c r="M284" i="24"/>
  <c r="I282" i="24"/>
  <c r="O274" i="24"/>
  <c r="M273" i="24"/>
  <c r="I271" i="24"/>
  <c r="O263" i="24"/>
  <c r="M262" i="24"/>
  <c r="I260" i="24"/>
  <c r="L487" i="24"/>
  <c r="D483" i="24"/>
  <c r="AC485" i="22" s="1"/>
  <c r="I475" i="24"/>
  <c r="I471" i="24"/>
  <c r="O467" i="24"/>
  <c r="N457" i="24"/>
  <c r="M450" i="24"/>
  <c r="M447" i="24"/>
  <c r="H445" i="24"/>
  <c r="M442" i="24"/>
  <c r="D437" i="24"/>
  <c r="D435" i="24"/>
  <c r="I432" i="24"/>
  <c r="N429" i="24"/>
  <c r="D417" i="24"/>
  <c r="D413" i="24"/>
  <c r="H409" i="24"/>
  <c r="N402" i="24"/>
  <c r="I399" i="24"/>
  <c r="O397" i="24"/>
  <c r="H390" i="24"/>
  <c r="O388" i="24"/>
  <c r="H384" i="24"/>
  <c r="N381" i="24"/>
  <c r="O378" i="24"/>
  <c r="H377" i="24"/>
  <c r="I374" i="24"/>
  <c r="N371" i="24"/>
  <c r="I367" i="24"/>
  <c r="D363" i="24"/>
  <c r="I360" i="24"/>
  <c r="N353" i="24"/>
  <c r="H352" i="24"/>
  <c r="N345" i="24"/>
  <c r="H344" i="24"/>
  <c r="L341" i="24"/>
  <c r="N337" i="24"/>
  <c r="L333" i="24"/>
  <c r="M320" i="24"/>
  <c r="H319" i="24"/>
  <c r="L315" i="24"/>
  <c r="H314" i="24"/>
  <c r="D313" i="24"/>
  <c r="N307" i="24"/>
  <c r="L306" i="24"/>
  <c r="H304" i="24"/>
  <c r="D302" i="24"/>
  <c r="N296" i="24"/>
  <c r="L295" i="24"/>
  <c r="H293" i="24"/>
  <c r="D291" i="24"/>
  <c r="N285" i="24"/>
  <c r="L284" i="24"/>
  <c r="H282" i="24"/>
  <c r="D280" i="24"/>
  <c r="N274" i="24"/>
  <c r="L273" i="24"/>
  <c r="H271" i="24"/>
  <c r="D269" i="24"/>
  <c r="N263" i="24"/>
  <c r="L262" i="24"/>
  <c r="H260" i="24"/>
  <c r="D258" i="24"/>
  <c r="N252" i="24"/>
  <c r="M495" i="24"/>
  <c r="H475" i="24"/>
  <c r="N467" i="24"/>
  <c r="M457" i="24"/>
  <c r="L450" i="24"/>
  <c r="H442" i="24"/>
  <c r="O439" i="24"/>
  <c r="O490" i="24"/>
  <c r="L457" i="24"/>
  <c r="I447" i="24"/>
  <c r="N439" i="24"/>
  <c r="D432" i="24"/>
  <c r="L429" i="24"/>
  <c r="N422" i="24"/>
  <c r="D415" i="24"/>
  <c r="H411" i="24"/>
  <c r="O407" i="24"/>
  <c r="O405" i="24"/>
  <c r="M397" i="24"/>
  <c r="O391" i="24"/>
  <c r="M388" i="24"/>
  <c r="M385" i="24"/>
  <c r="M378" i="24"/>
  <c r="N375" i="24"/>
  <c r="L371" i="24"/>
  <c r="N368" i="24"/>
  <c r="O365" i="24"/>
  <c r="H364" i="24"/>
  <c r="O361" i="24"/>
  <c r="N357" i="24"/>
  <c r="H356" i="24"/>
  <c r="L353" i="24"/>
  <c r="M349" i="24"/>
  <c r="D348" i="24"/>
  <c r="M500" i="24"/>
  <c r="L490" i="24"/>
  <c r="D475" i="24"/>
  <c r="D471" i="24"/>
  <c r="H447" i="24"/>
  <c r="M439" i="24"/>
  <c r="M434" i="24"/>
  <c r="O416" i="24"/>
  <c r="L407" i="24"/>
  <c r="N405" i="24"/>
  <c r="D404" i="24"/>
  <c r="AC406" i="22" s="1"/>
  <c r="O400" i="24"/>
  <c r="L500" i="24"/>
  <c r="I495" i="24"/>
  <c r="O478" i="24"/>
  <c r="L463" i="24"/>
  <c r="D457" i="24"/>
  <c r="O453" i="24"/>
  <c r="H450" i="24"/>
  <c r="H444" i="24"/>
  <c r="L439" i="24"/>
  <c r="H420" i="24"/>
  <c r="N416" i="24"/>
  <c r="D409" i="24"/>
  <c r="M405" i="24"/>
  <c r="N400" i="24"/>
  <c r="D399" i="24"/>
  <c r="I394" i="24"/>
  <c r="M391" i="24"/>
  <c r="D384" i="24"/>
  <c r="AC386" i="22" s="1"/>
  <c r="L375" i="24"/>
  <c r="L368" i="24"/>
  <c r="D367" i="24"/>
  <c r="AC369" i="22" s="1"/>
  <c r="M365" i="24"/>
  <c r="D360" i="24"/>
  <c r="L357" i="24"/>
  <c r="D352" i="24"/>
  <c r="I349" i="24"/>
  <c r="N342" i="24"/>
  <c r="H341" i="24"/>
  <c r="N334" i="24"/>
  <c r="H333" i="24"/>
  <c r="L330" i="24"/>
  <c r="L325" i="24"/>
  <c r="N321" i="24"/>
  <c r="I320" i="24"/>
  <c r="D319" i="24"/>
  <c r="M316" i="24"/>
  <c r="N309" i="24"/>
  <c r="L308" i="24"/>
  <c r="I490" i="24"/>
  <c r="O485" i="24"/>
  <c r="M481" i="24"/>
  <c r="I463" i="24"/>
  <c r="D447" i="24"/>
  <c r="AC449" i="22" s="1"/>
  <c r="M441" i="24"/>
  <c r="H429" i="24"/>
  <c r="L424" i="24"/>
  <c r="H422" i="24"/>
  <c r="N418" i="24"/>
  <c r="L416" i="24"/>
  <c r="O414" i="24"/>
  <c r="I397" i="24"/>
  <c r="I388" i="24"/>
  <c r="I385" i="24"/>
  <c r="N382" i="24"/>
  <c r="I378" i="24"/>
  <c r="O372" i="24"/>
  <c r="D371" i="24"/>
  <c r="D364" i="24"/>
  <c r="H361" i="24"/>
  <c r="N354" i="24"/>
  <c r="H353" i="24"/>
  <c r="O350" i="24"/>
  <c r="N346" i="24"/>
  <c r="H345" i="24"/>
  <c r="L342" i="24"/>
  <c r="M338" i="24"/>
  <c r="D337" i="24"/>
  <c r="L334" i="24"/>
  <c r="H490" i="24"/>
  <c r="N485" i="24"/>
  <c r="I481" i="24"/>
  <c r="M477" i="24"/>
  <c r="M474" i="24"/>
  <c r="H463" i="24"/>
  <c r="L459" i="24"/>
  <c r="H453" i="24"/>
  <c r="L441" i="24"/>
  <c r="I439" i="24"/>
  <c r="N436" i="24"/>
  <c r="O426" i="24"/>
  <c r="M418" i="24"/>
  <c r="I414" i="24"/>
  <c r="N410" i="24"/>
  <c r="H397" i="24"/>
  <c r="I391" i="24"/>
  <c r="H388" i="24"/>
  <c r="O386" i="24"/>
  <c r="H385" i="24"/>
  <c r="M382" i="24"/>
  <c r="O379" i="24"/>
  <c r="H378" i="24"/>
  <c r="I375" i="24"/>
  <c r="N372" i="24"/>
  <c r="H368" i="24"/>
  <c r="M485" i="24"/>
  <c r="H481" i="24"/>
  <c r="L477" i="24"/>
  <c r="N473" i="24"/>
  <c r="D444" i="24"/>
  <c r="M436" i="24"/>
  <c r="D429" i="24"/>
  <c r="N426" i="24"/>
  <c r="D424" i="24"/>
  <c r="D420" i="24"/>
  <c r="H418" i="24"/>
  <c r="H414" i="24"/>
  <c r="N412" i="24"/>
  <c r="M410" i="24"/>
  <c r="I405" i="24"/>
  <c r="I400" i="24"/>
  <c r="O398" i="24"/>
  <c r="O389" i="24"/>
  <c r="O502" i="24"/>
  <c r="L485" i="24"/>
  <c r="N479" i="24"/>
  <c r="D473" i="24"/>
  <c r="I461" i="24"/>
  <c r="I455" i="24"/>
  <c r="O432" i="24"/>
  <c r="I421" i="24"/>
  <c r="L409" i="24"/>
  <c r="O406" i="24"/>
  <c r="L401" i="24"/>
  <c r="N398" i="24"/>
  <c r="M396" i="24"/>
  <c r="H394" i="24"/>
  <c r="D392" i="24"/>
  <c r="D374" i="24"/>
  <c r="D372" i="24"/>
  <c r="I366" i="24"/>
  <c r="I364" i="24"/>
  <c r="I362" i="24"/>
  <c r="M353" i="24"/>
  <c r="D350" i="24"/>
  <c r="AC352" i="22" s="1"/>
  <c r="L348" i="24"/>
  <c r="M346" i="24"/>
  <c r="I343" i="24"/>
  <c r="O331" i="24"/>
  <c r="H324" i="24"/>
  <c r="I321" i="24"/>
  <c r="I306" i="24"/>
  <c r="M301" i="24"/>
  <c r="I300" i="24"/>
  <c r="O290" i="24"/>
  <c r="O284" i="24"/>
  <c r="I283" i="24"/>
  <c r="M278" i="24"/>
  <c r="I277" i="24"/>
  <c r="M272" i="24"/>
  <c r="O267" i="24"/>
  <c r="O261" i="24"/>
  <c r="M255" i="24"/>
  <c r="I254" i="24"/>
  <c r="N247" i="24"/>
  <c r="L246" i="24"/>
  <c r="H244" i="24"/>
  <c r="D242" i="24"/>
  <c r="N236" i="24"/>
  <c r="L235" i="24"/>
  <c r="H233" i="24"/>
  <c r="D231" i="24"/>
  <c r="N225" i="24"/>
  <c r="L224" i="24"/>
  <c r="H222" i="24"/>
  <c r="D220" i="24"/>
  <c r="N214" i="24"/>
  <c r="L213" i="24"/>
  <c r="H211" i="24"/>
  <c r="D209" i="24"/>
  <c r="M479" i="24"/>
  <c r="O466" i="24"/>
  <c r="H461" i="24"/>
  <c r="M440" i="24"/>
  <c r="N432" i="24"/>
  <c r="H421" i="24"/>
  <c r="N406" i="24"/>
  <c r="M398" i="24"/>
  <c r="L396" i="24"/>
  <c r="D394" i="24"/>
  <c r="O387" i="24"/>
  <c r="H366" i="24"/>
  <c r="H362" i="24"/>
  <c r="O358" i="24"/>
  <c r="I355" i="24"/>
  <c r="L346" i="24"/>
  <c r="H343" i="24"/>
  <c r="O341" i="24"/>
  <c r="N331" i="24"/>
  <c r="H321" i="24"/>
  <c r="I318" i="24"/>
  <c r="O312" i="24"/>
  <c r="M307" i="24"/>
  <c r="H306" i="24"/>
  <c r="D305" i="24"/>
  <c r="L301" i="24"/>
  <c r="H300" i="24"/>
  <c r="D299" i="24"/>
  <c r="AC301" i="22" s="1"/>
  <c r="N290" i="24"/>
  <c r="N284" i="24"/>
  <c r="H283" i="24"/>
  <c r="D282" i="24"/>
  <c r="L278" i="24"/>
  <c r="H277" i="24"/>
  <c r="D276" i="24"/>
  <c r="L272" i="24"/>
  <c r="N267" i="24"/>
  <c r="N261" i="24"/>
  <c r="D259" i="24"/>
  <c r="L255" i="24"/>
  <c r="H254" i="24"/>
  <c r="D253" i="24"/>
  <c r="O248" i="24"/>
  <c r="M247" i="24"/>
  <c r="I245" i="24"/>
  <c r="O237" i="24"/>
  <c r="M236" i="24"/>
  <c r="I234" i="24"/>
  <c r="O226" i="24"/>
  <c r="M225" i="24"/>
  <c r="I223" i="24"/>
  <c r="O215" i="24"/>
  <c r="M214" i="24"/>
  <c r="I212" i="24"/>
  <c r="I479" i="24"/>
  <c r="N465" i="24"/>
  <c r="D455" i="24"/>
  <c r="N435" i="24"/>
  <c r="H432" i="24"/>
  <c r="I415" i="24"/>
  <c r="M406" i="24"/>
  <c r="I401" i="24"/>
  <c r="L398" i="24"/>
  <c r="N389" i="24"/>
  <c r="N387" i="24"/>
  <c r="D376" i="24"/>
  <c r="N478" i="24"/>
  <c r="L465" i="24"/>
  <c r="I459" i="24"/>
  <c r="H454" i="24"/>
  <c r="L435" i="24"/>
  <c r="H415" i="24"/>
  <c r="L406" i="24"/>
  <c r="I403" i="24"/>
  <c r="O492" i="24"/>
  <c r="H477" i="24"/>
  <c r="H459" i="24"/>
  <c r="O448" i="24"/>
  <c r="D431" i="24"/>
  <c r="H403" i="24"/>
  <c r="I396" i="24"/>
  <c r="L389" i="24"/>
  <c r="L387" i="24"/>
  <c r="N383" i="24"/>
  <c r="M379" i="24"/>
  <c r="O377" i="24"/>
  <c r="O375" i="24"/>
  <c r="D366" i="24"/>
  <c r="L358" i="24"/>
  <c r="H346" i="24"/>
  <c r="O344" i="24"/>
  <c r="I341" i="24"/>
  <c r="M336" i="24"/>
  <c r="D333" i="24"/>
  <c r="M325" i="24"/>
  <c r="M322" i="24"/>
  <c r="N319" i="24"/>
  <c r="D315" i="24"/>
  <c r="L312" i="24"/>
  <c r="O308" i="24"/>
  <c r="I307" i="24"/>
  <c r="M302" i="24"/>
  <c r="I301" i="24"/>
  <c r="O297" i="24"/>
  <c r="M498" i="24"/>
  <c r="N492" i="24"/>
  <c r="O472" i="24"/>
  <c r="N448" i="24"/>
  <c r="D421" i="24"/>
  <c r="H406" i="24"/>
  <c r="I398" i="24"/>
  <c r="L498" i="24"/>
  <c r="M492" i="24"/>
  <c r="D477" i="24"/>
  <c r="N471" i="24"/>
  <c r="I465" i="24"/>
  <c r="L453" i="24"/>
  <c r="M448" i="24"/>
  <c r="L438" i="24"/>
  <c r="I435" i="24"/>
  <c r="O417" i="24"/>
  <c r="O408" i="24"/>
  <c r="H398" i="24"/>
  <c r="D396" i="24"/>
  <c r="H383" i="24"/>
  <c r="L381" i="24"/>
  <c r="M377" i="24"/>
  <c r="N369" i="24"/>
  <c r="I358" i="24"/>
  <c r="O356" i="24"/>
  <c r="D353" i="24"/>
  <c r="I351" i="24"/>
  <c r="M344" i="24"/>
  <c r="N339" i="24"/>
  <c r="O334" i="24"/>
  <c r="I331" i="24"/>
  <c r="I328" i="24"/>
  <c r="I325" i="24"/>
  <c r="L319" i="24"/>
  <c r="L316" i="24"/>
  <c r="O313" i="24"/>
  <c r="M308" i="24"/>
  <c r="O303" i="24"/>
  <c r="M297" i="24"/>
  <c r="I296" i="24"/>
  <c r="M291" i="24"/>
  <c r="I290" i="24"/>
  <c r="O286" i="24"/>
  <c r="O280" i="24"/>
  <c r="M274" i="24"/>
  <c r="I273" i="24"/>
  <c r="M268" i="24"/>
  <c r="I267" i="24"/>
  <c r="O257" i="24"/>
  <c r="I498" i="24"/>
  <c r="H465" i="24"/>
  <c r="D459" i="24"/>
  <c r="H452" i="24"/>
  <c r="H435" i="24"/>
  <c r="N417" i="24"/>
  <c r="O411" i="24"/>
  <c r="H408" i="24"/>
  <c r="L400" i="24"/>
  <c r="N391" i="24"/>
  <c r="I389" i="24"/>
  <c r="I387" i="24"/>
  <c r="L377" i="24"/>
  <c r="H375" i="24"/>
  <c r="M369" i="24"/>
  <c r="O367" i="24"/>
  <c r="N365" i="24"/>
  <c r="O363" i="24"/>
  <c r="H358" i="24"/>
  <c r="N356" i="24"/>
  <c r="O354" i="24"/>
  <c r="H351" i="24"/>
  <c r="N349" i="24"/>
  <c r="L344" i="24"/>
  <c r="D341" i="24"/>
  <c r="I336" i="24"/>
  <c r="M334" i="24"/>
  <c r="H331" i="24"/>
  <c r="H328" i="24"/>
  <c r="H325" i="24"/>
  <c r="I316" i="24"/>
  <c r="N313" i="24"/>
  <c r="I312" i="24"/>
  <c r="D311" i="24"/>
  <c r="N303" i="24"/>
  <c r="L506" i="24"/>
  <c r="O483" i="24"/>
  <c r="O427" i="24"/>
  <c r="M423" i="24"/>
  <c r="M417" i="24"/>
  <c r="N411" i="24"/>
  <c r="D403" i="24"/>
  <c r="H400" i="24"/>
  <c r="L391" i="24"/>
  <c r="H389" i="24"/>
  <c r="D385" i="24"/>
  <c r="D381" i="24"/>
  <c r="H379" i="24"/>
  <c r="I373" i="24"/>
  <c r="M371" i="24"/>
  <c r="L369" i="24"/>
  <c r="N367" i="24"/>
  <c r="L365" i="24"/>
  <c r="M363" i="24"/>
  <c r="M356" i="24"/>
  <c r="M354" i="24"/>
  <c r="L349" i="24"/>
  <c r="O342" i="24"/>
  <c r="I339" i="24"/>
  <c r="I322" i="24"/>
  <c r="H316" i="24"/>
  <c r="M313" i="24"/>
  <c r="H312" i="24"/>
  <c r="M303" i="24"/>
  <c r="I302" i="24"/>
  <c r="O298" i="24"/>
  <c r="O292" i="24"/>
  <c r="M286" i="24"/>
  <c r="I285" i="24"/>
  <c r="M280" i="24"/>
  <c r="I279" i="24"/>
  <c r="O275" i="24"/>
  <c r="M483" i="24"/>
  <c r="N469" i="24"/>
  <c r="I506" i="24"/>
  <c r="D452" i="24"/>
  <c r="H438" i="24"/>
  <c r="M426" i="24"/>
  <c r="I411" i="24"/>
  <c r="D408" i="24"/>
  <c r="H405" i="24"/>
  <c r="D398" i="24"/>
  <c r="N393" i="24"/>
  <c r="D383" i="24"/>
  <c r="I369" i="24"/>
  <c r="L367" i="24"/>
  <c r="H365" i="24"/>
  <c r="I356" i="24"/>
  <c r="N347" i="24"/>
  <c r="I334" i="24"/>
  <c r="O332" i="24"/>
  <c r="M329" i="24"/>
  <c r="N326" i="24"/>
  <c r="O323" i="24"/>
  <c r="L497" i="24"/>
  <c r="D433" i="24"/>
  <c r="L425" i="24"/>
  <c r="M419" i="24"/>
  <c r="I404" i="24"/>
  <c r="L378" i="24"/>
  <c r="D375" i="24"/>
  <c r="L366" i="24"/>
  <c r="O355" i="24"/>
  <c r="L345" i="24"/>
  <c r="I338" i="24"/>
  <c r="O333" i="24"/>
  <c r="L326" i="24"/>
  <c r="O324" i="24"/>
  <c r="H322" i="24"/>
  <c r="D310" i="24"/>
  <c r="O306" i="24"/>
  <c r="O301" i="24"/>
  <c r="I298" i="24"/>
  <c r="H292" i="24"/>
  <c r="H289" i="24"/>
  <c r="H286" i="24"/>
  <c r="L283" i="24"/>
  <c r="L277" i="24"/>
  <c r="I270" i="24"/>
  <c r="N264" i="24"/>
  <c r="M260" i="24"/>
  <c r="N257" i="24"/>
  <c r="M253" i="24"/>
  <c r="H252" i="24"/>
  <c r="D251" i="24"/>
  <c r="N248" i="24"/>
  <c r="N242" i="24"/>
  <c r="L236" i="24"/>
  <c r="H235" i="24"/>
  <c r="D234" i="24"/>
  <c r="L230" i="24"/>
  <c r="H229" i="24"/>
  <c r="D228" i="24"/>
  <c r="N219" i="24"/>
  <c r="N213" i="24"/>
  <c r="H212" i="24"/>
  <c r="D211" i="24"/>
  <c r="L207" i="24"/>
  <c r="H206" i="24"/>
  <c r="O199" i="24"/>
  <c r="M198" i="24"/>
  <c r="I196" i="24"/>
  <c r="I497" i="24"/>
  <c r="D481" i="24"/>
  <c r="I438" i="24"/>
  <c r="H399" i="24"/>
  <c r="M387" i="24"/>
  <c r="I363" i="24"/>
  <c r="N355" i="24"/>
  <c r="I350" i="24"/>
  <c r="H497" i="24"/>
  <c r="D419" i="24"/>
  <c r="H363" i="24"/>
  <c r="M355" i="24"/>
  <c r="H350" i="24"/>
  <c r="O347" i="24"/>
  <c r="I345" i="24"/>
  <c r="D343" i="24"/>
  <c r="D338" i="24"/>
  <c r="N335" i="24"/>
  <c r="I333" i="24"/>
  <c r="M324" i="24"/>
  <c r="D322" i="24"/>
  <c r="AC324" i="22" s="1"/>
  <c r="D320" i="24"/>
  <c r="O317" i="24"/>
  <c r="L313" i="24"/>
  <c r="D308" i="24"/>
  <c r="O304" i="24"/>
  <c r="N293" i="24"/>
  <c r="D292" i="24"/>
  <c r="N287" i="24"/>
  <c r="H280" i="24"/>
  <c r="H274" i="24"/>
  <c r="N271" i="24"/>
  <c r="H267" i="24"/>
  <c r="L264" i="24"/>
  <c r="I425" i="24"/>
  <c r="O413" i="24"/>
  <c r="O390" i="24"/>
  <c r="D387" i="24"/>
  <c r="O430" i="24"/>
  <c r="H425" i="24"/>
  <c r="O455" i="24"/>
  <c r="D438" i="24"/>
  <c r="N430" i="24"/>
  <c r="L423" i="24"/>
  <c r="M402" i="24"/>
  <c r="N397" i="24"/>
  <c r="M390" i="24"/>
  <c r="M386" i="24"/>
  <c r="M360" i="24"/>
  <c r="O357" i="24"/>
  <c r="H355" i="24"/>
  <c r="L352" i="24"/>
  <c r="D345" i="24"/>
  <c r="I342" i="24"/>
  <c r="H340" i="24"/>
  <c r="O315" i="24"/>
  <c r="H313" i="24"/>
  <c r="M311" i="24"/>
  <c r="L309" i="24"/>
  <c r="L304" i="24"/>
  <c r="D301" i="24"/>
  <c r="M299" i="24"/>
  <c r="D298" i="24"/>
  <c r="M281" i="24"/>
  <c r="O278" i="24"/>
  <c r="M275" i="24"/>
  <c r="N493" i="24"/>
  <c r="O468" i="24"/>
  <c r="N455" i="24"/>
  <c r="M430" i="24"/>
  <c r="O418" i="24"/>
  <c r="D402" i="24"/>
  <c r="L397" i="24"/>
  <c r="L390" i="24"/>
  <c r="L386" i="24"/>
  <c r="O380" i="24"/>
  <c r="N377" i="24"/>
  <c r="M374" i="24"/>
  <c r="O368" i="24"/>
  <c r="I365" i="24"/>
  <c r="M357" i="24"/>
  <c r="I347" i="24"/>
  <c r="H342" i="24"/>
  <c r="L337" i="24"/>
  <c r="N332" i="24"/>
  <c r="D328" i="24"/>
  <c r="AC330" i="22" s="1"/>
  <c r="D326" i="24"/>
  <c r="AC328" i="22" s="1"/>
  <c r="O319" i="24"/>
  <c r="I317" i="24"/>
  <c r="L311" i="24"/>
  <c r="D306" i="24"/>
  <c r="L299" i="24"/>
  <c r="H296" i="24"/>
  <c r="L281" i="24"/>
  <c r="N278" i="24"/>
  <c r="D277" i="24"/>
  <c r="L275" i="24"/>
  <c r="D274" i="24"/>
  <c r="L493" i="24"/>
  <c r="L430" i="24"/>
  <c r="L417" i="24"/>
  <c r="M412" i="24"/>
  <c r="M393" i="24"/>
  <c r="O383" i="24"/>
  <c r="N380" i="24"/>
  <c r="L374" i="24"/>
  <c r="M368" i="24"/>
  <c r="H347" i="24"/>
  <c r="D340" i="24"/>
  <c r="AC342" i="22" s="1"/>
  <c r="H335" i="24"/>
  <c r="M332" i="24"/>
  <c r="I330" i="24"/>
  <c r="O321" i="24"/>
  <c r="M319" i="24"/>
  <c r="H317" i="24"/>
  <c r="I311" i="24"/>
  <c r="H290" i="24"/>
  <c r="I287" i="24"/>
  <c r="I284" i="24"/>
  <c r="N265" i="24"/>
  <c r="I261" i="24"/>
  <c r="N258" i="24"/>
  <c r="L254" i="24"/>
  <c r="O250" i="24"/>
  <c r="O244" i="24"/>
  <c r="M238" i="24"/>
  <c r="O479" i="24"/>
  <c r="N445" i="24"/>
  <c r="L412" i="24"/>
  <c r="I383" i="24"/>
  <c r="M380" i="24"/>
  <c r="D377" i="24"/>
  <c r="M362" i="24"/>
  <c r="H357" i="24"/>
  <c r="L354" i="24"/>
  <c r="L332" i="24"/>
  <c r="H330" i="24"/>
  <c r="N323" i="24"/>
  <c r="M321" i="24"/>
  <c r="H311" i="24"/>
  <c r="I309" i="24"/>
  <c r="O302" i="24"/>
  <c r="H287" i="24"/>
  <c r="H284" i="24"/>
  <c r="L445" i="24"/>
  <c r="I429" i="24"/>
  <c r="I422" i="24"/>
  <c r="M416" i="24"/>
  <c r="D397" i="24"/>
  <c r="H386" i="24"/>
  <c r="O376" i="24"/>
  <c r="D365" i="24"/>
  <c r="M461" i="24"/>
  <c r="I441" i="24"/>
  <c r="H428" i="24"/>
  <c r="H416" i="24"/>
  <c r="M399" i="24"/>
  <c r="I376" i="24"/>
  <c r="I354" i="24"/>
  <c r="D351" i="24"/>
  <c r="O330" i="24"/>
  <c r="N327" i="24"/>
  <c r="L321" i="24"/>
  <c r="N305" i="24"/>
  <c r="M294" i="24"/>
  <c r="M292" i="24"/>
  <c r="M290" i="24"/>
  <c r="L282" i="24"/>
  <c r="N280" i="24"/>
  <c r="N276" i="24"/>
  <c r="L269" i="24"/>
  <c r="H266" i="24"/>
  <c r="O264" i="24"/>
  <c r="H261" i="24"/>
  <c r="N256" i="24"/>
  <c r="O253" i="24"/>
  <c r="M249" i="24"/>
  <c r="N245" i="24"/>
  <c r="N241" i="24"/>
  <c r="H240" i="24"/>
  <c r="M237" i="24"/>
  <c r="H236" i="24"/>
  <c r="M232" i="24"/>
  <c r="H231" i="24"/>
  <c r="D221" i="24"/>
  <c r="N218" i="24"/>
  <c r="I217" i="24"/>
  <c r="D216" i="24"/>
  <c r="M213" i="24"/>
  <c r="N203" i="24"/>
  <c r="H201" i="24"/>
  <c r="M195" i="24"/>
  <c r="I193" i="24"/>
  <c r="O185" i="24"/>
  <c r="M184" i="24"/>
  <c r="I182" i="24"/>
  <c r="O174" i="24"/>
  <c r="M173" i="24"/>
  <c r="I171" i="24"/>
  <c r="O163" i="24"/>
  <c r="M162" i="24"/>
  <c r="I160" i="24"/>
  <c r="M154" i="24"/>
  <c r="I153" i="24"/>
  <c r="O149" i="24"/>
  <c r="M143" i="24"/>
  <c r="I142" i="24"/>
  <c r="O138" i="24"/>
  <c r="M132" i="24"/>
  <c r="I131" i="24"/>
  <c r="O127" i="24"/>
  <c r="M121" i="24"/>
  <c r="I120" i="24"/>
  <c r="O116" i="24"/>
  <c r="D109" i="24"/>
  <c r="N106" i="24"/>
  <c r="H105" i="24"/>
  <c r="L97" i="24"/>
  <c r="L461" i="24"/>
  <c r="L405" i="24"/>
  <c r="L399" i="24"/>
  <c r="D386" i="24"/>
  <c r="H376" i="24"/>
  <c r="O366" i="24"/>
  <c r="N358" i="24"/>
  <c r="H354" i="24"/>
  <c r="O343" i="24"/>
  <c r="M340" i="24"/>
  <c r="M330" i="24"/>
  <c r="M327" i="24"/>
  <c r="M305" i="24"/>
  <c r="I303" i="24"/>
  <c r="L294" i="24"/>
  <c r="L292" i="24"/>
  <c r="L290" i="24"/>
  <c r="D284" i="24"/>
  <c r="L280" i="24"/>
  <c r="M276" i="24"/>
  <c r="M264" i="24"/>
  <c r="M256" i="24"/>
  <c r="D255" i="24"/>
  <c r="AC257" i="22" s="1"/>
  <c r="N253" i="24"/>
  <c r="L249" i="24"/>
  <c r="M245" i="24"/>
  <c r="M241" i="24"/>
  <c r="L237" i="24"/>
  <c r="L232" i="24"/>
  <c r="O228" i="24"/>
  <c r="O223" i="24"/>
  <c r="M218" i="24"/>
  <c r="H217" i="24"/>
  <c r="O209" i="24"/>
  <c r="M203" i="24"/>
  <c r="D200" i="24"/>
  <c r="O196" i="24"/>
  <c r="L195" i="24"/>
  <c r="H193" i="24"/>
  <c r="I505" i="24"/>
  <c r="L426" i="24"/>
  <c r="L385" i="24"/>
  <c r="L380" i="24"/>
  <c r="N366" i="24"/>
  <c r="D362" i="24"/>
  <c r="AC364" i="22" s="1"/>
  <c r="M358" i="24"/>
  <c r="N343" i="24"/>
  <c r="L327" i="24"/>
  <c r="M318" i="24"/>
  <c r="I310" i="24"/>
  <c r="L305" i="24"/>
  <c r="H303" i="24"/>
  <c r="N298" i="24"/>
  <c r="M296" i="24"/>
  <c r="I294" i="24"/>
  <c r="I288" i="24"/>
  <c r="I286" i="24"/>
  <c r="I278" i="24"/>
  <c r="L276" i="24"/>
  <c r="O259" i="24"/>
  <c r="L256" i="24"/>
  <c r="L253" i="24"/>
  <c r="D248" i="24"/>
  <c r="L245" i="24"/>
  <c r="D244" i="24"/>
  <c r="L241" i="24"/>
  <c r="N475" i="24"/>
  <c r="D416" i="24"/>
  <c r="I380" i="24"/>
  <c r="O370" i="24"/>
  <c r="M366" i="24"/>
  <c r="M343" i="24"/>
  <c r="I340" i="24"/>
  <c r="D330" i="24"/>
  <c r="I327" i="24"/>
  <c r="N324" i="24"/>
  <c r="L318" i="24"/>
  <c r="N312" i="24"/>
  <c r="H310" i="24"/>
  <c r="L307" i="24"/>
  <c r="I305" i="24"/>
  <c r="D303" i="24"/>
  <c r="AC305" i="22" s="1"/>
  <c r="O300" i="24"/>
  <c r="M298" i="24"/>
  <c r="L296" i="24"/>
  <c r="H294" i="24"/>
  <c r="D290" i="24"/>
  <c r="AC292" i="22" s="1"/>
  <c r="H288" i="24"/>
  <c r="I280" i="24"/>
  <c r="H278" i="24"/>
  <c r="O272" i="24"/>
  <c r="I269" i="24"/>
  <c r="D266" i="24"/>
  <c r="D261" i="24"/>
  <c r="N259" i="24"/>
  <c r="D252" i="24"/>
  <c r="I249" i="24"/>
  <c r="D240" i="24"/>
  <c r="O233" i="24"/>
  <c r="M228" i="24"/>
  <c r="H227" i="24"/>
  <c r="M223" i="24"/>
  <c r="M475" i="24"/>
  <c r="H380" i="24"/>
  <c r="M375" i="24"/>
  <c r="N370" i="24"/>
  <c r="N361" i="24"/>
  <c r="N350" i="24"/>
  <c r="O346" i="24"/>
  <c r="L343" i="24"/>
  <c r="H327" i="24"/>
  <c r="M312" i="24"/>
  <c r="H305" i="24"/>
  <c r="N300" i="24"/>
  <c r="L298" i="24"/>
  <c r="D296" i="24"/>
  <c r="I292" i="24"/>
  <c r="L274" i="24"/>
  <c r="N272" i="24"/>
  <c r="H269" i="24"/>
  <c r="I264" i="24"/>
  <c r="M259" i="24"/>
  <c r="I256" i="24"/>
  <c r="N250" i="24"/>
  <c r="H249" i="24"/>
  <c r="H245" i="24"/>
  <c r="I241" i="24"/>
  <c r="O238" i="24"/>
  <c r="I237" i="24"/>
  <c r="D236" i="24"/>
  <c r="N233" i="24"/>
  <c r="I232" i="24"/>
  <c r="L228" i="24"/>
  <c r="L223" i="24"/>
  <c r="O219" i="24"/>
  <c r="I218" i="24"/>
  <c r="D217" i="24"/>
  <c r="L214" i="24"/>
  <c r="L209" i="24"/>
  <c r="M204" i="24"/>
  <c r="D201" i="24"/>
  <c r="O197" i="24"/>
  <c r="L196" i="24"/>
  <c r="I195" i="24"/>
  <c r="O187" i="24"/>
  <c r="M186" i="24"/>
  <c r="I184" i="24"/>
  <c r="O176" i="24"/>
  <c r="M175" i="24"/>
  <c r="I173" i="24"/>
  <c r="O165" i="24"/>
  <c r="M164" i="24"/>
  <c r="I162" i="24"/>
  <c r="M155" i="24"/>
  <c r="I154" i="24"/>
  <c r="O150" i="24"/>
  <c r="M144" i="24"/>
  <c r="I143" i="24"/>
  <c r="L475" i="24"/>
  <c r="I426" i="24"/>
  <c r="M415" i="24"/>
  <c r="N390" i="24"/>
  <c r="N379" i="24"/>
  <c r="L370" i="24"/>
  <c r="I361" i="24"/>
  <c r="D354" i="24"/>
  <c r="O339" i="24"/>
  <c r="O336" i="24"/>
  <c r="N333" i="24"/>
  <c r="D321" i="24"/>
  <c r="AC323" i="22" s="1"/>
  <c r="H318" i="24"/>
  <c r="H307" i="24"/>
  <c r="M300" i="24"/>
  <c r="D294" i="24"/>
  <c r="D288" i="24"/>
  <c r="D286" i="24"/>
  <c r="AC288" i="22" s="1"/>
  <c r="D278" i="24"/>
  <c r="AC280" i="22" s="1"/>
  <c r="I276" i="24"/>
  <c r="I274" i="24"/>
  <c r="I272" i="24"/>
  <c r="M267" i="24"/>
  <c r="H264" i="24"/>
  <c r="O262" i="24"/>
  <c r="L259" i="24"/>
  <c r="H256" i="24"/>
  <c r="I253" i="24"/>
  <c r="M250" i="24"/>
  <c r="O246" i="24"/>
  <c r="O242" i="24"/>
  <c r="H241" i="24"/>
  <c r="N238" i="24"/>
  <c r="H237" i="24"/>
  <c r="M233" i="24"/>
  <c r="H232" i="24"/>
  <c r="D222" i="24"/>
  <c r="M219" i="24"/>
  <c r="H218" i="24"/>
  <c r="O205" i="24"/>
  <c r="L204" i="24"/>
  <c r="I203" i="24"/>
  <c r="N197" i="24"/>
  <c r="H195" i="24"/>
  <c r="D193" i="24"/>
  <c r="N187" i="24"/>
  <c r="L186" i="24"/>
  <c r="H184" i="24"/>
  <c r="D182" i="24"/>
  <c r="N176" i="24"/>
  <c r="L175" i="24"/>
  <c r="H173" i="24"/>
  <c r="D171" i="24"/>
  <c r="N165" i="24"/>
  <c r="L164" i="24"/>
  <c r="H162" i="24"/>
  <c r="D160" i="24"/>
  <c r="L155" i="24"/>
  <c r="H154" i="24"/>
  <c r="N150" i="24"/>
  <c r="D148" i="24"/>
  <c r="L144" i="24"/>
  <c r="H143" i="24"/>
  <c r="N139" i="24"/>
  <c r="D137" i="24"/>
  <c r="L133" i="24"/>
  <c r="H132" i="24"/>
  <c r="N128" i="24"/>
  <c r="D126" i="24"/>
  <c r="L122" i="24"/>
  <c r="H121" i="24"/>
  <c r="N117" i="24"/>
  <c r="D115" i="24"/>
  <c r="D110" i="24"/>
  <c r="N107" i="24"/>
  <c r="H106" i="24"/>
  <c r="L98" i="24"/>
  <c r="L415" i="24"/>
  <c r="O404" i="24"/>
  <c r="M389" i="24"/>
  <c r="L379" i="24"/>
  <c r="H339" i="24"/>
  <c r="N336" i="24"/>
  <c r="D327" i="24"/>
  <c r="M323" i="24"/>
  <c r="O309" i="24"/>
  <c r="D307" i="24"/>
  <c r="N302" i="24"/>
  <c r="L300" i="24"/>
  <c r="H276" i="24"/>
  <c r="H272" i="24"/>
  <c r="L267" i="24"/>
  <c r="N262" i="24"/>
  <c r="L473" i="24"/>
  <c r="L436" i="24"/>
  <c r="D414" i="24"/>
  <c r="N404" i="24"/>
  <c r="L336" i="24"/>
  <c r="L323" i="24"/>
  <c r="O320" i="24"/>
  <c r="O314" i="24"/>
  <c r="M309" i="24"/>
  <c r="L302" i="24"/>
  <c r="H298" i="24"/>
  <c r="O270" i="24"/>
  <c r="O254" i="24"/>
  <c r="M246" i="24"/>
  <c r="L242" i="24"/>
  <c r="D232" i="24"/>
  <c r="N229" i="24"/>
  <c r="I228" i="24"/>
  <c r="D227" i="24"/>
  <c r="N224" i="24"/>
  <c r="N215" i="24"/>
  <c r="I214" i="24"/>
  <c r="D213" i="24"/>
  <c r="N210" i="24"/>
  <c r="I209" i="24"/>
  <c r="D208" i="24"/>
  <c r="M205" i="24"/>
  <c r="D202" i="24"/>
  <c r="O198" i="24"/>
  <c r="L197" i="24"/>
  <c r="H196" i="24"/>
  <c r="D194" i="24"/>
  <c r="N188" i="24"/>
  <c r="L187" i="24"/>
  <c r="H185" i="24"/>
  <c r="D183" i="24"/>
  <c r="N177" i="24"/>
  <c r="L176" i="24"/>
  <c r="H174" i="24"/>
  <c r="D172" i="24"/>
  <c r="N166" i="24"/>
  <c r="L165" i="24"/>
  <c r="H163" i="24"/>
  <c r="D161" i="24"/>
  <c r="N156" i="24"/>
  <c r="D154" i="24"/>
  <c r="L150" i="24"/>
  <c r="H149" i="24"/>
  <c r="N145" i="24"/>
  <c r="D143" i="24"/>
  <c r="O422" i="24"/>
  <c r="M404" i="24"/>
  <c r="I395" i="24"/>
  <c r="H374" i="24"/>
  <c r="D361" i="24"/>
  <c r="AC363" i="22" s="1"/>
  <c r="D349" i="24"/>
  <c r="AC351" i="22" s="1"/>
  <c r="M342" i="24"/>
  <c r="I329" i="24"/>
  <c r="O326" i="24"/>
  <c r="L320" i="24"/>
  <c r="N317" i="24"/>
  <c r="N314" i="24"/>
  <c r="D312" i="24"/>
  <c r="H309" i="24"/>
  <c r="H302" i="24"/>
  <c r="O291" i="24"/>
  <c r="M285" i="24"/>
  <c r="N270" i="24"/>
  <c r="O265" i="24"/>
  <c r="D264" i="24"/>
  <c r="I262" i="24"/>
  <c r="I259" i="24"/>
  <c r="M257" i="24"/>
  <c r="D256" i="24"/>
  <c r="N254" i="24"/>
  <c r="D249" i="24"/>
  <c r="D245" i="24"/>
  <c r="O234" i="24"/>
  <c r="M229" i="24"/>
  <c r="H228" i="24"/>
  <c r="M224" i="24"/>
  <c r="O220" i="24"/>
  <c r="M215" i="24"/>
  <c r="H214" i="24"/>
  <c r="M210" i="24"/>
  <c r="H209" i="24"/>
  <c r="L205" i="24"/>
  <c r="I204" i="24"/>
  <c r="N198" i="24"/>
  <c r="O189" i="24"/>
  <c r="M188" i="24"/>
  <c r="I186" i="24"/>
  <c r="O178" i="24"/>
  <c r="M177" i="24"/>
  <c r="I175" i="24"/>
  <c r="O167" i="24"/>
  <c r="M166" i="24"/>
  <c r="I164" i="24"/>
  <c r="M156" i="24"/>
  <c r="I155" i="24"/>
  <c r="O151" i="24"/>
  <c r="M145" i="24"/>
  <c r="I144" i="24"/>
  <c r="O140" i="24"/>
  <c r="M134" i="24"/>
  <c r="I133" i="24"/>
  <c r="O129" i="24"/>
  <c r="I469" i="24"/>
  <c r="N441" i="24"/>
  <c r="N401" i="24"/>
  <c r="D382" i="24"/>
  <c r="D373" i="24"/>
  <c r="O364" i="24"/>
  <c r="D329" i="24"/>
  <c r="L287" i="24"/>
  <c r="O277" i="24"/>
  <c r="O271" i="24"/>
  <c r="L268" i="24"/>
  <c r="M265" i="24"/>
  <c r="I263" i="24"/>
  <c r="L260" i="24"/>
  <c r="H255" i="24"/>
  <c r="I246" i="24"/>
  <c r="M244" i="24"/>
  <c r="H242" i="24"/>
  <c r="I236" i="24"/>
  <c r="N228" i="24"/>
  <c r="N226" i="24"/>
  <c r="H221" i="24"/>
  <c r="L217" i="24"/>
  <c r="H210" i="24"/>
  <c r="N208" i="24"/>
  <c r="O206" i="24"/>
  <c r="D205" i="24"/>
  <c r="O203" i="24"/>
  <c r="N192" i="24"/>
  <c r="H188" i="24"/>
  <c r="M185" i="24"/>
  <c r="O182" i="24"/>
  <c r="H181" i="24"/>
  <c r="I178" i="24"/>
  <c r="N175" i="24"/>
  <c r="H171" i="24"/>
  <c r="M165" i="24"/>
  <c r="D164" i="24"/>
  <c r="AC166" i="22" s="1"/>
  <c r="I161" i="24"/>
  <c r="H155" i="24"/>
  <c r="H152" i="24"/>
  <c r="L147" i="24"/>
  <c r="I138" i="24"/>
  <c r="L135" i="24"/>
  <c r="H131" i="24"/>
  <c r="N125" i="24"/>
  <c r="L121" i="24"/>
  <c r="D120" i="24"/>
  <c r="H109" i="24"/>
  <c r="L103" i="24"/>
  <c r="H99" i="24"/>
  <c r="D91" i="24"/>
  <c r="AC93" i="22" s="1"/>
  <c r="N88" i="24"/>
  <c r="H87" i="24"/>
  <c r="L79" i="24"/>
  <c r="I75" i="24"/>
  <c r="O72" i="24"/>
  <c r="L68" i="24"/>
  <c r="D61" i="24"/>
  <c r="AC63" i="22" s="1"/>
  <c r="I50" i="24"/>
  <c r="H44" i="24"/>
  <c r="AC46" i="22" s="1"/>
  <c r="I39" i="24"/>
  <c r="L29" i="24"/>
  <c r="H22" i="24"/>
  <c r="H14" i="24"/>
  <c r="I8" i="24"/>
  <c r="M401" i="24"/>
  <c r="N364" i="24"/>
  <c r="D359" i="24"/>
  <c r="M345" i="24"/>
  <c r="D314" i="24"/>
  <c r="N297" i="24"/>
  <c r="O294" i="24"/>
  <c r="N277" i="24"/>
  <c r="M271" i="24"/>
  <c r="L265" i="24"/>
  <c r="H263" i="24"/>
  <c r="L250" i="24"/>
  <c r="M248" i="24"/>
  <c r="H246" i="24"/>
  <c r="L244" i="24"/>
  <c r="D238" i="24"/>
  <c r="AC240" i="22" s="1"/>
  <c r="I230" i="24"/>
  <c r="M226" i="24"/>
  <c r="I215" i="24"/>
  <c r="M208" i="24"/>
  <c r="N206" i="24"/>
  <c r="L203" i="24"/>
  <c r="I200" i="24"/>
  <c r="D197" i="24"/>
  <c r="O195" i="24"/>
  <c r="M192" i="24"/>
  <c r="N189" i="24"/>
  <c r="L185" i="24"/>
  <c r="N182" i="24"/>
  <c r="O179" i="24"/>
  <c r="H178" i="24"/>
  <c r="O172" i="24"/>
  <c r="I168" i="24"/>
  <c r="H161" i="24"/>
  <c r="M150" i="24"/>
  <c r="D144" i="24"/>
  <c r="O142" i="24"/>
  <c r="D141" i="24"/>
  <c r="AC143" i="22" s="1"/>
  <c r="H138" i="24"/>
  <c r="O132" i="24"/>
  <c r="I128" i="24"/>
  <c r="M125" i="24"/>
  <c r="D124" i="24"/>
  <c r="O110" i="24"/>
  <c r="I106" i="24"/>
  <c r="O100" i="24"/>
  <c r="L88" i="24"/>
  <c r="O84" i="24"/>
  <c r="I83" i="24"/>
  <c r="H75" i="24"/>
  <c r="N72" i="24"/>
  <c r="D71" i="24"/>
  <c r="D64" i="24"/>
  <c r="I59" i="24"/>
  <c r="O57" i="24"/>
  <c r="D52" i="24"/>
  <c r="H50" i="24"/>
  <c r="I48" i="24"/>
  <c r="I46" i="24"/>
  <c r="H39" i="24"/>
  <c r="I34" i="24"/>
  <c r="L24" i="24"/>
  <c r="L19" i="24"/>
  <c r="I11" i="24"/>
  <c r="H8" i="24"/>
  <c r="D434" i="24"/>
  <c r="N388" i="24"/>
  <c r="M364" i="24"/>
  <c r="D339" i="24"/>
  <c r="H334" i="24"/>
  <c r="I323" i="24"/>
  <c r="L297" i="24"/>
  <c r="N294" i="24"/>
  <c r="M277" i="24"/>
  <c r="L271" i="24"/>
  <c r="I268" i="24"/>
  <c r="I257" i="24"/>
  <c r="I250" i="24"/>
  <c r="L248" i="24"/>
  <c r="I240" i="24"/>
  <c r="H230" i="24"/>
  <c r="L226" i="24"/>
  <c r="O224" i="24"/>
  <c r="D219" i="24"/>
  <c r="H215" i="24"/>
  <c r="D210" i="24"/>
  <c r="L208" i="24"/>
  <c r="M206" i="24"/>
  <c r="H200" i="24"/>
  <c r="L198" i="24"/>
  <c r="N195" i="24"/>
  <c r="L192" i="24"/>
  <c r="D191" i="24"/>
  <c r="M189" i="24"/>
  <c r="I185" i="24"/>
  <c r="M182" i="24"/>
  <c r="N179" i="24"/>
  <c r="H175" i="24"/>
  <c r="N172" i="24"/>
  <c r="D463" i="24"/>
  <c r="L388" i="24"/>
  <c r="L364" i="24"/>
  <c r="H323" i="24"/>
  <c r="D309" i="24"/>
  <c r="AC311" i="22" s="1"/>
  <c r="O305" i="24"/>
  <c r="O283" i="24"/>
  <c r="H268" i="24"/>
  <c r="D263" i="24"/>
  <c r="D260" i="24"/>
  <c r="H257" i="24"/>
  <c r="O252" i="24"/>
  <c r="H250" i="24"/>
  <c r="I224" i="24"/>
  <c r="I208" i="24"/>
  <c r="L206" i="24"/>
  <c r="H203" i="24"/>
  <c r="L189" i="24"/>
  <c r="L182" i="24"/>
  <c r="D181" i="24"/>
  <c r="M179" i="24"/>
  <c r="I416" i="24"/>
  <c r="I372" i="24"/>
  <c r="M351" i="24"/>
  <c r="O328" i="24"/>
  <c r="D323" i="24"/>
  <c r="I297" i="24"/>
  <c r="D287" i="24"/>
  <c r="AC289" i="22" s="1"/>
  <c r="N283" i="24"/>
  <c r="D271" i="24"/>
  <c r="I265" i="24"/>
  <c r="H262" i="24"/>
  <c r="M254" i="24"/>
  <c r="M252" i="24"/>
  <c r="D246" i="24"/>
  <c r="I244" i="24"/>
  <c r="O239" i="24"/>
  <c r="H224" i="24"/>
  <c r="N220" i="24"/>
  <c r="O213" i="24"/>
  <c r="O211" i="24"/>
  <c r="H208" i="24"/>
  <c r="O201" i="24"/>
  <c r="D188" i="24"/>
  <c r="L179" i="24"/>
  <c r="L172" i="24"/>
  <c r="M169" i="24"/>
  <c r="H372" i="24"/>
  <c r="N344" i="24"/>
  <c r="D334" i="24"/>
  <c r="AC336" i="22" s="1"/>
  <c r="N328" i="24"/>
  <c r="N304" i="24"/>
  <c r="N301" i="24"/>
  <c r="H297" i="24"/>
  <c r="O293" i="24"/>
  <c r="M283" i="24"/>
  <c r="O273" i="24"/>
  <c r="M270" i="24"/>
  <c r="H265" i="24"/>
  <c r="L252" i="24"/>
  <c r="I248" i="24"/>
  <c r="N239" i="24"/>
  <c r="I226" i="24"/>
  <c r="O222" i="24"/>
  <c r="M220" i="24"/>
  <c r="I213" i="24"/>
  <c r="N211" i="24"/>
  <c r="D203" i="24"/>
  <c r="N201" i="24"/>
  <c r="I198" i="24"/>
  <c r="I192" i="24"/>
  <c r="O186" i="24"/>
  <c r="D185" i="24"/>
  <c r="D178" i="24"/>
  <c r="L169" i="24"/>
  <c r="O166" i="24"/>
  <c r="M159" i="24"/>
  <c r="L156" i="24"/>
  <c r="L153" i="24"/>
  <c r="D147" i="24"/>
  <c r="N136" i="24"/>
  <c r="L129" i="24"/>
  <c r="I125" i="24"/>
  <c r="M122" i="24"/>
  <c r="D121" i="24"/>
  <c r="L118" i="24"/>
  <c r="D117" i="24"/>
  <c r="L114" i="24"/>
  <c r="D113" i="24"/>
  <c r="I110" i="24"/>
  <c r="O104" i="24"/>
  <c r="N97" i="24"/>
  <c r="D92" i="24"/>
  <c r="N89" i="24"/>
  <c r="H88" i="24"/>
  <c r="L80" i="24"/>
  <c r="D79" i="24"/>
  <c r="H72" i="24"/>
  <c r="N69" i="24"/>
  <c r="D68" i="24"/>
  <c r="I65" i="24"/>
  <c r="H57" i="24"/>
  <c r="O53" i="24"/>
  <c r="U49" i="24"/>
  <c r="H41" i="24"/>
  <c r="I36" i="24"/>
  <c r="L26" i="24"/>
  <c r="I16" i="24"/>
  <c r="L13" i="24"/>
  <c r="L411" i="24"/>
  <c r="L356" i="24"/>
  <c r="I313" i="24"/>
  <c r="M304" i="24"/>
  <c r="M293" i="24"/>
  <c r="O279" i="24"/>
  <c r="N273" i="24"/>
  <c r="L270" i="24"/>
  <c r="D257" i="24"/>
  <c r="H248" i="24"/>
  <c r="M239" i="24"/>
  <c r="O235" i="24"/>
  <c r="D230" i="24"/>
  <c r="H226" i="24"/>
  <c r="N222" i="24"/>
  <c r="L220" i="24"/>
  <c r="D215" i="24"/>
  <c r="H213" i="24"/>
  <c r="M211" i="24"/>
  <c r="I206" i="24"/>
  <c r="M201" i="24"/>
  <c r="H198" i="24"/>
  <c r="D195" i="24"/>
  <c r="AC197" i="22" s="1"/>
  <c r="H192" i="24"/>
  <c r="I189" i="24"/>
  <c r="N186" i="24"/>
  <c r="H182" i="24"/>
  <c r="M176" i="24"/>
  <c r="D175" i="24"/>
  <c r="AC177" i="22" s="1"/>
  <c r="I172" i="24"/>
  <c r="D168" i="24"/>
  <c r="L166" i="24"/>
  <c r="L159" i="24"/>
  <c r="D158" i="24"/>
  <c r="D150" i="24"/>
  <c r="O148" i="24"/>
  <c r="I139" i="24"/>
  <c r="M136" i="24"/>
  <c r="D135" i="24"/>
  <c r="I132" i="24"/>
  <c r="O126" i="24"/>
  <c r="H125" i="24"/>
  <c r="H110" i="24"/>
  <c r="N104" i="24"/>
  <c r="D103" i="24"/>
  <c r="I100" i="24"/>
  <c r="L89" i="24"/>
  <c r="O85" i="24"/>
  <c r="I84" i="24"/>
  <c r="I76" i="24"/>
  <c r="O73" i="24"/>
  <c r="L69" i="24"/>
  <c r="H65" i="24"/>
  <c r="I62" i="24"/>
  <c r="I55" i="24"/>
  <c r="L53" i="24"/>
  <c r="O433" i="24"/>
  <c r="L410" i="24"/>
  <c r="O399" i="24"/>
  <c r="D388" i="24"/>
  <c r="L363" i="24"/>
  <c r="I332" i="24"/>
  <c r="H301" i="24"/>
  <c r="L293" i="24"/>
  <c r="N279" i="24"/>
  <c r="D268" i="24"/>
  <c r="D265" i="24"/>
  <c r="AC267" i="22" s="1"/>
  <c r="D250" i="24"/>
  <c r="O243" i="24"/>
  <c r="L239" i="24"/>
  <c r="N235" i="24"/>
  <c r="L233" i="24"/>
  <c r="O231" i="24"/>
  <c r="M222" i="24"/>
  <c r="O216" i="24"/>
  <c r="L211" i="24"/>
  <c r="O204" i="24"/>
  <c r="L201" i="24"/>
  <c r="O193" i="24"/>
  <c r="O190" i="24"/>
  <c r="H189" i="24"/>
  <c r="O183" i="24"/>
  <c r="I179" i="24"/>
  <c r="H172" i="24"/>
  <c r="D165" i="24"/>
  <c r="N151" i="24"/>
  <c r="N148" i="24"/>
  <c r="I145" i="24"/>
  <c r="H142" i="24"/>
  <c r="H139" i="24"/>
  <c r="L136" i="24"/>
  <c r="O133" i="24"/>
  <c r="N126" i="24"/>
  <c r="D125" i="24"/>
  <c r="AC127" i="22" s="1"/>
  <c r="O111" i="24"/>
  <c r="I107" i="24"/>
  <c r="L104" i="24"/>
  <c r="H100" i="24"/>
  <c r="O94" i="24"/>
  <c r="I93" i="24"/>
  <c r="D88" i="24"/>
  <c r="N85" i="24"/>
  <c r="H84" i="24"/>
  <c r="H76" i="24"/>
  <c r="N73" i="24"/>
  <c r="D72" i="24"/>
  <c r="H62" i="24"/>
  <c r="O497" i="24"/>
  <c r="N399" i="24"/>
  <c r="N378" i="24"/>
  <c r="O369" i="24"/>
  <c r="D356" i="24"/>
  <c r="D344" i="24"/>
  <c r="N338" i="24"/>
  <c r="H332" i="24"/>
  <c r="O322" i="24"/>
  <c r="D317" i="24"/>
  <c r="AC319" i="22" s="1"/>
  <c r="N308" i="24"/>
  <c r="O289" i="24"/>
  <c r="D283" i="24"/>
  <c r="M279" i="24"/>
  <c r="D262" i="24"/>
  <c r="H259" i="24"/>
  <c r="I252" i="24"/>
  <c r="N243" i="24"/>
  <c r="N237" i="24"/>
  <c r="M235" i="24"/>
  <c r="I233" i="24"/>
  <c r="N231" i="24"/>
  <c r="O229" i="24"/>
  <c r="D226" i="24"/>
  <c r="D224" i="24"/>
  <c r="L222" i="24"/>
  <c r="N216" i="24"/>
  <c r="N204" i="24"/>
  <c r="N193" i="24"/>
  <c r="N190" i="24"/>
  <c r="H186" i="24"/>
  <c r="N183" i="24"/>
  <c r="O180" i="24"/>
  <c r="H179" i="24"/>
  <c r="I176" i="24"/>
  <c r="O173" i="24"/>
  <c r="I169" i="24"/>
  <c r="D162" i="24"/>
  <c r="I156" i="24"/>
  <c r="H153" i="24"/>
  <c r="M151" i="24"/>
  <c r="M148" i="24"/>
  <c r="H145" i="24"/>
  <c r="N140" i="24"/>
  <c r="N133" i="24"/>
  <c r="D132" i="24"/>
  <c r="AC134" i="22" s="1"/>
  <c r="I129" i="24"/>
  <c r="M126" i="24"/>
  <c r="O123" i="24"/>
  <c r="I122" i="24"/>
  <c r="O119" i="24"/>
  <c r="I118" i="24"/>
  <c r="O115" i="24"/>
  <c r="I114" i="24"/>
  <c r="N111" i="24"/>
  <c r="H107" i="24"/>
  <c r="O101" i="24"/>
  <c r="I97" i="24"/>
  <c r="N94" i="24"/>
  <c r="H93" i="24"/>
  <c r="L85" i="24"/>
  <c r="O81" i="24"/>
  <c r="I80" i="24"/>
  <c r="O77" i="24"/>
  <c r="L73" i="24"/>
  <c r="M497" i="24"/>
  <c r="O461" i="24"/>
  <c r="H433" i="24"/>
  <c r="I410" i="24"/>
  <c r="H395" i="24"/>
  <c r="N386" i="24"/>
  <c r="L338" i="24"/>
  <c r="N322" i="24"/>
  <c r="I308" i="24"/>
  <c r="D304" i="24"/>
  <c r="D297" i="24"/>
  <c r="AC299" i="22" s="1"/>
  <c r="D293" i="24"/>
  <c r="N488" i="24"/>
  <c r="O451" i="24"/>
  <c r="M429" i="24"/>
  <c r="H410" i="24"/>
  <c r="I386" i="24"/>
  <c r="D378" i="24"/>
  <c r="H369" i="24"/>
  <c r="D332" i="24"/>
  <c r="L322" i="24"/>
  <c r="H308" i="24"/>
  <c r="D300" i="24"/>
  <c r="M289" i="24"/>
  <c r="L286" i="24"/>
  <c r="D270" i="24"/>
  <c r="D254" i="24"/>
  <c r="O251" i="24"/>
  <c r="O247" i="24"/>
  <c r="L243" i="24"/>
  <c r="O241" i="24"/>
  <c r="H473" i="24"/>
  <c r="L392" i="24"/>
  <c r="H291" i="24"/>
  <c r="D272" i="24"/>
  <c r="H258" i="24"/>
  <c r="D241" i="24"/>
  <c r="M234" i="24"/>
  <c r="I231" i="24"/>
  <c r="L218" i="24"/>
  <c r="O212" i="24"/>
  <c r="M190" i="24"/>
  <c r="L188" i="24"/>
  <c r="L183" i="24"/>
  <c r="M167" i="24"/>
  <c r="O153" i="24"/>
  <c r="I151" i="24"/>
  <c r="I149" i="24"/>
  <c r="H147" i="24"/>
  <c r="L140" i="24"/>
  <c r="I102" i="24"/>
  <c r="I98" i="24"/>
  <c r="N96" i="24"/>
  <c r="D89" i="24"/>
  <c r="L87" i="24"/>
  <c r="L78" i="24"/>
  <c r="O76" i="24"/>
  <c r="O74" i="24"/>
  <c r="O65" i="24"/>
  <c r="O63" i="24"/>
  <c r="D55" i="24"/>
  <c r="U52" i="24"/>
  <c r="L48" i="24"/>
  <c r="D46" i="24"/>
  <c r="I43" i="24"/>
  <c r="L40" i="24"/>
  <c r="H32" i="24"/>
  <c r="AC34" i="22" s="1"/>
  <c r="H29" i="24"/>
  <c r="I26" i="24"/>
  <c r="L23" i="24"/>
  <c r="L14" i="24"/>
  <c r="H11" i="24"/>
  <c r="L7" i="24"/>
  <c r="L257" i="24"/>
  <c r="L234" i="24"/>
  <c r="O221" i="24"/>
  <c r="L215" i="24"/>
  <c r="N212" i="24"/>
  <c r="L190" i="24"/>
  <c r="D174" i="24"/>
  <c r="O169" i="24"/>
  <c r="L167" i="24"/>
  <c r="N163" i="24"/>
  <c r="O157" i="24"/>
  <c r="N153" i="24"/>
  <c r="H151" i="24"/>
  <c r="D149" i="24"/>
  <c r="O134" i="24"/>
  <c r="O130" i="24"/>
  <c r="D123" i="24"/>
  <c r="I121" i="24"/>
  <c r="O117" i="24"/>
  <c r="N115" i="24"/>
  <c r="D112" i="24"/>
  <c r="D108" i="24"/>
  <c r="D106" i="24"/>
  <c r="D104" i="24"/>
  <c r="AC106" i="22" s="1"/>
  <c r="H102" i="24"/>
  <c r="D100" i="24"/>
  <c r="AC102" i="22" s="1"/>
  <c r="H98" i="24"/>
  <c r="L96" i="24"/>
  <c r="D82" i="24"/>
  <c r="D80" i="24"/>
  <c r="N76" i="24"/>
  <c r="N74" i="24"/>
  <c r="I67" i="24"/>
  <c r="L65" i="24"/>
  <c r="L63" i="24"/>
  <c r="O61" i="24"/>
  <c r="O59" i="24"/>
  <c r="I57" i="24"/>
  <c r="H48" i="24"/>
  <c r="H43" i="24"/>
  <c r="H26" i="24"/>
  <c r="AC28" i="22" s="1"/>
  <c r="L17" i="24"/>
  <c r="M451" i="24"/>
  <c r="N289" i="24"/>
  <c r="D237" i="24"/>
  <c r="AC239" i="22" s="1"/>
  <c r="O227" i="24"/>
  <c r="D225" i="24"/>
  <c r="AC227" i="22" s="1"/>
  <c r="N221" i="24"/>
  <c r="D218" i="24"/>
  <c r="M212" i="24"/>
  <c r="D198" i="24"/>
  <c r="I183" i="24"/>
  <c r="I181" i="24"/>
  <c r="N178" i="24"/>
  <c r="D176" i="24"/>
  <c r="O171" i="24"/>
  <c r="N169" i="24"/>
  <c r="M163" i="24"/>
  <c r="N157" i="24"/>
  <c r="M153" i="24"/>
  <c r="O146" i="24"/>
  <c r="N142" i="24"/>
  <c r="N138" i="24"/>
  <c r="O136" i="24"/>
  <c r="N134" i="24"/>
  <c r="N130" i="24"/>
  <c r="I119" i="24"/>
  <c r="M117" i="24"/>
  <c r="M115" i="24"/>
  <c r="I96" i="24"/>
  <c r="I94" i="24"/>
  <c r="I78" i="24"/>
  <c r="L76" i="24"/>
  <c r="L74" i="24"/>
  <c r="H67" i="24"/>
  <c r="L61" i="24"/>
  <c r="L59" i="24"/>
  <c r="D57" i="24"/>
  <c r="O50" i="24"/>
  <c r="O311" i="24"/>
  <c r="L289" i="24"/>
  <c r="O256" i="24"/>
  <c r="H234" i="24"/>
  <c r="N227" i="24"/>
  <c r="M221" i="24"/>
  <c r="L212" i="24"/>
  <c r="D206" i="24"/>
  <c r="I188" i="24"/>
  <c r="H183" i="24"/>
  <c r="N180" i="24"/>
  <c r="M178" i="24"/>
  <c r="N173" i="24"/>
  <c r="N171" i="24"/>
  <c r="H169" i="24"/>
  <c r="L163" i="24"/>
  <c r="O161" i="24"/>
  <c r="O159" i="24"/>
  <c r="M157" i="24"/>
  <c r="O155" i="24"/>
  <c r="D151" i="24"/>
  <c r="N146" i="24"/>
  <c r="M142" i="24"/>
  <c r="I140" i="24"/>
  <c r="M138" i="24"/>
  <c r="L134" i="24"/>
  <c r="M130" i="24"/>
  <c r="H119" i="24"/>
  <c r="L117" i="24"/>
  <c r="L115" i="24"/>
  <c r="D102" i="24"/>
  <c r="D98" i="24"/>
  <c r="AC100" i="22" s="1"/>
  <c r="H96" i="24"/>
  <c r="H94" i="24"/>
  <c r="O92" i="24"/>
  <c r="O90" i="24"/>
  <c r="I87" i="24"/>
  <c r="I85" i="24"/>
  <c r="L355" i="24"/>
  <c r="D342" i="24"/>
  <c r="M331" i="24"/>
  <c r="N311" i="24"/>
  <c r="I289" i="24"/>
  <c r="M227" i="24"/>
  <c r="L221" i="24"/>
  <c r="I190" i="24"/>
  <c r="M180" i="24"/>
  <c r="L178" i="24"/>
  <c r="L173" i="24"/>
  <c r="M171" i="24"/>
  <c r="I167" i="24"/>
  <c r="I165" i="24"/>
  <c r="I163" i="24"/>
  <c r="N161" i="24"/>
  <c r="N159" i="24"/>
  <c r="L157" i="24"/>
  <c r="N155" i="24"/>
  <c r="D153" i="24"/>
  <c r="M146" i="24"/>
  <c r="O144" i="24"/>
  <c r="L142" i="24"/>
  <c r="H140" i="24"/>
  <c r="L138" i="24"/>
  <c r="I136" i="24"/>
  <c r="N132" i="24"/>
  <c r="L130" i="24"/>
  <c r="O124" i="24"/>
  <c r="I117" i="24"/>
  <c r="O113" i="24"/>
  <c r="D96" i="24"/>
  <c r="N92" i="24"/>
  <c r="N90" i="24"/>
  <c r="D87" i="24"/>
  <c r="H85" i="24"/>
  <c r="O83" i="24"/>
  <c r="I74" i="24"/>
  <c r="L72" i="24"/>
  <c r="N70" i="24"/>
  <c r="D67" i="24"/>
  <c r="AC69" i="22" s="1"/>
  <c r="H63" i="24"/>
  <c r="I61" i="24"/>
  <c r="O52" i="24"/>
  <c r="I37" i="24"/>
  <c r="L34" i="24"/>
  <c r="L31" i="24"/>
  <c r="I20" i="24"/>
  <c r="H17" i="24"/>
  <c r="D410" i="24"/>
  <c r="L331" i="24"/>
  <c r="O266" i="24"/>
  <c r="M261" i="24"/>
  <c r="N251" i="24"/>
  <c r="O230" i="24"/>
  <c r="L227" i="24"/>
  <c r="O200" i="24"/>
  <c r="H190" i="24"/>
  <c r="L180" i="24"/>
  <c r="L171" i="24"/>
  <c r="H167" i="24"/>
  <c r="H165" i="24"/>
  <c r="M161" i="24"/>
  <c r="I159" i="24"/>
  <c r="L146" i="24"/>
  <c r="N144" i="24"/>
  <c r="D142" i="24"/>
  <c r="H136" i="24"/>
  <c r="L132" i="24"/>
  <c r="O128" i="24"/>
  <c r="L126" i="24"/>
  <c r="N124" i="24"/>
  <c r="D119" i="24"/>
  <c r="H117" i="24"/>
  <c r="I115" i="24"/>
  <c r="N113" i="24"/>
  <c r="L111" i="24"/>
  <c r="D94" i="24"/>
  <c r="L92" i="24"/>
  <c r="L90" i="24"/>
  <c r="N83" i="24"/>
  <c r="N81" i="24"/>
  <c r="D78" i="24"/>
  <c r="AC80" i="22" s="1"/>
  <c r="H74" i="24"/>
  <c r="L70" i="24"/>
  <c r="H61" i="24"/>
  <c r="D59" i="24"/>
  <c r="L52" i="24"/>
  <c r="L45" i="24"/>
  <c r="H37" i="24"/>
  <c r="H34" i="24"/>
  <c r="I31" i="24"/>
  <c r="L28" i="24"/>
  <c r="H20" i="24"/>
  <c r="I10" i="24"/>
  <c r="L303" i="24"/>
  <c r="D289" i="24"/>
  <c r="O282" i="24"/>
  <c r="O276" i="24"/>
  <c r="N266" i="24"/>
  <c r="L261" i="24"/>
  <c r="M251" i="24"/>
  <c r="O240" i="24"/>
  <c r="N230" i="24"/>
  <c r="I227" i="24"/>
  <c r="O214" i="24"/>
  <c r="D212" i="24"/>
  <c r="AC214" i="22" s="1"/>
  <c r="N200" i="24"/>
  <c r="D169" i="24"/>
  <c r="L161" i="24"/>
  <c r="H159" i="24"/>
  <c r="D155" i="24"/>
  <c r="D140" i="24"/>
  <c r="D138" i="24"/>
  <c r="D136" i="24"/>
  <c r="I134" i="24"/>
  <c r="M128" i="24"/>
  <c r="M124" i="24"/>
  <c r="H115" i="24"/>
  <c r="M113" i="24"/>
  <c r="O109" i="24"/>
  <c r="O105" i="24"/>
  <c r="I92" i="24"/>
  <c r="D85" i="24"/>
  <c r="L83" i="24"/>
  <c r="L81" i="24"/>
  <c r="I72" i="24"/>
  <c r="D63" i="24"/>
  <c r="AC65" i="22" s="1"/>
  <c r="O54" i="24"/>
  <c r="D50" i="24"/>
  <c r="H31" i="24"/>
  <c r="H10" i="24"/>
  <c r="I448" i="24"/>
  <c r="M367" i="24"/>
  <c r="H320" i="24"/>
  <c r="O295" i="24"/>
  <c r="N282" i="24"/>
  <c r="M266" i="24"/>
  <c r="L251" i="24"/>
  <c r="L247" i="24"/>
  <c r="N244" i="24"/>
  <c r="N240" i="24"/>
  <c r="D233" i="24"/>
  <c r="M230" i="24"/>
  <c r="I221" i="24"/>
  <c r="M200" i="24"/>
  <c r="M187" i="24"/>
  <c r="N185" i="24"/>
  <c r="D163" i="24"/>
  <c r="AC165" i="22" s="1"/>
  <c r="I157" i="24"/>
  <c r="L148" i="24"/>
  <c r="H144" i="24"/>
  <c r="H134" i="24"/>
  <c r="I130" i="24"/>
  <c r="L128" i="24"/>
  <c r="I126" i="24"/>
  <c r="L124" i="24"/>
  <c r="O122" i="24"/>
  <c r="L113" i="24"/>
  <c r="I111" i="24"/>
  <c r="N109" i="24"/>
  <c r="O107" i="24"/>
  <c r="N105" i="24"/>
  <c r="N101" i="24"/>
  <c r="H92" i="24"/>
  <c r="D74" i="24"/>
  <c r="I70" i="24"/>
  <c r="L54" i="24"/>
  <c r="I52" i="24"/>
  <c r="I45" i="24"/>
  <c r="L42" i="24"/>
  <c r="I28" i="24"/>
  <c r="L25" i="24"/>
  <c r="L16" i="24"/>
  <c r="I13" i="24"/>
  <c r="L6" i="24"/>
  <c r="M445" i="24"/>
  <c r="I353" i="24"/>
  <c r="D331" i="24"/>
  <c r="N295" i="24"/>
  <c r="O288" i="24"/>
  <c r="M282" i="24"/>
  <c r="H270" i="24"/>
  <c r="L266" i="24"/>
  <c r="M243" i="24"/>
  <c r="M240" i="24"/>
  <c r="I220" i="24"/>
  <c r="I211" i="24"/>
  <c r="N205" i="24"/>
  <c r="L200" i="24"/>
  <c r="O192" i="24"/>
  <c r="I180" i="24"/>
  <c r="D173" i="24"/>
  <c r="H157" i="24"/>
  <c r="I146" i="24"/>
  <c r="H130" i="24"/>
  <c r="H128" i="24"/>
  <c r="H126" i="24"/>
  <c r="N122" i="24"/>
  <c r="O120" i="24"/>
  <c r="I113" i="24"/>
  <c r="H111" i="24"/>
  <c r="L109" i="24"/>
  <c r="L107" i="24"/>
  <c r="L105" i="24"/>
  <c r="O103" i="24"/>
  <c r="L101" i="24"/>
  <c r="O99" i="24"/>
  <c r="O95" i="24"/>
  <c r="I90" i="24"/>
  <c r="H83" i="24"/>
  <c r="H70" i="24"/>
  <c r="O68" i="24"/>
  <c r="O66" i="24"/>
  <c r="O56" i="24"/>
  <c r="H52" i="24"/>
  <c r="L47" i="24"/>
  <c r="H45" i="24"/>
  <c r="H28" i="24"/>
  <c r="H13" i="24"/>
  <c r="L404" i="24"/>
  <c r="L382" i="24"/>
  <c r="H367" i="24"/>
  <c r="O310" i="24"/>
  <c r="I295" i="24"/>
  <c r="N288" i="24"/>
  <c r="O281" i="24"/>
  <c r="N275" i="24"/>
  <c r="I266" i="24"/>
  <c r="O255" i="24"/>
  <c r="I247" i="24"/>
  <c r="L240" i="24"/>
  <c r="L229" i="24"/>
  <c r="H220" i="24"/>
  <c r="O217" i="24"/>
  <c r="M197" i="24"/>
  <c r="D192" i="24"/>
  <c r="D190" i="24"/>
  <c r="I187" i="24"/>
  <c r="H180" i="24"/>
  <c r="O177" i="24"/>
  <c r="D167" i="24"/>
  <c r="D159" i="24"/>
  <c r="O152" i="24"/>
  <c r="I148" i="24"/>
  <c r="H146" i="24"/>
  <c r="D134" i="24"/>
  <c r="H122" i="24"/>
  <c r="N120" i="24"/>
  <c r="H113" i="24"/>
  <c r="N103" i="24"/>
  <c r="N99" i="24"/>
  <c r="N95" i="24"/>
  <c r="H90" i="24"/>
  <c r="O88" i="24"/>
  <c r="O86" i="24"/>
  <c r="I81" i="24"/>
  <c r="N77" i="24"/>
  <c r="N68" i="24"/>
  <c r="N66" i="24"/>
  <c r="L56" i="24"/>
  <c r="I54" i="24"/>
  <c r="I42" i="24"/>
  <c r="L39" i="24"/>
  <c r="L36" i="24"/>
  <c r="I25" i="24"/>
  <c r="L22" i="24"/>
  <c r="H16" i="24"/>
  <c r="I6" i="24"/>
  <c r="N421" i="24"/>
  <c r="L376" i="24"/>
  <c r="N310" i="24"/>
  <c r="D275" i="24"/>
  <c r="H247" i="24"/>
  <c r="D229" i="24"/>
  <c r="M216" i="24"/>
  <c r="O191" i="24"/>
  <c r="M174" i="24"/>
  <c r="I170" i="24"/>
  <c r="H166" i="24"/>
  <c r="L143" i="24"/>
  <c r="O139" i="24"/>
  <c r="M118" i="24"/>
  <c r="I112" i="24"/>
  <c r="D97" i="24"/>
  <c r="H91" i="24"/>
  <c r="L77" i="24"/>
  <c r="N71" i="24"/>
  <c r="H68" i="24"/>
  <c r="D62" i="24"/>
  <c r="D47" i="24"/>
  <c r="I38" i="24"/>
  <c r="L10" i="24"/>
  <c r="L4" i="24"/>
  <c r="M421" i="24"/>
  <c r="M310" i="24"/>
  <c r="I255" i="24"/>
  <c r="D235" i="24"/>
  <c r="L216" i="24"/>
  <c r="D207" i="24"/>
  <c r="N191" i="24"/>
  <c r="L174" i="24"/>
  <c r="H170" i="24"/>
  <c r="L151" i="24"/>
  <c r="O147" i="24"/>
  <c r="M139" i="24"/>
  <c r="D129" i="24"/>
  <c r="O125" i="24"/>
  <c r="H118" i="24"/>
  <c r="H112" i="24"/>
  <c r="D84" i="24"/>
  <c r="L71" i="24"/>
  <c r="I58" i="24"/>
  <c r="D51" i="24"/>
  <c r="H42" i="24"/>
  <c r="H38" i="24"/>
  <c r="I33" i="24"/>
  <c r="L20" i="24"/>
  <c r="I15" i="24"/>
  <c r="L9" i="24"/>
  <c r="L421" i="24"/>
  <c r="L310" i="24"/>
  <c r="H295" i="24"/>
  <c r="H273" i="24"/>
  <c r="I201" i="24"/>
  <c r="M191" i="24"/>
  <c r="D187" i="24"/>
  <c r="AC189" i="22" s="1"/>
  <c r="L177" i="24"/>
  <c r="I174" i="24"/>
  <c r="O162" i="24"/>
  <c r="N147" i="24"/>
  <c r="L139" i="24"/>
  <c r="L125" i="24"/>
  <c r="D111" i="24"/>
  <c r="I108" i="24"/>
  <c r="O93" i="24"/>
  <c r="O87" i="24"/>
  <c r="I77" i="24"/>
  <c r="D65" i="24"/>
  <c r="H58" i="24"/>
  <c r="H54" i="24"/>
  <c r="H33" i="24"/>
  <c r="AC35" i="22" s="1"/>
  <c r="I29" i="24"/>
  <c r="H15" i="24"/>
  <c r="I4" i="24"/>
  <c r="AC6" i="22" s="1"/>
  <c r="O348" i="24"/>
  <c r="D295" i="24"/>
  <c r="D285" i="24"/>
  <c r="AC287" i="22" s="1"/>
  <c r="I239" i="24"/>
  <c r="N234" i="24"/>
  <c r="I222" i="24"/>
  <c r="I205" i="24"/>
  <c r="D196" i="24"/>
  <c r="L191" i="24"/>
  <c r="N162" i="24"/>
  <c r="O154" i="24"/>
  <c r="M147" i="24"/>
  <c r="D139" i="24"/>
  <c r="O135" i="24"/>
  <c r="D118" i="24"/>
  <c r="H108" i="24"/>
  <c r="N93" i="24"/>
  <c r="D90" i="24"/>
  <c r="N87" i="24"/>
  <c r="H77" i="24"/>
  <c r="I71" i="24"/>
  <c r="U50" i="24"/>
  <c r="I24" i="24"/>
  <c r="I19" i="24"/>
  <c r="I9" i="24"/>
  <c r="N348" i="24"/>
  <c r="N281" i="24"/>
  <c r="M263" i="24"/>
  <c r="D247" i="24"/>
  <c r="H239" i="24"/>
  <c r="I216" i="24"/>
  <c r="H205" i="24"/>
  <c r="N199" i="24"/>
  <c r="D170" i="24"/>
  <c r="D166" i="24"/>
  <c r="L162" i="24"/>
  <c r="O158" i="24"/>
  <c r="N154" i="24"/>
  <c r="N135" i="24"/>
  <c r="D128" i="24"/>
  <c r="AC130" i="22" s="1"/>
  <c r="O114" i="24"/>
  <c r="D107" i="24"/>
  <c r="AC109" i="22" s="1"/>
  <c r="I104" i="24"/>
  <c r="L93" i="24"/>
  <c r="N86" i="24"/>
  <c r="H71" i="24"/>
  <c r="D58" i="24"/>
  <c r="AC60" i="22" s="1"/>
  <c r="D54" i="24"/>
  <c r="AC56" i="22" s="1"/>
  <c r="H24" i="24"/>
  <c r="H19" i="24"/>
  <c r="H9" i="24"/>
  <c r="H373" i="24"/>
  <c r="O325" i="24"/>
  <c r="D273" i="24"/>
  <c r="L263" i="24"/>
  <c r="H216" i="24"/>
  <c r="O210" i="24"/>
  <c r="M199" i="24"/>
  <c r="I177" i="24"/>
  <c r="N158" i="24"/>
  <c r="L154" i="24"/>
  <c r="I150" i="24"/>
  <c r="I147" i="24"/>
  <c r="M135" i="24"/>
  <c r="N114" i="24"/>
  <c r="H104" i="24"/>
  <c r="L86" i="24"/>
  <c r="O80" i="24"/>
  <c r="D77" i="24"/>
  <c r="AC79" i="22" s="1"/>
  <c r="O64" i="24"/>
  <c r="L50" i="24"/>
  <c r="L41" i="24"/>
  <c r="L37" i="24"/>
  <c r="M347" i="24"/>
  <c r="N325" i="24"/>
  <c r="I281" i="24"/>
  <c r="L210" i="24"/>
  <c r="L199" i="24"/>
  <c r="I191" i="24"/>
  <c r="H177" i="24"/>
  <c r="M158" i="24"/>
  <c r="H150" i="24"/>
  <c r="O131" i="24"/>
  <c r="I124" i="24"/>
  <c r="O121" i="24"/>
  <c r="M114" i="24"/>
  <c r="N100" i="24"/>
  <c r="D93" i="24"/>
  <c r="D83" i="24"/>
  <c r="AC85" i="22" s="1"/>
  <c r="N80" i="24"/>
  <c r="L64" i="24"/>
  <c r="O49" i="24"/>
  <c r="L46" i="24"/>
  <c r="L347" i="24"/>
  <c r="H281" i="24"/>
  <c r="N246" i="24"/>
  <c r="O194" i="24"/>
  <c r="H191" i="24"/>
  <c r="O168" i="24"/>
  <c r="L158" i="24"/>
  <c r="D146" i="24"/>
  <c r="I135" i="24"/>
  <c r="N131" i="24"/>
  <c r="H124" i="24"/>
  <c r="N121" i="24"/>
  <c r="H114" i="24"/>
  <c r="I103" i="24"/>
  <c r="L100" i="24"/>
  <c r="H80" i="24"/>
  <c r="O70" i="24"/>
  <c r="O60" i="24"/>
  <c r="L49" i="24"/>
  <c r="H46" i="24"/>
  <c r="I41" i="24"/>
  <c r="I14" i="24"/>
  <c r="D325" i="24"/>
  <c r="O260" i="24"/>
  <c r="D239" i="24"/>
  <c r="H204" i="24"/>
  <c r="N194" i="24"/>
  <c r="D186" i="24"/>
  <c r="O181" i="24"/>
  <c r="N168" i="24"/>
  <c r="I158" i="24"/>
  <c r="O141" i="24"/>
  <c r="H135" i="24"/>
  <c r="M131" i="24"/>
  <c r="M120" i="24"/>
  <c r="D114" i="24"/>
  <c r="H103" i="24"/>
  <c r="L99" i="24"/>
  <c r="I86" i="24"/>
  <c r="I73" i="24"/>
  <c r="D70" i="24"/>
  <c r="O67" i="24"/>
  <c r="I64" i="24"/>
  <c r="L60" i="24"/>
  <c r="H36" i="24"/>
  <c r="L32" i="24"/>
  <c r="L18" i="24"/>
  <c r="L8" i="24"/>
  <c r="D395" i="24"/>
  <c r="N292" i="24"/>
  <c r="D281" i="24"/>
  <c r="O269" i="24"/>
  <c r="N260" i="24"/>
  <c r="H253" i="24"/>
  <c r="O232" i="24"/>
  <c r="I210" i="24"/>
  <c r="I199" i="24"/>
  <c r="M194" i="24"/>
  <c r="N181" i="24"/>
  <c r="M168" i="24"/>
  <c r="H158" i="24"/>
  <c r="N141" i="24"/>
  <c r="L131" i="24"/>
  <c r="N127" i="24"/>
  <c r="L120" i="24"/>
  <c r="O96" i="24"/>
  <c r="H86" i="24"/>
  <c r="O79" i="24"/>
  <c r="H73" i="24"/>
  <c r="N67" i="24"/>
  <c r="H64" i="24"/>
  <c r="L57" i="24"/>
  <c r="I53" i="24"/>
  <c r="I49" i="24"/>
  <c r="L27" i="24"/>
  <c r="I23" i="24"/>
  <c r="N249" i="24"/>
  <c r="H225" i="24"/>
  <c r="D204" i="24"/>
  <c r="L194" i="24"/>
  <c r="H187" i="24"/>
  <c r="O170" i="24"/>
  <c r="H164" i="24"/>
  <c r="D157" i="24"/>
  <c r="O143" i="24"/>
  <c r="N116" i="24"/>
  <c r="N110" i="24"/>
  <c r="O91" i="24"/>
  <c r="H79" i="24"/>
  <c r="I32" i="24"/>
  <c r="O335" i="24"/>
  <c r="I235" i="24"/>
  <c r="I194" i="24"/>
  <c r="N170" i="24"/>
  <c r="N143" i="24"/>
  <c r="M116" i="24"/>
  <c r="L110" i="24"/>
  <c r="N91" i="24"/>
  <c r="D73" i="24"/>
  <c r="I68" i="24"/>
  <c r="O62" i="24"/>
  <c r="I40" i="24"/>
  <c r="O487" i="24"/>
  <c r="N376" i="24"/>
  <c r="M335" i="24"/>
  <c r="O245" i="24"/>
  <c r="O202" i="24"/>
  <c r="H194" i="24"/>
  <c r="M170" i="24"/>
  <c r="M141" i="24"/>
  <c r="I123" i="24"/>
  <c r="L116" i="24"/>
  <c r="O97" i="24"/>
  <c r="L91" i="24"/>
  <c r="L67" i="24"/>
  <c r="L62" i="24"/>
  <c r="H40" i="24"/>
  <c r="H23" i="24"/>
  <c r="N487" i="24"/>
  <c r="M376" i="24"/>
  <c r="L335" i="24"/>
  <c r="O299" i="24"/>
  <c r="D279" i="24"/>
  <c r="N223" i="24"/>
  <c r="N202" i="24"/>
  <c r="D179" i="24"/>
  <c r="L170" i="24"/>
  <c r="N149" i="24"/>
  <c r="L141" i="24"/>
  <c r="N129" i="24"/>
  <c r="H123" i="24"/>
  <c r="H97" i="24"/>
  <c r="O55" i="24"/>
  <c r="L15" i="24"/>
  <c r="L5" i="24"/>
  <c r="H329" i="24"/>
  <c r="N299" i="24"/>
  <c r="O258" i="24"/>
  <c r="I243" i="24"/>
  <c r="N232" i="24"/>
  <c r="H223" i="24"/>
  <c r="M202" i="24"/>
  <c r="M193" i="24"/>
  <c r="D177" i="24"/>
  <c r="O156" i="24"/>
  <c r="M149" i="24"/>
  <c r="M129" i="24"/>
  <c r="I116" i="24"/>
  <c r="L95" i="24"/>
  <c r="L66" i="24"/>
  <c r="I60" i="24"/>
  <c r="L55" i="24"/>
  <c r="D48" i="24"/>
  <c r="AC50" i="22" s="1"/>
  <c r="I22" i="24"/>
  <c r="I473" i="24"/>
  <c r="I299" i="24"/>
  <c r="I275" i="24"/>
  <c r="M258" i="24"/>
  <c r="H243" i="24"/>
  <c r="D223" i="24"/>
  <c r="L202" i="24"/>
  <c r="L193" i="24"/>
  <c r="O184" i="24"/>
  <c r="H156" i="24"/>
  <c r="L149" i="24"/>
  <c r="H129" i="24"/>
  <c r="D122" i="24"/>
  <c r="H116" i="24"/>
  <c r="I109" i="24"/>
  <c r="I91" i="24"/>
  <c r="H60" i="24"/>
  <c r="H55" i="24"/>
  <c r="I47" i="24"/>
  <c r="L30" i="24"/>
  <c r="I5" i="24"/>
  <c r="H299" i="24"/>
  <c r="H275" i="24"/>
  <c r="L258" i="24"/>
  <c r="M231" i="24"/>
  <c r="I202" i="24"/>
  <c r="N184" i="24"/>
  <c r="H176" i="24"/>
  <c r="L168" i="24"/>
  <c r="H148" i="24"/>
  <c r="I141" i="24"/>
  <c r="M127" i="24"/>
  <c r="O102" i="24"/>
  <c r="O89" i="24"/>
  <c r="N84" i="24"/>
  <c r="I66" i="24"/>
  <c r="H53" i="24"/>
  <c r="H47" i="24"/>
  <c r="L12" i="24"/>
  <c r="N360" i="24"/>
  <c r="D243" i="24"/>
  <c r="AC245" i="22" s="1"/>
  <c r="L231" i="24"/>
  <c r="H202" i="24"/>
  <c r="L184" i="24"/>
  <c r="D156" i="24"/>
  <c r="H141" i="24"/>
  <c r="L127" i="24"/>
  <c r="D116" i="24"/>
  <c r="N102" i="24"/>
  <c r="I95" i="24"/>
  <c r="I89" i="24"/>
  <c r="L84" i="24"/>
  <c r="O78" i="24"/>
  <c r="H66" i="24"/>
  <c r="D60" i="24"/>
  <c r="I30" i="24"/>
  <c r="O442" i="24"/>
  <c r="O359" i="24"/>
  <c r="N291" i="24"/>
  <c r="N209" i="24"/>
  <c r="O175" i="24"/>
  <c r="H168" i="24"/>
  <c r="L102" i="24"/>
  <c r="H95" i="24"/>
  <c r="H89" i="24"/>
  <c r="N78" i="24"/>
  <c r="D53" i="24"/>
  <c r="L38" i="24"/>
  <c r="H30" i="24"/>
  <c r="L21" i="24"/>
  <c r="I12" i="24"/>
  <c r="M314" i="24"/>
  <c r="N286" i="24"/>
  <c r="H238" i="24"/>
  <c r="N217" i="24"/>
  <c r="I197" i="24"/>
  <c r="M172" i="24"/>
  <c r="H160" i="24"/>
  <c r="L152" i="24"/>
  <c r="D145" i="24"/>
  <c r="N137" i="24"/>
  <c r="M119" i="24"/>
  <c r="O112" i="24"/>
  <c r="L106" i="24"/>
  <c r="D99" i="24"/>
  <c r="AC101" i="22" s="1"/>
  <c r="H81" i="24"/>
  <c r="N75" i="24"/>
  <c r="I51" i="24"/>
  <c r="I35" i="24"/>
  <c r="M287" i="24"/>
  <c r="H251" i="24"/>
  <c r="M209" i="24"/>
  <c r="N196" i="24"/>
  <c r="D180" i="24"/>
  <c r="M140" i="24"/>
  <c r="I127" i="24"/>
  <c r="L94" i="24"/>
  <c r="O71" i="24"/>
  <c r="D49" i="24"/>
  <c r="H18" i="24"/>
  <c r="AC20" i="22" s="1"/>
  <c r="L285" i="24"/>
  <c r="I229" i="24"/>
  <c r="O208" i="24"/>
  <c r="M196" i="24"/>
  <c r="I166" i="24"/>
  <c r="N152" i="24"/>
  <c r="H127" i="24"/>
  <c r="I105" i="24"/>
  <c r="I82" i="24"/>
  <c r="M152" i="24"/>
  <c r="D127" i="24"/>
  <c r="H82" i="24"/>
  <c r="H285" i="24"/>
  <c r="O164" i="24"/>
  <c r="D105" i="24"/>
  <c r="L33" i="24"/>
  <c r="L279" i="24"/>
  <c r="O207" i="24"/>
  <c r="N164" i="24"/>
  <c r="O137" i="24"/>
  <c r="D81" i="24"/>
  <c r="H59" i="24"/>
  <c r="I17" i="24"/>
  <c r="N316" i="24"/>
  <c r="H279" i="24"/>
  <c r="O225" i="24"/>
  <c r="N207" i="24"/>
  <c r="I152" i="24"/>
  <c r="M137" i="24"/>
  <c r="I101" i="24"/>
  <c r="O69" i="24"/>
  <c r="O58" i="24"/>
  <c r="L44" i="24"/>
  <c r="L225" i="24"/>
  <c r="M207" i="24"/>
  <c r="D152" i="24"/>
  <c r="L137" i="24"/>
  <c r="H101" i="24"/>
  <c r="N79" i="24"/>
  <c r="I69" i="24"/>
  <c r="L58" i="24"/>
  <c r="H12" i="24"/>
  <c r="O394" i="24"/>
  <c r="N269" i="24"/>
  <c r="O249" i="24"/>
  <c r="O160" i="24"/>
  <c r="I79" i="24"/>
  <c r="H69" i="24"/>
  <c r="I44" i="24"/>
  <c r="D393" i="24"/>
  <c r="AC395" i="22" s="1"/>
  <c r="D316" i="24"/>
  <c r="M269" i="24"/>
  <c r="I207" i="24"/>
  <c r="D189" i="24"/>
  <c r="N160" i="24"/>
  <c r="I137" i="24"/>
  <c r="D101" i="24"/>
  <c r="H78" i="24"/>
  <c r="I56" i="24"/>
  <c r="I27" i="24"/>
  <c r="I225" i="24"/>
  <c r="H207" i="24"/>
  <c r="M160" i="24"/>
  <c r="H137" i="24"/>
  <c r="N123" i="24"/>
  <c r="N112" i="24"/>
  <c r="I88" i="24"/>
  <c r="D69" i="24"/>
  <c r="H56" i="24"/>
  <c r="H27" i="24"/>
  <c r="I291" i="24"/>
  <c r="D130" i="24"/>
  <c r="M288" i="24"/>
  <c r="O236" i="24"/>
  <c r="L11" i="24"/>
  <c r="O392" i="24"/>
  <c r="L288" i="24"/>
  <c r="O145" i="24"/>
  <c r="M123" i="24"/>
  <c r="O106" i="24"/>
  <c r="O82" i="24"/>
  <c r="N392" i="24"/>
  <c r="O287" i="24"/>
  <c r="D199" i="24"/>
  <c r="L145" i="24"/>
  <c r="L123" i="24"/>
  <c r="N82" i="24"/>
  <c r="I99" i="24"/>
  <c r="L82" i="24"/>
  <c r="O268" i="24"/>
  <c r="H197" i="24"/>
  <c r="H120" i="24"/>
  <c r="I63" i="24"/>
  <c r="I7" i="24"/>
  <c r="N359" i="24"/>
  <c r="N268" i="24"/>
  <c r="H7" i="24"/>
  <c r="AC9" i="22" s="1"/>
  <c r="L359" i="24"/>
  <c r="D267" i="24"/>
  <c r="D76" i="24"/>
  <c r="L35" i="24"/>
  <c r="H6" i="24"/>
  <c r="L219" i="24"/>
  <c r="N167" i="24"/>
  <c r="O98" i="24"/>
  <c r="O352" i="24"/>
  <c r="I219" i="24"/>
  <c r="N98" i="24"/>
  <c r="D56" i="24"/>
  <c r="H35" i="24"/>
  <c r="M242" i="24"/>
  <c r="M183" i="24"/>
  <c r="I238" i="24"/>
  <c r="N174" i="24"/>
  <c r="D131" i="24"/>
  <c r="L43" i="24"/>
  <c r="D86" i="24"/>
  <c r="AC88" i="22" s="1"/>
  <c r="M352" i="24"/>
  <c r="H219" i="24"/>
  <c r="L160" i="24"/>
  <c r="N119" i="24"/>
  <c r="O75" i="24"/>
  <c r="L119" i="24"/>
  <c r="L75" i="24"/>
  <c r="O218" i="24"/>
  <c r="O118" i="24"/>
  <c r="M217" i="24"/>
  <c r="N118" i="24"/>
  <c r="M112" i="24"/>
  <c r="D75" i="24"/>
  <c r="L314" i="24"/>
  <c r="D214" i="24"/>
  <c r="L112" i="24"/>
  <c r="H25" i="24"/>
  <c r="N306" i="24"/>
  <c r="I21" i="24"/>
  <c r="D184" i="24"/>
  <c r="H21" i="24"/>
  <c r="AC23" i="22" s="1"/>
  <c r="D95" i="24"/>
  <c r="M181" i="24"/>
  <c r="L291" i="24"/>
  <c r="L181" i="24"/>
  <c r="I18" i="24"/>
  <c r="I258" i="24"/>
  <c r="N255" i="24"/>
  <c r="D133" i="24"/>
  <c r="U51" i="24"/>
  <c r="N108" i="24"/>
  <c r="L108" i="24"/>
  <c r="D66" i="24"/>
  <c r="I251" i="24"/>
  <c r="I242" i="24"/>
  <c r="L238" i="24"/>
  <c r="H199" i="24"/>
  <c r="O51" i="24"/>
  <c r="O188" i="24"/>
  <c r="M133" i="24"/>
  <c r="H133" i="24"/>
  <c r="O108" i="24"/>
  <c r="L51" i="24"/>
  <c r="H51" i="24"/>
  <c r="H49" i="24"/>
  <c r="U5" i="24"/>
  <c r="T5" i="24"/>
  <c r="S7" i="22"/>
  <c r="Q25" i="24"/>
  <c r="S27" i="22"/>
  <c r="Q27" i="22"/>
  <c r="T33" i="24"/>
  <c r="U33" i="24"/>
  <c r="Q46" i="24"/>
  <c r="S48" i="22"/>
  <c r="Q48" i="22"/>
  <c r="Q83" i="24"/>
  <c r="S85" i="22"/>
  <c r="U138" i="24"/>
  <c r="T138" i="24"/>
  <c r="U210" i="24"/>
  <c r="T210" i="24"/>
  <c r="Q302" i="24"/>
  <c r="F347" i="24"/>
  <c r="E347" i="24"/>
  <c r="Q349" i="22"/>
  <c r="S349" i="22"/>
  <c r="U461" i="24"/>
  <c r="T461" i="24"/>
  <c r="Q463" i="22"/>
  <c r="S463" i="22"/>
  <c r="AO22" i="18"/>
  <c r="AO23" i="18"/>
  <c r="C72" i="19"/>
  <c r="J504" i="24"/>
  <c r="AD506" i="22" s="1"/>
  <c r="J493" i="24"/>
  <c r="AD495" i="22" s="1"/>
  <c r="J505" i="24"/>
  <c r="AD507" i="22" s="1"/>
  <c r="J499" i="24"/>
  <c r="AD501" i="22" s="1"/>
  <c r="J479" i="24"/>
  <c r="AD481" i="22" s="1"/>
  <c r="J468" i="24"/>
  <c r="AD470" i="22" s="1"/>
  <c r="J457" i="24"/>
  <c r="AD459" i="22" s="1"/>
  <c r="J506" i="24"/>
  <c r="AD508" i="22" s="1"/>
  <c r="J500" i="24"/>
  <c r="AD502" i="22" s="1"/>
  <c r="J481" i="24"/>
  <c r="AD483" i="22" s="1"/>
  <c r="J470" i="24"/>
  <c r="AD472" i="22" s="1"/>
  <c r="J459" i="24"/>
  <c r="AD461" i="22" s="1"/>
  <c r="J462" i="24"/>
  <c r="AD464" i="22" s="1"/>
  <c r="J452" i="24"/>
  <c r="AD454" i="22" s="1"/>
  <c r="J442" i="24"/>
  <c r="AD444" i="22" s="1"/>
  <c r="J431" i="24"/>
  <c r="AD433" i="22" s="1"/>
  <c r="J492" i="24"/>
  <c r="AD494" i="22" s="1"/>
  <c r="J476" i="24"/>
  <c r="AD478" i="22" s="1"/>
  <c r="J507" i="24"/>
  <c r="AD509" i="22" s="1"/>
  <c r="J463" i="24"/>
  <c r="AD465" i="22" s="1"/>
  <c r="J485" i="24"/>
  <c r="AD487" i="22" s="1"/>
  <c r="J454" i="24"/>
  <c r="AD456" i="22" s="1"/>
  <c r="J467" i="24"/>
  <c r="AD469" i="22" s="1"/>
  <c r="J464" i="24"/>
  <c r="AD466" i="22" s="1"/>
  <c r="J451" i="24"/>
  <c r="AD453" i="22" s="1"/>
  <c r="J498" i="24"/>
  <c r="AD500" i="22" s="1"/>
  <c r="J461" i="24"/>
  <c r="AD463" i="22" s="1"/>
  <c r="J458" i="24"/>
  <c r="AD460" i="22" s="1"/>
  <c r="J503" i="24"/>
  <c r="AD505" i="22" s="1"/>
  <c r="J496" i="24"/>
  <c r="AD498" i="22" s="1"/>
  <c r="J491" i="24"/>
  <c r="AD493" i="22" s="1"/>
  <c r="J486" i="24"/>
  <c r="AD488" i="22" s="1"/>
  <c r="J480" i="24"/>
  <c r="AD482" i="22" s="1"/>
  <c r="J477" i="24"/>
  <c r="AD479" i="22" s="1"/>
  <c r="J501" i="24"/>
  <c r="AD503" i="22" s="1"/>
  <c r="J474" i="24"/>
  <c r="AD476" i="22" s="1"/>
  <c r="J497" i="24"/>
  <c r="AD499" i="22" s="1"/>
  <c r="J478" i="24"/>
  <c r="AD480" i="22" s="1"/>
  <c r="J472" i="24"/>
  <c r="AD474" i="22" s="1"/>
  <c r="J453" i="24"/>
  <c r="AD455" i="22" s="1"/>
  <c r="J489" i="24"/>
  <c r="AD491" i="22" s="1"/>
  <c r="J412" i="24"/>
  <c r="AD414" i="22" s="1"/>
  <c r="J406" i="24"/>
  <c r="AD408" i="22" s="1"/>
  <c r="J430" i="24"/>
  <c r="AD432" i="22" s="1"/>
  <c r="J418" i="24"/>
  <c r="AD420" i="22" s="1"/>
  <c r="J502" i="24"/>
  <c r="AD504" i="22" s="1"/>
  <c r="J482" i="24"/>
  <c r="AD484" i="22" s="1"/>
  <c r="J466" i="24"/>
  <c r="AD468" i="22" s="1"/>
  <c r="J443" i="24"/>
  <c r="AD445" i="22" s="1"/>
  <c r="J460" i="24"/>
  <c r="AD462" i="22" s="1"/>
  <c r="J446" i="24"/>
  <c r="AD448" i="22" s="1"/>
  <c r="J413" i="24"/>
  <c r="AD415" i="22" s="1"/>
  <c r="J407" i="24"/>
  <c r="AD409" i="22" s="1"/>
  <c r="J392" i="24"/>
  <c r="AD394" i="22" s="1"/>
  <c r="J484" i="24"/>
  <c r="AD486" i="22" s="1"/>
  <c r="J434" i="24"/>
  <c r="AD436" i="22" s="1"/>
  <c r="J424" i="24"/>
  <c r="AD426" i="22" s="1"/>
  <c r="J419" i="24"/>
  <c r="AD421" i="22" s="1"/>
  <c r="J449" i="24"/>
  <c r="AD451" i="22" s="1"/>
  <c r="J440" i="24"/>
  <c r="AD442" i="22" s="1"/>
  <c r="J437" i="24"/>
  <c r="AD439" i="22" s="1"/>
  <c r="J402" i="24"/>
  <c r="AD404" i="22" s="1"/>
  <c r="J393" i="24"/>
  <c r="AD395" i="22" s="1"/>
  <c r="J382" i="24"/>
  <c r="AD384" i="22" s="1"/>
  <c r="J371" i="24"/>
  <c r="AD373" i="22" s="1"/>
  <c r="J360" i="24"/>
  <c r="AD362" i="22" s="1"/>
  <c r="J349" i="24"/>
  <c r="AD351" i="22" s="1"/>
  <c r="J338" i="24"/>
  <c r="AD340" i="22" s="1"/>
  <c r="J327" i="24"/>
  <c r="AD329" i="22" s="1"/>
  <c r="J316" i="24"/>
  <c r="AD318" i="22" s="1"/>
  <c r="J408" i="24"/>
  <c r="AD410" i="22" s="1"/>
  <c r="J456" i="24"/>
  <c r="AD458" i="22" s="1"/>
  <c r="J428" i="24"/>
  <c r="AD430" i="22" s="1"/>
  <c r="J414" i="24"/>
  <c r="AD416" i="22" s="1"/>
  <c r="J394" i="24"/>
  <c r="AD396" i="22" s="1"/>
  <c r="J383" i="24"/>
  <c r="AD385" i="22" s="1"/>
  <c r="J372" i="24"/>
  <c r="AD374" i="22" s="1"/>
  <c r="J361" i="24"/>
  <c r="AD363" i="22" s="1"/>
  <c r="J350" i="24"/>
  <c r="AD352" i="22" s="1"/>
  <c r="J339" i="24"/>
  <c r="AD341" i="22" s="1"/>
  <c r="J475" i="24"/>
  <c r="AD477" i="22" s="1"/>
  <c r="J471" i="24"/>
  <c r="AD473" i="22" s="1"/>
  <c r="J432" i="24"/>
  <c r="AD434" i="22" s="1"/>
  <c r="J409" i="24"/>
  <c r="AD411" i="22" s="1"/>
  <c r="J399" i="24"/>
  <c r="AD401" i="22" s="1"/>
  <c r="J390" i="24"/>
  <c r="AD392" i="22" s="1"/>
  <c r="J374" i="24"/>
  <c r="AD376" i="22" s="1"/>
  <c r="J367" i="24"/>
  <c r="AD369" i="22" s="1"/>
  <c r="J348" i="24"/>
  <c r="AD350" i="22" s="1"/>
  <c r="J411" i="24"/>
  <c r="AD413" i="22" s="1"/>
  <c r="J364" i="24"/>
  <c r="AD366" i="22" s="1"/>
  <c r="J356" i="24"/>
  <c r="AD358" i="22" s="1"/>
  <c r="J305" i="24"/>
  <c r="AD307" i="22" s="1"/>
  <c r="J294" i="24"/>
  <c r="AD296" i="22" s="1"/>
  <c r="J283" i="24"/>
  <c r="AD285" i="22" s="1"/>
  <c r="J272" i="24"/>
  <c r="AD274" i="22" s="1"/>
  <c r="J261" i="24"/>
  <c r="AD263" i="22" s="1"/>
  <c r="J487" i="24"/>
  <c r="AD489" i="22" s="1"/>
  <c r="J447" i="24"/>
  <c r="AD449" i="22" s="1"/>
  <c r="J427" i="24"/>
  <c r="AD429" i="22" s="1"/>
  <c r="J495" i="24"/>
  <c r="AD497" i="22" s="1"/>
  <c r="J450" i="24"/>
  <c r="AD452" i="22" s="1"/>
  <c r="J444" i="24"/>
  <c r="AD446" i="22" s="1"/>
  <c r="J420" i="24"/>
  <c r="AD422" i="22" s="1"/>
  <c r="J429" i="24"/>
  <c r="AD431" i="22" s="1"/>
  <c r="J422" i="24"/>
  <c r="AD424" i="22" s="1"/>
  <c r="J353" i="24"/>
  <c r="AD355" i="22" s="1"/>
  <c r="J345" i="24"/>
  <c r="AD347" i="22" s="1"/>
  <c r="J307" i="24"/>
  <c r="AD309" i="22" s="1"/>
  <c r="J439" i="24"/>
  <c r="AD441" i="22" s="1"/>
  <c r="J391" i="24"/>
  <c r="AD393" i="22" s="1"/>
  <c r="J375" i="24"/>
  <c r="AD377" i="22" s="1"/>
  <c r="J368" i="24"/>
  <c r="AD370" i="22" s="1"/>
  <c r="J357" i="24"/>
  <c r="AD359" i="22" s="1"/>
  <c r="J405" i="24"/>
  <c r="AD407" i="22" s="1"/>
  <c r="J400" i="24"/>
  <c r="AD402" i="22" s="1"/>
  <c r="J365" i="24"/>
  <c r="AD367" i="22" s="1"/>
  <c r="J441" i="24"/>
  <c r="AD443" i="22" s="1"/>
  <c r="J416" i="24"/>
  <c r="AD418" i="22" s="1"/>
  <c r="J445" i="24"/>
  <c r="AD447" i="22" s="1"/>
  <c r="J436" i="24"/>
  <c r="AD438" i="22" s="1"/>
  <c r="J370" i="24"/>
  <c r="AD372" i="22" s="1"/>
  <c r="J355" i="24"/>
  <c r="AD357" i="22" s="1"/>
  <c r="J318" i="24"/>
  <c r="AD320" i="22" s="1"/>
  <c r="J245" i="24"/>
  <c r="AD247" i="22" s="1"/>
  <c r="J234" i="24"/>
  <c r="AD236" i="22" s="1"/>
  <c r="J223" i="24"/>
  <c r="AD225" i="22" s="1"/>
  <c r="J212" i="24"/>
  <c r="AD214" i="22" s="1"/>
  <c r="J415" i="24"/>
  <c r="AD417" i="22" s="1"/>
  <c r="J401" i="24"/>
  <c r="AD403" i="22" s="1"/>
  <c r="J333" i="24"/>
  <c r="AD335" i="22" s="1"/>
  <c r="J315" i="24"/>
  <c r="AD317" i="22" s="1"/>
  <c r="J311" i="24"/>
  <c r="AD313" i="22" s="1"/>
  <c r="J295" i="24"/>
  <c r="AD297" i="22" s="1"/>
  <c r="J289" i="24"/>
  <c r="AD291" i="22" s="1"/>
  <c r="J266" i="24"/>
  <c r="AD268" i="22" s="1"/>
  <c r="J260" i="24"/>
  <c r="AD262" i="22" s="1"/>
  <c r="J403" i="24"/>
  <c r="AD405" i="22" s="1"/>
  <c r="J396" i="24"/>
  <c r="AD398" i="22" s="1"/>
  <c r="J398" i="24"/>
  <c r="AD400" i="22" s="1"/>
  <c r="J385" i="24"/>
  <c r="AD387" i="22" s="1"/>
  <c r="J465" i="24"/>
  <c r="AD467" i="22" s="1"/>
  <c r="J435" i="24"/>
  <c r="AD437" i="22" s="1"/>
  <c r="J389" i="24"/>
  <c r="AD391" i="22" s="1"/>
  <c r="J387" i="24"/>
  <c r="AD389" i="22" s="1"/>
  <c r="J336" i="24"/>
  <c r="AD338" i="22" s="1"/>
  <c r="J312" i="24"/>
  <c r="AD314" i="22" s="1"/>
  <c r="J381" i="24"/>
  <c r="AD383" i="22" s="1"/>
  <c r="J379" i="24"/>
  <c r="AD381" i="22" s="1"/>
  <c r="J373" i="24"/>
  <c r="AD375" i="22" s="1"/>
  <c r="J322" i="24"/>
  <c r="AD324" i="22" s="1"/>
  <c r="J302" i="24"/>
  <c r="AD304" i="22" s="1"/>
  <c r="J490" i="24"/>
  <c r="AD492" i="22" s="1"/>
  <c r="J448" i="24"/>
  <c r="AD450" i="22" s="1"/>
  <c r="J438" i="24"/>
  <c r="AD440" i="22" s="1"/>
  <c r="J319" i="24"/>
  <c r="AD321" i="22" s="1"/>
  <c r="J308" i="24"/>
  <c r="AD310" i="22" s="1"/>
  <c r="J483" i="24"/>
  <c r="AD485" i="22" s="1"/>
  <c r="J469" i="24"/>
  <c r="AD471" i="22" s="1"/>
  <c r="J395" i="24"/>
  <c r="AD397" i="22" s="1"/>
  <c r="J363" i="24"/>
  <c r="AD365" i="22" s="1"/>
  <c r="J280" i="24"/>
  <c r="AD282" i="22" s="1"/>
  <c r="J274" i="24"/>
  <c r="AD276" i="22" s="1"/>
  <c r="J247" i="24"/>
  <c r="AD249" i="22" s="1"/>
  <c r="J241" i="24"/>
  <c r="AD243" i="22" s="1"/>
  <c r="J224" i="24"/>
  <c r="AD226" i="22" s="1"/>
  <c r="J218" i="24"/>
  <c r="AD220" i="22" s="1"/>
  <c r="J378" i="24"/>
  <c r="AD380" i="22" s="1"/>
  <c r="J425" i="24"/>
  <c r="AD427" i="22" s="1"/>
  <c r="J384" i="24"/>
  <c r="AD386" i="22" s="1"/>
  <c r="J366" i="24"/>
  <c r="AD368" i="22" s="1"/>
  <c r="J326" i="24"/>
  <c r="AD328" i="22" s="1"/>
  <c r="J277" i="24"/>
  <c r="AD279" i="22" s="1"/>
  <c r="J494" i="24"/>
  <c r="AD496" i="22" s="1"/>
  <c r="J347" i="24"/>
  <c r="AD349" i="22" s="1"/>
  <c r="J328" i="24"/>
  <c r="AD330" i="22" s="1"/>
  <c r="J317" i="24"/>
  <c r="AD319" i="22" s="1"/>
  <c r="J296" i="24"/>
  <c r="AD298" i="22" s="1"/>
  <c r="J423" i="24"/>
  <c r="AD425" i="22" s="1"/>
  <c r="J335" i="24"/>
  <c r="AD337" i="22" s="1"/>
  <c r="J330" i="24"/>
  <c r="AD332" i="22" s="1"/>
  <c r="J293" i="24"/>
  <c r="AD295" i="22" s="1"/>
  <c r="J290" i="24"/>
  <c r="AD292" i="22" s="1"/>
  <c r="J287" i="24"/>
  <c r="AD289" i="22" s="1"/>
  <c r="J284" i="24"/>
  <c r="AD286" i="22" s="1"/>
  <c r="J271" i="24"/>
  <c r="AD273" i="22" s="1"/>
  <c r="J397" i="24"/>
  <c r="AD399" i="22" s="1"/>
  <c r="J377" i="24"/>
  <c r="AD379" i="22" s="1"/>
  <c r="J352" i="24"/>
  <c r="AD354" i="22" s="1"/>
  <c r="J309" i="24"/>
  <c r="AD311" i="22" s="1"/>
  <c r="J304" i="24"/>
  <c r="AD306" i="22" s="1"/>
  <c r="J268" i="24"/>
  <c r="AD270" i="22" s="1"/>
  <c r="J455" i="24"/>
  <c r="AD457" i="22" s="1"/>
  <c r="J417" i="24"/>
  <c r="AD419" i="22" s="1"/>
  <c r="J386" i="24"/>
  <c r="AD388" i="22" s="1"/>
  <c r="J337" i="24"/>
  <c r="AD339" i="22" s="1"/>
  <c r="J299" i="24"/>
  <c r="AD301" i="22" s="1"/>
  <c r="J380" i="24"/>
  <c r="AD382" i="22" s="1"/>
  <c r="J303" i="24"/>
  <c r="AD305" i="22" s="1"/>
  <c r="J101" i="24"/>
  <c r="AD103" i="22" s="1"/>
  <c r="J310" i="24"/>
  <c r="AD312" i="22" s="1"/>
  <c r="J288" i="24"/>
  <c r="AD290" i="22" s="1"/>
  <c r="J286" i="24"/>
  <c r="AD288" i="22" s="1"/>
  <c r="J278" i="24"/>
  <c r="AD280" i="22" s="1"/>
  <c r="J227" i="24"/>
  <c r="AD229" i="22" s="1"/>
  <c r="J222" i="24"/>
  <c r="AD224" i="22" s="1"/>
  <c r="J213" i="24"/>
  <c r="AD215" i="22" s="1"/>
  <c r="J208" i="24"/>
  <c r="AD210" i="22" s="1"/>
  <c r="J202" i="24"/>
  <c r="AD204" i="22" s="1"/>
  <c r="J194" i="24"/>
  <c r="AD196" i="22" s="1"/>
  <c r="J340" i="24"/>
  <c r="AD342" i="22" s="1"/>
  <c r="J321" i="24"/>
  <c r="AD323" i="22" s="1"/>
  <c r="J282" i="24"/>
  <c r="AD284" i="22" s="1"/>
  <c r="J269" i="24"/>
  <c r="AD271" i="22" s="1"/>
  <c r="J249" i="24"/>
  <c r="AD251" i="22" s="1"/>
  <c r="J358" i="24"/>
  <c r="AD360" i="22" s="1"/>
  <c r="J292" i="24"/>
  <c r="AD294" i="22" s="1"/>
  <c r="J264" i="24"/>
  <c r="AD266" i="22" s="1"/>
  <c r="J256" i="24"/>
  <c r="AD258" i="22" s="1"/>
  <c r="J237" i="24"/>
  <c r="AD239" i="22" s="1"/>
  <c r="J232" i="24"/>
  <c r="AD234" i="22" s="1"/>
  <c r="J426" i="24"/>
  <c r="AD428" i="22" s="1"/>
  <c r="J324" i="24"/>
  <c r="AD326" i="22" s="1"/>
  <c r="J276" i="24"/>
  <c r="AD278" i="22" s="1"/>
  <c r="J253" i="24"/>
  <c r="AD255" i="22" s="1"/>
  <c r="J203" i="24"/>
  <c r="AD205" i="22" s="1"/>
  <c r="J185" i="24"/>
  <c r="AD187" i="22" s="1"/>
  <c r="J174" i="24"/>
  <c r="AD176" i="22" s="1"/>
  <c r="J163" i="24"/>
  <c r="AD165" i="22" s="1"/>
  <c r="J149" i="24"/>
  <c r="AD151" i="22" s="1"/>
  <c r="J138" i="24"/>
  <c r="AD140" i="22" s="1"/>
  <c r="J127" i="24"/>
  <c r="AD129" i="22" s="1"/>
  <c r="J116" i="24"/>
  <c r="AD118" i="22" s="1"/>
  <c r="J102" i="24"/>
  <c r="AD104" i="22" s="1"/>
  <c r="J346" i="24"/>
  <c r="AD348" i="22" s="1"/>
  <c r="J343" i="24"/>
  <c r="AD345" i="22" s="1"/>
  <c r="J298" i="24"/>
  <c r="AD300" i="22" s="1"/>
  <c r="J329" i="24"/>
  <c r="AD331" i="22" s="1"/>
  <c r="J267" i="24"/>
  <c r="AD269" i="22" s="1"/>
  <c r="J262" i="24"/>
  <c r="AD264" i="22" s="1"/>
  <c r="J259" i="24"/>
  <c r="AD261" i="22" s="1"/>
  <c r="J204" i="24"/>
  <c r="AD206" i="22" s="1"/>
  <c r="J186" i="24"/>
  <c r="AD188" i="22" s="1"/>
  <c r="J175" i="24"/>
  <c r="AD177" i="22" s="1"/>
  <c r="J164" i="24"/>
  <c r="AD166" i="22" s="1"/>
  <c r="J155" i="24"/>
  <c r="AD157" i="22" s="1"/>
  <c r="J144" i="24"/>
  <c r="AD146" i="22" s="1"/>
  <c r="J473" i="24"/>
  <c r="AD475" i="22" s="1"/>
  <c r="J300" i="24"/>
  <c r="AD302" i="22" s="1"/>
  <c r="J250" i="24"/>
  <c r="AD252" i="22" s="1"/>
  <c r="J246" i="24"/>
  <c r="AD248" i="22" s="1"/>
  <c r="J238" i="24"/>
  <c r="AD240" i="22" s="1"/>
  <c r="J233" i="24"/>
  <c r="AD235" i="22" s="1"/>
  <c r="J219" i="24"/>
  <c r="AD221" i="22" s="1"/>
  <c r="J197" i="24"/>
  <c r="AD199" i="22" s="1"/>
  <c r="J230" i="24"/>
  <c r="AD232" i="22" s="1"/>
  <c r="J215" i="24"/>
  <c r="AD217" i="22" s="1"/>
  <c r="J200" i="24"/>
  <c r="AD202" i="22" s="1"/>
  <c r="J168" i="24"/>
  <c r="AD170" i="22" s="1"/>
  <c r="J128" i="24"/>
  <c r="AD130" i="22" s="1"/>
  <c r="J106" i="24"/>
  <c r="AD108" i="22" s="1"/>
  <c r="J83" i="24"/>
  <c r="AD85" i="22" s="1"/>
  <c r="J334" i="24"/>
  <c r="AD336" i="22" s="1"/>
  <c r="J323" i="24"/>
  <c r="AD325" i="22" s="1"/>
  <c r="J257" i="24"/>
  <c r="AD259" i="22" s="1"/>
  <c r="J240" i="24"/>
  <c r="AD242" i="22" s="1"/>
  <c r="J228" i="24"/>
  <c r="AD230" i="22" s="1"/>
  <c r="J165" i="24"/>
  <c r="AD167" i="22" s="1"/>
  <c r="J158" i="24"/>
  <c r="AD160" i="22" s="1"/>
  <c r="J117" i="24"/>
  <c r="AD119" i="22" s="1"/>
  <c r="J113" i="24"/>
  <c r="AD115" i="22" s="1"/>
  <c r="J96" i="24"/>
  <c r="AD98" i="22" s="1"/>
  <c r="J92" i="24"/>
  <c r="AD94" i="22" s="1"/>
  <c r="J217" i="24"/>
  <c r="AD219" i="22" s="1"/>
  <c r="J297" i="24"/>
  <c r="AD299" i="22" s="1"/>
  <c r="J265" i="24"/>
  <c r="AD267" i="22" s="1"/>
  <c r="J244" i="24"/>
  <c r="AD246" i="22" s="1"/>
  <c r="J388" i="24"/>
  <c r="AD390" i="22" s="1"/>
  <c r="J248" i="24"/>
  <c r="AD250" i="22" s="1"/>
  <c r="J226" i="24"/>
  <c r="AD228" i="22" s="1"/>
  <c r="J198" i="24"/>
  <c r="AD200" i="22" s="1"/>
  <c r="J195" i="24"/>
  <c r="AD197" i="22" s="1"/>
  <c r="J192" i="24"/>
  <c r="AD194" i="22" s="1"/>
  <c r="J351" i="24"/>
  <c r="AD353" i="22" s="1"/>
  <c r="J313" i="24"/>
  <c r="AD315" i="22" s="1"/>
  <c r="J206" i="24"/>
  <c r="AD208" i="22" s="1"/>
  <c r="J189" i="24"/>
  <c r="AD191" i="22" s="1"/>
  <c r="J182" i="24"/>
  <c r="AD184" i="22" s="1"/>
  <c r="J172" i="24"/>
  <c r="AD174" i="22" s="1"/>
  <c r="J139" i="24"/>
  <c r="AD141" i="22" s="1"/>
  <c r="J132" i="24"/>
  <c r="AD134" i="22" s="1"/>
  <c r="J100" i="24"/>
  <c r="AD102" i="22" s="1"/>
  <c r="J84" i="24"/>
  <c r="AD86" i="22" s="1"/>
  <c r="J344" i="24"/>
  <c r="AD346" i="22" s="1"/>
  <c r="J332" i="24"/>
  <c r="AD334" i="22" s="1"/>
  <c r="J301" i="24"/>
  <c r="AD303" i="22" s="1"/>
  <c r="J254" i="24"/>
  <c r="AD256" i="22" s="1"/>
  <c r="J179" i="24"/>
  <c r="AD181" i="22" s="1"/>
  <c r="J162" i="24"/>
  <c r="AD164" i="22" s="1"/>
  <c r="J145" i="24"/>
  <c r="AD147" i="22" s="1"/>
  <c r="J142" i="24"/>
  <c r="AD144" i="22" s="1"/>
  <c r="J107" i="24"/>
  <c r="AD109" i="22" s="1"/>
  <c r="J93" i="24"/>
  <c r="AD95" i="22" s="1"/>
  <c r="J252" i="24"/>
  <c r="AD254" i="22" s="1"/>
  <c r="J176" i="24"/>
  <c r="AD178" i="22" s="1"/>
  <c r="J169" i="24"/>
  <c r="AD171" i="22" s="1"/>
  <c r="J156" i="24"/>
  <c r="AD158" i="22" s="1"/>
  <c r="J153" i="24"/>
  <c r="AD155" i="22" s="1"/>
  <c r="J129" i="24"/>
  <c r="AD131" i="22" s="1"/>
  <c r="J122" i="24"/>
  <c r="AD124" i="22" s="1"/>
  <c r="J118" i="24"/>
  <c r="AD120" i="22" s="1"/>
  <c r="J114" i="24"/>
  <c r="AD116" i="22" s="1"/>
  <c r="J97" i="24"/>
  <c r="AD99" i="22" s="1"/>
  <c r="J80" i="24"/>
  <c r="AD82" i="22" s="1"/>
  <c r="J433" i="24"/>
  <c r="AD435" i="22" s="1"/>
  <c r="J410" i="24"/>
  <c r="AD412" i="22" s="1"/>
  <c r="J273" i="24"/>
  <c r="AD275" i="22" s="1"/>
  <c r="J270" i="24"/>
  <c r="AD272" i="22" s="1"/>
  <c r="J220" i="24"/>
  <c r="AD222" i="22" s="1"/>
  <c r="J166" i="24"/>
  <c r="AD168" i="22" s="1"/>
  <c r="J159" i="24"/>
  <c r="AD161" i="22" s="1"/>
  <c r="J89" i="24"/>
  <c r="AD91" i="22" s="1"/>
  <c r="J369" i="24"/>
  <c r="AD371" i="22" s="1"/>
  <c r="J279" i="24"/>
  <c r="AD281" i="22" s="1"/>
  <c r="J359" i="24"/>
  <c r="AD361" i="22" s="1"/>
  <c r="J306" i="24"/>
  <c r="AD308" i="22" s="1"/>
  <c r="J209" i="24"/>
  <c r="AD211" i="22" s="1"/>
  <c r="J121" i="24"/>
  <c r="AD123" i="22" s="1"/>
  <c r="J314" i="24"/>
  <c r="AD316" i="22" s="1"/>
  <c r="J183" i="24"/>
  <c r="AD185" i="22" s="1"/>
  <c r="J181" i="24"/>
  <c r="AD183" i="22" s="1"/>
  <c r="J119" i="24"/>
  <c r="AD121" i="22" s="1"/>
  <c r="J94" i="24"/>
  <c r="AD96" i="22" s="1"/>
  <c r="J342" i="24"/>
  <c r="AD344" i="22" s="1"/>
  <c r="J188" i="24"/>
  <c r="AD190" i="22" s="1"/>
  <c r="J140" i="24"/>
  <c r="AD142" i="22" s="1"/>
  <c r="J87" i="24"/>
  <c r="AD89" i="22" s="1"/>
  <c r="J85" i="24"/>
  <c r="AD87" i="22" s="1"/>
  <c r="J190" i="24"/>
  <c r="AD192" i="22" s="1"/>
  <c r="J167" i="24"/>
  <c r="AD169" i="22" s="1"/>
  <c r="J136" i="24"/>
  <c r="AD138" i="22" s="1"/>
  <c r="J115" i="24"/>
  <c r="AD117" i="22" s="1"/>
  <c r="J134" i="24"/>
  <c r="AD136" i="22" s="1"/>
  <c r="J354" i="24"/>
  <c r="AD356" i="22" s="1"/>
  <c r="J331" i="24"/>
  <c r="AD333" i="22" s="1"/>
  <c r="J320" i="24"/>
  <c r="AD322" i="22" s="1"/>
  <c r="J221" i="24"/>
  <c r="AD223" i="22" s="1"/>
  <c r="J178" i="24"/>
  <c r="AD180" i="22" s="1"/>
  <c r="J173" i="24"/>
  <c r="AD175" i="22" s="1"/>
  <c r="J157" i="24"/>
  <c r="AD159" i="22" s="1"/>
  <c r="J130" i="24"/>
  <c r="AD132" i="22" s="1"/>
  <c r="J126" i="24"/>
  <c r="AD128" i="22" s="1"/>
  <c r="J111" i="24"/>
  <c r="AD113" i="22" s="1"/>
  <c r="J214" i="24"/>
  <c r="AD216" i="22" s="1"/>
  <c r="J211" i="24"/>
  <c r="AD213" i="22" s="1"/>
  <c r="J180" i="24"/>
  <c r="AD182" i="22" s="1"/>
  <c r="J171" i="24"/>
  <c r="AD173" i="22" s="1"/>
  <c r="J161" i="24"/>
  <c r="AD163" i="22" s="1"/>
  <c r="J146" i="24"/>
  <c r="AD148" i="22" s="1"/>
  <c r="J90" i="24"/>
  <c r="AD92" i="22" s="1"/>
  <c r="J187" i="24"/>
  <c r="AD189" i="22" s="1"/>
  <c r="J148" i="24"/>
  <c r="AD150" i="22" s="1"/>
  <c r="J81" i="24"/>
  <c r="AD83" i="22" s="1"/>
  <c r="J251" i="24"/>
  <c r="AD253" i="22" s="1"/>
  <c r="J243" i="24"/>
  <c r="AD245" i="22" s="1"/>
  <c r="J124" i="24"/>
  <c r="AD126" i="22" s="1"/>
  <c r="J255" i="24"/>
  <c r="AD257" i="22" s="1"/>
  <c r="J196" i="24"/>
  <c r="AD198" i="22" s="1"/>
  <c r="J201" i="24"/>
  <c r="AD203" i="22" s="1"/>
  <c r="J108" i="24"/>
  <c r="AD110" i="22" s="1"/>
  <c r="J376" i="24"/>
  <c r="AD378" i="22" s="1"/>
  <c r="J239" i="24"/>
  <c r="AD241" i="22" s="1"/>
  <c r="J205" i="24"/>
  <c r="AD207" i="22" s="1"/>
  <c r="J143" i="24"/>
  <c r="AD145" i="22" s="1"/>
  <c r="J421" i="24"/>
  <c r="AD423" i="22" s="1"/>
  <c r="J216" i="24"/>
  <c r="AD218" i="22" s="1"/>
  <c r="J151" i="24"/>
  <c r="AD153" i="22" s="1"/>
  <c r="J104" i="24"/>
  <c r="AD106" i="22" s="1"/>
  <c r="J177" i="24"/>
  <c r="AD179" i="22" s="1"/>
  <c r="J150" i="24"/>
  <c r="AD152" i="22" s="1"/>
  <c r="J147" i="24"/>
  <c r="AD149" i="22" s="1"/>
  <c r="J125" i="24"/>
  <c r="AD127" i="22" s="1"/>
  <c r="J404" i="24"/>
  <c r="AD406" i="22" s="1"/>
  <c r="J281" i="24"/>
  <c r="AD283" i="22" s="1"/>
  <c r="J191" i="24"/>
  <c r="AD193" i="22" s="1"/>
  <c r="J488" i="24"/>
  <c r="AD490" i="22" s="1"/>
  <c r="J135" i="24"/>
  <c r="AD137" i="22" s="1"/>
  <c r="J103" i="24"/>
  <c r="AD105" i="22" s="1"/>
  <c r="J325" i="24"/>
  <c r="AD327" i="22" s="1"/>
  <c r="J263" i="24"/>
  <c r="AD265" i="22" s="1"/>
  <c r="J154" i="24"/>
  <c r="AD156" i="22" s="1"/>
  <c r="J86" i="24"/>
  <c r="AD88" i="22" s="1"/>
  <c r="J341" i="24"/>
  <c r="AD343" i="22" s="1"/>
  <c r="J210" i="24"/>
  <c r="AD212" i="22" s="1"/>
  <c r="J199" i="24"/>
  <c r="AD201" i="22" s="1"/>
  <c r="J362" i="24"/>
  <c r="AD364" i="22" s="1"/>
  <c r="J235" i="24"/>
  <c r="AD237" i="22" s="1"/>
  <c r="J123" i="24"/>
  <c r="AD125" i="22" s="1"/>
  <c r="J98" i="24"/>
  <c r="AD100" i="22" s="1"/>
  <c r="J110" i="24"/>
  <c r="AD112" i="22" s="1"/>
  <c r="J275" i="24"/>
  <c r="AD277" i="22" s="1"/>
  <c r="J109" i="24"/>
  <c r="AD111" i="22" s="1"/>
  <c r="J91" i="24"/>
  <c r="AD93" i="22" s="1"/>
  <c r="J170" i="24"/>
  <c r="AD172" i="22" s="1"/>
  <c r="J141" i="24"/>
  <c r="AD143" i="22" s="1"/>
  <c r="J95" i="24"/>
  <c r="AD97" i="22" s="1"/>
  <c r="J193" i="24"/>
  <c r="AD195" i="22" s="1"/>
  <c r="J258" i="24"/>
  <c r="AD260" i="22" s="1"/>
  <c r="J229" i="24"/>
  <c r="AD231" i="22" s="1"/>
  <c r="J105" i="24"/>
  <c r="AD107" i="22" s="1"/>
  <c r="J82" i="24"/>
  <c r="AD84" i="22" s="1"/>
  <c r="J285" i="24"/>
  <c r="AD287" i="22" s="1"/>
  <c r="J152" i="24"/>
  <c r="AD154" i="22" s="1"/>
  <c r="J207" i="24"/>
  <c r="AD209" i="22" s="1"/>
  <c r="J137" i="24"/>
  <c r="AD139" i="22" s="1"/>
  <c r="J225" i="24"/>
  <c r="AD227" i="22" s="1"/>
  <c r="J88" i="24"/>
  <c r="AD90" i="22" s="1"/>
  <c r="J99" i="24"/>
  <c r="AD101" i="22" s="1"/>
  <c r="J236" i="24"/>
  <c r="AD238" i="22" s="1"/>
  <c r="J231" i="24"/>
  <c r="AD233" i="22" s="1"/>
  <c r="J120" i="24"/>
  <c r="AD122" i="22" s="1"/>
  <c r="J160" i="24"/>
  <c r="AD162" i="22" s="1"/>
  <c r="J112" i="24"/>
  <c r="AD114" i="22" s="1"/>
  <c r="J291" i="24"/>
  <c r="AD293" i="22" s="1"/>
  <c r="J242" i="24"/>
  <c r="AD244" i="22" s="1"/>
  <c r="J184" i="24"/>
  <c r="AD186" i="22" s="1"/>
  <c r="J133" i="24"/>
  <c r="AD135" i="22" s="1"/>
  <c r="J131" i="24"/>
  <c r="AD133" i="22" s="1"/>
  <c r="Q7" i="22"/>
  <c r="Q35" i="22"/>
  <c r="U46" i="24"/>
  <c r="T46" i="24"/>
  <c r="Q55" i="24"/>
  <c r="Q78" i="24"/>
  <c r="S80" i="22"/>
  <c r="Q80" i="22"/>
  <c r="U83" i="24"/>
  <c r="T83" i="24"/>
  <c r="Q140" i="22"/>
  <c r="T160" i="24"/>
  <c r="U160" i="24"/>
  <c r="BI171" i="22"/>
  <c r="U171" i="24"/>
  <c r="T171" i="24"/>
  <c r="S173" i="22"/>
  <c r="BI182" i="22"/>
  <c r="U203" i="24"/>
  <c r="T203" i="24"/>
  <c r="T207" i="22"/>
  <c r="Q212" i="22"/>
  <c r="U270" i="24"/>
  <c r="T270" i="24"/>
  <c r="T302" i="24"/>
  <c r="U302" i="24"/>
  <c r="T463" i="22"/>
  <c r="AN14" i="18"/>
  <c r="AN18" i="18" s="1"/>
  <c r="AX21" i="18"/>
  <c r="C43" i="19"/>
  <c r="D102" i="16"/>
  <c r="BP168" i="22" s="1"/>
  <c r="P507" i="24"/>
  <c r="B500" i="24"/>
  <c r="AE502" i="22" s="1"/>
  <c r="R497" i="24"/>
  <c r="P496" i="24"/>
  <c r="B489" i="24"/>
  <c r="R486" i="24"/>
  <c r="P485" i="24"/>
  <c r="P506" i="24"/>
  <c r="B503" i="24"/>
  <c r="R501" i="24"/>
  <c r="B497" i="24"/>
  <c r="R495" i="24"/>
  <c r="P489" i="24"/>
  <c r="R483" i="24"/>
  <c r="P482" i="24"/>
  <c r="B475" i="24"/>
  <c r="R472" i="24"/>
  <c r="P471" i="24"/>
  <c r="B464" i="24"/>
  <c r="R461" i="24"/>
  <c r="P460" i="24"/>
  <c r="B453" i="24"/>
  <c r="AE455" i="22" s="1"/>
  <c r="B504" i="24"/>
  <c r="AE506" i="22" s="1"/>
  <c r="R502" i="24"/>
  <c r="B498" i="24"/>
  <c r="R496" i="24"/>
  <c r="P490" i="24"/>
  <c r="P484" i="24"/>
  <c r="B477" i="24"/>
  <c r="R474" i="24"/>
  <c r="P473" i="24"/>
  <c r="B466" i="24"/>
  <c r="R463" i="24"/>
  <c r="P462" i="24"/>
  <c r="R507" i="24"/>
  <c r="R500" i="24"/>
  <c r="R493" i="24"/>
  <c r="B491" i="24"/>
  <c r="P486" i="24"/>
  <c r="P477" i="24"/>
  <c r="R468" i="24"/>
  <c r="B456" i="24"/>
  <c r="R454" i="24"/>
  <c r="B449" i="24"/>
  <c r="AE451" i="22" s="1"/>
  <c r="R446" i="24"/>
  <c r="P445" i="24"/>
  <c r="B438" i="24"/>
  <c r="R435" i="24"/>
  <c r="P434" i="24"/>
  <c r="B427" i="24"/>
  <c r="R424" i="24"/>
  <c r="P423" i="24"/>
  <c r="R482" i="24"/>
  <c r="R473" i="24"/>
  <c r="B470" i="24"/>
  <c r="P504" i="24"/>
  <c r="B492" i="24"/>
  <c r="R487" i="24"/>
  <c r="P478" i="24"/>
  <c r="R469" i="24"/>
  <c r="B457" i="24"/>
  <c r="R498" i="24"/>
  <c r="R491" i="24"/>
  <c r="B487" i="24"/>
  <c r="AE489" i="22" s="1"/>
  <c r="P467" i="24"/>
  <c r="P461" i="24"/>
  <c r="R455" i="24"/>
  <c r="P442" i="24"/>
  <c r="R438" i="24"/>
  <c r="R433" i="24"/>
  <c r="P428" i="24"/>
  <c r="R503" i="24"/>
  <c r="B507" i="24"/>
  <c r="B495" i="24"/>
  <c r="P480" i="24"/>
  <c r="R465" i="24"/>
  <c r="B463" i="24"/>
  <c r="R448" i="24"/>
  <c r="B445" i="24"/>
  <c r="P429" i="24"/>
  <c r="P501" i="24"/>
  <c r="B485" i="24"/>
  <c r="R471" i="24"/>
  <c r="B460" i="24"/>
  <c r="P452" i="24"/>
  <c r="B450" i="24"/>
  <c r="P448" i="24"/>
  <c r="P443" i="24"/>
  <c r="R439" i="24"/>
  <c r="R434" i="24"/>
  <c r="R494" i="24"/>
  <c r="R489" i="24"/>
  <c r="R484" i="24"/>
  <c r="R506" i="24"/>
  <c r="B505" i="24"/>
  <c r="R499" i="24"/>
  <c r="P494" i="24"/>
  <c r="B488" i="24"/>
  <c r="R478" i="24"/>
  <c r="R475" i="24"/>
  <c r="B473" i="24"/>
  <c r="P459" i="24"/>
  <c r="P456" i="24"/>
  <c r="B446" i="24"/>
  <c r="B506" i="24"/>
  <c r="R485" i="24"/>
  <c r="R479" i="24"/>
  <c r="B468" i="24"/>
  <c r="AE470" i="22" s="1"/>
  <c r="B452" i="24"/>
  <c r="P499" i="24"/>
  <c r="R460" i="24"/>
  <c r="P449" i="24"/>
  <c r="P446" i="24"/>
  <c r="P440" i="24"/>
  <c r="R437" i="24"/>
  <c r="P419" i="24"/>
  <c r="R414" i="24"/>
  <c r="B410" i="24"/>
  <c r="R408" i="24"/>
  <c r="R456" i="24"/>
  <c r="B455" i="24"/>
  <c r="P437" i="24"/>
  <c r="R431" i="24"/>
  <c r="B416" i="24"/>
  <c r="R504" i="24"/>
  <c r="R458" i="24"/>
  <c r="B442" i="24"/>
  <c r="B426" i="24"/>
  <c r="B422" i="24"/>
  <c r="R420" i="24"/>
  <c r="P414" i="24"/>
  <c r="P491" i="24"/>
  <c r="P458" i="24"/>
  <c r="P454" i="24"/>
  <c r="B439" i="24"/>
  <c r="B436" i="24"/>
  <c r="R425" i="24"/>
  <c r="P420" i="24"/>
  <c r="B417" i="24"/>
  <c r="R415" i="24"/>
  <c r="B411" i="24"/>
  <c r="R409" i="24"/>
  <c r="P403" i="24"/>
  <c r="B399" i="24"/>
  <c r="R396" i="24"/>
  <c r="P395" i="24"/>
  <c r="B388" i="24"/>
  <c r="B502" i="24"/>
  <c r="B494" i="24"/>
  <c r="B476" i="24"/>
  <c r="B451" i="24"/>
  <c r="AE453" i="22" s="1"/>
  <c r="B448" i="24"/>
  <c r="R444" i="24"/>
  <c r="B433" i="24"/>
  <c r="AE435" i="22" s="1"/>
  <c r="B480" i="24"/>
  <c r="B472" i="24"/>
  <c r="R452" i="24"/>
  <c r="R441" i="24"/>
  <c r="B430" i="24"/>
  <c r="P425" i="24"/>
  <c r="R421" i="24"/>
  <c r="P415" i="24"/>
  <c r="P409" i="24"/>
  <c r="B406" i="24"/>
  <c r="R404" i="24"/>
  <c r="B400" i="24"/>
  <c r="R397" i="24"/>
  <c r="P396" i="24"/>
  <c r="B389" i="24"/>
  <c r="R386" i="24"/>
  <c r="P385" i="24"/>
  <c r="B378" i="24"/>
  <c r="R375" i="24"/>
  <c r="P374" i="24"/>
  <c r="B367" i="24"/>
  <c r="R364" i="24"/>
  <c r="P363" i="24"/>
  <c r="B356" i="24"/>
  <c r="R353" i="24"/>
  <c r="P352" i="24"/>
  <c r="B345" i="24"/>
  <c r="AE347" i="22" s="1"/>
  <c r="R342" i="24"/>
  <c r="P341" i="24"/>
  <c r="B334" i="24"/>
  <c r="R331" i="24"/>
  <c r="P330" i="24"/>
  <c r="B323" i="24"/>
  <c r="R320" i="24"/>
  <c r="P319" i="24"/>
  <c r="B499" i="24"/>
  <c r="B478" i="24"/>
  <c r="B474" i="24"/>
  <c r="R447" i="24"/>
  <c r="P444" i="24"/>
  <c r="B423" i="24"/>
  <c r="R488" i="24"/>
  <c r="B482" i="24"/>
  <c r="P475" i="24"/>
  <c r="P469" i="24"/>
  <c r="R467" i="24"/>
  <c r="P465" i="24"/>
  <c r="B462" i="24"/>
  <c r="AE464" i="22" s="1"/>
  <c r="R450" i="24"/>
  <c r="P447" i="24"/>
  <c r="P441" i="24"/>
  <c r="P438" i="24"/>
  <c r="P435" i="24"/>
  <c r="P421" i="24"/>
  <c r="B418" i="24"/>
  <c r="R416" i="24"/>
  <c r="B412" i="24"/>
  <c r="R410" i="24"/>
  <c r="P404" i="24"/>
  <c r="R398" i="24"/>
  <c r="P397" i="24"/>
  <c r="B390" i="24"/>
  <c r="R387" i="24"/>
  <c r="P386" i="24"/>
  <c r="B379" i="24"/>
  <c r="AE381" i="22" s="1"/>
  <c r="R376" i="24"/>
  <c r="P375" i="24"/>
  <c r="B368" i="24"/>
  <c r="R365" i="24"/>
  <c r="P364" i="24"/>
  <c r="B357" i="24"/>
  <c r="AE359" i="22" s="1"/>
  <c r="R354" i="24"/>
  <c r="P353" i="24"/>
  <c r="B346" i="24"/>
  <c r="R343" i="24"/>
  <c r="P342" i="24"/>
  <c r="B335" i="24"/>
  <c r="R332" i="24"/>
  <c r="P331" i="24"/>
  <c r="B496" i="24"/>
  <c r="P493" i="24"/>
  <c r="R481" i="24"/>
  <c r="B458" i="24"/>
  <c r="R432" i="24"/>
  <c r="R429" i="24"/>
  <c r="B501" i="24"/>
  <c r="AE503" i="22" s="1"/>
  <c r="R464" i="24"/>
  <c r="R422" i="24"/>
  <c r="R407" i="24"/>
  <c r="R405" i="24"/>
  <c r="P402" i="24"/>
  <c r="R391" i="24"/>
  <c r="P388" i="24"/>
  <c r="B383" i="24"/>
  <c r="AE385" i="22" s="1"/>
  <c r="P378" i="24"/>
  <c r="P371" i="24"/>
  <c r="B366" i="24"/>
  <c r="B343" i="24"/>
  <c r="B327" i="24"/>
  <c r="P495" i="24"/>
  <c r="R490" i="24"/>
  <c r="P439" i="24"/>
  <c r="P427" i="24"/>
  <c r="P422" i="24"/>
  <c r="B421" i="24"/>
  <c r="B380" i="24"/>
  <c r="B373" i="24"/>
  <c r="P368" i="24"/>
  <c r="R361" i="24"/>
  <c r="B359" i="24"/>
  <c r="AE361" i="22" s="1"/>
  <c r="P357" i="24"/>
  <c r="B351" i="24"/>
  <c r="AE353" i="22" s="1"/>
  <c r="P349" i="24"/>
  <c r="R334" i="24"/>
  <c r="P325" i="24"/>
  <c r="R321" i="24"/>
  <c r="R316" i="24"/>
  <c r="B312" i="24"/>
  <c r="R309" i="24"/>
  <c r="P308" i="24"/>
  <c r="B301" i="24"/>
  <c r="R298" i="24"/>
  <c r="P297" i="24"/>
  <c r="B290" i="24"/>
  <c r="R287" i="24"/>
  <c r="P286" i="24"/>
  <c r="B279" i="24"/>
  <c r="R276" i="24"/>
  <c r="P275" i="24"/>
  <c r="B268" i="24"/>
  <c r="R265" i="24"/>
  <c r="P264" i="24"/>
  <c r="B257" i="24"/>
  <c r="R254" i="24"/>
  <c r="P253" i="24"/>
  <c r="P464" i="24"/>
  <c r="B461" i="24"/>
  <c r="R453" i="24"/>
  <c r="R505" i="24"/>
  <c r="P500" i="24"/>
  <c r="B483" i="24"/>
  <c r="B479" i="24"/>
  <c r="B437" i="24"/>
  <c r="R418" i="24"/>
  <c r="P416" i="24"/>
  <c r="B413" i="24"/>
  <c r="P400" i="24"/>
  <c r="P394" i="24"/>
  <c r="B363" i="24"/>
  <c r="R346" i="24"/>
  <c r="B486" i="24"/>
  <c r="P463" i="24"/>
  <c r="P453" i="24"/>
  <c r="B425" i="24"/>
  <c r="AE427" i="22" s="1"/>
  <c r="B415" i="24"/>
  <c r="P505" i="24"/>
  <c r="B471" i="24"/>
  <c r="AE473" i="22" s="1"/>
  <c r="R436" i="24"/>
  <c r="B432" i="24"/>
  <c r="AE434" i="22" s="1"/>
  <c r="R426" i="24"/>
  <c r="P418" i="24"/>
  <c r="B404" i="24"/>
  <c r="B387" i="24"/>
  <c r="R379" i="24"/>
  <c r="R372" i="24"/>
  <c r="R358" i="24"/>
  <c r="P354" i="24"/>
  <c r="R350" i="24"/>
  <c r="B348" i="24"/>
  <c r="P346" i="24"/>
  <c r="B340" i="24"/>
  <c r="P338" i="24"/>
  <c r="B328" i="24"/>
  <c r="B314" i="24"/>
  <c r="AE316" i="22" s="1"/>
  <c r="R311" i="24"/>
  <c r="P310" i="24"/>
  <c r="R477" i="24"/>
  <c r="P474" i="24"/>
  <c r="P436" i="24"/>
  <c r="P426" i="24"/>
  <c r="P410" i="24"/>
  <c r="B409" i="24"/>
  <c r="AE411" i="22" s="1"/>
  <c r="B407" i="24"/>
  <c r="R403" i="24"/>
  <c r="B384" i="24"/>
  <c r="P379" i="24"/>
  <c r="R366" i="24"/>
  <c r="B360" i="24"/>
  <c r="P358" i="24"/>
  <c r="B352" i="24"/>
  <c r="R335" i="24"/>
  <c r="R470" i="24"/>
  <c r="B434" i="24"/>
  <c r="P431" i="24"/>
  <c r="P412" i="24"/>
  <c r="B402" i="24"/>
  <c r="P398" i="24"/>
  <c r="R392" i="24"/>
  <c r="P389" i="24"/>
  <c r="B381" i="24"/>
  <c r="P376" i="24"/>
  <c r="B374" i="24"/>
  <c r="AE376" i="22" s="1"/>
  <c r="P369" i="24"/>
  <c r="P362" i="24"/>
  <c r="P498" i="24"/>
  <c r="R466" i="24"/>
  <c r="B447" i="24"/>
  <c r="R395" i="24"/>
  <c r="B493" i="24"/>
  <c r="P466" i="24"/>
  <c r="P387" i="24"/>
  <c r="R351" i="24"/>
  <c r="R341" i="24"/>
  <c r="R328" i="24"/>
  <c r="B317" i="24"/>
  <c r="P312" i="24"/>
  <c r="P307" i="24"/>
  <c r="B252" i="24"/>
  <c r="R249" i="24"/>
  <c r="P248" i="24"/>
  <c r="B241" i="24"/>
  <c r="AE243" i="22" s="1"/>
  <c r="R238" i="24"/>
  <c r="P237" i="24"/>
  <c r="B230" i="24"/>
  <c r="R227" i="24"/>
  <c r="P226" i="24"/>
  <c r="B219" i="24"/>
  <c r="R216" i="24"/>
  <c r="P215" i="24"/>
  <c r="B208" i="24"/>
  <c r="R492" i="24"/>
  <c r="P424" i="24"/>
  <c r="R389" i="24"/>
  <c r="B386" i="24"/>
  <c r="R383" i="24"/>
  <c r="R377" i="24"/>
  <c r="P360" i="24"/>
  <c r="R344" i="24"/>
  <c r="P336" i="24"/>
  <c r="P328" i="24"/>
  <c r="R325" i="24"/>
  <c r="P322" i="24"/>
  <c r="P302" i="24"/>
  <c r="P296" i="24"/>
  <c r="B293" i="24"/>
  <c r="R291" i="24"/>
  <c r="B287" i="24"/>
  <c r="AE289" i="22" s="1"/>
  <c r="R285" i="24"/>
  <c r="P279" i="24"/>
  <c r="P273" i="24"/>
  <c r="B270" i="24"/>
  <c r="R268" i="24"/>
  <c r="B264" i="24"/>
  <c r="R262" i="24"/>
  <c r="P256" i="24"/>
  <c r="R459" i="24"/>
  <c r="B392" i="24"/>
  <c r="R385" i="24"/>
  <c r="P383" i="24"/>
  <c r="B372" i="24"/>
  <c r="P492" i="24"/>
  <c r="B444" i="24"/>
  <c r="B440" i="24"/>
  <c r="B428" i="24"/>
  <c r="B424" i="24"/>
  <c r="AE426" i="22" s="1"/>
  <c r="R417" i="24"/>
  <c r="P472" i="24"/>
  <c r="B401" i="24"/>
  <c r="AE403" i="22" s="1"/>
  <c r="R369" i="24"/>
  <c r="R367" i="24"/>
  <c r="P339" i="24"/>
  <c r="B330" i="24"/>
  <c r="P316" i="24"/>
  <c r="B310" i="24"/>
  <c r="B484" i="24"/>
  <c r="B454" i="24"/>
  <c r="P417" i="24"/>
  <c r="R411" i="24"/>
  <c r="P408" i="24"/>
  <c r="R443" i="24"/>
  <c r="B431" i="24"/>
  <c r="R423" i="24"/>
  <c r="P411" i="24"/>
  <c r="R400" i="24"/>
  <c r="P391" i="24"/>
  <c r="R371" i="24"/>
  <c r="P367" i="24"/>
  <c r="P365" i="24"/>
  <c r="R363" i="24"/>
  <c r="R349" i="24"/>
  <c r="R347" i="24"/>
  <c r="B333" i="24"/>
  <c r="B321" i="24"/>
  <c r="B318" i="24"/>
  <c r="B315" i="24"/>
  <c r="P483" i="24"/>
  <c r="B443" i="24"/>
  <c r="R427" i="24"/>
  <c r="B396" i="24"/>
  <c r="R393" i="24"/>
  <c r="B362" i="24"/>
  <c r="R329" i="24"/>
  <c r="R326" i="24"/>
  <c r="R323" i="24"/>
  <c r="B306" i="24"/>
  <c r="R304" i="24"/>
  <c r="P470" i="24"/>
  <c r="R430" i="24"/>
  <c r="P405" i="24"/>
  <c r="B353" i="24"/>
  <c r="P347" i="24"/>
  <c r="P326" i="24"/>
  <c r="P309" i="24"/>
  <c r="B459" i="24"/>
  <c r="AE461" i="22" s="1"/>
  <c r="P497" i="24"/>
  <c r="B490" i="24"/>
  <c r="R476" i="24"/>
  <c r="B465" i="24"/>
  <c r="B435" i="24"/>
  <c r="P430" i="24"/>
  <c r="B403" i="24"/>
  <c r="B385" i="24"/>
  <c r="P361" i="24"/>
  <c r="B358" i="24"/>
  <c r="P320" i="24"/>
  <c r="P317" i="24"/>
  <c r="R314" i="24"/>
  <c r="R457" i="24"/>
  <c r="R440" i="24"/>
  <c r="R390" i="24"/>
  <c r="P384" i="24"/>
  <c r="P381" i="24"/>
  <c r="P340" i="24"/>
  <c r="P335" i="24"/>
  <c r="R313" i="24"/>
  <c r="R299" i="24"/>
  <c r="P293" i="24"/>
  <c r="R290" i="24"/>
  <c r="P287" i="24"/>
  <c r="B276" i="24"/>
  <c r="P271" i="24"/>
  <c r="B259" i="24"/>
  <c r="B245" i="24"/>
  <c r="R243" i="24"/>
  <c r="B239" i="24"/>
  <c r="R237" i="24"/>
  <c r="P231" i="24"/>
  <c r="P225" i="24"/>
  <c r="B222" i="24"/>
  <c r="R220" i="24"/>
  <c r="B216" i="24"/>
  <c r="R214" i="24"/>
  <c r="P208" i="24"/>
  <c r="P457" i="24"/>
  <c r="R413" i="24"/>
  <c r="B408" i="24"/>
  <c r="AE410" i="22" s="1"/>
  <c r="B395" i="24"/>
  <c r="B369" i="24"/>
  <c r="P432" i="24"/>
  <c r="P413" i="24"/>
  <c r="P390" i="24"/>
  <c r="B375" i="24"/>
  <c r="R352" i="24"/>
  <c r="R330" i="24"/>
  <c r="R315" i="24"/>
  <c r="P311" i="24"/>
  <c r="P299" i="24"/>
  <c r="R296" i="24"/>
  <c r="B295" i="24"/>
  <c r="P290" i="24"/>
  <c r="R284" i="24"/>
  <c r="P281" i="24"/>
  <c r="R278" i="24"/>
  <c r="P268" i="24"/>
  <c r="R261" i="24"/>
  <c r="B481" i="24"/>
  <c r="B469" i="24"/>
  <c r="R394" i="24"/>
  <c r="P455" i="24"/>
  <c r="B419" i="24"/>
  <c r="AE421" i="22" s="1"/>
  <c r="R402" i="24"/>
  <c r="B398" i="24"/>
  <c r="P468" i="24"/>
  <c r="P407" i="24"/>
  <c r="B394" i="24"/>
  <c r="P380" i="24"/>
  <c r="P377" i="24"/>
  <c r="R374" i="24"/>
  <c r="R368" i="24"/>
  <c r="P337" i="24"/>
  <c r="P332" i="24"/>
  <c r="B324" i="24"/>
  <c r="R319" i="24"/>
  <c r="B283" i="24"/>
  <c r="R272" i="24"/>
  <c r="R480" i="24"/>
  <c r="R445" i="24"/>
  <c r="R412" i="24"/>
  <c r="P393" i="24"/>
  <c r="B371" i="24"/>
  <c r="B350" i="24"/>
  <c r="P321" i="24"/>
  <c r="R294" i="24"/>
  <c r="R288" i="24"/>
  <c r="B286" i="24"/>
  <c r="B280" i="24"/>
  <c r="P479" i="24"/>
  <c r="B467" i="24"/>
  <c r="R362" i="24"/>
  <c r="R359" i="24"/>
  <c r="B355" i="24"/>
  <c r="P323" i="24"/>
  <c r="R302" i="24"/>
  <c r="B298" i="24"/>
  <c r="B277" i="24"/>
  <c r="AE279" i="22" s="1"/>
  <c r="P272" i="24"/>
  <c r="R269" i="24"/>
  <c r="R255" i="24"/>
  <c r="R406" i="24"/>
  <c r="R401" i="24"/>
  <c r="P359" i="24"/>
  <c r="P344" i="24"/>
  <c r="B326" i="24"/>
  <c r="AE328" i="22" s="1"/>
  <c r="R307" i="24"/>
  <c r="P294" i="24"/>
  <c r="P291" i="24"/>
  <c r="P288" i="24"/>
  <c r="P488" i="24"/>
  <c r="P476" i="24"/>
  <c r="P406" i="24"/>
  <c r="P401" i="24"/>
  <c r="B393" i="24"/>
  <c r="R370" i="24"/>
  <c r="R380" i="24"/>
  <c r="P366" i="24"/>
  <c r="P343" i="24"/>
  <c r="B337" i="24"/>
  <c r="R324" i="24"/>
  <c r="R300" i="24"/>
  <c r="P278" i="24"/>
  <c r="B273" i="24"/>
  <c r="AE275" i="22" s="1"/>
  <c r="R233" i="24"/>
  <c r="P228" i="24"/>
  <c r="P223" i="24"/>
  <c r="P209" i="24"/>
  <c r="B199" i="24"/>
  <c r="AE201" i="22" s="1"/>
  <c r="P196" i="24"/>
  <c r="P102" i="24"/>
  <c r="R98" i="24"/>
  <c r="P481" i="24"/>
  <c r="B347" i="24"/>
  <c r="P318" i="24"/>
  <c r="R312" i="24"/>
  <c r="B308" i="24"/>
  <c r="P298" i="24"/>
  <c r="R274" i="24"/>
  <c r="B271" i="24"/>
  <c r="B263" i="24"/>
  <c r="P259" i="24"/>
  <c r="R250" i="24"/>
  <c r="B235" i="24"/>
  <c r="R219" i="24"/>
  <c r="P204" i="24"/>
  <c r="R197" i="24"/>
  <c r="B441" i="24"/>
  <c r="B391" i="24"/>
  <c r="AE393" i="22" s="1"/>
  <c r="P370" i="24"/>
  <c r="R333" i="24"/>
  <c r="P324" i="24"/>
  <c r="P300" i="24"/>
  <c r="R267" i="24"/>
  <c r="R246" i="24"/>
  <c r="R242" i="24"/>
  <c r="P233" i="24"/>
  <c r="B376" i="24"/>
  <c r="P350" i="24"/>
  <c r="P315" i="24"/>
  <c r="B284" i="24"/>
  <c r="P274" i="24"/>
  <c r="B258" i="24"/>
  <c r="B255" i="24"/>
  <c r="P250" i="24"/>
  <c r="P238" i="24"/>
  <c r="R229" i="24"/>
  <c r="R224" i="24"/>
  <c r="P219" i="24"/>
  <c r="P503" i="24"/>
  <c r="B397" i="24"/>
  <c r="AE399" i="22" s="1"/>
  <c r="R339" i="24"/>
  <c r="R336" i="24"/>
  <c r="P333" i="24"/>
  <c r="B303" i="24"/>
  <c r="R270" i="24"/>
  <c r="P267" i="24"/>
  <c r="B266" i="24"/>
  <c r="P262" i="24"/>
  <c r="B248" i="24"/>
  <c r="P246" i="24"/>
  <c r="B244" i="24"/>
  <c r="P242" i="24"/>
  <c r="B231" i="24"/>
  <c r="B226" i="24"/>
  <c r="B212" i="24"/>
  <c r="AE214" i="22" s="1"/>
  <c r="B207" i="24"/>
  <c r="P205" i="24"/>
  <c r="R198" i="24"/>
  <c r="B405" i="24"/>
  <c r="R357" i="24"/>
  <c r="B261" i="24"/>
  <c r="R257" i="24"/>
  <c r="B240" i="24"/>
  <c r="AE242" i="22" s="1"/>
  <c r="R234" i="24"/>
  <c r="P229" i="24"/>
  <c r="P224" i="24"/>
  <c r="R215" i="24"/>
  <c r="P210" i="24"/>
  <c r="B192" i="24"/>
  <c r="R189" i="24"/>
  <c r="P188" i="24"/>
  <c r="B181" i="24"/>
  <c r="R178" i="24"/>
  <c r="P177" i="24"/>
  <c r="B170" i="24"/>
  <c r="R167" i="24"/>
  <c r="P166" i="24"/>
  <c r="B159" i="24"/>
  <c r="P156" i="24"/>
  <c r="B153" i="24"/>
  <c r="AE155" i="22" s="1"/>
  <c r="R151" i="24"/>
  <c r="P145" i="24"/>
  <c r="B142" i="24"/>
  <c r="AE144" i="22" s="1"/>
  <c r="R140" i="24"/>
  <c r="P134" i="24"/>
  <c r="B131" i="24"/>
  <c r="AE133" i="22" s="1"/>
  <c r="R129" i="24"/>
  <c r="P123" i="24"/>
  <c r="B120" i="24"/>
  <c r="R118" i="24"/>
  <c r="P112" i="24"/>
  <c r="P103" i="24"/>
  <c r="R99" i="24"/>
  <c r="R451" i="24"/>
  <c r="B354" i="24"/>
  <c r="P329" i="24"/>
  <c r="P314" i="24"/>
  <c r="B296" i="24"/>
  <c r="B282" i="24"/>
  <c r="P270" i="24"/>
  <c r="R384" i="24"/>
  <c r="B370" i="24"/>
  <c r="AE372" i="22" s="1"/>
  <c r="B365" i="24"/>
  <c r="AE367" i="22" s="1"/>
  <c r="R317" i="24"/>
  <c r="B294" i="24"/>
  <c r="B292" i="24"/>
  <c r="R289" i="24"/>
  <c r="B288" i="24"/>
  <c r="AE290" i="22" s="1"/>
  <c r="P285" i="24"/>
  <c r="R283" i="24"/>
  <c r="B278" i="24"/>
  <c r="P265" i="24"/>
  <c r="P257" i="24"/>
  <c r="R239" i="24"/>
  <c r="P234" i="24"/>
  <c r="P220" i="24"/>
  <c r="R199" i="24"/>
  <c r="B193" i="24"/>
  <c r="R190" i="24"/>
  <c r="P189" i="24"/>
  <c r="B182" i="24"/>
  <c r="R179" i="24"/>
  <c r="P178" i="24"/>
  <c r="B171" i="24"/>
  <c r="AE173" i="22" s="1"/>
  <c r="R168" i="24"/>
  <c r="P167" i="24"/>
  <c r="B160" i="24"/>
  <c r="R157" i="24"/>
  <c r="P151" i="24"/>
  <c r="B148" i="24"/>
  <c r="R146" i="24"/>
  <c r="P451" i="24"/>
  <c r="B414" i="24"/>
  <c r="B336" i="24"/>
  <c r="B307" i="24"/>
  <c r="B305" i="24"/>
  <c r="R281" i="24"/>
  <c r="R279" i="24"/>
  <c r="B274" i="24"/>
  <c r="B269" i="24"/>
  <c r="P251" i="24"/>
  <c r="R247" i="24"/>
  <c r="P239" i="24"/>
  <c r="R230" i="24"/>
  <c r="R225" i="24"/>
  <c r="R211" i="24"/>
  <c r="P206" i="24"/>
  <c r="R388" i="24"/>
  <c r="P345" i="24"/>
  <c r="P334" i="24"/>
  <c r="R305" i="24"/>
  <c r="R297" i="24"/>
  <c r="B275" i="24"/>
  <c r="R252" i="24"/>
  <c r="B251" i="24"/>
  <c r="B225" i="24"/>
  <c r="P195" i="24"/>
  <c r="B194" i="24"/>
  <c r="B184" i="24"/>
  <c r="P179" i="24"/>
  <c r="B177" i="24"/>
  <c r="P172" i="24"/>
  <c r="R159" i="24"/>
  <c r="B157" i="24"/>
  <c r="P150" i="24"/>
  <c r="P142" i="24"/>
  <c r="P132" i="24"/>
  <c r="P110" i="24"/>
  <c r="R107" i="24"/>
  <c r="P100" i="24"/>
  <c r="B95" i="24"/>
  <c r="P84" i="24"/>
  <c r="R80" i="24"/>
  <c r="R62" i="24"/>
  <c r="P57" i="24"/>
  <c r="AE59" i="22" s="1"/>
  <c r="P24" i="24"/>
  <c r="P19" i="24"/>
  <c r="AE21" i="22" s="1"/>
  <c r="R419" i="24"/>
  <c r="R340" i="24"/>
  <c r="B319" i="24"/>
  <c r="P284" i="24"/>
  <c r="B281" i="24"/>
  <c r="B236" i="24"/>
  <c r="B232" i="24"/>
  <c r="R213" i="24"/>
  <c r="R201" i="24"/>
  <c r="P198" i="24"/>
  <c r="B174" i="24"/>
  <c r="P169" i="24"/>
  <c r="B167" i="24"/>
  <c r="AE169" i="22" s="1"/>
  <c r="P162" i="24"/>
  <c r="P153" i="24"/>
  <c r="P139" i="24"/>
  <c r="R136" i="24"/>
  <c r="B134" i="24"/>
  <c r="AE136" i="22" s="1"/>
  <c r="R122" i="24"/>
  <c r="P118" i="24"/>
  <c r="B116" i="24"/>
  <c r="P114" i="24"/>
  <c r="B112" i="24"/>
  <c r="B102" i="24"/>
  <c r="R97" i="24"/>
  <c r="P93" i="24"/>
  <c r="R89" i="24"/>
  <c r="B82" i="24"/>
  <c r="B78" i="24"/>
  <c r="P76" i="24"/>
  <c r="R69" i="24"/>
  <c r="B67" i="24"/>
  <c r="P65" i="24"/>
  <c r="P41" i="24"/>
  <c r="AE43" i="22" s="1"/>
  <c r="B382" i="24"/>
  <c r="AE384" i="22" s="1"/>
  <c r="B329" i="24"/>
  <c r="P305" i="24"/>
  <c r="R301" i="24"/>
  <c r="B291" i="24"/>
  <c r="AE293" i="22" s="1"/>
  <c r="P283" i="24"/>
  <c r="P252" i="24"/>
  <c r="R222" i="24"/>
  <c r="B221" i="24"/>
  <c r="B205" i="24"/>
  <c r="R381" i="24"/>
  <c r="P372" i="24"/>
  <c r="P351" i="24"/>
  <c r="R293" i="24"/>
  <c r="R280" i="24"/>
  <c r="P254" i="24"/>
  <c r="B242" i="24"/>
  <c r="B238" i="24"/>
  <c r="R235" i="24"/>
  <c r="B234" i="24"/>
  <c r="P213" i="24"/>
  <c r="P211" i="24"/>
  <c r="P201" i="24"/>
  <c r="B197" i="24"/>
  <c r="AE199" i="22" s="1"/>
  <c r="R186" i="24"/>
  <c r="R176" i="24"/>
  <c r="R399" i="24"/>
  <c r="R356" i="24"/>
  <c r="B339" i="24"/>
  <c r="R318" i="24"/>
  <c r="P313" i="24"/>
  <c r="P304" i="24"/>
  <c r="P301" i="24"/>
  <c r="R273" i="24"/>
  <c r="B260" i="24"/>
  <c r="P222" i="24"/>
  <c r="B217" i="24"/>
  <c r="B210" i="24"/>
  <c r="R193" i="24"/>
  <c r="B191" i="24"/>
  <c r="P186" i="24"/>
  <c r="R183" i="24"/>
  <c r="R462" i="24"/>
  <c r="B364" i="24"/>
  <c r="P356" i="24"/>
  <c r="B309" i="24"/>
  <c r="P280" i="24"/>
  <c r="P235" i="24"/>
  <c r="R231" i="24"/>
  <c r="R180" i="24"/>
  <c r="P176" i="24"/>
  <c r="R173" i="24"/>
  <c r="P148" i="24"/>
  <c r="R133" i="24"/>
  <c r="P126" i="24"/>
  <c r="R119" i="24"/>
  <c r="R115" i="24"/>
  <c r="R111" i="24"/>
  <c r="B106" i="24"/>
  <c r="R101" i="24"/>
  <c r="P85" i="24"/>
  <c r="R81" i="24"/>
  <c r="R77" i="24"/>
  <c r="B75" i="24"/>
  <c r="AE77" i="22" s="1"/>
  <c r="P73" i="24"/>
  <c r="R66" i="24"/>
  <c r="P43" i="24"/>
  <c r="AE45" i="22" s="1"/>
  <c r="P21" i="24"/>
  <c r="AE23" i="22" s="1"/>
  <c r="P433" i="24"/>
  <c r="P399" i="24"/>
  <c r="R378" i="24"/>
  <c r="R338" i="24"/>
  <c r="B246" i="24"/>
  <c r="AE248" i="22" s="1"/>
  <c r="P243" i="24"/>
  <c r="B228" i="24"/>
  <c r="R218" i="24"/>
  <c r="P216" i="24"/>
  <c r="R204" i="24"/>
  <c r="B200" i="24"/>
  <c r="P193" i="24"/>
  <c r="P190" i="24"/>
  <c r="B188" i="24"/>
  <c r="P183" i="24"/>
  <c r="R170" i="24"/>
  <c r="R163" i="24"/>
  <c r="P133" i="24"/>
  <c r="R130" i="24"/>
  <c r="B128" i="24"/>
  <c r="R123" i="24"/>
  <c r="P111" i="24"/>
  <c r="R108" i="24"/>
  <c r="B96" i="24"/>
  <c r="AE98" i="22" s="1"/>
  <c r="P94" i="24"/>
  <c r="R90" i="24"/>
  <c r="B83" i="24"/>
  <c r="AE85" i="22" s="1"/>
  <c r="P60" i="24"/>
  <c r="B59" i="24"/>
  <c r="P51" i="24"/>
  <c r="P502" i="24"/>
  <c r="R327" i="24"/>
  <c r="R322" i="24"/>
  <c r="B313" i="24"/>
  <c r="R308" i="24"/>
  <c r="P289" i="24"/>
  <c r="R259" i="24"/>
  <c r="R241" i="24"/>
  <c r="R209" i="24"/>
  <c r="B203" i="24"/>
  <c r="AE205" i="22" s="1"/>
  <c r="R196" i="24"/>
  <c r="B185" i="24"/>
  <c r="P180" i="24"/>
  <c r="B178" i="24"/>
  <c r="AE180" i="22" s="1"/>
  <c r="P173" i="24"/>
  <c r="B168" i="24"/>
  <c r="R160" i="24"/>
  <c r="B147" i="24"/>
  <c r="AE149" i="22" s="1"/>
  <c r="R143" i="24"/>
  <c r="P140" i="24"/>
  <c r="B121" i="24"/>
  <c r="P119" i="24"/>
  <c r="B117" i="24"/>
  <c r="P115" i="24"/>
  <c r="B113" i="24"/>
  <c r="P101" i="24"/>
  <c r="B92" i="24"/>
  <c r="P81" i="24"/>
  <c r="B79" i="24"/>
  <c r="P77" i="24"/>
  <c r="R70" i="24"/>
  <c r="B68" i="24"/>
  <c r="P66" i="24"/>
  <c r="R63" i="24"/>
  <c r="B349" i="24"/>
  <c r="AE351" i="22" s="1"/>
  <c r="R286" i="24"/>
  <c r="P276" i="24"/>
  <c r="P218" i="24"/>
  <c r="B215" i="24"/>
  <c r="B213" i="24"/>
  <c r="AE215" i="22" s="1"/>
  <c r="R207" i="24"/>
  <c r="P199" i="24"/>
  <c r="B195" i="24"/>
  <c r="B175" i="24"/>
  <c r="P170" i="24"/>
  <c r="P163" i="24"/>
  <c r="B158" i="24"/>
  <c r="R154" i="24"/>
  <c r="B150" i="24"/>
  <c r="R137" i="24"/>
  <c r="B135" i="24"/>
  <c r="P130" i="24"/>
  <c r="P108" i="24"/>
  <c r="B103" i="24"/>
  <c r="P90" i="24"/>
  <c r="R86" i="24"/>
  <c r="B344" i="24"/>
  <c r="AE346" i="22" s="1"/>
  <c r="P327" i="24"/>
  <c r="R355" i="24"/>
  <c r="B262" i="24"/>
  <c r="R256" i="24"/>
  <c r="B420" i="24"/>
  <c r="AE422" i="22" s="1"/>
  <c r="R345" i="24"/>
  <c r="B299" i="24"/>
  <c r="B267" i="24"/>
  <c r="B253" i="24"/>
  <c r="P221" i="24"/>
  <c r="B186" i="24"/>
  <c r="R169" i="24"/>
  <c r="R161" i="24"/>
  <c r="P157" i="24"/>
  <c r="R142" i="24"/>
  <c r="P117" i="24"/>
  <c r="R92" i="24"/>
  <c r="B91" i="24"/>
  <c r="P61" i="24"/>
  <c r="P59" i="24"/>
  <c r="P17" i="24"/>
  <c r="AE19" i="22" s="1"/>
  <c r="B285" i="24"/>
  <c r="AE287" i="22" s="1"/>
  <c r="B249" i="24"/>
  <c r="P227" i="24"/>
  <c r="R206" i="24"/>
  <c r="B201" i="24"/>
  <c r="P171" i="24"/>
  <c r="R165" i="24"/>
  <c r="R155" i="24"/>
  <c r="P146" i="24"/>
  <c r="P138" i="24"/>
  <c r="P136" i="24"/>
  <c r="B127" i="24"/>
  <c r="R113" i="24"/>
  <c r="R83" i="24"/>
  <c r="R72" i="24"/>
  <c r="B69" i="24"/>
  <c r="P50" i="24"/>
  <c r="P37" i="24"/>
  <c r="P20" i="24"/>
  <c r="B332" i="24"/>
  <c r="AE334" i="22" s="1"/>
  <c r="B304" i="24"/>
  <c r="AE306" i="22" s="1"/>
  <c r="B297" i="24"/>
  <c r="B272" i="24"/>
  <c r="AE274" i="22" s="1"/>
  <c r="R266" i="24"/>
  <c r="P161" i="24"/>
  <c r="P159" i="24"/>
  <c r="P155" i="24"/>
  <c r="R144" i="24"/>
  <c r="R132" i="24"/>
  <c r="R128" i="24"/>
  <c r="R124" i="24"/>
  <c r="B100" i="24"/>
  <c r="P92" i="24"/>
  <c r="B89" i="24"/>
  <c r="P70" i="24"/>
  <c r="P450" i="24"/>
  <c r="P355" i="24"/>
  <c r="R277" i="24"/>
  <c r="R240" i="24"/>
  <c r="R203" i="24"/>
  <c r="R200" i="24"/>
  <c r="R195" i="24"/>
  <c r="P165" i="24"/>
  <c r="B149" i="24"/>
  <c r="P144" i="24"/>
  <c r="R126" i="24"/>
  <c r="P124" i="24"/>
  <c r="B123" i="24"/>
  <c r="P113" i="24"/>
  <c r="R109" i="24"/>
  <c r="B108" i="24"/>
  <c r="AE110" i="22" s="1"/>
  <c r="R105" i="24"/>
  <c r="B104" i="24"/>
  <c r="P83" i="24"/>
  <c r="B322" i="24"/>
  <c r="R303" i="24"/>
  <c r="R295" i="24"/>
  <c r="R282" i="24"/>
  <c r="P266" i="24"/>
  <c r="P261" i="24"/>
  <c r="R251" i="24"/>
  <c r="R244" i="24"/>
  <c r="B237" i="24"/>
  <c r="P230" i="24"/>
  <c r="B218" i="24"/>
  <c r="B209" i="24"/>
  <c r="P200" i="24"/>
  <c r="B198" i="24"/>
  <c r="R187" i="24"/>
  <c r="R185" i="24"/>
  <c r="B176" i="24"/>
  <c r="P128" i="24"/>
  <c r="P45" i="24"/>
  <c r="P28" i="24"/>
  <c r="AE30" i="22" s="1"/>
  <c r="R449" i="24"/>
  <c r="P303" i="24"/>
  <c r="P282" i="24"/>
  <c r="P277" i="24"/>
  <c r="B256" i="24"/>
  <c r="R248" i="24"/>
  <c r="P240" i="24"/>
  <c r="B224" i="24"/>
  <c r="P214" i="24"/>
  <c r="B206" i="24"/>
  <c r="P203" i="24"/>
  <c r="R192" i="24"/>
  <c r="B183" i="24"/>
  <c r="B151" i="24"/>
  <c r="R148" i="24"/>
  <c r="R120" i="24"/>
  <c r="P109" i="24"/>
  <c r="P105" i="24"/>
  <c r="B98" i="24"/>
  <c r="AE100" i="22" s="1"/>
  <c r="R95" i="24"/>
  <c r="B76" i="24"/>
  <c r="R68" i="24"/>
  <c r="B65" i="24"/>
  <c r="P54" i="24"/>
  <c r="P13" i="24"/>
  <c r="AE15" i="22" s="1"/>
  <c r="B342" i="24"/>
  <c r="B311" i="24"/>
  <c r="P295" i="24"/>
  <c r="R271" i="24"/>
  <c r="P247" i="24"/>
  <c r="P244" i="24"/>
  <c r="R217" i="24"/>
  <c r="P187" i="24"/>
  <c r="P185" i="24"/>
  <c r="R152" i="24"/>
  <c r="P122" i="24"/>
  <c r="B119" i="24"/>
  <c r="AE121" i="22" s="1"/>
  <c r="P107" i="24"/>
  <c r="R103" i="24"/>
  <c r="R88" i="24"/>
  <c r="B87" i="24"/>
  <c r="AE89" i="22" s="1"/>
  <c r="P42" i="24"/>
  <c r="AE44" i="22" s="1"/>
  <c r="AV44" i="22" s="1"/>
  <c r="P25" i="24"/>
  <c r="AE27" i="22" s="1"/>
  <c r="P16" i="24"/>
  <c r="AE18" i="22" s="1"/>
  <c r="R382" i="24"/>
  <c r="R310" i="24"/>
  <c r="B289" i="24"/>
  <c r="R260" i="24"/>
  <c r="R205" i="24"/>
  <c r="R202" i="24"/>
  <c r="P192" i="24"/>
  <c r="B165" i="24"/>
  <c r="R141" i="24"/>
  <c r="B132" i="24"/>
  <c r="P120" i="24"/>
  <c r="P99" i="24"/>
  <c r="P95" i="24"/>
  <c r="B94" i="24"/>
  <c r="R79" i="24"/>
  <c r="B72" i="24"/>
  <c r="P68" i="24"/>
  <c r="B61" i="24"/>
  <c r="AE63" i="22" s="1"/>
  <c r="P56" i="24"/>
  <c r="AE58" i="22" s="1"/>
  <c r="P47" i="24"/>
  <c r="P382" i="24"/>
  <c r="R275" i="24"/>
  <c r="P255" i="24"/>
  <c r="R236" i="24"/>
  <c r="B227" i="24"/>
  <c r="P217" i="24"/>
  <c r="R208" i="24"/>
  <c r="P197" i="24"/>
  <c r="R194" i="24"/>
  <c r="R177" i="24"/>
  <c r="R175" i="24"/>
  <c r="B169" i="24"/>
  <c r="B155" i="24"/>
  <c r="P152" i="24"/>
  <c r="R150" i="24"/>
  <c r="B140" i="24"/>
  <c r="B138" i="24"/>
  <c r="B136" i="24"/>
  <c r="P88" i="24"/>
  <c r="P86" i="24"/>
  <c r="B85" i="24"/>
  <c r="AE87" i="22" s="1"/>
  <c r="B63" i="24"/>
  <c r="P39" i="24"/>
  <c r="AE41" i="22" s="1"/>
  <c r="P36" i="24"/>
  <c r="AE38" i="22" s="1"/>
  <c r="P22" i="24"/>
  <c r="B331" i="24"/>
  <c r="P260" i="24"/>
  <c r="B233" i="24"/>
  <c r="R223" i="24"/>
  <c r="P202" i="24"/>
  <c r="R182" i="24"/>
  <c r="P175" i="24"/>
  <c r="B163" i="24"/>
  <c r="B161" i="24"/>
  <c r="B144" i="24"/>
  <c r="P141" i="24"/>
  <c r="R116" i="24"/>
  <c r="B115" i="24"/>
  <c r="P97" i="24"/>
  <c r="P79" i="24"/>
  <c r="R75" i="24"/>
  <c r="B74" i="24"/>
  <c r="AE76" i="22" s="1"/>
  <c r="R64" i="24"/>
  <c r="P58" i="24"/>
  <c r="AE60" i="22" s="1"/>
  <c r="P49" i="24"/>
  <c r="AE51" i="22" s="1"/>
  <c r="P33" i="24"/>
  <c r="R348" i="24"/>
  <c r="P241" i="24"/>
  <c r="B179" i="24"/>
  <c r="P147" i="24"/>
  <c r="B133" i="24"/>
  <c r="P125" i="24"/>
  <c r="R104" i="24"/>
  <c r="B101" i="24"/>
  <c r="B81" i="24"/>
  <c r="R74" i="24"/>
  <c r="B223" i="24"/>
  <c r="P182" i="24"/>
  <c r="R162" i="24"/>
  <c r="R158" i="24"/>
  <c r="R135" i="24"/>
  <c r="R93" i="24"/>
  <c r="P87" i="24"/>
  <c r="R65" i="24"/>
  <c r="P29" i="24"/>
  <c r="AE31" i="22" s="1"/>
  <c r="P348" i="24"/>
  <c r="R263" i="24"/>
  <c r="B229" i="24"/>
  <c r="B211" i="24"/>
  <c r="P154" i="24"/>
  <c r="P135" i="24"/>
  <c r="P104" i="24"/>
  <c r="B97" i="24"/>
  <c r="P74" i="24"/>
  <c r="B62" i="24"/>
  <c r="R373" i="24"/>
  <c r="P263" i="24"/>
  <c r="P158" i="24"/>
  <c r="R131" i="24"/>
  <c r="B129" i="24"/>
  <c r="R121" i="24"/>
  <c r="R114" i="24"/>
  <c r="B84" i="24"/>
  <c r="AE86" i="22" s="1"/>
  <c r="P373" i="24"/>
  <c r="B254" i="24"/>
  <c r="R228" i="24"/>
  <c r="R210" i="24"/>
  <c r="B187" i="24"/>
  <c r="AE189" i="22" s="1"/>
  <c r="B173" i="24"/>
  <c r="AE175" i="22" s="1"/>
  <c r="B143" i="24"/>
  <c r="B111" i="24"/>
  <c r="R100" i="24"/>
  <c r="P80" i="24"/>
  <c r="P64" i="24"/>
  <c r="B247" i="24"/>
  <c r="B196" i="24"/>
  <c r="R181" i="24"/>
  <c r="B139" i="24"/>
  <c r="P131" i="24"/>
  <c r="B125" i="24"/>
  <c r="P121" i="24"/>
  <c r="B118" i="24"/>
  <c r="B90" i="24"/>
  <c r="R73" i="24"/>
  <c r="R67" i="24"/>
  <c r="P46" i="24"/>
  <c r="AE48" i="22" s="1"/>
  <c r="R232" i="24"/>
  <c r="R221" i="24"/>
  <c r="P194" i="24"/>
  <c r="P168" i="24"/>
  <c r="B166" i="24"/>
  <c r="B162" i="24"/>
  <c r="R127" i="24"/>
  <c r="B107" i="24"/>
  <c r="R96" i="24"/>
  <c r="B71" i="24"/>
  <c r="P14" i="24"/>
  <c r="AE16" i="22" s="1"/>
  <c r="R292" i="24"/>
  <c r="R226" i="24"/>
  <c r="P181" i="24"/>
  <c r="B77" i="24"/>
  <c r="P67" i="24"/>
  <c r="P53" i="24"/>
  <c r="AE55" i="22" s="1"/>
  <c r="P32" i="24"/>
  <c r="P18" i="24"/>
  <c r="AE20" i="22" s="1"/>
  <c r="AV20" i="22" s="1"/>
  <c r="R306" i="24"/>
  <c r="P292" i="24"/>
  <c r="P269" i="24"/>
  <c r="R253" i="24"/>
  <c r="R245" i="24"/>
  <c r="P232" i="24"/>
  <c r="B190" i="24"/>
  <c r="AE192" i="22" s="1"/>
  <c r="R172" i="24"/>
  <c r="P127" i="24"/>
  <c r="R117" i="24"/>
  <c r="R110" i="24"/>
  <c r="P96" i="24"/>
  <c r="B93" i="24"/>
  <c r="R82" i="24"/>
  <c r="B80" i="24"/>
  <c r="P27" i="24"/>
  <c r="P23" i="24"/>
  <c r="AE25" i="22" s="1"/>
  <c r="P487" i="24"/>
  <c r="B325" i="24"/>
  <c r="P245" i="24"/>
  <c r="R164" i="24"/>
  <c r="B154" i="24"/>
  <c r="B146" i="24"/>
  <c r="R138" i="24"/>
  <c r="B124" i="24"/>
  <c r="AE126" i="22" s="1"/>
  <c r="P89" i="24"/>
  <c r="R149" i="24"/>
  <c r="P62" i="24"/>
  <c r="P40" i="24"/>
  <c r="AE42" i="22" s="1"/>
  <c r="B377" i="24"/>
  <c r="AE379" i="22" s="1"/>
  <c r="B300" i="24"/>
  <c r="R258" i="24"/>
  <c r="B204" i="24"/>
  <c r="B105" i="24"/>
  <c r="R85" i="24"/>
  <c r="R184" i="24"/>
  <c r="P149" i="24"/>
  <c r="B137" i="24"/>
  <c r="P129" i="24"/>
  <c r="P55" i="24"/>
  <c r="AE57" i="22" s="1"/>
  <c r="P31" i="24"/>
  <c r="P15" i="24"/>
  <c r="AE17" i="22" s="1"/>
  <c r="P258" i="24"/>
  <c r="R156" i="24"/>
  <c r="B110" i="24"/>
  <c r="B73" i="24"/>
  <c r="AE75" i="22" s="1"/>
  <c r="P48" i="24"/>
  <c r="AE50" i="22" s="1"/>
  <c r="P184" i="24"/>
  <c r="B164" i="24"/>
  <c r="AE166" i="22" s="1"/>
  <c r="R102" i="24"/>
  <c r="R84" i="24"/>
  <c r="R78" i="24"/>
  <c r="P30" i="24"/>
  <c r="AE32" i="22" s="1"/>
  <c r="B361" i="24"/>
  <c r="R212" i="24"/>
  <c r="R134" i="24"/>
  <c r="P12" i="24"/>
  <c r="AE14" i="22" s="1"/>
  <c r="R442" i="24"/>
  <c r="R360" i="24"/>
  <c r="P78" i="24"/>
  <c r="P72" i="24"/>
  <c r="B320" i="24"/>
  <c r="B220" i="24"/>
  <c r="P212" i="24"/>
  <c r="B122" i="24"/>
  <c r="B109" i="24"/>
  <c r="P38" i="24"/>
  <c r="AE40" i="22" s="1"/>
  <c r="B141" i="24"/>
  <c r="AE143" i="22" s="1"/>
  <c r="P82" i="24"/>
  <c r="R71" i="24"/>
  <c r="B341" i="24"/>
  <c r="R166" i="24"/>
  <c r="R125" i="24"/>
  <c r="P69" i="24"/>
  <c r="R337" i="24"/>
  <c r="R153" i="24"/>
  <c r="B60" i="24"/>
  <c r="P116" i="24"/>
  <c r="B70" i="24"/>
  <c r="AE72" i="22" s="1"/>
  <c r="R191" i="24"/>
  <c r="B180" i="24"/>
  <c r="P164" i="24"/>
  <c r="R139" i="24"/>
  <c r="P34" i="24"/>
  <c r="AE36" i="22" s="1"/>
  <c r="B429" i="24"/>
  <c r="P207" i="24"/>
  <c r="P137" i="24"/>
  <c r="B114" i="24"/>
  <c r="R91" i="24"/>
  <c r="R428" i="24"/>
  <c r="B250" i="24"/>
  <c r="AE252" i="22" s="1"/>
  <c r="P191" i="24"/>
  <c r="B126" i="24"/>
  <c r="P44" i="24"/>
  <c r="AE46" i="22" s="1"/>
  <c r="P91" i="24"/>
  <c r="P249" i="24"/>
  <c r="P160" i="24"/>
  <c r="R174" i="24"/>
  <c r="B152" i="24"/>
  <c r="R112" i="24"/>
  <c r="B243" i="24"/>
  <c r="P392" i="24"/>
  <c r="B189" i="24"/>
  <c r="P174" i="24"/>
  <c r="R147" i="24"/>
  <c r="P236" i="24"/>
  <c r="P11" i="24"/>
  <c r="AE13" i="22" s="1"/>
  <c r="R145" i="24"/>
  <c r="B130" i="24"/>
  <c r="P106" i="24"/>
  <c r="B86" i="24"/>
  <c r="B64" i="24"/>
  <c r="AE66" i="22" s="1"/>
  <c r="R171" i="24"/>
  <c r="P63" i="24"/>
  <c r="B145" i="24"/>
  <c r="AE147" i="22" s="1"/>
  <c r="B99" i="24"/>
  <c r="AE101" i="22" s="1"/>
  <c r="R76" i="24"/>
  <c r="P35" i="24"/>
  <c r="AE37" i="22" s="1"/>
  <c r="P98" i="24"/>
  <c r="B265" i="24"/>
  <c r="P143" i="24"/>
  <c r="P75" i="24"/>
  <c r="P306" i="24"/>
  <c r="B88" i="24"/>
  <c r="B172" i="24"/>
  <c r="P26" i="24"/>
  <c r="B338" i="24"/>
  <c r="B316" i="24"/>
  <c r="B214" i="24"/>
  <c r="P71" i="24"/>
  <c r="R106" i="24"/>
  <c r="B302" i="24"/>
  <c r="R264" i="24"/>
  <c r="B156" i="24"/>
  <c r="AE158" i="22" s="1"/>
  <c r="R94" i="24"/>
  <c r="R87" i="24"/>
  <c r="B66" i="24"/>
  <c r="AE68" i="22" s="1"/>
  <c r="P52" i="24"/>
  <c r="AE54" i="22" s="1"/>
  <c r="B202" i="24"/>
  <c r="AE204" i="22" s="1"/>
  <c r="R188" i="24"/>
  <c r="T10" i="24"/>
  <c r="U10" i="24"/>
  <c r="S35" i="22"/>
  <c r="Q36" i="24"/>
  <c r="S38" i="22"/>
  <c r="Q38" i="22"/>
  <c r="T55" i="24"/>
  <c r="U55" i="24"/>
  <c r="U78" i="24"/>
  <c r="T78" i="24"/>
  <c r="Q85" i="22"/>
  <c r="Q105" i="24"/>
  <c r="Q162" i="22"/>
  <c r="Q173" i="22"/>
  <c r="T191" i="24"/>
  <c r="U191" i="24"/>
  <c r="Q205" i="22"/>
  <c r="S247" i="22"/>
  <c r="T247" i="22" s="1"/>
  <c r="F257" i="24"/>
  <c r="E257" i="24"/>
  <c r="S259" i="22"/>
  <c r="Q259" i="22"/>
  <c r="F293" i="24"/>
  <c r="E293" i="24"/>
  <c r="S295" i="22"/>
  <c r="Q295" i="22"/>
  <c r="F58" i="18"/>
  <c r="F8" i="18" s="1"/>
  <c r="F9" i="18" s="1"/>
  <c r="D63" i="19"/>
  <c r="D43" i="19"/>
  <c r="S497" i="24"/>
  <c r="AF499" i="22" s="1"/>
  <c r="S486" i="24"/>
  <c r="AF488" i="22" s="1"/>
  <c r="S501" i="24"/>
  <c r="AF503" i="22" s="1"/>
  <c r="S495" i="24"/>
  <c r="AF497" i="22" s="1"/>
  <c r="S483" i="24"/>
  <c r="AF485" i="22" s="1"/>
  <c r="S472" i="24"/>
  <c r="AF474" i="22" s="1"/>
  <c r="S461" i="24"/>
  <c r="AF463" i="22" s="1"/>
  <c r="S482" i="24"/>
  <c r="AF484" i="22" s="1"/>
  <c r="S473" i="24"/>
  <c r="AF475" i="22" s="1"/>
  <c r="S490" i="24"/>
  <c r="AF492" i="22" s="1"/>
  <c r="S464" i="24"/>
  <c r="AF466" i="22" s="1"/>
  <c r="S459" i="24"/>
  <c r="AF461" i="22" s="1"/>
  <c r="S447" i="24"/>
  <c r="AF449" i="22" s="1"/>
  <c r="S436" i="24"/>
  <c r="AF438" i="22" s="1"/>
  <c r="S425" i="24"/>
  <c r="AF427" i="22" s="1"/>
  <c r="S474" i="24"/>
  <c r="AF476" i="22" s="1"/>
  <c r="S449" i="24"/>
  <c r="AF451" i="22" s="1"/>
  <c r="S438" i="24"/>
  <c r="AF440" i="22" s="1"/>
  <c r="S503" i="24"/>
  <c r="AF505" i="22" s="1"/>
  <c r="S458" i="24"/>
  <c r="AF460" i="22" s="1"/>
  <c r="S412" i="24"/>
  <c r="AF414" i="22" s="1"/>
  <c r="S401" i="24"/>
  <c r="AF403" i="22" s="1"/>
  <c r="S471" i="24"/>
  <c r="AF473" i="22" s="1"/>
  <c r="S439" i="24"/>
  <c r="AF441" i="22" s="1"/>
  <c r="S434" i="24"/>
  <c r="AF436" i="22" s="1"/>
  <c r="S414" i="24"/>
  <c r="AF416" i="22" s="1"/>
  <c r="S403" i="24"/>
  <c r="AF405" i="22" s="1"/>
  <c r="S468" i="24"/>
  <c r="AF470" i="22" s="1"/>
  <c r="S462" i="24"/>
  <c r="AF464" i="22" s="1"/>
  <c r="S424" i="24"/>
  <c r="AF426" i="22" s="1"/>
  <c r="S506" i="24"/>
  <c r="AF508" i="22" s="1"/>
  <c r="S499" i="24"/>
  <c r="AF501" i="22" s="1"/>
  <c r="S478" i="24"/>
  <c r="AF480" i="22" s="1"/>
  <c r="S475" i="24"/>
  <c r="AF477" i="22" s="1"/>
  <c r="S504" i="24"/>
  <c r="AF506" i="22" s="1"/>
  <c r="S492" i="24"/>
  <c r="AF494" i="22" s="1"/>
  <c r="S487" i="24"/>
  <c r="AF489" i="22" s="1"/>
  <c r="S481" i="24"/>
  <c r="AF483" i="22" s="1"/>
  <c r="S453" i="24"/>
  <c r="AF455" i="22" s="1"/>
  <c r="S476" i="24"/>
  <c r="AF478" i="22" s="1"/>
  <c r="S454" i="24"/>
  <c r="AF456" i="22" s="1"/>
  <c r="S484" i="24"/>
  <c r="AF486" i="22" s="1"/>
  <c r="S456" i="24"/>
  <c r="AF458" i="22" s="1"/>
  <c r="S431" i="24"/>
  <c r="AF433" i="22" s="1"/>
  <c r="S420" i="24"/>
  <c r="AF422" i="22" s="1"/>
  <c r="S395" i="24"/>
  <c r="AF397" i="22" s="1"/>
  <c r="S384" i="24"/>
  <c r="AF386" i="22" s="1"/>
  <c r="S373" i="24"/>
  <c r="AF375" i="22" s="1"/>
  <c r="S362" i="24"/>
  <c r="AF364" i="22" s="1"/>
  <c r="S351" i="24"/>
  <c r="AF353" i="22" s="1"/>
  <c r="S340" i="24"/>
  <c r="AF342" i="22" s="1"/>
  <c r="S329" i="24"/>
  <c r="AF331" i="22" s="1"/>
  <c r="S318" i="24"/>
  <c r="AF320" i="22" s="1"/>
  <c r="S507" i="24"/>
  <c r="AF509" i="22" s="1"/>
  <c r="S491" i="24"/>
  <c r="AF493" i="22" s="1"/>
  <c r="S428" i="24"/>
  <c r="AF430" i="22" s="1"/>
  <c r="S496" i="24"/>
  <c r="AF498" i="22" s="1"/>
  <c r="S444" i="24"/>
  <c r="AF446" i="22" s="1"/>
  <c r="S452" i="24"/>
  <c r="AF454" i="22" s="1"/>
  <c r="S441" i="24"/>
  <c r="AF443" i="22" s="1"/>
  <c r="S421" i="24"/>
  <c r="AF423" i="22" s="1"/>
  <c r="S404" i="24"/>
  <c r="AF406" i="22" s="1"/>
  <c r="S397" i="24"/>
  <c r="AF399" i="22" s="1"/>
  <c r="S386" i="24"/>
  <c r="AF388" i="22" s="1"/>
  <c r="S375" i="24"/>
  <c r="AF377" i="22" s="1"/>
  <c r="S364" i="24"/>
  <c r="AF366" i="22" s="1"/>
  <c r="S353" i="24"/>
  <c r="AF355" i="22" s="1"/>
  <c r="S342" i="24"/>
  <c r="AF344" i="22" s="1"/>
  <c r="S331" i="24"/>
  <c r="AF333" i="22" s="1"/>
  <c r="S320" i="24"/>
  <c r="AF322" i="22" s="1"/>
  <c r="S469" i="24"/>
  <c r="AF471" i="22" s="1"/>
  <c r="S488" i="24"/>
  <c r="AF490" i="22" s="1"/>
  <c r="S467" i="24"/>
  <c r="AF469" i="22" s="1"/>
  <c r="S465" i="24"/>
  <c r="AF467" i="22" s="1"/>
  <c r="S450" i="24"/>
  <c r="AF452" i="22" s="1"/>
  <c r="S435" i="24"/>
  <c r="AF437" i="22" s="1"/>
  <c r="S416" i="24"/>
  <c r="AF418" i="22" s="1"/>
  <c r="S410" i="24"/>
  <c r="AF412" i="22" s="1"/>
  <c r="S398" i="24"/>
  <c r="AF400" i="22" s="1"/>
  <c r="S387" i="24"/>
  <c r="AF389" i="22" s="1"/>
  <c r="S376" i="24"/>
  <c r="AF378" i="22" s="1"/>
  <c r="S365" i="24"/>
  <c r="AF367" i="22" s="1"/>
  <c r="S498" i="24"/>
  <c r="AF500" i="22" s="1"/>
  <c r="S493" i="24"/>
  <c r="AF495" i="22" s="1"/>
  <c r="S479" i="24"/>
  <c r="AF481" i="22" s="1"/>
  <c r="S432" i="24"/>
  <c r="AF434" i="22" s="1"/>
  <c r="S429" i="24"/>
  <c r="AF431" i="22" s="1"/>
  <c r="S477" i="24"/>
  <c r="AF479" i="22" s="1"/>
  <c r="S463" i="24"/>
  <c r="AF465" i="22" s="1"/>
  <c r="S361" i="24"/>
  <c r="AF363" i="22" s="1"/>
  <c r="S334" i="24"/>
  <c r="AF336" i="22" s="1"/>
  <c r="S321" i="24"/>
  <c r="AF323" i="22" s="1"/>
  <c r="S316" i="24"/>
  <c r="AF318" i="22" s="1"/>
  <c r="S309" i="24"/>
  <c r="AF311" i="22" s="1"/>
  <c r="S298" i="24"/>
  <c r="AF300" i="22" s="1"/>
  <c r="S287" i="24"/>
  <c r="AF289" i="22" s="1"/>
  <c r="S276" i="24"/>
  <c r="AF278" i="22" s="1"/>
  <c r="S265" i="24"/>
  <c r="AF267" i="22" s="1"/>
  <c r="S254" i="24"/>
  <c r="AF256" i="22" s="1"/>
  <c r="S400" i="24"/>
  <c r="AF402" i="22" s="1"/>
  <c r="S394" i="24"/>
  <c r="AF396" i="22" s="1"/>
  <c r="S385" i="24"/>
  <c r="AF387" i="22" s="1"/>
  <c r="S330" i="24"/>
  <c r="AF332" i="22" s="1"/>
  <c r="S505" i="24"/>
  <c r="AF507" i="22" s="1"/>
  <c r="S500" i="24"/>
  <c r="AF502" i="22" s="1"/>
  <c r="S382" i="24"/>
  <c r="AF384" i="22" s="1"/>
  <c r="S354" i="24"/>
  <c r="AF356" i="22" s="1"/>
  <c r="S460" i="24"/>
  <c r="AF462" i="22" s="1"/>
  <c r="S426" i="24"/>
  <c r="AF428" i="22" s="1"/>
  <c r="S389" i="24"/>
  <c r="AF391" i="22" s="1"/>
  <c r="S369" i="24"/>
  <c r="AF371" i="22" s="1"/>
  <c r="S322" i="24"/>
  <c r="AF324" i="22" s="1"/>
  <c r="S317" i="24"/>
  <c r="AF319" i="22" s="1"/>
  <c r="S470" i="24"/>
  <c r="AF472" i="22" s="1"/>
  <c r="S392" i="24"/>
  <c r="AF394" i="22" s="1"/>
  <c r="S343" i="24"/>
  <c r="AF345" i="22" s="1"/>
  <c r="S466" i="24"/>
  <c r="AF468" i="22" s="1"/>
  <c r="S494" i="24"/>
  <c r="AF496" i="22" s="1"/>
  <c r="S383" i="24"/>
  <c r="AF385" i="22" s="1"/>
  <c r="S377" i="24"/>
  <c r="AF379" i="22" s="1"/>
  <c r="S344" i="24"/>
  <c r="AF346" i="22" s="1"/>
  <c r="S325" i="24"/>
  <c r="AF327" i="22" s="1"/>
  <c r="S291" i="24"/>
  <c r="AF293" i="22" s="1"/>
  <c r="S285" i="24"/>
  <c r="AF287" i="22" s="1"/>
  <c r="S268" i="24"/>
  <c r="AF270" i="22" s="1"/>
  <c r="S262" i="24"/>
  <c r="AF264" i="22" s="1"/>
  <c r="S379" i="24"/>
  <c r="AF381" i="22" s="1"/>
  <c r="S319" i="24"/>
  <c r="AF321" i="22" s="1"/>
  <c r="S250" i="24"/>
  <c r="AF252" i="22" s="1"/>
  <c r="S239" i="24"/>
  <c r="AF241" i="22" s="1"/>
  <c r="S228" i="24"/>
  <c r="AF230" i="22" s="1"/>
  <c r="S217" i="24"/>
  <c r="AF219" i="22" s="1"/>
  <c r="S206" i="24"/>
  <c r="AF208" i="22" s="1"/>
  <c r="S417" i="24"/>
  <c r="AF419" i="22" s="1"/>
  <c r="S381" i="24"/>
  <c r="AF383" i="22" s="1"/>
  <c r="S448" i="24"/>
  <c r="AF450" i="22" s="1"/>
  <c r="S411" i="24"/>
  <c r="AF413" i="22" s="1"/>
  <c r="S408" i="24"/>
  <c r="AF410" i="22" s="1"/>
  <c r="S443" i="24"/>
  <c r="AF445" i="22" s="1"/>
  <c r="S423" i="24"/>
  <c r="AF425" i="22" s="1"/>
  <c r="S391" i="24"/>
  <c r="AF393" i="22" s="1"/>
  <c r="S427" i="24"/>
  <c r="AF429" i="22" s="1"/>
  <c r="S393" i="24"/>
  <c r="AF395" i="22" s="1"/>
  <c r="S326" i="24"/>
  <c r="AF328" i="22" s="1"/>
  <c r="S323" i="24"/>
  <c r="AF325" i="22" s="1"/>
  <c r="S304" i="24"/>
  <c r="AF306" i="22" s="1"/>
  <c r="S281" i="24"/>
  <c r="AF283" i="22" s="1"/>
  <c r="S275" i="24"/>
  <c r="AF277" i="22" s="1"/>
  <c r="S258" i="24"/>
  <c r="AF260" i="22" s="1"/>
  <c r="S430" i="24"/>
  <c r="AF432" i="22" s="1"/>
  <c r="S405" i="24"/>
  <c r="AF407" i="22" s="1"/>
  <c r="S332" i="24"/>
  <c r="AF334" i="22" s="1"/>
  <c r="S359" i="24"/>
  <c r="AF361" i="22" s="1"/>
  <c r="S337" i="24"/>
  <c r="AF339" i="22" s="1"/>
  <c r="S299" i="24"/>
  <c r="AF301" i="22" s="1"/>
  <c r="S293" i="24"/>
  <c r="AF295" i="22" s="1"/>
  <c r="S442" i="24"/>
  <c r="AF444" i="22" s="1"/>
  <c r="S352" i="24"/>
  <c r="AF354" i="22" s="1"/>
  <c r="S345" i="24"/>
  <c r="AF347" i="22" s="1"/>
  <c r="S310" i="24"/>
  <c r="AF312" i="22" s="1"/>
  <c r="S413" i="24"/>
  <c r="AF415" i="22" s="1"/>
  <c r="S311" i="24"/>
  <c r="AF313" i="22" s="1"/>
  <c r="S201" i="24"/>
  <c r="AF203" i="22" s="1"/>
  <c r="S347" i="24"/>
  <c r="AF349" i="22" s="1"/>
  <c r="S446" i="24"/>
  <c r="AF448" i="22" s="1"/>
  <c r="S380" i="24"/>
  <c r="AF382" i="22" s="1"/>
  <c r="S360" i="24"/>
  <c r="AF362" i="22" s="1"/>
  <c r="S328" i="24"/>
  <c r="AF330" i="22" s="1"/>
  <c r="S455" i="24"/>
  <c r="AF457" i="22" s="1"/>
  <c r="S402" i="24"/>
  <c r="AF404" i="22" s="1"/>
  <c r="S407" i="24"/>
  <c r="AF409" i="22" s="1"/>
  <c r="S480" i="24"/>
  <c r="AF482" i="22" s="1"/>
  <c r="S445" i="24"/>
  <c r="AF447" i="22" s="1"/>
  <c r="S418" i="24"/>
  <c r="AF420" i="22" s="1"/>
  <c r="S294" i="24"/>
  <c r="AF296" i="22" s="1"/>
  <c r="S288" i="24"/>
  <c r="AF290" i="22" s="1"/>
  <c r="S302" i="24"/>
  <c r="AF304" i="22" s="1"/>
  <c r="S406" i="24"/>
  <c r="AF408" i="22" s="1"/>
  <c r="S307" i="24"/>
  <c r="AF309" i="22" s="1"/>
  <c r="S282" i="24"/>
  <c r="AF284" i="22" s="1"/>
  <c r="S251" i="24"/>
  <c r="AF253" i="22" s="1"/>
  <c r="S245" i="24"/>
  <c r="AF247" i="22" s="1"/>
  <c r="S437" i="24"/>
  <c r="AF439" i="22" s="1"/>
  <c r="S422" i="24"/>
  <c r="AF424" i="22" s="1"/>
  <c r="S349" i="24"/>
  <c r="AF351" i="22" s="1"/>
  <c r="S339" i="24"/>
  <c r="AF341" i="22" s="1"/>
  <c r="S305" i="24"/>
  <c r="AF307" i="22" s="1"/>
  <c r="S300" i="24"/>
  <c r="AF302" i="22" s="1"/>
  <c r="S297" i="24"/>
  <c r="AF299" i="22" s="1"/>
  <c r="S489" i="24"/>
  <c r="AF491" i="22" s="1"/>
  <c r="S370" i="24"/>
  <c r="AF372" i="22" s="1"/>
  <c r="S358" i="24"/>
  <c r="AF360" i="22" s="1"/>
  <c r="S312" i="24"/>
  <c r="AF314" i="22" s="1"/>
  <c r="S274" i="24"/>
  <c r="AF276" i="22" s="1"/>
  <c r="S219" i="24"/>
  <c r="AF221" i="22" s="1"/>
  <c r="S214" i="24"/>
  <c r="AF216" i="22" s="1"/>
  <c r="S197" i="24"/>
  <c r="AF199" i="22" s="1"/>
  <c r="S187" i="24"/>
  <c r="AF189" i="22" s="1"/>
  <c r="S176" i="24"/>
  <c r="AF178" i="22" s="1"/>
  <c r="S165" i="24"/>
  <c r="AF167" i="22" s="1"/>
  <c r="S150" i="24"/>
  <c r="AF152" i="22" s="1"/>
  <c r="S139" i="24"/>
  <c r="AF141" i="22" s="1"/>
  <c r="S128" i="24"/>
  <c r="AF130" i="22" s="1"/>
  <c r="S117" i="24"/>
  <c r="AF119" i="22" s="1"/>
  <c r="S107" i="24"/>
  <c r="AF109" i="22" s="1"/>
  <c r="S333" i="24"/>
  <c r="AF335" i="22" s="1"/>
  <c r="S315" i="24"/>
  <c r="AF317" i="22" s="1"/>
  <c r="S296" i="24"/>
  <c r="AF298" i="22" s="1"/>
  <c r="S267" i="24"/>
  <c r="AF269" i="22" s="1"/>
  <c r="S246" i="24"/>
  <c r="AF248" i="22" s="1"/>
  <c r="S242" i="24"/>
  <c r="AF244" i="22" s="1"/>
  <c r="S350" i="24"/>
  <c r="AF352" i="22" s="1"/>
  <c r="S346" i="24"/>
  <c r="AF348" i="22" s="1"/>
  <c r="S272" i="24"/>
  <c r="AF274" i="22" s="1"/>
  <c r="S238" i="24"/>
  <c r="AF240" i="22" s="1"/>
  <c r="S457" i="24"/>
  <c r="AF459" i="22" s="1"/>
  <c r="S336" i="24"/>
  <c r="AF338" i="22" s="1"/>
  <c r="S270" i="24"/>
  <c r="AF272" i="22" s="1"/>
  <c r="S415" i="24"/>
  <c r="AF417" i="22" s="1"/>
  <c r="S390" i="24"/>
  <c r="AF392" i="22" s="1"/>
  <c r="S357" i="24"/>
  <c r="AF359" i="22" s="1"/>
  <c r="S314" i="24"/>
  <c r="AF316" i="22" s="1"/>
  <c r="S257" i="24"/>
  <c r="AF259" i="22" s="1"/>
  <c r="S234" i="24"/>
  <c r="AF236" i="22" s="1"/>
  <c r="S215" i="24"/>
  <c r="AF217" i="22" s="1"/>
  <c r="S189" i="24"/>
  <c r="AF191" i="22" s="1"/>
  <c r="S178" i="24"/>
  <c r="AF180" i="22" s="1"/>
  <c r="S167" i="24"/>
  <c r="AF169" i="22" s="1"/>
  <c r="S151" i="24"/>
  <c r="AF153" i="22" s="1"/>
  <c r="S451" i="24"/>
  <c r="AF453" i="22" s="1"/>
  <c r="S440" i="24"/>
  <c r="AF442" i="22" s="1"/>
  <c r="S220" i="24"/>
  <c r="AF222" i="22" s="1"/>
  <c r="S108" i="24"/>
  <c r="AF110" i="22" s="1"/>
  <c r="S396" i="24"/>
  <c r="AF398" i="22" s="1"/>
  <c r="S289" i="24"/>
  <c r="AF291" i="22" s="1"/>
  <c r="S283" i="24"/>
  <c r="AF285" i="22" s="1"/>
  <c r="S374" i="24"/>
  <c r="AF376" i="22" s="1"/>
  <c r="S279" i="24"/>
  <c r="AF281" i="22" s="1"/>
  <c r="S247" i="24"/>
  <c r="AF249" i="22" s="1"/>
  <c r="S243" i="24"/>
  <c r="AF245" i="22" s="1"/>
  <c r="S230" i="24"/>
  <c r="AF232" i="22" s="1"/>
  <c r="S225" i="24"/>
  <c r="AF227" i="22" s="1"/>
  <c r="S211" i="24"/>
  <c r="AF213" i="22" s="1"/>
  <c r="S502" i="24"/>
  <c r="AF504" i="22" s="1"/>
  <c r="S388" i="24"/>
  <c r="AF390" i="22" s="1"/>
  <c r="S277" i="24"/>
  <c r="AF279" i="22" s="1"/>
  <c r="S260" i="24"/>
  <c r="AF262" i="22" s="1"/>
  <c r="S191" i="24"/>
  <c r="AF193" i="22" s="1"/>
  <c r="S180" i="24"/>
  <c r="AF182" i="22" s="1"/>
  <c r="S169" i="24"/>
  <c r="AF171" i="22" s="1"/>
  <c r="S158" i="24"/>
  <c r="AF160" i="22" s="1"/>
  <c r="S152" i="24"/>
  <c r="AF154" i="22" s="1"/>
  <c r="S141" i="24"/>
  <c r="AF143" i="22" s="1"/>
  <c r="S130" i="24"/>
  <c r="AF132" i="22" s="1"/>
  <c r="S419" i="24"/>
  <c r="AF421" i="22" s="1"/>
  <c r="S324" i="24"/>
  <c r="AF326" i="22" s="1"/>
  <c r="S213" i="24"/>
  <c r="AF215" i="22" s="1"/>
  <c r="S198" i="24"/>
  <c r="AF200" i="22" s="1"/>
  <c r="S136" i="24"/>
  <c r="AF138" i="22" s="1"/>
  <c r="S129" i="24"/>
  <c r="AF131" i="22" s="1"/>
  <c r="S122" i="24"/>
  <c r="AF124" i="22" s="1"/>
  <c r="S97" i="24"/>
  <c r="AF99" i="22" s="1"/>
  <c r="S89" i="24"/>
  <c r="AF91" i="22" s="1"/>
  <c r="S69" i="24"/>
  <c r="AF71" i="22" s="1"/>
  <c r="S301" i="24"/>
  <c r="AF303" i="22" s="1"/>
  <c r="S224" i="24"/>
  <c r="AF226" i="22" s="1"/>
  <c r="S222" i="24"/>
  <c r="AF224" i="22" s="1"/>
  <c r="S145" i="24"/>
  <c r="AF147" i="22" s="1"/>
  <c r="S104" i="24"/>
  <c r="AF106" i="22" s="1"/>
  <c r="S372" i="24"/>
  <c r="AF374" i="22" s="1"/>
  <c r="S280" i="24"/>
  <c r="AF282" i="22" s="1"/>
  <c r="S235" i="24"/>
  <c r="AF237" i="22" s="1"/>
  <c r="S186" i="24"/>
  <c r="AF188" i="22" s="1"/>
  <c r="S399" i="24"/>
  <c r="AF401" i="22" s="1"/>
  <c r="S356" i="24"/>
  <c r="AF358" i="22" s="1"/>
  <c r="S313" i="24"/>
  <c r="AF315" i="22" s="1"/>
  <c r="S273" i="24"/>
  <c r="AF275" i="22" s="1"/>
  <c r="S193" i="24"/>
  <c r="AF195" i="22" s="1"/>
  <c r="S183" i="24"/>
  <c r="AF185" i="22" s="1"/>
  <c r="S433" i="24"/>
  <c r="AF435" i="22" s="1"/>
  <c r="S231" i="24"/>
  <c r="AF233" i="22" s="1"/>
  <c r="S173" i="24"/>
  <c r="AF175" i="22" s="1"/>
  <c r="S378" i="24"/>
  <c r="AF380" i="22" s="1"/>
  <c r="S338" i="24"/>
  <c r="AF340" i="22" s="1"/>
  <c r="S290" i="24"/>
  <c r="AF292" i="22" s="1"/>
  <c r="S218" i="24"/>
  <c r="AF220" i="22" s="1"/>
  <c r="S216" i="24"/>
  <c r="AF218" i="22" s="1"/>
  <c r="S204" i="24"/>
  <c r="AF206" i="22" s="1"/>
  <c r="S190" i="24"/>
  <c r="AF192" i="22" s="1"/>
  <c r="S170" i="24"/>
  <c r="AF172" i="22" s="1"/>
  <c r="S163" i="24"/>
  <c r="AF165" i="22" s="1"/>
  <c r="S140" i="24"/>
  <c r="AF142" i="22" s="1"/>
  <c r="S123" i="24"/>
  <c r="AF125" i="22" s="1"/>
  <c r="S90" i="24"/>
  <c r="AF92" i="22" s="1"/>
  <c r="S363" i="24"/>
  <c r="AF365" i="22" s="1"/>
  <c r="S327" i="24"/>
  <c r="AF329" i="22" s="1"/>
  <c r="S308" i="24"/>
  <c r="AF310" i="22" s="1"/>
  <c r="S259" i="24"/>
  <c r="AF261" i="22" s="1"/>
  <c r="S241" i="24"/>
  <c r="AF243" i="22" s="1"/>
  <c r="S237" i="24"/>
  <c r="AF239" i="22" s="1"/>
  <c r="S233" i="24"/>
  <c r="AF235" i="22" s="1"/>
  <c r="S209" i="24"/>
  <c r="AF211" i="22" s="1"/>
  <c r="S196" i="24"/>
  <c r="AF198" i="22" s="1"/>
  <c r="S160" i="24"/>
  <c r="AF162" i="22" s="1"/>
  <c r="S143" i="24"/>
  <c r="AF145" i="22" s="1"/>
  <c r="S70" i="24"/>
  <c r="AF72" i="22" s="1"/>
  <c r="S63" i="24"/>
  <c r="AF65" i="22" s="1"/>
  <c r="S371" i="24"/>
  <c r="AF373" i="22" s="1"/>
  <c r="S286" i="24"/>
  <c r="AF288" i="22" s="1"/>
  <c r="S229" i="24"/>
  <c r="AF231" i="22" s="1"/>
  <c r="S207" i="24"/>
  <c r="AF209" i="22" s="1"/>
  <c r="S199" i="24"/>
  <c r="AF201" i="22" s="1"/>
  <c r="S154" i="24"/>
  <c r="AF156" i="22" s="1"/>
  <c r="S137" i="24"/>
  <c r="AF139" i="22" s="1"/>
  <c r="S98" i="24"/>
  <c r="AF100" i="22" s="1"/>
  <c r="S86" i="24"/>
  <c r="AF88" i="22" s="1"/>
  <c r="S146" i="24"/>
  <c r="AF148" i="22" s="1"/>
  <c r="S105" i="24"/>
  <c r="AF107" i="22" s="1"/>
  <c r="S95" i="24"/>
  <c r="AF97" i="22" s="1"/>
  <c r="S74" i="24"/>
  <c r="AF76" i="22" s="1"/>
  <c r="S355" i="24"/>
  <c r="AF357" i="22" s="1"/>
  <c r="S227" i="24"/>
  <c r="AF229" i="22" s="1"/>
  <c r="S155" i="24"/>
  <c r="AF157" i="22" s="1"/>
  <c r="S115" i="24"/>
  <c r="AF117" i="22" s="1"/>
  <c r="S113" i="24"/>
  <c r="AF115" i="22" s="1"/>
  <c r="S83" i="24"/>
  <c r="AF85" i="22" s="1"/>
  <c r="S72" i="24"/>
  <c r="AF74" i="22" s="1"/>
  <c r="S278" i="24"/>
  <c r="AF280" i="22" s="1"/>
  <c r="S266" i="24"/>
  <c r="AF268" i="22" s="1"/>
  <c r="S159" i="24"/>
  <c r="AF161" i="22" s="1"/>
  <c r="S144" i="24"/>
  <c r="AF146" i="22" s="1"/>
  <c r="S132" i="24"/>
  <c r="AF134" i="22" s="1"/>
  <c r="S124" i="24"/>
  <c r="AF126" i="22" s="1"/>
  <c r="S261" i="24"/>
  <c r="AF263" i="22" s="1"/>
  <c r="S256" i="24"/>
  <c r="AF258" i="22" s="1"/>
  <c r="S240" i="24"/>
  <c r="AF242" i="22" s="1"/>
  <c r="S203" i="24"/>
  <c r="AF205" i="22" s="1"/>
  <c r="S200" i="24"/>
  <c r="AF202" i="22" s="1"/>
  <c r="S195" i="24"/>
  <c r="AF197" i="22" s="1"/>
  <c r="S126" i="24"/>
  <c r="AF128" i="22" s="1"/>
  <c r="S109" i="24"/>
  <c r="AF111" i="22" s="1"/>
  <c r="S368" i="24"/>
  <c r="AF370" i="22" s="1"/>
  <c r="S303" i="24"/>
  <c r="AF305" i="22" s="1"/>
  <c r="S295" i="24"/>
  <c r="AF297" i="22" s="1"/>
  <c r="S284" i="24"/>
  <c r="AF286" i="22" s="1"/>
  <c r="S252" i="24"/>
  <c r="AF254" i="22" s="1"/>
  <c r="S244" i="24"/>
  <c r="AF246" i="22" s="1"/>
  <c r="S185" i="24"/>
  <c r="AF187" i="22" s="1"/>
  <c r="S248" i="24"/>
  <c r="AF250" i="22" s="1"/>
  <c r="S192" i="24"/>
  <c r="AF194" i="22" s="1"/>
  <c r="S148" i="24"/>
  <c r="AF150" i="22" s="1"/>
  <c r="S120" i="24"/>
  <c r="AF122" i="22" s="1"/>
  <c r="S111" i="24"/>
  <c r="AF113" i="22" s="1"/>
  <c r="S81" i="24"/>
  <c r="AF83" i="22" s="1"/>
  <c r="S68" i="24"/>
  <c r="AF70" i="22" s="1"/>
  <c r="S367" i="24"/>
  <c r="AF369" i="22" s="1"/>
  <c r="S271" i="24"/>
  <c r="AF273" i="22" s="1"/>
  <c r="S103" i="24"/>
  <c r="AF105" i="22" s="1"/>
  <c r="S99" i="24"/>
  <c r="AF101" i="22" s="1"/>
  <c r="S88" i="24"/>
  <c r="AF90" i="22" s="1"/>
  <c r="S255" i="24"/>
  <c r="AF257" i="22" s="1"/>
  <c r="S205" i="24"/>
  <c r="AF207" i="22" s="1"/>
  <c r="S202" i="24"/>
  <c r="AF204" i="22" s="1"/>
  <c r="S101" i="24"/>
  <c r="AF103" i="22" s="1"/>
  <c r="S79" i="24"/>
  <c r="AF81" i="22" s="1"/>
  <c r="S409" i="24"/>
  <c r="AF411" i="22" s="1"/>
  <c r="S236" i="24"/>
  <c r="AF238" i="22" s="1"/>
  <c r="S208" i="24"/>
  <c r="AF210" i="22" s="1"/>
  <c r="S194" i="24"/>
  <c r="AF196" i="22" s="1"/>
  <c r="S177" i="24"/>
  <c r="AF179" i="22" s="1"/>
  <c r="S175" i="24"/>
  <c r="AF177" i="22" s="1"/>
  <c r="S66" i="24"/>
  <c r="AF68" i="22" s="1"/>
  <c r="S341" i="24"/>
  <c r="AF343" i="22" s="1"/>
  <c r="S223" i="24"/>
  <c r="AF225" i="22" s="1"/>
  <c r="S182" i="24"/>
  <c r="AF184" i="22" s="1"/>
  <c r="S116" i="24"/>
  <c r="AF118" i="22" s="1"/>
  <c r="S77" i="24"/>
  <c r="AF79" i="22" s="1"/>
  <c r="S75" i="24"/>
  <c r="AF77" i="22" s="1"/>
  <c r="S64" i="24"/>
  <c r="AF66" i="22" s="1"/>
  <c r="S184" i="24"/>
  <c r="AF186" i="22" s="1"/>
  <c r="S168" i="24"/>
  <c r="AF170" i="22" s="1"/>
  <c r="S118" i="24"/>
  <c r="AF120" i="22" s="1"/>
  <c r="S162" i="24"/>
  <c r="AF164" i="22" s="1"/>
  <c r="S135" i="24"/>
  <c r="AF137" i="22" s="1"/>
  <c r="S93" i="24"/>
  <c r="AF95" i="22" s="1"/>
  <c r="S65" i="24"/>
  <c r="AF67" i="22" s="1"/>
  <c r="S263" i="24"/>
  <c r="AF265" i="22" s="1"/>
  <c r="S131" i="24"/>
  <c r="AF133" i="22" s="1"/>
  <c r="S121" i="24"/>
  <c r="AF123" i="22" s="1"/>
  <c r="S114" i="24"/>
  <c r="AF116" i="22" s="1"/>
  <c r="S210" i="24"/>
  <c r="AF212" i="22" s="1"/>
  <c r="S100" i="24"/>
  <c r="AF102" i="22" s="1"/>
  <c r="S80" i="24"/>
  <c r="AF82" i="22" s="1"/>
  <c r="S181" i="24"/>
  <c r="AF183" i="22" s="1"/>
  <c r="S73" i="24"/>
  <c r="AF75" i="22" s="1"/>
  <c r="S67" i="24"/>
  <c r="AF69" i="22" s="1"/>
  <c r="S232" i="24"/>
  <c r="AF234" i="22" s="1"/>
  <c r="S221" i="24"/>
  <c r="AF223" i="22" s="1"/>
  <c r="S127" i="24"/>
  <c r="AF129" i="22" s="1"/>
  <c r="S96" i="24"/>
  <c r="AF98" i="22" s="1"/>
  <c r="S292" i="24"/>
  <c r="AF294" i="22" s="1"/>
  <c r="S226" i="24"/>
  <c r="AF228" i="22" s="1"/>
  <c r="S366" i="24"/>
  <c r="AF368" i="22" s="1"/>
  <c r="S306" i="24"/>
  <c r="AF308" i="22" s="1"/>
  <c r="S269" i="24"/>
  <c r="AF271" i="22" s="1"/>
  <c r="S253" i="24"/>
  <c r="AF255" i="22" s="1"/>
  <c r="S172" i="24"/>
  <c r="AF174" i="22" s="1"/>
  <c r="S142" i="24"/>
  <c r="AF144" i="22" s="1"/>
  <c r="S110" i="24"/>
  <c r="AF112" i="22" s="1"/>
  <c r="S82" i="24"/>
  <c r="AF84" i="22" s="1"/>
  <c r="S164" i="24"/>
  <c r="AF166" i="22" s="1"/>
  <c r="S138" i="24"/>
  <c r="AF140" i="22" s="1"/>
  <c r="S161" i="24"/>
  <c r="AF163" i="22" s="1"/>
  <c r="S149" i="24"/>
  <c r="AF151" i="22" s="1"/>
  <c r="S106" i="24"/>
  <c r="AF108" i="22" s="1"/>
  <c r="S85" i="24"/>
  <c r="AF87" i="22" s="1"/>
  <c r="S156" i="24"/>
  <c r="AF158" i="22" s="1"/>
  <c r="S102" i="24"/>
  <c r="AF104" i="22" s="1"/>
  <c r="S84" i="24"/>
  <c r="AF86" i="22" s="1"/>
  <c r="S78" i="24"/>
  <c r="AF80" i="22" s="1"/>
  <c r="S485" i="24"/>
  <c r="AF487" i="22" s="1"/>
  <c r="S212" i="24"/>
  <c r="AF214" i="22" s="1"/>
  <c r="S134" i="24"/>
  <c r="AF136" i="22" s="1"/>
  <c r="S71" i="24"/>
  <c r="AF73" i="22" s="1"/>
  <c r="S133" i="24"/>
  <c r="AF135" i="22" s="1"/>
  <c r="S87" i="24"/>
  <c r="AF89" i="22" s="1"/>
  <c r="S166" i="24"/>
  <c r="AF168" i="22" s="1"/>
  <c r="S92" i="24"/>
  <c r="AF94" i="22" s="1"/>
  <c r="S91" i="24"/>
  <c r="AF93" i="22" s="1"/>
  <c r="S335" i="24"/>
  <c r="AF337" i="22" s="1"/>
  <c r="S179" i="24"/>
  <c r="AF181" i="22" s="1"/>
  <c r="S249" i="24"/>
  <c r="AF251" i="22" s="1"/>
  <c r="S174" i="24"/>
  <c r="AF176" i="22" s="1"/>
  <c r="S125" i="24"/>
  <c r="AF127" i="22" s="1"/>
  <c r="S112" i="24"/>
  <c r="AF114" i="22" s="1"/>
  <c r="S147" i="24"/>
  <c r="AF149" i="22" s="1"/>
  <c r="S76" i="24"/>
  <c r="AF78" i="22" s="1"/>
  <c r="S171" i="24"/>
  <c r="AF173" i="22" s="1"/>
  <c r="S62" i="24"/>
  <c r="AF64" i="22" s="1"/>
  <c r="S264" i="24"/>
  <c r="AF266" i="22" s="1"/>
  <c r="S188" i="24"/>
  <c r="AF190" i="22" s="1"/>
  <c r="S119" i="24"/>
  <c r="AF121" i="22" s="1"/>
  <c r="S348" i="24"/>
  <c r="AF350" i="22" s="1"/>
  <c r="S157" i="24"/>
  <c r="AF159" i="22" s="1"/>
  <c r="S94" i="24"/>
  <c r="AF96" i="22" s="1"/>
  <c r="S153" i="24"/>
  <c r="AF155" i="22" s="1"/>
  <c r="AV19" i="22"/>
  <c r="Q24" i="24"/>
  <c r="Q57" i="22"/>
  <c r="Q74" i="24"/>
  <c r="S76" i="22"/>
  <c r="Q76" i="22"/>
  <c r="U105" i="24"/>
  <c r="T105" i="24"/>
  <c r="S152" i="22"/>
  <c r="BI153" i="22"/>
  <c r="BI174" i="22"/>
  <c r="F184" i="24"/>
  <c r="E184" i="24"/>
  <c r="S186" i="22"/>
  <c r="T186" i="22" s="1"/>
  <c r="E197" i="24"/>
  <c r="F197" i="24"/>
  <c r="Q199" i="22"/>
  <c r="T205" i="22"/>
  <c r="S212" i="22"/>
  <c r="E235" i="24"/>
  <c r="F235" i="24"/>
  <c r="S237" i="22"/>
  <c r="Q237" i="22"/>
  <c r="Q293" i="24"/>
  <c r="AN15" i="18"/>
  <c r="AN20" i="18" s="1"/>
  <c r="AX23" i="18"/>
  <c r="E43" i="19"/>
  <c r="U4" i="24"/>
  <c r="T4" i="24"/>
  <c r="S12" i="22"/>
  <c r="T24" i="24"/>
  <c r="U24" i="24"/>
  <c r="Q28" i="24"/>
  <c r="Q30" i="22"/>
  <c r="S57" i="22"/>
  <c r="Q58" i="24"/>
  <c r="S60" i="22"/>
  <c r="Q60" i="22"/>
  <c r="Q89" i="24"/>
  <c r="S91" i="22"/>
  <c r="Q91" i="22"/>
  <c r="Q107" i="22"/>
  <c r="Q107" i="24"/>
  <c r="S109" i="22"/>
  <c r="Q109" i="22"/>
  <c r="BI141" i="22"/>
  <c r="S162" i="22"/>
  <c r="Q184" i="24"/>
  <c r="Q197" i="24"/>
  <c r="F250" i="24"/>
  <c r="E250" i="24"/>
  <c r="S252" i="22"/>
  <c r="Q252" i="22"/>
  <c r="U293" i="24"/>
  <c r="T293" i="24"/>
  <c r="E74" i="16"/>
  <c r="AJ15" i="18"/>
  <c r="F43" i="19"/>
  <c r="Q26" i="22"/>
  <c r="U28" i="24"/>
  <c r="T28" i="24"/>
  <c r="Q69" i="24"/>
  <c r="U107" i="24"/>
  <c r="T107" i="24"/>
  <c r="Q116" i="24"/>
  <c r="S118" i="22"/>
  <c r="Q118" i="22"/>
  <c r="Q152" i="24"/>
  <c r="Q154" i="22"/>
  <c r="U184" i="24"/>
  <c r="T184" i="24"/>
  <c r="U225" i="24"/>
  <c r="T225" i="24"/>
  <c r="U235" i="24"/>
  <c r="T235" i="24"/>
  <c r="F74" i="16"/>
  <c r="AP24" i="18"/>
  <c r="AP25" i="18"/>
  <c r="AK15" i="18"/>
  <c r="C58" i="18"/>
  <c r="C8" i="18" s="1"/>
  <c r="C6" i="19"/>
  <c r="U9" i="24"/>
  <c r="T9" i="24"/>
  <c r="Q35" i="24"/>
  <c r="U69" i="24"/>
  <c r="T69" i="24"/>
  <c r="Q97" i="24"/>
  <c r="U133" i="24"/>
  <c r="T133" i="24"/>
  <c r="T135" i="24"/>
  <c r="U135" i="24"/>
  <c r="S137" i="22"/>
  <c r="Q137" i="22"/>
  <c r="Q149" i="24"/>
  <c r="Q151" i="22"/>
  <c r="F163" i="24"/>
  <c r="E163" i="24"/>
  <c r="Q165" i="22"/>
  <c r="S165" i="22"/>
  <c r="Q186" i="22"/>
  <c r="Q227" i="22"/>
  <c r="U310" i="24"/>
  <c r="T310" i="24"/>
  <c r="AQ18" i="18"/>
  <c r="AL15" i="18"/>
  <c r="AL20" i="18" s="1"/>
  <c r="D19" i="16"/>
  <c r="AM16" i="16" s="1"/>
  <c r="AT20" i="18"/>
  <c r="C26" i="18"/>
  <c r="C5" i="18" s="1"/>
  <c r="D58" i="18"/>
  <c r="D8" i="18" s="1"/>
  <c r="D49" i="16"/>
  <c r="D62" i="18"/>
  <c r="Q11" i="22"/>
  <c r="U35" i="24"/>
  <c r="T35" i="24"/>
  <c r="Q71" i="22"/>
  <c r="U97" i="24"/>
  <c r="T97" i="24"/>
  <c r="Q135" i="22"/>
  <c r="Q163" i="24"/>
  <c r="F165" i="24"/>
  <c r="E165" i="24"/>
  <c r="S167" i="22"/>
  <c r="BI178" i="22"/>
  <c r="E193" i="24"/>
  <c r="F193" i="24"/>
  <c r="S195" i="22"/>
  <c r="T195" i="22" s="1"/>
  <c r="Q195" i="22"/>
  <c r="U266" i="24"/>
  <c r="T266" i="24"/>
  <c r="Q282" i="24"/>
  <c r="Q284" i="22"/>
  <c r="F438" i="24"/>
  <c r="E438" i="24"/>
  <c r="S440" i="22"/>
  <c r="Q440" i="22"/>
  <c r="B106" i="16"/>
  <c r="D72" i="16"/>
  <c r="AR18" i="18"/>
  <c r="AM15" i="18"/>
  <c r="AU20" i="18"/>
  <c r="D72" i="18"/>
  <c r="D26" i="18"/>
  <c r="E58" i="18"/>
  <c r="E8" i="18" s="1"/>
  <c r="E62" i="18"/>
  <c r="B43" i="19"/>
  <c r="S11" i="22"/>
  <c r="U19" i="24"/>
  <c r="T19" i="24"/>
  <c r="Q37" i="22"/>
  <c r="Q45" i="24"/>
  <c r="S47" i="22"/>
  <c r="Q47" i="22"/>
  <c r="Q67" i="24"/>
  <c r="S69" i="22"/>
  <c r="Q69" i="22"/>
  <c r="S71" i="22"/>
  <c r="Q99" i="22"/>
  <c r="S154" i="22"/>
  <c r="Q165" i="24"/>
  <c r="BI184" i="22"/>
  <c r="F223" i="24"/>
  <c r="E223" i="24"/>
  <c r="Q225" i="22"/>
  <c r="S225" i="22"/>
  <c r="E274" i="24"/>
  <c r="F274" i="24"/>
  <c r="S312" i="22"/>
  <c r="E302" i="24"/>
  <c r="F302" i="24"/>
  <c r="Q304" i="22"/>
  <c r="S304" i="22"/>
  <c r="Q333" i="24"/>
  <c r="Q335" i="22"/>
  <c r="U15" i="24"/>
  <c r="T15" i="24"/>
  <c r="T20" i="24"/>
  <c r="U20" i="24"/>
  <c r="T25" i="24"/>
  <c r="U25" i="24"/>
  <c r="U30" i="24"/>
  <c r="T30" i="24"/>
  <c r="T36" i="24"/>
  <c r="U36" i="24"/>
  <c r="U58" i="24"/>
  <c r="T58" i="24"/>
  <c r="U74" i="24"/>
  <c r="T74" i="24"/>
  <c r="Q88" i="24"/>
  <c r="U89" i="24"/>
  <c r="T89" i="24"/>
  <c r="Q140" i="24"/>
  <c r="U200" i="24"/>
  <c r="T200" i="24"/>
  <c r="T259" i="22"/>
  <c r="Q265" i="24"/>
  <c r="F328" i="24"/>
  <c r="E328" i="24"/>
  <c r="S330" i="22"/>
  <c r="Q330" i="22"/>
  <c r="Q47" i="24"/>
  <c r="U88" i="24"/>
  <c r="T88" i="24"/>
  <c r="Q115" i="24"/>
  <c r="S117" i="22"/>
  <c r="Q139" i="24"/>
  <c r="S141" i="22"/>
  <c r="U140" i="24"/>
  <c r="T140" i="24"/>
  <c r="E182" i="24"/>
  <c r="F182" i="24"/>
  <c r="Q202" i="24"/>
  <c r="U265" i="24"/>
  <c r="T265" i="24"/>
  <c r="T295" i="22"/>
  <c r="U6" i="24"/>
  <c r="T6" i="24"/>
  <c r="U11" i="24"/>
  <c r="T11" i="24"/>
  <c r="S13" i="22"/>
  <c r="U47" i="24"/>
  <c r="T47" i="24"/>
  <c r="Q63" i="24"/>
  <c r="Q64" i="24"/>
  <c r="Q90" i="22"/>
  <c r="U115" i="24"/>
  <c r="T115" i="24"/>
  <c r="U139" i="24"/>
  <c r="T139" i="24"/>
  <c r="Q142" i="22"/>
  <c r="Q141" i="24"/>
  <c r="Q182" i="24"/>
  <c r="T202" i="22"/>
  <c r="U218" i="24"/>
  <c r="T218" i="24"/>
  <c r="S220" i="22"/>
  <c r="F220" i="24"/>
  <c r="E220" i="24"/>
  <c r="S222" i="22"/>
  <c r="Q222" i="22"/>
  <c r="T267" i="22"/>
  <c r="T289" i="22"/>
  <c r="Q335" i="24"/>
  <c r="G63" i="19"/>
  <c r="Q21" i="24"/>
  <c r="Q26" i="24"/>
  <c r="Q28" i="22"/>
  <c r="Q38" i="24"/>
  <c r="Q49" i="22"/>
  <c r="Q60" i="24"/>
  <c r="T63" i="24"/>
  <c r="U63" i="24"/>
  <c r="U64" i="24"/>
  <c r="T64" i="24"/>
  <c r="S90" i="22"/>
  <c r="T95" i="24"/>
  <c r="U95" i="24"/>
  <c r="Q111" i="24"/>
  <c r="Q117" i="22"/>
  <c r="Q141" i="22"/>
  <c r="T141" i="24"/>
  <c r="U141" i="24"/>
  <c r="BI144" i="22"/>
  <c r="BI145" i="22"/>
  <c r="U182" i="24"/>
  <c r="T182" i="24"/>
  <c r="BI191" i="22"/>
  <c r="Q251" i="24"/>
  <c r="S267" i="22"/>
  <c r="T275" i="24"/>
  <c r="U275" i="24"/>
  <c r="Q277" i="22"/>
  <c r="T335" i="24"/>
  <c r="U335" i="24"/>
  <c r="U21" i="24"/>
  <c r="T21" i="24"/>
  <c r="U38" i="24"/>
  <c r="T38" i="24"/>
  <c r="S49" i="22"/>
  <c r="Q65" i="22"/>
  <c r="Q66" i="22"/>
  <c r="Q80" i="24"/>
  <c r="U111" i="24"/>
  <c r="T111" i="24"/>
  <c r="Q120" i="24"/>
  <c r="S142" i="22"/>
  <c r="Q143" i="22"/>
  <c r="E169" i="24"/>
  <c r="F169" i="24"/>
  <c r="F176" i="24"/>
  <c r="E176" i="24"/>
  <c r="S178" i="22"/>
  <c r="T178" i="22" s="1"/>
  <c r="O25" i="27" s="1"/>
  <c r="O46" i="23" s="1"/>
  <c r="Q178" i="22"/>
  <c r="Q184" i="22"/>
  <c r="T215" i="22"/>
  <c r="U251" i="24"/>
  <c r="T251" i="24"/>
  <c r="Q309" i="24"/>
  <c r="Q337" i="22"/>
  <c r="T421" i="24"/>
  <c r="U421" i="24"/>
  <c r="Q423" i="22"/>
  <c r="U426" i="24"/>
  <c r="T426" i="24"/>
  <c r="AQ23" i="18"/>
  <c r="U16" i="24"/>
  <c r="T16" i="24"/>
  <c r="Q23" i="22"/>
  <c r="S28" i="22"/>
  <c r="Q40" i="22"/>
  <c r="Q49" i="24"/>
  <c r="Q62" i="22"/>
  <c r="Q61" i="24"/>
  <c r="S65" i="22"/>
  <c r="S66" i="22"/>
  <c r="U80" i="24"/>
  <c r="T80" i="24"/>
  <c r="Q94" i="24"/>
  <c r="Q113" i="22"/>
  <c r="U120" i="24"/>
  <c r="T120" i="24"/>
  <c r="Q123" i="24"/>
  <c r="S125" i="22"/>
  <c r="Q147" i="24"/>
  <c r="Q149" i="22"/>
  <c r="S149" i="22"/>
  <c r="U155" i="24"/>
  <c r="T155" i="24"/>
  <c r="S157" i="22"/>
  <c r="E168" i="24"/>
  <c r="F168" i="24"/>
  <c r="S170" i="22"/>
  <c r="Q169" i="24"/>
  <c r="Q174" i="24"/>
  <c r="T181" i="22"/>
  <c r="E180" i="24"/>
  <c r="F180" i="24"/>
  <c r="S182" i="22"/>
  <c r="T182" i="22" s="1"/>
  <c r="O13" i="27" s="1"/>
  <c r="BI197" i="22"/>
  <c r="F199" i="24"/>
  <c r="E199" i="24"/>
  <c r="Q201" i="22"/>
  <c r="Q253" i="22"/>
  <c r="E277" i="24"/>
  <c r="F277" i="24"/>
  <c r="Q279" i="22"/>
  <c r="S279" i="22"/>
  <c r="T281" i="24"/>
  <c r="U281" i="24"/>
  <c r="S283" i="22"/>
  <c r="T309" i="24"/>
  <c r="U309" i="24"/>
  <c r="T337" i="22"/>
  <c r="T423" i="22"/>
  <c r="AP22" i="18"/>
  <c r="S23" i="22"/>
  <c r="U31" i="24"/>
  <c r="T31" i="24"/>
  <c r="S40" i="22"/>
  <c r="Q39" i="24"/>
  <c r="S41" i="22"/>
  <c r="Q41" i="22"/>
  <c r="S62" i="22"/>
  <c r="U61" i="24"/>
  <c r="T61" i="24"/>
  <c r="U73" i="24"/>
  <c r="T73" i="24"/>
  <c r="Q82" i="22"/>
  <c r="U94" i="24"/>
  <c r="T94" i="24"/>
  <c r="S113" i="22"/>
  <c r="Q114" i="24"/>
  <c r="Q122" i="22"/>
  <c r="U123" i="24"/>
  <c r="T123" i="24"/>
  <c r="BI138" i="22"/>
  <c r="S143" i="22"/>
  <c r="U147" i="24"/>
  <c r="T147" i="24"/>
  <c r="Q148" i="24"/>
  <c r="Q156" i="24"/>
  <c r="S158" i="22"/>
  <c r="BI161" i="22"/>
  <c r="T169" i="24"/>
  <c r="U169" i="24"/>
  <c r="U174" i="24"/>
  <c r="T174" i="24"/>
  <c r="Q180" i="24"/>
  <c r="S184" i="22"/>
  <c r="T184" i="22" s="1"/>
  <c r="BI193" i="22"/>
  <c r="BI195" i="22"/>
  <c r="BI199" i="22"/>
  <c r="U244" i="24"/>
  <c r="T244" i="24"/>
  <c r="E249" i="24"/>
  <c r="F249" i="24"/>
  <c r="S251" i="22"/>
  <c r="Q251" i="22"/>
  <c r="Q277" i="24"/>
  <c r="S337" i="22"/>
  <c r="S423" i="22"/>
  <c r="AQ22" i="18"/>
  <c r="U12" i="24"/>
  <c r="T12" i="24"/>
  <c r="AV17" i="22"/>
  <c r="Q27" i="24"/>
  <c r="U39" i="24"/>
  <c r="T39" i="24"/>
  <c r="Q50" i="24"/>
  <c r="U62" i="24"/>
  <c r="T62" i="24"/>
  <c r="Q72" i="24"/>
  <c r="S82" i="22"/>
  <c r="Q100" i="24"/>
  <c r="S102" i="22"/>
  <c r="Q102" i="22"/>
  <c r="Q110" i="24"/>
  <c r="U114" i="24"/>
  <c r="T114" i="24"/>
  <c r="S122" i="22"/>
  <c r="Q134" i="24"/>
  <c r="S136" i="22"/>
  <c r="U148" i="24"/>
  <c r="T148" i="24"/>
  <c r="BI151" i="22"/>
  <c r="U156" i="24"/>
  <c r="T156" i="24"/>
  <c r="Q171" i="22"/>
  <c r="T180" i="24"/>
  <c r="U180" i="24"/>
  <c r="T226" i="22"/>
  <c r="Q242" i="24"/>
  <c r="S244" i="22"/>
  <c r="Q244" i="22"/>
  <c r="S311" i="22"/>
  <c r="T311" i="22" s="1"/>
  <c r="F315" i="24"/>
  <c r="E315" i="24"/>
  <c r="S317" i="22"/>
  <c r="Q360" i="24"/>
  <c r="Q362" i="22"/>
  <c r="Q22" i="24"/>
  <c r="U27" i="24"/>
  <c r="T27" i="24"/>
  <c r="Q32" i="24"/>
  <c r="U40" i="24"/>
  <c r="T40" i="24"/>
  <c r="Q52" i="24"/>
  <c r="U72" i="24"/>
  <c r="T72" i="24"/>
  <c r="Q86" i="24"/>
  <c r="Q99" i="24"/>
  <c r="U100" i="24"/>
  <c r="T100" i="24"/>
  <c r="U110" i="24"/>
  <c r="T110" i="24"/>
  <c r="U134" i="24"/>
  <c r="T134" i="24"/>
  <c r="Q150" i="22"/>
  <c r="F172" i="24"/>
  <c r="E172" i="24"/>
  <c r="Q182" i="22"/>
  <c r="T201" i="22"/>
  <c r="E201" i="24"/>
  <c r="F201" i="24"/>
  <c r="Q203" i="22"/>
  <c r="F210" i="24"/>
  <c r="E210" i="24"/>
  <c r="T224" i="22"/>
  <c r="Q260" i="24"/>
  <c r="U269" i="24"/>
  <c r="T269" i="24"/>
  <c r="Q304" i="24"/>
  <c r="Q306" i="22"/>
  <c r="U17" i="24"/>
  <c r="T17" i="24"/>
  <c r="U22" i="24"/>
  <c r="T22" i="24"/>
  <c r="U32" i="24"/>
  <c r="T32" i="24"/>
  <c r="Q85" i="24"/>
  <c r="U86" i="24"/>
  <c r="T86" i="24"/>
  <c r="U99" i="24"/>
  <c r="T99" i="24"/>
  <c r="Q125" i="24"/>
  <c r="S127" i="22"/>
  <c r="Q127" i="22"/>
  <c r="E160" i="24"/>
  <c r="F160" i="24"/>
  <c r="S171" i="22"/>
  <c r="V171" i="22" s="1"/>
  <c r="Q172" i="24"/>
  <c r="Q201" i="24"/>
  <c r="Q210" i="24"/>
  <c r="F217" i="24"/>
  <c r="E217" i="24"/>
  <c r="Q219" i="22"/>
  <c r="S219" i="22"/>
  <c r="T239" i="24"/>
  <c r="U239" i="24"/>
  <c r="E258" i="24"/>
  <c r="F258" i="24"/>
  <c r="Q260" i="22"/>
  <c r="S260" i="22"/>
  <c r="U260" i="24"/>
  <c r="T260" i="24"/>
  <c r="T325" i="22"/>
  <c r="U405" i="24"/>
  <c r="T405" i="24"/>
  <c r="S407" i="22"/>
  <c r="T407" i="22" s="1"/>
  <c r="S232" i="22"/>
  <c r="R232" i="22"/>
  <c r="T232" i="22" s="1"/>
  <c r="Q20" i="24"/>
  <c r="Q31" i="24"/>
  <c r="Q42" i="24"/>
  <c r="Q59" i="24"/>
  <c r="Q70" i="24"/>
  <c r="Q81" i="24"/>
  <c r="Q92" i="24"/>
  <c r="Q103" i="24"/>
  <c r="U125" i="24"/>
  <c r="T125" i="24"/>
  <c r="U136" i="24"/>
  <c r="T136" i="24"/>
  <c r="BI142" i="22"/>
  <c r="Q146" i="24"/>
  <c r="F167" i="24"/>
  <c r="E167" i="24"/>
  <c r="U197" i="24"/>
  <c r="T197" i="24"/>
  <c r="U234" i="24"/>
  <c r="T234" i="24"/>
  <c r="T242" i="24"/>
  <c r="U242" i="24"/>
  <c r="Q249" i="24"/>
  <c r="U257" i="24"/>
  <c r="T257" i="24"/>
  <c r="T266" i="22"/>
  <c r="T301" i="22"/>
  <c r="T42" i="24"/>
  <c r="U42" i="24"/>
  <c r="U59" i="24"/>
  <c r="T59" i="24"/>
  <c r="T70" i="24"/>
  <c r="U70" i="24"/>
  <c r="U81" i="24"/>
  <c r="T81" i="24"/>
  <c r="U92" i="24"/>
  <c r="T92" i="24"/>
  <c r="U103" i="24"/>
  <c r="T103" i="24"/>
  <c r="Q145" i="24"/>
  <c r="Q147" i="22"/>
  <c r="U146" i="24"/>
  <c r="T146" i="24"/>
  <c r="Q167" i="24"/>
  <c r="F190" i="24"/>
  <c r="E190" i="24"/>
  <c r="S192" i="22"/>
  <c r="T192" i="22" s="1"/>
  <c r="Q192" i="22"/>
  <c r="F194" i="24"/>
  <c r="E194" i="24"/>
  <c r="F248" i="24"/>
  <c r="E248" i="24"/>
  <c r="Q250" i="22"/>
  <c r="T249" i="24"/>
  <c r="U249" i="24"/>
  <c r="Q308" i="24"/>
  <c r="S310" i="22"/>
  <c r="Q310" i="22"/>
  <c r="Q479" i="24"/>
  <c r="Q62" i="24"/>
  <c r="Q73" i="24"/>
  <c r="Q84" i="24"/>
  <c r="Q95" i="24"/>
  <c r="Q106" i="24"/>
  <c r="Q117" i="24"/>
  <c r="Q126" i="24"/>
  <c r="Q127" i="24"/>
  <c r="U145" i="24"/>
  <c r="T145" i="24"/>
  <c r="Q148" i="22"/>
  <c r="E158" i="24"/>
  <c r="F158" i="24"/>
  <c r="F162" i="24"/>
  <c r="E162" i="24"/>
  <c r="U167" i="24"/>
  <c r="T167" i="24"/>
  <c r="BI177" i="22"/>
  <c r="F177" i="24"/>
  <c r="E177" i="24"/>
  <c r="U188" i="24"/>
  <c r="T188" i="24"/>
  <c r="S190" i="22"/>
  <c r="T190" i="22" s="1"/>
  <c r="Q190" i="24"/>
  <c r="BI192" i="22"/>
  <c r="F192" i="24"/>
  <c r="E192" i="24"/>
  <c r="BI194" i="22"/>
  <c r="Q194" i="24"/>
  <c r="T236" i="22"/>
  <c r="Q248" i="24"/>
  <c r="Q288" i="24"/>
  <c r="S290" i="22"/>
  <c r="T290" i="22" s="1"/>
  <c r="Q290" i="22"/>
  <c r="T349" i="22"/>
  <c r="T459" i="22"/>
  <c r="T489" i="22"/>
  <c r="U106" i="24"/>
  <c r="T106" i="24"/>
  <c r="Q112" i="24"/>
  <c r="U117" i="24"/>
  <c r="T117" i="24"/>
  <c r="U126" i="24"/>
  <c r="T126" i="24"/>
  <c r="Q158" i="24"/>
  <c r="Q162" i="24"/>
  <c r="BI173" i="22"/>
  <c r="F175" i="24"/>
  <c r="E175" i="24"/>
  <c r="S177" i="22"/>
  <c r="T177" i="22" s="1"/>
  <c r="O24" i="27" s="1"/>
  <c r="O45" i="23" s="1"/>
  <c r="Q177" i="24"/>
  <c r="BI179" i="22"/>
  <c r="F179" i="24"/>
  <c r="E179" i="24"/>
  <c r="S181" i="22"/>
  <c r="Q192" i="24"/>
  <c r="U194" i="24"/>
  <c r="T194" i="24"/>
  <c r="Q233" i="24"/>
  <c r="Q263" i="24"/>
  <c r="U288" i="24"/>
  <c r="T288" i="24"/>
  <c r="E322" i="24"/>
  <c r="F322" i="24"/>
  <c r="E375" i="24"/>
  <c r="F375" i="24"/>
  <c r="S377" i="22"/>
  <c r="Q377" i="22"/>
  <c r="Q382" i="24"/>
  <c r="Q384" i="22"/>
  <c r="E386" i="24"/>
  <c r="F386" i="24"/>
  <c r="S388" i="22"/>
  <c r="Q388" i="22"/>
  <c r="Q37" i="24"/>
  <c r="Q48" i="24"/>
  <c r="Q51" i="24"/>
  <c r="Q54" i="24"/>
  <c r="Q64" i="22"/>
  <c r="Q65" i="24"/>
  <c r="Q75" i="22"/>
  <c r="Q76" i="24"/>
  <c r="Q86" i="22"/>
  <c r="Q87" i="24"/>
  <c r="Q97" i="22"/>
  <c r="Q98" i="24"/>
  <c r="Q108" i="22"/>
  <c r="Q109" i="24"/>
  <c r="U112" i="24"/>
  <c r="T112" i="24"/>
  <c r="Q119" i="22"/>
  <c r="Q128" i="22"/>
  <c r="Q129" i="22"/>
  <c r="Q128" i="24"/>
  <c r="S147" i="22"/>
  <c r="S148" i="22"/>
  <c r="T158" i="24"/>
  <c r="U158" i="24"/>
  <c r="U162" i="24"/>
  <c r="T162" i="24"/>
  <c r="U173" i="24"/>
  <c r="T173" i="24"/>
  <c r="BI175" i="22"/>
  <c r="Q175" i="24"/>
  <c r="U177" i="24"/>
  <c r="T177" i="24"/>
  <c r="Q179" i="24"/>
  <c r="U192" i="24"/>
  <c r="T192" i="24"/>
  <c r="Q196" i="22"/>
  <c r="T263" i="24"/>
  <c r="U263" i="24"/>
  <c r="T294" i="22"/>
  <c r="E305" i="24"/>
  <c r="F305" i="24"/>
  <c r="S307" i="22"/>
  <c r="Q307" i="22"/>
  <c r="T318" i="22"/>
  <c r="U320" i="24"/>
  <c r="T320" i="24"/>
  <c r="Q386" i="24"/>
  <c r="U7" i="24"/>
  <c r="T7" i="24"/>
  <c r="U26" i="24"/>
  <c r="T26" i="24"/>
  <c r="U37" i="24"/>
  <c r="T37" i="24"/>
  <c r="U48" i="24"/>
  <c r="T48" i="24"/>
  <c r="Q53" i="22"/>
  <c r="U54" i="24"/>
  <c r="T54" i="24"/>
  <c r="S64" i="22"/>
  <c r="T65" i="24"/>
  <c r="U65" i="24"/>
  <c r="S75" i="22"/>
  <c r="U76" i="24"/>
  <c r="T76" i="24"/>
  <c r="S86" i="22"/>
  <c r="U87" i="24"/>
  <c r="T87" i="24"/>
  <c r="S97" i="22"/>
  <c r="U98" i="24"/>
  <c r="T98" i="24"/>
  <c r="S108" i="22"/>
  <c r="U109" i="24"/>
  <c r="T109" i="24"/>
  <c r="Q114" i="22"/>
  <c r="S119" i="22"/>
  <c r="S128" i="22"/>
  <c r="S129" i="22"/>
  <c r="U128" i="24"/>
  <c r="T128" i="24"/>
  <c r="Q144" i="24"/>
  <c r="S146" i="22"/>
  <c r="Q146" i="22"/>
  <c r="Q160" i="22"/>
  <c r="Q164" i="22"/>
  <c r="Q166" i="24"/>
  <c r="S169" i="22"/>
  <c r="U175" i="24"/>
  <c r="T175" i="24"/>
  <c r="Q179" i="22"/>
  <c r="U179" i="24"/>
  <c r="T179" i="24"/>
  <c r="Q194" i="22"/>
  <c r="U241" i="24"/>
  <c r="T241" i="24"/>
  <c r="S250" i="22"/>
  <c r="Q265" i="22"/>
  <c r="F294" i="24"/>
  <c r="E294" i="24"/>
  <c r="S296" i="22"/>
  <c r="Q305" i="24"/>
  <c r="F314" i="24"/>
  <c r="E314" i="24"/>
  <c r="Q316" i="22"/>
  <c r="S316" i="22"/>
  <c r="U375" i="24"/>
  <c r="T375" i="24"/>
  <c r="Q423" i="24"/>
  <c r="S425" i="22"/>
  <c r="Q29" i="24"/>
  <c r="Q39" i="22"/>
  <c r="Q40" i="24"/>
  <c r="Q50" i="22"/>
  <c r="S53" i="22"/>
  <c r="Q56" i="22"/>
  <c r="Q57" i="24"/>
  <c r="Q67" i="22"/>
  <c r="Q68" i="24"/>
  <c r="Q78" i="22"/>
  <c r="Q79" i="24"/>
  <c r="Q89" i="22"/>
  <c r="Q90" i="24"/>
  <c r="Q100" i="22"/>
  <c r="Q101" i="24"/>
  <c r="Q111" i="22"/>
  <c r="S114" i="22"/>
  <c r="Q118" i="24"/>
  <c r="S120" i="22"/>
  <c r="Q120" i="22"/>
  <c r="Q119" i="24"/>
  <c r="Q130" i="22"/>
  <c r="Q130" i="24"/>
  <c r="S132" i="22"/>
  <c r="Q143" i="24"/>
  <c r="T144" i="24"/>
  <c r="U144" i="24"/>
  <c r="BI149" i="22"/>
  <c r="Q153" i="24"/>
  <c r="BI160" i="22"/>
  <c r="Q177" i="22"/>
  <c r="Q181" i="22"/>
  <c r="S196" i="22"/>
  <c r="T196" i="22" s="1"/>
  <c r="P15" i="27" s="1"/>
  <c r="U196" i="24"/>
  <c r="T196" i="24"/>
  <c r="Q232" i="24"/>
  <c r="F271" i="24"/>
  <c r="E271" i="24"/>
  <c r="S273" i="22"/>
  <c r="Q273" i="22"/>
  <c r="Q294" i="24"/>
  <c r="Q324" i="22"/>
  <c r="T413" i="22"/>
  <c r="T423" i="24"/>
  <c r="U423" i="24"/>
  <c r="U79" i="24"/>
  <c r="T79" i="24"/>
  <c r="U90" i="24"/>
  <c r="T90" i="24"/>
  <c r="U101" i="24"/>
  <c r="T101" i="24"/>
  <c r="U118" i="24"/>
  <c r="T118" i="24"/>
  <c r="U119" i="24"/>
  <c r="T119" i="24"/>
  <c r="Q129" i="24"/>
  <c r="S131" i="22"/>
  <c r="Q131" i="22"/>
  <c r="T130" i="24"/>
  <c r="U130" i="24"/>
  <c r="T143" i="24"/>
  <c r="U143" i="24"/>
  <c r="U153" i="24"/>
  <c r="T153" i="24"/>
  <c r="S160" i="22"/>
  <c r="S164" i="22"/>
  <c r="S194" i="22"/>
  <c r="T194" i="22" s="1"/>
  <c r="F198" i="24"/>
  <c r="E198" i="24"/>
  <c r="S200" i="22"/>
  <c r="T200" i="22" s="1"/>
  <c r="Q200" i="22"/>
  <c r="T232" i="24"/>
  <c r="U232" i="24"/>
  <c r="F240" i="24"/>
  <c r="E240" i="24"/>
  <c r="S242" i="22"/>
  <c r="F246" i="24"/>
  <c r="E246" i="24"/>
  <c r="S248" i="22"/>
  <c r="Q254" i="24"/>
  <c r="Q271" i="24"/>
  <c r="F279" i="24"/>
  <c r="E279" i="24"/>
  <c r="S281" i="22"/>
  <c r="Q281" i="22"/>
  <c r="U314" i="24"/>
  <c r="T314" i="24"/>
  <c r="F390" i="24"/>
  <c r="E390" i="24"/>
  <c r="S392" i="22"/>
  <c r="Q392" i="22"/>
  <c r="T473" i="22"/>
  <c r="Q71" i="24"/>
  <c r="Q81" i="22"/>
  <c r="Q82" i="24"/>
  <c r="Q92" i="22"/>
  <c r="Q93" i="24"/>
  <c r="Q103" i="22"/>
  <c r="Q104" i="24"/>
  <c r="Q121" i="22"/>
  <c r="U129" i="24"/>
  <c r="T129" i="24"/>
  <c r="Q132" i="22"/>
  <c r="Q131" i="24"/>
  <c r="Q145" i="22"/>
  <c r="Q155" i="22"/>
  <c r="BI164" i="22"/>
  <c r="Q234" i="22"/>
  <c r="Q246" i="24"/>
  <c r="U254" i="24"/>
  <c r="T254" i="24"/>
  <c r="T257" i="22"/>
  <c r="T264" i="22"/>
  <c r="Q296" i="22"/>
  <c r="Q298" i="24"/>
  <c r="Q300" i="22"/>
  <c r="S300" i="22"/>
  <c r="S324" i="22"/>
  <c r="T324" i="22" s="1"/>
  <c r="F327" i="24"/>
  <c r="E327" i="24"/>
  <c r="S329" i="22"/>
  <c r="Q329" i="22"/>
  <c r="T421" i="22"/>
  <c r="U60" i="24"/>
  <c r="T60" i="24"/>
  <c r="U71" i="24"/>
  <c r="T71" i="24"/>
  <c r="S81" i="22"/>
  <c r="U82" i="24"/>
  <c r="T82" i="24"/>
  <c r="S92" i="22"/>
  <c r="U93" i="24"/>
  <c r="T93" i="24"/>
  <c r="S103" i="22"/>
  <c r="U104" i="24"/>
  <c r="T104" i="24"/>
  <c r="S121" i="22"/>
  <c r="U131" i="24"/>
  <c r="T131" i="24"/>
  <c r="U142" i="24"/>
  <c r="T142" i="24"/>
  <c r="BI172" i="22"/>
  <c r="F185" i="24"/>
  <c r="E185" i="24"/>
  <c r="S187" i="22"/>
  <c r="T187" i="22" s="1"/>
  <c r="P6" i="27" s="1"/>
  <c r="Q187" i="22"/>
  <c r="F230" i="24"/>
  <c r="E230" i="24"/>
  <c r="Q239" i="24"/>
  <c r="E245" i="24"/>
  <c r="F245" i="24"/>
  <c r="Q247" i="22"/>
  <c r="Q256" i="22"/>
  <c r="Q266" i="24"/>
  <c r="U279" i="24"/>
  <c r="T279" i="24"/>
  <c r="F283" i="24"/>
  <c r="E283" i="24"/>
  <c r="Q285" i="22"/>
  <c r="S285" i="22"/>
  <c r="Q287" i="24"/>
  <c r="T296" i="22"/>
  <c r="Q121" i="24"/>
  <c r="Q132" i="24"/>
  <c r="U149" i="24"/>
  <c r="T149" i="24"/>
  <c r="Q154" i="24"/>
  <c r="F161" i="24"/>
  <c r="E161" i="24"/>
  <c r="T163" i="24"/>
  <c r="U163" i="24"/>
  <c r="F170" i="24"/>
  <c r="E170" i="24"/>
  <c r="F178" i="24"/>
  <c r="E178" i="24"/>
  <c r="U185" i="24"/>
  <c r="T185" i="24"/>
  <c r="U190" i="24"/>
  <c r="T190" i="24"/>
  <c r="F195" i="24"/>
  <c r="E195" i="24"/>
  <c r="S197" i="22"/>
  <c r="T197" i="22" s="1"/>
  <c r="Q199" i="24"/>
  <c r="F209" i="24"/>
  <c r="E209" i="24"/>
  <c r="S211" i="22"/>
  <c r="Q216" i="24"/>
  <c r="Q218" i="22"/>
  <c r="Q258" i="24"/>
  <c r="E267" i="24"/>
  <c r="F267" i="24"/>
  <c r="Q269" i="22"/>
  <c r="U271" i="24"/>
  <c r="T271" i="24"/>
  <c r="U283" i="24"/>
  <c r="T283" i="24"/>
  <c r="U308" i="24"/>
  <c r="T308" i="24"/>
  <c r="Q327" i="24"/>
  <c r="E400" i="24"/>
  <c r="F400" i="24"/>
  <c r="S402" i="22"/>
  <c r="F434" i="24"/>
  <c r="E434" i="24"/>
  <c r="S436" i="22"/>
  <c r="Q436" i="22"/>
  <c r="T464" i="22"/>
  <c r="U121" i="24"/>
  <c r="T121" i="24"/>
  <c r="T132" i="24"/>
  <c r="U132" i="24"/>
  <c r="Q137" i="24"/>
  <c r="U154" i="24"/>
  <c r="T154" i="24"/>
  <c r="Q161" i="24"/>
  <c r="Q170" i="24"/>
  <c r="Q178" i="24"/>
  <c r="Q195" i="24"/>
  <c r="U199" i="24"/>
  <c r="T199" i="24"/>
  <c r="U216" i="24"/>
  <c r="T216" i="24"/>
  <c r="F228" i="24"/>
  <c r="E228" i="24"/>
  <c r="T251" i="22"/>
  <c r="E255" i="24"/>
  <c r="F255" i="24"/>
  <c r="Q257" i="22"/>
  <c r="T258" i="24"/>
  <c r="U258" i="24"/>
  <c r="F261" i="24"/>
  <c r="E261" i="24"/>
  <c r="Q263" i="22"/>
  <c r="Q267" i="24"/>
  <c r="T285" i="22"/>
  <c r="Q317" i="24"/>
  <c r="U327" i="24"/>
  <c r="T327" i="24"/>
  <c r="U348" i="24"/>
  <c r="T348" i="24"/>
  <c r="S183" i="22"/>
  <c r="T183" i="22" s="1"/>
  <c r="O14" i="27" s="1"/>
  <c r="Q113" i="24"/>
  <c r="Q123" i="22"/>
  <c r="Q124" i="24"/>
  <c r="Q134" i="22"/>
  <c r="U137" i="24"/>
  <c r="T137" i="24"/>
  <c r="Q142" i="24"/>
  <c r="Q156" i="22"/>
  <c r="F159" i="24"/>
  <c r="E159" i="24"/>
  <c r="U161" i="24"/>
  <c r="T161" i="24"/>
  <c r="U170" i="24"/>
  <c r="T170" i="24"/>
  <c r="F173" i="24"/>
  <c r="E173" i="24"/>
  <c r="Q175" i="22"/>
  <c r="T178" i="24"/>
  <c r="U178" i="24"/>
  <c r="F183" i="24"/>
  <c r="E183" i="24"/>
  <c r="S185" i="22"/>
  <c r="T185" i="22" s="1"/>
  <c r="F188" i="24"/>
  <c r="E188" i="24"/>
  <c r="U195" i="24"/>
  <c r="T195" i="24"/>
  <c r="T209" i="24"/>
  <c r="U209" i="24"/>
  <c r="F218" i="24"/>
  <c r="E218" i="24"/>
  <c r="Q228" i="24"/>
  <c r="Q238" i="24"/>
  <c r="Q240" i="22"/>
  <c r="F241" i="24"/>
  <c r="E241" i="24"/>
  <c r="S243" i="22"/>
  <c r="Q255" i="24"/>
  <c r="Q261" i="24"/>
  <c r="T273" i="22"/>
  <c r="E289" i="24"/>
  <c r="F289" i="24"/>
  <c r="Q291" i="22"/>
  <c r="S291" i="22"/>
  <c r="F290" i="24"/>
  <c r="E290" i="24"/>
  <c r="S292" i="22"/>
  <c r="Q292" i="22"/>
  <c r="T301" i="24"/>
  <c r="U301" i="24"/>
  <c r="F307" i="24"/>
  <c r="E307" i="24"/>
  <c r="S309" i="22"/>
  <c r="U313" i="24"/>
  <c r="T313" i="24"/>
  <c r="U336" i="24"/>
  <c r="T336" i="24"/>
  <c r="Q350" i="22"/>
  <c r="U359" i="24"/>
  <c r="T359" i="24"/>
  <c r="T418" i="22"/>
  <c r="AD23" i="23"/>
  <c r="Q173" i="24"/>
  <c r="Q183" i="24"/>
  <c r="Q188" i="24"/>
  <c r="F202" i="24"/>
  <c r="E202" i="24"/>
  <c r="S204" i="22"/>
  <c r="F233" i="24"/>
  <c r="E233" i="24"/>
  <c r="Q235" i="22"/>
  <c r="U238" i="24"/>
  <c r="T238" i="24"/>
  <c r="Q241" i="24"/>
  <c r="Q244" i="24"/>
  <c r="T261" i="24"/>
  <c r="U261" i="24"/>
  <c r="T269" i="22"/>
  <c r="E272" i="24"/>
  <c r="F272" i="24"/>
  <c r="S274" i="22"/>
  <c r="Q289" i="24"/>
  <c r="Q290" i="24"/>
  <c r="E300" i="24"/>
  <c r="F300" i="24"/>
  <c r="S302" i="22"/>
  <c r="F312" i="24"/>
  <c r="E312" i="24"/>
  <c r="S314" i="22"/>
  <c r="Q314" i="22"/>
  <c r="E321" i="24"/>
  <c r="F321" i="24"/>
  <c r="S323" i="22"/>
  <c r="Q323" i="22"/>
  <c r="T263" i="22"/>
  <c r="Q264" i="24"/>
  <c r="F268" i="24"/>
  <c r="E268" i="24"/>
  <c r="S270" i="22"/>
  <c r="Q272" i="24"/>
  <c r="Q276" i="24"/>
  <c r="U280" i="24"/>
  <c r="T280" i="24"/>
  <c r="E284" i="24"/>
  <c r="F284" i="24"/>
  <c r="Q300" i="24"/>
  <c r="Q407" i="24"/>
  <c r="Q409" i="22"/>
  <c r="S115" i="22"/>
  <c r="U116" i="24"/>
  <c r="T116" i="24"/>
  <c r="U127" i="24"/>
  <c r="T127" i="24"/>
  <c r="Q135" i="24"/>
  <c r="S139" i="22"/>
  <c r="T152" i="24"/>
  <c r="U152" i="24"/>
  <c r="Q157" i="24"/>
  <c r="Q161" i="22"/>
  <c r="S163" i="22"/>
  <c r="Q168" i="24"/>
  <c r="S172" i="22"/>
  <c r="Q176" i="24"/>
  <c r="S180" i="22"/>
  <c r="T180" i="22" s="1"/>
  <c r="O27" i="27" s="1"/>
  <c r="O48" i="23" s="1"/>
  <c r="Q185" i="22"/>
  <c r="Q190" i="22"/>
  <c r="Q193" i="24"/>
  <c r="Q198" i="24"/>
  <c r="Q211" i="24"/>
  <c r="F213" i="24"/>
  <c r="E213" i="24"/>
  <c r="Q220" i="22"/>
  <c r="Q220" i="24"/>
  <c r="F236" i="24"/>
  <c r="E236" i="24"/>
  <c r="S240" i="22"/>
  <c r="Q243" i="22"/>
  <c r="Q246" i="22"/>
  <c r="Q250" i="24"/>
  <c r="S257" i="22"/>
  <c r="S263" i="22"/>
  <c r="U264" i="24"/>
  <c r="T264" i="24"/>
  <c r="U276" i="24"/>
  <c r="T276" i="24"/>
  <c r="Q282" i="22"/>
  <c r="T292" i="22"/>
  <c r="U300" i="24"/>
  <c r="T300" i="24"/>
  <c r="S303" i="22"/>
  <c r="Q309" i="22"/>
  <c r="U321" i="24"/>
  <c r="T321" i="24"/>
  <c r="E344" i="24"/>
  <c r="F344" i="24"/>
  <c r="S346" i="22"/>
  <c r="U407" i="24"/>
  <c r="T407" i="24"/>
  <c r="U157" i="24"/>
  <c r="T157" i="24"/>
  <c r="F166" i="24"/>
  <c r="E166" i="24"/>
  <c r="U168" i="24"/>
  <c r="T168" i="24"/>
  <c r="S175" i="22"/>
  <c r="U176" i="24"/>
  <c r="T176" i="24"/>
  <c r="F181" i="24"/>
  <c r="E181" i="24"/>
  <c r="F186" i="24"/>
  <c r="E186" i="24"/>
  <c r="U193" i="24"/>
  <c r="T193" i="24"/>
  <c r="U198" i="24"/>
  <c r="T198" i="24"/>
  <c r="Q204" i="22"/>
  <c r="E204" i="24"/>
  <c r="F204" i="24"/>
  <c r="Q206" i="22"/>
  <c r="F206" i="24"/>
  <c r="E206" i="24"/>
  <c r="Q213" i="24"/>
  <c r="U220" i="24"/>
  <c r="T220" i="24"/>
  <c r="Q222" i="24"/>
  <c r="F224" i="24"/>
  <c r="E224" i="24"/>
  <c r="S226" i="22"/>
  <c r="E231" i="24"/>
  <c r="F231" i="24"/>
  <c r="S233" i="22"/>
  <c r="U247" i="24"/>
  <c r="T247" i="24"/>
  <c r="E253" i="24"/>
  <c r="F253" i="24"/>
  <c r="S255" i="22"/>
  <c r="Q255" i="22"/>
  <c r="Q266" i="22"/>
  <c r="Q274" i="22"/>
  <c r="F273" i="24"/>
  <c r="E273" i="24"/>
  <c r="S275" i="22"/>
  <c r="Q278" i="22"/>
  <c r="Q302" i="22"/>
  <c r="T314" i="22"/>
  <c r="E329" i="24"/>
  <c r="F329" i="24"/>
  <c r="S331" i="22"/>
  <c r="Q331" i="22"/>
  <c r="Q344" i="24"/>
  <c r="Q355" i="24"/>
  <c r="Q357" i="22"/>
  <c r="S357" i="22"/>
  <c r="T397" i="22"/>
  <c r="E404" i="24"/>
  <c r="F404" i="24"/>
  <c r="Q406" i="22"/>
  <c r="S406" i="22"/>
  <c r="U474" i="24"/>
  <c r="T474" i="24"/>
  <c r="S476" i="22"/>
  <c r="Q181" i="24"/>
  <c r="Q186" i="24"/>
  <c r="T204" i="22"/>
  <c r="Q204" i="24"/>
  <c r="Q206" i="24"/>
  <c r="U213" i="24"/>
  <c r="T213" i="24"/>
  <c r="T222" i="24"/>
  <c r="U222" i="24"/>
  <c r="Q224" i="24"/>
  <c r="F226" i="24"/>
  <c r="E226" i="24"/>
  <c r="Q228" i="22"/>
  <c r="S235" i="22"/>
  <c r="U236" i="24"/>
  <c r="T236" i="24"/>
  <c r="S246" i="22"/>
  <c r="F256" i="24"/>
  <c r="E256" i="24"/>
  <c r="S258" i="22"/>
  <c r="Q270" i="22"/>
  <c r="Q273" i="24"/>
  <c r="Q286" i="22"/>
  <c r="F285" i="24"/>
  <c r="E285" i="24"/>
  <c r="S287" i="22"/>
  <c r="Q316" i="24"/>
  <c r="Q338" i="24"/>
  <c r="S340" i="22"/>
  <c r="Q340" i="22"/>
  <c r="T355" i="24"/>
  <c r="U355" i="24"/>
  <c r="Q404" i="24"/>
  <c r="F411" i="24"/>
  <c r="E411" i="24"/>
  <c r="Q413" i="22"/>
  <c r="F164" i="24"/>
  <c r="E164" i="24"/>
  <c r="U166" i="24"/>
  <c r="T166" i="24"/>
  <c r="E171" i="24"/>
  <c r="F171" i="24"/>
  <c r="U181" i="24"/>
  <c r="T181" i="24"/>
  <c r="U186" i="24"/>
  <c r="T186" i="24"/>
  <c r="E191" i="24"/>
  <c r="F191" i="24"/>
  <c r="S193" i="22"/>
  <c r="T193" i="22" s="1"/>
  <c r="P28" i="27" s="1"/>
  <c r="O61" i="23" s="1"/>
  <c r="F196" i="24"/>
  <c r="E196" i="24"/>
  <c r="U204" i="24"/>
  <c r="T204" i="24"/>
  <c r="T206" i="24"/>
  <c r="U206" i="24"/>
  <c r="F208" i="24"/>
  <c r="E208" i="24"/>
  <c r="Q215" i="22"/>
  <c r="Q224" i="22"/>
  <c r="Q226" i="24"/>
  <c r="U231" i="24"/>
  <c r="T231" i="24"/>
  <c r="Q238" i="22"/>
  <c r="U253" i="24"/>
  <c r="T253" i="24"/>
  <c r="Q256" i="24"/>
  <c r="S266" i="22"/>
  <c r="T270" i="22"/>
  <c r="S278" i="22"/>
  <c r="T286" i="22"/>
  <c r="Q285" i="24"/>
  <c r="U291" i="24"/>
  <c r="T291" i="24"/>
  <c r="F292" i="24"/>
  <c r="E292" i="24"/>
  <c r="Q294" i="22"/>
  <c r="Q323" i="24"/>
  <c r="Q325" i="22"/>
  <c r="Q346" i="22"/>
  <c r="E418" i="24"/>
  <c r="F418" i="24"/>
  <c r="S420" i="22"/>
  <c r="Q420" i="22"/>
  <c r="U122" i="24"/>
  <c r="T122" i="24"/>
  <c r="Q133" i="24"/>
  <c r="U150" i="24"/>
  <c r="T150" i="24"/>
  <c r="Q155" i="24"/>
  <c r="S159" i="22"/>
  <c r="Q164" i="24"/>
  <c r="Q168" i="22"/>
  <c r="E174" i="24"/>
  <c r="F174" i="24"/>
  <c r="Q183" i="22"/>
  <c r="Q188" i="22"/>
  <c r="Q191" i="24"/>
  <c r="Q196" i="24"/>
  <c r="Q208" i="22"/>
  <c r="T215" i="24"/>
  <c r="U215" i="24"/>
  <c r="Q226" i="22"/>
  <c r="T226" i="24"/>
  <c r="U226" i="24"/>
  <c r="F229" i="24"/>
  <c r="E229" i="24"/>
  <c r="S231" i="22"/>
  <c r="Q233" i="22"/>
  <c r="F239" i="24"/>
  <c r="E239" i="24"/>
  <c r="Q241" i="22"/>
  <c r="U256" i="24"/>
  <c r="T256" i="24"/>
  <c r="U259" i="24"/>
  <c r="T259" i="24"/>
  <c r="F262" i="24"/>
  <c r="E262" i="24"/>
  <c r="Q275" i="22"/>
  <c r="S286" i="22"/>
  <c r="U323" i="24"/>
  <c r="T323" i="24"/>
  <c r="T346" i="22"/>
  <c r="Q418" i="24"/>
  <c r="F301" i="24"/>
  <c r="E301" i="24"/>
  <c r="F309" i="24"/>
  <c r="E309" i="24"/>
  <c r="Q311" i="22"/>
  <c r="Q321" i="24"/>
  <c r="U322" i="24"/>
  <c r="T322" i="24"/>
  <c r="E333" i="24"/>
  <c r="F333" i="24"/>
  <c r="S335" i="22"/>
  <c r="F339" i="24"/>
  <c r="E339" i="24"/>
  <c r="S341" i="22"/>
  <c r="Q341" i="22"/>
  <c r="T344" i="24"/>
  <c r="U344" i="24"/>
  <c r="T347" i="24"/>
  <c r="U347" i="24"/>
  <c r="U351" i="24"/>
  <c r="T351" i="24"/>
  <c r="U361" i="24"/>
  <c r="T361" i="24"/>
  <c r="F506" i="24"/>
  <c r="E506" i="24"/>
  <c r="Q508" i="22"/>
  <c r="S508" i="22"/>
  <c r="Q310" i="24"/>
  <c r="Q314" i="24"/>
  <c r="E326" i="24"/>
  <c r="F326" i="24"/>
  <c r="S328" i="22"/>
  <c r="T330" i="22"/>
  <c r="Q329" i="24"/>
  <c r="U330" i="24"/>
  <c r="T330" i="24"/>
  <c r="T350" i="24"/>
  <c r="U350" i="24"/>
  <c r="Q414" i="24"/>
  <c r="Q432" i="24"/>
  <c r="Q434" i="22"/>
  <c r="T459" i="24"/>
  <c r="U459" i="24"/>
  <c r="F479" i="24"/>
  <c r="E479" i="24"/>
  <c r="S179" i="22"/>
  <c r="T179" i="22" s="1"/>
  <c r="O26" i="27" s="1"/>
  <c r="O47" i="23" s="1"/>
  <c r="S441" i="22"/>
  <c r="R441" i="22"/>
  <c r="Q312" i="22"/>
  <c r="Q315" i="24"/>
  <c r="U325" i="24"/>
  <c r="T325" i="24"/>
  <c r="U326" i="24"/>
  <c r="T326" i="24"/>
  <c r="T332" i="22"/>
  <c r="U360" i="24"/>
  <c r="T360" i="24"/>
  <c r="F385" i="24"/>
  <c r="E385" i="24"/>
  <c r="Q387" i="22"/>
  <c r="U412" i="24"/>
  <c r="T412" i="24"/>
  <c r="S414" i="22"/>
  <c r="Q416" i="22"/>
  <c r="U479" i="24"/>
  <c r="T479" i="24"/>
  <c r="S321" i="22"/>
  <c r="R321" i="22"/>
  <c r="F287" i="24"/>
  <c r="E287" i="24"/>
  <c r="Q289" i="22"/>
  <c r="E295" i="24"/>
  <c r="F295" i="24"/>
  <c r="S297" i="22"/>
  <c r="E306" i="24"/>
  <c r="F306" i="24"/>
  <c r="S308" i="22"/>
  <c r="T308" i="22" s="1"/>
  <c r="T315" i="24"/>
  <c r="U315" i="24"/>
  <c r="F316" i="24"/>
  <c r="E316" i="24"/>
  <c r="F317" i="24"/>
  <c r="E317" i="24"/>
  <c r="S319" i="22"/>
  <c r="Q328" i="22"/>
  <c r="S352" i="22"/>
  <c r="Q417" i="24"/>
  <c r="S419" i="22"/>
  <c r="T419" i="22" s="1"/>
  <c r="Q419" i="22"/>
  <c r="Q481" i="22"/>
  <c r="S199" i="22"/>
  <c r="T199" i="22" s="1"/>
  <c r="Q22" i="27" s="1"/>
  <c r="O67" i="23" s="1"/>
  <c r="T328" i="22"/>
  <c r="T340" i="22"/>
  <c r="U417" i="24"/>
  <c r="T417" i="24"/>
  <c r="T481" i="22"/>
  <c r="F265" i="24"/>
  <c r="E265" i="24"/>
  <c r="Q267" i="22"/>
  <c r="F275" i="24"/>
  <c r="E275" i="24"/>
  <c r="S277" i="22"/>
  <c r="E280" i="24"/>
  <c r="F280" i="24"/>
  <c r="U282" i="24"/>
  <c r="T282" i="24"/>
  <c r="U287" i="24"/>
  <c r="T287" i="24"/>
  <c r="Q292" i="24"/>
  <c r="U295" i="24"/>
  <c r="T295" i="24"/>
  <c r="U298" i="24"/>
  <c r="T298" i="24"/>
  <c r="E311" i="24"/>
  <c r="F311" i="24"/>
  <c r="Q313" i="22"/>
  <c r="T317" i="22"/>
  <c r="U317" i="24"/>
  <c r="T317" i="24"/>
  <c r="F376" i="24"/>
  <c r="E376" i="24"/>
  <c r="S378" i="22"/>
  <c r="Q378" i="22"/>
  <c r="Q383" i="24"/>
  <c r="Q385" i="22"/>
  <c r="S481" i="22"/>
  <c r="F270" i="24"/>
  <c r="E270" i="24"/>
  <c r="Q272" i="22"/>
  <c r="Q280" i="24"/>
  <c r="U292" i="24"/>
  <c r="T292" i="24"/>
  <c r="Q297" i="22"/>
  <c r="Q308" i="22"/>
  <c r="Q318" i="22"/>
  <c r="Q319" i="22"/>
  <c r="E362" i="24"/>
  <c r="F362" i="24"/>
  <c r="Q376" i="24"/>
  <c r="S387" i="22"/>
  <c r="T399" i="22"/>
  <c r="U303" i="24"/>
  <c r="T303" i="24"/>
  <c r="F345" i="24"/>
  <c r="E345" i="24"/>
  <c r="S347" i="22"/>
  <c r="Q347" i="22"/>
  <c r="Q362" i="24"/>
  <c r="Q381" i="24"/>
  <c r="Q383" i="22"/>
  <c r="U410" i="24"/>
  <c r="T410" i="24"/>
  <c r="Q412" i="22"/>
  <c r="S412" i="22"/>
  <c r="F425" i="24"/>
  <c r="E425" i="24"/>
  <c r="S427" i="22"/>
  <c r="Q427" i="22"/>
  <c r="F457" i="24"/>
  <c r="E457" i="24"/>
  <c r="S459" i="22"/>
  <c r="Q345" i="24"/>
  <c r="T362" i="24"/>
  <c r="U362" i="24"/>
  <c r="F391" i="24"/>
  <c r="E391" i="24"/>
  <c r="S393" i="22"/>
  <c r="Q393" i="22"/>
  <c r="T444" i="22"/>
  <c r="F445" i="24"/>
  <c r="E445" i="24"/>
  <c r="S447" i="22"/>
  <c r="Q447" i="22"/>
  <c r="U448" i="24"/>
  <c r="T448" i="24"/>
  <c r="Q457" i="24"/>
  <c r="E299" i="24"/>
  <c r="F299" i="24"/>
  <c r="Q301" i="22"/>
  <c r="Q307" i="24"/>
  <c r="F336" i="24"/>
  <c r="E336" i="24"/>
  <c r="Q338" i="22"/>
  <c r="S338" i="22"/>
  <c r="Q364" i="22"/>
  <c r="Q391" i="24"/>
  <c r="Q450" i="22"/>
  <c r="U457" i="24"/>
  <c r="T457" i="24"/>
  <c r="Q236" i="24"/>
  <c r="U248" i="24"/>
  <c r="T248" i="24"/>
  <c r="E251" i="24"/>
  <c r="F251" i="24"/>
  <c r="S253" i="22"/>
  <c r="E263" i="24"/>
  <c r="F263" i="24"/>
  <c r="S265" i="22"/>
  <c r="Q268" i="24"/>
  <c r="S272" i="22"/>
  <c r="U273" i="24"/>
  <c r="T273" i="24"/>
  <c r="S282" i="22"/>
  <c r="U285" i="24"/>
  <c r="T285" i="24"/>
  <c r="Q299" i="24"/>
  <c r="S305" i="22"/>
  <c r="U307" i="24"/>
  <c r="T307" i="24"/>
  <c r="Q336" i="24"/>
  <c r="F359" i="24"/>
  <c r="E359" i="24"/>
  <c r="S361" i="22"/>
  <c r="Q361" i="22"/>
  <c r="T364" i="22"/>
  <c r="E374" i="24"/>
  <c r="F374" i="24"/>
  <c r="S376" i="22"/>
  <c r="Q376" i="22"/>
  <c r="Q459" i="22"/>
  <c r="T228" i="24"/>
  <c r="U228" i="24"/>
  <c r="Q235" i="24"/>
  <c r="F242" i="24"/>
  <c r="E242" i="24"/>
  <c r="T250" i="24"/>
  <c r="U250" i="24"/>
  <c r="Q257" i="24"/>
  <c r="F264" i="24"/>
  <c r="E264" i="24"/>
  <c r="U272" i="24"/>
  <c r="T272" i="24"/>
  <c r="Q279" i="24"/>
  <c r="F286" i="24"/>
  <c r="E286" i="24"/>
  <c r="T294" i="24"/>
  <c r="U294" i="24"/>
  <c r="Q301" i="24"/>
  <c r="F308" i="24"/>
  <c r="E308" i="24"/>
  <c r="U316" i="24"/>
  <c r="T316" i="24"/>
  <c r="Q322" i="24"/>
  <c r="F338" i="24"/>
  <c r="E338" i="24"/>
  <c r="F341" i="24"/>
  <c r="E341" i="24"/>
  <c r="Q351" i="24"/>
  <c r="Q384" i="24"/>
  <c r="Q386" i="22"/>
  <c r="U392" i="24"/>
  <c r="T392" i="24"/>
  <c r="Q394" i="22"/>
  <c r="E396" i="24"/>
  <c r="F396" i="24"/>
  <c r="E407" i="24"/>
  <c r="F407" i="24"/>
  <c r="S409" i="22"/>
  <c r="U414" i="24"/>
  <c r="T414" i="24"/>
  <c r="Q438" i="24"/>
  <c r="F440" i="24"/>
  <c r="E440" i="24"/>
  <c r="S442" i="22"/>
  <c r="T442" i="22" s="1"/>
  <c r="U487" i="24"/>
  <c r="T487" i="24"/>
  <c r="Q506" i="24"/>
  <c r="F203" i="24"/>
  <c r="E203" i="24"/>
  <c r="U211" i="24"/>
  <c r="T211" i="24"/>
  <c r="Q218" i="24"/>
  <c r="F225" i="24"/>
  <c r="E225" i="24"/>
  <c r="U233" i="24"/>
  <c r="T233" i="24"/>
  <c r="Q240" i="24"/>
  <c r="F247" i="24"/>
  <c r="E247" i="24"/>
  <c r="U255" i="24"/>
  <c r="T255" i="24"/>
  <c r="Q262" i="24"/>
  <c r="E269" i="24"/>
  <c r="F269" i="24"/>
  <c r="U277" i="24"/>
  <c r="T277" i="24"/>
  <c r="Q284" i="24"/>
  <c r="E291" i="24"/>
  <c r="F291" i="24"/>
  <c r="U299" i="24"/>
  <c r="T299" i="24"/>
  <c r="Q306" i="24"/>
  <c r="E313" i="24"/>
  <c r="F313" i="24"/>
  <c r="F332" i="24"/>
  <c r="E332" i="24"/>
  <c r="F334" i="24"/>
  <c r="E334" i="24"/>
  <c r="Q339" i="24"/>
  <c r="F342" i="24"/>
  <c r="E342" i="24"/>
  <c r="S344" i="22"/>
  <c r="U345" i="24"/>
  <c r="T345" i="24"/>
  <c r="Q352" i="24"/>
  <c r="Q425" i="24"/>
  <c r="Q225" i="24"/>
  <c r="F232" i="24"/>
  <c r="E232" i="24"/>
  <c r="U240" i="24"/>
  <c r="T240" i="24"/>
  <c r="Q247" i="24"/>
  <c r="F254" i="24"/>
  <c r="E254" i="24"/>
  <c r="T262" i="24"/>
  <c r="U262" i="24"/>
  <c r="Q269" i="24"/>
  <c r="E276" i="24"/>
  <c r="F276" i="24"/>
  <c r="T284" i="24"/>
  <c r="U284" i="24"/>
  <c r="Q291" i="24"/>
  <c r="F298" i="24"/>
  <c r="E298" i="24"/>
  <c r="U306" i="24"/>
  <c r="T306" i="24"/>
  <c r="Q313" i="24"/>
  <c r="F320" i="24"/>
  <c r="E320" i="24"/>
  <c r="F325" i="24"/>
  <c r="E325" i="24"/>
  <c r="Q332" i="24"/>
  <c r="Q334" i="24"/>
  <c r="T339" i="24"/>
  <c r="U339" i="24"/>
  <c r="Q342" i="24"/>
  <c r="U352" i="24"/>
  <c r="T352" i="24"/>
  <c r="F364" i="24"/>
  <c r="E364" i="24"/>
  <c r="S366" i="22"/>
  <c r="F373" i="24"/>
  <c r="E373" i="24"/>
  <c r="Q375" i="22"/>
  <c r="S375" i="22"/>
  <c r="U390" i="24"/>
  <c r="T390" i="24"/>
  <c r="Q395" i="24"/>
  <c r="Q409" i="24"/>
  <c r="F443" i="24"/>
  <c r="E443" i="24"/>
  <c r="Q445" i="22"/>
  <c r="S445" i="22"/>
  <c r="T445" i="22" s="1"/>
  <c r="Q451" i="24"/>
  <c r="S453" i="22"/>
  <c r="Q320" i="24"/>
  <c r="Q325" i="24"/>
  <c r="U334" i="24"/>
  <c r="T334" i="24"/>
  <c r="U342" i="24"/>
  <c r="T342" i="24"/>
  <c r="F349" i="24"/>
  <c r="E349" i="24"/>
  <c r="Q351" i="22"/>
  <c r="T365" i="22"/>
  <c r="Q364" i="24"/>
  <c r="F371" i="24"/>
  <c r="E371" i="24"/>
  <c r="Q373" i="22"/>
  <c r="S373" i="22"/>
  <c r="T372" i="24"/>
  <c r="U372" i="24"/>
  <c r="Q373" i="24"/>
  <c r="T376" i="22"/>
  <c r="Q379" i="24"/>
  <c r="Q381" i="22"/>
  <c r="U395" i="24"/>
  <c r="T395" i="24"/>
  <c r="T403" i="24"/>
  <c r="U403" i="24"/>
  <c r="Q405" i="22"/>
  <c r="S405" i="22"/>
  <c r="U409" i="24"/>
  <c r="T409" i="24"/>
  <c r="Q415" i="24"/>
  <c r="Q417" i="22"/>
  <c r="F429" i="24"/>
  <c r="E429" i="24"/>
  <c r="S431" i="22"/>
  <c r="Q443" i="24"/>
  <c r="F455" i="24"/>
  <c r="E455" i="24"/>
  <c r="Q457" i="22"/>
  <c r="S457" i="22"/>
  <c r="F353" i="24"/>
  <c r="E353" i="24"/>
  <c r="F369" i="24"/>
  <c r="E369" i="24"/>
  <c r="U370" i="24"/>
  <c r="T370" i="24"/>
  <c r="T379" i="24"/>
  <c r="U379" i="24"/>
  <c r="E389" i="24"/>
  <c r="F389" i="24"/>
  <c r="Q399" i="24"/>
  <c r="U415" i="24"/>
  <c r="T415" i="24"/>
  <c r="Q429" i="24"/>
  <c r="T441" i="24"/>
  <c r="U441" i="24"/>
  <c r="U443" i="24"/>
  <c r="T443" i="24"/>
  <c r="Q455" i="24"/>
  <c r="F297" i="24"/>
  <c r="E297" i="24"/>
  <c r="U305" i="24"/>
  <c r="T305" i="24"/>
  <c r="Q312" i="24"/>
  <c r="F319" i="24"/>
  <c r="E319" i="24"/>
  <c r="Q322" i="22"/>
  <c r="Q327" i="22"/>
  <c r="Q328" i="24"/>
  <c r="T334" i="22"/>
  <c r="T336" i="22"/>
  <c r="Q353" i="24"/>
  <c r="Q366" i="22"/>
  <c r="E368" i="24"/>
  <c r="F368" i="24"/>
  <c r="Q369" i="24"/>
  <c r="Q372" i="22"/>
  <c r="U399" i="24"/>
  <c r="T399" i="24"/>
  <c r="T417" i="22"/>
  <c r="E431" i="24"/>
  <c r="F431" i="24"/>
  <c r="Q433" i="22"/>
  <c r="S433" i="22"/>
  <c r="Q443" i="22"/>
  <c r="S368" i="22"/>
  <c r="R368" i="22"/>
  <c r="U202" i="24"/>
  <c r="T202" i="24"/>
  <c r="S205" i="22"/>
  <c r="Q209" i="24"/>
  <c r="F216" i="24"/>
  <c r="E216" i="24"/>
  <c r="U224" i="24"/>
  <c r="T224" i="24"/>
  <c r="S227" i="22"/>
  <c r="Q231" i="24"/>
  <c r="E238" i="24"/>
  <c r="F238" i="24"/>
  <c r="T246" i="24"/>
  <c r="U246" i="24"/>
  <c r="S249" i="22"/>
  <c r="Q253" i="24"/>
  <c r="F260" i="24"/>
  <c r="E260" i="24"/>
  <c r="T268" i="24"/>
  <c r="U268" i="24"/>
  <c r="S271" i="22"/>
  <c r="Q275" i="24"/>
  <c r="E282" i="24"/>
  <c r="F282" i="24"/>
  <c r="U290" i="24"/>
  <c r="T290" i="24"/>
  <c r="S293" i="22"/>
  <c r="Q297" i="24"/>
  <c r="F304" i="24"/>
  <c r="E304" i="24"/>
  <c r="T312" i="24"/>
  <c r="U312" i="24"/>
  <c r="S315" i="22"/>
  <c r="Q319" i="24"/>
  <c r="E324" i="24"/>
  <c r="F324" i="24"/>
  <c r="U328" i="24"/>
  <c r="T328" i="24"/>
  <c r="S334" i="22"/>
  <c r="S336" i="22"/>
  <c r="E346" i="24"/>
  <c r="F346" i="24"/>
  <c r="S348" i="22"/>
  <c r="T348" i="22" s="1"/>
  <c r="U353" i="24"/>
  <c r="T353" i="24"/>
  <c r="U357" i="24"/>
  <c r="T357" i="24"/>
  <c r="Q368" i="24"/>
  <c r="S374" i="22"/>
  <c r="Q401" i="22"/>
  <c r="Q431" i="22"/>
  <c r="Q433" i="24"/>
  <c r="T443" i="22"/>
  <c r="T477" i="22"/>
  <c r="U319" i="24"/>
  <c r="T319" i="24"/>
  <c r="S322" i="22"/>
  <c r="S327" i="22"/>
  <c r="F337" i="24"/>
  <c r="E337" i="24"/>
  <c r="Q339" i="22"/>
  <c r="S351" i="22"/>
  <c r="Q355" i="22"/>
  <c r="T359" i="22"/>
  <c r="F358" i="24"/>
  <c r="E358" i="24"/>
  <c r="Q360" i="22"/>
  <c r="Q367" i="24"/>
  <c r="U368" i="24"/>
  <c r="T368" i="24"/>
  <c r="Q371" i="22"/>
  <c r="S372" i="22"/>
  <c r="Q378" i="24"/>
  <c r="Q391" i="22"/>
  <c r="Q394" i="24"/>
  <c r="F422" i="24"/>
  <c r="E422" i="24"/>
  <c r="Q424" i="22"/>
  <c r="F437" i="24"/>
  <c r="E437" i="24"/>
  <c r="S439" i="22"/>
  <c r="S443" i="22"/>
  <c r="F470" i="24"/>
  <c r="E470" i="24"/>
  <c r="S472" i="22"/>
  <c r="F497" i="24"/>
  <c r="E497" i="24"/>
  <c r="S499" i="22"/>
  <c r="Q499" i="22"/>
  <c r="F296" i="24"/>
  <c r="E296" i="24"/>
  <c r="U304" i="24"/>
  <c r="T304" i="24"/>
  <c r="Q311" i="24"/>
  <c r="F318" i="24"/>
  <c r="E318" i="24"/>
  <c r="Q321" i="22"/>
  <c r="U324" i="24"/>
  <c r="T324" i="24"/>
  <c r="E331" i="24"/>
  <c r="F331" i="24"/>
  <c r="Q337" i="24"/>
  <c r="U346" i="24"/>
  <c r="T346" i="24"/>
  <c r="Q358" i="24"/>
  <c r="E366" i="24"/>
  <c r="F366" i="24"/>
  <c r="Q368" i="22"/>
  <c r="Q370" i="22"/>
  <c r="T371" i="22"/>
  <c r="E388" i="24"/>
  <c r="F388" i="24"/>
  <c r="S390" i="22"/>
  <c r="Q390" i="22"/>
  <c r="T391" i="22"/>
  <c r="F402" i="24"/>
  <c r="E402" i="24"/>
  <c r="Q404" i="22"/>
  <c r="T408" i="22"/>
  <c r="Q422" i="24"/>
  <c r="E435" i="24"/>
  <c r="F435" i="24"/>
  <c r="Q437" i="22"/>
  <c r="S437" i="22"/>
  <c r="U446" i="24"/>
  <c r="T446" i="24"/>
  <c r="Q470" i="24"/>
  <c r="T201" i="24"/>
  <c r="U201" i="24"/>
  <c r="Q208" i="24"/>
  <c r="F215" i="24"/>
  <c r="E215" i="24"/>
  <c r="U223" i="24"/>
  <c r="T223" i="24"/>
  <c r="Q230" i="24"/>
  <c r="F237" i="24"/>
  <c r="E237" i="24"/>
  <c r="U245" i="24"/>
  <c r="T245" i="24"/>
  <c r="Q252" i="24"/>
  <c r="F259" i="24"/>
  <c r="E259" i="24"/>
  <c r="Q262" i="22"/>
  <c r="T267" i="24"/>
  <c r="U267" i="24"/>
  <c r="Q274" i="24"/>
  <c r="F281" i="24"/>
  <c r="E281" i="24"/>
  <c r="U289" i="24"/>
  <c r="T289" i="24"/>
  <c r="Q296" i="24"/>
  <c r="F303" i="24"/>
  <c r="E303" i="24"/>
  <c r="U311" i="24"/>
  <c r="T311" i="24"/>
  <c r="Q318" i="24"/>
  <c r="Q326" i="22"/>
  <c r="Q331" i="24"/>
  <c r="U337" i="24"/>
  <c r="T337" i="24"/>
  <c r="F340" i="24"/>
  <c r="E340" i="24"/>
  <c r="Q342" i="22"/>
  <c r="S342" i="22"/>
  <c r="Q348" i="22"/>
  <c r="E350" i="24"/>
  <c r="F350" i="24"/>
  <c r="S355" i="22"/>
  <c r="T355" i="22" s="1"/>
  <c r="T358" i="24"/>
  <c r="U358" i="24"/>
  <c r="S371" i="22"/>
  <c r="Q388" i="24"/>
  <c r="S391" i="22"/>
  <c r="Q402" i="24"/>
  <c r="S435" i="22"/>
  <c r="Q448" i="22"/>
  <c r="U470" i="24"/>
  <c r="T470" i="24"/>
  <c r="T488" i="22"/>
  <c r="Q171" i="24"/>
  <c r="E200" i="24"/>
  <c r="F200" i="24"/>
  <c r="U208" i="24"/>
  <c r="T208" i="24"/>
  <c r="Q215" i="24"/>
  <c r="F222" i="24"/>
  <c r="E222" i="24"/>
  <c r="U230" i="24"/>
  <c r="T230" i="24"/>
  <c r="Q237" i="24"/>
  <c r="F244" i="24"/>
  <c r="E244" i="24"/>
  <c r="U252" i="24"/>
  <c r="T252" i="24"/>
  <c r="Q259" i="24"/>
  <c r="E266" i="24"/>
  <c r="F266" i="24"/>
  <c r="U274" i="24"/>
  <c r="T274" i="24"/>
  <c r="Q281" i="24"/>
  <c r="F288" i="24"/>
  <c r="E288" i="24"/>
  <c r="T296" i="24"/>
  <c r="U296" i="24"/>
  <c r="S299" i="22"/>
  <c r="Q303" i="24"/>
  <c r="F310" i="24"/>
  <c r="E310" i="24"/>
  <c r="U318" i="24"/>
  <c r="T318" i="24"/>
  <c r="F323" i="24"/>
  <c r="E323" i="24"/>
  <c r="U331" i="24"/>
  <c r="T331" i="24"/>
  <c r="E335" i="24"/>
  <c r="F335" i="24"/>
  <c r="Q340" i="24"/>
  <c r="T360" i="22"/>
  <c r="S369" i="22"/>
  <c r="S370" i="22"/>
  <c r="S380" i="22"/>
  <c r="F393" i="24"/>
  <c r="E393" i="24"/>
  <c r="S395" i="22"/>
  <c r="U402" i="24"/>
  <c r="T402" i="24"/>
  <c r="T424" i="22"/>
  <c r="T424" i="24"/>
  <c r="U424" i="24"/>
  <c r="F426" i="24"/>
  <c r="E426" i="24"/>
  <c r="S428" i="22"/>
  <c r="Q428" i="22"/>
  <c r="Q439" i="22"/>
  <c r="T448" i="22"/>
  <c r="Q448" i="24"/>
  <c r="Q472" i="22"/>
  <c r="AD35" i="23"/>
  <c r="Q393" i="24"/>
  <c r="F394" i="24"/>
  <c r="E394" i="24"/>
  <c r="Q396" i="22"/>
  <c r="S396" i="22"/>
  <c r="F395" i="24"/>
  <c r="E395" i="24"/>
  <c r="Q397" i="22"/>
  <c r="U396" i="24"/>
  <c r="T396" i="24"/>
  <c r="F398" i="24"/>
  <c r="E398" i="24"/>
  <c r="Q400" i="22"/>
  <c r="E399" i="24"/>
  <c r="F399" i="24"/>
  <c r="S401" i="22"/>
  <c r="T425" i="24"/>
  <c r="U425" i="24"/>
  <c r="U432" i="24"/>
  <c r="T432" i="24"/>
  <c r="U440" i="24"/>
  <c r="T440" i="24"/>
  <c r="Q445" i="24"/>
  <c r="T450" i="22"/>
  <c r="T461" i="22"/>
  <c r="T491" i="24"/>
  <c r="U491" i="24"/>
  <c r="F469" i="24"/>
  <c r="E469" i="24"/>
  <c r="S471" i="22"/>
  <c r="F471" i="24"/>
  <c r="E471" i="24"/>
  <c r="T499" i="22"/>
  <c r="T505" i="22"/>
  <c r="F424" i="24"/>
  <c r="E424" i="24"/>
  <c r="U428" i="24"/>
  <c r="T428" i="24"/>
  <c r="S430" i="22"/>
  <c r="T430" i="22" s="1"/>
  <c r="Q430" i="22"/>
  <c r="Q437" i="24"/>
  <c r="U471" i="24"/>
  <c r="T471" i="24"/>
  <c r="T495" i="24"/>
  <c r="U495" i="24"/>
  <c r="S497" i="22"/>
  <c r="Q497" i="22"/>
  <c r="S343" i="22"/>
  <c r="Q347" i="24"/>
  <c r="Q349" i="24"/>
  <c r="F354" i="24"/>
  <c r="E354" i="24"/>
  <c r="S356" i="22"/>
  <c r="E363" i="24"/>
  <c r="F363" i="24"/>
  <c r="E382" i="24"/>
  <c r="F382" i="24"/>
  <c r="S384" i="22"/>
  <c r="F383" i="24"/>
  <c r="E383" i="24"/>
  <c r="S397" i="22"/>
  <c r="S400" i="22"/>
  <c r="Q424" i="24"/>
  <c r="U437" i="24"/>
  <c r="T437" i="24"/>
  <c r="T465" i="22"/>
  <c r="Q471" i="22"/>
  <c r="Q473" i="22"/>
  <c r="Q473" i="24"/>
  <c r="F480" i="24"/>
  <c r="E480" i="24"/>
  <c r="S482" i="22"/>
  <c r="E501" i="24"/>
  <c r="F501" i="24"/>
  <c r="S503" i="22"/>
  <c r="Q503" i="22"/>
  <c r="Q501" i="24"/>
  <c r="U338" i="24"/>
  <c r="T338" i="24"/>
  <c r="U354" i="24"/>
  <c r="T354" i="24"/>
  <c r="F360" i="24"/>
  <c r="E360" i="24"/>
  <c r="Q366" i="24"/>
  <c r="U382" i="24"/>
  <c r="T382" i="24"/>
  <c r="U383" i="24"/>
  <c r="T383" i="24"/>
  <c r="Q411" i="24"/>
  <c r="U416" i="24"/>
  <c r="T416" i="24"/>
  <c r="Q426" i="22"/>
  <c r="F427" i="24"/>
  <c r="E427" i="24"/>
  <c r="S429" i="22"/>
  <c r="Q434" i="24"/>
  <c r="T439" i="22"/>
  <c r="E442" i="24"/>
  <c r="F442" i="24"/>
  <c r="Q444" i="22"/>
  <c r="S444" i="22"/>
  <c r="F460" i="24"/>
  <c r="E460" i="24"/>
  <c r="Q462" i="22"/>
  <c r="S473" i="22"/>
  <c r="F478" i="24"/>
  <c r="E478" i="24"/>
  <c r="S480" i="22"/>
  <c r="Q480" i="22"/>
  <c r="T480" i="24"/>
  <c r="U480" i="24"/>
  <c r="T501" i="24"/>
  <c r="U501" i="24"/>
  <c r="U366" i="24"/>
  <c r="T366" i="24"/>
  <c r="Q427" i="24"/>
  <c r="T434" i="24"/>
  <c r="U434" i="24"/>
  <c r="F444" i="24"/>
  <c r="E444" i="24"/>
  <c r="Q446" i="22"/>
  <c r="F367" i="24"/>
  <c r="E367" i="24"/>
  <c r="Q369" i="22"/>
  <c r="T385" i="22"/>
  <c r="T386" i="22"/>
  <c r="F409" i="24"/>
  <c r="E409" i="24"/>
  <c r="S411" i="22"/>
  <c r="T411" i="22" s="1"/>
  <c r="S426" i="22"/>
  <c r="U427" i="24"/>
  <c r="T427" i="24"/>
  <c r="Q444" i="24"/>
  <c r="T460" i="24"/>
  <c r="U460" i="24"/>
  <c r="E492" i="24"/>
  <c r="F492" i="24"/>
  <c r="S494" i="22"/>
  <c r="T494" i="22" s="1"/>
  <c r="Q494" i="22"/>
  <c r="F456" i="24"/>
  <c r="E456" i="24"/>
  <c r="Q458" i="22"/>
  <c r="U458" i="24"/>
  <c r="T458" i="24"/>
  <c r="Q462" i="24"/>
  <c r="Q492" i="24"/>
  <c r="AD38" i="23"/>
  <c r="Q436" i="24"/>
  <c r="Q449" i="24"/>
  <c r="Q456" i="24"/>
  <c r="Q460" i="22"/>
  <c r="U462" i="24"/>
  <c r="T462" i="24"/>
  <c r="T490" i="22"/>
  <c r="U492" i="24"/>
  <c r="T492" i="24"/>
  <c r="Q324" i="24"/>
  <c r="T329" i="24"/>
  <c r="U329" i="24"/>
  <c r="T333" i="24"/>
  <c r="U333" i="24"/>
  <c r="E343" i="24"/>
  <c r="F343" i="24"/>
  <c r="F352" i="24"/>
  <c r="E352" i="24"/>
  <c r="Q354" i="22"/>
  <c r="Q357" i="24"/>
  <c r="S359" i="22"/>
  <c r="Q359" i="22"/>
  <c r="S362" i="22"/>
  <c r="Q411" i="22"/>
  <c r="U419" i="24"/>
  <c r="T419" i="24"/>
  <c r="U430" i="24"/>
  <c r="T430" i="24"/>
  <c r="S432" i="22"/>
  <c r="T432" i="22" s="1"/>
  <c r="S446" i="22"/>
  <c r="U456" i="24"/>
  <c r="T456" i="24"/>
  <c r="Q464" i="22"/>
  <c r="U496" i="24"/>
  <c r="T496" i="24"/>
  <c r="Q375" i="24"/>
  <c r="F380" i="24"/>
  <c r="E380" i="24"/>
  <c r="Q382" i="22"/>
  <c r="Q390" i="24"/>
  <c r="T400" i="22"/>
  <c r="F420" i="24"/>
  <c r="E420" i="24"/>
  <c r="Q422" i="22"/>
  <c r="Q440" i="24"/>
  <c r="F458" i="24"/>
  <c r="E458" i="24"/>
  <c r="S460" i="22"/>
  <c r="Q459" i="24"/>
  <c r="Q461" i="22"/>
  <c r="Q471" i="24"/>
  <c r="F502" i="24"/>
  <c r="E502" i="24"/>
  <c r="S504" i="22"/>
  <c r="Q504" i="22"/>
  <c r="AD18" i="23"/>
  <c r="AD22" i="23"/>
  <c r="F484" i="24"/>
  <c r="E484" i="24"/>
  <c r="S486" i="22"/>
  <c r="U506" i="24"/>
  <c r="T506" i="24"/>
  <c r="Q359" i="24"/>
  <c r="Q361" i="24"/>
  <c r="T371" i="24"/>
  <c r="U371" i="24"/>
  <c r="U376" i="24"/>
  <c r="T376" i="24"/>
  <c r="U388" i="24"/>
  <c r="T388" i="24"/>
  <c r="T391" i="24"/>
  <c r="U391" i="24"/>
  <c r="Q400" i="24"/>
  <c r="U404" i="24"/>
  <c r="T404" i="24"/>
  <c r="T472" i="22"/>
  <c r="Q478" i="24"/>
  <c r="Q484" i="24"/>
  <c r="F381" i="24"/>
  <c r="E381" i="24"/>
  <c r="S383" i="22"/>
  <c r="F384" i="24"/>
  <c r="E384" i="24"/>
  <c r="F397" i="24"/>
  <c r="E397" i="24"/>
  <c r="Q399" i="22"/>
  <c r="T400" i="24"/>
  <c r="U400" i="24"/>
  <c r="Q405" i="24"/>
  <c r="T433" i="22"/>
  <c r="E454" i="24"/>
  <c r="F454" i="24"/>
  <c r="Q456" i="22"/>
  <c r="T457" i="22"/>
  <c r="U478" i="24"/>
  <c r="T478" i="24"/>
  <c r="U484" i="24"/>
  <c r="T484" i="24"/>
  <c r="F466" i="24"/>
  <c r="E466" i="24"/>
  <c r="Q468" i="22"/>
  <c r="F467" i="24"/>
  <c r="E467" i="24"/>
  <c r="Q469" i="22"/>
  <c r="Q486" i="22"/>
  <c r="E488" i="24"/>
  <c r="F488" i="24"/>
  <c r="Q490" i="22"/>
  <c r="E500" i="24"/>
  <c r="F500" i="24"/>
  <c r="S502" i="22"/>
  <c r="Q502" i="22"/>
  <c r="U332" i="24"/>
  <c r="T332" i="24"/>
  <c r="Q346" i="24"/>
  <c r="T349" i="24"/>
  <c r="U349" i="24"/>
  <c r="Q354" i="24"/>
  <c r="U369" i="24"/>
  <c r="T369" i="24"/>
  <c r="U381" i="24"/>
  <c r="T381" i="24"/>
  <c r="U384" i="24"/>
  <c r="T384" i="24"/>
  <c r="T397" i="24"/>
  <c r="U397" i="24"/>
  <c r="Q407" i="22"/>
  <c r="U452" i="24"/>
  <c r="T452" i="24"/>
  <c r="F453" i="24"/>
  <c r="E453" i="24"/>
  <c r="S455" i="22"/>
  <c r="Q455" i="22"/>
  <c r="Q466" i="24"/>
  <c r="Q488" i="24"/>
  <c r="Q500" i="24"/>
  <c r="T505" i="24"/>
  <c r="U505" i="24"/>
  <c r="Q507" i="22"/>
  <c r="E449" i="24"/>
  <c r="F449" i="24"/>
  <c r="T456" i="22"/>
  <c r="E465" i="24"/>
  <c r="F465" i="24"/>
  <c r="F493" i="24"/>
  <c r="E493" i="24"/>
  <c r="S495" i="22"/>
  <c r="U500" i="24"/>
  <c r="T500" i="24"/>
  <c r="T507" i="22"/>
  <c r="Q465" i="24"/>
  <c r="E476" i="24"/>
  <c r="F476" i="24"/>
  <c r="Q478" i="22"/>
  <c r="T479" i="22"/>
  <c r="T483" i="24"/>
  <c r="U483" i="24"/>
  <c r="Q485" i="22"/>
  <c r="Q493" i="24"/>
  <c r="U504" i="24"/>
  <c r="T504" i="24"/>
  <c r="U449" i="24"/>
  <c r="T449" i="24"/>
  <c r="E464" i="24"/>
  <c r="F464" i="24"/>
  <c r="S466" i="22"/>
  <c r="Q466" i="22"/>
  <c r="T465" i="24"/>
  <c r="U465" i="24"/>
  <c r="T485" i="22"/>
  <c r="S490" i="22"/>
  <c r="U493" i="24"/>
  <c r="T493" i="24"/>
  <c r="Q506" i="22"/>
  <c r="U340" i="24"/>
  <c r="T340" i="24"/>
  <c r="Q343" i="24"/>
  <c r="Q356" i="24"/>
  <c r="F365" i="24"/>
  <c r="E365" i="24"/>
  <c r="S367" i="22"/>
  <c r="U367" i="24"/>
  <c r="T367" i="24"/>
  <c r="Q374" i="24"/>
  <c r="Q377" i="24"/>
  <c r="T381" i="22"/>
  <c r="Q389" i="24"/>
  <c r="E406" i="24"/>
  <c r="F406" i="24"/>
  <c r="Q408" i="22"/>
  <c r="F447" i="24"/>
  <c r="E447" i="24"/>
  <c r="S449" i="22"/>
  <c r="Q451" i="22"/>
  <c r="Q467" i="22"/>
  <c r="S485" i="22"/>
  <c r="F487" i="24"/>
  <c r="E487" i="24"/>
  <c r="Q495" i="22"/>
  <c r="Q330" i="24"/>
  <c r="T339" i="22"/>
  <c r="E351" i="24"/>
  <c r="F351" i="24"/>
  <c r="U374" i="24"/>
  <c r="T374" i="24"/>
  <c r="U377" i="24"/>
  <c r="T377" i="24"/>
  <c r="U389" i="24"/>
  <c r="T389" i="24"/>
  <c r="U413" i="24"/>
  <c r="T413" i="24"/>
  <c r="F414" i="24"/>
  <c r="E414" i="24"/>
  <c r="S416" i="22"/>
  <c r="Q416" i="24"/>
  <c r="F448" i="24"/>
  <c r="E448" i="24"/>
  <c r="S450" i="22"/>
  <c r="T452" i="22"/>
  <c r="E462" i="24"/>
  <c r="F462" i="24"/>
  <c r="F475" i="24"/>
  <c r="E475" i="24"/>
  <c r="S477" i="22"/>
  <c r="Q477" i="22"/>
  <c r="T478" i="22"/>
  <c r="Q487" i="24"/>
  <c r="S506" i="22"/>
  <c r="U373" i="24"/>
  <c r="T373" i="24"/>
  <c r="Q380" i="24"/>
  <c r="E387" i="24"/>
  <c r="F387" i="24"/>
  <c r="T394" i="24"/>
  <c r="U394" i="24"/>
  <c r="F401" i="24"/>
  <c r="E401" i="24"/>
  <c r="Q406" i="24"/>
  <c r="F408" i="24"/>
  <c r="E408" i="24"/>
  <c r="Q435" i="24"/>
  <c r="U445" i="24"/>
  <c r="T445" i="24"/>
  <c r="Q454" i="24"/>
  <c r="U463" i="24"/>
  <c r="T463" i="24"/>
  <c r="Q467" i="24"/>
  <c r="Q476" i="24"/>
  <c r="F489" i="24"/>
  <c r="E489" i="24"/>
  <c r="S491" i="22"/>
  <c r="Q491" i="22"/>
  <c r="U502" i="24"/>
  <c r="T502" i="24"/>
  <c r="Q507" i="24"/>
  <c r="AD16" i="23"/>
  <c r="AD32" i="23"/>
  <c r="Q365" i="24"/>
  <c r="F372" i="24"/>
  <c r="E372" i="24"/>
  <c r="T380" i="24"/>
  <c r="U380" i="24"/>
  <c r="Q387" i="24"/>
  <c r="U398" i="24"/>
  <c r="T398" i="24"/>
  <c r="Q401" i="24"/>
  <c r="Q408" i="24"/>
  <c r="F412" i="24"/>
  <c r="E412" i="24"/>
  <c r="Q414" i="22"/>
  <c r="U435" i="24"/>
  <c r="T435" i="24"/>
  <c r="F446" i="24"/>
  <c r="E446" i="24"/>
  <c r="U454" i="24"/>
  <c r="T454" i="24"/>
  <c r="Q465" i="22"/>
  <c r="U467" i="24"/>
  <c r="T467" i="24"/>
  <c r="F468" i="24"/>
  <c r="E468" i="24"/>
  <c r="U476" i="24"/>
  <c r="T476" i="24"/>
  <c r="T485" i="24"/>
  <c r="U485" i="24"/>
  <c r="Q489" i="24"/>
  <c r="F498" i="24"/>
  <c r="E498" i="24"/>
  <c r="S458" i="22"/>
  <c r="R458" i="22"/>
  <c r="T458" i="22" s="1"/>
  <c r="U343" i="24"/>
  <c r="T343" i="24"/>
  <c r="Q350" i="24"/>
  <c r="E357" i="24"/>
  <c r="F357" i="24"/>
  <c r="U365" i="24"/>
  <c r="T365" i="24"/>
  <c r="Q372" i="24"/>
  <c r="E379" i="24"/>
  <c r="F379" i="24"/>
  <c r="U387" i="24"/>
  <c r="T387" i="24"/>
  <c r="U401" i="24"/>
  <c r="T401" i="24"/>
  <c r="U408" i="24"/>
  <c r="T408" i="24"/>
  <c r="Q410" i="24"/>
  <c r="Q412" i="24"/>
  <c r="F415" i="24"/>
  <c r="E415" i="24"/>
  <c r="S417" i="22"/>
  <c r="E423" i="24"/>
  <c r="F423" i="24"/>
  <c r="Q425" i="22"/>
  <c r="F432" i="24"/>
  <c r="E432" i="24"/>
  <c r="Q446" i="24"/>
  <c r="U450" i="24"/>
  <c r="T450" i="24"/>
  <c r="Q452" i="22"/>
  <c r="E459" i="24"/>
  <c r="F459" i="24"/>
  <c r="S461" i="22"/>
  <c r="Q468" i="24"/>
  <c r="U472" i="24"/>
  <c r="T472" i="24"/>
  <c r="Q474" i="22"/>
  <c r="Q487" i="22"/>
  <c r="U489" i="24"/>
  <c r="T489" i="24"/>
  <c r="Q498" i="24"/>
  <c r="T468" i="24"/>
  <c r="U468" i="24"/>
  <c r="T474" i="22"/>
  <c r="F477" i="24"/>
  <c r="E477" i="24"/>
  <c r="Q479" i="22"/>
  <c r="F481" i="24"/>
  <c r="E481" i="24"/>
  <c r="S483" i="22"/>
  <c r="E490" i="24"/>
  <c r="F490" i="24"/>
  <c r="U498" i="24"/>
  <c r="T498" i="24"/>
  <c r="Q477" i="24"/>
  <c r="Q481" i="24"/>
  <c r="Q490" i="24"/>
  <c r="T494" i="24"/>
  <c r="U494" i="24"/>
  <c r="Q496" i="22"/>
  <c r="E356" i="24"/>
  <c r="F356" i="24"/>
  <c r="U364" i="24"/>
  <c r="T364" i="24"/>
  <c r="Q371" i="24"/>
  <c r="F378" i="24"/>
  <c r="E378" i="24"/>
  <c r="T386" i="24"/>
  <c r="U386" i="24"/>
  <c r="S389" i="22"/>
  <c r="U393" i="24"/>
  <c r="T393" i="24"/>
  <c r="Q397" i="24"/>
  <c r="S403" i="22"/>
  <c r="S410" i="22"/>
  <c r="U418" i="24"/>
  <c r="T418" i="24"/>
  <c r="Q426" i="24"/>
  <c r="T429" i="24"/>
  <c r="U429" i="24"/>
  <c r="F436" i="24"/>
  <c r="E436" i="24"/>
  <c r="S438" i="22"/>
  <c r="U439" i="24"/>
  <c r="T439" i="24"/>
  <c r="F451" i="24"/>
  <c r="E451" i="24"/>
  <c r="Q460" i="24"/>
  <c r="F473" i="24"/>
  <c r="E473" i="24"/>
  <c r="U481" i="24"/>
  <c r="T481" i="24"/>
  <c r="F482" i="24"/>
  <c r="E482" i="24"/>
  <c r="U490" i="24"/>
  <c r="T490" i="24"/>
  <c r="T496" i="22"/>
  <c r="F499" i="24"/>
  <c r="E499" i="24"/>
  <c r="Q501" i="22"/>
  <c r="F503" i="24"/>
  <c r="E503" i="24"/>
  <c r="S505" i="22"/>
  <c r="D375" i="25"/>
  <c r="I372" i="25"/>
  <c r="F365" i="25"/>
  <c r="B363" i="25"/>
  <c r="H355" i="25"/>
  <c r="D353" i="25"/>
  <c r="I350" i="25"/>
  <c r="F343" i="25"/>
  <c r="B341" i="25"/>
  <c r="AB343" i="23" s="1"/>
  <c r="H333" i="25"/>
  <c r="I374" i="25"/>
  <c r="I369" i="25"/>
  <c r="D367" i="25"/>
  <c r="H364" i="25"/>
  <c r="B357" i="25"/>
  <c r="F354" i="25"/>
  <c r="I346" i="25"/>
  <c r="D344" i="25"/>
  <c r="H341" i="25"/>
  <c r="H374" i="25"/>
  <c r="B372" i="25"/>
  <c r="I366" i="25"/>
  <c r="F372" i="25"/>
  <c r="F369" i="25"/>
  <c r="D361" i="25"/>
  <c r="F350" i="25"/>
  <c r="I347" i="25"/>
  <c r="F342" i="25"/>
  <c r="I339" i="25"/>
  <c r="B332" i="25"/>
  <c r="AB334" i="23" s="1"/>
  <c r="H324" i="25"/>
  <c r="D322" i="25"/>
  <c r="I319" i="25"/>
  <c r="F312" i="25"/>
  <c r="B310" i="25"/>
  <c r="AB312" i="23" s="1"/>
  <c r="H302" i="25"/>
  <c r="D300" i="25"/>
  <c r="I297" i="25"/>
  <c r="F290" i="25"/>
  <c r="B288" i="25"/>
  <c r="H280" i="25"/>
  <c r="D278" i="25"/>
  <c r="I275" i="25"/>
  <c r="F268" i="25"/>
  <c r="B266" i="25"/>
  <c r="H258" i="25"/>
  <c r="D256" i="25"/>
  <c r="I253" i="25"/>
  <c r="F246" i="25"/>
  <c r="B244" i="25"/>
  <c r="H236" i="25"/>
  <c r="D234" i="25"/>
  <c r="I231" i="25"/>
  <c r="F224" i="25"/>
  <c r="Y226" i="23" s="1"/>
  <c r="B222" i="25"/>
  <c r="AB224" i="23" s="1"/>
  <c r="H214" i="25"/>
  <c r="D212" i="25"/>
  <c r="I209" i="25"/>
  <c r="F202" i="25"/>
  <c r="Y204" i="23" s="1"/>
  <c r="B200" i="25"/>
  <c r="H192" i="25"/>
  <c r="D190" i="25"/>
  <c r="I187" i="25"/>
  <c r="I371" i="25"/>
  <c r="F363" i="25"/>
  <c r="I360" i="25"/>
  <c r="B358" i="25"/>
  <c r="H352" i="25"/>
  <c r="B350" i="25"/>
  <c r="H344" i="25"/>
  <c r="B342" i="25"/>
  <c r="H336" i="25"/>
  <c r="H326" i="25"/>
  <c r="D324" i="25"/>
  <c r="I321" i="25"/>
  <c r="F314" i="25"/>
  <c r="B312" i="25"/>
  <c r="AB314" i="23" s="1"/>
  <c r="H304" i="25"/>
  <c r="D302" i="25"/>
  <c r="I299" i="25"/>
  <c r="H371" i="25"/>
  <c r="I368" i="25"/>
  <c r="B366" i="25"/>
  <c r="AB368" i="23" s="1"/>
  <c r="H360" i="25"/>
  <c r="D355" i="25"/>
  <c r="D347" i="25"/>
  <c r="D339" i="25"/>
  <c r="B334" i="25"/>
  <c r="F331" i="25"/>
  <c r="B329" i="25"/>
  <c r="H321" i="25"/>
  <c r="D319" i="25"/>
  <c r="I316" i="25"/>
  <c r="F309" i="25"/>
  <c r="B307" i="25"/>
  <c r="H299" i="25"/>
  <c r="D297" i="25"/>
  <c r="I294" i="25"/>
  <c r="H370" i="25"/>
  <c r="B361" i="25"/>
  <c r="H357" i="25"/>
  <c r="H354" i="25"/>
  <c r="F345" i="25"/>
  <c r="B339" i="25"/>
  <c r="AB341" i="23" s="1"/>
  <c r="B336" i="25"/>
  <c r="AB338" i="23" s="1"/>
  <c r="I324" i="25"/>
  <c r="I307" i="25"/>
  <c r="H293" i="25"/>
  <c r="B286" i="25"/>
  <c r="F283" i="25"/>
  <c r="H275" i="25"/>
  <c r="B268" i="25"/>
  <c r="F265" i="25"/>
  <c r="I373" i="25"/>
  <c r="B364" i="25"/>
  <c r="F351" i="25"/>
  <c r="F348" i="25"/>
  <c r="D342" i="25"/>
  <c r="B333" i="25"/>
  <c r="D330" i="25"/>
  <c r="F327" i="25"/>
  <c r="I318" i="25"/>
  <c r="B316" i="25"/>
  <c r="D313" i="25"/>
  <c r="F310" i="25"/>
  <c r="H307" i="25"/>
  <c r="I304" i="25"/>
  <c r="I301" i="25"/>
  <c r="B299" i="25"/>
  <c r="D296" i="25"/>
  <c r="B291" i="25"/>
  <c r="F288" i="25"/>
  <c r="I280" i="25"/>
  <c r="B273" i="25"/>
  <c r="F270" i="25"/>
  <c r="I262" i="25"/>
  <c r="D260" i="25"/>
  <c r="H257" i="25"/>
  <c r="B250" i="25"/>
  <c r="F247" i="25"/>
  <c r="I239" i="25"/>
  <c r="D237" i="25"/>
  <c r="H234" i="25"/>
  <c r="B227" i="25"/>
  <c r="I221" i="25"/>
  <c r="D219" i="25"/>
  <c r="H373" i="25"/>
  <c r="F370" i="25"/>
  <c r="B367" i="25"/>
  <c r="I363" i="25"/>
  <c r="F360" i="25"/>
  <c r="F357" i="25"/>
  <c r="D348" i="25"/>
  <c r="D345" i="25"/>
  <c r="I338" i="25"/>
  <c r="I335" i="25"/>
  <c r="F324" i="25"/>
  <c r="F321" i="25"/>
  <c r="H318" i="25"/>
  <c r="F307" i="25"/>
  <c r="F304" i="25"/>
  <c r="H301" i="25"/>
  <c r="F293" i="25"/>
  <c r="I285" i="25"/>
  <c r="D283" i="25"/>
  <c r="B278" i="25"/>
  <c r="AB280" i="23" s="1"/>
  <c r="F275" i="25"/>
  <c r="Y277" i="23" s="1"/>
  <c r="I267" i="25"/>
  <c r="D265" i="25"/>
  <c r="H262" i="25"/>
  <c r="B255" i="25"/>
  <c r="AB257" i="23" s="1"/>
  <c r="F252" i="25"/>
  <c r="I244" i="25"/>
  <c r="D242" i="25"/>
  <c r="H239" i="25"/>
  <c r="B232" i="25"/>
  <c r="F229" i="25"/>
  <c r="I226" i="25"/>
  <c r="D224" i="25"/>
  <c r="H221" i="25"/>
  <c r="B214" i="25"/>
  <c r="F211" i="25"/>
  <c r="I203" i="25"/>
  <c r="D201" i="25"/>
  <c r="H198" i="25"/>
  <c r="D368" i="25"/>
  <c r="H353" i="25"/>
  <c r="F346" i="25"/>
  <c r="B343" i="25"/>
  <c r="I325" i="25"/>
  <c r="H322" i="25"/>
  <c r="F319" i="25"/>
  <c r="I315" i="25"/>
  <c r="H312" i="25"/>
  <c r="D309" i="25"/>
  <c r="B303" i="25"/>
  <c r="F296" i="25"/>
  <c r="D287" i="25"/>
  <c r="F281" i="25"/>
  <c r="D275" i="25"/>
  <c r="F269" i="25"/>
  <c r="H263" i="25"/>
  <c r="H260" i="25"/>
  <c r="H243" i="25"/>
  <c r="I229" i="25"/>
  <c r="H226" i="25"/>
  <c r="H215" i="25"/>
  <c r="B213" i="25"/>
  <c r="AB215" i="23" s="1"/>
  <c r="H207" i="25"/>
  <c r="B205" i="25"/>
  <c r="AB207" i="23" s="1"/>
  <c r="D202" i="25"/>
  <c r="D194" i="25"/>
  <c r="H191" i="25"/>
  <c r="B184" i="25"/>
  <c r="AB186" i="23" s="1"/>
  <c r="H176" i="25"/>
  <c r="D174" i="25"/>
  <c r="I171" i="25"/>
  <c r="F164" i="25"/>
  <c r="Y166" i="23" s="1"/>
  <c r="B162" i="25"/>
  <c r="H154" i="25"/>
  <c r="D152" i="25"/>
  <c r="I149" i="25"/>
  <c r="F142" i="25"/>
  <c r="B140" i="25"/>
  <c r="H132" i="25"/>
  <c r="D130" i="25"/>
  <c r="I127" i="25"/>
  <c r="F120" i="25"/>
  <c r="Y122" i="23" s="1"/>
  <c r="B118" i="25"/>
  <c r="H110" i="25"/>
  <c r="D108" i="25"/>
  <c r="I105" i="25"/>
  <c r="F98" i="25"/>
  <c r="B96" i="25"/>
  <c r="H375" i="25"/>
  <c r="H367" i="25"/>
  <c r="H363" i="25"/>
  <c r="B360" i="25"/>
  <c r="B353" i="25"/>
  <c r="F349" i="25"/>
  <c r="B346" i="25"/>
  <c r="I331" i="25"/>
  <c r="F328" i="25"/>
  <c r="F318" i="25"/>
  <c r="I308" i="25"/>
  <c r="H305" i="25"/>
  <c r="F302" i="25"/>
  <c r="I298" i="25"/>
  <c r="H295" i="25"/>
  <c r="H289" i="25"/>
  <c r="I286" i="25"/>
  <c r="B281" i="25"/>
  <c r="H277" i="25"/>
  <c r="I274" i="25"/>
  <c r="B269" i="25"/>
  <c r="B260" i="25"/>
  <c r="AB262" i="23" s="1"/>
  <c r="D257" i="25"/>
  <c r="F254" i="25"/>
  <c r="Y256" i="23" s="1"/>
  <c r="H251" i="25"/>
  <c r="I248" i="25"/>
  <c r="B246" i="25"/>
  <c r="D243" i="25"/>
  <c r="F240" i="25"/>
  <c r="Y242" i="23" s="1"/>
  <c r="H237" i="25"/>
  <c r="B229" i="25"/>
  <c r="D226" i="25"/>
  <c r="F223" i="25"/>
  <c r="H220" i="25"/>
  <c r="D215" i="25"/>
  <c r="F204" i="25"/>
  <c r="I201" i="25"/>
  <c r="F196" i="25"/>
  <c r="Y198" i="23" s="1"/>
  <c r="I193" i="25"/>
  <c r="D191" i="25"/>
  <c r="H188" i="25"/>
  <c r="H178" i="25"/>
  <c r="D176" i="25"/>
  <c r="I173" i="25"/>
  <c r="F166" i="25"/>
  <c r="Y168" i="23" s="1"/>
  <c r="B164" i="25"/>
  <c r="AB166" i="23" s="1"/>
  <c r="H156" i="25"/>
  <c r="D154" i="25"/>
  <c r="I151" i="25"/>
  <c r="F375" i="25"/>
  <c r="D371" i="25"/>
  <c r="F356" i="25"/>
  <c r="D349" i="25"/>
  <c r="I345" i="25"/>
  <c r="I341" i="25"/>
  <c r="D338" i="25"/>
  <c r="B335" i="25"/>
  <c r="H331" i="25"/>
  <c r="D325" i="25"/>
  <c r="B322" i="25"/>
  <c r="D315" i="25"/>
  <c r="I311" i="25"/>
  <c r="H308" i="25"/>
  <c r="H298" i="25"/>
  <c r="F292" i="25"/>
  <c r="H286" i="25"/>
  <c r="I283" i="25"/>
  <c r="F280" i="25"/>
  <c r="H274" i="25"/>
  <c r="I271" i="25"/>
  <c r="B263" i="25"/>
  <c r="H248" i="25"/>
  <c r="I234" i="25"/>
  <c r="H231" i="25"/>
  <c r="I217" i="25"/>
  <c r="F212" i="25"/>
  <c r="H209" i="25"/>
  <c r="B207" i="25"/>
  <c r="H201" i="25"/>
  <c r="B199" i="25"/>
  <c r="H193" i="25"/>
  <c r="B186" i="25"/>
  <c r="F183" i="25"/>
  <c r="Y185" i="23" s="1"/>
  <c r="B181" i="25"/>
  <c r="AB183" i="23" s="1"/>
  <c r="H173" i="25"/>
  <c r="D171" i="25"/>
  <c r="I168" i="25"/>
  <c r="F161" i="25"/>
  <c r="B159" i="25"/>
  <c r="AB161" i="23" s="1"/>
  <c r="H151" i="25"/>
  <c r="D149" i="25"/>
  <c r="I146" i="25"/>
  <c r="B375" i="25"/>
  <c r="B371" i="25"/>
  <c r="H359" i="25"/>
  <c r="D356" i="25"/>
  <c r="F352" i="25"/>
  <c r="B349" i="25"/>
  <c r="AB351" i="23" s="1"/>
  <c r="F341" i="25"/>
  <c r="B338" i="25"/>
  <c r="I334" i="25"/>
  <c r="D331" i="25"/>
  <c r="B325" i="25"/>
  <c r="AB327" i="23" s="1"/>
  <c r="D321" i="25"/>
  <c r="B315" i="25"/>
  <c r="AB317" i="23" s="1"/>
  <c r="F308" i="25"/>
  <c r="F298" i="25"/>
  <c r="D295" i="25"/>
  <c r="D292" i="25"/>
  <c r="F286" i="25"/>
  <c r="D280" i="25"/>
  <c r="F274" i="25"/>
  <c r="Y276" i="23" s="1"/>
  <c r="H268" i="25"/>
  <c r="H265" i="25"/>
  <c r="F262" i="25"/>
  <c r="Y264" i="23" s="1"/>
  <c r="H259" i="25"/>
  <c r="D251" i="25"/>
  <c r="F248" i="25"/>
  <c r="Y250" i="23" s="1"/>
  <c r="H245" i="25"/>
  <c r="F231" i="25"/>
  <c r="H228" i="25"/>
  <c r="F374" i="25"/>
  <c r="H366" i="25"/>
  <c r="F359" i="25"/>
  <c r="B345" i="25"/>
  <c r="H334" i="25"/>
  <c r="B328" i="25"/>
  <c r="AB330" i="23" s="1"/>
  <c r="B318" i="25"/>
  <c r="AB320" i="23" s="1"/>
  <c r="I314" i="25"/>
  <c r="F311" i="25"/>
  <c r="D374" i="25"/>
  <c r="D370" i="25"/>
  <c r="F371" i="25"/>
  <c r="I365" i="25"/>
  <c r="H361" i="25"/>
  <c r="I356" i="25"/>
  <c r="B352" i="25"/>
  <c r="F347" i="25"/>
  <c r="I337" i="25"/>
  <c r="F329" i="25"/>
  <c r="F325" i="25"/>
  <c r="H320" i="25"/>
  <c r="H316" i="25"/>
  <c r="B296" i="25"/>
  <c r="I288" i="25"/>
  <c r="B285" i="25"/>
  <c r="H281" i="25"/>
  <c r="I277" i="25"/>
  <c r="H270" i="25"/>
  <c r="B267" i="25"/>
  <c r="AB269" i="23" s="1"/>
  <c r="F263" i="25"/>
  <c r="Y265" i="23" s="1"/>
  <c r="B253" i="25"/>
  <c r="B239" i="25"/>
  <c r="AB241" i="23" s="1"/>
  <c r="I235" i="25"/>
  <c r="F232" i="25"/>
  <c r="Y234" i="23" s="1"/>
  <c r="I208" i="25"/>
  <c r="I205" i="25"/>
  <c r="I202" i="25"/>
  <c r="H199" i="25"/>
  <c r="F190" i="25"/>
  <c r="F187" i="25"/>
  <c r="I181" i="25"/>
  <c r="I164" i="25"/>
  <c r="I147" i="25"/>
  <c r="B145" i="25"/>
  <c r="D142" i="25"/>
  <c r="H139" i="25"/>
  <c r="B132" i="25"/>
  <c r="F129" i="25"/>
  <c r="Y131" i="23" s="1"/>
  <c r="I121" i="25"/>
  <c r="D119" i="25"/>
  <c r="H116" i="25"/>
  <c r="B109" i="25"/>
  <c r="AB111" i="23" s="1"/>
  <c r="F106" i="25"/>
  <c r="I98" i="25"/>
  <c r="D96" i="25"/>
  <c r="H93" i="25"/>
  <c r="B91" i="25"/>
  <c r="AB93" i="23" s="1"/>
  <c r="D85" i="25"/>
  <c r="F79" i="25"/>
  <c r="I73" i="25"/>
  <c r="B68" i="25"/>
  <c r="D62" i="25"/>
  <c r="H365" i="25"/>
  <c r="H356" i="25"/>
  <c r="I351" i="25"/>
  <c r="H337" i="25"/>
  <c r="F333" i="25"/>
  <c r="B308" i="25"/>
  <c r="I303" i="25"/>
  <c r="B292" i="25"/>
  <c r="H288" i="25"/>
  <c r="F277" i="25"/>
  <c r="Y279" i="23" s="1"/>
  <c r="B274" i="25"/>
  <c r="AB276" i="23" s="1"/>
  <c r="D270" i="25"/>
  <c r="F259" i="25"/>
  <c r="F249" i="25"/>
  <c r="I245" i="25"/>
  <c r="F242" i="25"/>
  <c r="Y244" i="23" s="1"/>
  <c r="H235" i="25"/>
  <c r="F228" i="25"/>
  <c r="Y230" i="23" s="1"/>
  <c r="D225" i="25"/>
  <c r="F218" i="25"/>
  <c r="Y220" i="23" s="1"/>
  <c r="B215" i="25"/>
  <c r="I211" i="25"/>
  <c r="H208" i="25"/>
  <c r="H205" i="25"/>
  <c r="H202" i="25"/>
  <c r="F199" i="25"/>
  <c r="D196" i="25"/>
  <c r="D193" i="25"/>
  <c r="F184" i="25"/>
  <c r="H181" i="25"/>
  <c r="I178" i="25"/>
  <c r="I175" i="25"/>
  <c r="B173" i="25"/>
  <c r="D170" i="25"/>
  <c r="F167" i="25"/>
  <c r="H164" i="25"/>
  <c r="I161" i="25"/>
  <c r="I158" i="25"/>
  <c r="B156" i="25"/>
  <c r="D153" i="25"/>
  <c r="F150" i="25"/>
  <c r="H147" i="25"/>
  <c r="I144" i="25"/>
  <c r="B137" i="25"/>
  <c r="F134" i="25"/>
  <c r="I126" i="25"/>
  <c r="D124" i="25"/>
  <c r="H121" i="25"/>
  <c r="B114" i="25"/>
  <c r="F111" i="25"/>
  <c r="I103" i="25"/>
  <c r="D101" i="25"/>
  <c r="H98" i="25"/>
  <c r="F93" i="25"/>
  <c r="Y95" i="23" s="1"/>
  <c r="B88" i="25"/>
  <c r="AB90" i="23" s="1"/>
  <c r="D82" i="25"/>
  <c r="F76" i="25"/>
  <c r="I70" i="25"/>
  <c r="B65" i="25"/>
  <c r="AB67" i="23" s="1"/>
  <c r="D59" i="25"/>
  <c r="F56" i="25"/>
  <c r="Y58" i="23" s="1"/>
  <c r="I52" i="25"/>
  <c r="F47" i="25"/>
  <c r="I370" i="25"/>
  <c r="H369" i="25"/>
  <c r="D360" i="25"/>
  <c r="B351" i="25"/>
  <c r="D341" i="25"/>
  <c r="D337" i="25"/>
  <c r="H332" i="25"/>
  <c r="I323" i="25"/>
  <c r="H315" i="25"/>
  <c r="D311" i="25"/>
  <c r="B295" i="25"/>
  <c r="I287" i="25"/>
  <c r="F284" i="25"/>
  <c r="I269" i="25"/>
  <c r="D262" i="25"/>
  <c r="B259" i="25"/>
  <c r="AB261" i="23" s="1"/>
  <c r="H255" i="25"/>
  <c r="D252" i="25"/>
  <c r="D245" i="25"/>
  <c r="I241" i="25"/>
  <c r="F238" i="25"/>
  <c r="Y240" i="23" s="1"/>
  <c r="D231" i="25"/>
  <c r="B228" i="25"/>
  <c r="AB230" i="23" s="1"/>
  <c r="I224" i="25"/>
  <c r="D221" i="25"/>
  <c r="H217" i="25"/>
  <c r="D211" i="25"/>
  <c r="D208" i="25"/>
  <c r="D205" i="25"/>
  <c r="B202" i="25"/>
  <c r="I198" i="25"/>
  <c r="H195" i="25"/>
  <c r="I192" i="25"/>
  <c r="I189" i="25"/>
  <c r="I169" i="25"/>
  <c r="B167" i="25"/>
  <c r="AB169" i="23" s="1"/>
  <c r="I152" i="25"/>
  <c r="B150" i="25"/>
  <c r="D144" i="25"/>
  <c r="H141" i="25"/>
  <c r="B134" i="25"/>
  <c r="AB136" i="23" s="1"/>
  <c r="F131" i="25"/>
  <c r="Y133" i="23" s="1"/>
  <c r="I123" i="25"/>
  <c r="D121" i="25"/>
  <c r="H118" i="25"/>
  <c r="B111" i="25"/>
  <c r="F108" i="25"/>
  <c r="I375" i="25"/>
  <c r="B365" i="25"/>
  <c r="F355" i="25"/>
  <c r="B337" i="25"/>
  <c r="D328" i="25"/>
  <c r="H323" i="25"/>
  <c r="B320" i="25"/>
  <c r="I306" i="25"/>
  <c r="D303" i="25"/>
  <c r="D299" i="25"/>
  <c r="F291" i="25"/>
  <c r="H287" i="25"/>
  <c r="D284" i="25"/>
  <c r="I276" i="25"/>
  <c r="F273" i="25"/>
  <c r="Y275" i="23" s="1"/>
  <c r="H269" i="25"/>
  <c r="D266" i="25"/>
  <c r="B252" i="25"/>
  <c r="I364" i="25"/>
  <c r="B355" i="25"/>
  <c r="AB357" i="23" s="1"/>
  <c r="I340" i="25"/>
  <c r="I336" i="25"/>
  <c r="D332" i="25"/>
  <c r="I327" i="25"/>
  <c r="F323" i="25"/>
  <c r="H319" i="25"/>
  <c r="B369" i="25"/>
  <c r="F364" i="25"/>
  <c r="D359" i="25"/>
  <c r="H345" i="25"/>
  <c r="H340" i="25"/>
  <c r="F336" i="25"/>
  <c r="H327" i="25"/>
  <c r="H314" i="25"/>
  <c r="I310" i="25"/>
  <c r="F306" i="25"/>
  <c r="I302" i="25"/>
  <c r="D298" i="25"/>
  <c r="F294" i="25"/>
  <c r="I290" i="25"/>
  <c r="H283" i="25"/>
  <c r="I279" i="25"/>
  <c r="F276" i="25"/>
  <c r="H272" i="25"/>
  <c r="D269" i="25"/>
  <c r="I261" i="25"/>
  <c r="F258" i="25"/>
  <c r="D255" i="25"/>
  <c r="F251" i="25"/>
  <c r="B248" i="25"/>
  <c r="D241" i="25"/>
  <c r="B234" i="25"/>
  <c r="I230" i="25"/>
  <c r="B224" i="25"/>
  <c r="AB226" i="23" s="1"/>
  <c r="F220" i="25"/>
  <c r="Y222" i="23" s="1"/>
  <c r="B217" i="25"/>
  <c r="AB219" i="23" s="1"/>
  <c r="I213" i="25"/>
  <c r="I210" i="25"/>
  <c r="I207" i="25"/>
  <c r="D198" i="25"/>
  <c r="D195" i="25"/>
  <c r="D192" i="25"/>
  <c r="D183" i="25"/>
  <c r="F180" i="25"/>
  <c r="H177" i="25"/>
  <c r="I354" i="25"/>
  <c r="H348" i="25"/>
  <c r="I342" i="25"/>
  <c r="H335" i="25"/>
  <c r="B330" i="25"/>
  <c r="B301" i="25"/>
  <c r="I295" i="25"/>
  <c r="I281" i="25"/>
  <c r="B272" i="25"/>
  <c r="D249" i="25"/>
  <c r="F244" i="25"/>
  <c r="Y246" i="23" s="1"/>
  <c r="D236" i="25"/>
  <c r="D232" i="25"/>
  <c r="I227" i="25"/>
  <c r="F219" i="25"/>
  <c r="H203" i="25"/>
  <c r="D200" i="25"/>
  <c r="B196" i="25"/>
  <c r="AB198" i="23" s="1"/>
  <c r="F192" i="25"/>
  <c r="Y194" i="23" s="1"/>
  <c r="D185" i="25"/>
  <c r="B182" i="25"/>
  <c r="D178" i="25"/>
  <c r="I174" i="25"/>
  <c r="D168" i="25"/>
  <c r="H161" i="25"/>
  <c r="D158" i="25"/>
  <c r="F145" i="25"/>
  <c r="D139" i="25"/>
  <c r="D136" i="25"/>
  <c r="F130" i="25"/>
  <c r="F127" i="25"/>
  <c r="Y129" i="23" s="1"/>
  <c r="F121" i="25"/>
  <c r="Y123" i="23" s="1"/>
  <c r="F118" i="25"/>
  <c r="F115" i="25"/>
  <c r="H109" i="25"/>
  <c r="I106" i="25"/>
  <c r="H103" i="25"/>
  <c r="I100" i="25"/>
  <c r="B98" i="25"/>
  <c r="AB100" i="23" s="1"/>
  <c r="D95" i="25"/>
  <c r="F92" i="25"/>
  <c r="Y94" i="23" s="1"/>
  <c r="F89" i="25"/>
  <c r="D83" i="25"/>
  <c r="B80" i="25"/>
  <c r="F73" i="25"/>
  <c r="D67" i="25"/>
  <c r="B61" i="25"/>
  <c r="I361" i="25"/>
  <c r="D354" i="25"/>
  <c r="H342" i="25"/>
  <c r="F335" i="25"/>
  <c r="I317" i="25"/>
  <c r="I312" i="25"/>
  <c r="D306" i="25"/>
  <c r="F295" i="25"/>
  <c r="H285" i="25"/>
  <c r="H271" i="25"/>
  <c r="D267" i="25"/>
  <c r="B262" i="25"/>
  <c r="B258" i="25"/>
  <c r="AB260" i="23" s="1"/>
  <c r="F253" i="25"/>
  <c r="Y255" i="23" s="1"/>
  <c r="D240" i="25"/>
  <c r="H227" i="25"/>
  <c r="D223" i="25"/>
  <c r="F215" i="25"/>
  <c r="Y217" i="23" s="1"/>
  <c r="F207" i="25"/>
  <c r="I188" i="25"/>
  <c r="B178" i="25"/>
  <c r="H174" i="25"/>
  <c r="F171" i="25"/>
  <c r="B165" i="25"/>
  <c r="B155" i="25"/>
  <c r="F148" i="25"/>
  <c r="B142" i="25"/>
  <c r="B139" i="25"/>
  <c r="AB141" i="23" s="1"/>
  <c r="D133" i="25"/>
  <c r="F124" i="25"/>
  <c r="Y126" i="23" s="1"/>
  <c r="F112" i="25"/>
  <c r="Y114" i="23" s="1"/>
  <c r="H106" i="25"/>
  <c r="H100" i="25"/>
  <c r="D86" i="25"/>
  <c r="I76" i="25"/>
  <c r="D70" i="25"/>
  <c r="B64" i="25"/>
  <c r="AB66" i="23" s="1"/>
  <c r="I60" i="25"/>
  <c r="I57" i="25"/>
  <c r="I54" i="25"/>
  <c r="I48" i="25"/>
  <c r="B368" i="25"/>
  <c r="F361" i="25"/>
  <c r="B348" i="25"/>
  <c r="I329" i="25"/>
  <c r="D323" i="25"/>
  <c r="H317" i="25"/>
  <c r="D312" i="25"/>
  <c r="B306" i="25"/>
  <c r="I300" i="25"/>
  <c r="D290" i="25"/>
  <c r="F285" i="25"/>
  <c r="D281" i="25"/>
  <c r="D276" i="25"/>
  <c r="F271" i="25"/>
  <c r="Y273" i="23" s="1"/>
  <c r="I257" i="25"/>
  <c r="B249" i="25"/>
  <c r="AB251" i="23" s="1"/>
  <c r="D244" i="25"/>
  <c r="B240" i="25"/>
  <c r="AB242" i="23" s="1"/>
  <c r="B236" i="25"/>
  <c r="F227" i="25"/>
  <c r="B223" i="25"/>
  <c r="AB225" i="23" s="1"/>
  <c r="B219" i="25"/>
  <c r="I214" i="25"/>
  <c r="B211" i="25"/>
  <c r="D207" i="25"/>
  <c r="F203" i="25"/>
  <c r="I195" i="25"/>
  <c r="I367" i="25"/>
  <c r="B354" i="25"/>
  <c r="F366" i="25"/>
  <c r="I359" i="25"/>
  <c r="I353" i="25"/>
  <c r="F340" i="25"/>
  <c r="F334" i="25"/>
  <c r="I328" i="25"/>
  <c r="D317" i="25"/>
  <c r="B311" i="25"/>
  <c r="F305" i="25"/>
  <c r="F300" i="25"/>
  <c r="D294" i="25"/>
  <c r="I289" i="25"/>
  <c r="F266" i="25"/>
  <c r="F261" i="25"/>
  <c r="Y263" i="23" s="1"/>
  <c r="B257" i="25"/>
  <c r="I252" i="25"/>
  <c r="I243" i="25"/>
  <c r="F239" i="25"/>
  <c r="F235" i="25"/>
  <c r="H222" i="25"/>
  <c r="H218" i="25"/>
  <c r="D214" i="25"/>
  <c r="H206" i="25"/>
  <c r="D199" i="25"/>
  <c r="I191" i="25"/>
  <c r="H184" i="25"/>
  <c r="I180" i="25"/>
  <c r="F177" i="25"/>
  <c r="Y179" i="23" s="1"/>
  <c r="I170" i="25"/>
  <c r="H167" i="25"/>
  <c r="D164" i="25"/>
  <c r="I160" i="25"/>
  <c r="H157" i="25"/>
  <c r="F154" i="25"/>
  <c r="Y156" i="23" s="1"/>
  <c r="B148" i="25"/>
  <c r="F141" i="25"/>
  <c r="Y143" i="23" s="1"/>
  <c r="H135" i="25"/>
  <c r="I132" i="25"/>
  <c r="I129" i="25"/>
  <c r="H126" i="25"/>
  <c r="H123" i="25"/>
  <c r="I120" i="25"/>
  <c r="I117" i="25"/>
  <c r="B112" i="25"/>
  <c r="B106" i="25"/>
  <c r="B103" i="25"/>
  <c r="D100" i="25"/>
  <c r="F97" i="25"/>
  <c r="Y99" i="23" s="1"/>
  <c r="H94" i="25"/>
  <c r="I85" i="25"/>
  <c r="F82" i="25"/>
  <c r="Y84" i="23" s="1"/>
  <c r="B76" i="25"/>
  <c r="AB78" i="23" s="1"/>
  <c r="I69" i="25"/>
  <c r="D60" i="25"/>
  <c r="D57" i="25"/>
  <c r="I53" i="25"/>
  <c r="I47" i="25"/>
  <c r="F373" i="25"/>
  <c r="B347" i="25"/>
  <c r="H328" i="25"/>
  <c r="I322" i="25"/>
  <c r="H310" i="25"/>
  <c r="D305" i="25"/>
  <c r="B300" i="25"/>
  <c r="F289" i="25"/>
  <c r="I284" i="25"/>
  <c r="H279" i="25"/>
  <c r="B271" i="25"/>
  <c r="I265" i="25"/>
  <c r="I256" i="25"/>
  <c r="H252" i="25"/>
  <c r="I247" i="25"/>
  <c r="D235" i="25"/>
  <c r="H230" i="25"/>
  <c r="D218" i="25"/>
  <c r="F210" i="25"/>
  <c r="Y212" i="23" s="1"/>
  <c r="B203" i="25"/>
  <c r="AB205" i="23" s="1"/>
  <c r="B195" i="25"/>
  <c r="AB197" i="23" s="1"/>
  <c r="B188" i="25"/>
  <c r="H180" i="25"/>
  <c r="B174" i="25"/>
  <c r="H170" i="25"/>
  <c r="I163" i="25"/>
  <c r="H160" i="25"/>
  <c r="B151" i="25"/>
  <c r="F144" i="25"/>
  <c r="Y146" i="23" s="1"/>
  <c r="F138" i="25"/>
  <c r="H129" i="25"/>
  <c r="H120" i="25"/>
  <c r="H117" i="25"/>
  <c r="I114" i="25"/>
  <c r="I108" i="25"/>
  <c r="H105" i="25"/>
  <c r="I91" i="25"/>
  <c r="D373" i="25"/>
  <c r="H346" i="25"/>
  <c r="D327" i="25"/>
  <c r="F322" i="25"/>
  <c r="F316" i="25"/>
  <c r="F299" i="25"/>
  <c r="F279" i="25"/>
  <c r="B275" i="25"/>
  <c r="AB277" i="23" s="1"/>
  <c r="B265" i="25"/>
  <c r="B261" i="25"/>
  <c r="I238" i="25"/>
  <c r="F234" i="25"/>
  <c r="F230" i="25"/>
  <c r="B218" i="25"/>
  <c r="H213" i="25"/>
  <c r="D206" i="25"/>
  <c r="I358" i="25"/>
  <c r="I352" i="25"/>
  <c r="D346" i="25"/>
  <c r="B340" i="25"/>
  <c r="AB342" i="23" s="1"/>
  <c r="I333" i="25"/>
  <c r="B327" i="25"/>
  <c r="AB329" i="23" s="1"/>
  <c r="D304" i="25"/>
  <c r="I293" i="25"/>
  <c r="B289" i="25"/>
  <c r="AB291" i="23" s="1"/>
  <c r="B270" i="25"/>
  <c r="F256" i="25"/>
  <c r="Y258" i="23" s="1"/>
  <c r="I251" i="25"/>
  <c r="D247" i="25"/>
  <c r="B243" i="25"/>
  <c r="AB245" i="23" s="1"/>
  <c r="H238" i="25"/>
  <c r="B226" i="25"/>
  <c r="D222" i="25"/>
  <c r="F217" i="25"/>
  <c r="Y219" i="23" s="1"/>
  <c r="B210" i="25"/>
  <c r="H194" i="25"/>
  <c r="B191" i="25"/>
  <c r="I183" i="25"/>
  <c r="D180" i="25"/>
  <c r="B177" i="25"/>
  <c r="AB179" i="23" s="1"/>
  <c r="F173" i="25"/>
  <c r="I166" i="25"/>
  <c r="F163" i="25"/>
  <c r="Y165" i="23" s="1"/>
  <c r="D157" i="25"/>
  <c r="I153" i="25"/>
  <c r="H150" i="25"/>
  <c r="D147" i="25"/>
  <c r="B141" i="25"/>
  <c r="D135" i="25"/>
  <c r="D132" i="25"/>
  <c r="D123" i="25"/>
  <c r="D120" i="25"/>
  <c r="F114" i="25"/>
  <c r="I99" i="25"/>
  <c r="B97" i="25"/>
  <c r="AB99" i="23" s="1"/>
  <c r="D94" i="25"/>
  <c r="F91" i="25"/>
  <c r="D88" i="25"/>
  <c r="I81" i="25"/>
  <c r="F75" i="25"/>
  <c r="D69" i="25"/>
  <c r="B66" i="25"/>
  <c r="I59" i="25"/>
  <c r="I56" i="25"/>
  <c r="B359" i="25"/>
  <c r="AB361" i="23" s="1"/>
  <c r="I349" i="25"/>
  <c r="I305" i="25"/>
  <c r="F297" i="25"/>
  <c r="B290" i="25"/>
  <c r="H282" i="25"/>
  <c r="H276" i="25"/>
  <c r="D263" i="25"/>
  <c r="I255" i="25"/>
  <c r="H242" i="25"/>
  <c r="I236" i="25"/>
  <c r="D230" i="25"/>
  <c r="H224" i="25"/>
  <c r="H212" i="25"/>
  <c r="I206" i="25"/>
  <c r="B201" i="25"/>
  <c r="H196" i="25"/>
  <c r="I190" i="25"/>
  <c r="D186" i="25"/>
  <c r="H172" i="25"/>
  <c r="B160" i="25"/>
  <c r="AB162" i="23" s="1"/>
  <c r="I155" i="25"/>
  <c r="F151" i="25"/>
  <c r="Y153" i="23" s="1"/>
  <c r="B147" i="25"/>
  <c r="AB149" i="23" s="1"/>
  <c r="D143" i="25"/>
  <c r="F139" i="25"/>
  <c r="F135" i="25"/>
  <c r="Y137" i="23" s="1"/>
  <c r="B128" i="25"/>
  <c r="AB130" i="23" s="1"/>
  <c r="B124" i="25"/>
  <c r="AB126" i="23" s="1"/>
  <c r="B120" i="25"/>
  <c r="AB122" i="23" s="1"/>
  <c r="H112" i="25"/>
  <c r="I104" i="25"/>
  <c r="F101" i="25"/>
  <c r="F86" i="25"/>
  <c r="I74" i="25"/>
  <c r="B71" i="25"/>
  <c r="B63" i="25"/>
  <c r="B59" i="25"/>
  <c r="F55" i="25"/>
  <c r="H358" i="25"/>
  <c r="H349" i="25"/>
  <c r="H339" i="25"/>
  <c r="I330" i="25"/>
  <c r="I313" i="25"/>
  <c r="B305" i="25"/>
  <c r="AB307" i="23" s="1"/>
  <c r="I268" i="25"/>
  <c r="F255" i="25"/>
  <c r="Y257" i="23" s="1"/>
  <c r="I249" i="25"/>
  <c r="F206" i="25"/>
  <c r="Y208" i="23" s="1"/>
  <c r="H190" i="25"/>
  <c r="F181" i="25"/>
  <c r="Y183" i="23" s="1"/>
  <c r="F172" i="25"/>
  <c r="F168" i="25"/>
  <c r="H163" i="25"/>
  <c r="H155" i="25"/>
  <c r="H146" i="25"/>
  <c r="D116" i="25"/>
  <c r="H104" i="25"/>
  <c r="D97" i="25"/>
  <c r="I93" i="25"/>
  <c r="B90" i="25"/>
  <c r="B82" i="25"/>
  <c r="D78" i="25"/>
  <c r="F74" i="25"/>
  <c r="Y76" i="23" s="1"/>
  <c r="I66" i="25"/>
  <c r="I62" i="25"/>
  <c r="F49" i="25"/>
  <c r="Y51" i="23" s="1"/>
  <c r="B370" i="25"/>
  <c r="AB372" i="23" s="1"/>
  <c r="F358" i="25"/>
  <c r="F339" i="25"/>
  <c r="H330" i="25"/>
  <c r="B321" i="25"/>
  <c r="AB323" i="23" s="1"/>
  <c r="H313" i="25"/>
  <c r="B297" i="25"/>
  <c r="AB299" i="23" s="1"/>
  <c r="D289" i="25"/>
  <c r="F282" i="25"/>
  <c r="B276" i="25"/>
  <c r="H261" i="25"/>
  <c r="H249" i="25"/>
  <c r="B242" i="25"/>
  <c r="F236" i="25"/>
  <c r="Y238" i="23" s="1"/>
  <c r="B230" i="25"/>
  <c r="D217" i="25"/>
  <c r="B206" i="25"/>
  <c r="AB208" i="23" s="1"/>
  <c r="I200" i="25"/>
  <c r="F195" i="25"/>
  <c r="Y197" i="23" s="1"/>
  <c r="I185" i="25"/>
  <c r="I176" i="25"/>
  <c r="I159" i="25"/>
  <c r="F155" i="25"/>
  <c r="Y157" i="23" s="1"/>
  <c r="D151" i="25"/>
  <c r="B143" i="25"/>
  <c r="AB145" i="23" s="1"/>
  <c r="B135" i="25"/>
  <c r="D131" i="25"/>
  <c r="H127" i="25"/>
  <c r="F123" i="25"/>
  <c r="Y125" i="23" s="1"/>
  <c r="I119" i="25"/>
  <c r="B116" i="25"/>
  <c r="D112" i="25"/>
  <c r="B108" i="25"/>
  <c r="B101" i="25"/>
  <c r="B86" i="25"/>
  <c r="F70" i="25"/>
  <c r="F66" i="25"/>
  <c r="D369" i="25"/>
  <c r="H338" i="25"/>
  <c r="B304" i="25"/>
  <c r="I254" i="25"/>
  <c r="D248" i="25"/>
  <c r="I223" i="25"/>
  <c r="B212" i="25"/>
  <c r="AB214" i="23" s="1"/>
  <c r="H368" i="25"/>
  <c r="D358" i="25"/>
  <c r="I348" i="25"/>
  <c r="F338" i="25"/>
  <c r="F330" i="25"/>
  <c r="I320" i="25"/>
  <c r="F313" i="25"/>
  <c r="H303" i="25"/>
  <c r="I296" i="25"/>
  <c r="D288" i="25"/>
  <c r="D282" i="25"/>
  <c r="D268" i="25"/>
  <c r="D261" i="25"/>
  <c r="H254" i="25"/>
  <c r="H241" i="25"/>
  <c r="I357" i="25"/>
  <c r="H347" i="25"/>
  <c r="H329" i="25"/>
  <c r="F320" i="25"/>
  <c r="B313" i="25"/>
  <c r="H296" i="25"/>
  <c r="I260" i="25"/>
  <c r="H247" i="25"/>
  <c r="F241" i="25"/>
  <c r="D229" i="25"/>
  <c r="H216" i="25"/>
  <c r="F205" i="25"/>
  <c r="F200" i="25"/>
  <c r="Y202" i="23" s="1"/>
  <c r="F185" i="25"/>
  <c r="Y187" i="23" s="1"/>
  <c r="B172" i="25"/>
  <c r="I167" i="25"/>
  <c r="D146" i="25"/>
  <c r="H142" i="25"/>
  <c r="H134" i="25"/>
  <c r="B123" i="25"/>
  <c r="F119" i="25"/>
  <c r="Y121" i="23" s="1"/>
  <c r="H115" i="25"/>
  <c r="H111" i="25"/>
  <c r="H107" i="25"/>
  <c r="D104" i="25"/>
  <c r="H96" i="25"/>
  <c r="B93" i="25"/>
  <c r="D89" i="25"/>
  <c r="I77" i="25"/>
  <c r="B74" i="25"/>
  <c r="AB76" i="23" s="1"/>
  <c r="B62" i="25"/>
  <c r="AB64" i="23" s="1"/>
  <c r="F368" i="25"/>
  <c r="D329" i="25"/>
  <c r="H311" i="25"/>
  <c r="F303" i="25"/>
  <c r="B282" i="25"/>
  <c r="AB284" i="23" s="1"/>
  <c r="D274" i="25"/>
  <c r="H267" i="25"/>
  <c r="D254" i="25"/>
  <c r="B235" i="25"/>
  <c r="I222" i="25"/>
  <c r="F216" i="25"/>
  <c r="F194" i="25"/>
  <c r="H189" i="25"/>
  <c r="B185" i="25"/>
  <c r="B176" i="25"/>
  <c r="D167" i="25"/>
  <c r="B163" i="25"/>
  <c r="D159" i="25"/>
  <c r="I154" i="25"/>
  <c r="D150" i="25"/>
  <c r="D138" i="25"/>
  <c r="I130" i="25"/>
  <c r="B127" i="25"/>
  <c r="I122" i="25"/>
  <c r="D115" i="25"/>
  <c r="D111" i="25"/>
  <c r="B100" i="25"/>
  <c r="AB102" i="23" s="1"/>
  <c r="B85" i="25"/>
  <c r="D81" i="25"/>
  <c r="I65" i="25"/>
  <c r="D58" i="25"/>
  <c r="F54" i="25"/>
  <c r="I46" i="25"/>
  <c r="D366" i="25"/>
  <c r="I344" i="25"/>
  <c r="D310" i="25"/>
  <c r="F287" i="25"/>
  <c r="I273" i="25"/>
  <c r="F267" i="25"/>
  <c r="B241" i="25"/>
  <c r="AB243" i="23" s="1"/>
  <c r="I233" i="25"/>
  <c r="D216" i="25"/>
  <c r="D210" i="25"/>
  <c r="I204" i="25"/>
  <c r="F189" i="25"/>
  <c r="Y191" i="23" s="1"/>
  <c r="I184" i="25"/>
  <c r="H166" i="25"/>
  <c r="I162" i="25"/>
  <c r="B154" i="25"/>
  <c r="AB156" i="23" s="1"/>
  <c r="I141" i="25"/>
  <c r="D126" i="25"/>
  <c r="B115" i="25"/>
  <c r="F103" i="25"/>
  <c r="Y105" i="23" s="1"/>
  <c r="H99" i="25"/>
  <c r="H92" i="25"/>
  <c r="I88" i="25"/>
  <c r="B81" i="25"/>
  <c r="D77" i="25"/>
  <c r="F65" i="25"/>
  <c r="Y67" i="23" s="1"/>
  <c r="B58" i="25"/>
  <c r="F46" i="25"/>
  <c r="Y48" i="23" s="1"/>
  <c r="D365" i="25"/>
  <c r="F344" i="25"/>
  <c r="I326" i="25"/>
  <c r="I309" i="25"/>
  <c r="B302" i="25"/>
  <c r="B294" i="25"/>
  <c r="B280" i="25"/>
  <c r="AB282" i="23" s="1"/>
  <c r="H273" i="25"/>
  <c r="I266" i="25"/>
  <c r="I259" i="25"/>
  <c r="H253" i="25"/>
  <c r="I246" i="25"/>
  <c r="I240" i="25"/>
  <c r="H233" i="25"/>
  <c r="D228" i="25"/>
  <c r="F221" i="25"/>
  <c r="H204" i="25"/>
  <c r="B194" i="25"/>
  <c r="D189" i="25"/>
  <c r="D184" i="25"/>
  <c r="I179" i="25"/>
  <c r="F175" i="25"/>
  <c r="B171" i="25"/>
  <c r="H162" i="25"/>
  <c r="F158" i="25"/>
  <c r="Y160" i="23" s="1"/>
  <c r="H149" i="25"/>
  <c r="I145" i="25"/>
  <c r="I137" i="25"/>
  <c r="B126" i="25"/>
  <c r="AB128" i="23" s="1"/>
  <c r="F122" i="25"/>
  <c r="Y124" i="23" s="1"/>
  <c r="I118" i="25"/>
  <c r="H114" i="25"/>
  <c r="I110" i="25"/>
  <c r="D107" i="25"/>
  <c r="D103" i="25"/>
  <c r="F84" i="25"/>
  <c r="Y86" i="23" s="1"/>
  <c r="I343" i="25"/>
  <c r="F326" i="25"/>
  <c r="D314" i="25"/>
  <c r="I242" i="25"/>
  <c r="I232" i="25"/>
  <c r="B221" i="25"/>
  <c r="AB223" i="23" s="1"/>
  <c r="B197" i="25"/>
  <c r="F182" i="25"/>
  <c r="D169" i="25"/>
  <c r="I156" i="25"/>
  <c r="B144" i="25"/>
  <c r="AB146" i="23" s="1"/>
  <c r="H138" i="25"/>
  <c r="B133" i="25"/>
  <c r="F116" i="25"/>
  <c r="D110" i="25"/>
  <c r="B105" i="25"/>
  <c r="D99" i="25"/>
  <c r="B72" i="25"/>
  <c r="B67" i="25"/>
  <c r="D61" i="25"/>
  <c r="D56" i="25"/>
  <c r="I49" i="25"/>
  <c r="D362" i="25"/>
  <c r="H343" i="25"/>
  <c r="B277" i="25"/>
  <c r="D264" i="25"/>
  <c r="H232" i="25"/>
  <c r="I196" i="25"/>
  <c r="D188" i="25"/>
  <c r="B175" i="25"/>
  <c r="F162" i="25"/>
  <c r="F156" i="25"/>
  <c r="Y158" i="23" s="1"/>
  <c r="I143" i="25"/>
  <c r="B138" i="25"/>
  <c r="AB140" i="23" s="1"/>
  <c r="D127" i="25"/>
  <c r="I87" i="25"/>
  <c r="B83" i="25"/>
  <c r="AB85" i="23" s="1"/>
  <c r="B77" i="25"/>
  <c r="AB79" i="23" s="1"/>
  <c r="I71" i="25"/>
  <c r="D66" i="25"/>
  <c r="B362" i="25"/>
  <c r="D326" i="25"/>
  <c r="B314" i="25"/>
  <c r="B251" i="25"/>
  <c r="H240" i="25"/>
  <c r="I220" i="25"/>
  <c r="I212" i="25"/>
  <c r="D203" i="25"/>
  <c r="D182" i="25"/>
  <c r="B169" i="25"/>
  <c r="F149" i="25"/>
  <c r="H143" i="25"/>
  <c r="H137" i="25"/>
  <c r="F132" i="25"/>
  <c r="Y134" i="23" s="1"/>
  <c r="F126" i="25"/>
  <c r="Y128" i="23" s="1"/>
  <c r="I115" i="25"/>
  <c r="B110" i="25"/>
  <c r="F104" i="25"/>
  <c r="Y106" i="23" s="1"/>
  <c r="D357" i="25"/>
  <c r="D343" i="25"/>
  <c r="B326" i="25"/>
  <c r="AB328" i="23" s="1"/>
  <c r="H309" i="25"/>
  <c r="I272" i="25"/>
  <c r="I250" i="25"/>
  <c r="H210" i="25"/>
  <c r="D187" i="25"/>
  <c r="B168" i="25"/>
  <c r="AB170" i="23" s="1"/>
  <c r="B149" i="25"/>
  <c r="F143" i="25"/>
  <c r="I125" i="25"/>
  <c r="I109" i="25"/>
  <c r="B104" i="25"/>
  <c r="AB106" i="23" s="1"/>
  <c r="I55" i="25"/>
  <c r="B356" i="25"/>
  <c r="AB358" i="23" s="1"/>
  <c r="H297" i="25"/>
  <c r="D285" i="25"/>
  <c r="I263" i="25"/>
  <c r="H250" i="25"/>
  <c r="D239" i="25"/>
  <c r="H229" i="25"/>
  <c r="B220" i="25"/>
  <c r="AB222" i="23" s="1"/>
  <c r="F209" i="25"/>
  <c r="Y211" i="23" s="1"/>
  <c r="B180" i="25"/>
  <c r="AB182" i="23" s="1"/>
  <c r="D161" i="25"/>
  <c r="D137" i="25"/>
  <c r="I131" i="25"/>
  <c r="H125" i="25"/>
  <c r="F109" i="25"/>
  <c r="Y111" i="23" s="1"/>
  <c r="I92" i="25"/>
  <c r="D87" i="25"/>
  <c r="F81" i="25"/>
  <c r="Y83" i="23" s="1"/>
  <c r="D71" i="25"/>
  <c r="D65" i="25"/>
  <c r="D340" i="25"/>
  <c r="B309" i="25"/>
  <c r="H294" i="25"/>
  <c r="B284" i="25"/>
  <c r="AB286" i="23" s="1"/>
  <c r="D272" i="25"/>
  <c r="F250" i="25"/>
  <c r="Y252" i="23" s="1"/>
  <c r="I219" i="25"/>
  <c r="D209" i="25"/>
  <c r="F201" i="25"/>
  <c r="Y203" i="23" s="1"/>
  <c r="F193" i="25"/>
  <c r="Y195" i="23" s="1"/>
  <c r="I186" i="25"/>
  <c r="D166" i="25"/>
  <c r="H148" i="25"/>
  <c r="I142" i="25"/>
  <c r="I136" i="25"/>
  <c r="F125" i="25"/>
  <c r="Y127" i="23" s="1"/>
  <c r="D109" i="25"/>
  <c r="H102" i="25"/>
  <c r="B87" i="25"/>
  <c r="AB89" i="23" s="1"/>
  <c r="I80" i="25"/>
  <c r="I64" i="25"/>
  <c r="B373" i="25"/>
  <c r="F337" i="25"/>
  <c r="B283" i="25"/>
  <c r="D259" i="25"/>
  <c r="D238" i="25"/>
  <c r="H219" i="25"/>
  <c r="H186" i="25"/>
  <c r="F179" i="25"/>
  <c r="Y181" i="23" s="1"/>
  <c r="D173" i="25"/>
  <c r="H153" i="25"/>
  <c r="H136" i="25"/>
  <c r="B131" i="25"/>
  <c r="AB133" i="23" s="1"/>
  <c r="D125" i="25"/>
  <c r="H119" i="25"/>
  <c r="I113" i="25"/>
  <c r="H108" i="25"/>
  <c r="F102" i="25"/>
  <c r="I97" i="25"/>
  <c r="B92" i="25"/>
  <c r="B70" i="25"/>
  <c r="B55" i="25"/>
  <c r="F45" i="25"/>
  <c r="F353" i="25"/>
  <c r="B324" i="25"/>
  <c r="D293" i="25"/>
  <c r="D250" i="25"/>
  <c r="B238" i="25"/>
  <c r="AB240" i="23" s="1"/>
  <c r="B209" i="25"/>
  <c r="AB211" i="23" s="1"/>
  <c r="H200" i="25"/>
  <c r="B193" i="25"/>
  <c r="AB195" i="23" s="1"/>
  <c r="F186" i="25"/>
  <c r="B166" i="25"/>
  <c r="F160" i="25"/>
  <c r="Y162" i="23" s="1"/>
  <c r="D148" i="25"/>
  <c r="D141" i="25"/>
  <c r="F136" i="25"/>
  <c r="Y138" i="23" s="1"/>
  <c r="H130" i="25"/>
  <c r="H113" i="25"/>
  <c r="H97" i="25"/>
  <c r="H91" i="25"/>
  <c r="I86" i="25"/>
  <c r="F80" i="25"/>
  <c r="D75" i="25"/>
  <c r="F69" i="25"/>
  <c r="F64" i="25"/>
  <c r="F59" i="25"/>
  <c r="D364" i="25"/>
  <c r="D350" i="25"/>
  <c r="I332" i="25"/>
  <c r="H291" i="25"/>
  <c r="H266" i="25"/>
  <c r="H256" i="25"/>
  <c r="F233" i="25"/>
  <c r="I197" i="25"/>
  <c r="F170" i="25"/>
  <c r="Y172" i="23" s="1"/>
  <c r="D165" i="25"/>
  <c r="F152" i="25"/>
  <c r="H145" i="25"/>
  <c r="D134" i="25"/>
  <c r="H128" i="25"/>
  <c r="F117" i="25"/>
  <c r="Y119" i="23" s="1"/>
  <c r="D106" i="25"/>
  <c r="F95" i="25"/>
  <c r="Y97" i="23" s="1"/>
  <c r="B73" i="25"/>
  <c r="D68" i="25"/>
  <c r="F57" i="25"/>
  <c r="F51" i="25"/>
  <c r="F43" i="25"/>
  <c r="D363" i="25"/>
  <c r="D291" i="25"/>
  <c r="B189" i="25"/>
  <c r="AB191" i="23" s="1"/>
  <c r="I177" i="25"/>
  <c r="I165" i="25"/>
  <c r="B107" i="25"/>
  <c r="AB109" i="23" s="1"/>
  <c r="D90" i="25"/>
  <c r="F72" i="25"/>
  <c r="Y74" i="23" s="1"/>
  <c r="I43" i="25"/>
  <c r="I362" i="25"/>
  <c r="D334" i="25"/>
  <c r="H290" i="25"/>
  <c r="B247" i="25"/>
  <c r="B233" i="25"/>
  <c r="AB235" i="23" s="1"/>
  <c r="I215" i="25"/>
  <c r="I199" i="25"/>
  <c r="F188" i="25"/>
  <c r="Y190" i="23" s="1"/>
  <c r="D177" i="25"/>
  <c r="H165" i="25"/>
  <c r="D156" i="25"/>
  <c r="D145" i="25"/>
  <c r="I135" i="25"/>
  <c r="B117" i="25"/>
  <c r="D98" i="25"/>
  <c r="I89" i="25"/>
  <c r="D80" i="25"/>
  <c r="D72" i="25"/>
  <c r="I63" i="25"/>
  <c r="B56" i="25"/>
  <c r="AB58" i="23" s="1"/>
  <c r="H362" i="25"/>
  <c r="D308" i="25"/>
  <c r="H246" i="25"/>
  <c r="F214" i="25"/>
  <c r="Y216" i="23" s="1"/>
  <c r="F198" i="25"/>
  <c r="Y200" i="23" s="1"/>
  <c r="H187" i="25"/>
  <c r="D155" i="25"/>
  <c r="B125" i="25"/>
  <c r="I79" i="25"/>
  <c r="F63" i="25"/>
  <c r="D333" i="25"/>
  <c r="B287" i="25"/>
  <c r="B231" i="25"/>
  <c r="B187" i="25"/>
  <c r="F176" i="25"/>
  <c r="F165" i="25"/>
  <c r="F153" i="25"/>
  <c r="H144" i="25"/>
  <c r="I134" i="25"/>
  <c r="I116" i="25"/>
  <c r="I96" i="25"/>
  <c r="B89" i="25"/>
  <c r="D63" i="25"/>
  <c r="D55" i="25"/>
  <c r="F362" i="25"/>
  <c r="F332" i="25"/>
  <c r="D286" i="25"/>
  <c r="I264" i="25"/>
  <c r="D246" i="25"/>
  <c r="I228" i="25"/>
  <c r="F213" i="25"/>
  <c r="B198" i="25"/>
  <c r="H185" i="25"/>
  <c r="H175" i="25"/>
  <c r="I133" i="25"/>
  <c r="I124" i="25"/>
  <c r="F96" i="25"/>
  <c r="F88" i="25"/>
  <c r="D79" i="25"/>
  <c r="F71" i="25"/>
  <c r="F62" i="25"/>
  <c r="Y64" i="23" s="1"/>
  <c r="F53" i="25"/>
  <c r="Y55" i="23" s="1"/>
  <c r="D307" i="25"/>
  <c r="H284" i="25"/>
  <c r="H264" i="25"/>
  <c r="D227" i="25"/>
  <c r="D175" i="25"/>
  <c r="B153" i="25"/>
  <c r="AB155" i="23" s="1"/>
  <c r="H133" i="25"/>
  <c r="H124" i="25"/>
  <c r="D114" i="25"/>
  <c r="F105" i="25"/>
  <c r="I95" i="25"/>
  <c r="B79" i="25"/>
  <c r="I355" i="25"/>
  <c r="H306" i="25"/>
  <c r="I282" i="25"/>
  <c r="F245" i="25"/>
  <c r="F226" i="25"/>
  <c r="Y228" i="23" s="1"/>
  <c r="D213" i="25"/>
  <c r="H197" i="25"/>
  <c r="F174" i="25"/>
  <c r="Y176" i="23" s="1"/>
  <c r="F113" i="25"/>
  <c r="Y115" i="23" s="1"/>
  <c r="D105" i="25"/>
  <c r="H95" i="25"/>
  <c r="F87" i="25"/>
  <c r="I78" i="25"/>
  <c r="B69" i="25"/>
  <c r="AB71" i="23" s="1"/>
  <c r="I61" i="25"/>
  <c r="F52" i="25"/>
  <c r="Y54" i="23" s="1"/>
  <c r="D352" i="25"/>
  <c r="B331" i="25"/>
  <c r="AB333" i="23" s="1"/>
  <c r="F264" i="25"/>
  <c r="Y266" i="23" s="1"/>
  <c r="B245" i="25"/>
  <c r="I225" i="25"/>
  <c r="H211" i="25"/>
  <c r="F197" i="25"/>
  <c r="H152" i="25"/>
  <c r="F133" i="25"/>
  <c r="Y135" i="23" s="1"/>
  <c r="F78" i="25"/>
  <c r="F61" i="25"/>
  <c r="F301" i="25"/>
  <c r="B264" i="25"/>
  <c r="H244" i="25"/>
  <c r="H225" i="25"/>
  <c r="H183" i="25"/>
  <c r="I172" i="25"/>
  <c r="D163" i="25"/>
  <c r="H122" i="25"/>
  <c r="D113" i="25"/>
  <c r="B78" i="25"/>
  <c r="AB80" i="23" s="1"/>
  <c r="I68" i="25"/>
  <c r="I51" i="25"/>
  <c r="H351" i="25"/>
  <c r="D279" i="25"/>
  <c r="F260" i="25"/>
  <c r="D197" i="25"/>
  <c r="D172" i="25"/>
  <c r="I140" i="25"/>
  <c r="B113" i="25"/>
  <c r="I102" i="25"/>
  <c r="B95" i="25"/>
  <c r="B293" i="25"/>
  <c r="AB295" i="23" s="1"/>
  <c r="D258" i="25"/>
  <c r="B225" i="25"/>
  <c r="F178" i="25"/>
  <c r="Y180" i="23" s="1"/>
  <c r="B158" i="25"/>
  <c r="AB160" i="23" s="1"/>
  <c r="B121" i="25"/>
  <c r="AB123" i="23" s="1"/>
  <c r="F90" i="25"/>
  <c r="Y92" i="23" s="1"/>
  <c r="D73" i="25"/>
  <c r="I292" i="25"/>
  <c r="F257" i="25"/>
  <c r="Y259" i="23" s="1"/>
  <c r="I157" i="25"/>
  <c r="I139" i="25"/>
  <c r="B102" i="25"/>
  <c r="AB104" i="23" s="1"/>
  <c r="F85" i="25"/>
  <c r="I72" i="25"/>
  <c r="H292" i="25"/>
  <c r="H223" i="25"/>
  <c r="I194" i="25"/>
  <c r="F157" i="25"/>
  <c r="I138" i="25"/>
  <c r="B119" i="25"/>
  <c r="I84" i="25"/>
  <c r="D336" i="25"/>
  <c r="B256" i="25"/>
  <c r="F222" i="25"/>
  <c r="Y224" i="23" s="1"/>
  <c r="F137" i="25"/>
  <c r="I101" i="25"/>
  <c r="F68" i="25"/>
  <c r="Y70" i="23" s="1"/>
  <c r="B57" i="25"/>
  <c r="AB59" i="23" s="1"/>
  <c r="D335" i="25"/>
  <c r="H171" i="25"/>
  <c r="B157" i="25"/>
  <c r="D118" i="25"/>
  <c r="H101" i="25"/>
  <c r="D84" i="25"/>
  <c r="H325" i="25"/>
  <c r="I291" i="25"/>
  <c r="B254" i="25"/>
  <c r="D220" i="25"/>
  <c r="B84" i="25"/>
  <c r="B323" i="25"/>
  <c r="I218" i="25"/>
  <c r="B170" i="25"/>
  <c r="H131" i="25"/>
  <c r="I83" i="25"/>
  <c r="B374" i="25"/>
  <c r="D320" i="25"/>
  <c r="B279" i="25"/>
  <c r="AB281" i="23" s="1"/>
  <c r="I216" i="25"/>
  <c r="F191" i="25"/>
  <c r="Y193" i="23" s="1"/>
  <c r="I150" i="25"/>
  <c r="B130" i="25"/>
  <c r="AB132" i="23" s="1"/>
  <c r="D117" i="25"/>
  <c r="F99" i="25"/>
  <c r="Y101" i="23" s="1"/>
  <c r="F67" i="25"/>
  <c r="Y69" i="23" s="1"/>
  <c r="F50" i="25"/>
  <c r="Y52" i="23" s="1"/>
  <c r="H372" i="25"/>
  <c r="B319" i="25"/>
  <c r="AB321" i="23" s="1"/>
  <c r="I278" i="25"/>
  <c r="H169" i="25"/>
  <c r="F83" i="25"/>
  <c r="Y85" i="23" s="1"/>
  <c r="D318" i="25"/>
  <c r="H168" i="25"/>
  <c r="F77" i="25"/>
  <c r="I50" i="25"/>
  <c r="F317" i="25"/>
  <c r="B136" i="25"/>
  <c r="I107" i="25"/>
  <c r="F48" i="25"/>
  <c r="Y50" i="23" s="1"/>
  <c r="B317" i="25"/>
  <c r="AB319" i="23" s="1"/>
  <c r="D253" i="25"/>
  <c r="D204" i="25"/>
  <c r="F107" i="25"/>
  <c r="Y109" i="23" s="1"/>
  <c r="D76" i="25"/>
  <c r="D316" i="25"/>
  <c r="F243" i="25"/>
  <c r="Y245" i="23" s="1"/>
  <c r="D162" i="25"/>
  <c r="D129" i="25"/>
  <c r="I75" i="25"/>
  <c r="I45" i="25"/>
  <c r="F315" i="25"/>
  <c r="B204" i="25"/>
  <c r="B161" i="25"/>
  <c r="B129" i="25"/>
  <c r="D102" i="25"/>
  <c r="I44" i="25"/>
  <c r="D160" i="25"/>
  <c r="I128" i="25"/>
  <c r="F100" i="25"/>
  <c r="B75" i="25"/>
  <c r="AB77" i="23" s="1"/>
  <c r="D301" i="25"/>
  <c r="I237" i="25"/>
  <c r="B192" i="25"/>
  <c r="B99" i="25"/>
  <c r="AB101" i="23" s="1"/>
  <c r="F44" i="25"/>
  <c r="Y46" i="23" s="1"/>
  <c r="F237" i="25"/>
  <c r="H159" i="25"/>
  <c r="F128" i="25"/>
  <c r="Y130" i="23" s="1"/>
  <c r="D74" i="25"/>
  <c r="D372" i="25"/>
  <c r="H300" i="25"/>
  <c r="B237" i="25"/>
  <c r="B190" i="25"/>
  <c r="F159" i="25"/>
  <c r="I94" i="25"/>
  <c r="B298" i="25"/>
  <c r="H158" i="25"/>
  <c r="D128" i="25"/>
  <c r="F94" i="25"/>
  <c r="I67" i="25"/>
  <c r="F367" i="25"/>
  <c r="B183" i="25"/>
  <c r="B152" i="25"/>
  <c r="AB154" i="23" s="1"/>
  <c r="B94" i="25"/>
  <c r="F278" i="25"/>
  <c r="Y280" i="23" s="1"/>
  <c r="H182" i="25"/>
  <c r="B122" i="25"/>
  <c r="AB124" i="23" s="1"/>
  <c r="D64" i="25"/>
  <c r="D277" i="25"/>
  <c r="D181" i="25"/>
  <c r="I112" i="25"/>
  <c r="F60" i="25"/>
  <c r="Y62" i="23" s="1"/>
  <c r="D273" i="25"/>
  <c r="H179" i="25"/>
  <c r="I111" i="25"/>
  <c r="B60" i="25"/>
  <c r="F272" i="25"/>
  <c r="Y274" i="23" s="1"/>
  <c r="D179" i="25"/>
  <c r="D271" i="25"/>
  <c r="B179" i="25"/>
  <c r="I58" i="25"/>
  <c r="I270" i="25"/>
  <c r="F110" i="25"/>
  <c r="Y112" i="23" s="1"/>
  <c r="F58" i="25"/>
  <c r="Y60" i="23" s="1"/>
  <c r="I258" i="25"/>
  <c r="F169" i="25"/>
  <c r="I148" i="25"/>
  <c r="D93" i="25"/>
  <c r="D92" i="25"/>
  <c r="I182" i="25"/>
  <c r="D351" i="25"/>
  <c r="F147" i="25"/>
  <c r="Y149" i="23" s="1"/>
  <c r="H350" i="25"/>
  <c r="F146" i="25"/>
  <c r="Y148" i="23" s="1"/>
  <c r="B146" i="25"/>
  <c r="AB148" i="23" s="1"/>
  <c r="H140" i="25"/>
  <c r="B344" i="25"/>
  <c r="AB346" i="23" s="1"/>
  <c r="I90" i="25"/>
  <c r="I82" i="25"/>
  <c r="H278" i="25"/>
  <c r="D233" i="25"/>
  <c r="F225" i="25"/>
  <c r="Y227" i="23" s="1"/>
  <c r="B216" i="25"/>
  <c r="F208" i="25"/>
  <c r="B208" i="25"/>
  <c r="F140" i="25"/>
  <c r="Y142" i="23" s="1"/>
  <c r="D140" i="25"/>
  <c r="D122" i="25"/>
  <c r="D91" i="25"/>
  <c r="AD17" i="23"/>
  <c r="Q482" i="24"/>
  <c r="Q499" i="24"/>
  <c r="Q503" i="24"/>
  <c r="S469" i="22"/>
  <c r="R469" i="22"/>
  <c r="T469" i="22" s="1"/>
  <c r="Q341" i="24"/>
  <c r="F348" i="24"/>
  <c r="E348" i="24"/>
  <c r="U356" i="24"/>
  <c r="T356" i="24"/>
  <c r="Q363" i="24"/>
  <c r="F370" i="24"/>
  <c r="E370" i="24"/>
  <c r="U378" i="24"/>
  <c r="T378" i="24"/>
  <c r="S381" i="22"/>
  <c r="Q385" i="24"/>
  <c r="F392" i="24"/>
  <c r="E392" i="24"/>
  <c r="F413" i="24"/>
  <c r="E413" i="24"/>
  <c r="F421" i="24"/>
  <c r="E421" i="24"/>
  <c r="S434" i="22"/>
  <c r="T436" i="24"/>
  <c r="U436" i="24"/>
  <c r="U451" i="24"/>
  <c r="T451" i="24"/>
  <c r="U473" i="24"/>
  <c r="T473" i="24"/>
  <c r="S479" i="22"/>
  <c r="T482" i="24"/>
  <c r="U482" i="24"/>
  <c r="E486" i="24"/>
  <c r="F486" i="24"/>
  <c r="S488" i="22"/>
  <c r="Q488" i="22"/>
  <c r="E495" i="24"/>
  <c r="F495" i="24"/>
  <c r="U503" i="24"/>
  <c r="T503" i="24"/>
  <c r="F504" i="24"/>
  <c r="E504" i="24"/>
  <c r="U341" i="24"/>
  <c r="T341" i="24"/>
  <c r="Q348" i="24"/>
  <c r="E355" i="24"/>
  <c r="F355" i="24"/>
  <c r="Q358" i="22"/>
  <c r="U363" i="24"/>
  <c r="T363" i="24"/>
  <c r="Q370" i="24"/>
  <c r="E377" i="24"/>
  <c r="F377" i="24"/>
  <c r="Q380" i="22"/>
  <c r="U385" i="24"/>
  <c r="T385" i="24"/>
  <c r="Q392" i="24"/>
  <c r="Q413" i="24"/>
  <c r="E416" i="24"/>
  <c r="F416" i="24"/>
  <c r="Q421" i="24"/>
  <c r="T428" i="22"/>
  <c r="F433" i="24"/>
  <c r="E433" i="24"/>
  <c r="Q435" i="22"/>
  <c r="Q438" i="22"/>
  <c r="T447" i="24"/>
  <c r="U447" i="24"/>
  <c r="Q453" i="22"/>
  <c r="U469" i="24"/>
  <c r="T469" i="24"/>
  <c r="Q475" i="22"/>
  <c r="Q484" i="22"/>
  <c r="S492" i="22"/>
  <c r="F491" i="24"/>
  <c r="E491" i="24"/>
  <c r="S493" i="22"/>
  <c r="Q495" i="24"/>
  <c r="Q505" i="22"/>
  <c r="Q504" i="24"/>
  <c r="AD25" i="23"/>
  <c r="U406" i="24"/>
  <c r="T406" i="24"/>
  <c r="Q420" i="24"/>
  <c r="Q431" i="24"/>
  <c r="Q442" i="24"/>
  <c r="Q453" i="24"/>
  <c r="Q464" i="24"/>
  <c r="Q475" i="24"/>
  <c r="Q486" i="24"/>
  <c r="Q497" i="24"/>
  <c r="Q398" i="24"/>
  <c r="E405" i="24"/>
  <c r="F405" i="24"/>
  <c r="F417" i="24"/>
  <c r="E417" i="24"/>
  <c r="T420" i="24"/>
  <c r="U420" i="24"/>
  <c r="F428" i="24"/>
  <c r="E428" i="24"/>
  <c r="T431" i="24"/>
  <c r="U431" i="24"/>
  <c r="F439" i="24"/>
  <c r="E439" i="24"/>
  <c r="U442" i="24"/>
  <c r="T442" i="24"/>
  <c r="E450" i="24"/>
  <c r="F450" i="24"/>
  <c r="U453" i="24"/>
  <c r="T453" i="24"/>
  <c r="E461" i="24"/>
  <c r="F461" i="24"/>
  <c r="T464" i="24"/>
  <c r="U464" i="24"/>
  <c r="F472" i="24"/>
  <c r="E472" i="24"/>
  <c r="T475" i="24"/>
  <c r="U475" i="24"/>
  <c r="E483" i="24"/>
  <c r="F483" i="24"/>
  <c r="U486" i="24"/>
  <c r="T486" i="24"/>
  <c r="F494" i="24"/>
  <c r="E494" i="24"/>
  <c r="U497" i="24"/>
  <c r="T497" i="24"/>
  <c r="F505" i="24"/>
  <c r="E505" i="24"/>
  <c r="Q428" i="24"/>
  <c r="Q439" i="24"/>
  <c r="Q450" i="24"/>
  <c r="Q461" i="24"/>
  <c r="Q472" i="24"/>
  <c r="Q483" i="24"/>
  <c r="Q494" i="24"/>
  <c r="Q505" i="24"/>
  <c r="AD33" i="23"/>
  <c r="Q447" i="24"/>
  <c r="Q458" i="24"/>
  <c r="Q469" i="24"/>
  <c r="Q480" i="24"/>
  <c r="Q491" i="24"/>
  <c r="Q502" i="24"/>
  <c r="Q396" i="24"/>
  <c r="F403" i="24"/>
  <c r="E403" i="24"/>
  <c r="U411" i="24"/>
  <c r="T411" i="24"/>
  <c r="F419" i="24"/>
  <c r="E419" i="24"/>
  <c r="U422" i="24"/>
  <c r="T422" i="24"/>
  <c r="E430" i="24"/>
  <c r="F430" i="24"/>
  <c r="U433" i="24"/>
  <c r="T433" i="24"/>
  <c r="E441" i="24"/>
  <c r="F441" i="24"/>
  <c r="U444" i="24"/>
  <c r="T444" i="24"/>
  <c r="E452" i="24"/>
  <c r="F452" i="24"/>
  <c r="U455" i="24"/>
  <c r="T455" i="24"/>
  <c r="F463" i="24"/>
  <c r="E463" i="24"/>
  <c r="U466" i="24"/>
  <c r="T466" i="24"/>
  <c r="F474" i="24"/>
  <c r="E474" i="24"/>
  <c r="U477" i="24"/>
  <c r="T477" i="24"/>
  <c r="F485" i="24"/>
  <c r="E485" i="24"/>
  <c r="U488" i="24"/>
  <c r="T488" i="24"/>
  <c r="F496" i="24"/>
  <c r="E496" i="24"/>
  <c r="U499" i="24"/>
  <c r="T499" i="24"/>
  <c r="U507" i="24"/>
  <c r="T507" i="24"/>
  <c r="AD11" i="23"/>
  <c r="Q403" i="24"/>
  <c r="F410" i="24"/>
  <c r="E410" i="24"/>
  <c r="Q419" i="24"/>
  <c r="Q430" i="24"/>
  <c r="Q441" i="24"/>
  <c r="Q452" i="24"/>
  <c r="Q463" i="24"/>
  <c r="Q474" i="24"/>
  <c r="Q485" i="24"/>
  <c r="Q496" i="24"/>
  <c r="E370" i="25"/>
  <c r="J367" i="25"/>
  <c r="G360" i="25"/>
  <c r="C358" i="25"/>
  <c r="AC360" i="23" s="1"/>
  <c r="E348" i="25"/>
  <c r="J345" i="25"/>
  <c r="G338" i="25"/>
  <c r="C336" i="25"/>
  <c r="AC338" i="23" s="1"/>
  <c r="E372" i="25"/>
  <c r="J369" i="25"/>
  <c r="E375" i="25"/>
  <c r="G372" i="25"/>
  <c r="C362" i="25"/>
  <c r="G359" i="25"/>
  <c r="J351" i="25"/>
  <c r="E349" i="25"/>
  <c r="C339" i="25"/>
  <c r="AC341" i="23" s="1"/>
  <c r="E369" i="25"/>
  <c r="G375" i="25"/>
  <c r="G366" i="25"/>
  <c r="J363" i="25"/>
  <c r="G358" i="25"/>
  <c r="J355" i="25"/>
  <c r="C353" i="25"/>
  <c r="AC355" i="23" s="1"/>
  <c r="C345" i="25"/>
  <c r="C337" i="25"/>
  <c r="AC339" i="23" s="1"/>
  <c r="G334" i="25"/>
  <c r="G329" i="25"/>
  <c r="C327" i="25"/>
  <c r="E317" i="25"/>
  <c r="J314" i="25"/>
  <c r="G307" i="25"/>
  <c r="C305" i="25"/>
  <c r="AC307" i="23" s="1"/>
  <c r="E295" i="25"/>
  <c r="J292" i="25"/>
  <c r="G285" i="25"/>
  <c r="C283" i="25"/>
  <c r="E273" i="25"/>
  <c r="J270" i="25"/>
  <c r="G263" i="25"/>
  <c r="C261" i="25"/>
  <c r="AC263" i="23" s="1"/>
  <c r="E251" i="25"/>
  <c r="J248" i="25"/>
  <c r="G241" i="25"/>
  <c r="C239" i="25"/>
  <c r="AC241" i="23" s="1"/>
  <c r="E229" i="25"/>
  <c r="J226" i="25"/>
  <c r="G219" i="25"/>
  <c r="C217" i="25"/>
  <c r="AC219" i="23" s="1"/>
  <c r="E207" i="25"/>
  <c r="J204" i="25"/>
  <c r="G197" i="25"/>
  <c r="Z199" i="23" s="1"/>
  <c r="C195" i="25"/>
  <c r="E185" i="25"/>
  <c r="J374" i="25"/>
  <c r="J368" i="25"/>
  <c r="C366" i="25"/>
  <c r="E355" i="25"/>
  <c r="E347" i="25"/>
  <c r="E339" i="25"/>
  <c r="C334" i="25"/>
  <c r="AC336" i="23" s="1"/>
  <c r="G331" i="25"/>
  <c r="C329" i="25"/>
  <c r="E319" i="25"/>
  <c r="J316" i="25"/>
  <c r="G309" i="25"/>
  <c r="C307" i="25"/>
  <c r="AC309" i="23" s="1"/>
  <c r="E297" i="25"/>
  <c r="G374" i="25"/>
  <c r="E363" i="25"/>
  <c r="J357" i="25"/>
  <c r="G352" i="25"/>
  <c r="J349" i="25"/>
  <c r="G344" i="25"/>
  <c r="J341" i="25"/>
  <c r="G336" i="25"/>
  <c r="G326" i="25"/>
  <c r="C324" i="25"/>
  <c r="E314" i="25"/>
  <c r="J311" i="25"/>
  <c r="G304" i="25"/>
  <c r="C302" i="25"/>
  <c r="J373" i="25"/>
  <c r="E367" i="25"/>
  <c r="C364" i="25"/>
  <c r="G351" i="25"/>
  <c r="G348" i="25"/>
  <c r="E342" i="25"/>
  <c r="C333" i="25"/>
  <c r="E330" i="25"/>
  <c r="G327" i="25"/>
  <c r="J321" i="25"/>
  <c r="J318" i="25"/>
  <c r="C316" i="25"/>
  <c r="AC318" i="23" s="1"/>
  <c r="E313" i="25"/>
  <c r="G310" i="25"/>
  <c r="J304" i="25"/>
  <c r="J301" i="25"/>
  <c r="C299" i="25"/>
  <c r="E296" i="25"/>
  <c r="C291" i="25"/>
  <c r="G288" i="25"/>
  <c r="J280" i="25"/>
  <c r="E278" i="25"/>
  <c r="C273" i="25"/>
  <c r="AC275" i="23" s="1"/>
  <c r="G270" i="25"/>
  <c r="J262" i="25"/>
  <c r="G370" i="25"/>
  <c r="C367" i="25"/>
  <c r="AC369" i="23" s="1"/>
  <c r="J360" i="25"/>
  <c r="G357" i="25"/>
  <c r="G354" i="25"/>
  <c r="E345" i="25"/>
  <c r="J338" i="25"/>
  <c r="J335" i="25"/>
  <c r="G324" i="25"/>
  <c r="G321" i="25"/>
  <c r="G293" i="25"/>
  <c r="J285" i="25"/>
  <c r="E283" i="25"/>
  <c r="C278" i="25"/>
  <c r="AC280" i="23" s="1"/>
  <c r="G275" i="25"/>
  <c r="J267" i="25"/>
  <c r="E265" i="25"/>
  <c r="C255" i="25"/>
  <c r="G252" i="25"/>
  <c r="Z254" i="23" s="1"/>
  <c r="J244" i="25"/>
  <c r="E242" i="25"/>
  <c r="C232" i="25"/>
  <c r="AC234" i="23" s="1"/>
  <c r="G229" i="25"/>
  <c r="E224" i="25"/>
  <c r="E354" i="25"/>
  <c r="E351" i="25"/>
  <c r="C342" i="25"/>
  <c r="AC344" i="23" s="1"/>
  <c r="J332" i="25"/>
  <c r="C330" i="25"/>
  <c r="E327" i="25"/>
  <c r="J315" i="25"/>
  <c r="C313" i="25"/>
  <c r="AC315" i="23" s="1"/>
  <c r="E310" i="25"/>
  <c r="J298" i="25"/>
  <c r="C296" i="25"/>
  <c r="AC298" i="23" s="1"/>
  <c r="J290" i="25"/>
  <c r="E288" i="25"/>
  <c r="G280" i="25"/>
  <c r="J272" i="25"/>
  <c r="E270" i="25"/>
  <c r="C260" i="25"/>
  <c r="G257" i="25"/>
  <c r="J249" i="25"/>
  <c r="E247" i="25"/>
  <c r="C237" i="25"/>
  <c r="AC239" i="23" s="1"/>
  <c r="G234" i="25"/>
  <c r="Z236" i="23" s="1"/>
  <c r="C219" i="25"/>
  <c r="G216" i="25"/>
  <c r="Z218" i="23" s="1"/>
  <c r="J208" i="25"/>
  <c r="E206" i="25"/>
  <c r="C196" i="25"/>
  <c r="AC198" i="23" s="1"/>
  <c r="C372" i="25"/>
  <c r="AC374" i="23" s="1"/>
  <c r="G364" i="25"/>
  <c r="C361" i="25"/>
  <c r="C357" i="25"/>
  <c r="C350" i="25"/>
  <c r="G339" i="25"/>
  <c r="G335" i="25"/>
  <c r="E332" i="25"/>
  <c r="J328" i="25"/>
  <c r="C306" i="25"/>
  <c r="G299" i="25"/>
  <c r="C293" i="25"/>
  <c r="C290" i="25"/>
  <c r="E284" i="25"/>
  <c r="G278" i="25"/>
  <c r="E272" i="25"/>
  <c r="G266" i="25"/>
  <c r="Z268" i="23" s="1"/>
  <c r="J257" i="25"/>
  <c r="J254" i="25"/>
  <c r="C252" i="25"/>
  <c r="AC254" i="23" s="1"/>
  <c r="E249" i="25"/>
  <c r="G246" i="25"/>
  <c r="Z248" i="23" s="1"/>
  <c r="J240" i="25"/>
  <c r="C238" i="25"/>
  <c r="AC240" i="23" s="1"/>
  <c r="E235" i="25"/>
  <c r="G232" i="25"/>
  <c r="J223" i="25"/>
  <c r="C221" i="25"/>
  <c r="E218" i="25"/>
  <c r="E210" i="25"/>
  <c r="G199" i="25"/>
  <c r="J196" i="25"/>
  <c r="C189" i="25"/>
  <c r="G186" i="25"/>
  <c r="Z188" i="23" s="1"/>
  <c r="G181" i="25"/>
  <c r="Z183" i="23" s="1"/>
  <c r="C179" i="25"/>
  <c r="E169" i="25"/>
  <c r="J166" i="25"/>
  <c r="G159" i="25"/>
  <c r="Z161" i="23" s="1"/>
  <c r="C157" i="25"/>
  <c r="E147" i="25"/>
  <c r="J144" i="25"/>
  <c r="G137" i="25"/>
  <c r="Z139" i="23" s="1"/>
  <c r="C135" i="25"/>
  <c r="E125" i="25"/>
  <c r="J122" i="25"/>
  <c r="G115" i="25"/>
  <c r="C113" i="25"/>
  <c r="AC115" i="23" s="1"/>
  <c r="E103" i="25"/>
  <c r="J100" i="25"/>
  <c r="G93" i="25"/>
  <c r="C91" i="25"/>
  <c r="E88" i="25"/>
  <c r="G85" i="25"/>
  <c r="J82" i="25"/>
  <c r="C80" i="25"/>
  <c r="E77" i="25"/>
  <c r="G74" i="25"/>
  <c r="J71" i="25"/>
  <c r="C69" i="25"/>
  <c r="AC71" i="23" s="1"/>
  <c r="E66" i="25"/>
  <c r="G63" i="25"/>
  <c r="Z65" i="23" s="1"/>
  <c r="J60" i="25"/>
  <c r="E371" i="25"/>
  <c r="G356" i="25"/>
  <c r="G342" i="25"/>
  <c r="E338" i="25"/>
  <c r="C335" i="25"/>
  <c r="AC337" i="23" s="1"/>
  <c r="E325" i="25"/>
  <c r="C322" i="25"/>
  <c r="AC324" i="23" s="1"/>
  <c r="E315" i="25"/>
  <c r="C312" i="25"/>
  <c r="G292" i="25"/>
  <c r="J283" i="25"/>
  <c r="J271" i="25"/>
  <c r="C266" i="25"/>
  <c r="C263" i="25"/>
  <c r="J234" i="25"/>
  <c r="J231" i="25"/>
  <c r="J217" i="25"/>
  <c r="G212" i="25"/>
  <c r="Z214" i="23" s="1"/>
  <c r="J209" i="25"/>
  <c r="C207" i="25"/>
  <c r="AC209" i="23" s="1"/>
  <c r="C199" i="25"/>
  <c r="AC201" i="23" s="1"/>
  <c r="C186" i="25"/>
  <c r="G183" i="25"/>
  <c r="Z185" i="23" s="1"/>
  <c r="C181" i="25"/>
  <c r="AC183" i="23" s="1"/>
  <c r="E171" i="25"/>
  <c r="J168" i="25"/>
  <c r="G161" i="25"/>
  <c r="Z163" i="23" s="1"/>
  <c r="C159" i="25"/>
  <c r="E149" i="25"/>
  <c r="J146" i="25"/>
  <c r="G367" i="25"/>
  <c r="G363" i="25"/>
  <c r="J359" i="25"/>
  <c r="J352" i="25"/>
  <c r="E328" i="25"/>
  <c r="E318" i="25"/>
  <c r="G305" i="25"/>
  <c r="E302" i="25"/>
  <c r="G295" i="25"/>
  <c r="G289" i="25"/>
  <c r="G277" i="25"/>
  <c r="J268" i="25"/>
  <c r="J265" i="25"/>
  <c r="J259" i="25"/>
  <c r="C257" i="25"/>
  <c r="AC259" i="23" s="1"/>
  <c r="E254" i="25"/>
  <c r="G251" i="25"/>
  <c r="Z253" i="23" s="1"/>
  <c r="J245" i="25"/>
  <c r="C243" i="25"/>
  <c r="AC245" i="23" s="1"/>
  <c r="E240" i="25"/>
  <c r="G237" i="25"/>
  <c r="Z239" i="23" s="1"/>
  <c r="J228" i="25"/>
  <c r="C226" i="25"/>
  <c r="AC228" i="23" s="1"/>
  <c r="E223" i="25"/>
  <c r="G220" i="25"/>
  <c r="C215" i="25"/>
  <c r="AC217" i="23" s="1"/>
  <c r="E204" i="25"/>
  <c r="E196" i="25"/>
  <c r="C191" i="25"/>
  <c r="AC193" i="23" s="1"/>
  <c r="G188" i="25"/>
  <c r="G178" i="25"/>
  <c r="Z180" i="23" s="1"/>
  <c r="C176" i="25"/>
  <c r="E166" i="25"/>
  <c r="J163" i="25"/>
  <c r="G156" i="25"/>
  <c r="Z158" i="23" s="1"/>
  <c r="C154" i="25"/>
  <c r="AC156" i="23" s="1"/>
  <c r="E144" i="25"/>
  <c r="J366" i="25"/>
  <c r="C363" i="25"/>
  <c r="AC365" i="23" s="1"/>
  <c r="G345" i="25"/>
  <c r="C328" i="25"/>
  <c r="AC330" i="23" s="1"/>
  <c r="C318" i="25"/>
  <c r="AC320" i="23" s="1"/>
  <c r="G311" i="25"/>
  <c r="E305" i="25"/>
  <c r="G301" i="25"/>
  <c r="E289" i="25"/>
  <c r="G283" i="25"/>
  <c r="E277" i="25"/>
  <c r="G271" i="25"/>
  <c r="J256" i="25"/>
  <c r="C254" i="25"/>
  <c r="J242" i="25"/>
  <c r="C240" i="25"/>
  <c r="AC242" i="23" s="1"/>
  <c r="E237" i="25"/>
  <c r="E234" i="25"/>
  <c r="J225" i="25"/>
  <c r="C223" i="25"/>
  <c r="AC225" i="23" s="1"/>
  <c r="E220" i="25"/>
  <c r="G217" i="25"/>
  <c r="Z219" i="23" s="1"/>
  <c r="J214" i="25"/>
  <c r="J370" i="25"/>
  <c r="J362" i="25"/>
  <c r="C356" i="25"/>
  <c r="AC358" i="23" s="1"/>
  <c r="E352" i="25"/>
  <c r="J348" i="25"/>
  <c r="E341" i="25"/>
  <c r="J337" i="25"/>
  <c r="C331" i="25"/>
  <c r="J324" i="25"/>
  <c r="C321" i="25"/>
  <c r="E308" i="25"/>
  <c r="C343" i="25"/>
  <c r="G333" i="25"/>
  <c r="G312" i="25"/>
  <c r="C308" i="25"/>
  <c r="AC310" i="23" s="1"/>
  <c r="J303" i="25"/>
  <c r="E300" i="25"/>
  <c r="C292" i="25"/>
  <c r="C274" i="25"/>
  <c r="AC276" i="23" s="1"/>
  <c r="G259" i="25"/>
  <c r="Z261" i="23" s="1"/>
  <c r="E256" i="25"/>
  <c r="G249" i="25"/>
  <c r="Z251" i="23" s="1"/>
  <c r="C246" i="25"/>
  <c r="G242" i="25"/>
  <c r="Z244" i="23" s="1"/>
  <c r="G228" i="25"/>
  <c r="Z230" i="23" s="1"/>
  <c r="E225" i="25"/>
  <c r="C222" i="25"/>
  <c r="AC224" i="23" s="1"/>
  <c r="G218" i="25"/>
  <c r="E215" i="25"/>
  <c r="J211" i="25"/>
  <c r="G196" i="25"/>
  <c r="E193" i="25"/>
  <c r="G184" i="25"/>
  <c r="J178" i="25"/>
  <c r="J175" i="25"/>
  <c r="C173" i="25"/>
  <c r="E170" i="25"/>
  <c r="G167" i="25"/>
  <c r="Z169" i="23" s="1"/>
  <c r="J161" i="25"/>
  <c r="J158" i="25"/>
  <c r="C156" i="25"/>
  <c r="AC158" i="23" s="1"/>
  <c r="E153" i="25"/>
  <c r="G150" i="25"/>
  <c r="Z152" i="23" s="1"/>
  <c r="C137" i="25"/>
  <c r="AC139" i="23" s="1"/>
  <c r="G134" i="25"/>
  <c r="Z136" i="23" s="1"/>
  <c r="J126" i="25"/>
  <c r="E124" i="25"/>
  <c r="C114" i="25"/>
  <c r="AC116" i="23" s="1"/>
  <c r="G111" i="25"/>
  <c r="Z113" i="23" s="1"/>
  <c r="J103" i="25"/>
  <c r="E101" i="25"/>
  <c r="C88" i="25"/>
  <c r="AC90" i="23" s="1"/>
  <c r="E82" i="25"/>
  <c r="G76" i="25"/>
  <c r="Z78" i="23" s="1"/>
  <c r="J70" i="25"/>
  <c r="C65" i="25"/>
  <c r="E59" i="25"/>
  <c r="G56" i="25"/>
  <c r="Z58" i="23" s="1"/>
  <c r="J52" i="25"/>
  <c r="G47" i="25"/>
  <c r="Z49" i="23" s="1"/>
  <c r="C371" i="25"/>
  <c r="G361" i="25"/>
  <c r="C347" i="25"/>
  <c r="AC349" i="23" s="1"/>
  <c r="J342" i="25"/>
  <c r="E329" i="25"/>
  <c r="C325" i="25"/>
  <c r="AC327" i="23" s="1"/>
  <c r="G320" i="25"/>
  <c r="G316" i="25"/>
  <c r="E312" i="25"/>
  <c r="C300" i="25"/>
  <c r="J295" i="25"/>
  <c r="J284" i="25"/>
  <c r="G281" i="25"/>
  <c r="J266" i="25"/>
  <c r="E263" i="25"/>
  <c r="C256" i="25"/>
  <c r="J252" i="25"/>
  <c r="J238" i="25"/>
  <c r="E232" i="25"/>
  <c r="J221" i="25"/>
  <c r="E190" i="25"/>
  <c r="E187" i="25"/>
  <c r="C142" i="25"/>
  <c r="G139" i="25"/>
  <c r="Z141" i="23" s="1"/>
  <c r="J131" i="25"/>
  <c r="E129" i="25"/>
  <c r="C119" i="25"/>
  <c r="AC121" i="23" s="1"/>
  <c r="G116" i="25"/>
  <c r="Z118" i="23" s="1"/>
  <c r="J108" i="25"/>
  <c r="E106" i="25"/>
  <c r="C96" i="25"/>
  <c r="AC98" i="23" s="1"/>
  <c r="J90" i="25"/>
  <c r="C85" i="25"/>
  <c r="AC87" i="23" s="1"/>
  <c r="E79" i="25"/>
  <c r="G73" i="25"/>
  <c r="J67" i="25"/>
  <c r="C62" i="25"/>
  <c r="G365" i="25"/>
  <c r="J375" i="25"/>
  <c r="C365" i="25"/>
  <c r="G355" i="25"/>
  <c r="G346" i="25"/>
  <c r="G328" i="25"/>
  <c r="C320" i="25"/>
  <c r="AC322" i="23" s="1"/>
  <c r="J306" i="25"/>
  <c r="E303" i="25"/>
  <c r="E299" i="25"/>
  <c r="G291" i="25"/>
  <c r="E280" i="25"/>
  <c r="J276" i="25"/>
  <c r="G273" i="25"/>
  <c r="E266" i="25"/>
  <c r="G248" i="25"/>
  <c r="C235" i="25"/>
  <c r="AC237" i="23" s="1"/>
  <c r="E214" i="25"/>
  <c r="J186" i="25"/>
  <c r="J183" i="25"/>
  <c r="J180" i="25"/>
  <c r="C178" i="25"/>
  <c r="E175" i="25"/>
  <c r="G172" i="25"/>
  <c r="C164" i="25"/>
  <c r="C161" i="25"/>
  <c r="AC163" i="23" s="1"/>
  <c r="E158" i="25"/>
  <c r="G155" i="25"/>
  <c r="Z157" i="23" s="1"/>
  <c r="C147" i="25"/>
  <c r="AC149" i="23" s="1"/>
  <c r="C139" i="25"/>
  <c r="G136" i="25"/>
  <c r="Z138" i="23" s="1"/>
  <c r="J128" i="25"/>
  <c r="E126" i="25"/>
  <c r="C116" i="25"/>
  <c r="AC118" i="23" s="1"/>
  <c r="G113" i="25"/>
  <c r="Z115" i="23" s="1"/>
  <c r="J105" i="25"/>
  <c r="G369" i="25"/>
  <c r="C360" i="25"/>
  <c r="AC362" i="23" s="1"/>
  <c r="J350" i="25"/>
  <c r="E346" i="25"/>
  <c r="C341" i="25"/>
  <c r="AC343" i="23" s="1"/>
  <c r="G332" i="25"/>
  <c r="G315" i="25"/>
  <c r="C311" i="25"/>
  <c r="J294" i="25"/>
  <c r="C280" i="25"/>
  <c r="C262" i="25"/>
  <c r="J258" i="25"/>
  <c r="G255" i="25"/>
  <c r="Z257" i="23" s="1"/>
  <c r="E248" i="25"/>
  <c r="C245" i="25"/>
  <c r="AC247" i="23" s="1"/>
  <c r="E374" i="25"/>
  <c r="C369" i="25"/>
  <c r="AC371" i="23" s="1"/>
  <c r="E359" i="25"/>
  <c r="G350" i="25"/>
  <c r="C346" i="25"/>
  <c r="AC348" i="23" s="1"/>
  <c r="C315" i="25"/>
  <c r="AC317" i="23" s="1"/>
  <c r="J310" i="25"/>
  <c r="G306" i="25"/>
  <c r="J302" i="25"/>
  <c r="E298" i="25"/>
  <c r="G294" i="25"/>
  <c r="C374" i="25"/>
  <c r="J354" i="25"/>
  <c r="E350" i="25"/>
  <c r="C332" i="25"/>
  <c r="AC334" i="23" s="1"/>
  <c r="E323" i="25"/>
  <c r="G319" i="25"/>
  <c r="E287" i="25"/>
  <c r="C265" i="25"/>
  <c r="AC267" i="23" s="1"/>
  <c r="G244" i="25"/>
  <c r="Z246" i="23" s="1"/>
  <c r="J237" i="25"/>
  <c r="G227" i="25"/>
  <c r="Z229" i="23" s="1"/>
  <c r="G204" i="25"/>
  <c r="Z206" i="23" s="1"/>
  <c r="E201" i="25"/>
  <c r="E189" i="25"/>
  <c r="E186" i="25"/>
  <c r="J174" i="25"/>
  <c r="E368" i="25"/>
  <c r="J361" i="25"/>
  <c r="J323" i="25"/>
  <c r="J317" i="25"/>
  <c r="J312" i="25"/>
  <c r="E306" i="25"/>
  <c r="G290" i="25"/>
  <c r="C286" i="25"/>
  <c r="G276" i="25"/>
  <c r="E267" i="25"/>
  <c r="E262" i="25"/>
  <c r="C258" i="25"/>
  <c r="G253" i="25"/>
  <c r="G240" i="25"/>
  <c r="G223" i="25"/>
  <c r="Z225" i="23" s="1"/>
  <c r="G215" i="25"/>
  <c r="Z217" i="23" s="1"/>
  <c r="E211" i="25"/>
  <c r="G207" i="25"/>
  <c r="Z209" i="23" s="1"/>
  <c r="J188" i="25"/>
  <c r="G171" i="25"/>
  <c r="Z173" i="23" s="1"/>
  <c r="C165" i="25"/>
  <c r="C155" i="25"/>
  <c r="AC157" i="23" s="1"/>
  <c r="J151" i="25"/>
  <c r="G148" i="25"/>
  <c r="Z150" i="23" s="1"/>
  <c r="E142" i="25"/>
  <c r="E133" i="25"/>
  <c r="G124" i="25"/>
  <c r="G112" i="25"/>
  <c r="Z114" i="23" s="1"/>
  <c r="E86" i="25"/>
  <c r="J76" i="25"/>
  <c r="E70" i="25"/>
  <c r="C64" i="25"/>
  <c r="J57" i="25"/>
  <c r="J54" i="25"/>
  <c r="J48" i="25"/>
  <c r="C368" i="25"/>
  <c r="C348" i="25"/>
  <c r="J329" i="25"/>
  <c r="G323" i="25"/>
  <c r="J300" i="25"/>
  <c r="E290" i="25"/>
  <c r="E281" i="25"/>
  <c r="E276" i="25"/>
  <c r="C249" i="25"/>
  <c r="E244" i="25"/>
  <c r="C236" i="25"/>
  <c r="AC238" i="23" s="1"/>
  <c r="G231" i="25"/>
  <c r="Z233" i="23" s="1"/>
  <c r="E219" i="25"/>
  <c r="C211" i="25"/>
  <c r="G203" i="25"/>
  <c r="Z205" i="23" s="1"/>
  <c r="C200" i="25"/>
  <c r="J195" i="25"/>
  <c r="E192" i="25"/>
  <c r="C185" i="25"/>
  <c r="J181" i="25"/>
  <c r="C168" i="25"/>
  <c r="E161" i="25"/>
  <c r="C158" i="25"/>
  <c r="G151" i="25"/>
  <c r="E145" i="25"/>
  <c r="C136" i="25"/>
  <c r="AC138" i="23" s="1"/>
  <c r="E130" i="25"/>
  <c r="E127" i="25"/>
  <c r="E121" i="25"/>
  <c r="E118" i="25"/>
  <c r="E115" i="25"/>
  <c r="G109" i="25"/>
  <c r="Z111" i="23" s="1"/>
  <c r="G103" i="25"/>
  <c r="Z105" i="23" s="1"/>
  <c r="J97" i="25"/>
  <c r="C95" i="25"/>
  <c r="AC97" i="23" s="1"/>
  <c r="E92" i="25"/>
  <c r="E89" i="25"/>
  <c r="C83" i="25"/>
  <c r="J79" i="25"/>
  <c r="E73" i="25"/>
  <c r="C67" i="25"/>
  <c r="C354" i="25"/>
  <c r="G341" i="25"/>
  <c r="E335" i="25"/>
  <c r="C295" i="25"/>
  <c r="AC297" i="23" s="1"/>
  <c r="C267" i="25"/>
  <c r="AC269" i="23" s="1"/>
  <c r="J261" i="25"/>
  <c r="E253" i="25"/>
  <c r="E231" i="25"/>
  <c r="J199" i="25"/>
  <c r="C192" i="25"/>
  <c r="AC194" i="23" s="1"/>
  <c r="C375" i="25"/>
  <c r="AC377" i="23" s="1"/>
  <c r="E361" i="25"/>
  <c r="J347" i="25"/>
  <c r="G373" i="25"/>
  <c r="G347" i="25"/>
  <c r="J322" i="25"/>
  <c r="C285" i="25"/>
  <c r="J279" i="25"/>
  <c r="J275" i="25"/>
  <c r="C271" i="25"/>
  <c r="J247" i="25"/>
  <c r="J230" i="25"/>
  <c r="C227" i="25"/>
  <c r="G210" i="25"/>
  <c r="C203" i="25"/>
  <c r="E195" i="25"/>
  <c r="C188" i="25"/>
  <c r="C174" i="25"/>
  <c r="C151" i="25"/>
  <c r="AC153" i="23" s="1"/>
  <c r="G144" i="25"/>
  <c r="G138" i="25"/>
  <c r="Z140" i="23" s="1"/>
  <c r="J114" i="25"/>
  <c r="C109" i="25"/>
  <c r="J91" i="25"/>
  <c r="J88" i="25"/>
  <c r="C79" i="25"/>
  <c r="AC81" i="23" s="1"/>
  <c r="J72" i="25"/>
  <c r="G66" i="25"/>
  <c r="E63" i="25"/>
  <c r="E366" i="25"/>
  <c r="C359" i="25"/>
  <c r="G353" i="25"/>
  <c r="E340" i="25"/>
  <c r="E334" i="25"/>
  <c r="C317" i="25"/>
  <c r="C294" i="25"/>
  <c r="AC296" i="23" s="1"/>
  <c r="E275" i="25"/>
  <c r="E261" i="25"/>
  <c r="G243" i="25"/>
  <c r="Z245" i="23" s="1"/>
  <c r="E239" i="25"/>
  <c r="G226" i="25"/>
  <c r="G222" i="25"/>
  <c r="C214" i="25"/>
  <c r="AC216" i="23" s="1"/>
  <c r="G206" i="25"/>
  <c r="Z208" i="23" s="1"/>
  <c r="J198" i="25"/>
  <c r="G191" i="25"/>
  <c r="E184" i="25"/>
  <c r="E177" i="25"/>
  <c r="E167" i="25"/>
  <c r="G157" i="25"/>
  <c r="Z159" i="23" s="1"/>
  <c r="E154" i="25"/>
  <c r="J147" i="25"/>
  <c r="E141" i="25"/>
  <c r="G135" i="25"/>
  <c r="Z137" i="23" s="1"/>
  <c r="G132" i="25"/>
  <c r="G126" i="25"/>
  <c r="G123" i="25"/>
  <c r="J111" i="25"/>
  <c r="J102" i="25"/>
  <c r="C100" i="25"/>
  <c r="AC102" i="23" s="1"/>
  <c r="E97" i="25"/>
  <c r="G94" i="25"/>
  <c r="J365" i="25"/>
  <c r="J358" i="25"/>
  <c r="E353" i="25"/>
  <c r="C340" i="25"/>
  <c r="AC342" i="23" s="1"/>
  <c r="J333" i="25"/>
  <c r="C310" i="25"/>
  <c r="AC312" i="23" s="1"/>
  <c r="E304" i="25"/>
  <c r="J293" i="25"/>
  <c r="C289" i="25"/>
  <c r="AC291" i="23" s="1"/>
  <c r="G284" i="25"/>
  <c r="C270" i="25"/>
  <c r="AC272" i="23" s="1"/>
  <c r="G256" i="25"/>
  <c r="Z258" i="23" s="1"/>
  <c r="J251" i="25"/>
  <c r="G247" i="25"/>
  <c r="E243" i="25"/>
  <c r="E226" i="25"/>
  <c r="E222" i="25"/>
  <c r="C210" i="25"/>
  <c r="AC212" i="23" s="1"/>
  <c r="G202" i="25"/>
  <c r="C373" i="25"/>
  <c r="E365" i="25"/>
  <c r="E322" i="25"/>
  <c r="E316" i="25"/>
  <c r="J309" i="25"/>
  <c r="G298" i="25"/>
  <c r="C284" i="25"/>
  <c r="AC286" i="23" s="1"/>
  <c r="E279" i="25"/>
  <c r="J274" i="25"/>
  <c r="J264" i="25"/>
  <c r="J260" i="25"/>
  <c r="C234" i="25"/>
  <c r="AC236" i="23" s="1"/>
  <c r="E230" i="25"/>
  <c r="G213" i="25"/>
  <c r="C206" i="25"/>
  <c r="E202" i="25"/>
  <c r="E198" i="25"/>
  <c r="G187" i="25"/>
  <c r="Z189" i="23" s="1"/>
  <c r="C170" i="25"/>
  <c r="E160" i="25"/>
  <c r="J143" i="25"/>
  <c r="C138" i="25"/>
  <c r="C129" i="25"/>
  <c r="C126" i="25"/>
  <c r="E117" i="25"/>
  <c r="E111" i="25"/>
  <c r="E108" i="25"/>
  <c r="E105" i="25"/>
  <c r="G102" i="25"/>
  <c r="Z104" i="23" s="1"/>
  <c r="J84" i="25"/>
  <c r="G78" i="25"/>
  <c r="Z80" i="23" s="1"/>
  <c r="E72" i="25"/>
  <c r="J62" i="25"/>
  <c r="G371" i="25"/>
  <c r="J339" i="25"/>
  <c r="J330" i="25"/>
  <c r="G322" i="25"/>
  <c r="J313" i="25"/>
  <c r="C269" i="25"/>
  <c r="C250" i="25"/>
  <c r="C218" i="25"/>
  <c r="C182" i="25"/>
  <c r="AC184" i="23" s="1"/>
  <c r="C177" i="25"/>
  <c r="G168" i="25"/>
  <c r="E164" i="25"/>
  <c r="G131" i="25"/>
  <c r="E116" i="25"/>
  <c r="G108" i="25"/>
  <c r="G97" i="25"/>
  <c r="J93" i="25"/>
  <c r="C90" i="25"/>
  <c r="C82" i="25"/>
  <c r="AC84" i="23" s="1"/>
  <c r="E78" i="25"/>
  <c r="J66" i="25"/>
  <c r="G49" i="25"/>
  <c r="Z51" i="23" s="1"/>
  <c r="C370" i="25"/>
  <c r="AC372" i="23" s="1"/>
  <c r="E321" i="25"/>
  <c r="C297" i="25"/>
  <c r="J289" i="25"/>
  <c r="G282" i="25"/>
  <c r="C276" i="25"/>
  <c r="G262" i="25"/>
  <c r="C242" i="25"/>
  <c r="G236" i="25"/>
  <c r="C230" i="25"/>
  <c r="G224" i="25"/>
  <c r="E217" i="25"/>
  <c r="E212" i="25"/>
  <c r="J200" i="25"/>
  <c r="G195" i="25"/>
  <c r="Z197" i="23" s="1"/>
  <c r="J185" i="25"/>
  <c r="J176" i="25"/>
  <c r="J159" i="25"/>
  <c r="E151" i="25"/>
  <c r="C143" i="25"/>
  <c r="AC145" i="23" s="1"/>
  <c r="E139" i="25"/>
  <c r="E135" i="25"/>
  <c r="E131" i="25"/>
  <c r="J127" i="25"/>
  <c r="J123" i="25"/>
  <c r="J119" i="25"/>
  <c r="E112" i="25"/>
  <c r="C108" i="25"/>
  <c r="C101" i="25"/>
  <c r="AC103" i="23" s="1"/>
  <c r="C86" i="25"/>
  <c r="AC88" i="23" s="1"/>
  <c r="G70" i="25"/>
  <c r="Z72" i="23" s="1"/>
  <c r="J58" i="25"/>
  <c r="E55" i="25"/>
  <c r="G349" i="25"/>
  <c r="C304" i="25"/>
  <c r="G268" i="25"/>
  <c r="E255" i="25"/>
  <c r="C224" i="25"/>
  <c r="C212" i="25"/>
  <c r="AC214" i="23" s="1"/>
  <c r="G190" i="25"/>
  <c r="Z192" i="23" s="1"/>
  <c r="E181" i="25"/>
  <c r="E172" i="25"/>
  <c r="E168" i="25"/>
  <c r="G163" i="25"/>
  <c r="G146" i="25"/>
  <c r="Z148" i="23" s="1"/>
  <c r="J138" i="25"/>
  <c r="G104" i="25"/>
  <c r="C97" i="25"/>
  <c r="AC99" i="23" s="1"/>
  <c r="E93" i="25"/>
  <c r="J89" i="25"/>
  <c r="J81" i="25"/>
  <c r="C78" i="25"/>
  <c r="E74" i="25"/>
  <c r="G62" i="25"/>
  <c r="E358" i="25"/>
  <c r="C349" i="25"/>
  <c r="AC351" i="23" s="1"/>
  <c r="G330" i="25"/>
  <c r="J320" i="25"/>
  <c r="G313" i="25"/>
  <c r="J296" i="25"/>
  <c r="J288" i="25"/>
  <c r="E282" i="25"/>
  <c r="C275" i="25"/>
  <c r="AC277" i="23" s="1"/>
  <c r="E268" i="25"/>
  <c r="G261" i="25"/>
  <c r="Z263" i="23" s="1"/>
  <c r="J241" i="25"/>
  <c r="E236" i="25"/>
  <c r="J229" i="25"/>
  <c r="J216" i="25"/>
  <c r="J205" i="25"/>
  <c r="G274" i="25"/>
  <c r="C248" i="25"/>
  <c r="J235" i="25"/>
  <c r="G368" i="25"/>
  <c r="C338" i="25"/>
  <c r="G303" i="25"/>
  <c r="C288" i="25"/>
  <c r="AC290" i="23" s="1"/>
  <c r="C282" i="25"/>
  <c r="E274" i="25"/>
  <c r="C268" i="25"/>
  <c r="G254" i="25"/>
  <c r="Z256" i="23" s="1"/>
  <c r="G235" i="25"/>
  <c r="Z237" i="23" s="1"/>
  <c r="J222" i="25"/>
  <c r="G211" i="25"/>
  <c r="Z213" i="23" s="1"/>
  <c r="G194" i="25"/>
  <c r="Z196" i="23" s="1"/>
  <c r="J189" i="25"/>
  <c r="E180" i="25"/>
  <c r="E176" i="25"/>
  <c r="C163" i="25"/>
  <c r="AC165" i="23" s="1"/>
  <c r="E159" i="25"/>
  <c r="J154" i="25"/>
  <c r="E150" i="25"/>
  <c r="E138" i="25"/>
  <c r="J130" i="25"/>
  <c r="C127" i="25"/>
  <c r="E100" i="25"/>
  <c r="E85" i="25"/>
  <c r="E81" i="25"/>
  <c r="J69" i="25"/>
  <c r="J65" i="25"/>
  <c r="E58" i="25"/>
  <c r="G54" i="25"/>
  <c r="Z56" i="23" s="1"/>
  <c r="J46" i="25"/>
  <c r="E357" i="25"/>
  <c r="J346" i="25"/>
  <c r="G337" i="25"/>
  <c r="E320" i="25"/>
  <c r="G296" i="25"/>
  <c r="J287" i="25"/>
  <c r="G260" i="25"/>
  <c r="Z262" i="23" s="1"/>
  <c r="C247" i="25"/>
  <c r="AC249" i="23" s="1"/>
  <c r="E241" i="25"/>
  <c r="C229" i="25"/>
  <c r="J210" i="25"/>
  <c r="E205" i="25"/>
  <c r="E200" i="25"/>
  <c r="C180" i="25"/>
  <c r="J171" i="25"/>
  <c r="C146" i="25"/>
  <c r="AC148" i="23" s="1"/>
  <c r="G142" i="25"/>
  <c r="E134" i="25"/>
  <c r="E119" i="25"/>
  <c r="G107" i="25"/>
  <c r="C104" i="25"/>
  <c r="AC106" i="23" s="1"/>
  <c r="G96" i="25"/>
  <c r="Z98" i="23" s="1"/>
  <c r="J92" i="25"/>
  <c r="C89" i="25"/>
  <c r="AC91" i="23" s="1"/>
  <c r="G77" i="25"/>
  <c r="J73" i="25"/>
  <c r="G69" i="25"/>
  <c r="Z71" i="23" s="1"/>
  <c r="J61" i="25"/>
  <c r="J356" i="25"/>
  <c r="E337" i="25"/>
  <c r="J326" i="25"/>
  <c r="J319" i="25"/>
  <c r="G302" i="25"/>
  <c r="E294" i="25"/>
  <c r="C281" i="25"/>
  <c r="E260" i="25"/>
  <c r="J253" i="25"/>
  <c r="J246" i="25"/>
  <c r="E228" i="25"/>
  <c r="G221" i="25"/>
  <c r="E199" i="25"/>
  <c r="C194" i="25"/>
  <c r="J179" i="25"/>
  <c r="G175" i="25"/>
  <c r="Z177" i="23" s="1"/>
  <c r="C171" i="25"/>
  <c r="G158" i="25"/>
  <c r="Z160" i="23" s="1"/>
  <c r="J149" i="25"/>
  <c r="J145" i="25"/>
  <c r="J137" i="25"/>
  <c r="C134" i="25"/>
  <c r="AC136" i="23" s="1"/>
  <c r="G130" i="25"/>
  <c r="Z132" i="23" s="1"/>
  <c r="G122" i="25"/>
  <c r="J118" i="25"/>
  <c r="J110" i="25"/>
  <c r="E107" i="25"/>
  <c r="E96" i="25"/>
  <c r="G84" i="25"/>
  <c r="C73" i="25"/>
  <c r="AC75" i="23" s="1"/>
  <c r="E69" i="25"/>
  <c r="G61" i="25"/>
  <c r="G53" i="25"/>
  <c r="E356" i="25"/>
  <c r="J336" i="25"/>
  <c r="C319" i="25"/>
  <c r="C287" i="25"/>
  <c r="AC289" i="23" s="1"/>
  <c r="C216" i="25"/>
  <c r="AC218" i="23" s="1"/>
  <c r="G209" i="25"/>
  <c r="Z211" i="23" s="1"/>
  <c r="G198" i="25"/>
  <c r="Z200" i="23" s="1"/>
  <c r="G166" i="25"/>
  <c r="Z168" i="23" s="1"/>
  <c r="J153" i="25"/>
  <c r="G141" i="25"/>
  <c r="Z143" i="23" s="1"/>
  <c r="J133" i="25"/>
  <c r="C130" i="25"/>
  <c r="AC132" i="23" s="1"/>
  <c r="G99" i="25"/>
  <c r="J95" i="25"/>
  <c r="G92" i="25"/>
  <c r="G88" i="25"/>
  <c r="J80" i="25"/>
  <c r="E362" i="25"/>
  <c r="G300" i="25"/>
  <c r="J286" i="25"/>
  <c r="C277" i="25"/>
  <c r="AC279" i="23" s="1"/>
  <c r="E264" i="25"/>
  <c r="E252" i="25"/>
  <c r="C213" i="25"/>
  <c r="J203" i="25"/>
  <c r="E188" i="25"/>
  <c r="C175" i="25"/>
  <c r="AC177" i="23" s="1"/>
  <c r="G162" i="25"/>
  <c r="C150" i="25"/>
  <c r="AC152" i="23" s="1"/>
  <c r="G127" i="25"/>
  <c r="J121" i="25"/>
  <c r="E94" i="25"/>
  <c r="J87" i="25"/>
  <c r="E83" i="25"/>
  <c r="C77" i="25"/>
  <c r="AC79" i="23" s="1"/>
  <c r="E326" i="25"/>
  <c r="C314" i="25"/>
  <c r="AC316" i="23" s="1"/>
  <c r="J299" i="25"/>
  <c r="G286" i="25"/>
  <c r="C251" i="25"/>
  <c r="C241" i="25"/>
  <c r="J220" i="25"/>
  <c r="J212" i="25"/>
  <c r="E203" i="25"/>
  <c r="E182" i="25"/>
  <c r="C169" i="25"/>
  <c r="G149" i="25"/>
  <c r="J132" i="25"/>
  <c r="G121" i="25"/>
  <c r="Z123" i="23" s="1"/>
  <c r="J115" i="25"/>
  <c r="C110" i="25"/>
  <c r="AC112" i="23" s="1"/>
  <c r="J104" i="25"/>
  <c r="C99" i="25"/>
  <c r="AC101" i="23" s="1"/>
  <c r="C94" i="25"/>
  <c r="AC96" i="23" s="1"/>
  <c r="C61" i="25"/>
  <c r="AC63" i="23" s="1"/>
  <c r="C56" i="25"/>
  <c r="G48" i="25"/>
  <c r="Z50" i="23" s="1"/>
  <c r="G343" i="25"/>
  <c r="C298" i="25"/>
  <c r="AC300" i="23" s="1"/>
  <c r="E286" i="25"/>
  <c r="J273" i="25"/>
  <c r="C264" i="25"/>
  <c r="AC266" i="23" s="1"/>
  <c r="C231" i="25"/>
  <c r="J194" i="25"/>
  <c r="J187" i="25"/>
  <c r="G174" i="25"/>
  <c r="E162" i="25"/>
  <c r="E156" i="25"/>
  <c r="C121" i="25"/>
  <c r="J297" i="25"/>
  <c r="E285" i="25"/>
  <c r="J263" i="25"/>
  <c r="G239" i="25"/>
  <c r="Z241" i="23" s="1"/>
  <c r="G230" i="25"/>
  <c r="Z232" i="23" s="1"/>
  <c r="C220" i="25"/>
  <c r="AC222" i="23" s="1"/>
  <c r="C202" i="25"/>
  <c r="AC204" i="23" s="1"/>
  <c r="E194" i="25"/>
  <c r="G180" i="25"/>
  <c r="Z182" i="23" s="1"/>
  <c r="E174" i="25"/>
  <c r="C162" i="25"/>
  <c r="AC164" i="23" s="1"/>
  <c r="J155" i="25"/>
  <c r="E137" i="25"/>
  <c r="C132" i="25"/>
  <c r="J120" i="25"/>
  <c r="G114" i="25"/>
  <c r="G98" i="25"/>
  <c r="C93" i="25"/>
  <c r="AC95" i="23" s="1"/>
  <c r="E87" i="25"/>
  <c r="G81" i="25"/>
  <c r="C76" i="25"/>
  <c r="E71" i="25"/>
  <c r="E65" i="25"/>
  <c r="E60" i="25"/>
  <c r="G46" i="25"/>
  <c r="Z48" i="23" s="1"/>
  <c r="J340" i="25"/>
  <c r="J325" i="25"/>
  <c r="E309" i="25"/>
  <c r="G272" i="25"/>
  <c r="J201" i="25"/>
  <c r="J193" i="25"/>
  <c r="C187" i="25"/>
  <c r="AC189" i="23" s="1"/>
  <c r="J173" i="25"/>
  <c r="J167" i="25"/>
  <c r="E155" i="25"/>
  <c r="J148" i="25"/>
  <c r="E143" i="25"/>
  <c r="G120" i="25"/>
  <c r="Z122" i="23" s="1"/>
  <c r="E114" i="25"/>
  <c r="C103" i="25"/>
  <c r="AC105" i="23" s="1"/>
  <c r="E98" i="25"/>
  <c r="J75" i="25"/>
  <c r="C60" i="25"/>
  <c r="G55" i="25"/>
  <c r="J45" i="25"/>
  <c r="E373" i="25"/>
  <c r="C355" i="25"/>
  <c r="AC357" i="23" s="1"/>
  <c r="G325" i="25"/>
  <c r="E259" i="25"/>
  <c r="E238" i="25"/>
  <c r="C228" i="25"/>
  <c r="AC230" i="23" s="1"/>
  <c r="G179" i="25"/>
  <c r="Z181" i="23" s="1"/>
  <c r="E173" i="25"/>
  <c r="J160" i="25"/>
  <c r="G154" i="25"/>
  <c r="Z156" i="23" s="1"/>
  <c r="C131" i="25"/>
  <c r="C120" i="25"/>
  <c r="AC122" i="23" s="1"/>
  <c r="J113" i="25"/>
  <c r="C98" i="25"/>
  <c r="AC100" i="23" s="1"/>
  <c r="C92" i="25"/>
  <c r="AC94" i="23" s="1"/>
  <c r="G75" i="25"/>
  <c r="Z77" i="23" s="1"/>
  <c r="C70" i="25"/>
  <c r="J59" i="25"/>
  <c r="C55" i="25"/>
  <c r="AC57" i="23" s="1"/>
  <c r="G45" i="25"/>
  <c r="J353" i="25"/>
  <c r="E324" i="25"/>
  <c r="J308" i="25"/>
  <c r="E293" i="25"/>
  <c r="C272" i="25"/>
  <c r="AC274" i="23" s="1"/>
  <c r="E250" i="25"/>
  <c r="J227" i="25"/>
  <c r="C209" i="25"/>
  <c r="AC211" i="23" s="1"/>
  <c r="C201" i="25"/>
  <c r="AC203" i="23" s="1"/>
  <c r="C193" i="25"/>
  <c r="AC195" i="23" s="1"/>
  <c r="C166" i="25"/>
  <c r="AC168" i="23" s="1"/>
  <c r="G160" i="25"/>
  <c r="Z162" i="23" s="1"/>
  <c r="E148" i="25"/>
  <c r="J141" i="25"/>
  <c r="J86" i="25"/>
  <c r="G80" i="25"/>
  <c r="Z82" i="23" s="1"/>
  <c r="E75" i="25"/>
  <c r="G64" i="25"/>
  <c r="G59" i="25"/>
  <c r="Z61" i="23" s="1"/>
  <c r="J372" i="25"/>
  <c r="E336" i="25"/>
  <c r="G308" i="25"/>
  <c r="J282" i="25"/>
  <c r="E271" i="25"/>
  <c r="C259" i="25"/>
  <c r="E227" i="25"/>
  <c r="J218" i="25"/>
  <c r="E179" i="25"/>
  <c r="J172" i="25"/>
  <c r="G153" i="25"/>
  <c r="Z155" i="23" s="1"/>
  <c r="C125" i="25"/>
  <c r="AC127" i="23" s="1"/>
  <c r="G119" i="25"/>
  <c r="Z121" i="23" s="1"/>
  <c r="J107" i="25"/>
  <c r="E102" i="25"/>
  <c r="J53" i="25"/>
  <c r="J44" i="25"/>
  <c r="G317" i="25"/>
  <c r="C303" i="25"/>
  <c r="J278" i="25"/>
  <c r="E245" i="25"/>
  <c r="C225" i="25"/>
  <c r="G214" i="25"/>
  <c r="J206" i="25"/>
  <c r="J190" i="25"/>
  <c r="C183" i="25"/>
  <c r="G177" i="25"/>
  <c r="J157" i="25"/>
  <c r="E140" i="25"/>
  <c r="C123" i="25"/>
  <c r="AC125" i="23" s="1"/>
  <c r="C112" i="25"/>
  <c r="AC114" i="23" s="1"/>
  <c r="G101" i="25"/>
  <c r="E90" i="25"/>
  <c r="C84" i="25"/>
  <c r="AC86" i="23" s="1"/>
  <c r="J78" i="25"/>
  <c r="C63" i="25"/>
  <c r="AC65" i="23" s="1"/>
  <c r="J334" i="25"/>
  <c r="E311" i="25"/>
  <c r="G269" i="25"/>
  <c r="G250" i="25"/>
  <c r="C233" i="25"/>
  <c r="J215" i="25"/>
  <c r="G200" i="25"/>
  <c r="J156" i="25"/>
  <c r="G145" i="25"/>
  <c r="J135" i="25"/>
  <c r="J125" i="25"/>
  <c r="C117" i="25"/>
  <c r="J98" i="25"/>
  <c r="E80" i="25"/>
  <c r="J63" i="25"/>
  <c r="E56" i="25"/>
  <c r="C309" i="25"/>
  <c r="AC311" i="23" s="1"/>
  <c r="E269" i="25"/>
  <c r="G125" i="25"/>
  <c r="Z127" i="23" s="1"/>
  <c r="J106" i="25"/>
  <c r="G43" i="25"/>
  <c r="E333" i="25"/>
  <c r="G287" i="25"/>
  <c r="G267" i="25"/>
  <c r="Z269" i="23" s="1"/>
  <c r="J232" i="25"/>
  <c r="G176" i="25"/>
  <c r="G165" i="25"/>
  <c r="C145" i="25"/>
  <c r="J134" i="25"/>
  <c r="J116" i="25"/>
  <c r="G106" i="25"/>
  <c r="J96" i="25"/>
  <c r="G89" i="25"/>
  <c r="Z91" i="23" s="1"/>
  <c r="C72" i="25"/>
  <c r="J55" i="25"/>
  <c r="G362" i="25"/>
  <c r="J307" i="25"/>
  <c r="G265" i="25"/>
  <c r="Z267" i="23" s="1"/>
  <c r="E246" i="25"/>
  <c r="J213" i="25"/>
  <c r="C198" i="25"/>
  <c r="AC200" i="23" s="1"/>
  <c r="J124" i="25"/>
  <c r="C106" i="25"/>
  <c r="AC108" i="23" s="1"/>
  <c r="G79" i="25"/>
  <c r="Z81" i="23" s="1"/>
  <c r="G71" i="25"/>
  <c r="Z73" i="23" s="1"/>
  <c r="E307" i="25"/>
  <c r="E165" i="25"/>
  <c r="C153" i="25"/>
  <c r="C144" i="25"/>
  <c r="C115" i="25"/>
  <c r="G105" i="25"/>
  <c r="E360" i="25"/>
  <c r="J331" i="25"/>
  <c r="G245" i="25"/>
  <c r="E213" i="25"/>
  <c r="J197" i="25"/>
  <c r="G185" i="25"/>
  <c r="J164" i="25"/>
  <c r="G143" i="25"/>
  <c r="Z145" i="23" s="1"/>
  <c r="G87" i="25"/>
  <c r="C71" i="25"/>
  <c r="AC73" i="23" s="1"/>
  <c r="E62" i="25"/>
  <c r="G52" i="25"/>
  <c r="Z54" i="23" s="1"/>
  <c r="E331" i="25"/>
  <c r="G264" i="25"/>
  <c r="J184" i="25"/>
  <c r="G164" i="25"/>
  <c r="Z166" i="23" s="1"/>
  <c r="J152" i="25"/>
  <c r="J142" i="25"/>
  <c r="G133" i="25"/>
  <c r="C124" i="25"/>
  <c r="J305" i="25"/>
  <c r="J281" i="25"/>
  <c r="C184" i="25"/>
  <c r="G173" i="25"/>
  <c r="E163" i="25"/>
  <c r="C141" i="25"/>
  <c r="AC143" i="23" s="1"/>
  <c r="E123" i="25"/>
  <c r="E113" i="25"/>
  <c r="C105" i="25"/>
  <c r="G95" i="25"/>
  <c r="C87" i="25"/>
  <c r="AC89" i="23" s="1"/>
  <c r="J68" i="25"/>
  <c r="J51" i="25"/>
  <c r="C352" i="25"/>
  <c r="AC354" i="23" s="1"/>
  <c r="J327" i="25"/>
  <c r="G279" i="25"/>
  <c r="E209" i="25"/>
  <c r="E197" i="25"/>
  <c r="G152" i="25"/>
  <c r="Z154" i="23" s="1"/>
  <c r="J140" i="25"/>
  <c r="C133" i="25"/>
  <c r="E104" i="25"/>
  <c r="E95" i="25"/>
  <c r="G86" i="25"/>
  <c r="Z88" i="23" s="1"/>
  <c r="E61" i="25"/>
  <c r="C326" i="25"/>
  <c r="E301" i="25"/>
  <c r="C244" i="25"/>
  <c r="G225" i="25"/>
  <c r="G208" i="25"/>
  <c r="E183" i="25"/>
  <c r="J162" i="25"/>
  <c r="E152" i="25"/>
  <c r="E132" i="25"/>
  <c r="E122" i="25"/>
  <c r="J85" i="25"/>
  <c r="J77" i="25"/>
  <c r="G68" i="25"/>
  <c r="G60" i="25"/>
  <c r="Z62" i="23" s="1"/>
  <c r="G51" i="25"/>
  <c r="Z53" i="23" s="1"/>
  <c r="J343" i="25"/>
  <c r="G201" i="25"/>
  <c r="J139" i="25"/>
  <c r="C102" i="25"/>
  <c r="G57" i="25"/>
  <c r="Z59" i="23" s="1"/>
  <c r="E343" i="25"/>
  <c r="J224" i="25"/>
  <c r="C197" i="25"/>
  <c r="E178" i="25"/>
  <c r="E120" i="25"/>
  <c r="E57" i="25"/>
  <c r="G340" i="25"/>
  <c r="E257" i="25"/>
  <c r="J177" i="25"/>
  <c r="J101" i="25"/>
  <c r="G72" i="25"/>
  <c r="Z74" i="23" s="1"/>
  <c r="C57" i="25"/>
  <c r="AC59" i="23" s="1"/>
  <c r="E292" i="25"/>
  <c r="G193" i="25"/>
  <c r="Z195" i="23" s="1"/>
  <c r="C172" i="25"/>
  <c r="E157" i="25"/>
  <c r="G118" i="25"/>
  <c r="Z120" i="23" s="1"/>
  <c r="E84" i="25"/>
  <c r="J291" i="25"/>
  <c r="J255" i="25"/>
  <c r="E221" i="25"/>
  <c r="J192" i="25"/>
  <c r="J136" i="25"/>
  <c r="E68" i="25"/>
  <c r="J56" i="25"/>
  <c r="G192" i="25"/>
  <c r="J170" i="25"/>
  <c r="C152" i="25"/>
  <c r="E136" i="25"/>
  <c r="C118" i="25"/>
  <c r="AC120" i="23" s="1"/>
  <c r="G100" i="25"/>
  <c r="Z102" i="23" s="1"/>
  <c r="C68" i="25"/>
  <c r="AC70" i="23" s="1"/>
  <c r="J50" i="25"/>
  <c r="C279" i="25"/>
  <c r="AC281" i="23" s="1"/>
  <c r="C253" i="25"/>
  <c r="AC255" i="23" s="1"/>
  <c r="J191" i="25"/>
  <c r="J150" i="25"/>
  <c r="G117" i="25"/>
  <c r="Z119" i="23" s="1"/>
  <c r="J99" i="25"/>
  <c r="G67" i="25"/>
  <c r="G50" i="25"/>
  <c r="J250" i="25"/>
  <c r="J169" i="25"/>
  <c r="G83" i="25"/>
  <c r="J243" i="25"/>
  <c r="E216" i="25"/>
  <c r="E191" i="25"/>
  <c r="C149" i="25"/>
  <c r="J129" i="25"/>
  <c r="J112" i="25"/>
  <c r="E99" i="25"/>
  <c r="E67" i="25"/>
  <c r="J49" i="25"/>
  <c r="G258" i="25"/>
  <c r="Z260" i="23" s="1"/>
  <c r="G205" i="25"/>
  <c r="Z207" i="23" s="1"/>
  <c r="C140" i="25"/>
  <c r="E109" i="25"/>
  <c r="E258" i="25"/>
  <c r="C205" i="25"/>
  <c r="AC207" i="23" s="1"/>
  <c r="C167" i="25"/>
  <c r="AC169" i="23" s="1"/>
  <c r="E76" i="25"/>
  <c r="J165" i="25"/>
  <c r="G129" i="25"/>
  <c r="Z131" i="23" s="1"/>
  <c r="J47" i="25"/>
  <c r="C204" i="25"/>
  <c r="AC206" i="23" s="1"/>
  <c r="C107" i="25"/>
  <c r="J239" i="25"/>
  <c r="C75" i="25"/>
  <c r="G314" i="25"/>
  <c r="G238" i="25"/>
  <c r="Z240" i="23" s="1"/>
  <c r="J202" i="25"/>
  <c r="G44" i="25"/>
  <c r="C160" i="25"/>
  <c r="AC162" i="23" s="1"/>
  <c r="G128" i="25"/>
  <c r="J74" i="25"/>
  <c r="C301" i="25"/>
  <c r="AC303" i="23" s="1"/>
  <c r="C190" i="25"/>
  <c r="AC192" i="23" s="1"/>
  <c r="J94" i="25"/>
  <c r="J43" i="25"/>
  <c r="E128" i="25"/>
  <c r="C74" i="25"/>
  <c r="AC76" i="23" s="1"/>
  <c r="J371" i="25"/>
  <c r="J236" i="25"/>
  <c r="G189" i="25"/>
  <c r="G297" i="25"/>
  <c r="J233" i="25"/>
  <c r="C128" i="25"/>
  <c r="C66" i="25"/>
  <c r="E64" i="25"/>
  <c r="J277" i="25"/>
  <c r="G182" i="25"/>
  <c r="Z184" i="23" s="1"/>
  <c r="J117" i="25"/>
  <c r="C111" i="25"/>
  <c r="C59" i="25"/>
  <c r="AC61" i="23" s="1"/>
  <c r="G110" i="25"/>
  <c r="Z112" i="23" s="1"/>
  <c r="G170" i="25"/>
  <c r="Z172" i="23" s="1"/>
  <c r="G58" i="25"/>
  <c r="Z60" i="23" s="1"/>
  <c r="J269" i="25"/>
  <c r="G169" i="25"/>
  <c r="Z171" i="23" s="1"/>
  <c r="E110" i="25"/>
  <c r="J109" i="25"/>
  <c r="C58" i="25"/>
  <c r="AC60" i="23" s="1"/>
  <c r="J364" i="25"/>
  <c r="G233" i="25"/>
  <c r="Z235" i="23" s="1"/>
  <c r="E364" i="25"/>
  <c r="E233" i="25"/>
  <c r="C148" i="25"/>
  <c r="AC150" i="23" s="1"/>
  <c r="J182" i="25"/>
  <c r="G65" i="25"/>
  <c r="Z67" i="23" s="1"/>
  <c r="J64" i="25"/>
  <c r="G147" i="25"/>
  <c r="C351" i="25"/>
  <c r="J344" i="25"/>
  <c r="E146" i="25"/>
  <c r="E344" i="25"/>
  <c r="C344" i="25"/>
  <c r="AC346" i="23" s="1"/>
  <c r="G140" i="25"/>
  <c r="G90" i="25"/>
  <c r="Z92" i="23" s="1"/>
  <c r="C323" i="25"/>
  <c r="AC325" i="23" s="1"/>
  <c r="J83" i="25"/>
  <c r="G318" i="25"/>
  <c r="E291" i="25"/>
  <c r="G82" i="25"/>
  <c r="Z84" i="23" s="1"/>
  <c r="C81" i="25"/>
  <c r="AC83" i="23" s="1"/>
  <c r="J219" i="25"/>
  <c r="E208" i="25"/>
  <c r="C208" i="25"/>
  <c r="AC210" i="23" s="1"/>
  <c r="J207" i="25"/>
  <c r="C122" i="25"/>
  <c r="G91" i="25"/>
  <c r="E91" i="25"/>
  <c r="V12" i="28"/>
  <c r="V5" i="28"/>
  <c r="Y5" i="28"/>
  <c r="AE35" i="28"/>
  <c r="AF33" i="28"/>
  <c r="AA4" i="28"/>
  <c r="AA5" i="28" s="1"/>
  <c r="AC7" i="28"/>
  <c r="Y12" i="28"/>
  <c r="AE6" i="28"/>
  <c r="AF27" i="28"/>
  <c r="S5" i="28"/>
  <c r="M5" i="32"/>
  <c r="M9" i="32" s="1"/>
  <c r="M8" i="32" s="1"/>
  <c r="AH17" i="28"/>
  <c r="AI15" i="28"/>
  <c r="AF3" i="28"/>
  <c r="AF23" i="28"/>
  <c r="AG21" i="28"/>
  <c r="AD4" i="28"/>
  <c r="AE75" i="28"/>
  <c r="AG45" i="28"/>
  <c r="AB4" i="28"/>
  <c r="AB5" i="28" s="1"/>
  <c r="Q5" i="28"/>
  <c r="AD5" i="28"/>
  <c r="AC6" i="28"/>
  <c r="K26" i="32"/>
  <c r="AD41" i="28"/>
  <c r="AD6" i="28" s="1"/>
  <c r="AF39" i="28"/>
  <c r="P16" i="27" l="1"/>
  <c r="P32" i="27"/>
  <c r="O65" i="23" s="1"/>
  <c r="AU351" i="22"/>
  <c r="AU435" i="22"/>
  <c r="AV98" i="22"/>
  <c r="AV172" i="22"/>
  <c r="AG12" i="22"/>
  <c r="AK12" i="22" s="1"/>
  <c r="AS189" i="22"/>
  <c r="AY189" i="22" s="1"/>
  <c r="AB65" i="22"/>
  <c r="T344" i="22"/>
  <c r="AC94" i="22"/>
  <c r="AS166" i="22"/>
  <c r="AY166" i="22" s="1"/>
  <c r="AS330" i="22"/>
  <c r="AB106" i="22"/>
  <c r="AC318" i="22"/>
  <c r="AC194" i="22"/>
  <c r="AS85" i="22"/>
  <c r="AC108" i="22"/>
  <c r="AS506" i="22"/>
  <c r="AL506" i="22"/>
  <c r="T280" i="22"/>
  <c r="AL35" i="16"/>
  <c r="AB272" i="9"/>
  <c r="Y272" i="9"/>
  <c r="AK148" i="23"/>
  <c r="AR148" i="23"/>
  <c r="AO200" i="23"/>
  <c r="AQ200" i="23"/>
  <c r="AQ138" i="23"/>
  <c r="AO138" i="23"/>
  <c r="AB74" i="23"/>
  <c r="AD74" i="23" s="1"/>
  <c r="AI74" i="23" s="1"/>
  <c r="AR156" i="23"/>
  <c r="AR102" i="23"/>
  <c r="AR284" i="23"/>
  <c r="AQ187" i="23"/>
  <c r="AO187" i="23"/>
  <c r="AD187" i="23"/>
  <c r="AJ187" i="23" s="1"/>
  <c r="Y174" i="23"/>
  <c r="AR122" i="23"/>
  <c r="AD156" i="23"/>
  <c r="AJ156" i="23" s="1"/>
  <c r="AQ156" i="23"/>
  <c r="AO156" i="23"/>
  <c r="AH156" i="23"/>
  <c r="AB238" i="23"/>
  <c r="AD94" i="23"/>
  <c r="AJ94" i="23" s="1"/>
  <c r="AQ94" i="23"/>
  <c r="AO94" i="23"/>
  <c r="AQ194" i="23"/>
  <c r="AO194" i="23"/>
  <c r="AD194" i="23"/>
  <c r="AH194" i="23" s="1"/>
  <c r="AB254" i="23"/>
  <c r="AQ240" i="23"/>
  <c r="AO240" i="23"/>
  <c r="AD240" i="23"/>
  <c r="AJ240" i="23" s="1"/>
  <c r="AQ230" i="23"/>
  <c r="AO230" i="23"/>
  <c r="AD230" i="23"/>
  <c r="AJ230" i="23" s="1"/>
  <c r="AB369" i="23"/>
  <c r="AR338" i="23"/>
  <c r="T227" i="22"/>
  <c r="T366" i="22"/>
  <c r="T278" i="22"/>
  <c r="T287" i="22"/>
  <c r="T220" i="22"/>
  <c r="T304" i="22"/>
  <c r="AT143" i="22"/>
  <c r="AM143" i="22"/>
  <c r="AT189" i="22"/>
  <c r="AT192" i="22"/>
  <c r="AT275" i="22"/>
  <c r="AT334" i="22"/>
  <c r="AT263" i="22"/>
  <c r="AT396" i="22"/>
  <c r="AT493" i="22"/>
  <c r="AS109" i="22"/>
  <c r="AC89" i="22"/>
  <c r="AC256" i="22"/>
  <c r="AS267" i="22"/>
  <c r="AC105" i="22"/>
  <c r="AC190" i="22"/>
  <c r="AC258" i="22"/>
  <c r="AC162" i="22"/>
  <c r="AC383" i="22"/>
  <c r="AC343" i="22"/>
  <c r="AC461" i="22"/>
  <c r="AC307" i="22"/>
  <c r="AC376" i="22"/>
  <c r="AS386" i="22"/>
  <c r="AC432" i="22"/>
  <c r="AC438" i="22"/>
  <c r="AU72" i="12"/>
  <c r="S133" i="8"/>
  <c r="T133" i="8"/>
  <c r="AC373" i="9"/>
  <c r="AB373" i="9"/>
  <c r="AA373" i="9"/>
  <c r="AU143" i="22"/>
  <c r="BA143" i="22" s="1"/>
  <c r="AN143" i="22"/>
  <c r="AU287" i="22"/>
  <c r="AU173" i="22"/>
  <c r="BA173" i="22" s="1"/>
  <c r="AU361" i="22"/>
  <c r="AU451" i="22"/>
  <c r="W180" i="22"/>
  <c r="BI180" i="22"/>
  <c r="AR121" i="22"/>
  <c r="AG121" i="22"/>
  <c r="AK121" i="22" s="1"/>
  <c r="AB397" i="22"/>
  <c r="AR473" i="22"/>
  <c r="B120" i="16"/>
  <c r="R188" i="12"/>
  <c r="S188" i="12"/>
  <c r="AB221" i="9"/>
  <c r="AA488" i="9"/>
  <c r="Y488" i="9"/>
  <c r="AR100" i="22"/>
  <c r="AG100" i="22"/>
  <c r="AN100" i="22" s="1"/>
  <c r="BA100" i="22" s="1"/>
  <c r="BF100" i="22" s="1"/>
  <c r="AR233" i="22"/>
  <c r="AG233" i="22"/>
  <c r="AR395" i="22"/>
  <c r="C120" i="16"/>
  <c r="AO17" i="16"/>
  <c r="F71" i="16"/>
  <c r="S154" i="9"/>
  <c r="T154" i="9" s="1"/>
  <c r="AN154" i="9"/>
  <c r="AO154" i="9" s="1"/>
  <c r="AL106" i="16"/>
  <c r="AK106" i="16"/>
  <c r="AJ106" i="16"/>
  <c r="BP148" i="22"/>
  <c r="AV129" i="22"/>
  <c r="AV224" i="22"/>
  <c r="AV444" i="22"/>
  <c r="AV503" i="22"/>
  <c r="AN16" i="16"/>
  <c r="E67" i="16"/>
  <c r="T214" i="22"/>
  <c r="Y474" i="9"/>
  <c r="Y451" i="9"/>
  <c r="AC451" i="9" s="1"/>
  <c r="AG39" i="28"/>
  <c r="AF41" i="28"/>
  <c r="S193" i="9"/>
  <c r="T193" i="9" s="1"/>
  <c r="AN193" i="9"/>
  <c r="AS177" i="22"/>
  <c r="AY177" i="22" s="1"/>
  <c r="AS257" i="22"/>
  <c r="AB191" i="22"/>
  <c r="AT191" i="22" s="1"/>
  <c r="AG290" i="22"/>
  <c r="AK290" i="22" s="1"/>
  <c r="AR290" i="22"/>
  <c r="AR509" i="22"/>
  <c r="AB331" i="9"/>
  <c r="M7" i="7"/>
  <c r="R67" i="7"/>
  <c r="R74" i="7"/>
  <c r="R66" i="7"/>
  <c r="R69" i="7"/>
  <c r="R73" i="7"/>
  <c r="R71" i="7"/>
  <c r="R68" i="7"/>
  <c r="R70" i="7"/>
  <c r="R72" i="7"/>
  <c r="AS143" i="22"/>
  <c r="AY143" i="22" s="1"/>
  <c r="AK364" i="22"/>
  <c r="AR364" i="22"/>
  <c r="AG364" i="22"/>
  <c r="AM364" i="22" s="1"/>
  <c r="AS63" i="22"/>
  <c r="AC246" i="22"/>
  <c r="AC507" i="22"/>
  <c r="AM20" i="18"/>
  <c r="AM21" i="18"/>
  <c r="AM22" i="18"/>
  <c r="AM23" i="18"/>
  <c r="AN23" i="18"/>
  <c r="AN22" i="18"/>
  <c r="E97" i="16"/>
  <c r="E65" i="16"/>
  <c r="E44" i="16"/>
  <c r="E7" i="16" s="1"/>
  <c r="AN34" i="16"/>
  <c r="AE33" i="19" s="1"/>
  <c r="Y347" i="9"/>
  <c r="AC347" i="9" s="1"/>
  <c r="AC185" i="9"/>
  <c r="AB185" i="9"/>
  <c r="AA185" i="9"/>
  <c r="AG185" i="9" s="1"/>
  <c r="AH185" i="9" s="1"/>
  <c r="T252" i="22"/>
  <c r="AS239" i="22"/>
  <c r="AC247" i="22"/>
  <c r="AT247" i="22" s="1"/>
  <c r="AC335" i="22"/>
  <c r="AS369" i="22"/>
  <c r="AC315" i="22"/>
  <c r="T315" i="22"/>
  <c r="T242" i="22"/>
  <c r="T229" i="22"/>
  <c r="W152" i="22"/>
  <c r="V152" i="22"/>
  <c r="BI152" i="22"/>
  <c r="AT79" i="12"/>
  <c r="AT78" i="12"/>
  <c r="AT77" i="12"/>
  <c r="AT76" i="12"/>
  <c r="Y197" i="9"/>
  <c r="AA197" i="9" s="1"/>
  <c r="AG197" i="9" s="1"/>
  <c r="AH197" i="9" s="1"/>
  <c r="AC289" i="9"/>
  <c r="T416" i="22"/>
  <c r="AD148" i="23"/>
  <c r="AJ148" i="23" s="1"/>
  <c r="AO148" i="23"/>
  <c r="AH148" i="23"/>
  <c r="AQ148" i="23"/>
  <c r="AO62" i="23"/>
  <c r="AQ62" i="23"/>
  <c r="AO54" i="23"/>
  <c r="AD54" i="23"/>
  <c r="AH54" i="23"/>
  <c r="AQ54" i="23"/>
  <c r="AR155" i="23"/>
  <c r="AO216" i="23"/>
  <c r="AQ216" i="23"/>
  <c r="Y154" i="23"/>
  <c r="AQ183" i="23"/>
  <c r="AO183" i="23"/>
  <c r="AD183" i="23"/>
  <c r="AJ183" i="23" s="1"/>
  <c r="AH183" i="23"/>
  <c r="AR126" i="23"/>
  <c r="AD258" i="23"/>
  <c r="AJ258" i="23" s="1"/>
  <c r="AQ258" i="23"/>
  <c r="AH258" i="23"/>
  <c r="AO258" i="23"/>
  <c r="AR205" i="23"/>
  <c r="AR242" i="23"/>
  <c r="AR198" i="23"/>
  <c r="AQ58" i="23"/>
  <c r="AO58" i="23"/>
  <c r="AB158" i="23"/>
  <c r="AK166" i="23"/>
  <c r="AR166" i="23"/>
  <c r="AO256" i="23"/>
  <c r="AQ256" i="23"/>
  <c r="AR341" i="23"/>
  <c r="AB202" i="23"/>
  <c r="T410" i="22"/>
  <c r="T299" i="22"/>
  <c r="AT186" i="22"/>
  <c r="AT172" i="22"/>
  <c r="AT127" i="22"/>
  <c r="AT92" i="22"/>
  <c r="AT87" i="22"/>
  <c r="AM289" i="22"/>
  <c r="AT289" i="22"/>
  <c r="AT274" i="22"/>
  <c r="AT416" i="22"/>
  <c r="AC27" i="22"/>
  <c r="AC71" i="22"/>
  <c r="AT71" i="22" s="1"/>
  <c r="AC147" i="22"/>
  <c r="AC116" i="22"/>
  <c r="AC237" i="22"/>
  <c r="AC76" i="22"/>
  <c r="AC96" i="22"/>
  <c r="AS28" i="22"/>
  <c r="AC272" i="22"/>
  <c r="AC226" i="22"/>
  <c r="AC270" i="22"/>
  <c r="AC119" i="22"/>
  <c r="AC387" i="22"/>
  <c r="AT387" i="22" s="1"/>
  <c r="AC394" i="22"/>
  <c r="AC508" i="22"/>
  <c r="AC403" i="22"/>
  <c r="AS509" i="22"/>
  <c r="AC447" i="22"/>
  <c r="AC424" i="22"/>
  <c r="AC489" i="22"/>
  <c r="P22" i="27"/>
  <c r="O55" i="23" s="1"/>
  <c r="Y269" i="9"/>
  <c r="AU169" i="22"/>
  <c r="BA169" i="22" s="1"/>
  <c r="AG299" i="22"/>
  <c r="AM299" i="22" s="1"/>
  <c r="AR299" i="22"/>
  <c r="AV201" i="22"/>
  <c r="AS102" i="22"/>
  <c r="AC185" i="22"/>
  <c r="AS352" i="22"/>
  <c r="AS485" i="22"/>
  <c r="AB228" i="22"/>
  <c r="AB368" i="22"/>
  <c r="AK289" i="22"/>
  <c r="AG289" i="22"/>
  <c r="AR289" i="22"/>
  <c r="AC97" i="22"/>
  <c r="AC296" i="22"/>
  <c r="AL393" i="22"/>
  <c r="AS393" i="22"/>
  <c r="T393" i="22"/>
  <c r="W168" i="22"/>
  <c r="V168" i="22"/>
  <c r="BI168" i="22"/>
  <c r="BQ168" i="22" s="1"/>
  <c r="AD211" i="23"/>
  <c r="AJ211" i="23" s="1"/>
  <c r="AQ211" i="23"/>
  <c r="AO211" i="23"/>
  <c r="AH211" i="23"/>
  <c r="AR79" i="23"/>
  <c r="AB107" i="23"/>
  <c r="AD124" i="23"/>
  <c r="Y207" i="23"/>
  <c r="AP207" i="23" s="1"/>
  <c r="AB143" i="23"/>
  <c r="AB272" i="23"/>
  <c r="AO255" i="23"/>
  <c r="AD255" i="23"/>
  <c r="AJ255" i="23" s="1"/>
  <c r="AR100" i="23"/>
  <c r="AR136" i="23"/>
  <c r="AQ244" i="23"/>
  <c r="AO244" i="23"/>
  <c r="AO234" i="23"/>
  <c r="AQ168" i="23"/>
  <c r="AO168" i="23"/>
  <c r="AO204" i="23"/>
  <c r="AQ204" i="23"/>
  <c r="AB359" i="23"/>
  <c r="T403" i="22"/>
  <c r="T402" i="22"/>
  <c r="O28" i="27"/>
  <c r="O12" i="27"/>
  <c r="O17" i="27" s="1"/>
  <c r="AT244" i="22"/>
  <c r="AT229" i="22"/>
  <c r="AT459" i="22"/>
  <c r="S128" i="8"/>
  <c r="T128" i="8"/>
  <c r="T244" i="22"/>
  <c r="AU45" i="22"/>
  <c r="AV45" i="22"/>
  <c r="AR20" i="22"/>
  <c r="AG20" i="22"/>
  <c r="AT20" i="22"/>
  <c r="AR436" i="22"/>
  <c r="T460" i="22"/>
  <c r="AV322" i="22"/>
  <c r="AR189" i="22"/>
  <c r="AX189" i="22" s="1"/>
  <c r="AG189" i="22"/>
  <c r="AR353" i="22"/>
  <c r="AL289" i="22"/>
  <c r="AS289" i="22"/>
  <c r="AB362" i="22"/>
  <c r="AS311" i="22"/>
  <c r="AC367" i="22"/>
  <c r="AB124" i="22"/>
  <c r="AR313" i="22"/>
  <c r="AG313" i="22"/>
  <c r="AM313" i="22" s="1"/>
  <c r="AK313" i="22"/>
  <c r="AR437" i="22"/>
  <c r="AG437" i="22"/>
  <c r="AM437" i="22" s="1"/>
  <c r="AC175" i="22"/>
  <c r="AP53" i="23"/>
  <c r="AI166" i="23"/>
  <c r="AP166" i="23"/>
  <c r="AP73" i="23"/>
  <c r="Z300" i="23"/>
  <c r="Y300" i="23"/>
  <c r="AP162" i="23"/>
  <c r="AI162" i="23"/>
  <c r="AP156" i="23"/>
  <c r="AI156" i="23"/>
  <c r="AS164" i="23"/>
  <c r="Y356" i="23"/>
  <c r="Z356" i="23"/>
  <c r="Z297" i="23"/>
  <c r="Y297" i="23"/>
  <c r="Z68" i="23"/>
  <c r="Z250" i="23"/>
  <c r="AP230" i="23"/>
  <c r="AI230" i="23"/>
  <c r="AS358" i="23"/>
  <c r="AS330" i="23"/>
  <c r="AS245" i="23"/>
  <c r="AS240" i="23"/>
  <c r="AL240" i="23"/>
  <c r="Y377" i="23"/>
  <c r="Z377" i="23"/>
  <c r="Z337" i="23"/>
  <c r="Y337" i="23"/>
  <c r="AS318" i="23"/>
  <c r="Y365" i="23"/>
  <c r="Z365" i="23"/>
  <c r="Z342" i="23"/>
  <c r="Y342" i="23"/>
  <c r="AD149" i="23"/>
  <c r="AJ149" i="23" s="1"/>
  <c r="AQ149" i="23"/>
  <c r="AO149" i="23"/>
  <c r="AO245" i="23"/>
  <c r="AD245" i="23"/>
  <c r="AJ245" i="23" s="1"/>
  <c r="AH245" i="23"/>
  <c r="AQ245" i="23"/>
  <c r="AB159" i="23"/>
  <c r="AO172" i="23"/>
  <c r="AQ172" i="23"/>
  <c r="AO162" i="23"/>
  <c r="AH162" i="23"/>
  <c r="AD162" i="23"/>
  <c r="AJ162" i="23" s="1"/>
  <c r="AQ162" i="23"/>
  <c r="AO195" i="23"/>
  <c r="AD195" i="23"/>
  <c r="AJ195" i="23" s="1"/>
  <c r="AQ195" i="23"/>
  <c r="AR222" i="23"/>
  <c r="AR282" i="23"/>
  <c r="AB137" i="23"/>
  <c r="AD208" i="23"/>
  <c r="AO208" i="23"/>
  <c r="AQ208" i="23"/>
  <c r="AQ137" i="23"/>
  <c r="AO137" i="23"/>
  <c r="AB292" i="23"/>
  <c r="AR291" i="23"/>
  <c r="AQ275" i="23"/>
  <c r="Y163" i="23"/>
  <c r="AR262" i="23"/>
  <c r="AB98" i="23"/>
  <c r="T503" i="22"/>
  <c r="T356" i="22"/>
  <c r="AT102" i="22"/>
  <c r="AT119" i="22"/>
  <c r="AT475" i="22"/>
  <c r="AT205" i="22"/>
  <c r="AT460" i="22"/>
  <c r="AT470" i="22"/>
  <c r="P59" i="23"/>
  <c r="G64" i="16"/>
  <c r="AP54" i="8"/>
  <c r="AP6" i="8"/>
  <c r="AP9" i="8" s="1"/>
  <c r="AU158" i="22"/>
  <c r="BA158" i="22" s="1"/>
  <c r="AU121" i="22"/>
  <c r="AU455" i="22"/>
  <c r="T412" i="22"/>
  <c r="AR331" i="22"/>
  <c r="AG331" i="22"/>
  <c r="AO331" i="22" s="1"/>
  <c r="AV147" i="22"/>
  <c r="T440" i="22"/>
  <c r="AB75" i="22"/>
  <c r="AT30" i="22"/>
  <c r="AG29" i="22"/>
  <c r="AK29" i="22" s="1"/>
  <c r="AT29" i="22"/>
  <c r="AS127" i="22"/>
  <c r="AB96" i="22"/>
  <c r="AT96" i="22" s="1"/>
  <c r="AB294" i="22"/>
  <c r="AB402" i="22"/>
  <c r="AB455" i="22"/>
  <c r="T409" i="22"/>
  <c r="T211" i="22"/>
  <c r="P5" i="27"/>
  <c r="P21" i="27"/>
  <c r="AC297" i="22"/>
  <c r="AC150" i="22"/>
  <c r="AC159" i="22"/>
  <c r="AF6" i="28"/>
  <c r="AP235" i="23"/>
  <c r="AS169" i="23"/>
  <c r="AP119" i="23"/>
  <c r="AP62" i="23"/>
  <c r="AP50" i="23"/>
  <c r="AS79" i="23"/>
  <c r="Z101" i="23"/>
  <c r="AD101" i="23" s="1"/>
  <c r="Z124" i="23"/>
  <c r="AO124" i="23" s="1"/>
  <c r="AS249" i="23"/>
  <c r="AP148" i="23"/>
  <c r="AI148" i="23"/>
  <c r="AS372" i="23"/>
  <c r="AS291" i="23"/>
  <c r="Y360" i="23"/>
  <c r="Z360" i="23"/>
  <c r="Z319" i="23"/>
  <c r="Y319" i="23"/>
  <c r="Z329" i="23"/>
  <c r="Y329" i="23"/>
  <c r="AP244" i="23"/>
  <c r="Z358" i="23"/>
  <c r="Y358" i="23"/>
  <c r="AS374" i="23"/>
  <c r="AS219" i="23"/>
  <c r="Z347" i="23"/>
  <c r="Y347" i="23"/>
  <c r="T434" i="22"/>
  <c r="T429" i="22"/>
  <c r="T374" i="22"/>
  <c r="T293" i="22"/>
  <c r="AV32" i="22"/>
  <c r="AU32" i="22"/>
  <c r="AE302" i="22"/>
  <c r="AE164" i="22"/>
  <c r="AE145" i="22"/>
  <c r="AE231" i="22"/>
  <c r="AE35" i="22"/>
  <c r="AV38" i="22"/>
  <c r="AU38" i="22"/>
  <c r="AU18" i="22"/>
  <c r="AV18" i="22"/>
  <c r="AV30" i="22"/>
  <c r="AU30" i="22"/>
  <c r="AE301" i="22"/>
  <c r="AU59" i="22"/>
  <c r="AV59" i="22"/>
  <c r="AE277" i="22"/>
  <c r="AE323" i="22"/>
  <c r="AE221" i="22"/>
  <c r="AE409" i="22"/>
  <c r="AE419" i="22"/>
  <c r="AE507" i="22"/>
  <c r="AV507" i="22" s="1"/>
  <c r="AE509" i="22"/>
  <c r="AE479" i="22"/>
  <c r="BQ156" i="22"/>
  <c r="T54" i="8"/>
  <c r="T6" i="8"/>
  <c r="T9" i="8" s="1"/>
  <c r="AT65" i="12"/>
  <c r="AT64" i="12"/>
  <c r="AU75" i="22"/>
  <c r="AU86" i="22"/>
  <c r="AU155" i="22"/>
  <c r="BA155" i="22" s="1"/>
  <c r="AU427" i="22"/>
  <c r="Y421" i="9"/>
  <c r="T233" i="22"/>
  <c r="P27" i="27"/>
  <c r="O60" i="23" s="1"/>
  <c r="P11" i="27"/>
  <c r="AR145" i="22"/>
  <c r="AX145" i="22" s="1"/>
  <c r="AG145" i="22"/>
  <c r="AM145" i="22" s="1"/>
  <c r="AR459" i="22"/>
  <c r="AG459" i="22"/>
  <c r="AO459" i="22" s="1"/>
  <c r="R178" i="12"/>
  <c r="Q178" i="12"/>
  <c r="P48" i="23"/>
  <c r="AV323" i="22"/>
  <c r="AR267" i="22"/>
  <c r="AG328" i="22"/>
  <c r="AK328" i="22" s="1"/>
  <c r="AR328" i="22"/>
  <c r="AR484" i="22"/>
  <c r="AG502" i="22"/>
  <c r="AR502" i="22"/>
  <c r="E116" i="16"/>
  <c r="AM23" i="16"/>
  <c r="AM22" i="16"/>
  <c r="AM24" i="16"/>
  <c r="AM21" i="16"/>
  <c r="S186" i="9"/>
  <c r="T186" i="9" s="1"/>
  <c r="AN186" i="9"/>
  <c r="AV192" i="22"/>
  <c r="AV309" i="22"/>
  <c r="AV383" i="22"/>
  <c r="R179" i="12"/>
  <c r="Y431" i="9"/>
  <c r="T502" i="22"/>
  <c r="T253" i="22"/>
  <c r="C8" i="16"/>
  <c r="C11" i="16"/>
  <c r="Q23" i="32"/>
  <c r="R208" i="9"/>
  <c r="S35" i="8"/>
  <c r="T35" i="8"/>
  <c r="U35" i="8"/>
  <c r="AR390" i="22"/>
  <c r="AB377" i="22"/>
  <c r="AB495" i="22"/>
  <c r="Q183" i="12"/>
  <c r="AC91" i="22"/>
  <c r="AB183" i="22"/>
  <c r="Q179" i="12"/>
  <c r="AB238" i="9"/>
  <c r="O5" i="8"/>
  <c r="O6" i="8" s="1"/>
  <c r="O9" i="8" s="1"/>
  <c r="S44" i="8"/>
  <c r="R50" i="8"/>
  <c r="R45" i="8"/>
  <c r="S43" i="8"/>
  <c r="R104" i="7"/>
  <c r="T375" i="22"/>
  <c r="AS101" i="22"/>
  <c r="AS106" i="22"/>
  <c r="AS428" i="22"/>
  <c r="AC146" i="22"/>
  <c r="AC238" i="22"/>
  <c r="AS406" i="22"/>
  <c r="AC480" i="22"/>
  <c r="AV70" i="12"/>
  <c r="AV74" i="12" s="1"/>
  <c r="M82" i="12"/>
  <c r="T449" i="22"/>
  <c r="P61" i="23"/>
  <c r="AL17" i="16"/>
  <c r="C70" i="16"/>
  <c r="AG3" i="28"/>
  <c r="AS207" i="23"/>
  <c r="AC174" i="23"/>
  <c r="Z70" i="23"/>
  <c r="Y292" i="23"/>
  <c r="Z292" i="23"/>
  <c r="Z281" i="23"/>
  <c r="Z266" i="23"/>
  <c r="Z45" i="23"/>
  <c r="AP121" i="23"/>
  <c r="AS195" i="23"/>
  <c r="AC58" i="23"/>
  <c r="AS132" i="23"/>
  <c r="AP132" i="23"/>
  <c r="AP262" i="23"/>
  <c r="Z165" i="23"/>
  <c r="AP51" i="23"/>
  <c r="AI51" i="23"/>
  <c r="AV51" i="23" s="1"/>
  <c r="AS81" i="23"/>
  <c r="AP105" i="23"/>
  <c r="Z286" i="23"/>
  <c r="Y286" i="23"/>
  <c r="Z275" i="23"/>
  <c r="AD275" i="23" s="1"/>
  <c r="Z333" i="23"/>
  <c r="Y333" i="23"/>
  <c r="AP136" i="23"/>
  <c r="AC248" i="23"/>
  <c r="AP253" i="23"/>
  <c r="Z355" i="23"/>
  <c r="Y355" i="23"/>
  <c r="AC137" i="23"/>
  <c r="AS198" i="23"/>
  <c r="AC332" i="23"/>
  <c r="Z221" i="23"/>
  <c r="T390" i="22"/>
  <c r="AU37" i="22"/>
  <c r="AV37" i="22"/>
  <c r="AU379" i="22"/>
  <c r="AE168" i="22"/>
  <c r="AU175" i="22"/>
  <c r="BA175" i="22" s="1"/>
  <c r="AU51" i="22"/>
  <c r="AV41" i="22"/>
  <c r="AU41" i="22"/>
  <c r="AV27" i="22"/>
  <c r="AU27" i="22"/>
  <c r="AE78" i="22"/>
  <c r="AE47" i="22"/>
  <c r="AU110" i="22"/>
  <c r="AU85" i="22"/>
  <c r="AU248" i="22"/>
  <c r="AE341" i="22"/>
  <c r="AE150" i="22"/>
  <c r="AU290" i="22"/>
  <c r="AU133" i="22"/>
  <c r="AU201" i="22"/>
  <c r="AU421" i="22"/>
  <c r="AE371" i="22"/>
  <c r="AU461" i="22"/>
  <c r="AE335" i="22"/>
  <c r="AU411" i="22"/>
  <c r="AU385" i="22"/>
  <c r="AE429" i="22"/>
  <c r="W183" i="22"/>
  <c r="BI183" i="22"/>
  <c r="Q6" i="27"/>
  <c r="AB495" i="9"/>
  <c r="F108" i="12"/>
  <c r="F214" i="12"/>
  <c r="F106" i="12" s="1"/>
  <c r="F114" i="12" s="1"/>
  <c r="AV60" i="22"/>
  <c r="AU60" i="22"/>
  <c r="AE65" i="22"/>
  <c r="AE49" i="22"/>
  <c r="AU44" i="22"/>
  <c r="AU422" i="22"/>
  <c r="AU215" i="22"/>
  <c r="AU149" i="22"/>
  <c r="BA149" i="22" s="1"/>
  <c r="AU136" i="22"/>
  <c r="AU242" i="22"/>
  <c r="AN328" i="22"/>
  <c r="AU328" i="22"/>
  <c r="AE352" i="22"/>
  <c r="AE397" i="22"/>
  <c r="AN289" i="22"/>
  <c r="AU289" i="22"/>
  <c r="AU434" i="22"/>
  <c r="AE463" i="22"/>
  <c r="AU359" i="22"/>
  <c r="AU347" i="22"/>
  <c r="AE432" i="22"/>
  <c r="AE491" i="22"/>
  <c r="AT100" i="22"/>
  <c r="AT120" i="22"/>
  <c r="AT174" i="22"/>
  <c r="AT370" i="22"/>
  <c r="AT329" i="22"/>
  <c r="AT484" i="22"/>
  <c r="P51" i="23"/>
  <c r="F115" i="16"/>
  <c r="AA128" i="9"/>
  <c r="Y128" i="9"/>
  <c r="AB467" i="9"/>
  <c r="AA467" i="9"/>
  <c r="AC467" i="9"/>
  <c r="AE140" i="22"/>
  <c r="AU346" i="22"/>
  <c r="AN346" i="22"/>
  <c r="T274" i="22"/>
  <c r="AV77" i="22"/>
  <c r="AV279" i="22"/>
  <c r="O31" i="27"/>
  <c r="O52" i="23" s="1"/>
  <c r="O15" i="27"/>
  <c r="AV126" i="22"/>
  <c r="AS9" i="22"/>
  <c r="AS69" i="22"/>
  <c r="AS46" i="22"/>
  <c r="AS328" i="22"/>
  <c r="AL328" i="22"/>
  <c r="AR130" i="22"/>
  <c r="AC329" i="22"/>
  <c r="AR319" i="22"/>
  <c r="AG346" i="22"/>
  <c r="AM346" i="22" s="1"/>
  <c r="AK346" i="22"/>
  <c r="AR346" i="22"/>
  <c r="AB408" i="22"/>
  <c r="T431" i="22"/>
  <c r="AC72" i="22"/>
  <c r="AC290" i="22"/>
  <c r="AI17" i="28"/>
  <c r="AJ15" i="28"/>
  <c r="AP263" i="23"/>
  <c r="AI263" i="23"/>
  <c r="AS327" i="23"/>
  <c r="AC347" i="23"/>
  <c r="AQ157" i="23"/>
  <c r="AO157" i="23"/>
  <c r="AD157" i="23"/>
  <c r="AU189" i="22"/>
  <c r="BA189" i="22" s="1"/>
  <c r="AN189" i="22"/>
  <c r="AL255" i="23"/>
  <c r="AP54" i="23"/>
  <c r="AP127" i="23"/>
  <c r="AS211" i="23"/>
  <c r="Z274" i="23"/>
  <c r="Z285" i="23"/>
  <c r="Y285" i="23"/>
  <c r="AS96" i="23"/>
  <c r="AP143" i="23"/>
  <c r="Z309" i="23"/>
  <c r="Y309" i="23"/>
  <c r="AS312" i="23"/>
  <c r="AC251" i="23"/>
  <c r="AP185" i="23"/>
  <c r="Z367" i="23"/>
  <c r="Y367" i="23"/>
  <c r="AO55" i="23"/>
  <c r="AD55" i="23"/>
  <c r="AQ55" i="23"/>
  <c r="AO128" i="23"/>
  <c r="AD128" i="23"/>
  <c r="AH128" i="23" s="1"/>
  <c r="AQ128" i="23"/>
  <c r="AR146" i="23"/>
  <c r="AR214" i="23"/>
  <c r="AR307" i="23"/>
  <c r="AO114" i="23"/>
  <c r="AQ114" i="23"/>
  <c r="AR90" i="23"/>
  <c r="AR276" i="23"/>
  <c r="AV329" i="22"/>
  <c r="AV453" i="22"/>
  <c r="AV429" i="22"/>
  <c r="AV379" i="22"/>
  <c r="AV267" i="22"/>
  <c r="AV437" i="22"/>
  <c r="AV509" i="22"/>
  <c r="AV501" i="22"/>
  <c r="AV492" i="22"/>
  <c r="AU54" i="22"/>
  <c r="AV54" i="22"/>
  <c r="AU89" i="22"/>
  <c r="AU100" i="22"/>
  <c r="AE178" i="22"/>
  <c r="AE203" i="22"/>
  <c r="AE217" i="22"/>
  <c r="AU293" i="22"/>
  <c r="AE294" i="22"/>
  <c r="AU399" i="22"/>
  <c r="AU393" i="22"/>
  <c r="AE373" i="22"/>
  <c r="AU410" i="22"/>
  <c r="AU403" i="22"/>
  <c r="AN403" i="22"/>
  <c r="AE232" i="22"/>
  <c r="AU376" i="22"/>
  <c r="AU464" i="22"/>
  <c r="AE438" i="22"/>
  <c r="AT121" i="22"/>
  <c r="AM121" i="22"/>
  <c r="AZ121" i="22" s="1"/>
  <c r="AT124" i="22"/>
  <c r="AT377" i="22"/>
  <c r="AT413" i="22"/>
  <c r="AT340" i="22"/>
  <c r="AT504" i="22"/>
  <c r="AT466" i="22"/>
  <c r="AV51" i="22"/>
  <c r="T239" i="22"/>
  <c r="AB498" i="9"/>
  <c r="AC498" i="9"/>
  <c r="AA498" i="9"/>
  <c r="AB371" i="9"/>
  <c r="AC371" i="9"/>
  <c r="AA371" i="9"/>
  <c r="AU384" i="22"/>
  <c r="AE430" i="22"/>
  <c r="AV430" i="22" s="1"/>
  <c r="AR168" i="22"/>
  <c r="AX168" i="22" s="1"/>
  <c r="P45" i="23"/>
  <c r="AY45" i="23"/>
  <c r="AX45" i="23"/>
  <c r="D120" i="16"/>
  <c r="AV214" i="22"/>
  <c r="AG384" i="22"/>
  <c r="AO384" i="22" s="1"/>
  <c r="AV390" i="22"/>
  <c r="T455" i="22"/>
  <c r="T447" i="22"/>
  <c r="AC7" i="22"/>
  <c r="AS319" i="22"/>
  <c r="T248" i="22"/>
  <c r="AC192" i="22"/>
  <c r="AG311" i="22"/>
  <c r="AL311" i="22" s="1"/>
  <c r="AR311" i="22"/>
  <c r="AC132" i="22"/>
  <c r="AS83" i="23"/>
  <c r="AS203" i="23"/>
  <c r="AS317" i="23"/>
  <c r="AP118" i="23"/>
  <c r="Y340" i="23"/>
  <c r="Z340" i="23"/>
  <c r="AD181" i="23"/>
  <c r="AJ181" i="23" s="1"/>
  <c r="AO181" i="23"/>
  <c r="AH181" i="23"/>
  <c r="AQ181" i="23"/>
  <c r="AR140" i="23"/>
  <c r="AR372" i="23"/>
  <c r="AQ179" i="23"/>
  <c r="AO179" i="23"/>
  <c r="T389" i="22"/>
  <c r="O16" i="27"/>
  <c r="O32" i="27"/>
  <c r="O53" i="23" s="1"/>
  <c r="AU204" i="22"/>
  <c r="AP84" i="23"/>
  <c r="AP155" i="23"/>
  <c r="AS230" i="23"/>
  <c r="AL230" i="23"/>
  <c r="AS204" i="23"/>
  <c r="AL204" i="23"/>
  <c r="AP71" i="23"/>
  <c r="Z193" i="23"/>
  <c r="AD193" i="23" s="1"/>
  <c r="AP219" i="23"/>
  <c r="AS254" i="23"/>
  <c r="AS355" i="23"/>
  <c r="AR101" i="23"/>
  <c r="AR123" i="23"/>
  <c r="AQ160" i="23"/>
  <c r="AO160" i="23"/>
  <c r="AD51" i="23"/>
  <c r="AQ51" i="23"/>
  <c r="AO51" i="23"/>
  <c r="AH51" i="23"/>
  <c r="AO153" i="23"/>
  <c r="AD153" i="23"/>
  <c r="AL153" i="23" s="1"/>
  <c r="AO165" i="23"/>
  <c r="AQ165" i="23"/>
  <c r="AD165" i="23"/>
  <c r="AJ165" i="23" s="1"/>
  <c r="Y117" i="23"/>
  <c r="AR169" i="23"/>
  <c r="AB175" i="23"/>
  <c r="AR269" i="23"/>
  <c r="AR320" i="23"/>
  <c r="AR183" i="23"/>
  <c r="AK183" i="23"/>
  <c r="AB283" i="23"/>
  <c r="AR215" i="23"/>
  <c r="AD226" i="23"/>
  <c r="AJ226" i="23" s="1"/>
  <c r="AQ226" i="23"/>
  <c r="AO226" i="23"/>
  <c r="T396" i="22"/>
  <c r="T380" i="22"/>
  <c r="T508" i="22"/>
  <c r="T291" i="22"/>
  <c r="P29" i="27"/>
  <c r="O62" i="23" s="1"/>
  <c r="P13" i="27"/>
  <c r="AV255" i="22"/>
  <c r="AV207" i="22"/>
  <c r="AV128" i="22"/>
  <c r="AU101" i="22"/>
  <c r="AN101" i="22"/>
  <c r="AV46" i="22"/>
  <c r="AU46" i="22"/>
  <c r="AU31" i="22"/>
  <c r="AV31" i="22"/>
  <c r="AU87" i="22"/>
  <c r="AV58" i="22"/>
  <c r="AU58" i="22"/>
  <c r="T343" i="22"/>
  <c r="T441" i="22"/>
  <c r="T302" i="22"/>
  <c r="AV168" i="22"/>
  <c r="AV164" i="22"/>
  <c r="AV153" i="22"/>
  <c r="AV317" i="22"/>
  <c r="AV351" i="22"/>
  <c r="AV203" i="22"/>
  <c r="AV393" i="22"/>
  <c r="AV385" i="22"/>
  <c r="AV508" i="22"/>
  <c r="BQ154" i="22"/>
  <c r="Y340" i="9"/>
  <c r="AC130" i="9"/>
  <c r="AA130" i="9"/>
  <c r="AU274" i="22"/>
  <c r="AV159" i="22"/>
  <c r="AV450" i="22"/>
  <c r="AR387" i="22"/>
  <c r="AS336" i="22"/>
  <c r="AL364" i="22"/>
  <c r="AS364" i="22"/>
  <c r="AB163" i="22"/>
  <c r="AT163" i="22" s="1"/>
  <c r="AB259" i="22"/>
  <c r="AC306" i="22"/>
  <c r="AG370" i="22"/>
  <c r="AK370" i="22"/>
  <c r="AR370" i="22"/>
  <c r="AS395" i="22"/>
  <c r="AP195" i="23"/>
  <c r="AI195" i="23"/>
  <c r="AP181" i="23"/>
  <c r="AS136" i="23"/>
  <c r="AP111" i="23"/>
  <c r="AP115" i="23"/>
  <c r="AP251" i="23"/>
  <c r="AL183" i="23"/>
  <c r="AS183" i="23"/>
  <c r="Y369" i="23"/>
  <c r="Z369" i="23"/>
  <c r="Z373" i="23"/>
  <c r="Y373" i="23"/>
  <c r="AR124" i="23"/>
  <c r="AQ92" i="23"/>
  <c r="AO92" i="23"/>
  <c r="AK195" i="23"/>
  <c r="AR195" i="23"/>
  <c r="AR149" i="23"/>
  <c r="AR329" i="23"/>
  <c r="AR219" i="23"/>
  <c r="AD265" i="23"/>
  <c r="AJ265" i="23" s="1"/>
  <c r="AR224" i="23"/>
  <c r="AU42" i="22"/>
  <c r="AV42" i="22"/>
  <c r="Z331" i="23"/>
  <c r="Y331" i="23"/>
  <c r="AP171" i="23"/>
  <c r="AS192" i="23"/>
  <c r="AP74" i="23"/>
  <c r="Z129" i="23"/>
  <c r="AP168" i="23"/>
  <c r="Z79" i="23"/>
  <c r="Z350" i="23"/>
  <c r="Y350" i="23"/>
  <c r="AC92" i="23"/>
  <c r="AP104" i="23"/>
  <c r="AS286" i="23"/>
  <c r="AS342" i="23"/>
  <c r="AP208" i="23"/>
  <c r="AS276" i="23"/>
  <c r="AS225" i="23"/>
  <c r="AP158" i="23"/>
  <c r="AS201" i="23"/>
  <c r="AC159" i="23"/>
  <c r="AC221" i="23"/>
  <c r="Z322" i="23"/>
  <c r="Y322" i="23"/>
  <c r="Z243" i="23"/>
  <c r="Z371" i="23"/>
  <c r="Y371" i="23"/>
  <c r="P67" i="23"/>
  <c r="T303" i="22"/>
  <c r="T425" i="22"/>
  <c r="AV89" i="22"/>
  <c r="AV237" i="22"/>
  <c r="AV171" i="22"/>
  <c r="AV169" i="22"/>
  <c r="AV335" i="22"/>
  <c r="AV424" i="22"/>
  <c r="AV313" i="22"/>
  <c r="AV425" i="22"/>
  <c r="AO289" i="22"/>
  <c r="AV289" i="22"/>
  <c r="AV426" i="22"/>
  <c r="Y402" i="9"/>
  <c r="AC402" i="9" s="1"/>
  <c r="AA402" i="9"/>
  <c r="Y438" i="9"/>
  <c r="Y228" i="9"/>
  <c r="AU66" i="22"/>
  <c r="AU372" i="22"/>
  <c r="AR101" i="22"/>
  <c r="AG101" i="22"/>
  <c r="AL101" i="22" s="1"/>
  <c r="AY101" i="22" s="1"/>
  <c r="T426" i="22"/>
  <c r="AG217" i="22"/>
  <c r="AO217" i="22" s="1"/>
  <c r="AV209" i="22"/>
  <c r="AS299" i="22"/>
  <c r="AC41" i="22"/>
  <c r="AB201" i="22"/>
  <c r="AC325" i="22"/>
  <c r="AC300" i="22"/>
  <c r="AS100" i="22"/>
  <c r="AU192" i="22"/>
  <c r="BA192" i="22" s="1"/>
  <c r="AS145" i="23"/>
  <c r="AS303" i="23"/>
  <c r="AP260" i="23"/>
  <c r="AS89" i="23"/>
  <c r="Z89" i="23"/>
  <c r="Y338" i="23"/>
  <c r="Z338" i="23"/>
  <c r="AS112" i="23"/>
  <c r="AP200" i="23"/>
  <c r="AP160" i="23"/>
  <c r="AS91" i="23"/>
  <c r="AS214" i="23"/>
  <c r="Z311" i="23"/>
  <c r="Y311" i="23"/>
  <c r="AP138" i="23"/>
  <c r="Z374" i="23"/>
  <c r="Y374" i="23"/>
  <c r="AC294" i="23"/>
  <c r="AP161" i="23"/>
  <c r="AP268" i="23"/>
  <c r="AP236" i="23"/>
  <c r="Y361" i="23"/>
  <c r="Z361" i="23"/>
  <c r="T446" i="22"/>
  <c r="T341" i="22"/>
  <c r="T237" i="22"/>
  <c r="AO101" i="22"/>
  <c r="BB101" i="22" s="1"/>
  <c r="AV101" i="22"/>
  <c r="AV205" i="22"/>
  <c r="AV100" i="22"/>
  <c r="AO100" i="22"/>
  <c r="BB100" i="22" s="1"/>
  <c r="AV180" i="22"/>
  <c r="AV439" i="22"/>
  <c r="AV445" i="22"/>
  <c r="AV300" i="22"/>
  <c r="AV469" i="22"/>
  <c r="AV342" i="22"/>
  <c r="AV464" i="22"/>
  <c r="AU252" i="22"/>
  <c r="AU50" i="22"/>
  <c r="AV50" i="22"/>
  <c r="AU126" i="22"/>
  <c r="AV48" i="22"/>
  <c r="AU48" i="22"/>
  <c r="AE138" i="22"/>
  <c r="AE74" i="22"/>
  <c r="AE200" i="22"/>
  <c r="AE251" i="22"/>
  <c r="AU180" i="22"/>
  <c r="BA180" i="22" s="1"/>
  <c r="AU23" i="22"/>
  <c r="AV23" i="22"/>
  <c r="AE311" i="22"/>
  <c r="AU199" i="22"/>
  <c r="BA199" i="22" s="1"/>
  <c r="AE331" i="22"/>
  <c r="AV331" i="22" s="1"/>
  <c r="AU367" i="22"/>
  <c r="AE407" i="22"/>
  <c r="AU275" i="22"/>
  <c r="AU426" i="22"/>
  <c r="AU243" i="22"/>
  <c r="AE417" i="22"/>
  <c r="AE259" i="22"/>
  <c r="AE482" i="22"/>
  <c r="AN506" i="22"/>
  <c r="AU506" i="22"/>
  <c r="C116" i="16"/>
  <c r="T223" i="22"/>
  <c r="C115" i="16"/>
  <c r="AU28" i="12"/>
  <c r="AU30" i="12"/>
  <c r="AU29" i="12"/>
  <c r="AU31" i="12"/>
  <c r="AB436" i="9"/>
  <c r="Y436" i="9"/>
  <c r="Y141" i="9"/>
  <c r="AA141" i="9" s="1"/>
  <c r="AG141" i="9" s="1"/>
  <c r="AH141" i="9" s="1"/>
  <c r="L68" i="32"/>
  <c r="L74" i="32" s="1"/>
  <c r="L26" i="32"/>
  <c r="L4" i="32" s="1"/>
  <c r="L5" i="32" s="1"/>
  <c r="L9" i="32" s="1"/>
  <c r="L8" i="32" s="1"/>
  <c r="Y274" i="9"/>
  <c r="AC274" i="9" s="1"/>
  <c r="AC496" i="22"/>
  <c r="AC471" i="22"/>
  <c r="AG471" i="22" s="1"/>
  <c r="AC463" i="22"/>
  <c r="AC452" i="22"/>
  <c r="B105" i="16"/>
  <c r="B73" i="16"/>
  <c r="AB162" i="22"/>
  <c r="AB37" i="22"/>
  <c r="AR109" i="22"/>
  <c r="AB64" i="22"/>
  <c r="AB175" i="22"/>
  <c r="AB78" i="22"/>
  <c r="AB45" i="22"/>
  <c r="AB13" i="22"/>
  <c r="AB197" i="22"/>
  <c r="AB240" i="12"/>
  <c r="AB241" i="12" s="1"/>
  <c r="E117" i="16"/>
  <c r="P57" i="23"/>
  <c r="AI240" i="12"/>
  <c r="AI241" i="12" s="1"/>
  <c r="R182" i="12"/>
  <c r="S158" i="9"/>
  <c r="T158" i="9" s="1"/>
  <c r="AN158" i="9"/>
  <c r="AO158" i="9" s="1"/>
  <c r="AV45" i="12"/>
  <c r="AV42" i="12"/>
  <c r="AV44" i="12"/>
  <c r="W139" i="22"/>
  <c r="V139" i="22"/>
  <c r="BI139" i="22"/>
  <c r="AB296" i="9"/>
  <c r="AC313" i="9"/>
  <c r="AA313" i="9"/>
  <c r="Y178" i="9"/>
  <c r="Y217" i="9"/>
  <c r="AA217" i="9" s="1"/>
  <c r="AA240" i="9"/>
  <c r="Y240" i="9"/>
  <c r="AB251" i="9"/>
  <c r="AA251" i="9"/>
  <c r="AC440" i="22"/>
  <c r="AC435" i="22"/>
  <c r="AC339" i="22"/>
  <c r="AC362" i="22"/>
  <c r="AC359" i="22"/>
  <c r="AC402" i="22"/>
  <c r="AC478" i="22"/>
  <c r="AG478" i="22" s="1"/>
  <c r="AK478" i="22" s="1"/>
  <c r="D7" i="18"/>
  <c r="D9" i="18" s="1"/>
  <c r="K238" i="12"/>
  <c r="D43" i="18"/>
  <c r="AR28" i="22"/>
  <c r="AG28" i="22"/>
  <c r="AK28" i="22" s="1"/>
  <c r="AB10" i="22"/>
  <c r="AB261" i="22"/>
  <c r="AB89" i="22"/>
  <c r="AB278" i="22"/>
  <c r="AB123" i="22"/>
  <c r="AK85" i="22"/>
  <c r="AR85" i="22"/>
  <c r="AG85" i="22"/>
  <c r="AL85" i="22" s="1"/>
  <c r="AY85" i="22" s="1"/>
  <c r="AB93" i="22"/>
  <c r="AB293" i="22"/>
  <c r="AB118" i="22"/>
  <c r="AB219" i="22"/>
  <c r="AB161" i="22"/>
  <c r="AG332" i="22"/>
  <c r="AR332" i="22"/>
  <c r="AR291" i="22"/>
  <c r="AG393" i="22"/>
  <c r="AM393" i="22" s="1"/>
  <c r="AK393" i="22"/>
  <c r="AR393" i="22"/>
  <c r="AB334" i="22"/>
  <c r="AB424" i="22"/>
  <c r="AB406" i="22"/>
  <c r="AT406" i="22" s="1"/>
  <c r="B104" i="16"/>
  <c r="AL33" i="16"/>
  <c r="T288" i="22"/>
  <c r="C117" i="16"/>
  <c r="W163" i="22"/>
  <c r="V163" i="22"/>
  <c r="P187" i="12"/>
  <c r="B70" i="16"/>
  <c r="S156" i="9"/>
  <c r="T156" i="9" s="1"/>
  <c r="AN156" i="9"/>
  <c r="AO156" i="9" s="1"/>
  <c r="AB451" i="9"/>
  <c r="G81" i="16"/>
  <c r="G80" i="13"/>
  <c r="G81" i="13" s="1"/>
  <c r="G82" i="13" s="1"/>
  <c r="G83" i="13" s="1"/>
  <c r="G84" i="13" s="1"/>
  <c r="Y169" i="9"/>
  <c r="AA245" i="9"/>
  <c r="Y245" i="9"/>
  <c r="S148" i="9"/>
  <c r="T148" i="9" s="1"/>
  <c r="AN148" i="9"/>
  <c r="AO148" i="9" s="1"/>
  <c r="Y376" i="9"/>
  <c r="Y352" i="9"/>
  <c r="AA352" i="9" s="1"/>
  <c r="S167" i="9"/>
  <c r="T167" i="9" s="1"/>
  <c r="AN167" i="9"/>
  <c r="AO167" i="9" s="1"/>
  <c r="R165" i="8"/>
  <c r="AK170" i="9"/>
  <c r="AJ170" i="9"/>
  <c r="AB205" i="9"/>
  <c r="Y205" i="9"/>
  <c r="AA410" i="9"/>
  <c r="AA241" i="9"/>
  <c r="Y148" i="9"/>
  <c r="AC496" i="9"/>
  <c r="AB496" i="9"/>
  <c r="AA496" i="9"/>
  <c r="AB142" i="9"/>
  <c r="AA219" i="9"/>
  <c r="AB219" i="9"/>
  <c r="Y484" i="9"/>
  <c r="Y192" i="9"/>
  <c r="AA192" i="9" s="1"/>
  <c r="AG192" i="9" s="1"/>
  <c r="AH192" i="9" s="1"/>
  <c r="Y158" i="9"/>
  <c r="AC158" i="9" s="1"/>
  <c r="AA189" i="9"/>
  <c r="AG189" i="9" s="1"/>
  <c r="AH189" i="9" s="1"/>
  <c r="AB189" i="9"/>
  <c r="AB168" i="23"/>
  <c r="AO106" i="23"/>
  <c r="Y118" i="23"/>
  <c r="AB129" i="23"/>
  <c r="AR145" i="23"/>
  <c r="Y141" i="23"/>
  <c r="AP141" i="23" s="1"/>
  <c r="Y221" i="23"/>
  <c r="AR241" i="23"/>
  <c r="AB271" i="23"/>
  <c r="AQ277" i="23"/>
  <c r="AE125" i="22"/>
  <c r="AE170" i="22"/>
  <c r="AU98" i="22"/>
  <c r="AE97" i="22"/>
  <c r="AU144" i="22"/>
  <c r="BA144" i="22" s="1"/>
  <c r="AE263" i="22"/>
  <c r="AV263" i="22" s="1"/>
  <c r="AE295" i="22"/>
  <c r="AU473" i="22"/>
  <c r="AE440" i="22"/>
  <c r="AT190" i="22"/>
  <c r="AT134" i="22"/>
  <c r="AT160" i="22"/>
  <c r="AC186" i="22"/>
  <c r="AQ74" i="23"/>
  <c r="AO74" i="23"/>
  <c r="AB296" i="23"/>
  <c r="AS296" i="23" s="1"/>
  <c r="AQ191" i="23"/>
  <c r="AO191" i="23"/>
  <c r="AB313" i="23"/>
  <c r="AB264" i="23"/>
  <c r="Y251" i="23"/>
  <c r="Y100" i="23"/>
  <c r="AB345" i="23"/>
  <c r="AB318" i="23"/>
  <c r="AR312" i="23"/>
  <c r="T471" i="22"/>
  <c r="T395" i="22"/>
  <c r="T372" i="22"/>
  <c r="T335" i="22"/>
  <c r="T331" i="22"/>
  <c r="T436" i="22"/>
  <c r="T260" i="22"/>
  <c r="T222" i="22"/>
  <c r="AV155" i="22"/>
  <c r="AV186" i="22"/>
  <c r="AV105" i="22"/>
  <c r="AV242" i="22"/>
  <c r="AV139" i="22"/>
  <c r="AV119" i="22"/>
  <c r="AV247" i="22"/>
  <c r="AV312" i="22"/>
  <c r="AV410" i="22"/>
  <c r="AV345" i="22"/>
  <c r="AO311" i="22"/>
  <c r="AV311" i="22"/>
  <c r="AV490" i="22"/>
  <c r="AV353" i="22"/>
  <c r="AV470" i="22"/>
  <c r="AV474" i="22"/>
  <c r="AU68" i="22"/>
  <c r="AU147" i="22"/>
  <c r="BA147" i="22" s="1"/>
  <c r="AE128" i="22"/>
  <c r="AE343" i="22"/>
  <c r="AU166" i="22"/>
  <c r="BA166" i="22" s="1"/>
  <c r="AU76" i="22"/>
  <c r="AV63" i="22"/>
  <c r="AU63" i="22"/>
  <c r="AE264" i="22"/>
  <c r="AE162" i="22"/>
  <c r="AE296" i="22"/>
  <c r="AE443" i="22"/>
  <c r="AE471" i="22"/>
  <c r="AE441" i="22"/>
  <c r="AE500" i="22"/>
  <c r="AT307" i="22"/>
  <c r="AT445" i="22"/>
  <c r="AC133" i="22"/>
  <c r="AT133" i="22" s="1"/>
  <c r="AC95" i="22"/>
  <c r="AC104" i="22"/>
  <c r="AC110" i="22"/>
  <c r="AC346" i="22"/>
  <c r="AC205" i="22"/>
  <c r="AC251" i="22"/>
  <c r="AC196" i="22"/>
  <c r="AC224" i="22"/>
  <c r="AT224" i="22" s="1"/>
  <c r="AC250" i="22"/>
  <c r="AC111" i="22"/>
  <c r="AC399" i="22"/>
  <c r="AC303" i="22"/>
  <c r="AC340" i="22"/>
  <c r="AC213" i="22"/>
  <c r="AC425" i="22"/>
  <c r="AC443" i="22"/>
  <c r="AT443" i="22" s="1"/>
  <c r="AC492" i="22"/>
  <c r="AB18" i="22"/>
  <c r="AB95" i="22"/>
  <c r="AB256" i="22"/>
  <c r="AG33" i="22"/>
  <c r="AK33" i="22" s="1"/>
  <c r="AB82" i="22"/>
  <c r="AR34" i="22"/>
  <c r="AG34" i="22"/>
  <c r="AL34" i="22" s="1"/>
  <c r="AY34" i="22" s="1"/>
  <c r="AG149" i="22"/>
  <c r="AR149" i="22"/>
  <c r="AX149" i="22" s="1"/>
  <c r="AB199" i="22"/>
  <c r="AR136" i="22"/>
  <c r="AG136" i="22"/>
  <c r="AR238" i="22"/>
  <c r="AB407" i="22"/>
  <c r="AB483" i="22"/>
  <c r="AB410" i="22"/>
  <c r="AB297" i="22"/>
  <c r="AT297" i="22" s="1"/>
  <c r="AB355" i="22"/>
  <c r="AG506" i="22"/>
  <c r="AR506" i="22"/>
  <c r="AK506" i="22"/>
  <c r="AB463" i="22"/>
  <c r="AB480" i="22"/>
  <c r="AB391" i="22"/>
  <c r="AB345" i="22"/>
  <c r="AT345" i="22" s="1"/>
  <c r="AB444" i="22"/>
  <c r="AB417" i="22"/>
  <c r="AB472" i="22"/>
  <c r="B116" i="16"/>
  <c r="H296" i="12"/>
  <c r="L102" i="12"/>
  <c r="V158" i="22"/>
  <c r="W158" i="22"/>
  <c r="W167" i="22"/>
  <c r="BI167" i="22"/>
  <c r="V167" i="22"/>
  <c r="Y490" i="9"/>
  <c r="AC490" i="9" s="1"/>
  <c r="AA490" i="9"/>
  <c r="R91" i="7"/>
  <c r="AB139" i="9"/>
  <c r="AB135" i="9"/>
  <c r="Y341" i="9"/>
  <c r="AA341" i="9"/>
  <c r="AB314" i="9"/>
  <c r="Y460" i="9"/>
  <c r="AA460" i="9" s="1"/>
  <c r="AA208" i="9"/>
  <c r="Y208" i="9"/>
  <c r="AC208" i="9" s="1"/>
  <c r="B117" i="16"/>
  <c r="AB482" i="9"/>
  <c r="AC482" i="9"/>
  <c r="Y493" i="9"/>
  <c r="AC493" i="9" s="1"/>
  <c r="AB322" i="9"/>
  <c r="Y322" i="9"/>
  <c r="Q17" i="32"/>
  <c r="R202" i="9"/>
  <c r="S29" i="8"/>
  <c r="U29" i="8" s="1"/>
  <c r="T29" i="8"/>
  <c r="AA423" i="9"/>
  <c r="AM19" i="16"/>
  <c r="AC171" i="9"/>
  <c r="AA171" i="9"/>
  <c r="AG171" i="9" s="1"/>
  <c r="AH171" i="9" s="1"/>
  <c r="AB182" i="9"/>
  <c r="AA182" i="9"/>
  <c r="AG182" i="9" s="1"/>
  <c r="AH182" i="9" s="1"/>
  <c r="AB253" i="9"/>
  <c r="AG27" i="28"/>
  <c r="AF29" i="28"/>
  <c r="AC142" i="23"/>
  <c r="AS281" i="23"/>
  <c r="Z103" i="23"/>
  <c r="AS222" i="23"/>
  <c r="AS101" i="23"/>
  <c r="AS277" i="23"/>
  <c r="AS84" i="23"/>
  <c r="AC111" i="23"/>
  <c r="AR111" i="23" s="1"/>
  <c r="AS377" i="23"/>
  <c r="AC167" i="23"/>
  <c r="Z363" i="23"/>
  <c r="Y363" i="23"/>
  <c r="Z304" i="23"/>
  <c r="Y304" i="23"/>
  <c r="AS156" i="23"/>
  <c r="AC188" i="23"/>
  <c r="Z370" i="23"/>
  <c r="Y370" i="23"/>
  <c r="AC335" i="23"/>
  <c r="AS309" i="23"/>
  <c r="AS241" i="23"/>
  <c r="Y239" i="23"/>
  <c r="AR132" i="23"/>
  <c r="Y89" i="23"/>
  <c r="AB91" i="23"/>
  <c r="Y235" i="23"/>
  <c r="Y188" i="23"/>
  <c r="AB112" i="23"/>
  <c r="AB135" i="23"/>
  <c r="AB304" i="23"/>
  <c r="Y243" i="23"/>
  <c r="AQ257" i="23"/>
  <c r="AO257" i="23"/>
  <c r="AO84" i="23"/>
  <c r="AQ84" i="23"/>
  <c r="AD84" i="23"/>
  <c r="AD273" i="23"/>
  <c r="AJ273" i="23" s="1"/>
  <c r="AO273" i="23"/>
  <c r="AQ273" i="23"/>
  <c r="AB152" i="23"/>
  <c r="AR261" i="23"/>
  <c r="Y78" i="23"/>
  <c r="Y169" i="23"/>
  <c r="Y261" i="23"/>
  <c r="Y108" i="23"/>
  <c r="AB255" i="23"/>
  <c r="AR207" i="23"/>
  <c r="AR280" i="23"/>
  <c r="AB229" i="23"/>
  <c r="AB363" i="23"/>
  <c r="T491" i="22"/>
  <c r="T482" i="22"/>
  <c r="T321" i="22"/>
  <c r="BI187" i="22"/>
  <c r="BQ187" i="22" s="1"/>
  <c r="T316" i="22"/>
  <c r="T212" i="22"/>
  <c r="AV136" i="22"/>
  <c r="AV66" i="22"/>
  <c r="AV258" i="22"/>
  <c r="AV156" i="22"/>
  <c r="AO156" i="22"/>
  <c r="AV165" i="22"/>
  <c r="AV262" i="22"/>
  <c r="AV217" i="22"/>
  <c r="AV347" i="22"/>
  <c r="AV394" i="22"/>
  <c r="AV318" i="22"/>
  <c r="AV471" i="22"/>
  <c r="AO364" i="22"/>
  <c r="AV364" i="22"/>
  <c r="AV405" i="22"/>
  <c r="AV485" i="22"/>
  <c r="AE256" i="22"/>
  <c r="AE483" i="22"/>
  <c r="AE355" i="22"/>
  <c r="AE383" i="22"/>
  <c r="AU353" i="22"/>
  <c r="AE370" i="22"/>
  <c r="AE358" i="22"/>
  <c r="AE474" i="22"/>
  <c r="AU502" i="22"/>
  <c r="AT112" i="22"/>
  <c r="AT106" i="22"/>
  <c r="AT182" i="22"/>
  <c r="AT344" i="22"/>
  <c r="AM116" i="22"/>
  <c r="AZ116" i="22" s="1"/>
  <c r="AT116" i="22"/>
  <c r="AT290" i="22"/>
  <c r="AT485" i="22"/>
  <c r="AT268" i="22"/>
  <c r="AT359" i="22"/>
  <c r="AC29" i="22"/>
  <c r="AR29" i="22" s="1"/>
  <c r="AC181" i="22"/>
  <c r="AC17" i="22"/>
  <c r="AC209" i="22"/>
  <c r="AC87" i="22"/>
  <c r="AC208" i="22"/>
  <c r="AC114" i="22"/>
  <c r="AC13" i="22"/>
  <c r="AC358" i="22"/>
  <c r="AC252" i="22"/>
  <c r="AC115" i="22"/>
  <c r="AC465" i="22"/>
  <c r="AC54" i="22"/>
  <c r="AC286" i="22"/>
  <c r="AC389" i="22"/>
  <c r="AC345" i="22"/>
  <c r="AC479" i="22"/>
  <c r="AC374" i="22"/>
  <c r="AC260" i="22"/>
  <c r="AC338" i="22"/>
  <c r="AC370" i="22"/>
  <c r="AC488" i="22"/>
  <c r="AB83" i="22"/>
  <c r="AB111" i="22"/>
  <c r="AB52" i="22"/>
  <c r="AB122" i="22"/>
  <c r="AR156" i="22"/>
  <c r="AX156" i="22" s="1"/>
  <c r="AG156" i="22"/>
  <c r="AM156" i="22" s="1"/>
  <c r="AK156" i="22"/>
  <c r="AB359" i="22"/>
  <c r="AB280" i="22"/>
  <c r="AB132" i="22"/>
  <c r="AB232" i="22"/>
  <c r="AB272" i="22"/>
  <c r="AB361" i="22"/>
  <c r="AB498" i="22"/>
  <c r="AB453" i="22"/>
  <c r="E7" i="18"/>
  <c r="E9" i="18" s="1"/>
  <c r="L238" i="12"/>
  <c r="BQ180" i="22"/>
  <c r="H307" i="12"/>
  <c r="K50" i="12"/>
  <c r="K5" i="12" s="1"/>
  <c r="AT38" i="12"/>
  <c r="AT42" i="12" s="1"/>
  <c r="K70" i="12"/>
  <c r="W155" i="22"/>
  <c r="BI155" i="22"/>
  <c r="V155" i="22"/>
  <c r="Y443" i="9"/>
  <c r="AB407" i="9"/>
  <c r="AC222" i="9"/>
  <c r="AB490" i="9"/>
  <c r="Y262" i="9"/>
  <c r="O32" i="7"/>
  <c r="O44" i="7" s="1"/>
  <c r="O5" i="7" s="1"/>
  <c r="O6" i="7" s="1"/>
  <c r="O11" i="7" s="1"/>
  <c r="O10" i="7" s="1"/>
  <c r="AA486" i="9"/>
  <c r="AC486" i="9"/>
  <c r="S176" i="9"/>
  <c r="T176" i="9" s="1"/>
  <c r="AN176" i="9"/>
  <c r="AO176" i="9" s="1"/>
  <c r="AA482" i="9"/>
  <c r="AB420" i="9"/>
  <c r="AC420" i="9"/>
  <c r="AA494" i="9"/>
  <c r="Q20" i="32"/>
  <c r="R205" i="9"/>
  <c r="S32" i="8"/>
  <c r="T32" i="8"/>
  <c r="AB481" i="9"/>
  <c r="D112" i="16"/>
  <c r="AB462" i="9"/>
  <c r="AB363" i="9"/>
  <c r="U32" i="8"/>
  <c r="AL54" i="8"/>
  <c r="AL6" i="8"/>
  <c r="AL9" i="8" s="1"/>
  <c r="Y506" i="9"/>
  <c r="S123" i="8"/>
  <c r="Y238" i="9"/>
  <c r="AC238" i="9" s="1"/>
  <c r="AA238" i="9"/>
  <c r="AB332" i="9"/>
  <c r="Y332" i="9"/>
  <c r="Y273" i="9"/>
  <c r="AB273" i="9"/>
  <c r="AA459" i="9"/>
  <c r="AC459" i="9"/>
  <c r="AB394" i="9"/>
  <c r="AK198" i="9"/>
  <c r="AJ198" i="9"/>
  <c r="AS357" i="23"/>
  <c r="AC226" i="23"/>
  <c r="Z146" i="23"/>
  <c r="AC141" i="23"/>
  <c r="AC144" i="23"/>
  <c r="Z364" i="23"/>
  <c r="Y364" i="23"/>
  <c r="AA225" i="9"/>
  <c r="Y225" i="9"/>
  <c r="Z164" i="23"/>
  <c r="T310" i="22"/>
  <c r="AV121" i="22"/>
  <c r="AO121" i="22"/>
  <c r="BB121" i="22" s="1"/>
  <c r="AV118" i="22"/>
  <c r="AV408" i="22"/>
  <c r="AU19" i="22"/>
  <c r="AT237" i="22"/>
  <c r="AT319" i="22"/>
  <c r="AC145" i="22"/>
  <c r="AC415" i="22"/>
  <c r="AB296" i="22"/>
  <c r="AT296" i="22" s="1"/>
  <c r="AK20" i="18"/>
  <c r="AK21" i="18"/>
  <c r="AK23" i="18"/>
  <c r="AK22" i="18"/>
  <c r="AB475" i="9"/>
  <c r="AC427" i="9"/>
  <c r="AB427" i="9"/>
  <c r="AA427" i="9"/>
  <c r="N60" i="7"/>
  <c r="N8" i="7" s="1"/>
  <c r="Y298" i="9"/>
  <c r="AB434" i="9"/>
  <c r="AL263" i="23"/>
  <c r="AS263" i="23"/>
  <c r="Y139" i="23"/>
  <c r="AP139" i="23" s="1"/>
  <c r="AB188" i="23"/>
  <c r="AE92" i="22"/>
  <c r="AE446" i="22"/>
  <c r="AC216" i="22"/>
  <c r="AC123" i="22"/>
  <c r="AC202" i="22"/>
  <c r="AC378" i="22"/>
  <c r="AC497" i="22"/>
  <c r="AB411" i="22"/>
  <c r="AR270" i="22"/>
  <c r="BI188" i="22"/>
  <c r="BQ188" i="22" s="1"/>
  <c r="W188" i="22"/>
  <c r="Q13" i="8"/>
  <c r="AA258" i="9"/>
  <c r="AB258" i="9"/>
  <c r="AB236" i="9"/>
  <c r="Y236" i="9"/>
  <c r="AR58" i="12"/>
  <c r="AS242" i="23"/>
  <c r="Z308" i="23"/>
  <c r="Y308" i="23"/>
  <c r="Z344" i="23"/>
  <c r="Y344" i="23"/>
  <c r="AQ131" i="23"/>
  <c r="AO131" i="23"/>
  <c r="AU205" i="22"/>
  <c r="AE184" i="22"/>
  <c r="AE425" i="22"/>
  <c r="AT316" i="22"/>
  <c r="AT376" i="22"/>
  <c r="AT487" i="22"/>
  <c r="AC62" i="22"/>
  <c r="AC277" i="22"/>
  <c r="AC210" i="22"/>
  <c r="AC409" i="22"/>
  <c r="AT409" i="22" s="1"/>
  <c r="AB159" i="22"/>
  <c r="AT159" i="22" s="1"/>
  <c r="AB120" i="22"/>
  <c r="AB226" i="22"/>
  <c r="AB105" i="22"/>
  <c r="AB205" i="22"/>
  <c r="AR194" i="22"/>
  <c r="AX194" i="22" s="1"/>
  <c r="AB223" i="22"/>
  <c r="AB273" i="22"/>
  <c r="AB243" i="22"/>
  <c r="AB338" i="22"/>
  <c r="AB479" i="22"/>
  <c r="AB503" i="22"/>
  <c r="AT503" i="22" s="1"/>
  <c r="AB337" i="22"/>
  <c r="AB295" i="22"/>
  <c r="AB373" i="22"/>
  <c r="AB381" i="22"/>
  <c r="AB489" i="22"/>
  <c r="AB367" i="22"/>
  <c r="AR419" i="22"/>
  <c r="AG419" i="22"/>
  <c r="AM419" i="22" s="1"/>
  <c r="AB466" i="22"/>
  <c r="E71" i="16"/>
  <c r="AN17" i="16"/>
  <c r="AT34" i="22"/>
  <c r="H284" i="12"/>
  <c r="P56" i="23"/>
  <c r="BI196" i="22"/>
  <c r="BQ196" i="22" s="1"/>
  <c r="W196" i="22"/>
  <c r="T213" i="22"/>
  <c r="AA240" i="12"/>
  <c r="AA241" i="12" s="1"/>
  <c r="W148" i="22"/>
  <c r="V148" i="22"/>
  <c r="BI148" i="22"/>
  <c r="BI198" i="22"/>
  <c r="W198" i="22"/>
  <c r="H268" i="12"/>
  <c r="Y412" i="9"/>
  <c r="AC412" i="9" s="1"/>
  <c r="Y230" i="9"/>
  <c r="AC230" i="9" s="1"/>
  <c r="AA139" i="9"/>
  <c r="AG139" i="9" s="1"/>
  <c r="AH139" i="9" s="1"/>
  <c r="Y139" i="9"/>
  <c r="AC139" i="9" s="1"/>
  <c r="AA440" i="9"/>
  <c r="Y195" i="9"/>
  <c r="AC195" i="9" s="1"/>
  <c r="AA195" i="9"/>
  <c r="AG195" i="9" s="1"/>
  <c r="AH195" i="9" s="1"/>
  <c r="Y218" i="9"/>
  <c r="AF54" i="8"/>
  <c r="AF6" i="8"/>
  <c r="AF9" i="8" s="1"/>
  <c r="Y135" i="9"/>
  <c r="AC201" i="9"/>
  <c r="AA201" i="9"/>
  <c r="S172" i="9"/>
  <c r="T172" i="9" s="1"/>
  <c r="AN172" i="9"/>
  <c r="AO172" i="9" s="1"/>
  <c r="N13" i="8"/>
  <c r="Y145" i="9"/>
  <c r="AC145" i="9" s="1"/>
  <c r="AA441" i="9"/>
  <c r="Y441" i="9"/>
  <c r="AC441" i="9" s="1"/>
  <c r="AB339" i="9"/>
  <c r="Y339" i="9"/>
  <c r="AA222" i="9"/>
  <c r="N108" i="7"/>
  <c r="AC408" i="9"/>
  <c r="AB408" i="9"/>
  <c r="P166" i="8"/>
  <c r="R149" i="8"/>
  <c r="AV504" i="22"/>
  <c r="AE142" i="22"/>
  <c r="AE211" i="22"/>
  <c r="AT238" i="22"/>
  <c r="AT188" i="22"/>
  <c r="AT350" i="22"/>
  <c r="AS130" i="22"/>
  <c r="AC235" i="22"/>
  <c r="AC228" i="22"/>
  <c r="AB62" i="22"/>
  <c r="AR330" i="22"/>
  <c r="AE240" i="12"/>
  <c r="AE241" i="12" s="1"/>
  <c r="Y442" i="9"/>
  <c r="N166" i="8"/>
  <c r="Z130" i="23"/>
  <c r="AS120" i="23"/>
  <c r="AP197" i="23"/>
  <c r="AS153" i="23"/>
  <c r="Z336" i="23"/>
  <c r="Y336" i="23"/>
  <c r="Y171" i="23"/>
  <c r="AK162" i="23"/>
  <c r="AR162" i="23"/>
  <c r="T362" i="22"/>
  <c r="T405" i="22"/>
  <c r="AV304" i="22"/>
  <c r="AV371" i="22"/>
  <c r="AU306" i="22"/>
  <c r="AU503" i="22"/>
  <c r="AU470" i="22"/>
  <c r="AT101" i="22"/>
  <c r="AM101" i="22"/>
  <c r="AZ101" i="22" s="1"/>
  <c r="AT382" i="22"/>
  <c r="AC125" i="22"/>
  <c r="AC368" i="22"/>
  <c r="AC419" i="22"/>
  <c r="AB133" i="22"/>
  <c r="Z187" i="23"/>
  <c r="AB347" i="23"/>
  <c r="AE34" i="22"/>
  <c r="AE105" i="22"/>
  <c r="AE69" i="22"/>
  <c r="AU279" i="22"/>
  <c r="AE424" i="22"/>
  <c r="AO25" i="18"/>
  <c r="AO24" i="18"/>
  <c r="AC83" i="22"/>
  <c r="AC266" i="22"/>
  <c r="AC366" i="22"/>
  <c r="AC357" i="22"/>
  <c r="AR116" i="22"/>
  <c r="AG116" i="22"/>
  <c r="AO116" i="22" s="1"/>
  <c r="BB116" i="22" s="1"/>
  <c r="AC185" i="23"/>
  <c r="AC123" i="23"/>
  <c r="Z109" i="23"/>
  <c r="AO109" i="23" s="1"/>
  <c r="Z343" i="23"/>
  <c r="Y343" i="23"/>
  <c r="AC306" i="23"/>
  <c r="Z133" i="23"/>
  <c r="AC128" i="23"/>
  <c r="AC190" i="23"/>
  <c r="AS269" i="23"/>
  <c r="Z153" i="23"/>
  <c r="AC350" i="23"/>
  <c r="AP225" i="23"/>
  <c r="AP246" i="23"/>
  <c r="AP257" i="23"/>
  <c r="Z359" i="23"/>
  <c r="Y359" i="23"/>
  <c r="AP58" i="23"/>
  <c r="AC175" i="23"/>
  <c r="Z325" i="23"/>
  <c r="Y325" i="23"/>
  <c r="Z190" i="23"/>
  <c r="AP183" i="23"/>
  <c r="AI183" i="23"/>
  <c r="AC292" i="23"/>
  <c r="Z259" i="23"/>
  <c r="AL275" i="23"/>
  <c r="AS275" i="23"/>
  <c r="AS341" i="23"/>
  <c r="AD60" i="23"/>
  <c r="AJ60" i="23" s="1"/>
  <c r="AQ60" i="23"/>
  <c r="AO60" i="23"/>
  <c r="AB185" i="23"/>
  <c r="AB376" i="23"/>
  <c r="AB258" i="23"/>
  <c r="Y90" i="23"/>
  <c r="Y167" i="23"/>
  <c r="AB119" i="23"/>
  <c r="AB285" i="23"/>
  <c r="AB311" i="23"/>
  <c r="Y151" i="23"/>
  <c r="AB199" i="23"/>
  <c r="AB60" i="23"/>
  <c r="AB306" i="23"/>
  <c r="AB108" i="23"/>
  <c r="AB308" i="23"/>
  <c r="AB144" i="23"/>
  <c r="Y132" i="23"/>
  <c r="AB322" i="23"/>
  <c r="Y186" i="23"/>
  <c r="AB134" i="23"/>
  <c r="AB287" i="23"/>
  <c r="AB201" i="23"/>
  <c r="Y206" i="23"/>
  <c r="Y213" i="23"/>
  <c r="AP213" i="23" s="1"/>
  <c r="AB246" i="23"/>
  <c r="T368" i="22"/>
  <c r="T338" i="22"/>
  <c r="T414" i="22"/>
  <c r="T231" i="22"/>
  <c r="T388" i="22"/>
  <c r="AT28" i="22"/>
  <c r="D74" i="18"/>
  <c r="AL22" i="18"/>
  <c r="AV64" i="22"/>
  <c r="AV158" i="22"/>
  <c r="AV75" i="22"/>
  <c r="AV343" i="22"/>
  <c r="AV150" i="22"/>
  <c r="AV199" i="22"/>
  <c r="AV296" i="22"/>
  <c r="AV361" i="22"/>
  <c r="AV230" i="22"/>
  <c r="AV428" i="22"/>
  <c r="AV431" i="22"/>
  <c r="D75" i="19"/>
  <c r="AU17" i="22"/>
  <c r="AV55" i="22"/>
  <c r="AU55" i="22"/>
  <c r="AE225" i="22"/>
  <c r="AV225" i="22" s="1"/>
  <c r="AE146" i="22"/>
  <c r="AE157" i="22"/>
  <c r="AE239" i="22"/>
  <c r="AE22" i="22"/>
  <c r="AE93" i="22"/>
  <c r="AE159" i="22"/>
  <c r="AE298" i="22"/>
  <c r="AE228" i="22"/>
  <c r="AE260" i="22"/>
  <c r="AE265" i="22"/>
  <c r="AE300" i="22"/>
  <c r="AE326" i="22"/>
  <c r="AE374" i="22"/>
  <c r="AE382" i="22"/>
  <c r="AE392" i="22"/>
  <c r="AE380" i="22"/>
  <c r="AE478" i="22"/>
  <c r="AE428" i="22"/>
  <c r="AE462" i="22"/>
  <c r="AT212" i="22"/>
  <c r="AT123" i="22"/>
  <c r="AT171" i="22"/>
  <c r="AT353" i="22"/>
  <c r="AM85" i="22"/>
  <c r="AZ85" i="22" s="1"/>
  <c r="AT85" i="22"/>
  <c r="AT266" i="22"/>
  <c r="AT304" i="22"/>
  <c r="AT403" i="22"/>
  <c r="AM403" i="22"/>
  <c r="AT392" i="22"/>
  <c r="AT384" i="22"/>
  <c r="AC77" i="22"/>
  <c r="AC14" i="22"/>
  <c r="AC120" i="22"/>
  <c r="AC40" i="22"/>
  <c r="AC74" i="22"/>
  <c r="AC43" i="22"/>
  <c r="AC416" i="22"/>
  <c r="AC112" i="22"/>
  <c r="AC356" i="22"/>
  <c r="AT356" i="22" s="1"/>
  <c r="AC276" i="22"/>
  <c r="AC421" i="22"/>
  <c r="AC236" i="22"/>
  <c r="AC405" i="22"/>
  <c r="AC255" i="22"/>
  <c r="AC431" i="22"/>
  <c r="AC373" i="22"/>
  <c r="AC321" i="22"/>
  <c r="AC477" i="22"/>
  <c r="AC417" i="22"/>
  <c r="AC326" i="22"/>
  <c r="AC466" i="22"/>
  <c r="AC470" i="22"/>
  <c r="AG470" i="22" s="1"/>
  <c r="AM470" i="22" s="1"/>
  <c r="AC472" i="22"/>
  <c r="AC504" i="22"/>
  <c r="AB55" i="22"/>
  <c r="AB322" i="22"/>
  <c r="AB188" i="22"/>
  <c r="AB141" i="22"/>
  <c r="AB53" i="22"/>
  <c r="AB277" i="22"/>
  <c r="AB138" i="22"/>
  <c r="AT138" i="22" s="1"/>
  <c r="AB125" i="22"/>
  <c r="AB91" i="22"/>
  <c r="AB90" i="22"/>
  <c r="AB56" i="22"/>
  <c r="AB214" i="22"/>
  <c r="AB154" i="22"/>
  <c r="AB300" i="22"/>
  <c r="AB206" i="22"/>
  <c r="AB343" i="22"/>
  <c r="AT343" i="22" s="1"/>
  <c r="AB396" i="22"/>
  <c r="AB423" i="22"/>
  <c r="AB336" i="22"/>
  <c r="AB474" i="22"/>
  <c r="AB508" i="22"/>
  <c r="AS24" i="18"/>
  <c r="AS25" i="18"/>
  <c r="AT24" i="18"/>
  <c r="AT25" i="18"/>
  <c r="C7" i="18"/>
  <c r="C9" i="18" s="1"/>
  <c r="C43" i="18"/>
  <c r="J238" i="12"/>
  <c r="C60" i="16"/>
  <c r="H283" i="12"/>
  <c r="B75" i="19"/>
  <c r="P31" i="27"/>
  <c r="O64" i="23" s="1"/>
  <c r="O66" i="23"/>
  <c r="H267" i="12"/>
  <c r="Y505" i="9"/>
  <c r="AC505" i="9" s="1"/>
  <c r="H288" i="12"/>
  <c r="H26" i="12"/>
  <c r="Y465" i="9"/>
  <c r="Y199" i="9"/>
  <c r="AA199" i="9" s="1"/>
  <c r="AG199" i="9" s="1"/>
  <c r="AH199" i="9" s="1"/>
  <c r="Y167" i="9"/>
  <c r="AA167" i="9" s="1"/>
  <c r="AG167" i="9" s="1"/>
  <c r="AH167" i="9" s="1"/>
  <c r="N5" i="8"/>
  <c r="N21" i="8" s="1"/>
  <c r="R51" i="8"/>
  <c r="R46" i="8"/>
  <c r="R47" i="8"/>
  <c r="R48" i="8"/>
  <c r="R49" i="8"/>
  <c r="R52" i="8"/>
  <c r="AB304" i="9"/>
  <c r="AN191" i="9"/>
  <c r="S191" i="9"/>
  <c r="T191" i="9" s="1"/>
  <c r="AA437" i="9"/>
  <c r="AC437" i="9"/>
  <c r="AB437" i="9"/>
  <c r="AB287" i="9"/>
  <c r="O166" i="8"/>
  <c r="Y290" i="9"/>
  <c r="AB290" i="9" s="1"/>
  <c r="AA408" i="9"/>
  <c r="AB494" i="9"/>
  <c r="AR317" i="23"/>
  <c r="AB120" i="23"/>
  <c r="AR343" i="23"/>
  <c r="AV223" i="22"/>
  <c r="AV134" i="22"/>
  <c r="AC231" i="22"/>
  <c r="Y249" i="23"/>
  <c r="AV184" i="22"/>
  <c r="AV303" i="22"/>
  <c r="AE116" i="22"/>
  <c r="AE254" i="22"/>
  <c r="AV254" i="22" s="1"/>
  <c r="AE458" i="22"/>
  <c r="AV458" i="22" s="1"/>
  <c r="AC37" i="22"/>
  <c r="AB87" i="22"/>
  <c r="AB187" i="22"/>
  <c r="AB218" i="22"/>
  <c r="AB379" i="22"/>
  <c r="Y454" i="9"/>
  <c r="AC454" i="9" s="1"/>
  <c r="Y177" i="23"/>
  <c r="AB105" i="23"/>
  <c r="AU214" i="22"/>
  <c r="AT258" i="22"/>
  <c r="AC291" i="22"/>
  <c r="AC486" i="22"/>
  <c r="AS346" i="23"/>
  <c r="AC74" i="23"/>
  <c r="Z321" i="23"/>
  <c r="Y321" i="23"/>
  <c r="Z47" i="23"/>
  <c r="AC62" i="23"/>
  <c r="AS351" i="23"/>
  <c r="Z362" i="23"/>
  <c r="Y362" i="23"/>
  <c r="AS102" i="23"/>
  <c r="AS267" i="23"/>
  <c r="Y346" i="23"/>
  <c r="Z346" i="23"/>
  <c r="AS193" i="23"/>
  <c r="Z318" i="23"/>
  <c r="Y318" i="23"/>
  <c r="AC82" i="23"/>
  <c r="AC262" i="23"/>
  <c r="AC304" i="23"/>
  <c r="AB210" i="23"/>
  <c r="AS210" i="23" s="1"/>
  <c r="AD112" i="23"/>
  <c r="AJ112" i="23" s="1"/>
  <c r="AH112" i="23"/>
  <c r="AQ112" i="23"/>
  <c r="AO112" i="23"/>
  <c r="Y102" i="23"/>
  <c r="AB138" i="23"/>
  <c r="AR295" i="23"/>
  <c r="AD228" i="23"/>
  <c r="AJ228" i="23" s="1"/>
  <c r="AQ228" i="23"/>
  <c r="AO228" i="23"/>
  <c r="AH228" i="23"/>
  <c r="Y98" i="23"/>
  <c r="Y178" i="23"/>
  <c r="Y45" i="23"/>
  <c r="Y61" i="23"/>
  <c r="AB326" i="23"/>
  <c r="AR106" i="23"/>
  <c r="AB171" i="23"/>
  <c r="AQ67" i="23"/>
  <c r="AO67" i="23"/>
  <c r="AB178" i="23"/>
  <c r="AB84" i="23"/>
  <c r="Y77" i="23"/>
  <c r="AB114" i="23"/>
  <c r="AB356" i="23"/>
  <c r="Y150" i="23"/>
  <c r="AB250" i="23"/>
  <c r="Y113" i="23"/>
  <c r="AB310" i="23"/>
  <c r="AB337" i="23"/>
  <c r="AB216" i="23"/>
  <c r="AB366" i="23"/>
  <c r="AB344" i="23"/>
  <c r="AS344" i="23" s="1"/>
  <c r="Y248" i="23"/>
  <c r="T367" i="22"/>
  <c r="T383" i="22"/>
  <c r="T480" i="22"/>
  <c r="P30" i="27"/>
  <c r="O63" i="23" s="1"/>
  <c r="P14" i="27"/>
  <c r="AL21" i="18"/>
  <c r="E7" i="19"/>
  <c r="E10" i="19" s="1"/>
  <c r="L239" i="12"/>
  <c r="AV173" i="22"/>
  <c r="AV87" i="22"/>
  <c r="AV68" i="22"/>
  <c r="AV72" i="22"/>
  <c r="AO72" i="22"/>
  <c r="BB72" i="22" s="1"/>
  <c r="AV340" i="22"/>
  <c r="AV99" i="22"/>
  <c r="AV245" i="22"/>
  <c r="AV272" i="22"/>
  <c r="AV216" i="22"/>
  <c r="AV334" i="22"/>
  <c r="AV462" i="22"/>
  <c r="AV434" i="22"/>
  <c r="AV486" i="22"/>
  <c r="AV460" i="22"/>
  <c r="AE216" i="22"/>
  <c r="AV13" i="22"/>
  <c r="AU13" i="22"/>
  <c r="AE431" i="22"/>
  <c r="AE222" i="22"/>
  <c r="AE33" i="22"/>
  <c r="AE327" i="22"/>
  <c r="AE127" i="22"/>
  <c r="AE163" i="22"/>
  <c r="AE171" i="22"/>
  <c r="AE134" i="22"/>
  <c r="AE208" i="22"/>
  <c r="AE39" i="22"/>
  <c r="AE193" i="22"/>
  <c r="AV193" i="22" s="1"/>
  <c r="AE240" i="22"/>
  <c r="AE172" i="22"/>
  <c r="AE233" i="22"/>
  <c r="AE273" i="22"/>
  <c r="AV273" i="22" s="1"/>
  <c r="AE297" i="22"/>
  <c r="AV297" i="22" s="1"/>
  <c r="AE433" i="22"/>
  <c r="AE319" i="22"/>
  <c r="AV319" i="22" s="1"/>
  <c r="AE436" i="22"/>
  <c r="AV436" i="22" s="1"/>
  <c r="AE342" i="22"/>
  <c r="AE365" i="22"/>
  <c r="AE281" i="22"/>
  <c r="AE423" i="22"/>
  <c r="AE460" i="22"/>
  <c r="AE496" i="22"/>
  <c r="AE444" i="22"/>
  <c r="AE508" i="22"/>
  <c r="AE459" i="22"/>
  <c r="AT175" i="22"/>
  <c r="AT178" i="22"/>
  <c r="AT194" i="22"/>
  <c r="AM194" i="22"/>
  <c r="AT108" i="22"/>
  <c r="AT355" i="22"/>
  <c r="AT401" i="22"/>
  <c r="AT395" i="22"/>
  <c r="AT509" i="22"/>
  <c r="AC44" i="22"/>
  <c r="AC121" i="22"/>
  <c r="AC151" i="22"/>
  <c r="AC137" i="22"/>
  <c r="AC217" i="22"/>
  <c r="AR217" i="22" s="1"/>
  <c r="AC193" i="22"/>
  <c r="AC316" i="22"/>
  <c r="AC207" i="22"/>
  <c r="AC375" i="22"/>
  <c r="AC156" i="22"/>
  <c r="AC117" i="22"/>
  <c r="AC223" i="22"/>
  <c r="AC347" i="22"/>
  <c r="AC411" i="22"/>
  <c r="AC437" i="22"/>
  <c r="AC372" i="22"/>
  <c r="AC476" i="22"/>
  <c r="AB68" i="22"/>
  <c r="AB66" i="22"/>
  <c r="AB128" i="22"/>
  <c r="AT128" i="22" s="1"/>
  <c r="AB158" i="22"/>
  <c r="AB79" i="22"/>
  <c r="AS79" i="22" s="1"/>
  <c r="AB301" i="22"/>
  <c r="AB117" i="22"/>
  <c r="AB140" i="22"/>
  <c r="AB258" i="22"/>
  <c r="AB151" i="22"/>
  <c r="AB70" i="22"/>
  <c r="AB316" i="22"/>
  <c r="AB166" i="22"/>
  <c r="AB185" i="22"/>
  <c r="AB312" i="22"/>
  <c r="AB352" i="22"/>
  <c r="AT352" i="22" s="1"/>
  <c r="AB488" i="22"/>
  <c r="AB281" i="22"/>
  <c r="AB490" i="22"/>
  <c r="AB430" i="22"/>
  <c r="AT430" i="22" s="1"/>
  <c r="C74" i="18"/>
  <c r="D104" i="16"/>
  <c r="BP170" i="22" s="1"/>
  <c r="BQ170" i="22" s="1"/>
  <c r="AN33" i="16"/>
  <c r="L122" i="12"/>
  <c r="T219" i="22"/>
  <c r="P12" i="27"/>
  <c r="AS78" i="12"/>
  <c r="K102" i="12"/>
  <c r="BI170" i="22"/>
  <c r="W170" i="22"/>
  <c r="V170" i="22"/>
  <c r="H271" i="12"/>
  <c r="AA492" i="9"/>
  <c r="Y492" i="9"/>
  <c r="H29" i="12"/>
  <c r="Y502" i="9"/>
  <c r="Y395" i="9"/>
  <c r="AC395" i="9" s="1"/>
  <c r="AB190" i="9"/>
  <c r="AB505" i="9"/>
  <c r="AD11" i="8"/>
  <c r="AB267" i="9"/>
  <c r="AC423" i="9"/>
  <c r="AB459" i="9"/>
  <c r="Y405" i="9"/>
  <c r="AC405" i="9" s="1"/>
  <c r="AA336" i="9"/>
  <c r="Y336" i="9"/>
  <c r="AC336" i="9" s="1"/>
  <c r="Y165" i="9"/>
  <c r="AC165" i="9" s="1"/>
  <c r="AK173" i="9"/>
  <c r="AJ173" i="9"/>
  <c r="Y330" i="9"/>
  <c r="AA330" i="9" s="1"/>
  <c r="S160" i="9"/>
  <c r="T160" i="9" s="1"/>
  <c r="AN160" i="9"/>
  <c r="AO160" i="9" s="1"/>
  <c r="Y392" i="9"/>
  <c r="AB392" i="9" s="1"/>
  <c r="Y385" i="9"/>
  <c r="AA325" i="9"/>
  <c r="AP48" i="23"/>
  <c r="AP237" i="23"/>
  <c r="AB194" i="23"/>
  <c r="AQ64" i="23"/>
  <c r="AQ158" i="23"/>
  <c r="AH158" i="23"/>
  <c r="AD158" i="23"/>
  <c r="AI158" i="23" s="1"/>
  <c r="AO158" i="23"/>
  <c r="AR226" i="23"/>
  <c r="P47" i="23"/>
  <c r="AV441" i="22"/>
  <c r="AE148" i="22"/>
  <c r="AV148" i="22" s="1"/>
  <c r="AE218" i="22"/>
  <c r="AE442" i="22"/>
  <c r="AT351" i="22"/>
  <c r="AC183" i="22"/>
  <c r="AC230" i="22"/>
  <c r="AT230" i="22" s="1"/>
  <c r="AB208" i="22"/>
  <c r="AB465" i="22"/>
  <c r="AK143" i="22"/>
  <c r="AP143" i="22" s="1"/>
  <c r="AR143" i="22"/>
  <c r="AX143" i="22" s="1"/>
  <c r="AG143" i="22"/>
  <c r="AL143" i="22" s="1"/>
  <c r="AB382" i="22"/>
  <c r="Y416" i="9"/>
  <c r="AC416" i="9" s="1"/>
  <c r="AA416" i="9"/>
  <c r="AN157" i="9"/>
  <c r="AO157" i="9" s="1"/>
  <c r="S157" i="9"/>
  <c r="T157" i="9" s="1"/>
  <c r="AA286" i="9"/>
  <c r="Y475" i="9"/>
  <c r="Y444" i="9"/>
  <c r="AC107" i="23"/>
  <c r="Z228" i="23"/>
  <c r="AS322" i="23"/>
  <c r="Z302" i="23"/>
  <c r="Y302" i="23"/>
  <c r="Z291" i="23"/>
  <c r="Y291" i="23"/>
  <c r="Z280" i="23"/>
  <c r="AS234" i="23"/>
  <c r="AR240" i="23"/>
  <c r="AK240" i="23"/>
  <c r="AQ123" i="23"/>
  <c r="AO123" i="23"/>
  <c r="T495" i="22"/>
  <c r="T347" i="22"/>
  <c r="T243" i="22"/>
  <c r="AV86" i="22"/>
  <c r="AV301" i="22"/>
  <c r="AE404" i="22"/>
  <c r="AT317" i="22"/>
  <c r="AC179" i="22"/>
  <c r="AS93" i="22"/>
  <c r="AC312" i="22"/>
  <c r="AC427" i="22"/>
  <c r="AR427" i="22" s="1"/>
  <c r="AB298" i="22"/>
  <c r="AT298" i="22" s="1"/>
  <c r="AP35" i="16"/>
  <c r="BI162" i="22"/>
  <c r="W162" i="22"/>
  <c r="V162" i="22"/>
  <c r="S127" i="8"/>
  <c r="AA462" i="9"/>
  <c r="AB230" i="9"/>
  <c r="Y168" i="9"/>
  <c r="AC168" i="9" s="1"/>
  <c r="AA168" i="9"/>
  <c r="AG168" i="9" s="1"/>
  <c r="AH168" i="9" s="1"/>
  <c r="AP217" i="23"/>
  <c r="AP180" i="23"/>
  <c r="AR141" i="23"/>
  <c r="AV161" i="22"/>
  <c r="AV392" i="22"/>
  <c r="AV290" i="22"/>
  <c r="AE131" i="22"/>
  <c r="AE70" i="22"/>
  <c r="AU77" i="22"/>
  <c r="AE284" i="22"/>
  <c r="AU453" i="22"/>
  <c r="AE466" i="22"/>
  <c r="AT207" i="22"/>
  <c r="AC75" i="22"/>
  <c r="AC167" i="22"/>
  <c r="AC481" i="22"/>
  <c r="AB44" i="22"/>
  <c r="AB76" i="22"/>
  <c r="AB415" i="22"/>
  <c r="AC119" i="23"/>
  <c r="Z57" i="23"/>
  <c r="Z151" i="23"/>
  <c r="AC321" i="23"/>
  <c r="AI245" i="23"/>
  <c r="AP245" i="23"/>
  <c r="AF35" i="28"/>
  <c r="AG33" i="28"/>
  <c r="AC113" i="23"/>
  <c r="AC246" i="23"/>
  <c r="AD246" i="23" s="1"/>
  <c r="AL143" i="23"/>
  <c r="AS143" i="23"/>
  <c r="AC284" i="23"/>
  <c r="AS297" i="23"/>
  <c r="AC160" i="23"/>
  <c r="AC370" i="23"/>
  <c r="Y368" i="23"/>
  <c r="Z368" i="23"/>
  <c r="AC256" i="23"/>
  <c r="AP188" i="23"/>
  <c r="AC295" i="23"/>
  <c r="Y63" i="23"/>
  <c r="AI240" i="23"/>
  <c r="AP240" i="23"/>
  <c r="AC151" i="23"/>
  <c r="Z194" i="23"/>
  <c r="Z247" i="23"/>
  <c r="Z83" i="23"/>
  <c r="Z223" i="23"/>
  <c r="AS290" i="23"/>
  <c r="Z226" i="23"/>
  <c r="Z170" i="23"/>
  <c r="AC140" i="23"/>
  <c r="Z204" i="23"/>
  <c r="AD204" i="23" s="1"/>
  <c r="AC205" i="23"/>
  <c r="Z255" i="23"/>
  <c r="AQ255" i="23" s="1"/>
  <c r="AC264" i="23"/>
  <c r="AC166" i="23"/>
  <c r="AC367" i="23"/>
  <c r="AC67" i="23"/>
  <c r="AC345" i="23"/>
  <c r="AC265" i="23"/>
  <c r="AC191" i="23"/>
  <c r="Y312" i="23"/>
  <c r="Z312" i="23"/>
  <c r="AC257" i="23"/>
  <c r="Y317" i="23"/>
  <c r="Z317" i="23"/>
  <c r="AC285" i="23"/>
  <c r="Y210" i="23"/>
  <c r="AB97" i="23"/>
  <c r="Y80" i="23"/>
  <c r="Y247" i="23"/>
  <c r="AB189" i="23"/>
  <c r="AS189" i="23" s="1"/>
  <c r="Y53" i="23"/>
  <c r="Y66" i="23"/>
  <c r="AB375" i="23"/>
  <c r="AB187" i="23"/>
  <c r="AB92" i="23"/>
  <c r="Y57" i="23"/>
  <c r="AB193" i="23"/>
  <c r="Y140" i="23"/>
  <c r="AB157" i="23"/>
  <c r="AB303" i="23"/>
  <c r="Y253" i="23"/>
  <c r="AB371" i="23"/>
  <c r="AB204" i="23"/>
  <c r="AB116" i="23"/>
  <c r="AB298" i="23"/>
  <c r="AB340" i="23"/>
  <c r="AB209" i="23"/>
  <c r="AB142" i="23"/>
  <c r="AB365" i="23"/>
  <c r="T476" i="22"/>
  <c r="T466" i="22"/>
  <c r="D60" i="16"/>
  <c r="D9" i="16" s="1"/>
  <c r="AV78" i="22"/>
  <c r="AV82" i="22"/>
  <c r="AV250" i="22"/>
  <c r="AV74" i="22"/>
  <c r="AV145" i="22"/>
  <c r="AV380" i="22"/>
  <c r="AV124" i="22"/>
  <c r="AV249" i="22"/>
  <c r="AV221" i="22"/>
  <c r="AV407" i="22"/>
  <c r="AV252" i="22"/>
  <c r="AV481" i="22"/>
  <c r="AV399" i="22"/>
  <c r="AE318" i="22"/>
  <c r="AU36" i="22"/>
  <c r="AV36" i="22"/>
  <c r="AE322" i="22"/>
  <c r="AV57" i="22"/>
  <c r="AU57" i="22"/>
  <c r="AE79" i="22"/>
  <c r="AV79" i="22" s="1"/>
  <c r="AE83" i="22"/>
  <c r="AE165" i="22"/>
  <c r="AE52" i="22"/>
  <c r="AE137" i="22"/>
  <c r="AE81" i="22"/>
  <c r="AE244" i="22"/>
  <c r="AE80" i="22"/>
  <c r="AE234" i="22"/>
  <c r="AE271" i="22"/>
  <c r="AE195" i="22"/>
  <c r="AE286" i="22"/>
  <c r="AE360" i="22"/>
  <c r="AE476" i="22"/>
  <c r="AE504" i="22"/>
  <c r="AE448" i="22"/>
  <c r="AE487" i="22"/>
  <c r="AV487" i="22" s="1"/>
  <c r="AE493" i="22"/>
  <c r="AE477" i="22"/>
  <c r="AT88" i="22"/>
  <c r="AT110" i="22"/>
  <c r="AT180" i="22"/>
  <c r="AT308" i="22"/>
  <c r="AT254" i="22"/>
  <c r="AT197" i="22"/>
  <c r="AT130" i="22"/>
  <c r="AM328" i="22"/>
  <c r="AT328" i="22"/>
  <c r="AT375" i="22"/>
  <c r="AT424" i="22"/>
  <c r="AT404" i="22"/>
  <c r="AM478" i="22"/>
  <c r="AT478" i="22"/>
  <c r="AC68" i="22"/>
  <c r="AC201" i="22"/>
  <c r="AC25" i="22"/>
  <c r="AC148" i="22"/>
  <c r="AC168" i="22"/>
  <c r="AC141" i="22"/>
  <c r="AC53" i="22"/>
  <c r="AC22" i="22"/>
  <c r="AC412" i="22"/>
  <c r="AC48" i="22"/>
  <c r="AC334" i="22"/>
  <c r="AC390" i="22"/>
  <c r="AC122" i="22"/>
  <c r="AC384" i="22"/>
  <c r="AC215" i="22"/>
  <c r="AC242" i="22"/>
  <c r="AC279" i="22"/>
  <c r="AC385" i="22"/>
  <c r="AC222" i="22"/>
  <c r="AC446" i="22"/>
  <c r="AC282" i="22"/>
  <c r="AT282" i="22" s="1"/>
  <c r="AC439" i="22"/>
  <c r="AC360" i="22"/>
  <c r="AC392" i="22"/>
  <c r="AC444" i="22"/>
  <c r="AC498" i="22"/>
  <c r="AB88" i="22"/>
  <c r="AB241" i="22"/>
  <c r="AB198" i="22"/>
  <c r="AB86" i="22"/>
  <c r="AB142" i="22"/>
  <c r="AB344" i="22"/>
  <c r="AB129" i="22"/>
  <c r="AT129" i="22" s="1"/>
  <c r="AB137" i="22"/>
  <c r="AB190" i="22"/>
  <c r="AB310" i="22"/>
  <c r="AB249" i="22"/>
  <c r="AB262" i="22"/>
  <c r="AB433" i="22"/>
  <c r="AB398" i="22"/>
  <c r="AB392" i="22"/>
  <c r="AB447" i="22"/>
  <c r="AB378" i="22"/>
  <c r="AB507" i="22"/>
  <c r="AB477" i="22"/>
  <c r="AK18" i="18"/>
  <c r="AL24" i="18" s="1"/>
  <c r="AF32" i="19"/>
  <c r="W159" i="22"/>
  <c r="V159" i="22"/>
  <c r="BI176" i="22"/>
  <c r="BQ176" i="22" s="1"/>
  <c r="W176" i="22"/>
  <c r="BI158" i="22"/>
  <c r="Y407" i="9"/>
  <c r="AC407" i="9" s="1"/>
  <c r="H273" i="12"/>
  <c r="H32" i="12"/>
  <c r="Y426" i="9"/>
  <c r="AB426" i="9" s="1"/>
  <c r="AB328" i="9"/>
  <c r="AB165" i="9"/>
  <c r="AB455" i="9"/>
  <c r="AC455" i="9"/>
  <c r="AA455" i="9"/>
  <c r="AJ11" i="8"/>
  <c r="AA183" i="9"/>
  <c r="AG183" i="9" s="1"/>
  <c r="AH183" i="9" s="1"/>
  <c r="Y183" i="9"/>
  <c r="AC258" i="9"/>
  <c r="AB486" i="9"/>
  <c r="AC252" i="9"/>
  <c r="AB252" i="9"/>
  <c r="AB154" i="9"/>
  <c r="AA154" i="9"/>
  <c r="AG154" i="9" s="1"/>
  <c r="AH154" i="9" s="1"/>
  <c r="Y277" i="9"/>
  <c r="AA277" i="9" s="1"/>
  <c r="AC219" i="9"/>
  <c r="R162" i="8"/>
  <c r="AA481" i="9"/>
  <c r="AS325" i="23"/>
  <c r="AP60" i="23"/>
  <c r="Z97" i="23"/>
  <c r="AC173" i="23"/>
  <c r="Z99" i="23"/>
  <c r="AD185" i="23"/>
  <c r="AJ185" i="23" s="1"/>
  <c r="AQ185" i="23"/>
  <c r="AO185" i="23"/>
  <c r="AB335" i="23"/>
  <c r="T370" i="22"/>
  <c r="AV419" i="22"/>
  <c r="AU40" i="22"/>
  <c r="AE151" i="22"/>
  <c r="AV43" i="22"/>
  <c r="AU43" i="22"/>
  <c r="AE369" i="22"/>
  <c r="AV369" i="22" s="1"/>
  <c r="C7" i="19"/>
  <c r="C10" i="19" s="1"/>
  <c r="J239" i="12"/>
  <c r="AT393" i="22"/>
  <c r="AB231" i="22"/>
  <c r="AB74" i="22"/>
  <c r="AG403" i="22"/>
  <c r="AO403" i="22" s="1"/>
  <c r="AR403" i="22"/>
  <c r="T369" i="22"/>
  <c r="AV359" i="22"/>
  <c r="AV422" i="22"/>
  <c r="AE111" i="22"/>
  <c r="AE176" i="22"/>
  <c r="AE270" i="22"/>
  <c r="AT362" i="22"/>
  <c r="AC401" i="22"/>
  <c r="AC381" i="22"/>
  <c r="Z270" i="23"/>
  <c r="Z96" i="23"/>
  <c r="AB165" i="23"/>
  <c r="AS165" i="23" s="1"/>
  <c r="AB294" i="23"/>
  <c r="K239" i="12"/>
  <c r="D7" i="19"/>
  <c r="D10" i="19" s="1"/>
  <c r="AE120" i="22"/>
  <c r="AV120" i="22" s="1"/>
  <c r="AE257" i="22"/>
  <c r="AE375" i="22"/>
  <c r="AC67" i="22"/>
  <c r="AC331" i="22"/>
  <c r="AC355" i="22"/>
  <c r="AC495" i="22"/>
  <c r="AB250" i="22"/>
  <c r="AC196" i="23"/>
  <c r="AC78" i="23"/>
  <c r="AC171" i="23"/>
  <c r="AC215" i="23"/>
  <c r="AC131" i="23"/>
  <c r="AC375" i="23"/>
  <c r="Z242" i="23"/>
  <c r="AO242" i="23" s="1"/>
  <c r="Y327" i="23"/>
  <c r="Z327" i="23"/>
  <c r="AC199" i="23"/>
  <c r="AC328" i="23"/>
  <c r="Z175" i="23"/>
  <c r="Z108" i="23"/>
  <c r="Z147" i="23"/>
  <c r="Z216" i="23"/>
  <c r="Z176" i="23"/>
  <c r="AQ176" i="23" s="1"/>
  <c r="Z55" i="23"/>
  <c r="Z144" i="23"/>
  <c r="Z316" i="23"/>
  <c r="Y316" i="23"/>
  <c r="Z64" i="23"/>
  <c r="AO64" i="23" s="1"/>
  <c r="AC232" i="23"/>
  <c r="AC179" i="23"/>
  <c r="AS212" i="23"/>
  <c r="Z212" i="23"/>
  <c r="Z354" i="23"/>
  <c r="Y354" i="23"/>
  <c r="AC170" i="23"/>
  <c r="AR170" i="23" s="1"/>
  <c r="AC260" i="23"/>
  <c r="Z332" i="23"/>
  <c r="Y332" i="23"/>
  <c r="AC282" i="23"/>
  <c r="Z174" i="23"/>
  <c r="Z186" i="23"/>
  <c r="Z284" i="23"/>
  <c r="Y284" i="23"/>
  <c r="Z273" i="23"/>
  <c r="AC268" i="23"/>
  <c r="Z87" i="23"/>
  <c r="AC308" i="23"/>
  <c r="Y301" i="23"/>
  <c r="Z301" i="23"/>
  <c r="Z298" i="23"/>
  <c r="Y298" i="23"/>
  <c r="Z372" i="23"/>
  <c r="Y372" i="23"/>
  <c r="T493" i="22"/>
  <c r="AB218" i="23"/>
  <c r="Y96" i="23"/>
  <c r="AB172" i="23"/>
  <c r="AB121" i="23"/>
  <c r="AQ135" i="23"/>
  <c r="AB233" i="23"/>
  <c r="Y59" i="23"/>
  <c r="Y71" i="23"/>
  <c r="Y47" i="23"/>
  <c r="AB196" i="23"/>
  <c r="AB83" i="23"/>
  <c r="Y68" i="23"/>
  <c r="AB232" i="23"/>
  <c r="AB61" i="23"/>
  <c r="AB203" i="23"/>
  <c r="AB220" i="23"/>
  <c r="AQ146" i="23"/>
  <c r="AO146" i="23"/>
  <c r="AD146" i="23"/>
  <c r="AH146" i="23" s="1"/>
  <c r="AB302" i="23"/>
  <c r="AB167" i="23"/>
  <c r="Y147" i="23"/>
  <c r="AB332" i="23"/>
  <c r="AB339" i="23"/>
  <c r="AS339" i="23" s="1"/>
  <c r="Y201" i="23"/>
  <c r="AB147" i="23"/>
  <c r="Y225" i="23"/>
  <c r="Y144" i="23"/>
  <c r="Y271" i="23"/>
  <c r="Y272" i="23"/>
  <c r="Y267" i="23"/>
  <c r="AB352" i="23"/>
  <c r="T361" i="22"/>
  <c r="T351" i="22"/>
  <c r="T282" i="22"/>
  <c r="T277" i="22"/>
  <c r="T329" i="22"/>
  <c r="T307" i="22"/>
  <c r="T250" i="22"/>
  <c r="T258" i="22"/>
  <c r="B7" i="19"/>
  <c r="B10" i="19" s="1"/>
  <c r="I239" i="12"/>
  <c r="AV149" i="22"/>
  <c r="AV151" i="22"/>
  <c r="AV187" i="22"/>
  <c r="AO85" i="22"/>
  <c r="AV85" i="22"/>
  <c r="AV162" i="22"/>
  <c r="AV175" i="22"/>
  <c r="AV459" i="22"/>
  <c r="AV432" i="22"/>
  <c r="AV321" i="22"/>
  <c r="AV384" i="22"/>
  <c r="AV495" i="22"/>
  <c r="AV406" i="22"/>
  <c r="AV478" i="22"/>
  <c r="AO478" i="22"/>
  <c r="AV440" i="22"/>
  <c r="AE340" i="22"/>
  <c r="AU25" i="22"/>
  <c r="AV25" i="22"/>
  <c r="AE141" i="22"/>
  <c r="AE103" i="22"/>
  <c r="AE167" i="22"/>
  <c r="AE226" i="22"/>
  <c r="AE71" i="22"/>
  <c r="AE190" i="22"/>
  <c r="AV190" i="22" s="1"/>
  <c r="AE212" i="22"/>
  <c r="AE84" i="22"/>
  <c r="AE238" i="22"/>
  <c r="AE179" i="22"/>
  <c r="AE276" i="22"/>
  <c r="AE356" i="22"/>
  <c r="AE246" i="22"/>
  <c r="AE357" i="22"/>
  <c r="AE241" i="22"/>
  <c r="AE364" i="22"/>
  <c r="AE394" i="22"/>
  <c r="AE350" i="22"/>
  <c r="AV350" i="22" s="1"/>
  <c r="AE480" i="22"/>
  <c r="AE391" i="22"/>
  <c r="AE390" i="22"/>
  <c r="AT156" i="22"/>
  <c r="AT223" i="22"/>
  <c r="AT439" i="22"/>
  <c r="AT494" i="22"/>
  <c r="AN21" i="18"/>
  <c r="AC42" i="22"/>
  <c r="AC283" i="22"/>
  <c r="AC172" i="22"/>
  <c r="AG172" i="22" s="1"/>
  <c r="AK172" i="22" s="1"/>
  <c r="AC49" i="22"/>
  <c r="AC136" i="22"/>
  <c r="AC138" i="22"/>
  <c r="AC19" i="22"/>
  <c r="AC153" i="22"/>
  <c r="AT153" i="22" s="1"/>
  <c r="AC59" i="22"/>
  <c r="AR59" i="22" s="1"/>
  <c r="AC149" i="22"/>
  <c r="AC341" i="22"/>
  <c r="AC361" i="22"/>
  <c r="AC163" i="22"/>
  <c r="AC184" i="22"/>
  <c r="AC203" i="22"/>
  <c r="AC261" i="22"/>
  <c r="AC350" i="22"/>
  <c r="AC434" i="22"/>
  <c r="AT434" i="22" s="1"/>
  <c r="AC501" i="22"/>
  <c r="AC474" i="22"/>
  <c r="AC453" i="22"/>
  <c r="AC484" i="22"/>
  <c r="AC430" i="22"/>
  <c r="AB97" i="22"/>
  <c r="AB253" i="22"/>
  <c r="AB179" i="22"/>
  <c r="AB8" i="22"/>
  <c r="AB224" i="22"/>
  <c r="AB157" i="22"/>
  <c r="AB112" i="22"/>
  <c r="AB152" i="22"/>
  <c r="AB81" i="22"/>
  <c r="AB21" i="22"/>
  <c r="AB69" i="22"/>
  <c r="AB271" i="22"/>
  <c r="AB326" i="22"/>
  <c r="AB170" i="22"/>
  <c r="AB421" i="22"/>
  <c r="AB268" i="22"/>
  <c r="AB449" i="22"/>
  <c r="AB347" i="22"/>
  <c r="AT347" i="22" s="1"/>
  <c r="AB468" i="22"/>
  <c r="AB457" i="22"/>
  <c r="AB428" i="22"/>
  <c r="AT428" i="22" s="1"/>
  <c r="E114" i="16"/>
  <c r="D118" i="16"/>
  <c r="BQ158" i="22"/>
  <c r="BQ177" i="22"/>
  <c r="W160" i="22"/>
  <c r="V160" i="22"/>
  <c r="AV28" i="12"/>
  <c r="AV30" i="12"/>
  <c r="AV31" i="12"/>
  <c r="AV29" i="12"/>
  <c r="H272" i="12"/>
  <c r="AT30" i="12"/>
  <c r="AT31" i="12"/>
  <c r="AT28" i="12"/>
  <c r="AT29" i="12"/>
  <c r="AC440" i="9"/>
  <c r="H318" i="12"/>
  <c r="M4" i="7"/>
  <c r="M6" i="7" s="1"/>
  <c r="M11" i="7" s="1"/>
  <c r="R21" i="7"/>
  <c r="R23" i="7"/>
  <c r="R19" i="7"/>
  <c r="R18" i="7"/>
  <c r="R26" i="7"/>
  <c r="R20" i="7"/>
  <c r="R24" i="7"/>
  <c r="AC384" i="9"/>
  <c r="AA384" i="9"/>
  <c r="Y403" i="9"/>
  <c r="AC403" i="9" s="1"/>
  <c r="AA403" i="9"/>
  <c r="AA367" i="9"/>
  <c r="Y367" i="9"/>
  <c r="Y409" i="9"/>
  <c r="AB153" i="9"/>
  <c r="AB410" i="9"/>
  <c r="AB177" i="9"/>
  <c r="AT61" i="12"/>
  <c r="Y317" i="9"/>
  <c r="AN19" i="16"/>
  <c r="AJ152" i="9"/>
  <c r="AA326" i="9"/>
  <c r="AC326" i="9"/>
  <c r="Y155" i="9"/>
  <c r="AC155" i="9" s="1"/>
  <c r="S159" i="9"/>
  <c r="T159" i="9" s="1"/>
  <c r="AN159" i="9"/>
  <c r="AO159" i="9" s="1"/>
  <c r="AC251" i="9"/>
  <c r="AV83" i="22"/>
  <c r="AV226" i="22"/>
  <c r="AV295" i="22"/>
  <c r="AE88" i="22"/>
  <c r="AE366" i="22"/>
  <c r="AC124" i="22"/>
  <c r="AC92" i="22"/>
  <c r="AC490" i="22"/>
  <c r="AB405" i="22"/>
  <c r="AT405" i="22" s="1"/>
  <c r="B119" i="16"/>
  <c r="AP256" i="23"/>
  <c r="AQ180" i="23"/>
  <c r="AO180" i="23"/>
  <c r="AR286" i="23"/>
  <c r="AQ122" i="23"/>
  <c r="AD122" i="23"/>
  <c r="AI122" i="23" s="1"/>
  <c r="AH122" i="23"/>
  <c r="AO122" i="23"/>
  <c r="AV473" i="22"/>
  <c r="AE220" i="22"/>
  <c r="AU316" i="22"/>
  <c r="AE452" i="22"/>
  <c r="AV452" i="22" s="1"/>
  <c r="AT364" i="22"/>
  <c r="AC73" i="22"/>
  <c r="AC349" i="22"/>
  <c r="AB418" i="22"/>
  <c r="H275" i="12"/>
  <c r="AS106" i="23"/>
  <c r="AB266" i="23"/>
  <c r="AR358" i="23"/>
  <c r="AD197" i="23"/>
  <c r="AI197" i="23" s="1"/>
  <c r="AH197" i="23"/>
  <c r="AQ197" i="23"/>
  <c r="AO197" i="23"/>
  <c r="AR179" i="23"/>
  <c r="AB236" i="23"/>
  <c r="AS236" i="23" s="1"/>
  <c r="AV122" i="22"/>
  <c r="AV189" i="22"/>
  <c r="AV403" i="22"/>
  <c r="AE124" i="22"/>
  <c r="AE224" i="22"/>
  <c r="AE488" i="22"/>
  <c r="AC58" i="22"/>
  <c r="AC302" i="22"/>
  <c r="AC423" i="22"/>
  <c r="AC473" i="22"/>
  <c r="Z46" i="23"/>
  <c r="AC154" i="23"/>
  <c r="AC353" i="23"/>
  <c r="AC77" i="23"/>
  <c r="AC72" i="23"/>
  <c r="AS279" i="23"/>
  <c r="AL148" i="23"/>
  <c r="AS148" i="23"/>
  <c r="AC340" i="23"/>
  <c r="Z238" i="23"/>
  <c r="AS184" i="23"/>
  <c r="AC319" i="23"/>
  <c r="AC229" i="23"/>
  <c r="AC293" i="23"/>
  <c r="AC368" i="23"/>
  <c r="AR368" i="23" s="1"/>
  <c r="AC364" i="23"/>
  <c r="AQ227" i="23"/>
  <c r="AO227" i="23"/>
  <c r="AB181" i="23"/>
  <c r="Y79" i="23"/>
  <c r="AB115" i="23"/>
  <c r="AB289" i="23"/>
  <c r="AB57" i="23"/>
  <c r="Y145" i="23"/>
  <c r="AB279" i="23"/>
  <c r="Y196" i="23"/>
  <c r="AQ121" i="23"/>
  <c r="AO121" i="23"/>
  <c r="AD121" i="23"/>
  <c r="AH121" i="23" s="1"/>
  <c r="Y72" i="23"/>
  <c r="AP72" i="23" s="1"/>
  <c r="AQ238" i="23"/>
  <c r="AD238" i="23"/>
  <c r="AO238" i="23"/>
  <c r="AB65" i="23"/>
  <c r="Y93" i="23"/>
  <c r="AB212" i="23"/>
  <c r="Y232" i="23"/>
  <c r="AP232" i="23" s="1"/>
  <c r="AB153" i="23"/>
  <c r="Y237" i="23"/>
  <c r="Y205" i="23"/>
  <c r="Y173" i="23"/>
  <c r="Y260" i="23"/>
  <c r="Y233" i="23"/>
  <c r="AR351" i="23"/>
  <c r="Y214" i="23"/>
  <c r="AB275" i="23"/>
  <c r="AB270" i="23"/>
  <c r="AB331" i="23"/>
  <c r="T438" i="22"/>
  <c r="T453" i="22"/>
  <c r="T420" i="22"/>
  <c r="T309" i="22"/>
  <c r="E74" i="18"/>
  <c r="AV163" i="22"/>
  <c r="AV212" i="22"/>
  <c r="AV196" i="22"/>
  <c r="AV246" i="22"/>
  <c r="AV115" i="22"/>
  <c r="AV376" i="22"/>
  <c r="AV240" i="22"/>
  <c r="AV409" i="22"/>
  <c r="AV260" i="22"/>
  <c r="AV381" i="22"/>
  <c r="AV502" i="22"/>
  <c r="AV500" i="22"/>
  <c r="AV455" i="22"/>
  <c r="AV451" i="22"/>
  <c r="AE28" i="22"/>
  <c r="AE139" i="22"/>
  <c r="AE29" i="22"/>
  <c r="AE64" i="22"/>
  <c r="AE152" i="22"/>
  <c r="AV152" i="22" s="1"/>
  <c r="AE94" i="22"/>
  <c r="AE108" i="22"/>
  <c r="AE219" i="22"/>
  <c r="AV219" i="22" s="1"/>
  <c r="AE283" i="22"/>
  <c r="AV283" i="22" s="1"/>
  <c r="AE183" i="22"/>
  <c r="AE310" i="22"/>
  <c r="AE395" i="22"/>
  <c r="AG395" i="22" s="1"/>
  <c r="AE387" i="22"/>
  <c r="AV387" i="22" s="1"/>
  <c r="AE388" i="22"/>
  <c r="AE354" i="22"/>
  <c r="AV354" i="22" s="1"/>
  <c r="AE415" i="22"/>
  <c r="AE292" i="22"/>
  <c r="AE498" i="22"/>
  <c r="AE501" i="22"/>
  <c r="AE418" i="22"/>
  <c r="AT109" i="22"/>
  <c r="AT228" i="22"/>
  <c r="AT202" i="22"/>
  <c r="AT271" i="22"/>
  <c r="AT422" i="22"/>
  <c r="AT480" i="22"/>
  <c r="AT433" i="22"/>
  <c r="AC182" i="22"/>
  <c r="AC225" i="22"/>
  <c r="AC188" i="22"/>
  <c r="AC113" i="22"/>
  <c r="AC64" i="22"/>
  <c r="AC18" i="22"/>
  <c r="AC140" i="22"/>
  <c r="AC178" i="22"/>
  <c r="AC380" i="22"/>
  <c r="AC248" i="22"/>
  <c r="AC199" i="22"/>
  <c r="AC254" i="22"/>
  <c r="AC332" i="22"/>
  <c r="AT332" i="22" s="1"/>
  <c r="AC353" i="22"/>
  <c r="AC404" i="22"/>
  <c r="AC294" i="22"/>
  <c r="AC400" i="22"/>
  <c r="AC337" i="22"/>
  <c r="AC491" i="22"/>
  <c r="AC442" i="22"/>
  <c r="AC505" i="22"/>
  <c r="AC456" i="22"/>
  <c r="AB23" i="22"/>
  <c r="AB318" i="22"/>
  <c r="AB245" i="22"/>
  <c r="AB27" i="22"/>
  <c r="AB43" i="22"/>
  <c r="AB146" i="22"/>
  <c r="AT146" i="22" s="1"/>
  <c r="AB171" i="22"/>
  <c r="AB9" i="22"/>
  <c r="AB127" i="22"/>
  <c r="AB160" i="22"/>
  <c r="AB26" i="22"/>
  <c r="AB202" i="22"/>
  <c r="AB212" i="22"/>
  <c r="AB16" i="22"/>
  <c r="AB283" i="22"/>
  <c r="AB196" i="22"/>
  <c r="AB439" i="22"/>
  <c r="AB349" i="22"/>
  <c r="AT349" i="22" s="1"/>
  <c r="AB426" i="22"/>
  <c r="AB374" i="22"/>
  <c r="AB458" i="22"/>
  <c r="AB481" i="22"/>
  <c r="AT481" i="22" s="1"/>
  <c r="AB292" i="22"/>
  <c r="AB445" i="22"/>
  <c r="AB482" i="22"/>
  <c r="AB462" i="22"/>
  <c r="AB441" i="22"/>
  <c r="BP162" i="22"/>
  <c r="BQ162" i="22" s="1"/>
  <c r="T254" i="22"/>
  <c r="O29" i="27"/>
  <c r="O50" i="23" s="1"/>
  <c r="M157" i="12"/>
  <c r="C97" i="16"/>
  <c r="BP151" i="22" s="1"/>
  <c r="BQ151" i="22" s="1"/>
  <c r="C65" i="16"/>
  <c r="N189" i="12"/>
  <c r="O181" i="12"/>
  <c r="P181" i="12" s="1"/>
  <c r="AB402" i="9"/>
  <c r="H269" i="12"/>
  <c r="AS47" i="12"/>
  <c r="AS44" i="12"/>
  <c r="AS46" i="12"/>
  <c r="AS45" i="12"/>
  <c r="W144" i="22"/>
  <c r="V144" i="22"/>
  <c r="AB416" i="9"/>
  <c r="AQ65" i="12"/>
  <c r="AQ64" i="12"/>
  <c r="AA418" i="9"/>
  <c r="Y418" i="9"/>
  <c r="Y388" i="9"/>
  <c r="AB388" i="9" s="1"/>
  <c r="Y163" i="9"/>
  <c r="AK179" i="9"/>
  <c r="AJ179" i="9"/>
  <c r="E76" i="16"/>
  <c r="E112" i="16"/>
  <c r="H28" i="12"/>
  <c r="AK164" i="9"/>
  <c r="AJ164" i="9"/>
  <c r="Y133" i="9"/>
  <c r="AC264" i="9"/>
  <c r="AA264" i="9"/>
  <c r="AB452" i="9"/>
  <c r="Y452" i="9"/>
  <c r="AC234" i="9"/>
  <c r="AA234" i="9"/>
  <c r="AE117" i="22"/>
  <c r="AE187" i="22"/>
  <c r="AU381" i="22"/>
  <c r="AC281" i="22"/>
  <c r="AC204" i="22"/>
  <c r="AG72" i="22"/>
  <c r="AM72" i="22" s="1"/>
  <c r="AT72" i="22"/>
  <c r="AR72" i="22"/>
  <c r="AB325" i="22"/>
  <c r="AT325" i="22" s="1"/>
  <c r="BP144" i="22"/>
  <c r="BQ144" i="22" s="1"/>
  <c r="AL102" i="16"/>
  <c r="AK102" i="16"/>
  <c r="AJ102" i="16"/>
  <c r="F117" i="16"/>
  <c r="Y247" i="9"/>
  <c r="AC247" i="9" s="1"/>
  <c r="AA153" i="9"/>
  <c r="AG153" i="9" s="1"/>
  <c r="AH153" i="9" s="1"/>
  <c r="AC153" i="9"/>
  <c r="AP177" i="23"/>
  <c r="Z110" i="23"/>
  <c r="AS149" i="23"/>
  <c r="AC366" i="23"/>
  <c r="AR281" i="23"/>
  <c r="Y73" i="23"/>
  <c r="Y164" i="23"/>
  <c r="AE185" i="22"/>
  <c r="AE209" i="22"/>
  <c r="AU489" i="22"/>
  <c r="AT145" i="22"/>
  <c r="AT369" i="22"/>
  <c r="AS20" i="22"/>
  <c r="AL20" i="22"/>
  <c r="AY20" i="22" s="1"/>
  <c r="AC426" i="22"/>
  <c r="AB139" i="22"/>
  <c r="AB366" i="22"/>
  <c r="AI112" i="23"/>
  <c r="AP112" i="23"/>
  <c r="Z210" i="23"/>
  <c r="Z179" i="23"/>
  <c r="AP157" i="23"/>
  <c r="AC181" i="23"/>
  <c r="Y283" i="23"/>
  <c r="Z283" i="23"/>
  <c r="Z272" i="23"/>
  <c r="AB68" i="23"/>
  <c r="T319" i="22"/>
  <c r="AV71" i="22"/>
  <c r="AV391" i="22"/>
  <c r="AE236" i="22"/>
  <c r="AE308" i="22"/>
  <c r="AT132" i="22"/>
  <c r="AC51" i="22"/>
  <c r="AS34" i="22"/>
  <c r="AC173" i="22"/>
  <c r="AB193" i="22"/>
  <c r="AD7" i="28"/>
  <c r="Z227" i="23"/>
  <c r="AC186" i="23"/>
  <c r="AC227" i="23"/>
  <c r="AS95" i="23"/>
  <c r="Z63" i="23"/>
  <c r="Z125" i="23"/>
  <c r="AC356" i="23"/>
  <c r="AC258" i="23"/>
  <c r="AP78" i="23"/>
  <c r="AC323" i="23"/>
  <c r="Z201" i="23"/>
  <c r="Y293" i="23"/>
  <c r="Z293" i="23"/>
  <c r="AH45" i="28"/>
  <c r="AG47" i="28"/>
  <c r="Z149" i="23"/>
  <c r="Z107" i="23"/>
  <c r="Z202" i="23"/>
  <c r="Z66" i="23"/>
  <c r="AP77" i="23"/>
  <c r="Z100" i="23"/>
  <c r="AC80" i="23"/>
  <c r="AC244" i="23"/>
  <c r="AC220" i="23"/>
  <c r="AC172" i="23"/>
  <c r="Z128" i="23"/>
  <c r="AC69" i="23"/>
  <c r="AC187" i="23"/>
  <c r="AC66" i="23"/>
  <c r="AS334" i="23"/>
  <c r="AC313" i="23"/>
  <c r="AC180" i="23"/>
  <c r="AD180" i="23" s="1"/>
  <c r="AI180" i="23" s="1"/>
  <c r="AC64" i="23"/>
  <c r="Z198" i="23"/>
  <c r="Y296" i="23"/>
  <c r="Z296" i="23"/>
  <c r="Z222" i="23"/>
  <c r="AC93" i="23"/>
  <c r="Z288" i="23"/>
  <c r="Y288" i="23"/>
  <c r="Z277" i="23"/>
  <c r="AO277" i="23" s="1"/>
  <c r="AC326" i="23"/>
  <c r="AB325" i="23"/>
  <c r="Y159" i="23"/>
  <c r="AP159" i="23" s="1"/>
  <c r="Y199" i="23"/>
  <c r="AB75" i="23"/>
  <c r="Y82" i="23"/>
  <c r="AB72" i="23"/>
  <c r="AR89" i="23"/>
  <c r="AB151" i="23"/>
  <c r="Y223" i="23"/>
  <c r="Y218" i="23"/>
  <c r="AB125" i="23"/>
  <c r="AB88" i="23"/>
  <c r="AB244" i="23"/>
  <c r="AD244" i="23" s="1"/>
  <c r="AB73" i="23"/>
  <c r="AD219" i="23"/>
  <c r="AQ219" i="23"/>
  <c r="AO219" i="23"/>
  <c r="Y236" i="23"/>
  <c r="Y241" i="23"/>
  <c r="AB350" i="23"/>
  <c r="AB63" i="23"/>
  <c r="AB367" i="23"/>
  <c r="AB231" i="23"/>
  <c r="Y231" i="23"/>
  <c r="AB360" i="23"/>
  <c r="AS360" i="23" s="1"/>
  <c r="AB268" i="23"/>
  <c r="T504" i="22"/>
  <c r="T435" i="22"/>
  <c r="T378" i="22"/>
  <c r="T406" i="22"/>
  <c r="T255" i="22"/>
  <c r="T240" i="22"/>
  <c r="T281" i="22"/>
  <c r="AV127" i="22"/>
  <c r="AV116" i="22"/>
  <c r="AV210" i="22"/>
  <c r="AV117" i="22"/>
  <c r="AV435" i="22"/>
  <c r="AV200" i="22"/>
  <c r="AV274" i="22"/>
  <c r="AV277" i="22"/>
  <c r="AV367" i="22"/>
  <c r="AV443" i="22"/>
  <c r="AV483" i="22"/>
  <c r="AV476" i="22"/>
  <c r="AE174" i="22"/>
  <c r="AV174" i="22" s="1"/>
  <c r="AE191" i="22"/>
  <c r="AE182" i="22"/>
  <c r="AV182" i="22" s="1"/>
  <c r="AE82" i="22"/>
  <c r="AE198" i="22"/>
  <c r="AE315" i="22"/>
  <c r="AE186" i="22"/>
  <c r="AE250" i="22"/>
  <c r="AE378" i="22"/>
  <c r="AE247" i="22"/>
  <c r="AE405" i="22"/>
  <c r="AE398" i="22"/>
  <c r="AV398" i="22" s="1"/>
  <c r="AE414" i="22"/>
  <c r="AE475" i="22"/>
  <c r="AE447" i="22"/>
  <c r="AE494" i="22"/>
  <c r="AV494" i="22" s="1"/>
  <c r="AT84" i="22"/>
  <c r="AT327" i="22"/>
  <c r="AT257" i="22"/>
  <c r="AT333" i="22"/>
  <c r="AT250" i="22"/>
  <c r="AT217" i="22"/>
  <c r="AT427" i="22"/>
  <c r="AT314" i="22"/>
  <c r="AT446" i="22"/>
  <c r="AC107" i="22"/>
  <c r="AC397" i="22"/>
  <c r="AC275" i="22"/>
  <c r="AC86" i="22"/>
  <c r="AT86" i="22" s="1"/>
  <c r="AC333" i="22"/>
  <c r="AC142" i="22"/>
  <c r="AC36" i="22"/>
  <c r="AC57" i="22"/>
  <c r="AC164" i="22"/>
  <c r="AC90" i="22"/>
  <c r="AT90" i="22" s="1"/>
  <c r="AC152" i="22"/>
  <c r="AC232" i="22"/>
  <c r="AT232" i="22" s="1"/>
  <c r="AC70" i="22"/>
  <c r="AC128" i="22"/>
  <c r="AC253" i="22"/>
  <c r="AC365" i="22"/>
  <c r="AC445" i="22"/>
  <c r="AC413" i="22"/>
  <c r="AC451" i="22"/>
  <c r="AB186" i="22"/>
  <c r="AB7" i="22"/>
  <c r="AB17" i="22"/>
  <c r="AB131" i="22"/>
  <c r="AB165" i="22"/>
  <c r="AB178" i="22"/>
  <c r="AB195" i="22"/>
  <c r="AB209" i="22"/>
  <c r="AB24" i="22"/>
  <c r="AB207" i="22"/>
  <c r="AB80" i="22"/>
  <c r="AB242" i="22"/>
  <c r="AB275" i="22"/>
  <c r="AB416" i="22"/>
  <c r="AB422" i="22"/>
  <c r="AB279" i="22"/>
  <c r="AT279" i="22" s="1"/>
  <c r="AB442" i="22"/>
  <c r="AB394" i="22"/>
  <c r="AB497" i="22"/>
  <c r="AB413" i="22"/>
  <c r="AB485" i="22"/>
  <c r="B112" i="16"/>
  <c r="B44" i="16"/>
  <c r="B7" i="16" s="1"/>
  <c r="B7" i="18"/>
  <c r="B8" i="18" s="1"/>
  <c r="I238" i="12"/>
  <c r="B43" i="18"/>
  <c r="B60" i="16"/>
  <c r="G54" i="16" s="1"/>
  <c r="AN35" i="16"/>
  <c r="BI181" i="22"/>
  <c r="W181" i="22"/>
  <c r="P10" i="27"/>
  <c r="F5" i="18"/>
  <c r="F6" i="18" s="1"/>
  <c r="F28" i="16"/>
  <c r="AN32" i="16"/>
  <c r="AE31" i="19" s="1"/>
  <c r="D101" i="16"/>
  <c r="BP167" i="22" s="1"/>
  <c r="BQ167" i="22" s="1"/>
  <c r="BI140" i="22"/>
  <c r="W140" i="22"/>
  <c r="V140" i="22"/>
  <c r="AA380" i="9"/>
  <c r="Y380" i="9"/>
  <c r="AC380" i="9" s="1"/>
  <c r="H266" i="12"/>
  <c r="Y448" i="9"/>
  <c r="AB448" i="9" s="1"/>
  <c r="AK151" i="9"/>
  <c r="AJ151" i="9"/>
  <c r="Y177" i="9"/>
  <c r="AC177" i="9" s="1"/>
  <c r="Y287" i="9"/>
  <c r="AC287" i="9" s="1"/>
  <c r="AA287" i="9"/>
  <c r="AB130" i="9"/>
  <c r="Y366" i="9"/>
  <c r="AA366" i="9" s="1"/>
  <c r="L141" i="12"/>
  <c r="AA211" i="9"/>
  <c r="Y211" i="9"/>
  <c r="AR60" i="12"/>
  <c r="AR62" i="12"/>
  <c r="AR63" i="12"/>
  <c r="AR61" i="12"/>
  <c r="AS62" i="12"/>
  <c r="AS63" i="12"/>
  <c r="Y328" i="9"/>
  <c r="AC328" i="9" s="1"/>
  <c r="M86" i="8"/>
  <c r="F76" i="16"/>
  <c r="F112" i="16"/>
  <c r="AB246" i="9"/>
  <c r="Y357" i="9"/>
  <c r="AC357" i="9" s="1"/>
  <c r="AC241" i="9"/>
  <c r="Y254" i="9"/>
  <c r="BI163" i="22"/>
  <c r="AM506" i="22"/>
  <c r="AT506" i="22"/>
  <c r="AC66" i="22"/>
  <c r="AC500" i="22"/>
  <c r="AC503" i="22"/>
  <c r="AB108" i="22"/>
  <c r="AB240" i="22"/>
  <c r="AT240" i="22" s="1"/>
  <c r="AR501" i="22"/>
  <c r="AP123" i="23"/>
  <c r="AP229" i="23"/>
  <c r="AB96" i="23"/>
  <c r="AB95" i="23"/>
  <c r="Y175" i="23"/>
  <c r="AV218" i="22"/>
  <c r="AU20" i="22"/>
  <c r="AN20" i="22"/>
  <c r="AT330" i="22"/>
  <c r="AC31" i="22"/>
  <c r="AR40" i="22"/>
  <c r="AT40" i="22"/>
  <c r="AG40" i="22"/>
  <c r="AG110" i="22"/>
  <c r="AO110" i="22" s="1"/>
  <c r="BB110" i="22" s="1"/>
  <c r="AR110" i="22"/>
  <c r="AB174" i="22"/>
  <c r="AB475" i="22"/>
  <c r="H290" i="12"/>
  <c r="B114" i="16"/>
  <c r="Y149" i="9"/>
  <c r="AA265" i="9"/>
  <c r="Y265" i="9"/>
  <c r="AC265" i="9" s="1"/>
  <c r="AS162" i="23"/>
  <c r="AL162" i="23"/>
  <c r="Z353" i="23"/>
  <c r="Y353" i="23"/>
  <c r="AS289" i="23"/>
  <c r="AR154" i="23"/>
  <c r="AO224" i="23"/>
  <c r="AD224" i="23"/>
  <c r="AQ224" i="23"/>
  <c r="Y184" i="23"/>
  <c r="AP184" i="23" s="1"/>
  <c r="AD129" i="23"/>
  <c r="AJ129" i="23" s="1"/>
  <c r="AQ129" i="23"/>
  <c r="AO129" i="23"/>
  <c r="AB309" i="23"/>
  <c r="AE339" i="22"/>
  <c r="AE330" i="22"/>
  <c r="AC68" i="23"/>
  <c r="Z116" i="23"/>
  <c r="Z264" i="23"/>
  <c r="Z95" i="23"/>
  <c r="AO95" i="23" s="1"/>
  <c r="AS280" i="23"/>
  <c r="Y339" i="23"/>
  <c r="Z339" i="23"/>
  <c r="Y65" i="23"/>
  <c r="AP65" i="23" s="1"/>
  <c r="Y56" i="23"/>
  <c r="AB103" i="23"/>
  <c r="AB213" i="23"/>
  <c r="AB353" i="23"/>
  <c r="T272" i="22"/>
  <c r="T312" i="22"/>
  <c r="T437" i="22"/>
  <c r="T323" i="22"/>
  <c r="P46" i="23"/>
  <c r="D5" i="18"/>
  <c r="D6" i="18" s="1"/>
  <c r="D28" i="16"/>
  <c r="D5" i="16" s="1"/>
  <c r="F122" i="16"/>
  <c r="AV176" i="22"/>
  <c r="AV166" i="22"/>
  <c r="AV157" i="22"/>
  <c r="AV235" i="22"/>
  <c r="AV185" i="22"/>
  <c r="AV215" i="22"/>
  <c r="AV291" i="22"/>
  <c r="AV348" i="22"/>
  <c r="AV372" i="22"/>
  <c r="AV270" i="22"/>
  <c r="AV332" i="22"/>
  <c r="AV378" i="22"/>
  <c r="AV454" i="22"/>
  <c r="AV489" i="22"/>
  <c r="AV427" i="22"/>
  <c r="AE90" i="22"/>
  <c r="AV16" i="22"/>
  <c r="AU16" i="22"/>
  <c r="AE249" i="22"/>
  <c r="AE99" i="22"/>
  <c r="AE135" i="22"/>
  <c r="AV135" i="22" s="1"/>
  <c r="AE313" i="22"/>
  <c r="AE258" i="22"/>
  <c r="AE160" i="22"/>
  <c r="AV160" i="22" s="1"/>
  <c r="AE115" i="22"/>
  <c r="AE202" i="22"/>
  <c r="AE262" i="22"/>
  <c r="AE321" i="22"/>
  <c r="AE196" i="22"/>
  <c r="AE307" i="22"/>
  <c r="AE469" i="22"/>
  <c r="AE261" i="22"/>
  <c r="AE456" i="22"/>
  <c r="AE362" i="22"/>
  <c r="AE402" i="22"/>
  <c r="AE401" i="22"/>
  <c r="AT105" i="22"/>
  <c r="AT147" i="22"/>
  <c r="AT390" i="22"/>
  <c r="AT104" i="22"/>
  <c r="AT323" i="22"/>
  <c r="AM311" i="22"/>
  <c r="AT311" i="22"/>
  <c r="AT380" i="22"/>
  <c r="AT338" i="22"/>
  <c r="AT454" i="22"/>
  <c r="AC135" i="22"/>
  <c r="AC8" i="22"/>
  <c r="AC154" i="22"/>
  <c r="AC118" i="22"/>
  <c r="AC157" i="22"/>
  <c r="AC39" i="22"/>
  <c r="AC344" i="22"/>
  <c r="AC264" i="22"/>
  <c r="AC160" i="22"/>
  <c r="AC436" i="22"/>
  <c r="AC314" i="22"/>
  <c r="AC229" i="22"/>
  <c r="AC298" i="22"/>
  <c r="AC263" i="22"/>
  <c r="AC410" i="22"/>
  <c r="AC398" i="22"/>
  <c r="AC233" i="22"/>
  <c r="AT233" i="22" s="1"/>
  <c r="AC293" i="22"/>
  <c r="AC371" i="22"/>
  <c r="AC458" i="22"/>
  <c r="AB304" i="22"/>
  <c r="AB216" i="22"/>
  <c r="AB14" i="22"/>
  <c r="AB339" i="22"/>
  <c r="AB41" i="22"/>
  <c r="AB35" i="22"/>
  <c r="AB412" i="22"/>
  <c r="AB25" i="22"/>
  <c r="AB200" i="22"/>
  <c r="AB274" i="22"/>
  <c r="AB247" i="22"/>
  <c r="AB94" i="22"/>
  <c r="AB48" i="22"/>
  <c r="AB230" i="22"/>
  <c r="AB84" i="22"/>
  <c r="AB321" i="22"/>
  <c r="AT321" i="22" s="1"/>
  <c r="AB204" i="22"/>
  <c r="AB103" i="22"/>
  <c r="AB254" i="22"/>
  <c r="AB399" i="22"/>
  <c r="AB181" i="22"/>
  <c r="AB385" i="22"/>
  <c r="T271" i="22"/>
  <c r="BP138" i="22"/>
  <c r="BQ138" i="22" s="1"/>
  <c r="AL96" i="16"/>
  <c r="AK96" i="16"/>
  <c r="AJ96" i="16"/>
  <c r="B108" i="16"/>
  <c r="AA32" i="19"/>
  <c r="AK17" i="16"/>
  <c r="BQ192" i="22"/>
  <c r="D117" i="16"/>
  <c r="BQ164" i="22"/>
  <c r="C122" i="16"/>
  <c r="I206" i="12"/>
  <c r="AO15" i="16"/>
  <c r="F65" i="16"/>
  <c r="Y368" i="9"/>
  <c r="AC368" i="9" s="1"/>
  <c r="H274" i="12"/>
  <c r="Y404" i="9"/>
  <c r="AA360" i="9"/>
  <c r="Y360" i="9"/>
  <c r="AC360" i="9" s="1"/>
  <c r="AU45" i="12"/>
  <c r="AU44" i="12"/>
  <c r="AB399" i="9"/>
  <c r="Y399" i="9"/>
  <c r="W146" i="22"/>
  <c r="V146" i="22"/>
  <c r="BI146" i="22"/>
  <c r="Y213" i="9"/>
  <c r="AC365" i="9"/>
  <c r="AA365" i="9"/>
  <c r="AB365" i="9"/>
  <c r="AA378" i="9"/>
  <c r="Y378" i="9"/>
  <c r="AC378" i="9" s="1"/>
  <c r="BQ157" i="22"/>
  <c r="L50" i="12"/>
  <c r="L5" i="12" s="1"/>
  <c r="AU38" i="12"/>
  <c r="AU42" i="12" s="1"/>
  <c r="L70" i="12"/>
  <c r="Y209" i="9"/>
  <c r="Y487" i="9"/>
  <c r="AB487" i="9" s="1"/>
  <c r="AA363" i="9"/>
  <c r="Y363" i="9"/>
  <c r="AC363" i="9" s="1"/>
  <c r="AA499" i="9"/>
  <c r="Y499" i="9"/>
  <c r="AB151" i="9"/>
  <c r="Y348" i="9"/>
  <c r="AC348" i="9" s="1"/>
  <c r="AA348" i="9"/>
  <c r="AB305" i="9"/>
  <c r="Y305" i="9"/>
  <c r="AC216" i="9"/>
  <c r="AA216" i="9"/>
  <c r="AO134" i="23"/>
  <c r="AQ134" i="23"/>
  <c r="AR342" i="23"/>
  <c r="AQ99" i="23"/>
  <c r="AO99" i="23"/>
  <c r="AD99" i="23"/>
  <c r="AD126" i="23"/>
  <c r="AQ126" i="23"/>
  <c r="Y120" i="23"/>
  <c r="AP120" i="23" s="1"/>
  <c r="T279" i="22"/>
  <c r="AE96" i="22"/>
  <c r="AE454" i="22"/>
  <c r="AS134" i="22"/>
  <c r="AC464" i="22"/>
  <c r="AC494" i="22"/>
  <c r="AB169" i="22"/>
  <c r="AV40" i="22"/>
  <c r="H305" i="12"/>
  <c r="I35" i="12"/>
  <c r="H322" i="12"/>
  <c r="H321" i="12"/>
  <c r="I4" i="12"/>
  <c r="H27" i="12"/>
  <c r="H23" i="12"/>
  <c r="H30" i="12"/>
  <c r="H285" i="12"/>
  <c r="H264" i="12"/>
  <c r="H31" i="12"/>
  <c r="H289" i="12"/>
  <c r="H33" i="12"/>
  <c r="H313" i="12"/>
  <c r="H286" i="12"/>
  <c r="H25" i="12"/>
  <c r="H265" i="12"/>
  <c r="H302" i="12"/>
  <c r="H280" i="12"/>
  <c r="H298" i="12"/>
  <c r="H24" i="12"/>
  <c r="H319" i="12"/>
  <c r="H297" i="12"/>
  <c r="H301" i="12"/>
  <c r="H317" i="12"/>
  <c r="H312" i="12"/>
  <c r="H22" i="12"/>
  <c r="H304" i="12"/>
  <c r="AS138" i="23"/>
  <c r="AP169" i="23"/>
  <c r="AC331" i="23"/>
  <c r="AB315" i="23"/>
  <c r="AV208" i="22"/>
  <c r="AE285" i="22"/>
  <c r="AV285" i="22" s="1"/>
  <c r="AT450" i="22"/>
  <c r="AC98" i="22"/>
  <c r="AC218" i="22"/>
  <c r="AB54" i="22"/>
  <c r="AB351" i="22"/>
  <c r="AB386" i="22"/>
  <c r="AT386" i="22" s="1"/>
  <c r="BI157" i="22"/>
  <c r="W157" i="22"/>
  <c r="V157" i="22"/>
  <c r="Y495" i="9"/>
  <c r="AC495" i="9" s="1"/>
  <c r="AC270" i="23"/>
  <c r="Z341" i="23"/>
  <c r="Y341" i="23"/>
  <c r="Z265" i="23"/>
  <c r="AD50" i="23"/>
  <c r="AH50" i="23" s="1"/>
  <c r="AQ50" i="23"/>
  <c r="AO50" i="23"/>
  <c r="AB227" i="23"/>
  <c r="AD227" i="23" s="1"/>
  <c r="AB177" i="23"/>
  <c r="AS177" i="23" s="1"/>
  <c r="Y269" i="23"/>
  <c r="AB274" i="23"/>
  <c r="AR327" i="23"/>
  <c r="T275" i="22"/>
  <c r="AL23" i="18"/>
  <c r="AE132" i="22"/>
  <c r="Z85" i="23"/>
  <c r="AC147" i="23"/>
  <c r="AP122" i="23"/>
  <c r="AC182" i="23"/>
  <c r="AC333" i="23"/>
  <c r="Y305" i="23"/>
  <c r="Z305" i="23"/>
  <c r="AS307" i="23"/>
  <c r="T492" i="22"/>
  <c r="AB300" i="23"/>
  <c r="AB131" i="23"/>
  <c r="AB86" i="23"/>
  <c r="AD86" i="23" s="1"/>
  <c r="AB200" i="23"/>
  <c r="AQ97" i="23"/>
  <c r="AO97" i="23"/>
  <c r="AR99" i="23"/>
  <c r="AB180" i="23"/>
  <c r="Y136" i="23"/>
  <c r="AB234" i="23"/>
  <c r="Y270" i="23"/>
  <c r="AP67" i="23"/>
  <c r="AC130" i="23"/>
  <c r="AC104" i="23"/>
  <c r="AC126" i="23"/>
  <c r="AC146" i="23"/>
  <c r="Z167" i="23"/>
  <c r="AC235" i="23"/>
  <c r="AC305" i="23"/>
  <c r="AP82" i="23"/>
  <c r="AS100" i="23"/>
  <c r="AS266" i="23"/>
  <c r="AC253" i="23"/>
  <c r="Z86" i="23"/>
  <c r="AC283" i="23"/>
  <c r="AC250" i="23"/>
  <c r="AC110" i="23"/>
  <c r="Z249" i="23"/>
  <c r="Z366" i="23"/>
  <c r="Y366" i="23"/>
  <c r="AC273" i="23"/>
  <c r="AC288" i="23"/>
  <c r="Y345" i="23"/>
  <c r="Z345" i="23"/>
  <c r="AS228" i="23"/>
  <c r="AL228" i="23"/>
  <c r="AC314" i="23"/>
  <c r="AS298" i="23"/>
  <c r="Z349" i="23"/>
  <c r="Y349" i="23"/>
  <c r="Z320" i="23"/>
  <c r="Y320" i="23"/>
  <c r="AB163" i="23"/>
  <c r="Y215" i="23"/>
  <c r="AQ111" i="23"/>
  <c r="AO111" i="23"/>
  <c r="AB253" i="23"/>
  <c r="AO86" i="23"/>
  <c r="AQ86" i="23"/>
  <c r="AQ105" i="23"/>
  <c r="AO105" i="23"/>
  <c r="AD105" i="23"/>
  <c r="AH105" i="23"/>
  <c r="AB237" i="23"/>
  <c r="AB110" i="23"/>
  <c r="Y88" i="23"/>
  <c r="AB228" i="23"/>
  <c r="AB263" i="23"/>
  <c r="AB370" i="23"/>
  <c r="Y75" i="23"/>
  <c r="Y110" i="23"/>
  <c r="AB139" i="23"/>
  <c r="Y189" i="23"/>
  <c r="AB348" i="23"/>
  <c r="AB164" i="23"/>
  <c r="AB293" i="23"/>
  <c r="AB288" i="23"/>
  <c r="AB374" i="23"/>
  <c r="T486" i="22"/>
  <c r="T401" i="22"/>
  <c r="T327" i="22"/>
  <c r="T300" i="22"/>
  <c r="M239" i="12"/>
  <c r="F7" i="19"/>
  <c r="F10" i="19" s="1"/>
  <c r="H320" i="12"/>
  <c r="AV84" i="22"/>
  <c r="AV133" i="22"/>
  <c r="AV411" i="22"/>
  <c r="AV326" i="22"/>
  <c r="AV491" i="22"/>
  <c r="AV330" i="22"/>
  <c r="AV306" i="22"/>
  <c r="AV287" i="22"/>
  <c r="AV438" i="22"/>
  <c r="AE245" i="22"/>
  <c r="AU72" i="22"/>
  <c r="AN72" i="22"/>
  <c r="BA72" i="22" s="1"/>
  <c r="AU14" i="22"/>
  <c r="AE95" i="22"/>
  <c r="AE73" i="22"/>
  <c r="AE235" i="22"/>
  <c r="AE344" i="22"/>
  <c r="AE91" i="22"/>
  <c r="AE129" i="22"/>
  <c r="AE188" i="22"/>
  <c r="AE104" i="22"/>
  <c r="AE309" i="22"/>
  <c r="AE194" i="22"/>
  <c r="AG194" i="22" s="1"/>
  <c r="AE268" i="22"/>
  <c r="AE349" i="22"/>
  <c r="AV349" i="22" s="1"/>
  <c r="AE396" i="22"/>
  <c r="AV396" i="22" s="1"/>
  <c r="AE437" i="22"/>
  <c r="AE445" i="22"/>
  <c r="AE486" i="22"/>
  <c r="AE266" i="22"/>
  <c r="AE495" i="22"/>
  <c r="AE439" i="22"/>
  <c r="AE303" i="22"/>
  <c r="AE329" i="22"/>
  <c r="AE337" i="22"/>
  <c r="AE420" i="22"/>
  <c r="AE325" i="22"/>
  <c r="AE457" i="22"/>
  <c r="AE465" i="22"/>
  <c r="AE472" i="22"/>
  <c r="AE499" i="22"/>
  <c r="AT231" i="22"/>
  <c r="AT137" i="22"/>
  <c r="AT136" i="22"/>
  <c r="AT199" i="22"/>
  <c r="AT118" i="22"/>
  <c r="AT342" i="22"/>
  <c r="AT354" i="22"/>
  <c r="AT220" i="22"/>
  <c r="AC103" i="22"/>
  <c r="AC32" i="22"/>
  <c r="AC241" i="22"/>
  <c r="AC198" i="22"/>
  <c r="AC161" i="22"/>
  <c r="AC144" i="22"/>
  <c r="AC82" i="22"/>
  <c r="AC243" i="22"/>
  <c r="AC262" i="22"/>
  <c r="AC10" i="22"/>
  <c r="AC126" i="22"/>
  <c r="AC16" i="22"/>
  <c r="AC174" i="22"/>
  <c r="AC195" i="22"/>
  <c r="AC219" i="22"/>
  <c r="AC268" i="22"/>
  <c r="AC308" i="22"/>
  <c r="AC310" i="22"/>
  <c r="AC377" i="22"/>
  <c r="AC433" i="22"/>
  <c r="AC457" i="22"/>
  <c r="AC278" i="22"/>
  <c r="AC475" i="22"/>
  <c r="AC462" i="22"/>
  <c r="AC448" i="22"/>
  <c r="AC429" i="22"/>
  <c r="AC407" i="22"/>
  <c r="AC441" i="22"/>
  <c r="AB431" i="22"/>
  <c r="AB11" i="22"/>
  <c r="AB184" i="22"/>
  <c r="AB19" i="22"/>
  <c r="AB42" i="22"/>
  <c r="AB220" i="22"/>
  <c r="AB251" i="22"/>
  <c r="AB50" i="22"/>
  <c r="AB248" i="22"/>
  <c r="AB221" i="22"/>
  <c r="AB46" i="22"/>
  <c r="AB354" i="22"/>
  <c r="AB210" i="22"/>
  <c r="AB307" i="22"/>
  <c r="AB263" i="22"/>
  <c r="AB269" i="22"/>
  <c r="AB409" i="22"/>
  <c r="AB305" i="22"/>
  <c r="AB342" i="22"/>
  <c r="AB376" i="22"/>
  <c r="AB303" i="22"/>
  <c r="AB493" i="22"/>
  <c r="AB438" i="22"/>
  <c r="AB452" i="22"/>
  <c r="T245" i="22"/>
  <c r="AL18" i="16"/>
  <c r="C73" i="16"/>
  <c r="BP142" i="22"/>
  <c r="BQ142" i="22" s="1"/>
  <c r="AL100" i="16"/>
  <c r="AK100" i="16"/>
  <c r="AJ100" i="16"/>
  <c r="T221" i="22"/>
  <c r="BP198" i="22"/>
  <c r="BQ198" i="22" s="1"/>
  <c r="BQ160" i="22"/>
  <c r="BP145" i="22"/>
  <c r="BQ145" i="22" s="1"/>
  <c r="AL103" i="16"/>
  <c r="AK103" i="16"/>
  <c r="AJ103" i="16"/>
  <c r="F74" i="18"/>
  <c r="AO32" i="16"/>
  <c r="E101" i="16"/>
  <c r="BP179" i="22" s="1"/>
  <c r="BQ179" i="22" s="1"/>
  <c r="Q184" i="12"/>
  <c r="S182" i="9"/>
  <c r="T182" i="9" s="1"/>
  <c r="AN182" i="9"/>
  <c r="H270" i="12"/>
  <c r="AB389" i="9"/>
  <c r="Y389" i="9"/>
  <c r="S197" i="9"/>
  <c r="T197" i="9" s="1"/>
  <c r="AN197" i="9"/>
  <c r="H316" i="12"/>
  <c r="AC227" i="9"/>
  <c r="Y233" i="9"/>
  <c r="AB362" i="9"/>
  <c r="BQ181" i="22"/>
  <c r="AA186" i="9"/>
  <c r="AG186" i="9" s="1"/>
  <c r="AH186" i="9" s="1"/>
  <c r="Y186" i="9"/>
  <c r="AA334" i="9"/>
  <c r="Y334" i="9"/>
  <c r="AC162" i="9"/>
  <c r="AA162" i="9"/>
  <c r="AG162" i="9" s="1"/>
  <c r="AH162" i="9" s="1"/>
  <c r="AC472" i="9"/>
  <c r="AB472" i="9"/>
  <c r="AB374" i="9"/>
  <c r="Y374" i="9"/>
  <c r="Q166" i="8"/>
  <c r="Y140" i="9"/>
  <c r="AA140" i="9" s="1"/>
  <c r="AG140" i="9" s="1"/>
  <c r="AH140" i="9" s="1"/>
  <c r="AG54" i="8"/>
  <c r="AG6" i="8"/>
  <c r="AG9" i="8" s="1"/>
  <c r="AR330" i="23"/>
  <c r="AV206" i="22"/>
  <c r="AE299" i="22"/>
  <c r="AE484" i="22"/>
  <c r="AC45" i="22"/>
  <c r="AC422" i="22"/>
  <c r="AC455" i="22"/>
  <c r="AC499" i="22"/>
  <c r="AB180" i="22"/>
  <c r="AG284" i="22"/>
  <c r="AO284" i="22" s="1"/>
  <c r="T122" i="8"/>
  <c r="U122" i="8"/>
  <c r="AP92" i="23"/>
  <c r="Z375" i="23"/>
  <c r="Y375" i="23"/>
  <c r="Z326" i="23"/>
  <c r="Y326" i="23"/>
  <c r="AC178" i="23"/>
  <c r="AR319" i="23"/>
  <c r="AR334" i="23"/>
  <c r="AE304" i="22"/>
  <c r="AE161" i="22"/>
  <c r="AE450" i="22"/>
  <c r="AC211" i="22"/>
  <c r="AC487" i="22"/>
  <c r="AB92" i="22"/>
  <c r="AB176" i="22"/>
  <c r="Z142" i="23"/>
  <c r="AC176" i="23"/>
  <c r="Z76" i="23"/>
  <c r="Y155" i="23"/>
  <c r="AQ48" i="23"/>
  <c r="AO48" i="23"/>
  <c r="AD48" i="23"/>
  <c r="AB273" i="23"/>
  <c r="AB297" i="23"/>
  <c r="AB252" i="23"/>
  <c r="T305" i="22"/>
  <c r="AV266" i="22"/>
  <c r="AU334" i="22"/>
  <c r="AT336" i="22"/>
  <c r="AF75" i="28"/>
  <c r="AE4" i="28"/>
  <c r="AE5" i="28" s="1"/>
  <c r="AE7" i="28" s="1"/>
  <c r="AC109" i="23"/>
  <c r="AP59" i="23"/>
  <c r="AC117" i="23"/>
  <c r="AS94" i="23"/>
  <c r="AC233" i="23"/>
  <c r="AC243" i="23"/>
  <c r="Y313" i="23"/>
  <c r="Z313" i="23"/>
  <c r="AC129" i="23"/>
  <c r="AC252" i="23"/>
  <c r="Z134" i="23"/>
  <c r="AD134" i="23" s="1"/>
  <c r="Z289" i="23"/>
  <c r="Y289" i="23"/>
  <c r="Z278" i="23"/>
  <c r="Z328" i="23"/>
  <c r="Y328" i="23"/>
  <c r="AS90" i="23"/>
  <c r="Z376" i="23"/>
  <c r="Y376" i="23"/>
  <c r="Z348" i="23"/>
  <c r="Y348" i="23"/>
  <c r="AC301" i="23"/>
  <c r="T483" i="22"/>
  <c r="AB81" i="23"/>
  <c r="AB94" i="23"/>
  <c r="AB336" i="23"/>
  <c r="AC278" i="23"/>
  <c r="AC271" i="23"/>
  <c r="AP137" i="23"/>
  <c r="Z75" i="23"/>
  <c r="Z294" i="23"/>
  <c r="Y294" i="23"/>
  <c r="Y314" i="23"/>
  <c r="Z314" i="23"/>
  <c r="AC223" i="23"/>
  <c r="Z352" i="23"/>
  <c r="Y352" i="23"/>
  <c r="AQ274" i="23"/>
  <c r="AO274" i="23"/>
  <c r="AD274" i="23"/>
  <c r="AH274" i="23" s="1"/>
  <c r="AG23" i="28"/>
  <c r="AH21" i="28"/>
  <c r="Z93" i="23"/>
  <c r="AC135" i="23"/>
  <c r="Z135" i="23"/>
  <c r="AC155" i="23"/>
  <c r="Z178" i="23"/>
  <c r="Z252" i="23"/>
  <c r="Z330" i="23"/>
  <c r="Y330" i="23"/>
  <c r="AC134" i="23"/>
  <c r="Z299" i="23"/>
  <c r="Y299" i="23"/>
  <c r="Z276" i="23"/>
  <c r="AQ276" i="23" s="1"/>
  <c r="Y287" i="23"/>
  <c r="Z287" i="23"/>
  <c r="Z295" i="23"/>
  <c r="Y295" i="23"/>
  <c r="AC361" i="23"/>
  <c r="AC85" i="23"/>
  <c r="AC202" i="23"/>
  <c r="Z303" i="23"/>
  <c r="Y303" i="23"/>
  <c r="AC376" i="23"/>
  <c r="AS343" i="23"/>
  <c r="Z220" i="23"/>
  <c r="AC352" i="23"/>
  <c r="AC197" i="23"/>
  <c r="AR197" i="23" s="1"/>
  <c r="AB62" i="23"/>
  <c r="Y161" i="23"/>
  <c r="AB206" i="23"/>
  <c r="AS206" i="23" s="1"/>
  <c r="AB256" i="23"/>
  <c r="Y262" i="23"/>
  <c r="AB247" i="23"/>
  <c r="Y107" i="23"/>
  <c r="AB127" i="23"/>
  <c r="AQ119" i="23"/>
  <c r="AO119" i="23"/>
  <c r="AD119" i="23"/>
  <c r="AJ119" i="23" s="1"/>
  <c r="Y104" i="23"/>
  <c r="AO127" i="23"/>
  <c r="AQ127" i="23"/>
  <c r="AB316" i="23"/>
  <c r="AB117" i="23"/>
  <c r="AB278" i="23"/>
  <c r="Y103" i="23"/>
  <c r="Y116" i="23"/>
  <c r="AB267" i="23"/>
  <c r="AB176" i="23"/>
  <c r="AB349" i="23"/>
  <c r="AB259" i="23"/>
  <c r="AB221" i="23"/>
  <c r="Y209" i="23"/>
  <c r="AB82" i="23"/>
  <c r="Y278" i="23"/>
  <c r="AB113" i="23"/>
  <c r="AB217" i="23"/>
  <c r="AB70" i="23"/>
  <c r="Y192" i="23"/>
  <c r="AB373" i="23"/>
  <c r="AQ166" i="23"/>
  <c r="AO166" i="23"/>
  <c r="AD166" i="23"/>
  <c r="AJ166" i="23" s="1"/>
  <c r="AB305" i="23"/>
  <c r="T384" i="22"/>
  <c r="T322" i="22"/>
  <c r="T265" i="22"/>
  <c r="T427" i="22"/>
  <c r="T387" i="22"/>
  <c r="T283" i="22"/>
  <c r="AQ24" i="18"/>
  <c r="AQ25" i="18"/>
  <c r="AV181" i="22"/>
  <c r="AV265" i="22"/>
  <c r="AV243" i="22"/>
  <c r="AV275" i="22"/>
  <c r="AV421" i="22"/>
  <c r="AV110" i="22"/>
  <c r="AV244" i="22"/>
  <c r="AV293" i="22"/>
  <c r="AV498" i="22"/>
  <c r="AV506" i="22"/>
  <c r="AO506" i="22"/>
  <c r="AE107" i="22"/>
  <c r="AE181" i="22"/>
  <c r="AE229" i="22"/>
  <c r="AE291" i="22"/>
  <c r="AG291" i="22" s="1"/>
  <c r="AU15" i="22"/>
  <c r="AE324" i="22"/>
  <c r="AV324" i="22" s="1"/>
  <c r="AE119" i="22"/>
  <c r="AE114" i="22"/>
  <c r="AV114" i="22" s="1"/>
  <c r="AE227" i="22"/>
  <c r="AV227" i="22" s="1"/>
  <c r="AE338" i="22"/>
  <c r="AE282" i="22"/>
  <c r="AE377" i="22"/>
  <c r="AE278" i="22"/>
  <c r="AE467" i="22"/>
  <c r="AE312" i="22"/>
  <c r="AE210" i="22"/>
  <c r="AE481" i="22"/>
  <c r="AE345" i="22"/>
  <c r="AE408" i="22"/>
  <c r="AE490" i="22"/>
  <c r="AE468" i="22"/>
  <c r="AV468" i="22" s="1"/>
  <c r="AT260" i="22"/>
  <c r="AT490" i="22"/>
  <c r="AT253" i="22"/>
  <c r="AT168" i="22"/>
  <c r="AT267" i="22"/>
  <c r="AT196" i="22"/>
  <c r="AT379" i="22"/>
  <c r="AT226" i="22"/>
  <c r="AT372" i="22"/>
  <c r="AT436" i="22"/>
  <c r="AC78" i="22"/>
  <c r="AC11" i="22"/>
  <c r="AC249" i="22"/>
  <c r="AC169" i="22"/>
  <c r="AC15" i="22"/>
  <c r="AC12" i="22"/>
  <c r="AC200" i="22"/>
  <c r="AC84" i="22"/>
  <c r="AC176" i="22"/>
  <c r="AC285" i="22"/>
  <c r="AC81" i="22"/>
  <c r="AC265" i="22"/>
  <c r="AC212" i="22"/>
  <c r="AC24" i="22"/>
  <c r="AC388" i="22"/>
  <c r="AC483" i="22"/>
  <c r="AC313" i="22"/>
  <c r="AC459" i="22"/>
  <c r="AC320" i="22"/>
  <c r="AC348" i="22"/>
  <c r="AT348" i="22" s="1"/>
  <c r="AC414" i="22"/>
  <c r="AC391" i="22"/>
  <c r="AC482" i="22"/>
  <c r="AC460" i="22"/>
  <c r="AC467" i="22"/>
  <c r="AB51" i="22"/>
  <c r="AB150" i="22"/>
  <c r="AB107" i="22"/>
  <c r="AB126" i="22"/>
  <c r="AB60" i="22"/>
  <c r="AB235" i="22"/>
  <c r="AB22" i="22"/>
  <c r="AB227" i="22"/>
  <c r="AB264" i="22"/>
  <c r="AB167" i="22"/>
  <c r="AT167" i="22" s="1"/>
  <c r="AB177" i="22"/>
  <c r="AB115" i="22"/>
  <c r="AB63" i="22"/>
  <c r="AB215" i="22"/>
  <c r="AB309" i="22"/>
  <c r="AB144" i="22"/>
  <c r="AB454" i="22"/>
  <c r="AB276" i="22"/>
  <c r="AB440" i="22"/>
  <c r="AT440" i="22" s="1"/>
  <c r="AB350" i="22"/>
  <c r="BQ166" i="22"/>
  <c r="BQ171" i="22"/>
  <c r="W142" i="22"/>
  <c r="V142" i="22"/>
  <c r="W165" i="22"/>
  <c r="V165" i="22"/>
  <c r="BI165" i="22"/>
  <c r="BQ165" i="22" s="1"/>
  <c r="B74" i="18"/>
  <c r="S180" i="9"/>
  <c r="T180" i="9" s="1"/>
  <c r="AN180" i="9"/>
  <c r="AO180" i="9" s="1"/>
  <c r="Y372" i="9"/>
  <c r="AA372" i="9" s="1"/>
  <c r="O4" i="8"/>
  <c r="S27" i="8"/>
  <c r="BI166" i="22"/>
  <c r="W166" i="22"/>
  <c r="V166" i="22"/>
  <c r="W169" i="22"/>
  <c r="V169" i="22"/>
  <c r="R17" i="8"/>
  <c r="R7" i="8"/>
  <c r="R86" i="8" s="1"/>
  <c r="R11" i="8"/>
  <c r="AU26" i="12"/>
  <c r="AV58" i="12"/>
  <c r="BQ185" i="22"/>
  <c r="Y282" i="9"/>
  <c r="AA282" i="9"/>
  <c r="P16" i="8"/>
  <c r="R130" i="8"/>
  <c r="R125" i="8"/>
  <c r="R132" i="8"/>
  <c r="R131" i="8"/>
  <c r="R129" i="8"/>
  <c r="R124" i="8"/>
  <c r="AB424" i="9"/>
  <c r="R158" i="8"/>
  <c r="AA472" i="9"/>
  <c r="AC278" i="9"/>
  <c r="AB278" i="9"/>
  <c r="AB315" i="9"/>
  <c r="T234" i="22"/>
  <c r="Y276" i="9"/>
  <c r="Y302" i="9"/>
  <c r="AA302" i="9" s="1"/>
  <c r="AJ161" i="9"/>
  <c r="AK161" i="9"/>
  <c r="AP102" i="23"/>
  <c r="AP211" i="23"/>
  <c r="Z224" i="23"/>
  <c r="AC373" i="23"/>
  <c r="Y290" i="23"/>
  <c r="Z290" i="23"/>
  <c r="Z279" i="23"/>
  <c r="Z231" i="23"/>
  <c r="AD115" i="23"/>
  <c r="AJ115" i="23" s="1"/>
  <c r="AO115" i="23"/>
  <c r="AH115" i="23"/>
  <c r="AQ115" i="23"/>
  <c r="AK211" i="23"/>
  <c r="AR211" i="23"/>
  <c r="AO246" i="23"/>
  <c r="AQ246" i="23"/>
  <c r="AV103" i="22"/>
  <c r="AV370" i="22"/>
  <c r="AV76" i="22"/>
  <c r="AV315" i="22"/>
  <c r="AV222" i="22"/>
  <c r="AV248" i="22"/>
  <c r="AV302" i="22"/>
  <c r="AV382" i="22"/>
  <c r="AO328" i="22"/>
  <c r="AV328" i="22"/>
  <c r="AV327" i="22"/>
  <c r="AV477" i="22"/>
  <c r="AV461" i="22"/>
  <c r="AV14" i="22"/>
  <c r="AE154" i="22"/>
  <c r="AE62" i="22"/>
  <c r="AE206" i="22"/>
  <c r="AE109" i="22"/>
  <c r="AE333" i="22"/>
  <c r="AV333" i="22" s="1"/>
  <c r="AE56" i="22"/>
  <c r="AE102" i="22"/>
  <c r="AE255" i="22"/>
  <c r="AE177" i="22"/>
  <c r="AV177" i="22" s="1"/>
  <c r="AE53" i="22"/>
  <c r="AE207" i="22"/>
  <c r="AV21" i="22"/>
  <c r="AU21" i="22"/>
  <c r="AE253" i="22"/>
  <c r="AE416" i="22"/>
  <c r="AE280" i="22"/>
  <c r="AE122" i="22"/>
  <c r="AE288" i="22"/>
  <c r="AE317" i="22"/>
  <c r="AE272" i="22"/>
  <c r="AE449" i="22"/>
  <c r="AE386" i="22"/>
  <c r="AE389" i="22"/>
  <c r="AE485" i="22"/>
  <c r="AE368" i="22"/>
  <c r="AE413" i="22"/>
  <c r="AE505" i="22"/>
  <c r="AT195" i="22"/>
  <c r="AT83" i="22"/>
  <c r="AT299" i="22"/>
  <c r="AT235" i="22"/>
  <c r="AT140" i="22"/>
  <c r="AT204" i="22"/>
  <c r="AT399" i="22"/>
  <c r="AC269" i="22"/>
  <c r="AC129" i="22"/>
  <c r="AC55" i="22"/>
  <c r="AC158" i="22"/>
  <c r="AC38" i="22"/>
  <c r="AC327" i="22"/>
  <c r="AC21" i="22"/>
  <c r="AC131" i="22"/>
  <c r="AC99" i="22"/>
  <c r="AT99" i="22" s="1"/>
  <c r="AC30" i="22"/>
  <c r="AR30" i="22" s="1"/>
  <c r="AC33" i="22"/>
  <c r="AT33" i="22" s="1"/>
  <c r="AC171" i="22"/>
  <c r="AC61" i="22"/>
  <c r="AC274" i="22"/>
  <c r="AC170" i="22"/>
  <c r="AC259" i="22"/>
  <c r="AC180" i="22"/>
  <c r="AC273" i="22"/>
  <c r="AC234" i="22"/>
  <c r="AC309" i="22"/>
  <c r="AC139" i="22"/>
  <c r="AC408" i="22"/>
  <c r="AC502" i="22"/>
  <c r="AF240" i="12"/>
  <c r="AF241" i="12" s="1"/>
  <c r="AB182" i="22"/>
  <c r="AB148" i="22"/>
  <c r="AB73" i="22"/>
  <c r="AB6" i="22"/>
  <c r="AB239" i="22"/>
  <c r="AT239" i="22" s="1"/>
  <c r="AB287" i="22"/>
  <c r="AS287" i="22" s="1"/>
  <c r="AB61" i="22"/>
  <c r="AB104" i="22"/>
  <c r="AB229" i="22"/>
  <c r="AB335" i="22"/>
  <c r="AB203" i="22"/>
  <c r="AB257" i="22"/>
  <c r="AB102" i="22"/>
  <c r="AB192" i="22"/>
  <c r="AB282" i="22"/>
  <c r="AB492" i="22"/>
  <c r="AT492" i="22" s="1"/>
  <c r="AB451" i="22"/>
  <c r="AB369" i="22"/>
  <c r="AB323" i="22"/>
  <c r="AB443" i="22"/>
  <c r="C119" i="16"/>
  <c r="T509" i="22"/>
  <c r="J6" i="13"/>
  <c r="I42" i="13"/>
  <c r="O185" i="12"/>
  <c r="S170" i="9"/>
  <c r="T170" i="9" s="1"/>
  <c r="AN170" i="9"/>
  <c r="AO170" i="9" s="1"/>
  <c r="Q22" i="8"/>
  <c r="Q21" i="8"/>
  <c r="AB201" i="9"/>
  <c r="Y491" i="9"/>
  <c r="L35" i="12"/>
  <c r="L4" i="12"/>
  <c r="AA359" i="9"/>
  <c r="Y359" i="9"/>
  <c r="AC359" i="9" s="1"/>
  <c r="R126" i="8"/>
  <c r="AE11" i="8"/>
  <c r="AH54" i="8"/>
  <c r="AH6" i="8"/>
  <c r="AH9" i="8" s="1"/>
  <c r="AA353" i="9"/>
  <c r="Y353" i="9"/>
  <c r="AC353" i="9" s="1"/>
  <c r="AA224" i="9"/>
  <c r="AA278" i="9"/>
  <c r="AB132" i="9"/>
  <c r="S26" i="8"/>
  <c r="Y268" i="9"/>
  <c r="AA268" i="9" s="1"/>
  <c r="M108" i="7"/>
  <c r="R105" i="7" s="1"/>
  <c r="AC309" i="9"/>
  <c r="AA309" i="9"/>
  <c r="T506" i="22"/>
  <c r="AV316" i="22"/>
  <c r="AE112" i="22"/>
  <c r="AE153" i="22"/>
  <c r="AE130" i="22"/>
  <c r="AV130" i="22" s="1"/>
  <c r="AE237" i="22"/>
  <c r="AT313" i="22"/>
  <c r="AC206" i="22"/>
  <c r="AB32" i="22"/>
  <c r="AB246" i="22"/>
  <c r="D115" i="16"/>
  <c r="AP172" i="23"/>
  <c r="AC261" i="23"/>
  <c r="AP98" i="23"/>
  <c r="AS247" i="23"/>
  <c r="AP214" i="23"/>
  <c r="AB173" i="23"/>
  <c r="AB324" i="23"/>
  <c r="T497" i="22"/>
  <c r="AV178" i="22"/>
  <c r="AV355" i="22"/>
  <c r="AE156" i="22"/>
  <c r="AC271" i="22"/>
  <c r="AC124" i="23"/>
  <c r="AS150" i="23"/>
  <c r="Z310" i="23"/>
  <c r="Y310" i="23"/>
  <c r="AP131" i="23"/>
  <c r="Z52" i="23"/>
  <c r="Z203" i="23"/>
  <c r="Z282" i="23"/>
  <c r="Y282" i="23"/>
  <c r="Z271" i="23"/>
  <c r="AS122" i="23"/>
  <c r="Z90" i="23"/>
  <c r="Z315" i="23"/>
  <c r="Y315" i="23"/>
  <c r="AS99" i="23"/>
  <c r="Z335" i="23"/>
  <c r="Y335" i="23"/>
  <c r="AC208" i="23"/>
  <c r="AR208" i="23" s="1"/>
  <c r="AP258" i="23"/>
  <c r="AP205" i="23"/>
  <c r="AP114" i="23"/>
  <c r="Z307" i="23"/>
  <c r="Y307" i="23"/>
  <c r="AS87" i="23"/>
  <c r="AS224" i="23"/>
  <c r="Z324" i="23"/>
  <c r="Y324" i="23"/>
  <c r="AS115" i="23"/>
  <c r="Z234" i="23"/>
  <c r="AC359" i="23"/>
  <c r="Z306" i="23"/>
  <c r="Y306" i="23"/>
  <c r="Y323" i="23"/>
  <c r="Z323" i="23"/>
  <c r="Z357" i="23"/>
  <c r="Y357" i="23"/>
  <c r="AP199" i="23"/>
  <c r="AS338" i="23"/>
  <c r="AR346" i="23"/>
  <c r="AB192" i="23"/>
  <c r="AQ266" i="23"/>
  <c r="AO266" i="23"/>
  <c r="AB118" i="23"/>
  <c r="AK245" i="23"/>
  <c r="AR245" i="23"/>
  <c r="AR277" i="23"/>
  <c r="AQ143" i="23"/>
  <c r="AO143" i="23"/>
  <c r="AD143" i="23"/>
  <c r="AJ143" i="23" s="1"/>
  <c r="AQ263" i="23"/>
  <c r="AO263" i="23"/>
  <c r="AD263" i="23"/>
  <c r="AJ263" i="23" s="1"/>
  <c r="AR225" i="23"/>
  <c r="AO217" i="23"/>
  <c r="AQ217" i="23"/>
  <c r="AB184" i="23"/>
  <c r="Y182" i="23"/>
  <c r="AR357" i="23"/>
  <c r="AR230" i="23"/>
  <c r="AK230" i="23"/>
  <c r="AO220" i="23"/>
  <c r="AD220" i="23"/>
  <c r="AJ220" i="23" s="1"/>
  <c r="AQ220" i="23"/>
  <c r="AB354" i="23"/>
  <c r="AO264" i="23"/>
  <c r="AD264" i="23"/>
  <c r="AJ264" i="23" s="1"/>
  <c r="AH264" i="23"/>
  <c r="AB377" i="23"/>
  <c r="AB265" i="23"/>
  <c r="AB248" i="23"/>
  <c r="AB355" i="23"/>
  <c r="AB301" i="23"/>
  <c r="T352" i="22"/>
  <c r="T235" i="22"/>
  <c r="P9" i="27"/>
  <c r="P25" i="27"/>
  <c r="O58" i="23" s="1"/>
  <c r="AM18" i="18"/>
  <c r="AN24" i="18" s="1"/>
  <c r="E122" i="16"/>
  <c r="T392" i="22"/>
  <c r="AV337" i="22"/>
  <c r="AV144" i="22"/>
  <c r="Z191" i="23"/>
  <c r="AD191" i="23" s="1"/>
  <c r="Z69" i="23"/>
  <c r="AD69" i="23" s="1"/>
  <c r="AC133" i="23"/>
  <c r="AR133" i="23" s="1"/>
  <c r="AS316" i="23"/>
  <c r="Z94" i="23"/>
  <c r="AC231" i="23"/>
  <c r="Z106" i="23"/>
  <c r="AC299" i="23"/>
  <c r="Z215" i="23"/>
  <c r="AS272" i="23"/>
  <c r="AC287" i="23"/>
  <c r="AC213" i="23"/>
  <c r="Z126" i="23"/>
  <c r="AC302" i="23"/>
  <c r="AS320" i="23"/>
  <c r="AC161" i="23"/>
  <c r="Z117" i="23"/>
  <c r="AC363" i="23"/>
  <c r="AS315" i="23"/>
  <c r="Y334" i="23"/>
  <c r="Z334" i="23"/>
  <c r="AC329" i="23"/>
  <c r="Z351" i="23"/>
  <c r="Y351" i="23"/>
  <c r="AB239" i="23"/>
  <c r="AR321" i="23"/>
  <c r="Y87" i="23"/>
  <c r="AR333" i="23"/>
  <c r="AB249" i="23"/>
  <c r="AB364" i="23"/>
  <c r="AB69" i="23"/>
  <c r="AB87" i="23"/>
  <c r="AB174" i="23"/>
  <c r="Y170" i="23"/>
  <c r="Y281" i="23"/>
  <c r="AB190" i="23"/>
  <c r="AB150" i="23"/>
  <c r="Y268" i="23"/>
  <c r="Y229" i="23"/>
  <c r="Y91" i="23"/>
  <c r="Y49" i="23"/>
  <c r="Y152" i="23"/>
  <c r="Y81" i="23"/>
  <c r="AB362" i="23"/>
  <c r="Y254" i="23"/>
  <c r="AB290" i="23"/>
  <c r="T342" i="22"/>
  <c r="T373" i="22"/>
  <c r="T357" i="22"/>
  <c r="T246" i="22"/>
  <c r="T249" i="22"/>
  <c r="T377" i="22"/>
  <c r="AR24" i="18"/>
  <c r="AR25" i="18"/>
  <c r="AV93" i="22"/>
  <c r="AV95" i="22"/>
  <c r="AV204" i="22"/>
  <c r="AV111" i="22"/>
  <c r="AV97" i="22"/>
  <c r="AV358" i="22"/>
  <c r="AO143" i="22"/>
  <c r="AV143" i="22"/>
  <c r="AV307" i="22"/>
  <c r="AV448" i="22"/>
  <c r="AV346" i="22"/>
  <c r="AV256" i="22"/>
  <c r="AV418" i="22"/>
  <c r="AV493" i="22"/>
  <c r="AV480" i="22"/>
  <c r="AE267" i="22"/>
  <c r="AE363" i="22"/>
  <c r="AE113" i="22"/>
  <c r="AV113" i="22" s="1"/>
  <c r="AE213" i="22"/>
  <c r="AE24" i="22"/>
  <c r="AE67" i="22"/>
  <c r="AE106" i="22"/>
  <c r="AE269" i="22"/>
  <c r="AE197" i="22"/>
  <c r="AE123" i="22"/>
  <c r="AE61" i="22"/>
  <c r="AE230" i="22"/>
  <c r="AE223" i="22"/>
  <c r="AE118" i="22"/>
  <c r="AE26" i="22"/>
  <c r="AE305" i="22"/>
  <c r="AV305" i="22" s="1"/>
  <c r="AE400" i="22"/>
  <c r="AV400" i="22" s="1"/>
  <c r="AE492" i="22"/>
  <c r="AE320" i="22"/>
  <c r="AV320" i="22" s="1"/>
  <c r="AE332" i="22"/>
  <c r="AE406" i="22"/>
  <c r="AE314" i="22"/>
  <c r="AE348" i="22"/>
  <c r="AE336" i="22"/>
  <c r="AE412" i="22"/>
  <c r="AE497" i="22"/>
  <c r="AT97" i="22"/>
  <c r="AT283" i="22"/>
  <c r="AT150" i="22"/>
  <c r="AT151" i="22"/>
  <c r="AT273" i="22"/>
  <c r="AT249" i="22"/>
  <c r="AT467" i="22"/>
  <c r="AT447" i="22"/>
  <c r="AT394" i="22"/>
  <c r="AT488" i="22"/>
  <c r="AT483" i="22"/>
  <c r="AC191" i="22"/>
  <c r="AC26" i="22"/>
  <c r="AC47" i="22"/>
  <c r="AG47" i="22" s="1"/>
  <c r="AC52" i="22"/>
  <c r="AC155" i="22"/>
  <c r="AC220" i="22"/>
  <c r="AC295" i="22"/>
  <c r="AC187" i="22"/>
  <c r="AT187" i="22" s="1"/>
  <c r="AC221" i="22"/>
  <c r="AC418" i="22"/>
  <c r="AC379" i="22"/>
  <c r="AC322" i="22"/>
  <c r="AC454" i="22"/>
  <c r="AC317" i="22"/>
  <c r="AC284" i="22"/>
  <c r="AT284" i="22" s="1"/>
  <c r="AC396" i="22"/>
  <c r="AC244" i="22"/>
  <c r="AC354" i="22"/>
  <c r="AC304" i="22"/>
  <c r="AC382" i="22"/>
  <c r="AC493" i="22"/>
  <c r="AC468" i="22"/>
  <c r="AC469" i="22"/>
  <c r="AA40" i="19"/>
  <c r="AB77" i="22"/>
  <c r="AB363" i="22"/>
  <c r="AB113" i="22"/>
  <c r="AB49" i="22"/>
  <c r="AB173" i="22"/>
  <c r="AB36" i="22"/>
  <c r="AB67" i="22"/>
  <c r="AB324" i="22"/>
  <c r="AS324" i="22" s="1"/>
  <c r="AB119" i="22"/>
  <c r="AB114" i="22"/>
  <c r="AT114" i="22" s="1"/>
  <c r="AB134" i="22"/>
  <c r="AB234" i="22"/>
  <c r="AT234" i="22" s="1"/>
  <c r="AB260" i="22"/>
  <c r="AB315" i="22"/>
  <c r="AB360" i="22"/>
  <c r="AB500" i="22"/>
  <c r="AB357" i="22"/>
  <c r="AB314" i="22"/>
  <c r="AB429" i="22"/>
  <c r="AB435" i="22"/>
  <c r="AB476" i="22"/>
  <c r="AT476" i="22" s="1"/>
  <c r="AB456" i="22"/>
  <c r="T225" i="22"/>
  <c r="AL16" i="16"/>
  <c r="AL19" i="16" s="1"/>
  <c r="D97" i="16"/>
  <c r="D44" i="16"/>
  <c r="D7" i="16" s="1"/>
  <c r="D65" i="16"/>
  <c r="T363" i="22"/>
  <c r="M102" i="12"/>
  <c r="M6" i="12"/>
  <c r="T297" i="22"/>
  <c r="S168" i="9"/>
  <c r="T168" i="9" s="1"/>
  <c r="AN168" i="9"/>
  <c r="AO168" i="9" s="1"/>
  <c r="P6" i="7"/>
  <c r="P11" i="7" s="1"/>
  <c r="W174" i="22"/>
  <c r="V174" i="22"/>
  <c r="Y304" i="9"/>
  <c r="AC304" i="9" s="1"/>
  <c r="AA304" i="9"/>
  <c r="Y338" i="9"/>
  <c r="AA338" i="9" s="1"/>
  <c r="C99" i="16"/>
  <c r="AM31" i="16"/>
  <c r="AM35" i="16" s="1"/>
  <c r="AB255" i="9"/>
  <c r="AB360" i="9"/>
  <c r="AB353" i="9"/>
  <c r="V149" i="22"/>
  <c r="W149" i="22"/>
  <c r="S166" i="9"/>
  <c r="T166" i="9" s="1"/>
  <c r="AN166" i="9"/>
  <c r="AO166" i="9" s="1"/>
  <c r="AB227" i="9"/>
  <c r="Y296" i="9"/>
  <c r="AC296" i="9" s="1"/>
  <c r="C64" i="16"/>
  <c r="AA143" i="9"/>
  <c r="AG143" i="9" s="1"/>
  <c r="AH143" i="9" s="1"/>
  <c r="Y143" i="9"/>
  <c r="AU73" i="12"/>
  <c r="AB289" i="9"/>
  <c r="Y422" i="9"/>
  <c r="AB171" i="9"/>
  <c r="AU55" i="12"/>
  <c r="L66" i="12"/>
  <c r="L8" i="12" s="1"/>
  <c r="L107" i="12" s="1"/>
  <c r="L215" i="12" s="1"/>
  <c r="P51" i="7"/>
  <c r="P60" i="7" s="1"/>
  <c r="P8" i="7" s="1"/>
  <c r="AA351" i="9"/>
  <c r="Y351" i="9"/>
  <c r="AA364" i="9"/>
  <c r="Y364" i="9"/>
  <c r="R34" i="8"/>
  <c r="S188" i="9"/>
  <c r="T188" i="9" s="1"/>
  <c r="AN188" i="9"/>
  <c r="Y466" i="9"/>
  <c r="AA430" i="9"/>
  <c r="Y142" i="9"/>
  <c r="AC142" i="9" s="1"/>
  <c r="AA142" i="9"/>
  <c r="AG142" i="9" s="1"/>
  <c r="AH142" i="9" s="1"/>
  <c r="BQ141" i="22"/>
  <c r="Y393" i="9"/>
  <c r="AC411" i="9"/>
  <c r="AA194" i="9"/>
  <c r="AG194" i="9" s="1"/>
  <c r="AH194" i="9" s="1"/>
  <c r="Y194" i="9"/>
  <c r="Y157" i="9"/>
  <c r="AC157" i="9" s="1"/>
  <c r="AB380" i="9"/>
  <c r="P22" i="8"/>
  <c r="P21" i="8"/>
  <c r="P6" i="8"/>
  <c r="P9" i="8" s="1"/>
  <c r="Y432" i="9"/>
  <c r="AC432" i="9" s="1"/>
  <c r="AA432" i="9"/>
  <c r="Y242" i="9"/>
  <c r="AA242" i="9" s="1"/>
  <c r="AB493" i="9"/>
  <c r="AB234" i="9"/>
  <c r="S174" i="9"/>
  <c r="T174" i="9" s="1"/>
  <c r="AN174" i="9"/>
  <c r="AO174" i="9" s="1"/>
  <c r="R30" i="8"/>
  <c r="AB324" i="9"/>
  <c r="AB138" i="9"/>
  <c r="Y361" i="9"/>
  <c r="R70" i="8"/>
  <c r="S8" i="8"/>
  <c r="Y294" i="9"/>
  <c r="Y280" i="9"/>
  <c r="Y174" i="9"/>
  <c r="AC212" i="9"/>
  <c r="AV71" i="12"/>
  <c r="W153" i="22"/>
  <c r="V153" i="22"/>
  <c r="B28" i="16"/>
  <c r="B5" i="16" s="1"/>
  <c r="B6" i="16" s="1"/>
  <c r="AK15" i="16"/>
  <c r="B115" i="16"/>
  <c r="AM32" i="16"/>
  <c r="AD31" i="19" s="1"/>
  <c r="C101" i="16"/>
  <c r="BP155" i="22" s="1"/>
  <c r="BQ155" i="22" s="1"/>
  <c r="P186" i="12"/>
  <c r="S146" i="9"/>
  <c r="T146" i="9" s="1"/>
  <c r="AN146" i="9"/>
  <c r="AO146" i="9" s="1"/>
  <c r="AA480" i="9"/>
  <c r="Y480" i="9"/>
  <c r="AC480" i="9" s="1"/>
  <c r="M74" i="32"/>
  <c r="Y394" i="9"/>
  <c r="AC394" i="9" s="1"/>
  <c r="AJ146" i="9"/>
  <c r="Y428" i="9"/>
  <c r="AC428" i="9" s="1"/>
  <c r="AA267" i="9"/>
  <c r="Y267" i="9"/>
  <c r="AC267" i="9" s="1"/>
  <c r="AB147" i="9"/>
  <c r="N224" i="12"/>
  <c r="N324" i="12" s="1"/>
  <c r="N221" i="12"/>
  <c r="N223" i="12"/>
  <c r="N222" i="12"/>
  <c r="AB359" i="9"/>
  <c r="AN183" i="9"/>
  <c r="S183" i="9"/>
  <c r="T183" i="9" s="1"/>
  <c r="Y375" i="9"/>
  <c r="AA350" i="9"/>
  <c r="Y350" i="9"/>
  <c r="AB129" i="9"/>
  <c r="Y435" i="9"/>
  <c r="Y311" i="9"/>
  <c r="AA203" i="9"/>
  <c r="Y203" i="9"/>
  <c r="Y226" i="9"/>
  <c r="AC226" i="9" s="1"/>
  <c r="R28" i="8"/>
  <c r="AB300" i="9"/>
  <c r="AC300" i="9"/>
  <c r="Y429" i="9"/>
  <c r="AC429" i="9" s="1"/>
  <c r="Z240" i="12"/>
  <c r="Z241" i="12" s="1"/>
  <c r="Q186" i="12"/>
  <c r="S144" i="9"/>
  <c r="T144" i="9" s="1"/>
  <c r="AN144" i="9"/>
  <c r="AO144" i="9" s="1"/>
  <c r="S199" i="9"/>
  <c r="T199" i="9" s="1"/>
  <c r="AN199" i="9"/>
  <c r="AA453" i="9"/>
  <c r="Y453" i="9"/>
  <c r="AB507" i="9"/>
  <c r="AV26" i="12"/>
  <c r="Y417" i="9"/>
  <c r="AA250" i="9"/>
  <c r="Y250" i="9"/>
  <c r="AC250" i="9" s="1"/>
  <c r="AQ48" i="12"/>
  <c r="AQ49" i="12"/>
  <c r="S141" i="9"/>
  <c r="T141" i="9" s="1"/>
  <c r="AN141" i="9"/>
  <c r="AO141" i="9" s="1"/>
  <c r="Y188" i="9"/>
  <c r="AB348" i="9"/>
  <c r="W138" i="22"/>
  <c r="V138" i="22"/>
  <c r="Y335" i="9"/>
  <c r="Q3" i="8"/>
  <c r="Q6" i="8" s="1"/>
  <c r="Q9" i="8" s="1"/>
  <c r="Y356" i="9"/>
  <c r="AB131" i="9"/>
  <c r="AB333" i="9"/>
  <c r="AA299" i="9"/>
  <c r="Y299" i="9"/>
  <c r="AC299" i="9" s="1"/>
  <c r="Y223" i="9"/>
  <c r="AC223" i="9" s="1"/>
  <c r="R33" i="8"/>
  <c r="AA300" i="9"/>
  <c r="AB483" i="9"/>
  <c r="Y314" i="9"/>
  <c r="AC314" i="9" s="1"/>
  <c r="N108" i="12"/>
  <c r="N213" i="12"/>
  <c r="Y504" i="9"/>
  <c r="S142" i="9"/>
  <c r="T142" i="9" s="1"/>
  <c r="AN142" i="9"/>
  <c r="AO142" i="9" s="1"/>
  <c r="M6" i="8"/>
  <c r="M9" i="8" s="1"/>
  <c r="M21" i="8"/>
  <c r="M22" i="8"/>
  <c r="M23" i="8" s="1"/>
  <c r="AB433" i="9"/>
  <c r="AC507" i="9"/>
  <c r="Y500" i="9"/>
  <c r="AC500" i="9" s="1"/>
  <c r="M35" i="12"/>
  <c r="M4" i="12"/>
  <c r="AT73" i="12"/>
  <c r="K206" i="12"/>
  <c r="Y362" i="9"/>
  <c r="AC362" i="9" s="1"/>
  <c r="AA450" i="9"/>
  <c r="Y450" i="9"/>
  <c r="AB173" i="9"/>
  <c r="AB306" i="9"/>
  <c r="L17" i="27"/>
  <c r="AA175" i="9"/>
  <c r="AG175" i="9" s="1"/>
  <c r="AH175" i="9" s="1"/>
  <c r="Y175" i="9"/>
  <c r="AA184" i="9"/>
  <c r="AG184" i="9" s="1"/>
  <c r="AH184" i="9" s="1"/>
  <c r="Y184" i="9"/>
  <c r="Y129" i="9"/>
  <c r="AC129" i="9" s="1"/>
  <c r="AB326" i="9"/>
  <c r="AB316" i="9"/>
  <c r="Y261" i="9"/>
  <c r="AA261" i="9" s="1"/>
  <c r="AK187" i="9"/>
  <c r="AJ187" i="9"/>
  <c r="R31" i="8"/>
  <c r="AA176" i="9"/>
  <c r="AG176" i="9" s="1"/>
  <c r="AH176" i="9" s="1"/>
  <c r="Y176" i="9"/>
  <c r="AC447" i="9"/>
  <c r="AA447" i="9"/>
  <c r="AS71" i="12"/>
  <c r="AS76" i="12" s="1"/>
  <c r="AN171" i="9"/>
  <c r="AO171" i="9" s="1"/>
  <c r="S171" i="9"/>
  <c r="T171" i="9" s="1"/>
  <c r="AC307" i="9"/>
  <c r="AA307" i="9"/>
  <c r="AB448" i="22"/>
  <c r="AT448" i="22" s="1"/>
  <c r="AB414" i="22"/>
  <c r="AB389" i="22"/>
  <c r="AB499" i="22"/>
  <c r="BQ178" i="22"/>
  <c r="F73" i="16"/>
  <c r="AO18" i="16"/>
  <c r="BQ197" i="22"/>
  <c r="BQ152" i="22"/>
  <c r="E75" i="19"/>
  <c r="AB441" i="9"/>
  <c r="AL101" i="16"/>
  <c r="AK101" i="16"/>
  <c r="BP143" i="22"/>
  <c r="BQ143" i="22" s="1"/>
  <c r="AJ101" i="16"/>
  <c r="N22" i="8"/>
  <c r="N23" i="8" s="1"/>
  <c r="AB480" i="9"/>
  <c r="AA414" i="9"/>
  <c r="K35" i="12"/>
  <c r="K4" i="12"/>
  <c r="K6" i="12" s="1"/>
  <c r="Y301" i="9"/>
  <c r="AA318" i="9"/>
  <c r="Y318" i="9"/>
  <c r="Y386" i="9"/>
  <c r="AB386" i="9"/>
  <c r="AA333" i="9"/>
  <c r="Y333" i="9"/>
  <c r="AC333" i="9" s="1"/>
  <c r="S195" i="9"/>
  <c r="T195" i="9" s="1"/>
  <c r="AN195" i="9"/>
  <c r="AB284" i="9"/>
  <c r="Y291" i="9"/>
  <c r="AC291" i="9" s="1"/>
  <c r="Y473" i="9"/>
  <c r="AA473" i="9" s="1"/>
  <c r="AA160" i="9"/>
  <c r="AG160" i="9" s="1"/>
  <c r="AH160" i="9" s="1"/>
  <c r="Y160" i="9"/>
  <c r="AB179" i="9"/>
  <c r="AB216" i="9"/>
  <c r="AA263" i="9"/>
  <c r="Y263" i="9"/>
  <c r="Y306" i="9"/>
  <c r="R36" i="8"/>
  <c r="AB333" i="22"/>
  <c r="AB446" i="22"/>
  <c r="AB469" i="22"/>
  <c r="AB320" i="22"/>
  <c r="AB358" i="22"/>
  <c r="AB494" i="22"/>
  <c r="AB432" i="22"/>
  <c r="BQ172" i="22"/>
  <c r="H32" i="13"/>
  <c r="H31" i="13"/>
  <c r="H30" i="13"/>
  <c r="H35" i="13"/>
  <c r="H38" i="13"/>
  <c r="H41" i="13"/>
  <c r="H33" i="13"/>
  <c r="H37" i="13"/>
  <c r="H36" i="13"/>
  <c r="H40" i="13"/>
  <c r="H39" i="13"/>
  <c r="H34" i="13"/>
  <c r="W173" i="22"/>
  <c r="V173" i="22"/>
  <c r="V156" i="22"/>
  <c r="W156" i="22"/>
  <c r="BI156" i="22"/>
  <c r="S82" i="12"/>
  <c r="Y434" i="9"/>
  <c r="AC434" i="9" s="1"/>
  <c r="AA434" i="9"/>
  <c r="W143" i="22"/>
  <c r="V143" i="22"/>
  <c r="AB279" i="9"/>
  <c r="AB405" i="9"/>
  <c r="AT26" i="12"/>
  <c r="Y343" i="9"/>
  <c r="M107" i="12"/>
  <c r="M215" i="12" s="1"/>
  <c r="N8" i="12"/>
  <c r="Y159" i="9"/>
  <c r="AA159" i="9" s="1"/>
  <c r="AG159" i="9" s="1"/>
  <c r="AH159" i="9" s="1"/>
  <c r="Y270" i="9"/>
  <c r="AB384" i="9"/>
  <c r="AA134" i="9"/>
  <c r="Y134" i="9"/>
  <c r="AA316" i="9"/>
  <c r="Y316" i="9"/>
  <c r="AC316" i="9" s="1"/>
  <c r="BQ161" i="22"/>
  <c r="AA279" i="9"/>
  <c r="Y279" i="9"/>
  <c r="AC279" i="9" s="1"/>
  <c r="Y221" i="9"/>
  <c r="AC221" i="9" s="1"/>
  <c r="S164" i="9"/>
  <c r="T164" i="9" s="1"/>
  <c r="AN164" i="9"/>
  <c r="AO164" i="9" s="1"/>
  <c r="AB319" i="9"/>
  <c r="Y204" i="9"/>
  <c r="AC204" i="9" s="1"/>
  <c r="AB368" i="9"/>
  <c r="Y324" i="9"/>
  <c r="AC324" i="9" s="1"/>
  <c r="Y214" i="9"/>
  <c r="AA214" i="9" s="1"/>
  <c r="AB447" i="9"/>
  <c r="Y246" i="9"/>
  <c r="AC246" i="9" s="1"/>
  <c r="AR90" i="12"/>
  <c r="Y181" i="9"/>
  <c r="AC181" i="9" s="1"/>
  <c r="AB285" i="9"/>
  <c r="AB212" i="9"/>
  <c r="S152" i="9"/>
  <c r="T152" i="9" s="1"/>
  <c r="AN152" i="9"/>
  <c r="AO152" i="9" s="1"/>
  <c r="Y489" i="9"/>
  <c r="AA489" i="9" s="1"/>
  <c r="AA369" i="9"/>
  <c r="S140" i="9"/>
  <c r="T140" i="9" s="1"/>
  <c r="AN140" i="9"/>
  <c r="AO140" i="9" s="1"/>
  <c r="S162" i="9"/>
  <c r="T162" i="9" s="1"/>
  <c r="AN162" i="9"/>
  <c r="AO162" i="9" s="1"/>
  <c r="S150" i="9"/>
  <c r="T150" i="9" s="1"/>
  <c r="AN150" i="9"/>
  <c r="AO150" i="9" s="1"/>
  <c r="H105" i="12"/>
  <c r="H216" i="12"/>
  <c r="Y220" i="9"/>
  <c r="Y501" i="9"/>
  <c r="AB501" i="9" s="1"/>
  <c r="Y243" i="9"/>
  <c r="AC243" i="9" s="1"/>
  <c r="P108" i="7"/>
  <c r="Y147" i="9"/>
  <c r="AN179" i="9"/>
  <c r="AO179" i="9" s="1"/>
  <c r="S179" i="9"/>
  <c r="T179" i="9" s="1"/>
  <c r="Y285" i="9"/>
  <c r="AC285" i="9" s="1"/>
  <c r="AA285" i="9"/>
  <c r="AB467" i="22"/>
  <c r="AB461" i="22"/>
  <c r="AB285" i="22"/>
  <c r="AB329" i="22"/>
  <c r="AB211" i="22"/>
  <c r="AB388" i="22"/>
  <c r="AB383" i="22"/>
  <c r="AB420" i="22"/>
  <c r="AT420" i="22" s="1"/>
  <c r="AB400" i="22"/>
  <c r="AT400" i="22" s="1"/>
  <c r="AB487" i="22"/>
  <c r="AB505" i="22"/>
  <c r="AP39" i="16"/>
  <c r="AP38" i="16"/>
  <c r="AP40" i="16"/>
  <c r="AP37" i="16"/>
  <c r="E5" i="18"/>
  <c r="E6" i="18" s="1"/>
  <c r="E28" i="16"/>
  <c r="BP186" i="22"/>
  <c r="BQ186" i="22" s="1"/>
  <c r="F108" i="16"/>
  <c r="BP140" i="22"/>
  <c r="BQ140" i="22" s="1"/>
  <c r="AJ98" i="16"/>
  <c r="AL98" i="16"/>
  <c r="AK98" i="16"/>
  <c r="L73" i="12"/>
  <c r="W147" i="22"/>
  <c r="V147" i="22"/>
  <c r="AR45" i="12"/>
  <c r="AR47" i="12"/>
  <c r="AR44" i="12"/>
  <c r="AR46" i="12"/>
  <c r="N29" i="12"/>
  <c r="N31" i="12"/>
  <c r="N35" i="12"/>
  <c r="N27" i="12"/>
  <c r="N32" i="12"/>
  <c r="N24" i="12"/>
  <c r="N30" i="12"/>
  <c r="N28" i="12"/>
  <c r="N26" i="12"/>
  <c r="N25" i="12"/>
  <c r="V164" i="22"/>
  <c r="W164" i="22"/>
  <c r="W172" i="22"/>
  <c r="V172" i="22"/>
  <c r="I109" i="12"/>
  <c r="J3" i="12"/>
  <c r="AG9" i="28"/>
  <c r="M104" i="12"/>
  <c r="M212" i="12" s="1"/>
  <c r="AB429" i="9"/>
  <c r="Y468" i="9"/>
  <c r="AA468" i="9" s="1"/>
  <c r="AB485" i="9"/>
  <c r="BQ195" i="22"/>
  <c r="W154" i="22"/>
  <c r="V154" i="22"/>
  <c r="BI154" i="22"/>
  <c r="AA323" i="9"/>
  <c r="Y323" i="9"/>
  <c r="Y255" i="9"/>
  <c r="AC255" i="9" s="1"/>
  <c r="AV72" i="12"/>
  <c r="N17" i="27"/>
  <c r="Y231" i="9"/>
  <c r="AA231" i="9" s="1"/>
  <c r="AB478" i="9"/>
  <c r="Y477" i="9"/>
  <c r="AB345" i="9"/>
  <c r="AB145" i="9"/>
  <c r="N6" i="8"/>
  <c r="N9" i="8" s="1"/>
  <c r="V161" i="22"/>
  <c r="V185" i="22" s="1"/>
  <c r="W161" i="22"/>
  <c r="Y248" i="9"/>
  <c r="AC248" i="9" s="1"/>
  <c r="AB208" i="9"/>
  <c r="AB412" i="9"/>
  <c r="Y193" i="9"/>
  <c r="AB162" i="9"/>
  <c r="BQ174" i="22"/>
  <c r="AA156" i="9"/>
  <c r="AG156" i="9" s="1"/>
  <c r="AH156" i="9" s="1"/>
  <c r="Y391" i="9"/>
  <c r="Y401" i="9"/>
  <c r="AA239" i="9"/>
  <c r="J50" i="12"/>
  <c r="N38" i="12" s="1"/>
  <c r="AS38" i="12"/>
  <c r="AS42" i="12" s="1"/>
  <c r="J70" i="12"/>
  <c r="Y446" i="9"/>
  <c r="AC446" i="9" s="1"/>
  <c r="AA446" i="9"/>
  <c r="AR72" i="12"/>
  <c r="AS79" i="12" s="1"/>
  <c r="Y478" i="9"/>
  <c r="AC478" i="9" s="1"/>
  <c r="Y377" i="9"/>
  <c r="AC377" i="9" s="1"/>
  <c r="AV73" i="12"/>
  <c r="AB299" i="9"/>
  <c r="AA253" i="9"/>
  <c r="Y253" i="9"/>
  <c r="AC253" i="9" s="1"/>
  <c r="AB223" i="9"/>
  <c r="AS26" i="12"/>
  <c r="I5" i="12"/>
  <c r="AB309" i="9"/>
  <c r="AB235" i="9"/>
  <c r="Y479" i="9"/>
  <c r="Y260" i="9"/>
  <c r="AC260" i="9" s="1"/>
  <c r="AA260" i="9"/>
  <c r="AB168" i="9"/>
  <c r="G108" i="12"/>
  <c r="G214" i="12"/>
  <c r="G106" i="12" s="1"/>
  <c r="G114" i="12" s="1"/>
  <c r="S184" i="9"/>
  <c r="T184" i="9" s="1"/>
  <c r="AN184" i="9"/>
  <c r="Y463" i="9"/>
  <c r="AC463" i="9" s="1"/>
  <c r="AA190" i="9"/>
  <c r="AG190" i="9" s="1"/>
  <c r="AH190" i="9" s="1"/>
  <c r="Y190" i="9"/>
  <c r="AC190" i="9" s="1"/>
  <c r="Y235" i="9"/>
  <c r="AB265" i="9"/>
  <c r="AB237" i="9"/>
  <c r="AN155" i="9"/>
  <c r="AO155" i="9" s="1"/>
  <c r="S155" i="9"/>
  <c r="T155" i="9" s="1"/>
  <c r="AK196" i="9"/>
  <c r="AJ196" i="9"/>
  <c r="AB283" i="9"/>
  <c r="Y283" i="9"/>
  <c r="G25" i="13"/>
  <c r="G14" i="13"/>
  <c r="G62" i="13" s="1"/>
  <c r="G17" i="13"/>
  <c r="G65" i="13" s="1"/>
  <c r="G24" i="13"/>
  <c r="G16" i="13"/>
  <c r="G64" i="13" s="1"/>
  <c r="G23" i="13"/>
  <c r="G15" i="13"/>
  <c r="G63" i="13" s="1"/>
  <c r="G22" i="13"/>
  <c r="G19" i="13"/>
  <c r="G67" i="13" s="1"/>
  <c r="G20" i="13"/>
  <c r="G68" i="13" s="1"/>
  <c r="G21" i="13"/>
  <c r="G18" i="13"/>
  <c r="G66" i="13" s="1"/>
  <c r="W141" i="22"/>
  <c r="V141" i="22"/>
  <c r="BQ199" i="22"/>
  <c r="BQ194" i="22"/>
  <c r="AA397" i="9"/>
  <c r="Y397" i="9"/>
  <c r="Y456" i="9"/>
  <c r="AC456" i="9" s="1"/>
  <c r="AR28" i="12"/>
  <c r="AR29" i="12"/>
  <c r="Y292" i="9"/>
  <c r="AC292" i="9" s="1"/>
  <c r="AA292" i="9"/>
  <c r="AB286" i="9"/>
  <c r="J35" i="12"/>
  <c r="J4" i="12"/>
  <c r="N46" i="12"/>
  <c r="P86" i="8"/>
  <c r="AR42" i="12"/>
  <c r="Y321" i="9"/>
  <c r="AA321" i="9" s="1"/>
  <c r="AA206" i="9"/>
  <c r="Y206" i="9"/>
  <c r="AB454" i="9"/>
  <c r="O86" i="8"/>
  <c r="AC344" i="9"/>
  <c r="Y382" i="9"/>
  <c r="T189" i="9"/>
  <c r="Y355" i="9"/>
  <c r="S190" i="9"/>
  <c r="T190" i="9" s="1"/>
  <c r="AN190" i="9"/>
  <c r="Y413" i="9"/>
  <c r="AB413" i="9" s="1"/>
  <c r="S178" i="9"/>
  <c r="T178" i="9" s="1"/>
  <c r="AN178" i="9"/>
  <c r="AO178" i="9" s="1"/>
  <c r="AB378" i="9"/>
  <c r="AB259" i="9"/>
  <c r="Y166" i="9"/>
  <c r="AA166" i="9"/>
  <c r="AG166" i="9" s="1"/>
  <c r="AH166" i="9" s="1"/>
  <c r="Y281" i="9"/>
  <c r="AB229" i="9"/>
  <c r="Y150" i="9"/>
  <c r="AC150" i="9" s="1"/>
  <c r="AB155" i="22"/>
  <c r="AB317" i="22"/>
  <c r="AB288" i="22"/>
  <c r="AS288" i="22" s="1"/>
  <c r="AB401" i="22"/>
  <c r="AB371" i="22"/>
  <c r="AT371" i="22" s="1"/>
  <c r="AB302" i="22"/>
  <c r="AB340" i="22"/>
  <c r="AB222" i="22"/>
  <c r="AB404" i="22"/>
  <c r="AB434" i="22"/>
  <c r="AB372" i="22"/>
  <c r="AB464" i="22"/>
  <c r="AB450" i="22"/>
  <c r="AB504" i="22"/>
  <c r="AB486" i="22"/>
  <c r="AB491" i="22"/>
  <c r="BQ182" i="22"/>
  <c r="BP150" i="22"/>
  <c r="BQ150" i="22" s="1"/>
  <c r="C108" i="16"/>
  <c r="AM37" i="16"/>
  <c r="AD36" i="19" s="1"/>
  <c r="AM39" i="16"/>
  <c r="AD38" i="19" s="1"/>
  <c r="AD32" i="19"/>
  <c r="AM38" i="16"/>
  <c r="AD37" i="19" s="1"/>
  <c r="AM40" i="16"/>
  <c r="AD39" i="19" s="1"/>
  <c r="BQ173" i="22"/>
  <c r="BP149" i="22"/>
  <c r="BQ149" i="22" s="1"/>
  <c r="AL107" i="16"/>
  <c r="AK107" i="16"/>
  <c r="AJ107" i="16"/>
  <c r="BP139" i="22"/>
  <c r="AA34" i="19"/>
  <c r="BQ183" i="22"/>
  <c r="W189" i="22"/>
  <c r="BI189" i="22"/>
  <c r="BQ189" i="22" s="1"/>
  <c r="M206" i="12"/>
  <c r="I4" i="13"/>
  <c r="H26" i="13"/>
  <c r="L206" i="12"/>
  <c r="N194" i="12"/>
  <c r="AA387" i="9"/>
  <c r="Y387" i="9"/>
  <c r="Y419" i="9"/>
  <c r="AC419" i="9" s="1"/>
  <c r="I82" i="12"/>
  <c r="AR70" i="12"/>
  <c r="AI6" i="8"/>
  <c r="AI9" i="8" s="1"/>
  <c r="AA497" i="9"/>
  <c r="Y497" i="9"/>
  <c r="AC497" i="9" s="1"/>
  <c r="AB226" i="9"/>
  <c r="N6" i="7"/>
  <c r="N11" i="7" s="1"/>
  <c r="AA284" i="9"/>
  <c r="Y284" i="9"/>
  <c r="AC284" i="9" s="1"/>
  <c r="BI150" i="22"/>
  <c r="W150" i="22"/>
  <c r="V150" i="22"/>
  <c r="Y370" i="9"/>
  <c r="AA370" i="9" s="1"/>
  <c r="Y439" i="9"/>
  <c r="AA439" i="9" s="1"/>
  <c r="AB257" i="9"/>
  <c r="Y509" i="9"/>
  <c r="AC509" i="9" s="1"/>
  <c r="Y319" i="9"/>
  <c r="AC319" i="9" s="1"/>
  <c r="AB292" i="9"/>
  <c r="AA331" i="9"/>
  <c r="Y331" i="9"/>
  <c r="AC331" i="9" s="1"/>
  <c r="AC11" i="8"/>
  <c r="Y345" i="9"/>
  <c r="AB357" i="9"/>
  <c r="Y476" i="9"/>
  <c r="AA229" i="9"/>
  <c r="AC229" i="9"/>
  <c r="P180" i="12"/>
  <c r="O180" i="12"/>
  <c r="O108" i="7"/>
  <c r="Y503" i="9"/>
  <c r="AC503" i="9" s="1"/>
  <c r="AB344" i="9"/>
  <c r="AJ227" i="23" l="1"/>
  <c r="AH227" i="23"/>
  <c r="AK197" i="9"/>
  <c r="AJ197" i="9"/>
  <c r="AJ86" i="23"/>
  <c r="AH86" i="23"/>
  <c r="AL86" i="23"/>
  <c r="AJ246" i="23"/>
  <c r="AI246" i="23"/>
  <c r="AH246" i="23"/>
  <c r="AM246" i="23" s="1"/>
  <c r="H54" i="16"/>
  <c r="AK159" i="9"/>
  <c r="AJ159" i="9"/>
  <c r="AX28" i="22"/>
  <c r="AP28" i="22"/>
  <c r="AM471" i="22"/>
  <c r="AK471" i="22"/>
  <c r="AO471" i="22"/>
  <c r="AO291" i="22"/>
  <c r="AM291" i="22"/>
  <c r="AK291" i="22"/>
  <c r="AK192" i="9"/>
  <c r="AJ192" i="9"/>
  <c r="O38" i="12"/>
  <c r="P38" i="12"/>
  <c r="Q38" i="12" s="1"/>
  <c r="AX12" i="22"/>
  <c r="AP12" i="22"/>
  <c r="AJ193" i="23"/>
  <c r="AH193" i="23"/>
  <c r="AL193" i="23"/>
  <c r="AM128" i="23"/>
  <c r="AM194" i="23"/>
  <c r="AM395" i="22"/>
  <c r="AL395" i="22"/>
  <c r="AK395" i="22"/>
  <c r="AO395" i="22"/>
  <c r="O18" i="8"/>
  <c r="O19" i="8" s="1"/>
  <c r="O7" i="8"/>
  <c r="O11" i="8"/>
  <c r="AJ244" i="23"/>
  <c r="AH244" i="23"/>
  <c r="AI244" i="23"/>
  <c r="AR36" i="22"/>
  <c r="AG36" i="22"/>
  <c r="AK36" i="22" s="1"/>
  <c r="AT36" i="22"/>
  <c r="AQ323" i="23"/>
  <c r="AO323" i="23"/>
  <c r="AD323" i="23"/>
  <c r="AI323" i="23" s="1"/>
  <c r="AK186" i="9"/>
  <c r="AJ186" i="9"/>
  <c r="AB404" i="9"/>
  <c r="AC404" i="9"/>
  <c r="AS456" i="22"/>
  <c r="AO117" i="23"/>
  <c r="AQ117" i="23"/>
  <c r="AH117" i="23"/>
  <c r="AD117" i="23"/>
  <c r="AJ117" i="23" s="1"/>
  <c r="T23" i="32"/>
  <c r="R244" i="9"/>
  <c r="N18" i="8"/>
  <c r="N19" i="8" s="1"/>
  <c r="N7" i="8"/>
  <c r="N11" i="8"/>
  <c r="AB209" i="9"/>
  <c r="AC209" i="9"/>
  <c r="AJ219" i="23"/>
  <c r="AI219" i="23"/>
  <c r="AG458" i="22"/>
  <c r="AR458" i="22"/>
  <c r="AT458" i="22"/>
  <c r="AG465" i="22"/>
  <c r="AK465" i="22"/>
  <c r="AR465" i="22"/>
  <c r="AT465" i="22"/>
  <c r="AU482" i="22"/>
  <c r="AV482" i="22"/>
  <c r="AS220" i="22"/>
  <c r="AS85" i="23"/>
  <c r="AL85" i="23"/>
  <c r="AR85" i="23"/>
  <c r="AR142" i="23"/>
  <c r="AD292" i="23"/>
  <c r="AJ292" i="23" s="1"/>
  <c r="AO292" i="23"/>
  <c r="AQ292" i="23"/>
  <c r="AR49" i="12"/>
  <c r="AR48" i="12"/>
  <c r="AA291" i="9"/>
  <c r="L82" i="12"/>
  <c r="AU70" i="12"/>
  <c r="AR172" i="23"/>
  <c r="AQ352" i="23"/>
  <c r="AO352" i="23"/>
  <c r="AH352" i="23"/>
  <c r="AD352" i="23"/>
  <c r="AJ352" i="23" s="1"/>
  <c r="AG484" i="22"/>
  <c r="AU244" i="22"/>
  <c r="AN244" i="22"/>
  <c r="AP280" i="23"/>
  <c r="AI280" i="23"/>
  <c r="AQ280" i="23"/>
  <c r="AO280" i="23"/>
  <c r="AD280" i="23"/>
  <c r="AK199" i="9"/>
  <c r="AJ199" i="9"/>
  <c r="AL165" i="23"/>
  <c r="P194" i="12"/>
  <c r="O194" i="12"/>
  <c r="AJ224" i="23"/>
  <c r="AL224" i="23"/>
  <c r="AK224" i="23"/>
  <c r="AD45" i="23"/>
  <c r="AJ45" i="23" s="1"/>
  <c r="AW45" i="23" s="1"/>
  <c r="AH45" i="23"/>
  <c r="AU45" i="23" s="1"/>
  <c r="AT456" i="22"/>
  <c r="AT24" i="22"/>
  <c r="AR24" i="22"/>
  <c r="AG24" i="22"/>
  <c r="R100" i="7"/>
  <c r="AG272" i="22"/>
  <c r="AR272" i="22"/>
  <c r="AT272" i="22"/>
  <c r="AK256" i="22"/>
  <c r="AG256" i="22"/>
  <c r="AR256" i="22"/>
  <c r="AT256" i="22"/>
  <c r="AU102" i="22"/>
  <c r="AV102" i="22"/>
  <c r="AA274" i="9"/>
  <c r="J4" i="13"/>
  <c r="I26" i="13"/>
  <c r="AR113" i="23"/>
  <c r="AP302" i="23"/>
  <c r="AI302" i="23"/>
  <c r="AC262" i="9"/>
  <c r="AB262" i="9"/>
  <c r="AT18" i="22"/>
  <c r="AR18" i="22"/>
  <c r="AG18" i="22"/>
  <c r="AH3" i="28"/>
  <c r="AB395" i="9"/>
  <c r="AP52" i="23"/>
  <c r="AD52" i="23"/>
  <c r="AQ52" i="23"/>
  <c r="AO52" i="23"/>
  <c r="AS350" i="22"/>
  <c r="AU109" i="22"/>
  <c r="AG109" i="22"/>
  <c r="AV109" i="22"/>
  <c r="AK140" i="9"/>
  <c r="AJ140" i="9"/>
  <c r="AI46" i="23"/>
  <c r="AV46" i="23" s="1"/>
  <c r="AP46" i="23"/>
  <c r="AO46" i="23"/>
  <c r="AD46" i="23"/>
  <c r="AQ46" i="23"/>
  <c r="AU356" i="22"/>
  <c r="AN356" i="22"/>
  <c r="AV356" i="22"/>
  <c r="AR216" i="23"/>
  <c r="AS216" i="23"/>
  <c r="AS13" i="22"/>
  <c r="AU140" i="22"/>
  <c r="BA140" i="22" s="1"/>
  <c r="AV140" i="22"/>
  <c r="AR98" i="23"/>
  <c r="AS98" i="23"/>
  <c r="AQ124" i="23"/>
  <c r="AQ307" i="23"/>
  <c r="AD307" i="23"/>
  <c r="AO307" i="23"/>
  <c r="AT246" i="22"/>
  <c r="AS38" i="22"/>
  <c r="AT38" i="22"/>
  <c r="AU206" i="22"/>
  <c r="AN206" i="22"/>
  <c r="P13" i="8"/>
  <c r="AG126" i="22"/>
  <c r="AR126" i="22"/>
  <c r="AT126" i="22"/>
  <c r="AU229" i="22"/>
  <c r="AV229" i="22"/>
  <c r="AO375" i="23"/>
  <c r="AD375" i="23"/>
  <c r="AJ375" i="23" s="1"/>
  <c r="AQ375" i="23"/>
  <c r="AN104" i="22"/>
  <c r="AU104" i="22"/>
  <c r="AR374" i="23"/>
  <c r="AK374" i="23"/>
  <c r="AR200" i="22"/>
  <c r="AG200" i="22"/>
  <c r="AL344" i="22"/>
  <c r="AS344" i="22"/>
  <c r="AQ339" i="23"/>
  <c r="AO339" i="23"/>
  <c r="AD339" i="23"/>
  <c r="AP125" i="23"/>
  <c r="AQ125" i="23"/>
  <c r="AD125" i="23"/>
  <c r="C113" i="16"/>
  <c r="AS473" i="22"/>
  <c r="AT473" i="22"/>
  <c r="AG473" i="22"/>
  <c r="AL473" i="22" s="1"/>
  <c r="AR170" i="22"/>
  <c r="AX170" i="22" s="1"/>
  <c r="AG170" i="22"/>
  <c r="AN170" i="22" s="1"/>
  <c r="AK170" i="22"/>
  <c r="AS203" i="22"/>
  <c r="AT203" i="22"/>
  <c r="AU276" i="22"/>
  <c r="AV276" i="22"/>
  <c r="AR337" i="23"/>
  <c r="AS337" i="23"/>
  <c r="P66" i="23"/>
  <c r="AG214" i="22"/>
  <c r="AK214" i="22" s="1"/>
  <c r="AR214" i="22"/>
  <c r="AT214" i="22"/>
  <c r="AL255" i="22"/>
  <c r="AS255" i="22"/>
  <c r="AT255" i="22"/>
  <c r="AR255" i="22"/>
  <c r="AG255" i="22"/>
  <c r="AR119" i="23"/>
  <c r="AK119" i="23"/>
  <c r="AS368" i="22"/>
  <c r="AT368" i="22"/>
  <c r="AU211" i="22"/>
  <c r="AK373" i="22"/>
  <c r="AR373" i="22"/>
  <c r="AG373" i="22"/>
  <c r="AS497" i="22"/>
  <c r="AT497" i="22"/>
  <c r="AS144" i="23"/>
  <c r="AM26" i="16"/>
  <c r="AM25" i="16"/>
  <c r="AS425" i="22"/>
  <c r="AL425" i="22"/>
  <c r="AT425" i="22"/>
  <c r="AP89" i="23"/>
  <c r="AO370" i="22"/>
  <c r="AM370" i="22"/>
  <c r="AH226" i="23"/>
  <c r="BC45" i="23"/>
  <c r="AV49" i="22"/>
  <c r="AU49" i="22"/>
  <c r="AP165" i="23"/>
  <c r="AI165" i="23"/>
  <c r="AP328" i="22"/>
  <c r="V128" i="8"/>
  <c r="U128" i="8"/>
  <c r="AR107" i="23"/>
  <c r="AR38" i="22"/>
  <c r="AS432" i="22"/>
  <c r="AL432" i="22"/>
  <c r="AC272" i="9"/>
  <c r="AA272" i="9"/>
  <c r="AC426" i="9"/>
  <c r="AA426" i="9"/>
  <c r="AS248" i="23"/>
  <c r="AL248" i="23"/>
  <c r="AJ208" i="23"/>
  <c r="AI208" i="23"/>
  <c r="AK208" i="23"/>
  <c r="AQ88" i="23"/>
  <c r="AO88" i="23"/>
  <c r="AD88" i="23"/>
  <c r="AP88" i="23"/>
  <c r="P63" i="23"/>
  <c r="AN397" i="22"/>
  <c r="AU397" i="22"/>
  <c r="AH208" i="23"/>
  <c r="AS299" i="23"/>
  <c r="AL299" i="23"/>
  <c r="AR299" i="23"/>
  <c r="AJ126" i="23"/>
  <c r="AH126" i="23"/>
  <c r="AK126" i="23"/>
  <c r="AR152" i="23"/>
  <c r="AK152" i="23"/>
  <c r="AS152" i="23"/>
  <c r="CB166" i="22"/>
  <c r="BB166" i="22"/>
  <c r="K268" i="12"/>
  <c r="K284" i="12" s="1"/>
  <c r="AK459" i="22"/>
  <c r="AS359" i="23"/>
  <c r="AM40" i="22"/>
  <c r="AZ40" i="22" s="1"/>
  <c r="AO40" i="22"/>
  <c r="BB40" i="22" s="1"/>
  <c r="AN40" i="22"/>
  <c r="BA40" i="22" s="1"/>
  <c r="BF40" i="22" s="1"/>
  <c r="S162" i="8"/>
  <c r="AR453" i="22"/>
  <c r="AG453" i="22"/>
  <c r="AK453" i="22"/>
  <c r="AL299" i="22"/>
  <c r="AB335" i="9"/>
  <c r="AC335" i="9"/>
  <c r="AS286" i="22"/>
  <c r="AG286" i="22"/>
  <c r="AT286" i="22"/>
  <c r="AR286" i="22"/>
  <c r="AS174" i="23"/>
  <c r="N136" i="12"/>
  <c r="O46" i="12"/>
  <c r="Q46" i="12" s="1"/>
  <c r="P46" i="12"/>
  <c r="AH119" i="23"/>
  <c r="AR353" i="23"/>
  <c r="AX33" i="22"/>
  <c r="AK166" i="9"/>
  <c r="AJ166" i="9"/>
  <c r="AR264" i="22"/>
  <c r="AG264" i="22"/>
  <c r="AK264" i="22" s="1"/>
  <c r="AT264" i="22"/>
  <c r="AR480" i="22"/>
  <c r="AG480" i="22"/>
  <c r="AR261" i="22"/>
  <c r="AG261" i="22"/>
  <c r="AT261" i="22"/>
  <c r="AU168" i="22"/>
  <c r="BA168" i="22" s="1"/>
  <c r="R106" i="7"/>
  <c r="AN357" i="22"/>
  <c r="AU357" i="22"/>
  <c r="AV357" i="22"/>
  <c r="AS321" i="22"/>
  <c r="AL321" i="22"/>
  <c r="U44" i="8"/>
  <c r="AA429" i="9"/>
  <c r="AJ191" i="23"/>
  <c r="AH191" i="23"/>
  <c r="AM191" i="23" s="1"/>
  <c r="AK191" i="23"/>
  <c r="AU505" i="22"/>
  <c r="AD326" i="23"/>
  <c r="AJ326" i="23" s="1"/>
  <c r="AO326" i="23"/>
  <c r="AQ326" i="23"/>
  <c r="AK268" i="22"/>
  <c r="AG268" i="22"/>
  <c r="AR268" i="22"/>
  <c r="AR280" i="22"/>
  <c r="AG280" i="22"/>
  <c r="AS280" i="22"/>
  <c r="AS159" i="23"/>
  <c r="AU413" i="22"/>
  <c r="AN413" i="22"/>
  <c r="AV413" i="22"/>
  <c r="AK82" i="23"/>
  <c r="AR82" i="23"/>
  <c r="AO393" i="22"/>
  <c r="AP393" i="22" s="1"/>
  <c r="AP365" i="23"/>
  <c r="AK273" i="23"/>
  <c r="AR273" i="23"/>
  <c r="N47" i="12"/>
  <c r="AH220" i="23"/>
  <c r="AP307" i="23"/>
  <c r="AO310" i="23"/>
  <c r="AD310" i="23"/>
  <c r="AK310" i="23" s="1"/>
  <c r="AQ310" i="23"/>
  <c r="AL158" i="22"/>
  <c r="AS158" i="22"/>
  <c r="AY158" i="22" s="1"/>
  <c r="AN485" i="22"/>
  <c r="AU485" i="22"/>
  <c r="AU62" i="22"/>
  <c r="AN62" i="22"/>
  <c r="BA62" i="22" s="1"/>
  <c r="AV62" i="22"/>
  <c r="AG107" i="22"/>
  <c r="AR107" i="22"/>
  <c r="AT107" i="22"/>
  <c r="AL12" i="22"/>
  <c r="AS12" i="22"/>
  <c r="AT12" i="22"/>
  <c r="AR12" i="22"/>
  <c r="AU181" i="22"/>
  <c r="BA181" i="22" s="1"/>
  <c r="AJ134" i="23"/>
  <c r="AH134" i="23"/>
  <c r="AK48" i="23"/>
  <c r="AX48" i="23" s="1"/>
  <c r="AJ48" i="23"/>
  <c r="AW48" i="23" s="1"/>
  <c r="AL48" i="23"/>
  <c r="AY48" i="23" s="1"/>
  <c r="AI48" i="23"/>
  <c r="AV48" i="23" s="1"/>
  <c r="AI375" i="23"/>
  <c r="AP375" i="23"/>
  <c r="AU188" i="22"/>
  <c r="BA188" i="22" s="1"/>
  <c r="AN188" i="22"/>
  <c r="AV188" i="22"/>
  <c r="AR288" i="23"/>
  <c r="AK288" i="23"/>
  <c r="AL147" i="23"/>
  <c r="AS147" i="23"/>
  <c r="AR25" i="22"/>
  <c r="AG25" i="22"/>
  <c r="AT25" i="22"/>
  <c r="AS39" i="22"/>
  <c r="AG39" i="22"/>
  <c r="AT39" i="22"/>
  <c r="AR39" i="22"/>
  <c r="AU401" i="22"/>
  <c r="AN401" i="22"/>
  <c r="AC254" i="9"/>
  <c r="AA254" i="9"/>
  <c r="AB254" i="9"/>
  <c r="AV104" i="22"/>
  <c r="AL204" i="22"/>
  <c r="AS204" i="22"/>
  <c r="AL423" i="22"/>
  <c r="AS423" i="22"/>
  <c r="AT423" i="22"/>
  <c r="AR326" i="22"/>
  <c r="AK326" i="22"/>
  <c r="AG326" i="22"/>
  <c r="AT326" i="22"/>
  <c r="AS184" i="22"/>
  <c r="AY184" i="22" s="1"/>
  <c r="AU179" i="22"/>
  <c r="BA179" i="22" s="1"/>
  <c r="AV179" i="22"/>
  <c r="AO145" i="22"/>
  <c r="AR310" i="23"/>
  <c r="AS310" i="23"/>
  <c r="AR56" i="22"/>
  <c r="AG56" i="22"/>
  <c r="AK56" i="22"/>
  <c r="AT56" i="22"/>
  <c r="AS56" i="22"/>
  <c r="AS405" i="22"/>
  <c r="AD167" i="23"/>
  <c r="AJ167" i="23" s="1"/>
  <c r="AH167" i="23"/>
  <c r="AO167" i="23"/>
  <c r="AQ167" i="23"/>
  <c r="AS125" i="22"/>
  <c r="AG295" i="22"/>
  <c r="AR295" i="22"/>
  <c r="AT295" i="22"/>
  <c r="AS378" i="22"/>
  <c r="AS141" i="23"/>
  <c r="AD363" i="23"/>
  <c r="AJ363" i="23" s="1"/>
  <c r="AO363" i="23"/>
  <c r="AQ363" i="23"/>
  <c r="AS213" i="22"/>
  <c r="AR213" i="22"/>
  <c r="AG213" i="22"/>
  <c r="AT213" i="22"/>
  <c r="G65" i="16"/>
  <c r="AR197" i="22"/>
  <c r="AX197" i="22" s="1"/>
  <c r="AG197" i="22"/>
  <c r="AS197" i="22"/>
  <c r="AY197" i="22" s="1"/>
  <c r="AS306" i="22"/>
  <c r="AR306" i="22"/>
  <c r="AT306" i="22"/>
  <c r="AG306" i="22"/>
  <c r="AN393" i="22"/>
  <c r="AU65" i="22"/>
  <c r="AV65" i="22"/>
  <c r="AN290" i="22"/>
  <c r="AD358" i="23"/>
  <c r="AO358" i="23"/>
  <c r="AQ358" i="23"/>
  <c r="AM459" i="22"/>
  <c r="AG38" i="22"/>
  <c r="AL38" i="22" s="1"/>
  <c r="AY38" i="22" s="1"/>
  <c r="AO154" i="23"/>
  <c r="AD154" i="23"/>
  <c r="AL154" i="23" s="1"/>
  <c r="AQ154" i="23"/>
  <c r="AP154" i="23"/>
  <c r="AX121" i="22"/>
  <c r="S158" i="8"/>
  <c r="T158" i="8" s="1"/>
  <c r="S23" i="32"/>
  <c r="R232" i="9"/>
  <c r="X35" i="8"/>
  <c r="Y35" i="8" s="1"/>
  <c r="AG49" i="22"/>
  <c r="AT49" i="22"/>
  <c r="AR49" i="22"/>
  <c r="AI306" i="23"/>
  <c r="AP306" i="23"/>
  <c r="AA209" i="9"/>
  <c r="AS442" i="22"/>
  <c r="AL442" i="22"/>
  <c r="AT442" i="22"/>
  <c r="G322" i="12"/>
  <c r="G274" i="12"/>
  <c r="G290" i="12"/>
  <c r="G32" i="12"/>
  <c r="G306" i="12"/>
  <c r="AU352" i="22"/>
  <c r="AV352" i="22"/>
  <c r="AG113" i="22"/>
  <c r="AK113" i="22" s="1"/>
  <c r="AR113" i="22"/>
  <c r="AT113" i="22"/>
  <c r="AK73" i="23"/>
  <c r="AR331" i="23"/>
  <c r="AK209" i="23"/>
  <c r="AR209" i="23"/>
  <c r="AS389" i="22"/>
  <c r="AL389" i="22"/>
  <c r="AK189" i="9"/>
  <c r="AJ189" i="9"/>
  <c r="AH265" i="23"/>
  <c r="AC477" i="9"/>
  <c r="AB477" i="9"/>
  <c r="AR461" i="22"/>
  <c r="AK461" i="22"/>
  <c r="AG461" i="22"/>
  <c r="AT461" i="22"/>
  <c r="AS52" i="22"/>
  <c r="AR373" i="23"/>
  <c r="AU48" i="12"/>
  <c r="AU49" i="12"/>
  <c r="AG80" i="22"/>
  <c r="AN80" i="22" s="1"/>
  <c r="BA80" i="22" s="1"/>
  <c r="AT80" i="22"/>
  <c r="AR80" i="22"/>
  <c r="AS80" i="22"/>
  <c r="AC385" i="9"/>
  <c r="AB385" i="9"/>
  <c r="N308" i="12"/>
  <c r="N250" i="12"/>
  <c r="N253" i="12" s="1"/>
  <c r="AQ192" i="23"/>
  <c r="AO192" i="23"/>
  <c r="AD192" i="23"/>
  <c r="AH192" i="23"/>
  <c r="AP192" i="23"/>
  <c r="AG207" i="22"/>
  <c r="AR207" i="22"/>
  <c r="AO354" i="23"/>
  <c r="AQ354" i="23"/>
  <c r="AD354" i="23"/>
  <c r="AO291" i="23"/>
  <c r="AD291" i="23"/>
  <c r="AQ291" i="23"/>
  <c r="AH291" i="23"/>
  <c r="AR105" i="23"/>
  <c r="AK105" i="23"/>
  <c r="AG29" i="28"/>
  <c r="AH27" i="28"/>
  <c r="CB175" i="22"/>
  <c r="BB175" i="22"/>
  <c r="L265" i="12"/>
  <c r="L281" i="12" s="1"/>
  <c r="AU24" i="22"/>
  <c r="AV24" i="22"/>
  <c r="AS257" i="23"/>
  <c r="AR257" i="23"/>
  <c r="AD257" i="23"/>
  <c r="AO346" i="23"/>
  <c r="AD346" i="23"/>
  <c r="AQ346" i="23"/>
  <c r="AH346" i="23"/>
  <c r="AI190" i="23"/>
  <c r="AP190" i="23"/>
  <c r="AM384" i="22"/>
  <c r="AN384" i="22"/>
  <c r="AK384" i="22"/>
  <c r="AP384" i="22" s="1"/>
  <c r="AR65" i="22"/>
  <c r="AG65" i="22"/>
  <c r="AN65" i="22" s="1"/>
  <c r="BA65" i="22" s="1"/>
  <c r="AT65" i="22"/>
  <c r="AS65" i="22"/>
  <c r="AS261" i="23"/>
  <c r="AH314" i="23"/>
  <c r="AD314" i="23"/>
  <c r="AO314" i="23"/>
  <c r="AQ314" i="23"/>
  <c r="AS434" i="22"/>
  <c r="AR206" i="22"/>
  <c r="AG206" i="22"/>
  <c r="AT206" i="22"/>
  <c r="P18" i="8"/>
  <c r="P19" i="8" s="1"/>
  <c r="P7" i="8"/>
  <c r="P11" i="8"/>
  <c r="AS154" i="23"/>
  <c r="AO419" i="22"/>
  <c r="AG133" i="22"/>
  <c r="AK133" i="22" s="1"/>
  <c r="AR133" i="22"/>
  <c r="AK171" i="9"/>
  <c r="AJ171" i="9"/>
  <c r="AU170" i="22"/>
  <c r="BA170" i="22" s="1"/>
  <c r="AV170" i="22"/>
  <c r="AJ101" i="23"/>
  <c r="AL101" i="23"/>
  <c r="AH101" i="23"/>
  <c r="S130" i="8"/>
  <c r="T130" i="8" s="1"/>
  <c r="AI326" i="23"/>
  <c r="AP326" i="23"/>
  <c r="AL261" i="22"/>
  <c r="AS261" i="22"/>
  <c r="AS419" i="22"/>
  <c r="AL419" i="22"/>
  <c r="AT419" i="22"/>
  <c r="T20" i="32"/>
  <c r="R241" i="9"/>
  <c r="AJ141" i="9"/>
  <c r="AK141" i="9"/>
  <c r="AB401" i="9"/>
  <c r="AC401" i="9"/>
  <c r="AK182" i="22"/>
  <c r="AG182" i="22"/>
  <c r="AR182" i="22"/>
  <c r="AX182" i="22" s="1"/>
  <c r="AC302" i="9"/>
  <c r="AB302" i="9"/>
  <c r="AA401" i="9"/>
  <c r="R63" i="8"/>
  <c r="R65" i="8"/>
  <c r="R67" i="8"/>
  <c r="R62" i="8"/>
  <c r="R64" i="8"/>
  <c r="R61" i="8"/>
  <c r="R69" i="8" s="1"/>
  <c r="R68" i="8"/>
  <c r="R66" i="8"/>
  <c r="N48" i="12"/>
  <c r="AA391" i="9"/>
  <c r="AC391" i="9"/>
  <c r="AB391" i="9"/>
  <c r="AH9" i="28"/>
  <c r="N156" i="12"/>
  <c r="N107" i="12"/>
  <c r="N215" i="12" s="1"/>
  <c r="N66" i="12"/>
  <c r="N7" i="12"/>
  <c r="AA361" i="9"/>
  <c r="AC361" i="9"/>
  <c r="AG244" i="22"/>
  <c r="AP310" i="23"/>
  <c r="AI310" i="23"/>
  <c r="AS55" i="22"/>
  <c r="AL55" i="22"/>
  <c r="AY55" i="22" s="1"/>
  <c r="AU389" i="22"/>
  <c r="AN389" i="22"/>
  <c r="AV389" i="22"/>
  <c r="AN154" i="22"/>
  <c r="AU154" i="22"/>
  <c r="BA154" i="22" s="1"/>
  <c r="AC282" i="9"/>
  <c r="AB282" i="9"/>
  <c r="AG150" i="22"/>
  <c r="AL150" i="22" s="1"/>
  <c r="AR150" i="22"/>
  <c r="AX150" i="22" s="1"/>
  <c r="AS15" i="22"/>
  <c r="AR15" i="22"/>
  <c r="AG15" i="22"/>
  <c r="AT15" i="22"/>
  <c r="AU107" i="22"/>
  <c r="AH48" i="23"/>
  <c r="AR452" i="22"/>
  <c r="AG452" i="22"/>
  <c r="AT452" i="22"/>
  <c r="AR11" i="22"/>
  <c r="AK11" i="22"/>
  <c r="AG11" i="22"/>
  <c r="AT11" i="22"/>
  <c r="AS243" i="22"/>
  <c r="AU499" i="22"/>
  <c r="AN499" i="22"/>
  <c r="AV499" i="22"/>
  <c r="AU129" i="22"/>
  <c r="AR293" i="23"/>
  <c r="AP85" i="23"/>
  <c r="AI85" i="23"/>
  <c r="AD85" i="23"/>
  <c r="AQ85" i="23"/>
  <c r="AO85" i="23"/>
  <c r="AR412" i="22"/>
  <c r="AG412" i="22"/>
  <c r="AS157" i="22"/>
  <c r="AY157" i="22" s="1"/>
  <c r="AN402" i="22"/>
  <c r="AU402" i="22"/>
  <c r="AV402" i="22"/>
  <c r="AL281" i="22"/>
  <c r="AS281" i="22"/>
  <c r="AT281" i="22"/>
  <c r="AL302" i="22"/>
  <c r="AS302" i="22"/>
  <c r="AT170" i="22"/>
  <c r="AU238" i="22"/>
  <c r="AV238" i="22"/>
  <c r="AR477" i="22"/>
  <c r="AG477" i="22"/>
  <c r="AK477" i="22" s="1"/>
  <c r="AT477" i="22"/>
  <c r="AS360" i="22"/>
  <c r="AL68" i="22"/>
  <c r="AS68" i="22"/>
  <c r="AQ113" i="23"/>
  <c r="AO113" i="23"/>
  <c r="AH113" i="23"/>
  <c r="AD113" i="23"/>
  <c r="AP113" i="23"/>
  <c r="P64" i="23"/>
  <c r="AR90" i="22"/>
  <c r="AK90" i="22"/>
  <c r="AG90" i="22"/>
  <c r="AS236" i="22"/>
  <c r="AL236" i="22"/>
  <c r="AR236" i="22"/>
  <c r="AG236" i="22"/>
  <c r="AT236" i="22"/>
  <c r="AU228" i="22"/>
  <c r="AV228" i="22"/>
  <c r="AD90" i="23"/>
  <c r="AO90" i="23"/>
  <c r="AH90" i="23"/>
  <c r="AQ90" i="23"/>
  <c r="AT337" i="22"/>
  <c r="AS202" i="22"/>
  <c r="AL202" i="22"/>
  <c r="AP146" i="23"/>
  <c r="AI146" i="23"/>
  <c r="AM146" i="23" s="1"/>
  <c r="AP363" i="23"/>
  <c r="AS340" i="22"/>
  <c r="AD277" i="23"/>
  <c r="AM332" i="22"/>
  <c r="AK332" i="22"/>
  <c r="AO332" i="22"/>
  <c r="N42" i="12"/>
  <c r="AG13" i="22"/>
  <c r="AK13" i="22"/>
  <c r="AT13" i="22"/>
  <c r="AR13" i="22"/>
  <c r="O189" i="12"/>
  <c r="BA101" i="22"/>
  <c r="BF101" i="22" s="1"/>
  <c r="AS86" i="23"/>
  <c r="AJ157" i="23"/>
  <c r="AL157" i="23"/>
  <c r="AI157" i="23"/>
  <c r="AU150" i="22"/>
  <c r="BA150" i="22" s="1"/>
  <c r="AP358" i="23"/>
  <c r="AH163" i="23"/>
  <c r="AD163" i="23"/>
  <c r="AQ163" i="23"/>
  <c r="AO163" i="23"/>
  <c r="AP163" i="23"/>
  <c r="AD172" i="23"/>
  <c r="AO276" i="23"/>
  <c r="AL41" i="16"/>
  <c r="AC40" i="19" s="1"/>
  <c r="AL42" i="16"/>
  <c r="AC41" i="19" s="1"/>
  <c r="AC34" i="19"/>
  <c r="AQ80" i="23"/>
  <c r="AO80" i="23"/>
  <c r="AH80" i="23"/>
  <c r="AD80" i="23"/>
  <c r="AP80" i="23"/>
  <c r="S165" i="8"/>
  <c r="T165" i="8" s="1"/>
  <c r="D113" i="16"/>
  <c r="D124" i="16" s="1"/>
  <c r="AQ306" i="23"/>
  <c r="AD306" i="23"/>
  <c r="AJ306" i="23" s="1"/>
  <c r="AO306" i="23"/>
  <c r="AB150" i="9"/>
  <c r="AP296" i="23"/>
  <c r="AL306" i="23"/>
  <c r="AS306" i="23"/>
  <c r="AG472" i="22"/>
  <c r="AK472" i="22" s="1"/>
  <c r="AR472" i="22"/>
  <c r="AD348" i="23"/>
  <c r="AI348" i="23" s="1"/>
  <c r="AH348" i="23"/>
  <c r="AQ348" i="23"/>
  <c r="AO348" i="23"/>
  <c r="AG208" i="22"/>
  <c r="AR208" i="22"/>
  <c r="AT208" i="22"/>
  <c r="AP259" i="23"/>
  <c r="AI259" i="23"/>
  <c r="AQ259" i="23"/>
  <c r="AO259" i="23"/>
  <c r="AR285" i="22"/>
  <c r="AK285" i="22"/>
  <c r="AG285" i="22"/>
  <c r="AT285" i="22"/>
  <c r="AJ99" i="23"/>
  <c r="AL99" i="23"/>
  <c r="AS164" i="22"/>
  <c r="AY164" i="22" s="1"/>
  <c r="AT164" i="22"/>
  <c r="AR426" i="22"/>
  <c r="AG426" i="22"/>
  <c r="AT426" i="22"/>
  <c r="AS260" i="23"/>
  <c r="AR260" i="23"/>
  <c r="AK167" i="9"/>
  <c r="AJ167" i="9"/>
  <c r="AR444" i="22"/>
  <c r="AK444" i="22"/>
  <c r="AG444" i="22"/>
  <c r="AT444" i="22"/>
  <c r="AC281" i="9"/>
  <c r="AB281" i="9"/>
  <c r="AR290" i="23"/>
  <c r="AS337" i="22"/>
  <c r="AR332" i="23"/>
  <c r="AD61" i="23"/>
  <c r="AQ61" i="23"/>
  <c r="AO61" i="23"/>
  <c r="AP61" i="23"/>
  <c r="BY145" i="22"/>
  <c r="AZ145" i="22"/>
  <c r="AS94" i="22"/>
  <c r="AF9" i="28"/>
  <c r="L104" i="12"/>
  <c r="L212" i="12" s="1"/>
  <c r="AS36" i="22"/>
  <c r="AC277" i="9"/>
  <c r="AB277" i="9"/>
  <c r="AR362" i="23"/>
  <c r="AS362" i="23"/>
  <c r="AP354" i="23"/>
  <c r="AP291" i="23"/>
  <c r="AB166" i="9"/>
  <c r="AC166" i="9"/>
  <c r="AU497" i="22"/>
  <c r="AN497" i="22"/>
  <c r="AV497" i="22"/>
  <c r="AR103" i="23"/>
  <c r="AK103" i="23"/>
  <c r="AS103" i="23"/>
  <c r="AS501" i="22"/>
  <c r="AT501" i="22"/>
  <c r="AR95" i="22"/>
  <c r="AK95" i="22"/>
  <c r="AG95" i="22"/>
  <c r="AO313" i="22"/>
  <c r="AP203" i="23"/>
  <c r="AI203" i="23"/>
  <c r="AG22" i="22"/>
  <c r="AK22" i="22" s="1"/>
  <c r="AT22" i="22"/>
  <c r="AR22" i="22"/>
  <c r="AS178" i="23"/>
  <c r="AC366" i="9"/>
  <c r="AB366" i="9"/>
  <c r="AJ146" i="23"/>
  <c r="AK146" i="23"/>
  <c r="AR132" i="22"/>
  <c r="AG132" i="22"/>
  <c r="AN132" i="22" s="1"/>
  <c r="BA132" i="22" s="1"/>
  <c r="AD203" i="23"/>
  <c r="AR178" i="22"/>
  <c r="AX178" i="22" s="1"/>
  <c r="AK178" i="22"/>
  <c r="AG178" i="22"/>
  <c r="G318" i="12"/>
  <c r="AQ24" i="12"/>
  <c r="G302" i="12"/>
  <c r="G286" i="12"/>
  <c r="G270" i="12"/>
  <c r="G28" i="12"/>
  <c r="AU246" i="22"/>
  <c r="AA262" i="9"/>
  <c r="AS492" i="22"/>
  <c r="AC197" i="9"/>
  <c r="AB197" i="9"/>
  <c r="AS327" i="22"/>
  <c r="AR327" i="22"/>
  <c r="AG327" i="22"/>
  <c r="AN327" i="22" s="1"/>
  <c r="AP339" i="23"/>
  <c r="AI339" i="23"/>
  <c r="AK285" i="23"/>
  <c r="AR285" i="23"/>
  <c r="AG411" i="22"/>
  <c r="AR411" i="22"/>
  <c r="BB189" i="22"/>
  <c r="BF189" i="22" s="1"/>
  <c r="BN189" i="22" s="1"/>
  <c r="CB189" i="22"/>
  <c r="M267" i="12"/>
  <c r="M283" i="12" s="1"/>
  <c r="T8" i="8"/>
  <c r="S70" i="8"/>
  <c r="S17" i="8"/>
  <c r="S7" i="8"/>
  <c r="S86" i="8" s="1"/>
  <c r="AS200" i="22"/>
  <c r="AB361" i="9"/>
  <c r="AG443" i="22"/>
  <c r="AK443" i="22"/>
  <c r="AR443" i="22"/>
  <c r="AS129" i="22"/>
  <c r="AU386" i="22"/>
  <c r="AV386" i="22"/>
  <c r="AR51" i="22"/>
  <c r="AT51" i="22"/>
  <c r="AG51" i="22"/>
  <c r="AK51" i="22" s="1"/>
  <c r="AL169" i="22"/>
  <c r="AS169" i="22"/>
  <c r="AY169" i="22" s="1"/>
  <c r="AU468" i="22"/>
  <c r="AK438" i="22"/>
  <c r="AR438" i="22"/>
  <c r="AG438" i="22"/>
  <c r="AT438" i="22"/>
  <c r="AR431" i="22"/>
  <c r="AG431" i="22"/>
  <c r="AT431" i="22"/>
  <c r="AS82" i="22"/>
  <c r="AL82" i="22"/>
  <c r="AY82" i="22" s="1"/>
  <c r="AT82" i="22"/>
  <c r="AU472" i="22"/>
  <c r="AN472" i="22"/>
  <c r="AV472" i="22"/>
  <c r="AU91" i="22"/>
  <c r="AN91" i="22"/>
  <c r="BA91" i="22" s="1"/>
  <c r="AV91" i="22"/>
  <c r="AK99" i="23"/>
  <c r="G314" i="12"/>
  <c r="G298" i="12"/>
  <c r="G282" i="12"/>
  <c r="G24" i="12"/>
  <c r="G266" i="12"/>
  <c r="AG169" i="22"/>
  <c r="AK169" i="22" s="1"/>
  <c r="AR169" i="22"/>
  <c r="AX169" i="22" s="1"/>
  <c r="AT169" i="22"/>
  <c r="AJ108" i="16"/>
  <c r="AT35" i="22"/>
  <c r="AR35" i="22"/>
  <c r="AG35" i="22"/>
  <c r="AN35" i="22" s="1"/>
  <c r="BA35" i="22" s="1"/>
  <c r="AS35" i="22"/>
  <c r="AS118" i="22"/>
  <c r="AU362" i="22"/>
  <c r="AN362" i="22"/>
  <c r="AV362" i="22"/>
  <c r="AA177" i="9"/>
  <c r="AG177" i="9" s="1"/>
  <c r="AH177" i="9" s="1"/>
  <c r="AP63" i="23"/>
  <c r="AS58" i="22"/>
  <c r="AL58" i="22"/>
  <c r="AR58" i="22"/>
  <c r="AG58" i="22"/>
  <c r="AT58" i="22"/>
  <c r="AC409" i="9"/>
  <c r="AB409" i="9"/>
  <c r="AU84" i="22"/>
  <c r="AR335" i="23"/>
  <c r="AG507" i="22"/>
  <c r="AK507" i="22" s="1"/>
  <c r="AR507" i="22"/>
  <c r="AS439" i="22"/>
  <c r="AN404" i="22"/>
  <c r="AU404" i="22"/>
  <c r="AV404" i="22"/>
  <c r="AS77" i="12"/>
  <c r="AR301" i="22"/>
  <c r="AG301" i="22"/>
  <c r="AK301" i="22"/>
  <c r="AT301" i="22"/>
  <c r="AS301" i="22"/>
  <c r="AS44" i="22"/>
  <c r="AR250" i="23"/>
  <c r="AG91" i="22"/>
  <c r="AR91" i="22"/>
  <c r="AT91" i="22"/>
  <c r="AS421" i="22"/>
  <c r="AU298" i="22"/>
  <c r="AN298" i="22"/>
  <c r="AV298" i="22"/>
  <c r="AK258" i="23"/>
  <c r="AR258" i="23"/>
  <c r="AS123" i="22"/>
  <c r="AL123" i="22"/>
  <c r="AY123" i="22" s="1"/>
  <c r="AS226" i="23"/>
  <c r="AL226" i="23"/>
  <c r="D76" i="16"/>
  <c r="AS167" i="23"/>
  <c r="T17" i="32"/>
  <c r="R238" i="9"/>
  <c r="AS209" i="23"/>
  <c r="AG259" i="22"/>
  <c r="AN259" i="22" s="1"/>
  <c r="AR259" i="22"/>
  <c r="AK259" i="22"/>
  <c r="AT259" i="22"/>
  <c r="BE168" i="22"/>
  <c r="BM168" i="22" s="1"/>
  <c r="BY168" i="22"/>
  <c r="AZ168" i="22"/>
  <c r="AV154" i="22"/>
  <c r="AH157" i="23"/>
  <c r="AM157" i="23" s="1"/>
  <c r="AU341" i="22"/>
  <c r="AV341" i="22"/>
  <c r="AI119" i="23"/>
  <c r="AD276" i="23"/>
  <c r="AD216" i="23"/>
  <c r="AG425" i="22"/>
  <c r="AS376" i="22"/>
  <c r="AT94" i="22"/>
  <c r="AO172" i="22"/>
  <c r="AP303" i="23"/>
  <c r="AI303" i="23"/>
  <c r="AI133" i="23"/>
  <c r="AP133" i="23"/>
  <c r="AO133" i="23"/>
  <c r="AD133" i="23"/>
  <c r="AQ133" i="23"/>
  <c r="AM149" i="22"/>
  <c r="AN149" i="22"/>
  <c r="AO149" i="22"/>
  <c r="AQ239" i="23"/>
  <c r="AO239" i="23"/>
  <c r="AH239" i="23"/>
  <c r="AD239" i="23"/>
  <c r="AP239" i="23"/>
  <c r="AK149" i="22"/>
  <c r="AR201" i="22"/>
  <c r="AK201" i="22"/>
  <c r="AG201" i="22"/>
  <c r="AT201" i="22"/>
  <c r="AP292" i="23"/>
  <c r="AO290" i="22"/>
  <c r="AM290" i="22"/>
  <c r="AN484" i="22"/>
  <c r="AU484" i="22"/>
  <c r="AV484" i="22"/>
  <c r="AK110" i="23"/>
  <c r="AR110" i="23"/>
  <c r="AH129" i="23"/>
  <c r="AM129" i="23" s="1"/>
  <c r="AG374" i="22"/>
  <c r="AR374" i="22"/>
  <c r="AT374" i="22"/>
  <c r="AP327" i="23"/>
  <c r="AU234" i="22"/>
  <c r="AV234" i="22"/>
  <c r="AO343" i="23"/>
  <c r="AQ343" i="23"/>
  <c r="AD343" i="23"/>
  <c r="AH343" i="23" s="1"/>
  <c r="AS463" i="22"/>
  <c r="AL463" i="22"/>
  <c r="J102" i="12"/>
  <c r="AU299" i="22"/>
  <c r="AN299" i="22"/>
  <c r="AP167" i="23"/>
  <c r="AI167" i="23"/>
  <c r="AR242" i="22"/>
  <c r="AG242" i="22"/>
  <c r="O49" i="23"/>
  <c r="O33" i="27"/>
  <c r="AU71" i="12"/>
  <c r="N73" i="12"/>
  <c r="AC233" i="9"/>
  <c r="AB233" i="9"/>
  <c r="AL50" i="23"/>
  <c r="AJ50" i="23"/>
  <c r="AK50" i="23"/>
  <c r="AI50" i="23"/>
  <c r="AM50" i="23" s="1"/>
  <c r="AS426" i="22"/>
  <c r="AD96" i="23"/>
  <c r="AQ96" i="23"/>
  <c r="AO96" i="23"/>
  <c r="AR340" i="23"/>
  <c r="AA395" i="9"/>
  <c r="AG498" i="22"/>
  <c r="AR498" i="22"/>
  <c r="AK498" i="22"/>
  <c r="AT498" i="22"/>
  <c r="AS496" i="22"/>
  <c r="AR496" i="22"/>
  <c r="AT496" i="22"/>
  <c r="AA269" i="9"/>
  <c r="AC269" i="9"/>
  <c r="AA477" i="9"/>
  <c r="AK239" i="23"/>
  <c r="AR239" i="23"/>
  <c r="AS239" i="23"/>
  <c r="AP295" i="23"/>
  <c r="AI295" i="23"/>
  <c r="AS54" i="22"/>
  <c r="AH143" i="23"/>
  <c r="AS265" i="22"/>
  <c r="AT265" i="22"/>
  <c r="AR455" i="22"/>
  <c r="AG455" i="22"/>
  <c r="AK455" i="22" s="1"/>
  <c r="AS81" i="22"/>
  <c r="AU241" i="22"/>
  <c r="AV241" i="22"/>
  <c r="AO302" i="23"/>
  <c r="AQ302" i="23"/>
  <c r="AD302" i="23"/>
  <c r="AJ302" i="23" s="1"/>
  <c r="AH302" i="23"/>
  <c r="AS62" i="22"/>
  <c r="AL62" i="22"/>
  <c r="AY62" i="22" s="1"/>
  <c r="AR232" i="22"/>
  <c r="AG232" i="22"/>
  <c r="AN232" i="22" s="1"/>
  <c r="AT463" i="22"/>
  <c r="AR10" i="22"/>
  <c r="AG10" i="22"/>
  <c r="AL10" i="22" s="1"/>
  <c r="AY10" i="22" s="1"/>
  <c r="AT10" i="22"/>
  <c r="AQ152" i="23"/>
  <c r="AO152" i="23"/>
  <c r="AD152" i="23"/>
  <c r="AP152" i="23"/>
  <c r="AU56" i="22"/>
  <c r="AV56" i="22"/>
  <c r="AG11" i="8"/>
  <c r="AQ372" i="23"/>
  <c r="AO372" i="23"/>
  <c r="AD372" i="23"/>
  <c r="AI372" i="23" s="1"/>
  <c r="AC290" i="9"/>
  <c r="AA290" i="9"/>
  <c r="AR367" i="22"/>
  <c r="AG367" i="22"/>
  <c r="AT367" i="22"/>
  <c r="AK149" i="23"/>
  <c r="AP124" i="23"/>
  <c r="AI124" i="23"/>
  <c r="AC188" i="9"/>
  <c r="AB188" i="9"/>
  <c r="AH336" i="23"/>
  <c r="AD336" i="23"/>
  <c r="AO336" i="23"/>
  <c r="AQ336" i="23"/>
  <c r="AG489" i="22"/>
  <c r="AR489" i="22"/>
  <c r="AK489" i="22"/>
  <c r="AT489" i="22"/>
  <c r="AN291" i="22"/>
  <c r="AU291" i="22"/>
  <c r="AU90" i="22"/>
  <c r="AN90" i="22"/>
  <c r="BA90" i="22" s="1"/>
  <c r="AV90" i="22"/>
  <c r="AR421" i="22"/>
  <c r="AG421" i="22"/>
  <c r="AT421" i="22"/>
  <c r="AR154" i="22"/>
  <c r="AX154" i="22" s="1"/>
  <c r="AK154" i="22"/>
  <c r="AG154" i="22"/>
  <c r="AT154" i="22"/>
  <c r="AP364" i="23"/>
  <c r="AU373" i="22"/>
  <c r="AN373" i="22"/>
  <c r="AV373" i="22"/>
  <c r="W128" i="8"/>
  <c r="AU368" i="22"/>
  <c r="AV368" i="22"/>
  <c r="L35" i="27"/>
  <c r="N106" i="12"/>
  <c r="N216" i="12"/>
  <c r="R180" i="12"/>
  <c r="P189" i="12"/>
  <c r="N45" i="12"/>
  <c r="AA324" i="9"/>
  <c r="K105" i="12"/>
  <c r="K9" i="12"/>
  <c r="AB158" i="9"/>
  <c r="AT222" i="22"/>
  <c r="AB397" i="9"/>
  <c r="AC397" i="9"/>
  <c r="N41" i="12"/>
  <c r="H108" i="12"/>
  <c r="H214" i="12"/>
  <c r="H106" i="12" s="1"/>
  <c r="H114" i="12" s="1"/>
  <c r="AB343" i="9"/>
  <c r="AC343" i="9"/>
  <c r="AA343" i="9"/>
  <c r="AC450" i="9"/>
  <c r="AB450" i="9"/>
  <c r="AA314" i="9"/>
  <c r="AC351" i="9"/>
  <c r="AB351" i="9"/>
  <c r="AG323" i="22"/>
  <c r="AR323" i="22"/>
  <c r="AS323" i="22"/>
  <c r="AS502" i="22"/>
  <c r="AL502" i="22"/>
  <c r="AT502" i="22"/>
  <c r="AS269" i="22"/>
  <c r="AL269" i="22"/>
  <c r="AU449" i="22"/>
  <c r="AU490" i="22"/>
  <c r="AV449" i="22"/>
  <c r="AR493" i="22"/>
  <c r="AG493" i="22"/>
  <c r="AS441" i="22"/>
  <c r="AL441" i="22"/>
  <c r="AT441" i="22"/>
  <c r="AS144" i="22"/>
  <c r="AY144" i="22" s="1"/>
  <c r="AL144" i="22"/>
  <c r="AU465" i="22"/>
  <c r="AN465" i="22"/>
  <c r="AV465" i="22"/>
  <c r="AU344" i="22"/>
  <c r="AN344" i="22"/>
  <c r="AV344" i="22"/>
  <c r="AG351" i="22"/>
  <c r="AR351" i="22"/>
  <c r="AS351" i="22"/>
  <c r="AS494" i="22"/>
  <c r="AG41" i="22"/>
  <c r="AT41" i="22"/>
  <c r="AR41" i="22"/>
  <c r="AS154" i="22"/>
  <c r="AY154" i="22" s="1"/>
  <c r="AL154" i="22"/>
  <c r="AU456" i="22"/>
  <c r="AA357" i="9"/>
  <c r="AS80" i="23"/>
  <c r="AL80" i="23"/>
  <c r="AR80" i="23"/>
  <c r="AC163" i="9"/>
  <c r="AA163" i="9"/>
  <c r="AG163" i="9" s="1"/>
  <c r="AH163" i="9" s="1"/>
  <c r="AA409" i="9"/>
  <c r="AK378" i="22"/>
  <c r="AR378" i="22"/>
  <c r="AG378" i="22"/>
  <c r="AL378" i="22" s="1"/>
  <c r="AT378" i="22"/>
  <c r="AS282" i="22"/>
  <c r="AD92" i="23"/>
  <c r="AS167" i="22"/>
  <c r="AY167" i="22" s="1"/>
  <c r="AK226" i="23"/>
  <c r="AR79" i="22"/>
  <c r="AG79" i="22"/>
  <c r="AT79" i="22"/>
  <c r="AO150" i="23"/>
  <c r="AD150" i="23"/>
  <c r="AH150" i="23" s="1"/>
  <c r="AQ150" i="23"/>
  <c r="AP150" i="23"/>
  <c r="AR125" i="22"/>
  <c r="AG125" i="22"/>
  <c r="AK125" i="22" s="1"/>
  <c r="AT125" i="22"/>
  <c r="AS276" i="22"/>
  <c r="AT276" i="22"/>
  <c r="AU159" i="22"/>
  <c r="BA159" i="22" s="1"/>
  <c r="AK246" i="23"/>
  <c r="AR246" i="23"/>
  <c r="AR376" i="23"/>
  <c r="AS216" i="22"/>
  <c r="CB180" i="22"/>
  <c r="BB180" i="22"/>
  <c r="L270" i="12"/>
  <c r="L286" i="12" s="1"/>
  <c r="AO373" i="23"/>
  <c r="AD373" i="23"/>
  <c r="AJ373" i="23" s="1"/>
  <c r="AQ373" i="23"/>
  <c r="AV401" i="22"/>
  <c r="AG168" i="22"/>
  <c r="AS137" i="23"/>
  <c r="AS480" i="22"/>
  <c r="AL480" i="22"/>
  <c r="AX29" i="22"/>
  <c r="AS119" i="22"/>
  <c r="AS307" i="22"/>
  <c r="AO125" i="23"/>
  <c r="AS232" i="22"/>
  <c r="S46" i="8"/>
  <c r="AR173" i="22"/>
  <c r="AX173" i="22" s="1"/>
  <c r="AG173" i="22"/>
  <c r="AK173" i="22"/>
  <c r="AK173" i="23"/>
  <c r="AR173" i="23"/>
  <c r="AS305" i="23"/>
  <c r="AL305" i="23"/>
  <c r="AS505" i="22"/>
  <c r="AT505" i="22"/>
  <c r="AR97" i="23"/>
  <c r="AS97" i="23"/>
  <c r="S51" i="8"/>
  <c r="U51" i="8" s="1"/>
  <c r="AR65" i="12"/>
  <c r="AR64" i="12"/>
  <c r="AS64" i="12"/>
  <c r="AS65" i="12"/>
  <c r="AP318" i="23"/>
  <c r="AI318" i="23"/>
  <c r="AR89" i="22"/>
  <c r="AG89" i="22"/>
  <c r="AT89" i="22"/>
  <c r="AH165" i="23"/>
  <c r="AM165" i="23" s="1"/>
  <c r="R23" i="32"/>
  <c r="R220" i="9"/>
  <c r="W35" i="8"/>
  <c r="V35" i="8"/>
  <c r="AS155" i="22"/>
  <c r="AY155" i="22" s="1"/>
  <c r="AP83" i="23"/>
  <c r="AI83" i="23"/>
  <c r="AQ83" i="23"/>
  <c r="AO83" i="23"/>
  <c r="AD83" i="23"/>
  <c r="BZ166" i="22"/>
  <c r="AU106" i="22"/>
  <c r="AN106" i="22"/>
  <c r="BA106" i="22" s="1"/>
  <c r="AS57" i="22"/>
  <c r="AR57" i="22"/>
  <c r="AS170" i="23"/>
  <c r="AL170" i="23"/>
  <c r="AS409" i="22"/>
  <c r="AL409" i="22"/>
  <c r="AR164" i="22"/>
  <c r="AX164" i="22" s="1"/>
  <c r="AA335" i="9"/>
  <c r="AK77" i="22"/>
  <c r="AG77" i="22"/>
  <c r="AT77" i="22"/>
  <c r="AR77" i="22"/>
  <c r="AP352" i="23"/>
  <c r="AI352" i="23"/>
  <c r="AA233" i="9"/>
  <c r="AR218" i="23"/>
  <c r="AR298" i="23"/>
  <c r="AA158" i="9"/>
  <c r="AG158" i="9" s="1"/>
  <c r="AH158" i="9" s="1"/>
  <c r="N244" i="12"/>
  <c r="AQ351" i="23"/>
  <c r="AD351" i="23"/>
  <c r="AH351" i="23" s="1"/>
  <c r="AO351" i="23"/>
  <c r="AI287" i="23"/>
  <c r="AP287" i="23"/>
  <c r="AU308" i="22"/>
  <c r="AN308" i="22"/>
  <c r="AS474" i="22"/>
  <c r="AK419" i="22"/>
  <c r="T188" i="12"/>
  <c r="U188" i="12" s="1"/>
  <c r="H25" i="13"/>
  <c r="H17" i="13"/>
  <c r="H24" i="13"/>
  <c r="H16" i="13"/>
  <c r="H23" i="13"/>
  <c r="H15" i="13"/>
  <c r="H14" i="13"/>
  <c r="H19" i="13"/>
  <c r="H20" i="13"/>
  <c r="H18" i="13"/>
  <c r="H22" i="13"/>
  <c r="H21" i="13"/>
  <c r="AU213" i="22"/>
  <c r="AV213" i="22"/>
  <c r="AP212" i="23"/>
  <c r="AI212" i="23"/>
  <c r="AQ212" i="23"/>
  <c r="AO212" i="23"/>
  <c r="AD212" i="23"/>
  <c r="AR402" i="22"/>
  <c r="AK402" i="22"/>
  <c r="AG402" i="22"/>
  <c r="AT402" i="22"/>
  <c r="AS329" i="23"/>
  <c r="AS182" i="23"/>
  <c r="AR182" i="23"/>
  <c r="Q181" i="12"/>
  <c r="R181" i="12" s="1"/>
  <c r="AT474" i="22"/>
  <c r="AC341" i="9"/>
  <c r="AB341" i="9"/>
  <c r="AM502" i="22"/>
  <c r="AN502" i="22"/>
  <c r="AK502" i="22"/>
  <c r="AC270" i="9"/>
  <c r="AB270" i="9"/>
  <c r="AR354" i="23"/>
  <c r="AK354" i="23"/>
  <c r="AS354" i="23"/>
  <c r="S125" i="8"/>
  <c r="AH107" i="23"/>
  <c r="AD107" i="23"/>
  <c r="AJ107" i="23" s="1"/>
  <c r="AQ107" i="23"/>
  <c r="AO107" i="23"/>
  <c r="AO65" i="23"/>
  <c r="AQ65" i="23"/>
  <c r="AD65" i="23"/>
  <c r="AR311" i="23"/>
  <c r="AS311" i="23"/>
  <c r="AS358" i="22"/>
  <c r="AL358" i="22"/>
  <c r="AO203" i="23"/>
  <c r="AR96" i="22"/>
  <c r="AG96" i="22"/>
  <c r="AK96" i="22" s="1"/>
  <c r="AL84" i="22"/>
  <c r="AS84" i="22"/>
  <c r="S154" i="8"/>
  <c r="S155" i="8"/>
  <c r="R161" i="8"/>
  <c r="AR381" i="22"/>
  <c r="AG381" i="22"/>
  <c r="AK381" i="22" s="1"/>
  <c r="AT381" i="22"/>
  <c r="AG359" i="22"/>
  <c r="AR359" i="22"/>
  <c r="AJ55" i="23"/>
  <c r="AK55" i="23"/>
  <c r="AX55" i="23" s="1"/>
  <c r="BC55" i="23" s="1"/>
  <c r="AL55" i="23"/>
  <c r="AH55" i="23"/>
  <c r="AM55" i="23" s="1"/>
  <c r="AC214" i="9"/>
  <c r="AB214" i="9"/>
  <c r="AK175" i="9"/>
  <c r="AJ175" i="9"/>
  <c r="AC9" i="28"/>
  <c r="I104" i="12"/>
  <c r="AB291" i="9"/>
  <c r="AR369" i="22"/>
  <c r="AK369" i="22"/>
  <c r="AG369" i="22"/>
  <c r="AS408" i="22"/>
  <c r="AL408" i="22"/>
  <c r="AU272" i="22"/>
  <c r="AU27" i="12"/>
  <c r="AU32" i="12"/>
  <c r="AU33" i="12"/>
  <c r="AN408" i="22"/>
  <c r="AU408" i="22"/>
  <c r="AO313" i="23"/>
  <c r="AD313" i="23"/>
  <c r="AJ313" i="23" s="1"/>
  <c r="AQ313" i="23"/>
  <c r="AQ155" i="23"/>
  <c r="AO155" i="23"/>
  <c r="AD155" i="23"/>
  <c r="AG303" i="22"/>
  <c r="AN303" i="22" s="1"/>
  <c r="AK303" i="22"/>
  <c r="AR303" i="22"/>
  <c r="AT303" i="22"/>
  <c r="AS407" i="22"/>
  <c r="AS161" i="22"/>
  <c r="AY161" i="22" s="1"/>
  <c r="AU457" i="22"/>
  <c r="AV457" i="22"/>
  <c r="AU235" i="22"/>
  <c r="AN235" i="22"/>
  <c r="AU132" i="22"/>
  <c r="AV132" i="22"/>
  <c r="AR54" i="22"/>
  <c r="AG54" i="22"/>
  <c r="AL54" i="22" s="1"/>
  <c r="AY54" i="22" s="1"/>
  <c r="AT54" i="22"/>
  <c r="AL464" i="22"/>
  <c r="AS464" i="22"/>
  <c r="AC399" i="9"/>
  <c r="AA399" i="9"/>
  <c r="AR339" i="22"/>
  <c r="AK339" i="22"/>
  <c r="AG339" i="22"/>
  <c r="AT339" i="22"/>
  <c r="AS8" i="22"/>
  <c r="AU261" i="22"/>
  <c r="AN261" i="22"/>
  <c r="AV261" i="22"/>
  <c r="AP100" i="23"/>
  <c r="AS366" i="23"/>
  <c r="AL366" i="23"/>
  <c r="AT373" i="22"/>
  <c r="AU366" i="22"/>
  <c r="AN366" i="22"/>
  <c r="AV366" i="22"/>
  <c r="AB367" i="9"/>
  <c r="AC367" i="9"/>
  <c r="AT200" i="22"/>
  <c r="AR447" i="22"/>
  <c r="AG447" i="22"/>
  <c r="AL447" i="22" s="1"/>
  <c r="AS446" i="22"/>
  <c r="AS370" i="23"/>
  <c r="AS75" i="22"/>
  <c r="AR158" i="22"/>
  <c r="AX158" i="22" s="1"/>
  <c r="AG158" i="22"/>
  <c r="AU423" i="22"/>
  <c r="AN423" i="22"/>
  <c r="AV423" i="22"/>
  <c r="AU431" i="22"/>
  <c r="AN431" i="22"/>
  <c r="AR356" i="23"/>
  <c r="AK356" i="23"/>
  <c r="C9" i="16"/>
  <c r="H48" i="16"/>
  <c r="H49" i="16"/>
  <c r="AN93" i="22"/>
  <c r="AU93" i="22"/>
  <c r="AC135" i="9"/>
  <c r="AA135" i="9"/>
  <c r="B118" i="16"/>
  <c r="B76" i="16"/>
  <c r="AP373" i="23"/>
  <c r="AS251" i="23"/>
  <c r="AR251" i="23"/>
  <c r="AQ355" i="23"/>
  <c r="AO355" i="23"/>
  <c r="AD355" i="23"/>
  <c r="AK355" i="23" s="1"/>
  <c r="AH300" i="23"/>
  <c r="AQ300" i="23"/>
  <c r="AD300" i="23"/>
  <c r="AO300" i="23"/>
  <c r="AS270" i="22"/>
  <c r="AG270" i="22"/>
  <c r="AN270" i="22" s="1"/>
  <c r="AT270" i="22"/>
  <c r="AT412" i="22"/>
  <c r="R75" i="7"/>
  <c r="AR425" i="22"/>
  <c r="AS461" i="22"/>
  <c r="AL461" i="22"/>
  <c r="AK176" i="9"/>
  <c r="AJ176" i="9"/>
  <c r="AR177" i="23"/>
  <c r="AP222" i="23"/>
  <c r="AD222" i="23"/>
  <c r="AQ222" i="23"/>
  <c r="AU387" i="22"/>
  <c r="AG387" i="22"/>
  <c r="AS76" i="22"/>
  <c r="AC321" i="9"/>
  <c r="AB321" i="9"/>
  <c r="AG211" i="22"/>
  <c r="AR211" i="22"/>
  <c r="AT211" i="22"/>
  <c r="AS295" i="22"/>
  <c r="AL295" i="22"/>
  <c r="AU174" i="22"/>
  <c r="BA174" i="22" s="1"/>
  <c r="AJ121" i="23"/>
  <c r="AL121" i="23"/>
  <c r="AI121" i="23"/>
  <c r="AM121" i="23" s="1"/>
  <c r="AU297" i="22"/>
  <c r="AS452" i="22"/>
  <c r="AL452" i="22"/>
  <c r="AK299" i="22"/>
  <c r="AM172" i="22"/>
  <c r="AA150" i="9"/>
  <c r="AG150" i="9" s="1"/>
  <c r="AH150" i="9" s="1"/>
  <c r="AG329" i="22"/>
  <c r="AR329" i="22"/>
  <c r="AL235" i="23"/>
  <c r="AS235" i="23"/>
  <c r="AR235" i="23"/>
  <c r="AH219" i="23"/>
  <c r="AR366" i="22"/>
  <c r="AK366" i="22"/>
  <c r="AG366" i="22"/>
  <c r="AT366" i="22"/>
  <c r="AU310" i="22"/>
  <c r="AV310" i="22"/>
  <c r="AP332" i="23"/>
  <c r="AP223" i="23"/>
  <c r="AI223" i="23"/>
  <c r="AL41" i="22"/>
  <c r="AS41" i="22"/>
  <c r="AP193" i="23"/>
  <c r="AI193" i="23"/>
  <c r="AR137" i="23"/>
  <c r="AN269" i="22"/>
  <c r="AU269" i="22"/>
  <c r="AV269" i="22"/>
  <c r="AL361" i="23"/>
  <c r="AS361" i="23"/>
  <c r="AR361" i="23"/>
  <c r="AS230" i="22"/>
  <c r="AS292" i="23"/>
  <c r="AU417" i="22"/>
  <c r="AV417" i="22"/>
  <c r="AK437" i="22"/>
  <c r="CB169" i="22"/>
  <c r="K271" i="12"/>
  <c r="K287" i="12" s="1"/>
  <c r="BB169" i="22"/>
  <c r="AS246" i="22"/>
  <c r="AL246" i="22"/>
  <c r="AH99" i="23"/>
  <c r="AR349" i="22"/>
  <c r="AG349" i="22"/>
  <c r="AS183" i="22"/>
  <c r="AY183" i="22" s="1"/>
  <c r="AS133" i="22"/>
  <c r="AS335" i="22"/>
  <c r="T82" i="12"/>
  <c r="AJ105" i="23"/>
  <c r="AI105" i="23"/>
  <c r="AM105" i="23" s="1"/>
  <c r="AP247" i="23"/>
  <c r="AR361" i="22"/>
  <c r="AG361" i="22"/>
  <c r="AK361" i="22" s="1"/>
  <c r="AC340" i="9"/>
  <c r="AB340" i="9"/>
  <c r="AA340" i="9"/>
  <c r="AJ153" i="23"/>
  <c r="AH153" i="23"/>
  <c r="AK145" i="22"/>
  <c r="AB269" i="9"/>
  <c r="AR468" i="22"/>
  <c r="AG468" i="22"/>
  <c r="AT468" i="22"/>
  <c r="AR116" i="23"/>
  <c r="AS116" i="23"/>
  <c r="AD178" i="23"/>
  <c r="AJ178" i="23" s="1"/>
  <c r="AH178" i="23"/>
  <c r="AQ178" i="23"/>
  <c r="AO178" i="23"/>
  <c r="AR265" i="22"/>
  <c r="AH273" i="23"/>
  <c r="AR408" i="22"/>
  <c r="AG408" i="22"/>
  <c r="AK408" i="22" s="1"/>
  <c r="AT408" i="22"/>
  <c r="AQ207" i="23"/>
  <c r="AO207" i="23"/>
  <c r="AD207" i="23"/>
  <c r="AH207" i="23" s="1"/>
  <c r="AQ81" i="23"/>
  <c r="AO81" i="23"/>
  <c r="AD81" i="23"/>
  <c r="AP81" i="23"/>
  <c r="AR227" i="22"/>
  <c r="AG227" i="22"/>
  <c r="AS227" i="22"/>
  <c r="AT227" i="22"/>
  <c r="AQ287" i="23"/>
  <c r="AH287" i="23"/>
  <c r="AO287" i="23"/>
  <c r="AD287" i="23"/>
  <c r="AJ287" i="23" s="1"/>
  <c r="AH224" i="23"/>
  <c r="AG347" i="22"/>
  <c r="AR347" i="22"/>
  <c r="AK347" i="22"/>
  <c r="AC392" i="9"/>
  <c r="AA392" i="9"/>
  <c r="AW60" i="23"/>
  <c r="P60" i="23"/>
  <c r="AU60" i="23"/>
  <c r="AY60" i="23"/>
  <c r="AX60" i="23"/>
  <c r="BC60" i="23" s="1"/>
  <c r="AV60" i="23"/>
  <c r="AH149" i="23"/>
  <c r="AT57" i="22"/>
  <c r="AJ124" i="23"/>
  <c r="AK124" i="23"/>
  <c r="AS285" i="22"/>
  <c r="AL285" i="22"/>
  <c r="AR195" i="22"/>
  <c r="AX195" i="22" s="1"/>
  <c r="AK195" i="22"/>
  <c r="AG195" i="22"/>
  <c r="AL11" i="8"/>
  <c r="AR294" i="22"/>
  <c r="AG294" i="22"/>
  <c r="AT294" i="22"/>
  <c r="AQ342" i="23"/>
  <c r="AO342" i="23"/>
  <c r="AD342" i="23"/>
  <c r="AH342" i="23" s="1"/>
  <c r="AG57" i="22"/>
  <c r="AH124" i="23"/>
  <c r="AG392" i="22"/>
  <c r="AN392" i="22" s="1"/>
  <c r="AR392" i="22"/>
  <c r="AS222" i="22"/>
  <c r="AL222" i="22"/>
  <c r="AT455" i="22"/>
  <c r="AS160" i="23"/>
  <c r="AL160" i="23"/>
  <c r="AD160" i="23"/>
  <c r="AR160" i="23"/>
  <c r="AT335" i="22"/>
  <c r="AG128" i="22"/>
  <c r="AK128" i="22" s="1"/>
  <c r="AR128" i="22"/>
  <c r="AU281" i="22"/>
  <c r="AV281" i="22"/>
  <c r="AR114" i="23"/>
  <c r="AS114" i="23"/>
  <c r="AD114" i="23"/>
  <c r="AT277" i="22"/>
  <c r="AV22" i="22"/>
  <c r="AU22" i="22"/>
  <c r="AN22" i="22"/>
  <c r="BA22" i="22" s="1"/>
  <c r="AP153" i="23"/>
  <c r="AI153" i="23"/>
  <c r="AQ153" i="23"/>
  <c r="AN25" i="18"/>
  <c r="AF11" i="8"/>
  <c r="AH344" i="23"/>
  <c r="AD344" i="23"/>
  <c r="AQ344" i="23"/>
  <c r="AO344" i="23"/>
  <c r="AV106" i="22"/>
  <c r="AS111" i="23"/>
  <c r="AD111" i="23"/>
  <c r="AL111" i="23" s="1"/>
  <c r="AO136" i="22"/>
  <c r="BB136" i="22" s="1"/>
  <c r="AM136" i="22"/>
  <c r="AZ136" i="22" s="1"/>
  <c r="AN136" i="22"/>
  <c r="BA136" i="22" s="1"/>
  <c r="BF136" i="22" s="1"/>
  <c r="AU162" i="22"/>
  <c r="BA162" i="22" s="1"/>
  <c r="AN162" i="22"/>
  <c r="AU251" i="22"/>
  <c r="AV251" i="22"/>
  <c r="AC228" i="9"/>
  <c r="AB228" i="9"/>
  <c r="AP369" i="23"/>
  <c r="AO193" i="23"/>
  <c r="AT242" i="22"/>
  <c r="AP355" i="23"/>
  <c r="T17" i="8"/>
  <c r="T7" i="8"/>
  <c r="T86" i="8" s="1"/>
  <c r="T11" i="8"/>
  <c r="AU35" i="22"/>
  <c r="AV35" i="22"/>
  <c r="AI300" i="23"/>
  <c r="AP300" i="23"/>
  <c r="AM189" i="22"/>
  <c r="AO189" i="22"/>
  <c r="AL189" i="22"/>
  <c r="AS226" i="22"/>
  <c r="AS343" i="22"/>
  <c r="AH187" i="23"/>
  <c r="AM187" i="23" s="1"/>
  <c r="AC487" i="9"/>
  <c r="AA487" i="9"/>
  <c r="AU191" i="22"/>
  <c r="BA191" i="22" s="1"/>
  <c r="AV191" i="22"/>
  <c r="AK481" i="22"/>
  <c r="AG481" i="22"/>
  <c r="AR481" i="22"/>
  <c r="AU195" i="22"/>
  <c r="BA195" i="22" s="1"/>
  <c r="AN195" i="22"/>
  <c r="AV195" i="22"/>
  <c r="AP215" i="23"/>
  <c r="AI215" i="23"/>
  <c r="AR227" i="23"/>
  <c r="AK227" i="23"/>
  <c r="AN110" i="22"/>
  <c r="BA110" i="22" s="1"/>
  <c r="BF110" i="22" s="1"/>
  <c r="AM110" i="22"/>
  <c r="AZ110" i="22" s="1"/>
  <c r="AO332" i="23"/>
  <c r="AD332" i="23"/>
  <c r="AJ332" i="23" s="1"/>
  <c r="AQ332" i="23"/>
  <c r="AU271" i="22"/>
  <c r="AN271" i="22"/>
  <c r="AL246" i="23"/>
  <c r="AS246" i="23"/>
  <c r="AR294" i="23"/>
  <c r="AU259" i="22"/>
  <c r="AV259" i="22"/>
  <c r="BP163" i="22"/>
  <c r="BQ163" i="22" s="1"/>
  <c r="D108" i="16"/>
  <c r="AL108" i="16" s="1"/>
  <c r="AP198" i="23"/>
  <c r="AI198" i="23"/>
  <c r="AQ198" i="23"/>
  <c r="AO198" i="23"/>
  <c r="AC352" i="9"/>
  <c r="AB352" i="9"/>
  <c r="AP96" i="23"/>
  <c r="AI96" i="23"/>
  <c r="AJ275" i="23"/>
  <c r="AH275" i="23"/>
  <c r="AU67" i="22"/>
  <c r="AN67" i="22"/>
  <c r="AV67" i="22"/>
  <c r="R99" i="7"/>
  <c r="R101" i="7"/>
  <c r="R102" i="7"/>
  <c r="R98" i="7"/>
  <c r="R103" i="7"/>
  <c r="AQ147" i="23"/>
  <c r="AO147" i="23"/>
  <c r="AD147" i="23"/>
  <c r="AJ147" i="23" s="1"/>
  <c r="AP346" i="23"/>
  <c r="AI346" i="23"/>
  <c r="AK219" i="23"/>
  <c r="N196" i="12"/>
  <c r="N201" i="12"/>
  <c r="N202" i="12"/>
  <c r="N197" i="12"/>
  <c r="N200" i="12"/>
  <c r="N198" i="12"/>
  <c r="N204" i="12"/>
  <c r="N203" i="12"/>
  <c r="AG432" i="22"/>
  <c r="AK432" i="22" s="1"/>
  <c r="AR432" i="22"/>
  <c r="AS223" i="23"/>
  <c r="AR223" i="23"/>
  <c r="AS142" i="22"/>
  <c r="AY142" i="22" s="1"/>
  <c r="AT142" i="22"/>
  <c r="AS277" i="22"/>
  <c r="AC192" i="9"/>
  <c r="AB192" i="9"/>
  <c r="R53" i="8"/>
  <c r="S45" i="8"/>
  <c r="S53" i="8" s="1"/>
  <c r="BZ177" i="22"/>
  <c r="AG491" i="22"/>
  <c r="AK491" i="22" s="1"/>
  <c r="AR491" i="22"/>
  <c r="AK217" i="23"/>
  <c r="AR217" i="23"/>
  <c r="AS217" i="23"/>
  <c r="AD217" i="23"/>
  <c r="AR127" i="23"/>
  <c r="AD127" i="23"/>
  <c r="AS127" i="23"/>
  <c r="AG449" i="22"/>
  <c r="AR449" i="22"/>
  <c r="AT449" i="22"/>
  <c r="AD151" i="23"/>
  <c r="AJ151" i="23" s="1"/>
  <c r="AO151" i="23"/>
  <c r="AQ151" i="23"/>
  <c r="AM28" i="22"/>
  <c r="AZ28" i="22" s="1"/>
  <c r="AO28" i="22"/>
  <c r="BB28" i="22" s="1"/>
  <c r="AS221" i="23"/>
  <c r="AL219" i="23"/>
  <c r="AS373" i="22"/>
  <c r="AL373" i="22"/>
  <c r="AP342" i="23"/>
  <c r="AG148" i="22"/>
  <c r="AK148" i="22" s="1"/>
  <c r="AR148" i="22"/>
  <c r="AX148" i="22" s="1"/>
  <c r="AT148" i="22"/>
  <c r="AG165" i="22"/>
  <c r="AR165" i="22"/>
  <c r="AX165" i="22" s="1"/>
  <c r="AK165" i="22"/>
  <c r="AT165" i="22"/>
  <c r="AS165" i="22"/>
  <c r="AY165" i="22" s="1"/>
  <c r="E124" i="16"/>
  <c r="AP336" i="23"/>
  <c r="AI336" i="23"/>
  <c r="AB274" i="9"/>
  <c r="AG451" i="22"/>
  <c r="AK451" i="22"/>
  <c r="AR451" i="22"/>
  <c r="AT451" i="22"/>
  <c r="AP76" i="23"/>
  <c r="AI76" i="23"/>
  <c r="AO76" i="23"/>
  <c r="AQ76" i="23"/>
  <c r="AD76" i="23"/>
  <c r="AS429" i="22"/>
  <c r="AD97" i="23"/>
  <c r="AS135" i="22"/>
  <c r="AR135" i="22"/>
  <c r="AG135" i="22"/>
  <c r="AT135" i="22"/>
  <c r="AL149" i="23"/>
  <c r="AT183" i="22"/>
  <c r="AK65" i="23"/>
  <c r="AX65" i="23" s="1"/>
  <c r="AL364" i="23"/>
  <c r="AS364" i="23"/>
  <c r="AU88" i="22"/>
  <c r="AV88" i="22"/>
  <c r="R160" i="8"/>
  <c r="AS33" i="12"/>
  <c r="AS32" i="12"/>
  <c r="AG487" i="22"/>
  <c r="AK487" i="22" s="1"/>
  <c r="AR487" i="22"/>
  <c r="AA204" i="9"/>
  <c r="R156" i="8"/>
  <c r="AA362" i="9"/>
  <c r="AS322" i="22"/>
  <c r="AT322" i="22"/>
  <c r="AP126" i="23"/>
  <c r="AI126" i="23"/>
  <c r="AO126" i="23"/>
  <c r="AG492" i="22"/>
  <c r="AR492" i="22"/>
  <c r="AL309" i="22"/>
  <c r="AS309" i="22"/>
  <c r="AO190" i="23"/>
  <c r="AS233" i="23"/>
  <c r="AS176" i="23"/>
  <c r="AR342" i="22"/>
  <c r="AG342" i="22"/>
  <c r="AS342" i="22"/>
  <c r="AS448" i="22"/>
  <c r="AS241" i="22"/>
  <c r="AU420" i="22"/>
  <c r="AV420" i="22"/>
  <c r="AU95" i="22"/>
  <c r="AN95" i="22"/>
  <c r="AQ320" i="23"/>
  <c r="AO320" i="23"/>
  <c r="AD320" i="23"/>
  <c r="AH320" i="23" s="1"/>
  <c r="AS98" i="22"/>
  <c r="AL98" i="22"/>
  <c r="AT98" i="22"/>
  <c r="AR98" i="22"/>
  <c r="AG98" i="22"/>
  <c r="AG216" i="22"/>
  <c r="AL216" i="22" s="1"/>
  <c r="AR216" i="22"/>
  <c r="AK216" i="22"/>
  <c r="AT216" i="22"/>
  <c r="AU307" i="22"/>
  <c r="AV211" i="22"/>
  <c r="AP277" i="23"/>
  <c r="AI277" i="23"/>
  <c r="AS105" i="23"/>
  <c r="AU292" i="22"/>
  <c r="AN292" i="22"/>
  <c r="AV292" i="22"/>
  <c r="AS368" i="23"/>
  <c r="AT95" i="22"/>
  <c r="AK403" i="22"/>
  <c r="AP403" i="22" s="1"/>
  <c r="AG398" i="22"/>
  <c r="AR398" i="22"/>
  <c r="AT398" i="22"/>
  <c r="AS385" i="22"/>
  <c r="AV505" i="22"/>
  <c r="AJ204" i="23"/>
  <c r="AH204" i="23"/>
  <c r="AJ158" i="23"/>
  <c r="AL158" i="23"/>
  <c r="L124" i="12"/>
  <c r="M124" i="12" s="1"/>
  <c r="M122" i="12"/>
  <c r="AG66" i="22"/>
  <c r="AK66" i="22" s="1"/>
  <c r="AT66" i="22"/>
  <c r="AR66" i="22"/>
  <c r="AT491" i="22"/>
  <c r="AN365" i="22"/>
  <c r="AU365" i="22"/>
  <c r="AV365" i="22"/>
  <c r="S52" i="8"/>
  <c r="T52" i="8" s="1"/>
  <c r="AU239" i="22"/>
  <c r="AV239" i="22"/>
  <c r="R163" i="8"/>
  <c r="AI344" i="23"/>
  <c r="AP344" i="23"/>
  <c r="AK136" i="22"/>
  <c r="AU264" i="22"/>
  <c r="AN264" i="22"/>
  <c r="AV264" i="22"/>
  <c r="Q187" i="12"/>
  <c r="V175" i="22"/>
  <c r="AU200" i="22"/>
  <c r="AA228" i="9"/>
  <c r="AV308" i="22"/>
  <c r="AO369" i="23"/>
  <c r="AD369" i="23"/>
  <c r="AH369" i="23" s="1"/>
  <c r="AQ369" i="23"/>
  <c r="AQ193" i="23"/>
  <c r="AT184" i="22"/>
  <c r="AV107" i="22"/>
  <c r="AT507" i="22"/>
  <c r="AN463" i="22"/>
  <c r="AU463" i="22"/>
  <c r="AV463" i="22"/>
  <c r="AS238" i="22"/>
  <c r="AG238" i="22"/>
  <c r="AL238" i="22" s="1"/>
  <c r="T51" i="8"/>
  <c r="V51" i="8" s="1"/>
  <c r="T43" i="8"/>
  <c r="T42" i="8"/>
  <c r="T44" i="8"/>
  <c r="AU231" i="22"/>
  <c r="AV231" i="22"/>
  <c r="AD259" i="23"/>
  <c r="AK189" i="22"/>
  <c r="AB163" i="9"/>
  <c r="AS185" i="22"/>
  <c r="AY185" i="22" s="1"/>
  <c r="AT185" i="22"/>
  <c r="AS272" i="22"/>
  <c r="AS383" i="22"/>
  <c r="AK190" i="9"/>
  <c r="AJ190" i="9"/>
  <c r="AC422" i="9"/>
  <c r="AB422" i="9"/>
  <c r="AH72" i="23"/>
  <c r="AD72" i="23"/>
  <c r="AQ72" i="23"/>
  <c r="AO72" i="23"/>
  <c r="AU433" i="22"/>
  <c r="AV433" i="22"/>
  <c r="AJ194" i="23"/>
  <c r="AL194" i="23"/>
  <c r="AS301" i="23"/>
  <c r="AL301" i="23"/>
  <c r="AA404" i="9"/>
  <c r="AS152" i="22"/>
  <c r="AY152" i="22" s="1"/>
  <c r="AL152" i="22"/>
  <c r="AL199" i="23"/>
  <c r="AS199" i="23"/>
  <c r="AK195" i="9"/>
  <c r="AJ195" i="9"/>
  <c r="AK110" i="22"/>
  <c r="AD210" i="23"/>
  <c r="AH210" i="23" s="1"/>
  <c r="AO210" i="23"/>
  <c r="AQ210" i="23"/>
  <c r="AA298" i="9"/>
  <c r="AC298" i="9"/>
  <c r="AD104" i="23"/>
  <c r="AQ104" i="23"/>
  <c r="AH104" i="23"/>
  <c r="AO104" i="23"/>
  <c r="AR237" i="23"/>
  <c r="AK237" i="23"/>
  <c r="AO184" i="23"/>
  <c r="AD184" i="23"/>
  <c r="AQ184" i="23"/>
  <c r="AS491" i="22"/>
  <c r="AL491" i="22"/>
  <c r="AO327" i="23"/>
  <c r="AD327" i="23"/>
  <c r="AI327" i="23" s="1"/>
  <c r="AQ327" i="23"/>
  <c r="AU80" i="22"/>
  <c r="AR326" i="23"/>
  <c r="AK326" i="23"/>
  <c r="AC460" i="9"/>
  <c r="AB460" i="9"/>
  <c r="AG164" i="22"/>
  <c r="AL164" i="22" s="1"/>
  <c r="AP70" i="23"/>
  <c r="AQ70" i="23"/>
  <c r="AO70" i="23"/>
  <c r="AD70" i="23"/>
  <c r="AI70" i="23" s="1"/>
  <c r="AK331" i="22"/>
  <c r="AG191" i="22"/>
  <c r="AR191" i="22"/>
  <c r="AX191" i="22" s="1"/>
  <c r="AC242" i="9"/>
  <c r="AB242" i="9"/>
  <c r="AQ295" i="23"/>
  <c r="AD295" i="23"/>
  <c r="AO295" i="23"/>
  <c r="AH295" i="23"/>
  <c r="AR244" i="23"/>
  <c r="AK244" i="23"/>
  <c r="AP317" i="23"/>
  <c r="AA281" i="9"/>
  <c r="AO254" i="23"/>
  <c r="AD254" i="23"/>
  <c r="AH254" i="23" s="1"/>
  <c r="AQ254" i="23"/>
  <c r="AP254" i="23"/>
  <c r="AS453" i="22"/>
  <c r="AL453" i="22"/>
  <c r="AQ317" i="23"/>
  <c r="AO317" i="23"/>
  <c r="AD317" i="23"/>
  <c r="AI317" i="23" s="1"/>
  <c r="AS210" i="22"/>
  <c r="AG391" i="22"/>
  <c r="AR391" i="22"/>
  <c r="AK391" i="22"/>
  <c r="AU232" i="22"/>
  <c r="AV232" i="22"/>
  <c r="AR213" i="23"/>
  <c r="AK213" i="23"/>
  <c r="AR167" i="23"/>
  <c r="AP194" i="23"/>
  <c r="AI194" i="23"/>
  <c r="J82" i="12"/>
  <c r="AS70" i="12"/>
  <c r="AS74" i="12" s="1"/>
  <c r="AP314" i="23"/>
  <c r="AI314" i="23"/>
  <c r="AJ197" i="23"/>
  <c r="AM197" i="23" s="1"/>
  <c r="AK197" i="23"/>
  <c r="AR302" i="23"/>
  <c r="AK302" i="23"/>
  <c r="AQ98" i="23"/>
  <c r="AO98" i="23"/>
  <c r="AH98" i="23"/>
  <c r="AD98" i="23"/>
  <c r="AK98" i="23" s="1"/>
  <c r="AJ84" i="23"/>
  <c r="AH84" i="23"/>
  <c r="AI84" i="23"/>
  <c r="AS49" i="12"/>
  <c r="AS48" i="12"/>
  <c r="AJ69" i="23"/>
  <c r="AH69" i="23"/>
  <c r="AS252" i="22"/>
  <c r="AL252" i="22"/>
  <c r="AT252" i="22"/>
  <c r="AG252" i="22"/>
  <c r="AR252" i="22"/>
  <c r="AO437" i="22"/>
  <c r="J5" i="12"/>
  <c r="N39" i="12"/>
  <c r="N49" i="12" s="1"/>
  <c r="N139" i="12" s="1"/>
  <c r="N43" i="12"/>
  <c r="N44" i="12"/>
  <c r="N40" i="12"/>
  <c r="AR235" i="22"/>
  <c r="AG235" i="22"/>
  <c r="AK235" i="22" s="1"/>
  <c r="AN41" i="16"/>
  <c r="AE40" i="19" s="1"/>
  <c r="AE34" i="19"/>
  <c r="AN42" i="16"/>
  <c r="AE41" i="19" s="1"/>
  <c r="AC370" i="9"/>
  <c r="AB370" i="9"/>
  <c r="AA270" i="9"/>
  <c r="B9" i="16"/>
  <c r="G52" i="16"/>
  <c r="G57" i="16"/>
  <c r="G56" i="16"/>
  <c r="G58" i="16"/>
  <c r="G55" i="16"/>
  <c r="G53" i="16"/>
  <c r="G51" i="16"/>
  <c r="G50" i="16"/>
  <c r="AS431" i="22"/>
  <c r="AL431" i="22"/>
  <c r="AL443" i="22"/>
  <c r="AS443" i="22"/>
  <c r="AM12" i="22"/>
  <c r="AZ12" i="22" s="1"/>
  <c r="AO12" i="22"/>
  <c r="BB12" i="22" s="1"/>
  <c r="AN12" i="22"/>
  <c r="BA12" i="22" s="1"/>
  <c r="S126" i="8"/>
  <c r="T126" i="8" s="1"/>
  <c r="AQ190" i="23"/>
  <c r="AF31" i="19"/>
  <c r="AO35" i="16"/>
  <c r="AP41" i="16" s="1"/>
  <c r="AO37" i="16"/>
  <c r="AF36" i="19" s="1"/>
  <c r="AO38" i="16"/>
  <c r="AF37" i="19" s="1"/>
  <c r="AS198" i="22"/>
  <c r="AY198" i="22" s="1"/>
  <c r="AL198" i="22"/>
  <c r="AT198" i="22"/>
  <c r="AR14" i="22"/>
  <c r="AG14" i="22"/>
  <c r="AT14" i="22"/>
  <c r="AU469" i="22"/>
  <c r="AN469" i="22"/>
  <c r="AL105" i="23"/>
  <c r="AC476" i="9"/>
  <c r="AB476" i="9"/>
  <c r="AA476" i="9"/>
  <c r="Q28" i="27"/>
  <c r="O73" i="23" s="1"/>
  <c r="Q12" i="27"/>
  <c r="U205" i="22"/>
  <c r="W205" i="22" s="1"/>
  <c r="G39" i="16"/>
  <c r="AR400" i="22"/>
  <c r="AG400" i="22"/>
  <c r="AN400" i="22" s="1"/>
  <c r="AK400" i="22"/>
  <c r="AB446" i="9"/>
  <c r="R186" i="12"/>
  <c r="AU58" i="12"/>
  <c r="AV65" i="12" s="1"/>
  <c r="AU61" i="12"/>
  <c r="AU60" i="12"/>
  <c r="M105" i="12"/>
  <c r="M213" i="12" s="1"/>
  <c r="M9" i="12"/>
  <c r="AG119" i="22"/>
  <c r="AL119" i="22" s="1"/>
  <c r="AY119" i="22" s="1"/>
  <c r="AR119" i="22"/>
  <c r="AS379" i="22"/>
  <c r="AT210" i="22"/>
  <c r="AV395" i="22"/>
  <c r="AS213" i="23"/>
  <c r="AO357" i="23"/>
  <c r="AQ357" i="23"/>
  <c r="AD357" i="23"/>
  <c r="AV397" i="22"/>
  <c r="AT243" i="22"/>
  <c r="AD190" i="23"/>
  <c r="AL94" i="23"/>
  <c r="AP142" i="23"/>
  <c r="AQ142" i="23"/>
  <c r="AO142" i="23"/>
  <c r="AD142" i="23"/>
  <c r="AI142" i="23" s="1"/>
  <c r="N195" i="12"/>
  <c r="AK305" i="22"/>
  <c r="AR305" i="22"/>
  <c r="AG305" i="22"/>
  <c r="AS305" i="22"/>
  <c r="AT305" i="22"/>
  <c r="AS462" i="22"/>
  <c r="AT462" i="22"/>
  <c r="AS32" i="22"/>
  <c r="AU337" i="22"/>
  <c r="AP320" i="23"/>
  <c r="AR304" i="22"/>
  <c r="AG304" i="22"/>
  <c r="AN304" i="22" s="1"/>
  <c r="AU196" i="22"/>
  <c r="BA196" i="22" s="1"/>
  <c r="AN196" i="22"/>
  <c r="AQ241" i="23"/>
  <c r="AO241" i="23"/>
  <c r="AD241" i="23"/>
  <c r="AH241" i="23" s="1"/>
  <c r="AP241" i="23"/>
  <c r="AO288" i="23"/>
  <c r="AH288" i="23"/>
  <c r="AD288" i="23"/>
  <c r="AJ288" i="23" s="1"/>
  <c r="AQ288" i="23"/>
  <c r="AP66" i="23"/>
  <c r="AP110" i="23"/>
  <c r="AR482" i="22"/>
  <c r="AG482" i="22"/>
  <c r="AN482" i="22" s="1"/>
  <c r="AT482" i="22"/>
  <c r="AG245" i="22"/>
  <c r="AR245" i="22"/>
  <c r="AT245" i="22"/>
  <c r="AS245" i="22"/>
  <c r="AS188" i="22"/>
  <c r="AY188" i="22" s="1"/>
  <c r="AL188" i="22"/>
  <c r="AU415" i="22"/>
  <c r="AN415" i="22"/>
  <c r="AV415" i="22"/>
  <c r="AO502" i="22"/>
  <c r="AJ238" i="23"/>
  <c r="AL238" i="23"/>
  <c r="AS293" i="23"/>
  <c r="AU220" i="22"/>
  <c r="AV220" i="22"/>
  <c r="AU375" i="22"/>
  <c r="AN375" i="22"/>
  <c r="AV375" i="22"/>
  <c r="AR433" i="22"/>
  <c r="AG433" i="22"/>
  <c r="AL433" i="22" s="1"/>
  <c r="AS279" i="22"/>
  <c r="AL279" i="22"/>
  <c r="AU476" i="22"/>
  <c r="AN476" i="22"/>
  <c r="AT158" i="22"/>
  <c r="AM158" i="23"/>
  <c r="AN37" i="16"/>
  <c r="AE36" i="19" s="1"/>
  <c r="AE43" i="19" s="1"/>
  <c r="AL239" i="12" s="1"/>
  <c r="AN39" i="16"/>
  <c r="AE38" i="19" s="1"/>
  <c r="AE32" i="19"/>
  <c r="AN40" i="16"/>
  <c r="AE39" i="19" s="1"/>
  <c r="AN38" i="16"/>
  <c r="AE37" i="19" s="1"/>
  <c r="AO39" i="16"/>
  <c r="AF38" i="19" s="1"/>
  <c r="AO40" i="16"/>
  <c r="AF39" i="19" s="1"/>
  <c r="AR68" i="22"/>
  <c r="AK68" i="22"/>
  <c r="AG68" i="22"/>
  <c r="AT68" i="22"/>
  <c r="AN342" i="22"/>
  <c r="AU342" i="22"/>
  <c r="S49" i="8"/>
  <c r="T49" i="8" s="1"/>
  <c r="AU157" i="22"/>
  <c r="BA157" i="22" s="1"/>
  <c r="AC218" i="9"/>
  <c r="AB218" i="9"/>
  <c r="AO308" i="23"/>
  <c r="AH308" i="23"/>
  <c r="AD308" i="23"/>
  <c r="AJ308" i="23" s="1"/>
  <c r="AQ308" i="23"/>
  <c r="AR91" i="23"/>
  <c r="AL84" i="23"/>
  <c r="V187" i="22"/>
  <c r="AU74" i="22"/>
  <c r="AC438" i="9"/>
  <c r="AB438" i="9"/>
  <c r="AK101" i="23"/>
  <c r="AQ309" i="23"/>
  <c r="AD309" i="23"/>
  <c r="AO309" i="23"/>
  <c r="AH309" i="23"/>
  <c r="AS146" i="22"/>
  <c r="AY146" i="22" s="1"/>
  <c r="AL146" i="22"/>
  <c r="AU145" i="22"/>
  <c r="BA145" i="22" s="1"/>
  <c r="AN145" i="22"/>
  <c r="AT280" i="22"/>
  <c r="AD137" i="23"/>
  <c r="AK137" i="23" s="1"/>
  <c r="BY189" i="22"/>
  <c r="AZ189" i="22"/>
  <c r="AL28" i="22"/>
  <c r="AY28" i="22" s="1"/>
  <c r="AG155" i="22"/>
  <c r="AR155" i="22"/>
  <c r="AX155" i="22" s="1"/>
  <c r="AK155" i="22"/>
  <c r="AT155" i="22"/>
  <c r="AR388" i="22"/>
  <c r="AG388" i="22"/>
  <c r="AK388" i="22"/>
  <c r="AT388" i="22"/>
  <c r="AC375" i="9"/>
  <c r="AB375" i="9"/>
  <c r="AS187" i="22"/>
  <c r="AY187" i="22" s="1"/>
  <c r="AL187" i="22"/>
  <c r="AK324" i="23"/>
  <c r="AR324" i="23"/>
  <c r="AS324" i="23"/>
  <c r="AR86" i="23"/>
  <c r="AK86" i="23"/>
  <c r="Q19" i="32"/>
  <c r="R204" i="9"/>
  <c r="S31" i="8"/>
  <c r="AC491" i="9"/>
  <c r="AA491" i="9"/>
  <c r="AS202" i="23"/>
  <c r="AN285" i="22"/>
  <c r="AU285" i="22"/>
  <c r="AK153" i="9"/>
  <c r="AJ153" i="9"/>
  <c r="AU395" i="22"/>
  <c r="AN395" i="22"/>
  <c r="AR365" i="23"/>
  <c r="AK365" i="23"/>
  <c r="AS315" i="22"/>
  <c r="AU197" i="22"/>
  <c r="BA197" i="22" s="1"/>
  <c r="AN197" i="22"/>
  <c r="AV197" i="22"/>
  <c r="AS109" i="23"/>
  <c r="AR109" i="23"/>
  <c r="AL314" i="23"/>
  <c r="AS314" i="23"/>
  <c r="AR314" i="23"/>
  <c r="AS507" i="22"/>
  <c r="AR165" i="23"/>
  <c r="AK165" i="23"/>
  <c r="AM331" i="22"/>
  <c r="AR159" i="22"/>
  <c r="AX159" i="22" s="1"/>
  <c r="AG159" i="22"/>
  <c r="AL471" i="22"/>
  <c r="AS471" i="22"/>
  <c r="AT471" i="22"/>
  <c r="AR471" i="22"/>
  <c r="AS92" i="23"/>
  <c r="AL92" i="23"/>
  <c r="AK363" i="22"/>
  <c r="AG363" i="22"/>
  <c r="AR363" i="22"/>
  <c r="AT363" i="22"/>
  <c r="AS363" i="22"/>
  <c r="AR345" i="22"/>
  <c r="AG345" i="22"/>
  <c r="AN345" i="22" s="1"/>
  <c r="AM47" i="22"/>
  <c r="AO47" i="22"/>
  <c r="AK47" i="22"/>
  <c r="AJ180" i="23"/>
  <c r="AH180" i="23"/>
  <c r="AA385" i="9"/>
  <c r="AS247" i="22"/>
  <c r="AL247" i="22"/>
  <c r="AK70" i="23"/>
  <c r="AL465" i="22"/>
  <c r="AS465" i="22"/>
  <c r="AJ128" i="23"/>
  <c r="AK128" i="23"/>
  <c r="AP282" i="23"/>
  <c r="AG209" i="22"/>
  <c r="AR209" i="22"/>
  <c r="AK209" i="22"/>
  <c r="AT209" i="22"/>
  <c r="AK182" i="9"/>
  <c r="AJ182" i="9"/>
  <c r="S50" i="8"/>
  <c r="AH94" i="23"/>
  <c r="AK486" i="22"/>
  <c r="AG486" i="22"/>
  <c r="AR486" i="22"/>
  <c r="AT486" i="22"/>
  <c r="AM41" i="16"/>
  <c r="AD40" i="19" s="1"/>
  <c r="AM42" i="16"/>
  <c r="AD41" i="19" s="1"/>
  <c r="AD34" i="19"/>
  <c r="AD43" i="19" s="1"/>
  <c r="AK239" i="12" s="1"/>
  <c r="AI276" i="23"/>
  <c r="AP276" i="23"/>
  <c r="AB504" i="9"/>
  <c r="AC504" i="9"/>
  <c r="AU333" i="22"/>
  <c r="AS176" i="22"/>
  <c r="AY176" i="22" s="1"/>
  <c r="AK194" i="22"/>
  <c r="AO194" i="22"/>
  <c r="AL179" i="22"/>
  <c r="AS179" i="22"/>
  <c r="AY179" i="22" s="1"/>
  <c r="AT179" i="22"/>
  <c r="AA504" i="9"/>
  <c r="AG60" i="22"/>
  <c r="AK60" i="22"/>
  <c r="AT60" i="22"/>
  <c r="AR60" i="22"/>
  <c r="AS60" i="22"/>
  <c r="AQ203" i="23"/>
  <c r="T179" i="12"/>
  <c r="AB159" i="9"/>
  <c r="AC159" i="9"/>
  <c r="AO346" i="22"/>
  <c r="AS237" i="23"/>
  <c r="AI258" i="23"/>
  <c r="AM258" i="23" s="1"/>
  <c r="AS139" i="22"/>
  <c r="AY139" i="22" s="1"/>
  <c r="AR376" i="22"/>
  <c r="AG376" i="22"/>
  <c r="AN325" i="22"/>
  <c r="AU325" i="22"/>
  <c r="AV325" i="22"/>
  <c r="AS218" i="22"/>
  <c r="AT218" i="22"/>
  <c r="AC235" i="9"/>
  <c r="AA235" i="9"/>
  <c r="AR420" i="22"/>
  <c r="AG420" i="22"/>
  <c r="AS420" i="22"/>
  <c r="AB160" i="9"/>
  <c r="AC160" i="9"/>
  <c r="AG324" i="22"/>
  <c r="AK324" i="22" s="1"/>
  <c r="AR324" i="22"/>
  <c r="AT324" i="22"/>
  <c r="AS418" i="22"/>
  <c r="AT418" i="22"/>
  <c r="AS287" i="23"/>
  <c r="AL287" i="23"/>
  <c r="AP357" i="23"/>
  <c r="AI357" i="23"/>
  <c r="AB204" i="9"/>
  <c r="AV299" i="22"/>
  <c r="AB491" i="9"/>
  <c r="AG409" i="22"/>
  <c r="AR409" i="22"/>
  <c r="AK409" i="22"/>
  <c r="AS475" i="22"/>
  <c r="AL475" i="22"/>
  <c r="AS103" i="22"/>
  <c r="AQ349" i="23"/>
  <c r="AO349" i="23"/>
  <c r="AD349" i="23"/>
  <c r="AH349" i="23" s="1"/>
  <c r="AR274" i="23"/>
  <c r="AK274" i="23"/>
  <c r="AS274" i="23"/>
  <c r="AT432" i="22"/>
  <c r="AR475" i="22"/>
  <c r="AG475" i="22"/>
  <c r="AK475" i="22" s="1"/>
  <c r="AD236" i="23"/>
  <c r="AO236" i="23"/>
  <c r="AH236" i="23"/>
  <c r="AQ236" i="23"/>
  <c r="AP288" i="23"/>
  <c r="AI288" i="23"/>
  <c r="AP202" i="23"/>
  <c r="AQ202" i="23"/>
  <c r="AD202" i="23"/>
  <c r="AK202" i="23" s="1"/>
  <c r="AO202" i="23"/>
  <c r="AG445" i="22"/>
  <c r="AR445" i="22"/>
  <c r="AK445" i="22"/>
  <c r="AK318" i="22"/>
  <c r="AG318" i="22"/>
  <c r="AR318" i="22"/>
  <c r="AT318" i="22"/>
  <c r="AS225" i="22"/>
  <c r="AR225" i="22"/>
  <c r="AG225" i="22"/>
  <c r="AN225" i="22" s="1"/>
  <c r="AT225" i="22"/>
  <c r="AN354" i="22"/>
  <c r="AU354" i="22"/>
  <c r="AH238" i="23"/>
  <c r="AM238" i="23" s="1"/>
  <c r="AS229" i="23"/>
  <c r="AT361" i="22"/>
  <c r="BB85" i="22"/>
  <c r="AU257" i="22"/>
  <c r="AN257" i="22"/>
  <c r="AV257" i="22"/>
  <c r="AG262" i="22"/>
  <c r="AR262" i="22"/>
  <c r="AT262" i="22"/>
  <c r="AS242" i="22"/>
  <c r="AT411" i="22"/>
  <c r="AU360" i="22"/>
  <c r="AV360" i="22"/>
  <c r="AV456" i="22"/>
  <c r="AL284" i="23"/>
  <c r="AS284" i="23"/>
  <c r="AL476" i="22"/>
  <c r="AS476" i="22"/>
  <c r="AU436" i="22"/>
  <c r="AG436" i="22"/>
  <c r="AU216" i="22"/>
  <c r="AN216" i="22"/>
  <c r="AL486" i="22"/>
  <c r="AS486" i="22"/>
  <c r="AQ249" i="23"/>
  <c r="AH249" i="23"/>
  <c r="AD249" i="23"/>
  <c r="AO249" i="23"/>
  <c r="S48" i="8"/>
  <c r="AT241" i="22"/>
  <c r="AU146" i="22"/>
  <c r="BA146" i="22" s="1"/>
  <c r="AN146" i="22"/>
  <c r="AV146" i="22"/>
  <c r="AS190" i="23"/>
  <c r="AU424" i="22"/>
  <c r="AA218" i="9"/>
  <c r="AI308" i="23"/>
  <c r="AP308" i="23"/>
  <c r="AT358" i="22"/>
  <c r="AQ89" i="23"/>
  <c r="AH89" i="23"/>
  <c r="AD89" i="23"/>
  <c r="AI89" i="23" s="1"/>
  <c r="AO89" i="23"/>
  <c r="AK199" i="22"/>
  <c r="AG199" i="22"/>
  <c r="AR199" i="22"/>
  <c r="AX199" i="22" s="1"/>
  <c r="AU138" i="22"/>
  <c r="BA138" i="22" s="1"/>
  <c r="AV138" i="22"/>
  <c r="AP311" i="23"/>
  <c r="AA438" i="9"/>
  <c r="AV271" i="22"/>
  <c r="AP309" i="23"/>
  <c r="AI309" i="23"/>
  <c r="AT453" i="22"/>
  <c r="AS214" i="22"/>
  <c r="AU479" i="22"/>
  <c r="AV479" i="22"/>
  <c r="AS449" i="22"/>
  <c r="AG496" i="22"/>
  <c r="AT302" i="22"/>
  <c r="AO233" i="22"/>
  <c r="AK233" i="22"/>
  <c r="AM233" i="22"/>
  <c r="BF173" i="22"/>
  <c r="BN173" i="22" s="1"/>
  <c r="CB173" i="22"/>
  <c r="BB173" i="22"/>
  <c r="K275" i="12"/>
  <c r="K291" i="12" s="1"/>
  <c r="AC473" i="9"/>
  <c r="AB473" i="9"/>
  <c r="AV61" i="22"/>
  <c r="AU61" i="22"/>
  <c r="AJ274" i="23"/>
  <c r="AL274" i="23"/>
  <c r="AS328" i="23"/>
  <c r="AR328" i="23"/>
  <c r="AU123" i="22"/>
  <c r="AN123" i="22"/>
  <c r="BA123" i="22" s="1"/>
  <c r="AV123" i="22"/>
  <c r="AR168" i="23"/>
  <c r="AK168" i="23"/>
  <c r="AS168" i="23"/>
  <c r="AD168" i="23"/>
  <c r="AQ87" i="23"/>
  <c r="AO87" i="23"/>
  <c r="AD87" i="23"/>
  <c r="AS90" i="22"/>
  <c r="AL90" i="22"/>
  <c r="AY90" i="22" s="1"/>
  <c r="AD296" i="23"/>
  <c r="AK296" i="23" s="1"/>
  <c r="AQ296" i="23"/>
  <c r="AO296" i="23"/>
  <c r="AH296" i="23"/>
  <c r="AJ122" i="23"/>
  <c r="AM122" i="23" s="1"/>
  <c r="AL122" i="23"/>
  <c r="AK122" i="23"/>
  <c r="AK121" i="23"/>
  <c r="AR121" i="23"/>
  <c r="AS121" i="23"/>
  <c r="AR417" i="22"/>
  <c r="AK417" i="22"/>
  <c r="AG417" i="22"/>
  <c r="AN417" i="22" s="1"/>
  <c r="AT417" i="22"/>
  <c r="AP106" i="23"/>
  <c r="AQ106" i="23"/>
  <c r="AD106" i="23"/>
  <c r="AP348" i="23"/>
  <c r="AR139" i="22"/>
  <c r="AX139" i="22" s="1"/>
  <c r="AG139" i="22"/>
  <c r="AL139" i="22" s="1"/>
  <c r="AT139" i="22"/>
  <c r="AU183" i="22"/>
  <c r="BA183" i="22" s="1"/>
  <c r="AN183" i="22"/>
  <c r="AV183" i="22"/>
  <c r="AS285" i="23"/>
  <c r="AL285" i="23"/>
  <c r="AK470" i="22"/>
  <c r="AO470" i="22"/>
  <c r="AN470" i="22"/>
  <c r="AB298" i="9"/>
  <c r="AB217" i="9"/>
  <c r="AC217" i="9"/>
  <c r="AJ74" i="23"/>
  <c r="AH74" i="23"/>
  <c r="AK40" i="22"/>
  <c r="AR457" i="22"/>
  <c r="AK457" i="22"/>
  <c r="AG457" i="22"/>
  <c r="AT457" i="22"/>
  <c r="AD198" i="23"/>
  <c r="AB376" i="9"/>
  <c r="AC376" i="9"/>
  <c r="AA376" i="9"/>
  <c r="AC231" i="9"/>
  <c r="AB231" i="9"/>
  <c r="AP351" i="23"/>
  <c r="AU236" i="22"/>
  <c r="AN236" i="22"/>
  <c r="AV236" i="22"/>
  <c r="AG265" i="22"/>
  <c r="AN265" i="22" s="1"/>
  <c r="AS115" i="22"/>
  <c r="AT115" i="22"/>
  <c r="AR296" i="23"/>
  <c r="AP347" i="23"/>
  <c r="AB439" i="9"/>
  <c r="AC439" i="9"/>
  <c r="S132" i="8"/>
  <c r="AQ56" i="23"/>
  <c r="AO56" i="23"/>
  <c r="AD56" i="23"/>
  <c r="AH56" i="23" s="1"/>
  <c r="AP56" i="23"/>
  <c r="AD278" i="23"/>
  <c r="AJ278" i="23" s="1"/>
  <c r="AQ278" i="23"/>
  <c r="AO278" i="23"/>
  <c r="AR300" i="22"/>
  <c r="AK300" i="22"/>
  <c r="AG300" i="22"/>
  <c r="AL300" i="22" s="1"/>
  <c r="AT300" i="22"/>
  <c r="AA188" i="9"/>
  <c r="AG188" i="9" s="1"/>
  <c r="AH188" i="9" s="1"/>
  <c r="AV80" i="22"/>
  <c r="N199" i="12"/>
  <c r="AU125" i="22"/>
  <c r="AV125" i="22"/>
  <c r="AM25" i="18"/>
  <c r="AM24" i="18"/>
  <c r="AT472" i="22"/>
  <c r="AL243" i="23"/>
  <c r="AS243" i="23"/>
  <c r="AR243" i="23"/>
  <c r="AU73" i="22"/>
  <c r="AV73" i="22"/>
  <c r="AS218" i="23"/>
  <c r="AC345" i="9"/>
  <c r="AA345" i="9"/>
  <c r="AC206" i="9"/>
  <c r="AB206" i="9"/>
  <c r="AC468" i="9"/>
  <c r="AB468" i="9"/>
  <c r="AK383" i="22"/>
  <c r="AG383" i="22"/>
  <c r="AR383" i="22"/>
  <c r="AT383" i="22"/>
  <c r="AK160" i="9"/>
  <c r="AJ160" i="9"/>
  <c r="AC176" i="9"/>
  <c r="AB176" i="9"/>
  <c r="AA375" i="9"/>
  <c r="AA422" i="9"/>
  <c r="AK67" i="22"/>
  <c r="AG67" i="22"/>
  <c r="AR67" i="22"/>
  <c r="AT67" i="22"/>
  <c r="AS221" i="22"/>
  <c r="AT221" i="22"/>
  <c r="AU230" i="22"/>
  <c r="AP323" i="23"/>
  <c r="AF8" i="28"/>
  <c r="L103" i="12"/>
  <c r="L6" i="12"/>
  <c r="AT391" i="22"/>
  <c r="AO299" i="22"/>
  <c r="AR81" i="23"/>
  <c r="AK81" i="23"/>
  <c r="AL117" i="23"/>
  <c r="AS117" i="23"/>
  <c r="AC186" i="9"/>
  <c r="AB186" i="9"/>
  <c r="AR269" i="22"/>
  <c r="AG269" i="22"/>
  <c r="AK269" i="22"/>
  <c r="AT269" i="22"/>
  <c r="AS278" i="22"/>
  <c r="AT278" i="22"/>
  <c r="AT464" i="22"/>
  <c r="AI349" i="23"/>
  <c r="AP349" i="23"/>
  <c r="AR200" i="23"/>
  <c r="AK200" i="23"/>
  <c r="AD200" i="23"/>
  <c r="AS200" i="23"/>
  <c r="AD269" i="23"/>
  <c r="AH269" i="23"/>
  <c r="AQ269" i="23"/>
  <c r="AO269" i="23"/>
  <c r="AP269" i="23"/>
  <c r="AG174" i="22"/>
  <c r="AN174" i="22" s="1"/>
  <c r="AR174" i="22"/>
  <c r="AX174" i="22" s="1"/>
  <c r="AK174" i="22"/>
  <c r="AG501" i="22"/>
  <c r="AS70" i="22"/>
  <c r="AS93" i="23"/>
  <c r="AR93" i="23"/>
  <c r="AP107" i="23"/>
  <c r="AI107" i="23"/>
  <c r="AR292" i="22"/>
  <c r="AG292" i="22"/>
  <c r="AK292" i="22"/>
  <c r="AT292" i="22"/>
  <c r="AS292" i="22"/>
  <c r="AG23" i="22"/>
  <c r="AT23" i="22"/>
  <c r="AR23" i="22"/>
  <c r="AS23" i="22"/>
  <c r="AL182" i="22"/>
  <c r="AS182" i="22"/>
  <c r="AY182" i="22" s="1"/>
  <c r="AU388" i="22"/>
  <c r="AV388" i="22"/>
  <c r="AP175" i="23"/>
  <c r="AU120" i="22"/>
  <c r="AT74" i="22"/>
  <c r="AR74" i="22"/>
  <c r="AG74" i="22"/>
  <c r="AN74" i="22" s="1"/>
  <c r="BA74" i="22" s="1"/>
  <c r="AU286" i="22"/>
  <c r="AN286" i="22"/>
  <c r="AV286" i="22"/>
  <c r="AD247" i="23"/>
  <c r="AH247" i="23"/>
  <c r="AQ247" i="23"/>
  <c r="AO247" i="23"/>
  <c r="AP226" i="23"/>
  <c r="AI226" i="23"/>
  <c r="BY143" i="22"/>
  <c r="AZ143" i="22"/>
  <c r="AS372" i="22"/>
  <c r="AU319" i="22"/>
  <c r="AG319" i="22"/>
  <c r="AS291" i="22"/>
  <c r="AL291" i="22"/>
  <c r="AT291" i="22"/>
  <c r="AS231" i="22"/>
  <c r="S47" i="8"/>
  <c r="AL128" i="23"/>
  <c r="AS128" i="23"/>
  <c r="AR128" i="23"/>
  <c r="AB432" i="9"/>
  <c r="BY149" i="22"/>
  <c r="AT173" i="22"/>
  <c r="AO222" i="23"/>
  <c r="AS7" i="22"/>
  <c r="AI143" i="23"/>
  <c r="AS365" i="23"/>
  <c r="AU509" i="22"/>
  <c r="AG509" i="22"/>
  <c r="AS96" i="22"/>
  <c r="AR271" i="23"/>
  <c r="AV49" i="12"/>
  <c r="AV48" i="12"/>
  <c r="AL231" i="23"/>
  <c r="AS231" i="23"/>
  <c r="AS234" i="22"/>
  <c r="AS467" i="22"/>
  <c r="AD209" i="23"/>
  <c r="AQ209" i="23"/>
  <c r="AO209" i="23"/>
  <c r="AR176" i="22"/>
  <c r="AX176" i="22" s="1"/>
  <c r="AG176" i="22"/>
  <c r="AL176" i="22" s="1"/>
  <c r="AS457" i="22"/>
  <c r="AL457" i="22"/>
  <c r="AR164" i="23"/>
  <c r="AK164" i="23"/>
  <c r="AU321" i="22"/>
  <c r="AU447" i="22"/>
  <c r="AR275" i="23"/>
  <c r="AK275" i="23"/>
  <c r="AU224" i="22"/>
  <c r="AS375" i="23"/>
  <c r="AR310" i="22"/>
  <c r="AG310" i="22"/>
  <c r="AO312" i="23"/>
  <c r="AD312" i="23"/>
  <c r="AQ312" i="23"/>
  <c r="AI115" i="23"/>
  <c r="AS258" i="22"/>
  <c r="AL258" i="22"/>
  <c r="AR192" i="22"/>
  <c r="AX192" i="22" s="1"/>
  <c r="AK192" i="22"/>
  <c r="AG192" i="22"/>
  <c r="AU288" i="22"/>
  <c r="AN288" i="22"/>
  <c r="R82" i="8"/>
  <c r="R77" i="8"/>
  <c r="R85" i="8" s="1"/>
  <c r="R84" i="8"/>
  <c r="R79" i="8"/>
  <c r="R83" i="8"/>
  <c r="R76" i="8"/>
  <c r="R80" i="8"/>
  <c r="R81" i="8"/>
  <c r="R78" i="8"/>
  <c r="AP294" i="23"/>
  <c r="AR92" i="22"/>
  <c r="AG92" i="22"/>
  <c r="AL92" i="22" s="1"/>
  <c r="AY92" i="22" s="1"/>
  <c r="AS433" i="22"/>
  <c r="BF72" i="22"/>
  <c r="AK348" i="23"/>
  <c r="AR348" i="23"/>
  <c r="AR181" i="22"/>
  <c r="AX181" i="22" s="1"/>
  <c r="AG181" i="22"/>
  <c r="AL371" i="22"/>
  <c r="AS371" i="22"/>
  <c r="AU262" i="22"/>
  <c r="AP264" i="23"/>
  <c r="AI264" i="23"/>
  <c r="AM264" i="23" s="1"/>
  <c r="AS31" i="22"/>
  <c r="AG108" i="22"/>
  <c r="AK108" i="22" s="1"/>
  <c r="AR108" i="22"/>
  <c r="AM284" i="22"/>
  <c r="AU475" i="22"/>
  <c r="AN475" i="22"/>
  <c r="AS313" i="23"/>
  <c r="AL313" i="23"/>
  <c r="AP227" i="23"/>
  <c r="AI227" i="23"/>
  <c r="AA247" i="9"/>
  <c r="AR479" i="22"/>
  <c r="AG479" i="22"/>
  <c r="AN479" i="22" s="1"/>
  <c r="K240" i="12"/>
  <c r="K241" i="12" s="1"/>
  <c r="AR124" i="22"/>
  <c r="AG124" i="22"/>
  <c r="AS424" i="22"/>
  <c r="AR158" i="23"/>
  <c r="AK158" i="23"/>
  <c r="AM183" i="23"/>
  <c r="V176" i="22"/>
  <c r="AS190" i="22"/>
  <c r="AY190" i="22" s="1"/>
  <c r="AL190" i="22"/>
  <c r="AK369" i="23"/>
  <c r="AR369" i="23"/>
  <c r="AK156" i="23"/>
  <c r="AL64" i="23"/>
  <c r="AY64" i="23" s="1"/>
  <c r="AR439" i="22"/>
  <c r="AG439" i="22"/>
  <c r="AS319" i="23"/>
  <c r="AL319" i="23"/>
  <c r="AU81" i="22"/>
  <c r="AN81" i="22"/>
  <c r="BA81" i="22" s="1"/>
  <c r="AU466" i="22"/>
  <c r="AB502" i="9"/>
  <c r="AC502" i="9"/>
  <c r="AS294" i="23"/>
  <c r="AK494" i="22"/>
  <c r="AG494" i="22"/>
  <c r="AR494" i="22"/>
  <c r="AP234" i="23"/>
  <c r="AI234" i="23"/>
  <c r="K83" i="12"/>
  <c r="G315" i="12"/>
  <c r="AQ23" i="12"/>
  <c r="G25" i="12"/>
  <c r="G267" i="12"/>
  <c r="G299" i="12"/>
  <c r="G283" i="12"/>
  <c r="AC388" i="9"/>
  <c r="AA388" i="9"/>
  <c r="AO206" i="23"/>
  <c r="AQ206" i="23"/>
  <c r="AD206" i="23"/>
  <c r="AH206" i="23"/>
  <c r="AN208" i="9"/>
  <c r="AF208" i="9" s="1"/>
  <c r="AG208" i="9" s="1"/>
  <c r="AH208" i="9" s="1"/>
  <c r="AK208" i="9" s="1"/>
  <c r="S208" i="9"/>
  <c r="T208" i="9" s="1"/>
  <c r="AP250" i="23"/>
  <c r="AQ91" i="23"/>
  <c r="AO91" i="23"/>
  <c r="AD91" i="23"/>
  <c r="AH91" i="23" s="1"/>
  <c r="AR118" i="23"/>
  <c r="AS273" i="22"/>
  <c r="AL460" i="22"/>
  <c r="AS460" i="22"/>
  <c r="AP299" i="23"/>
  <c r="AI299" i="23"/>
  <c r="AR307" i="22"/>
  <c r="AK307" i="22"/>
  <c r="AG307" i="22"/>
  <c r="AL307" i="22" s="1"/>
  <c r="AU303" i="22"/>
  <c r="AI345" i="23"/>
  <c r="AP345" i="23"/>
  <c r="AS126" i="23"/>
  <c r="AL126" i="23"/>
  <c r="AR300" i="23"/>
  <c r="AS275" i="22"/>
  <c r="AD218" i="23"/>
  <c r="AO218" i="23"/>
  <c r="AQ218" i="23"/>
  <c r="AR283" i="22"/>
  <c r="AG283" i="22"/>
  <c r="AL404" i="22"/>
  <c r="AS404" i="22"/>
  <c r="AU108" i="22"/>
  <c r="AN108" i="22"/>
  <c r="BA108" i="22" s="1"/>
  <c r="AD214" i="23"/>
  <c r="AH214" i="23" s="1"/>
  <c r="AQ214" i="23"/>
  <c r="AO214" i="23"/>
  <c r="AH196" i="23"/>
  <c r="AD196" i="23"/>
  <c r="AQ196" i="23"/>
  <c r="AO196" i="23"/>
  <c r="AU124" i="22"/>
  <c r="AN124" i="22"/>
  <c r="BA124" i="22" s="1"/>
  <c r="AR21" i="22"/>
  <c r="AG21" i="22"/>
  <c r="AT21" i="22"/>
  <c r="AS341" i="22"/>
  <c r="AU71" i="22"/>
  <c r="AK61" i="23"/>
  <c r="AX61" i="23" s="1"/>
  <c r="AP298" i="23"/>
  <c r="AI298" i="23"/>
  <c r="AS131" i="23"/>
  <c r="AS401" i="22"/>
  <c r="AQ95" i="23"/>
  <c r="AA407" i="9"/>
  <c r="AR190" i="22"/>
  <c r="AX190" i="22" s="1"/>
  <c r="AK190" i="22"/>
  <c r="AG190" i="22"/>
  <c r="AS122" i="22"/>
  <c r="AV52" i="22"/>
  <c r="AN52" i="22"/>
  <c r="AU52" i="22"/>
  <c r="AO253" i="23"/>
  <c r="AD253" i="23"/>
  <c r="AH253" i="23" s="1"/>
  <c r="AQ253" i="23"/>
  <c r="AL191" i="23"/>
  <c r="AS191" i="23"/>
  <c r="AK168" i="9"/>
  <c r="AJ168" i="9"/>
  <c r="AI228" i="23"/>
  <c r="AM228" i="23" s="1"/>
  <c r="AP228" i="23"/>
  <c r="AU442" i="22"/>
  <c r="G319" i="12"/>
  <c r="G271" i="12"/>
  <c r="G29" i="12"/>
  <c r="G287" i="12"/>
  <c r="G303" i="12"/>
  <c r="AG281" i="22"/>
  <c r="AK281" i="22"/>
  <c r="AR281" i="22"/>
  <c r="AS347" i="22"/>
  <c r="AL347" i="22"/>
  <c r="AU172" i="22"/>
  <c r="BA172" i="22" s="1"/>
  <c r="AN172" i="22"/>
  <c r="AP362" i="23"/>
  <c r="AA454" i="9"/>
  <c r="AR53" i="22"/>
  <c r="AG53" i="22"/>
  <c r="AN53" i="22" s="1"/>
  <c r="BA53" i="22" s="1"/>
  <c r="AT53" i="22"/>
  <c r="AS416" i="22"/>
  <c r="AR201" i="23"/>
  <c r="AS175" i="23"/>
  <c r="AS123" i="23"/>
  <c r="AU69" i="22"/>
  <c r="AB442" i="9"/>
  <c r="AC442" i="9"/>
  <c r="AU92" i="22"/>
  <c r="AN92" i="22"/>
  <c r="BA92" i="22" s="1"/>
  <c r="R20" i="32"/>
  <c r="R217" i="9"/>
  <c r="V179" i="22"/>
  <c r="AZ156" i="22"/>
  <c r="BE156" i="22" s="1"/>
  <c r="BM156" i="22" s="1"/>
  <c r="BY156" i="22"/>
  <c r="AS87" i="22"/>
  <c r="AL87" i="22"/>
  <c r="AY87" i="22" s="1"/>
  <c r="AS335" i="23"/>
  <c r="AP196" i="23"/>
  <c r="AS111" i="22"/>
  <c r="AL111" i="22"/>
  <c r="AN128" i="22"/>
  <c r="AU128" i="22"/>
  <c r="AR219" i="22"/>
  <c r="AG219" i="22"/>
  <c r="AN219" i="22" s="1"/>
  <c r="AI374" i="23"/>
  <c r="AP374" i="23"/>
  <c r="AK217" i="22"/>
  <c r="AP217" i="22" s="1"/>
  <c r="AQ331" i="23"/>
  <c r="AO331" i="23"/>
  <c r="AD331" i="23"/>
  <c r="AJ331" i="23" s="1"/>
  <c r="AM51" i="23"/>
  <c r="AS132" i="22"/>
  <c r="AT31" i="22"/>
  <c r="AU294" i="22"/>
  <c r="AN294" i="22"/>
  <c r="AQ285" i="23"/>
  <c r="AD285" i="23"/>
  <c r="AJ285" i="23" s="1"/>
  <c r="AO285" i="23"/>
  <c r="AD333" i="23"/>
  <c r="AQ333" i="23"/>
  <c r="AO333" i="23"/>
  <c r="AL58" i="23"/>
  <c r="AY58" i="23" s="1"/>
  <c r="AR356" i="22"/>
  <c r="AB421" i="9"/>
  <c r="AC421" i="9"/>
  <c r="AU409" i="22"/>
  <c r="AN409" i="22"/>
  <c r="AP329" i="23"/>
  <c r="AI329" i="23"/>
  <c r="AK159" i="23"/>
  <c r="AR159" i="23"/>
  <c r="AJ97" i="16"/>
  <c r="AG464" i="22"/>
  <c r="AR464" i="22"/>
  <c r="AK464" i="22"/>
  <c r="AB243" i="9"/>
  <c r="AR320" i="22"/>
  <c r="AG320" i="22"/>
  <c r="AK320" i="22"/>
  <c r="AG8" i="28"/>
  <c r="M103" i="12"/>
  <c r="Q16" i="32"/>
  <c r="R201" i="9"/>
  <c r="S28" i="8"/>
  <c r="U28" i="8" s="1"/>
  <c r="T28" i="8"/>
  <c r="R37" i="8"/>
  <c r="R92" i="8"/>
  <c r="V177" i="22"/>
  <c r="AB248" i="9"/>
  <c r="AR435" i="22"/>
  <c r="AK435" i="22"/>
  <c r="AG435" i="22"/>
  <c r="AS469" i="22"/>
  <c r="AS191" i="22"/>
  <c r="AY191" i="22" s="1"/>
  <c r="AU348" i="22"/>
  <c r="AU267" i="22"/>
  <c r="AV442" i="22"/>
  <c r="AO229" i="23"/>
  <c r="AD229" i="23"/>
  <c r="AL229" i="23" s="1"/>
  <c r="AQ229" i="23"/>
  <c r="AH229" i="23"/>
  <c r="AL115" i="23"/>
  <c r="AM115" i="23" s="1"/>
  <c r="AO335" i="23"/>
  <c r="AQ335" i="23"/>
  <c r="AD335" i="23"/>
  <c r="AJ335" i="23" s="1"/>
  <c r="R14" i="32"/>
  <c r="R211" i="9"/>
  <c r="T26" i="8"/>
  <c r="U26" i="8" s="1"/>
  <c r="AG102" i="22"/>
  <c r="AR102" i="22"/>
  <c r="AS180" i="22"/>
  <c r="AY180" i="22" s="1"/>
  <c r="AU122" i="22"/>
  <c r="R150" i="8"/>
  <c r="R19" i="8"/>
  <c r="AG350" i="22"/>
  <c r="AN350" i="22" s="1"/>
  <c r="AR350" i="22"/>
  <c r="AL482" i="22"/>
  <c r="AS482" i="22"/>
  <c r="AS78" i="22"/>
  <c r="AL78" i="22"/>
  <c r="AY78" i="22" s="1"/>
  <c r="AU210" i="22"/>
  <c r="AR259" i="23"/>
  <c r="AR256" i="23"/>
  <c r="AL134" i="23"/>
  <c r="AS134" i="23"/>
  <c r="AP75" i="23"/>
  <c r="AL487" i="22"/>
  <c r="AS487" i="22"/>
  <c r="AR284" i="22"/>
  <c r="AR210" i="22"/>
  <c r="AG210" i="22"/>
  <c r="AS377" i="22"/>
  <c r="AU439" i="22"/>
  <c r="AN439" i="22"/>
  <c r="AQ242" i="23"/>
  <c r="AK253" i="23"/>
  <c r="AR253" i="23"/>
  <c r="AQ345" i="23"/>
  <c r="AD345" i="23"/>
  <c r="AJ345" i="23" s="1"/>
  <c r="AH345" i="23"/>
  <c r="AO345" i="23"/>
  <c r="AS104" i="23"/>
  <c r="AU454" i="22"/>
  <c r="AA368" i="9"/>
  <c r="AR399" i="22"/>
  <c r="AG399" i="22"/>
  <c r="AL293" i="22"/>
  <c r="AS293" i="22"/>
  <c r="AN202" i="22"/>
  <c r="AU202" i="22"/>
  <c r="AP116" i="23"/>
  <c r="AQ353" i="23"/>
  <c r="AO353" i="23"/>
  <c r="AD353" i="23"/>
  <c r="AJ353" i="23" s="1"/>
  <c r="AL503" i="22"/>
  <c r="AS503" i="22"/>
  <c r="AS397" i="22"/>
  <c r="AU414" i="22"/>
  <c r="AO223" i="23"/>
  <c r="AQ223" i="23"/>
  <c r="AD223" i="23"/>
  <c r="AI45" i="28"/>
  <c r="AH47" i="28"/>
  <c r="AC418" i="9"/>
  <c r="AB418" i="9"/>
  <c r="AW50" i="23"/>
  <c r="AV50" i="23"/>
  <c r="AU50" i="23"/>
  <c r="P50" i="23"/>
  <c r="AY50" i="23"/>
  <c r="AX50" i="23"/>
  <c r="BC50" i="23" s="1"/>
  <c r="AG16" i="22"/>
  <c r="AL16" i="22" s="1"/>
  <c r="AY16" i="22" s="1"/>
  <c r="AT16" i="22"/>
  <c r="AR16" i="22"/>
  <c r="AS353" i="22"/>
  <c r="AU94" i="22"/>
  <c r="AR279" i="23"/>
  <c r="AI238" i="23"/>
  <c r="AP238" i="23"/>
  <c r="V184" i="22"/>
  <c r="V196" i="22" s="1"/>
  <c r="AR81" i="22"/>
  <c r="AG81" i="22"/>
  <c r="AK81" i="22" s="1"/>
  <c r="AT81" i="22"/>
  <c r="AS149" i="22"/>
  <c r="AY149" i="22" s="1"/>
  <c r="AZ149" i="22" s="1"/>
  <c r="AL149" i="22"/>
  <c r="AU226" i="22"/>
  <c r="AR232" i="23"/>
  <c r="AK232" i="23"/>
  <c r="AP301" i="23"/>
  <c r="AI301" i="23"/>
  <c r="AS179" i="23"/>
  <c r="AS215" i="23"/>
  <c r="AD95" i="23"/>
  <c r="AR137" i="22"/>
  <c r="AX137" i="22" s="1"/>
  <c r="AG137" i="22"/>
  <c r="AS390" i="22"/>
  <c r="AU165" i="22"/>
  <c r="BA165" i="22" s="1"/>
  <c r="AN165" i="22"/>
  <c r="AR303" i="23"/>
  <c r="AK303" i="23"/>
  <c r="AS265" i="23"/>
  <c r="AL265" i="23"/>
  <c r="AD63" i="23"/>
  <c r="AO63" i="23"/>
  <c r="AH63" i="23"/>
  <c r="AQ63" i="23"/>
  <c r="AN284" i="22"/>
  <c r="AU284" i="22"/>
  <c r="AS107" i="23"/>
  <c r="AL107" i="23"/>
  <c r="AU218" i="22"/>
  <c r="AB492" i="9"/>
  <c r="AC492" i="9"/>
  <c r="AR488" i="22"/>
  <c r="AG488" i="22"/>
  <c r="AL223" i="22"/>
  <c r="AS223" i="22"/>
  <c r="AU240" i="22"/>
  <c r="AN240" i="22"/>
  <c r="AR138" i="23"/>
  <c r="AK138" i="23"/>
  <c r="AG141" i="22"/>
  <c r="AR141" i="22"/>
  <c r="AX141" i="22" s="1"/>
  <c r="AS43" i="22"/>
  <c r="AL43" i="22"/>
  <c r="AY43" i="22" s="1"/>
  <c r="AN462" i="22"/>
  <c r="AU462" i="22"/>
  <c r="AR287" i="23"/>
  <c r="AS185" i="23"/>
  <c r="AL185" i="23"/>
  <c r="AU105" i="22"/>
  <c r="AN105" i="22"/>
  <c r="BA105" i="22" s="1"/>
  <c r="AA442" i="9"/>
  <c r="S149" i="8"/>
  <c r="T149" i="8"/>
  <c r="U149" i="8"/>
  <c r="AR338" i="22"/>
  <c r="AG338" i="22"/>
  <c r="AK338" i="22" s="1"/>
  <c r="AC236" i="9"/>
  <c r="AA236" i="9"/>
  <c r="V32" i="8"/>
  <c r="AG122" i="22"/>
  <c r="AR122" i="22"/>
  <c r="AS209" i="22"/>
  <c r="AL209" i="22"/>
  <c r="AR363" i="23"/>
  <c r="AH370" i="23"/>
  <c r="AD370" i="23"/>
  <c r="AJ370" i="23" s="1"/>
  <c r="AQ370" i="23"/>
  <c r="AO370" i="23"/>
  <c r="AN202" i="9"/>
  <c r="AF202" i="9" s="1"/>
  <c r="AG202" i="9" s="1"/>
  <c r="AH202" i="9" s="1"/>
  <c r="AK202" i="9" s="1"/>
  <c r="S202" i="9"/>
  <c r="T202" i="9" s="1"/>
  <c r="AR82" i="22"/>
  <c r="AG82" i="22"/>
  <c r="AS250" i="22"/>
  <c r="AL250" i="22"/>
  <c r="AT288" i="22"/>
  <c r="AL186" i="22"/>
  <c r="AS186" i="22"/>
  <c r="AY186" i="22" s="1"/>
  <c r="AQ221" i="23"/>
  <c r="AD221" i="23"/>
  <c r="AJ221" i="23" s="1"/>
  <c r="AO221" i="23"/>
  <c r="AB245" i="9"/>
  <c r="AC245" i="9"/>
  <c r="AC436" i="9"/>
  <c r="AA436" i="9"/>
  <c r="AL112" i="23"/>
  <c r="AQ350" i="23"/>
  <c r="AO350" i="23"/>
  <c r="AD350" i="23"/>
  <c r="AJ350" i="23" s="1"/>
  <c r="AP331" i="23"/>
  <c r="AV475" i="22"/>
  <c r="AG31" i="22"/>
  <c r="AP285" i="23"/>
  <c r="AI285" i="23"/>
  <c r="AC128" i="9"/>
  <c r="AB128" i="9"/>
  <c r="AN429" i="22"/>
  <c r="AU429" i="22"/>
  <c r="AN85" i="22"/>
  <c r="BA85" i="22" s="1"/>
  <c r="AI333" i="23"/>
  <c r="AP333" i="23"/>
  <c r="C118" i="16"/>
  <c r="C10" i="16"/>
  <c r="S178" i="12"/>
  <c r="AA421" i="9"/>
  <c r="AU221" i="22"/>
  <c r="AQ319" i="23"/>
  <c r="AO319" i="23"/>
  <c r="AD319" i="23"/>
  <c r="AN121" i="22"/>
  <c r="BA121" i="22" s="1"/>
  <c r="BF121" i="22" s="1"/>
  <c r="AD337" i="23"/>
  <c r="AO337" i="23"/>
  <c r="AH337" i="23"/>
  <c r="AQ337" i="23"/>
  <c r="AS367" i="22"/>
  <c r="AT435" i="22"/>
  <c r="AS447" i="22"/>
  <c r="AS116" i="22"/>
  <c r="AL116" i="22"/>
  <c r="AY116" i="22" s="1"/>
  <c r="AD58" i="23"/>
  <c r="AG41" i="28"/>
  <c r="AH39" i="28"/>
  <c r="AK100" i="22"/>
  <c r="AS333" i="22"/>
  <c r="AL227" i="23"/>
  <c r="AS227" i="23"/>
  <c r="AR266" i="23"/>
  <c r="AK266" i="23"/>
  <c r="AL437" i="22"/>
  <c r="AS437" i="22"/>
  <c r="AS114" i="22"/>
  <c r="AN412" i="22"/>
  <c r="AU412" i="22"/>
  <c r="AP334" i="23"/>
  <c r="AI334" i="23"/>
  <c r="AN317" i="22"/>
  <c r="AU317" i="22"/>
  <c r="AS249" i="22"/>
  <c r="AL249" i="22"/>
  <c r="AU329" i="22"/>
  <c r="AI265" i="23"/>
  <c r="AP265" i="23"/>
  <c r="AR161" i="22"/>
  <c r="AX161" i="22" s="1"/>
  <c r="AG161" i="22"/>
  <c r="AG450" i="22"/>
  <c r="AR450" i="22"/>
  <c r="AK450" i="22"/>
  <c r="AT32" i="12"/>
  <c r="AT33" i="12"/>
  <c r="AU363" i="22"/>
  <c r="AN363" i="22"/>
  <c r="AU481" i="22"/>
  <c r="AN481" i="22"/>
  <c r="AG372" i="22"/>
  <c r="AK372" i="22"/>
  <c r="AR372" i="22"/>
  <c r="AU280" i="22"/>
  <c r="AN280" i="22"/>
  <c r="AL310" i="22"/>
  <c r="AS310" i="22"/>
  <c r="AU245" i="22"/>
  <c r="F113" i="16"/>
  <c r="AD145" i="23"/>
  <c r="AQ145" i="23"/>
  <c r="AO145" i="23"/>
  <c r="AH145" i="23"/>
  <c r="AG152" i="22"/>
  <c r="AN152" i="22" s="1"/>
  <c r="AR152" i="22"/>
  <c r="AX152" i="22" s="1"/>
  <c r="AQ68" i="23"/>
  <c r="AO68" i="23"/>
  <c r="AD68" i="23"/>
  <c r="AJ68" i="23" s="1"/>
  <c r="AA444" i="9"/>
  <c r="AC444" i="9"/>
  <c r="AJ139" i="9"/>
  <c r="AK139" i="9"/>
  <c r="BF147" i="22"/>
  <c r="BN147" i="22" s="1"/>
  <c r="BB147" i="22"/>
  <c r="CB147" i="22"/>
  <c r="I273" i="12"/>
  <c r="I289" i="12" s="1"/>
  <c r="CB192" i="22"/>
  <c r="M270" i="12"/>
  <c r="M286" i="12" s="1"/>
  <c r="BB192" i="22"/>
  <c r="BF192" i="22" s="1"/>
  <c r="BN192" i="22" s="1"/>
  <c r="AP350" i="23"/>
  <c r="AI350" i="23"/>
  <c r="AL24" i="16"/>
  <c r="AL21" i="16"/>
  <c r="AL22" i="16"/>
  <c r="AL23" i="16"/>
  <c r="AP337" i="23"/>
  <c r="AI337" i="23"/>
  <c r="AI11" i="8"/>
  <c r="AG434" i="22"/>
  <c r="AK434" i="22" s="1"/>
  <c r="AR434" i="22"/>
  <c r="AB193" i="9"/>
  <c r="AC193" i="9"/>
  <c r="AA223" i="9"/>
  <c r="AB417" i="9"/>
  <c r="AC417" i="9"/>
  <c r="AA226" i="9"/>
  <c r="AK142" i="9"/>
  <c r="AJ142" i="9"/>
  <c r="AR314" i="22"/>
  <c r="AG314" i="22"/>
  <c r="AL493" i="22"/>
  <c r="AS493" i="22"/>
  <c r="AU406" i="22"/>
  <c r="AV466" i="22"/>
  <c r="AR150" i="23"/>
  <c r="AK150" i="23"/>
  <c r="AL363" i="23"/>
  <c r="AS363" i="23"/>
  <c r="AR184" i="23"/>
  <c r="AD266" i="23"/>
  <c r="AU156" i="22"/>
  <c r="BA156" i="22" s="1"/>
  <c r="AN156" i="22"/>
  <c r="AK246" i="22"/>
  <c r="AR246" i="22"/>
  <c r="AG246" i="22"/>
  <c r="Q23" i="8"/>
  <c r="R23" i="8"/>
  <c r="AR203" i="22"/>
  <c r="AG203" i="22"/>
  <c r="AN203" i="22" s="1"/>
  <c r="AS170" i="22"/>
  <c r="AY170" i="22" s="1"/>
  <c r="AL170" i="22"/>
  <c r="AU416" i="22"/>
  <c r="AR276" i="22"/>
  <c r="AG276" i="22"/>
  <c r="AK276" i="22" s="1"/>
  <c r="AS414" i="22"/>
  <c r="AL414" i="22"/>
  <c r="AU467" i="22"/>
  <c r="AR176" i="23"/>
  <c r="AO161" i="23"/>
  <c r="AH161" i="23"/>
  <c r="AD161" i="23"/>
  <c r="AQ161" i="23"/>
  <c r="AP330" i="23"/>
  <c r="AQ328" i="23"/>
  <c r="AO328" i="23"/>
  <c r="AD328" i="23"/>
  <c r="AL328" i="23" s="1"/>
  <c r="AK284" i="22"/>
  <c r="AR46" i="22"/>
  <c r="AG46" i="22"/>
  <c r="AT46" i="22"/>
  <c r="AS308" i="22"/>
  <c r="AL308" i="22"/>
  <c r="AU266" i="22"/>
  <c r="AD242" i="23"/>
  <c r="AI242" i="23" s="1"/>
  <c r="AS273" i="23"/>
  <c r="AL273" i="23"/>
  <c r="AP341" i="23"/>
  <c r="AR315" i="23"/>
  <c r="AV363" i="22"/>
  <c r="AB428" i="9"/>
  <c r="AO19" i="16"/>
  <c r="AO13" i="16"/>
  <c r="AO12" i="16"/>
  <c r="AR103" i="22"/>
  <c r="AK103" i="22"/>
  <c r="AG103" i="22"/>
  <c r="AS398" i="22"/>
  <c r="AT341" i="22"/>
  <c r="AU160" i="22"/>
  <c r="BA160" i="22" s="1"/>
  <c r="AN160" i="22"/>
  <c r="AU330" i="22"/>
  <c r="AS66" i="22"/>
  <c r="AA328" i="9"/>
  <c r="AR485" i="22"/>
  <c r="AK485" i="22"/>
  <c r="AG485" i="22"/>
  <c r="AU405" i="22"/>
  <c r="AD293" i="23"/>
  <c r="AJ293" i="23" s="1"/>
  <c r="AO293" i="23"/>
  <c r="AH293" i="23"/>
  <c r="AQ293" i="23"/>
  <c r="AS173" i="22"/>
  <c r="AY173" i="22" s="1"/>
  <c r="AL173" i="22"/>
  <c r="AP272" i="23"/>
  <c r="AU185" i="22"/>
  <c r="BA185" i="22" s="1"/>
  <c r="AN185" i="22"/>
  <c r="AK202" i="22"/>
  <c r="AR202" i="22"/>
  <c r="AG202" i="22"/>
  <c r="AS254" i="22"/>
  <c r="AU64" i="22"/>
  <c r="AQ233" i="23"/>
  <c r="AO233" i="23"/>
  <c r="AD233" i="23"/>
  <c r="AS349" i="22"/>
  <c r="AR112" i="22"/>
  <c r="AG112" i="22"/>
  <c r="AK112" i="22" s="1"/>
  <c r="AL153" i="22"/>
  <c r="AS153" i="22"/>
  <c r="AY153" i="22" s="1"/>
  <c r="AU103" i="22"/>
  <c r="AN103" i="22"/>
  <c r="BA103" i="22" s="1"/>
  <c r="AK352" i="23"/>
  <c r="AR352" i="23"/>
  <c r="AR83" i="23"/>
  <c r="AK83" i="23"/>
  <c r="AS308" i="23"/>
  <c r="AL308" i="23"/>
  <c r="AP64" i="23"/>
  <c r="AS78" i="23"/>
  <c r="AG344" i="22"/>
  <c r="AK344" i="22" s="1"/>
  <c r="AR344" i="22"/>
  <c r="AS48" i="22"/>
  <c r="AU79" i="22"/>
  <c r="AN79" i="22"/>
  <c r="BA79" i="22" s="1"/>
  <c r="AD140" i="23"/>
  <c r="AQ140" i="23"/>
  <c r="AO140" i="23"/>
  <c r="AL67" i="23"/>
  <c r="AY67" i="23" s="1"/>
  <c r="AS321" i="23"/>
  <c r="AB444" i="9"/>
  <c r="AR194" i="23"/>
  <c r="AK194" i="23"/>
  <c r="AA165" i="9"/>
  <c r="AG165" i="9" s="1"/>
  <c r="AH165" i="9" s="1"/>
  <c r="AG312" i="22"/>
  <c r="AR312" i="22"/>
  <c r="AS156" i="22"/>
  <c r="AY156" i="22" s="1"/>
  <c r="AL156" i="22"/>
  <c r="AP156" i="22" s="1"/>
  <c r="AU39" i="22"/>
  <c r="AN39" i="22"/>
  <c r="BA39" i="22" s="1"/>
  <c r="AV39" i="22"/>
  <c r="AD67" i="23"/>
  <c r="AG218" i="22"/>
  <c r="AL218" i="22" s="1"/>
  <c r="AR218" i="22"/>
  <c r="AR322" i="22"/>
  <c r="AG322" i="22"/>
  <c r="AK322" i="22"/>
  <c r="AL40" i="22"/>
  <c r="AY40" i="22" s="1"/>
  <c r="AS40" i="22"/>
  <c r="AU478" i="22"/>
  <c r="AN478" i="22"/>
  <c r="AO186" i="23"/>
  <c r="AQ186" i="23"/>
  <c r="AD186" i="23"/>
  <c r="AH60" i="23"/>
  <c r="AD359" i="23"/>
  <c r="AJ359" i="23" s="1"/>
  <c r="AH359" i="23"/>
  <c r="AQ359" i="23"/>
  <c r="AO359" i="23"/>
  <c r="AK116" i="22"/>
  <c r="AR273" i="22"/>
  <c r="AG273" i="22"/>
  <c r="AK273" i="22" s="1"/>
  <c r="AV288" i="22"/>
  <c r="AA273" i="9"/>
  <c r="AC273" i="9"/>
  <c r="K82" i="12"/>
  <c r="K84" i="12" s="1"/>
  <c r="AT70" i="12"/>
  <c r="AT74" i="12" s="1"/>
  <c r="AR111" i="22"/>
  <c r="AK111" i="22"/>
  <c r="AG111" i="22"/>
  <c r="AS181" i="22"/>
  <c r="AY181" i="22" s="1"/>
  <c r="AU474" i="22"/>
  <c r="AP218" i="23"/>
  <c r="AC322" i="9"/>
  <c r="AA322" i="9"/>
  <c r="AG297" i="22"/>
  <c r="AN297" i="22" s="1"/>
  <c r="AR297" i="22"/>
  <c r="AK297" i="22"/>
  <c r="AL196" i="22"/>
  <c r="AS196" i="22"/>
  <c r="AY196" i="22" s="1"/>
  <c r="AR78" i="23"/>
  <c r="AS402" i="22"/>
  <c r="AL402" i="22"/>
  <c r="AR175" i="22"/>
  <c r="AX175" i="22" s="1"/>
  <c r="AG175" i="22"/>
  <c r="AL175" i="22" s="1"/>
  <c r="AN407" i="22"/>
  <c r="AU407" i="22"/>
  <c r="AS158" i="23"/>
  <c r="AP79" i="23"/>
  <c r="AV94" i="22"/>
  <c r="AJ51" i="23"/>
  <c r="AW51" i="23" s="1"/>
  <c r="AK51" i="23"/>
  <c r="AX51" i="23" s="1"/>
  <c r="AL51" i="23"/>
  <c r="AY51" i="23" s="1"/>
  <c r="AS259" i="23"/>
  <c r="AK311" i="22"/>
  <c r="AR31" i="22"/>
  <c r="AU217" i="22"/>
  <c r="AN217" i="22"/>
  <c r="AQ367" i="23"/>
  <c r="AD367" i="23"/>
  <c r="AJ367" i="23" s="1"/>
  <c r="AH367" i="23"/>
  <c r="AO367" i="23"/>
  <c r="AS329" i="22"/>
  <c r="P52" i="23"/>
  <c r="AM100" i="22"/>
  <c r="AZ100" i="22" s="1"/>
  <c r="AQ286" i="23"/>
  <c r="AO286" i="23"/>
  <c r="AD286" i="23"/>
  <c r="AU277" i="22"/>
  <c r="AS297" i="22"/>
  <c r="AL297" i="22"/>
  <c r="AG30" i="22"/>
  <c r="BF158" i="22"/>
  <c r="BN158" i="22" s="1"/>
  <c r="CB158" i="22"/>
  <c r="J272" i="12"/>
  <c r="J288" i="12" s="1"/>
  <c r="BB158" i="22"/>
  <c r="AQ101" i="23"/>
  <c r="AI377" i="23"/>
  <c r="AP377" i="23"/>
  <c r="AG341" i="22"/>
  <c r="AL341" i="22" s="1"/>
  <c r="AG368" i="22"/>
  <c r="AN368" i="22" s="1"/>
  <c r="AR368" i="22"/>
  <c r="AS71" i="22"/>
  <c r="AT176" i="22"/>
  <c r="AA347" i="9"/>
  <c r="AR47" i="22"/>
  <c r="AG427" i="22"/>
  <c r="AA451" i="9"/>
  <c r="AT59" i="22"/>
  <c r="AS105" i="22"/>
  <c r="AL105" i="22"/>
  <c r="AY105" i="22" s="1"/>
  <c r="AD138" i="23"/>
  <c r="AK88" i="23"/>
  <c r="AR88" i="23"/>
  <c r="AP372" i="23"/>
  <c r="AG231" i="22"/>
  <c r="AR231" i="22"/>
  <c r="AK231" i="22"/>
  <c r="AK249" i="22"/>
  <c r="AG249" i="22"/>
  <c r="AN249" i="22" s="1"/>
  <c r="AR249" i="22"/>
  <c r="AS151" i="23"/>
  <c r="AR45" i="22"/>
  <c r="AG45" i="22"/>
  <c r="AT45" i="22"/>
  <c r="AU164" i="22"/>
  <c r="BA164" i="22" s="1"/>
  <c r="AS237" i="22"/>
  <c r="AL237" i="22"/>
  <c r="AR504" i="22"/>
  <c r="AG504" i="22"/>
  <c r="AL504" i="22" s="1"/>
  <c r="AG456" i="22"/>
  <c r="AL456" i="22" s="1"/>
  <c r="AR456" i="22"/>
  <c r="AQ376" i="23"/>
  <c r="AO376" i="23"/>
  <c r="AD376" i="23"/>
  <c r="AJ376" i="23" s="1"/>
  <c r="AB140" i="9"/>
  <c r="AC140" i="9"/>
  <c r="AI149" i="23"/>
  <c r="AP149" i="23"/>
  <c r="AG196" i="22"/>
  <c r="AR196" i="22"/>
  <c r="AX196" i="22" s="1"/>
  <c r="AK203" i="23"/>
  <c r="AR203" i="23"/>
  <c r="AN137" i="22"/>
  <c r="AU137" i="22"/>
  <c r="BA137" i="22" s="1"/>
  <c r="R157" i="8"/>
  <c r="AG476" i="22"/>
  <c r="AR476" i="22"/>
  <c r="AK476" i="22"/>
  <c r="AR221" i="23"/>
  <c r="AS391" i="22"/>
  <c r="AL391" i="22"/>
  <c r="AN96" i="22"/>
  <c r="AU96" i="22"/>
  <c r="AK68" i="23"/>
  <c r="AK418" i="22"/>
  <c r="AG418" i="22"/>
  <c r="AL418" i="22" s="1"/>
  <c r="AR418" i="22"/>
  <c r="AQ301" i="23"/>
  <c r="AO301" i="23"/>
  <c r="AD301" i="23"/>
  <c r="AJ301" i="23" s="1"/>
  <c r="AR157" i="23"/>
  <c r="AK157" i="23"/>
  <c r="AG379" i="22"/>
  <c r="AR379" i="22"/>
  <c r="AK379" i="22"/>
  <c r="AK229" i="23"/>
  <c r="AR229" i="23"/>
  <c r="T182" i="12"/>
  <c r="AP275" i="23"/>
  <c r="AI275" i="23"/>
  <c r="AU323" i="22"/>
  <c r="AN323" i="22"/>
  <c r="AH255" i="23"/>
  <c r="AP289" i="22"/>
  <c r="AP364" i="22"/>
  <c r="AG71" i="22"/>
  <c r="AL71" i="22" s="1"/>
  <c r="AY71" i="22" s="1"/>
  <c r="AL97" i="16"/>
  <c r="Q25" i="27"/>
  <c r="O70" i="23" s="1"/>
  <c r="Q9" i="27"/>
  <c r="U202" i="22"/>
  <c r="W202" i="22" s="1"/>
  <c r="G36" i="16"/>
  <c r="AR446" i="22"/>
  <c r="AG446" i="22"/>
  <c r="AR74" i="12"/>
  <c r="BQ139" i="22"/>
  <c r="AG404" i="22"/>
  <c r="AK404" i="22" s="1"/>
  <c r="AR404" i="22"/>
  <c r="AA193" i="9"/>
  <c r="AG193" i="9" s="1"/>
  <c r="AH193" i="9" s="1"/>
  <c r="AA255" i="9"/>
  <c r="Q11" i="27"/>
  <c r="Q27" i="27"/>
  <c r="O72" i="23" s="1"/>
  <c r="U204" i="22"/>
  <c r="W204" i="22" s="1"/>
  <c r="G38" i="16"/>
  <c r="AW24" i="12"/>
  <c r="AA221" i="9"/>
  <c r="V180" i="22"/>
  <c r="V192" i="22" s="1"/>
  <c r="AR333" i="22"/>
  <c r="AK333" i="22"/>
  <c r="AG333" i="22"/>
  <c r="AN333" i="22" s="1"/>
  <c r="AA386" i="9"/>
  <c r="AC386" i="9"/>
  <c r="F121" i="16"/>
  <c r="AA500" i="9"/>
  <c r="AA417" i="9"/>
  <c r="AC203" i="9"/>
  <c r="AB203" i="9"/>
  <c r="AA428" i="9"/>
  <c r="AA157" i="9"/>
  <c r="AG157" i="9" s="1"/>
  <c r="AH157" i="9" s="1"/>
  <c r="AG357" i="22"/>
  <c r="AR357" i="22"/>
  <c r="AK357" i="22"/>
  <c r="AS382" i="22"/>
  <c r="AL382" i="22"/>
  <c r="AT219" i="22"/>
  <c r="AN332" i="22"/>
  <c r="AU332" i="22"/>
  <c r="AR190" i="23"/>
  <c r="AP117" i="23"/>
  <c r="AI117" i="23"/>
  <c r="AS300" i="23"/>
  <c r="AG32" i="22"/>
  <c r="AT32" i="22"/>
  <c r="AR32" i="22"/>
  <c r="AR335" i="22"/>
  <c r="AG335" i="22"/>
  <c r="AL274" i="22"/>
  <c r="AS274" i="22"/>
  <c r="AU253" i="22"/>
  <c r="AV412" i="22"/>
  <c r="AP231" i="23"/>
  <c r="AI231" i="23"/>
  <c r="V190" i="22"/>
  <c r="AG454" i="22"/>
  <c r="AK454" i="22" s="1"/>
  <c r="AR454" i="22"/>
  <c r="AS348" i="22"/>
  <c r="AU278" i="22"/>
  <c r="AR267" i="23"/>
  <c r="AP252" i="23"/>
  <c r="AS271" i="23"/>
  <c r="AP328" i="23"/>
  <c r="AI328" i="23"/>
  <c r="AR180" i="22"/>
  <c r="AX180" i="22" s="1"/>
  <c r="AG180" i="22"/>
  <c r="AG221" i="22"/>
  <c r="AL221" i="22" s="1"/>
  <c r="AR221" i="22"/>
  <c r="AS268" i="22"/>
  <c r="AL268" i="22"/>
  <c r="AU486" i="22"/>
  <c r="AO366" i="23"/>
  <c r="AQ366" i="23"/>
  <c r="AH366" i="23"/>
  <c r="AD366" i="23"/>
  <c r="AJ366" i="23" s="1"/>
  <c r="AS130" i="23"/>
  <c r="AL130" i="23"/>
  <c r="AS270" i="23"/>
  <c r="AL270" i="23"/>
  <c r="AS331" i="23"/>
  <c r="G289" i="12"/>
  <c r="G321" i="12"/>
  <c r="G31" i="12"/>
  <c r="AQ25" i="12"/>
  <c r="G305" i="12"/>
  <c r="G273" i="12"/>
  <c r="AR204" i="22"/>
  <c r="AK204" i="22"/>
  <c r="AG204" i="22"/>
  <c r="AS410" i="22"/>
  <c r="AU258" i="22"/>
  <c r="AU339" i="22"/>
  <c r="AN339" i="22"/>
  <c r="AR413" i="22"/>
  <c r="AG413" i="22"/>
  <c r="AG7" i="22"/>
  <c r="AL7" i="22" s="1"/>
  <c r="AY7" i="22" s="1"/>
  <c r="AR7" i="22"/>
  <c r="AT7" i="22"/>
  <c r="AM217" i="22"/>
  <c r="AN247" i="22"/>
  <c r="AU247" i="22"/>
  <c r="AS187" i="23"/>
  <c r="AL187" i="23"/>
  <c r="AI201" i="23"/>
  <c r="AP201" i="23"/>
  <c r="AI283" i="23"/>
  <c r="AP283" i="23"/>
  <c r="AC452" i="9"/>
  <c r="AA452" i="9"/>
  <c r="AR26" i="22"/>
  <c r="AK26" i="22"/>
  <c r="AG26" i="22"/>
  <c r="AT26" i="22"/>
  <c r="AL199" i="22"/>
  <c r="AS199" i="22"/>
  <c r="AY199" i="22" s="1"/>
  <c r="AU29" i="22"/>
  <c r="AN29" i="22"/>
  <c r="BA29" i="22" s="1"/>
  <c r="AV29" i="22"/>
  <c r="AQ260" i="23"/>
  <c r="AO260" i="23"/>
  <c r="AD260" i="23"/>
  <c r="AL260" i="23" s="1"/>
  <c r="AV339" i="22"/>
  <c r="AS73" i="22"/>
  <c r="AL73" i="22"/>
  <c r="AY73" i="22" s="1"/>
  <c r="AA155" i="9"/>
  <c r="AG155" i="9" s="1"/>
  <c r="AH155" i="9" s="1"/>
  <c r="AR157" i="22"/>
  <c r="AX157" i="22" s="1"/>
  <c r="AG157" i="22"/>
  <c r="AL157" i="22" s="1"/>
  <c r="AS19" i="22"/>
  <c r="AU141" i="22"/>
  <c r="BA141" i="22" s="1"/>
  <c r="AO267" i="23"/>
  <c r="AD267" i="23"/>
  <c r="AK267" i="23" s="1"/>
  <c r="AQ267" i="23"/>
  <c r="AK196" i="23"/>
  <c r="AR196" i="23"/>
  <c r="AP87" i="23"/>
  <c r="AI87" i="23"/>
  <c r="AO316" i="23"/>
  <c r="AD316" i="23"/>
  <c r="AK316" i="23" s="1"/>
  <c r="AQ316" i="23"/>
  <c r="AL196" i="23"/>
  <c r="AS196" i="23"/>
  <c r="AB183" i="9"/>
  <c r="AC183" i="9"/>
  <c r="V183" i="22"/>
  <c r="AK142" i="22"/>
  <c r="AR142" i="22"/>
  <c r="AX142" i="22" s="1"/>
  <c r="AG142" i="22"/>
  <c r="AL142" i="22" s="1"/>
  <c r="AS412" i="22"/>
  <c r="AR193" i="23"/>
  <c r="AK193" i="23"/>
  <c r="AS367" i="23"/>
  <c r="AL295" i="23"/>
  <c r="AS295" i="23"/>
  <c r="AP151" i="23"/>
  <c r="AU70" i="22"/>
  <c r="AC475" i="9"/>
  <c r="AA475" i="9"/>
  <c r="AR185" i="22"/>
  <c r="AX185" i="22" s="1"/>
  <c r="AG185" i="22"/>
  <c r="AK185" i="22"/>
  <c r="AS375" i="22"/>
  <c r="AL375" i="22"/>
  <c r="AU208" i="22"/>
  <c r="AV194" i="22"/>
  <c r="AP47" i="23"/>
  <c r="AR187" i="22"/>
  <c r="AX187" i="22" s="1"/>
  <c r="AG187" i="22"/>
  <c r="AR120" i="23"/>
  <c r="AG55" i="22"/>
  <c r="AR55" i="22"/>
  <c r="AT55" i="22"/>
  <c r="AS120" i="22"/>
  <c r="AU380" i="22"/>
  <c r="AN380" i="22"/>
  <c r="AR322" i="23"/>
  <c r="AK322" i="23"/>
  <c r="AI359" i="23"/>
  <c r="AP359" i="23"/>
  <c r="AA145" i="9"/>
  <c r="AG145" i="9" s="1"/>
  <c r="AH145" i="9" s="1"/>
  <c r="AA230" i="9"/>
  <c r="AK223" i="22"/>
  <c r="AG223" i="22"/>
  <c r="AR223" i="22"/>
  <c r="AK296" i="22"/>
  <c r="AG296" i="22"/>
  <c r="AR296" i="22"/>
  <c r="AA332" i="9"/>
  <c r="AC332" i="9"/>
  <c r="AT49" i="12"/>
  <c r="AT48" i="12"/>
  <c r="AG83" i="22"/>
  <c r="AK83" i="22"/>
  <c r="AR83" i="22"/>
  <c r="AS29" i="22"/>
  <c r="AL29" i="22"/>
  <c r="AY29" i="22" s="1"/>
  <c r="AN358" i="22"/>
  <c r="AU358" i="22"/>
  <c r="AG410" i="22"/>
  <c r="AR410" i="22"/>
  <c r="AR33" i="22"/>
  <c r="AS251" i="22"/>
  <c r="AR318" i="23"/>
  <c r="AU440" i="22"/>
  <c r="AO141" i="23"/>
  <c r="AQ141" i="23"/>
  <c r="AD141" i="23"/>
  <c r="AB155" i="9"/>
  <c r="AL37" i="16"/>
  <c r="AC36" i="19" s="1"/>
  <c r="AC32" i="19"/>
  <c r="AL39" i="16"/>
  <c r="AC38" i="19" s="1"/>
  <c r="AL38" i="16"/>
  <c r="AC37" i="19" s="1"/>
  <c r="AL40" i="16"/>
  <c r="AC39" i="19" s="1"/>
  <c r="AG118" i="22"/>
  <c r="AR118" i="22"/>
  <c r="AS359" i="22"/>
  <c r="AL359" i="22"/>
  <c r="AG64" i="22"/>
  <c r="AN64" i="22" s="1"/>
  <c r="BA64" i="22" s="1"/>
  <c r="AT64" i="22"/>
  <c r="AR64" i="22"/>
  <c r="AS192" i="22"/>
  <c r="AY192" i="22" s="1"/>
  <c r="AU203" i="22"/>
  <c r="AP367" i="23"/>
  <c r="AL211" i="23"/>
  <c r="AT310" i="22"/>
  <c r="BF149" i="22"/>
  <c r="BN149" i="22" s="1"/>
  <c r="CB149" i="22"/>
  <c r="BB149" i="22"/>
  <c r="I275" i="12"/>
  <c r="I291" i="12" s="1"/>
  <c r="AN47" i="22"/>
  <c r="AU47" i="22"/>
  <c r="AV47" i="22"/>
  <c r="AP286" i="23"/>
  <c r="AI286" i="23"/>
  <c r="AL195" i="23"/>
  <c r="AR460" i="22"/>
  <c r="AR478" i="22"/>
  <c r="AP233" i="23"/>
  <c r="AQ377" i="23"/>
  <c r="AO377" i="23"/>
  <c r="AD377" i="23"/>
  <c r="AP68" i="23"/>
  <c r="AR362" i="22"/>
  <c r="AG362" i="22"/>
  <c r="AL362" i="22" s="1"/>
  <c r="AS403" i="22"/>
  <c r="AL403" i="22"/>
  <c r="AL27" i="22"/>
  <c r="AS27" i="22"/>
  <c r="AD62" i="23"/>
  <c r="V122" i="8"/>
  <c r="AT47" i="22"/>
  <c r="AC474" i="9"/>
  <c r="AA474" i="9"/>
  <c r="AG59" i="22"/>
  <c r="BZ189" i="22"/>
  <c r="AR71" i="22"/>
  <c r="AR238" i="23"/>
  <c r="AK238" i="23"/>
  <c r="AG467" i="22"/>
  <c r="AK467" i="22"/>
  <c r="AR467" i="22"/>
  <c r="AB268" i="9"/>
  <c r="AC268" i="9"/>
  <c r="AR263" i="22"/>
  <c r="AK263" i="22"/>
  <c r="AG263" i="22"/>
  <c r="AG385" i="22"/>
  <c r="AR385" i="22"/>
  <c r="AN117" i="22"/>
  <c r="AU117" i="22"/>
  <c r="AH185" i="23"/>
  <c r="AL384" i="22"/>
  <c r="AS384" i="22"/>
  <c r="AS208" i="22"/>
  <c r="AS399" i="22"/>
  <c r="AR384" i="22"/>
  <c r="AN419" i="22"/>
  <c r="AU419" i="22"/>
  <c r="AA463" i="9"/>
  <c r="AU336" i="22"/>
  <c r="AG75" i="28"/>
  <c r="AF4" i="28"/>
  <c r="AF5" i="28" s="1"/>
  <c r="AF7" i="28" s="1"/>
  <c r="Q24" i="27"/>
  <c r="O69" i="23" s="1"/>
  <c r="Q8" i="27"/>
  <c r="U201" i="22"/>
  <c r="W201" i="22" s="1"/>
  <c r="G35" i="16"/>
  <c r="AW23" i="12"/>
  <c r="AR349" i="23"/>
  <c r="AK349" i="23"/>
  <c r="AS211" i="22"/>
  <c r="AR354" i="22"/>
  <c r="AK354" i="22"/>
  <c r="AG354" i="22"/>
  <c r="AU495" i="22"/>
  <c r="M240" i="12"/>
  <c r="M241" i="12" s="1"/>
  <c r="G33" i="12"/>
  <c r="G323" i="12"/>
  <c r="G307" i="12"/>
  <c r="G275" i="12"/>
  <c r="G291" i="12"/>
  <c r="AR254" i="22"/>
  <c r="AG254" i="22"/>
  <c r="AG212" i="22"/>
  <c r="AK212" i="22" s="1"/>
  <c r="AR212" i="22"/>
  <c r="AS171" i="23"/>
  <c r="AS345" i="23"/>
  <c r="AL345" i="23"/>
  <c r="AR178" i="23"/>
  <c r="AR188" i="22"/>
  <c r="AX188" i="22" s="1"/>
  <c r="AK188" i="22"/>
  <c r="AG188" i="22"/>
  <c r="AK134" i="23"/>
  <c r="AR134" i="23"/>
  <c r="T178" i="12"/>
  <c r="AP319" i="23"/>
  <c r="AI319" i="23"/>
  <c r="AS150" i="22"/>
  <c r="AY150" i="22" s="1"/>
  <c r="AO275" i="23"/>
  <c r="AR341" i="22"/>
  <c r="AL147" i="22"/>
  <c r="AS147" i="22"/>
  <c r="AY147" i="22" s="1"/>
  <c r="AS108" i="22"/>
  <c r="AL108" i="22"/>
  <c r="AY108" i="22" s="1"/>
  <c r="AR222" i="22"/>
  <c r="AG222" i="22"/>
  <c r="AC323" i="9"/>
  <c r="AB323" i="9"/>
  <c r="Q29" i="27"/>
  <c r="O74" i="23" s="1"/>
  <c r="Q13" i="27"/>
  <c r="U206" i="22"/>
  <c r="W206" i="22" s="1"/>
  <c r="G40" i="16"/>
  <c r="AA147" i="9"/>
  <c r="AG147" i="9" s="1"/>
  <c r="AH147" i="9" s="1"/>
  <c r="AC147" i="9"/>
  <c r="V197" i="22"/>
  <c r="Q24" i="32"/>
  <c r="R209" i="9"/>
  <c r="T36" i="8"/>
  <c r="U36" i="8" s="1"/>
  <c r="S36" i="8"/>
  <c r="AB318" i="9"/>
  <c r="AC318" i="9"/>
  <c r="AV32" i="12"/>
  <c r="AV33" i="12"/>
  <c r="AC194" i="9"/>
  <c r="AB194" i="9"/>
  <c r="AC143" i="9"/>
  <c r="AB143" i="9"/>
  <c r="AG500" i="22"/>
  <c r="AR500" i="22"/>
  <c r="AK500" i="22"/>
  <c r="AS304" i="22"/>
  <c r="AN320" i="22"/>
  <c r="AU320" i="22"/>
  <c r="AQ281" i="23"/>
  <c r="AD281" i="23"/>
  <c r="AO281" i="23"/>
  <c r="AL161" i="23"/>
  <c r="AS161" i="23"/>
  <c r="AL133" i="23"/>
  <c r="AS133" i="23"/>
  <c r="AD315" i="23"/>
  <c r="AH315" i="23"/>
  <c r="AO315" i="23"/>
  <c r="AQ315" i="23"/>
  <c r="AS206" i="22"/>
  <c r="AK229" i="22"/>
  <c r="AG229" i="22"/>
  <c r="AR229" i="22"/>
  <c r="AS61" i="22"/>
  <c r="AP279" i="23"/>
  <c r="AI279" i="23"/>
  <c r="AR144" i="22"/>
  <c r="AX144" i="22" s="1"/>
  <c r="AG144" i="22"/>
  <c r="AL320" i="22"/>
  <c r="AS320" i="22"/>
  <c r="AT479" i="22"/>
  <c r="AU377" i="22"/>
  <c r="AO116" i="23"/>
  <c r="AD116" i="23"/>
  <c r="AK116" i="23" s="1"/>
  <c r="AQ116" i="23"/>
  <c r="AS197" i="23"/>
  <c r="AL197" i="23"/>
  <c r="AP178" i="23"/>
  <c r="AS278" i="23"/>
  <c r="AP278" i="23"/>
  <c r="AU450" i="22"/>
  <c r="AN450" i="22"/>
  <c r="AS499" i="22"/>
  <c r="AC374" i="9"/>
  <c r="AA374" i="9"/>
  <c r="AA389" i="9"/>
  <c r="AC389" i="9"/>
  <c r="AR248" i="22"/>
  <c r="AG248" i="22"/>
  <c r="AK248" i="22"/>
  <c r="AS219" i="22"/>
  <c r="AL219" i="22"/>
  <c r="AT161" i="22"/>
  <c r="AU445" i="22"/>
  <c r="AN445" i="22"/>
  <c r="AD189" i="23"/>
  <c r="AH189" i="23" s="1"/>
  <c r="AO189" i="23"/>
  <c r="AQ189" i="23"/>
  <c r="AI366" i="23"/>
  <c r="AP366" i="23"/>
  <c r="AP305" i="23"/>
  <c r="AV69" i="22"/>
  <c r="AB181" i="9"/>
  <c r="AA305" i="9"/>
  <c r="AC305" i="9"/>
  <c r="AR321" i="22"/>
  <c r="AG321" i="22"/>
  <c r="AS263" i="22"/>
  <c r="AL263" i="22"/>
  <c r="AN313" i="22"/>
  <c r="AU313" i="22"/>
  <c r="BA20" i="22"/>
  <c r="AR497" i="22"/>
  <c r="AK497" i="22"/>
  <c r="AG497" i="22"/>
  <c r="AL497" i="22" s="1"/>
  <c r="AR186" i="22"/>
  <c r="AX186" i="22" s="1"/>
  <c r="AG186" i="22"/>
  <c r="AU378" i="22"/>
  <c r="AK268" i="23"/>
  <c r="AR268" i="23"/>
  <c r="AK72" i="23"/>
  <c r="AL69" i="23"/>
  <c r="AD283" i="23"/>
  <c r="AJ283" i="23" s="1"/>
  <c r="AQ283" i="23"/>
  <c r="AO283" i="23"/>
  <c r="AG160" i="22"/>
  <c r="AR160" i="22"/>
  <c r="AX160" i="22" s="1"/>
  <c r="AL248" i="22"/>
  <c r="AS248" i="22"/>
  <c r="AU139" i="22"/>
  <c r="BA139" i="22" s="1"/>
  <c r="AO173" i="23"/>
  <c r="AH173" i="23"/>
  <c r="AD173" i="23"/>
  <c r="AQ173" i="23"/>
  <c r="R114" i="7"/>
  <c r="R27" i="7"/>
  <c r="AR224" i="22"/>
  <c r="AG224" i="22"/>
  <c r="AL138" i="22"/>
  <c r="AS138" i="22"/>
  <c r="AY138" i="22" s="1"/>
  <c r="AO272" i="23"/>
  <c r="AD272" i="23"/>
  <c r="AK272" i="23" s="1"/>
  <c r="AQ272" i="23"/>
  <c r="AD47" i="23"/>
  <c r="AQ47" i="23"/>
  <c r="AO47" i="23"/>
  <c r="AL268" i="23"/>
  <c r="AS268" i="23"/>
  <c r="AP316" i="23"/>
  <c r="AK250" i="22"/>
  <c r="AR250" i="22"/>
  <c r="AG250" i="22"/>
  <c r="AU270" i="22"/>
  <c r="AU369" i="22"/>
  <c r="AN369" i="22"/>
  <c r="AK183" i="9"/>
  <c r="AJ183" i="9"/>
  <c r="AR86" i="22"/>
  <c r="AG86" i="22"/>
  <c r="AK86" i="22" s="1"/>
  <c r="AL22" i="22"/>
  <c r="AY22" i="22" s="1"/>
  <c r="AS22" i="22"/>
  <c r="AV447" i="22"/>
  <c r="AV108" i="22"/>
  <c r="AD57" i="23"/>
  <c r="AI57" i="23" s="1"/>
  <c r="AV57" i="23" s="1"/>
  <c r="AO57" i="23"/>
  <c r="AQ57" i="23"/>
  <c r="AL166" i="23"/>
  <c r="AS166" i="23"/>
  <c r="AP57" i="23"/>
  <c r="AU131" i="22"/>
  <c r="V186" i="22"/>
  <c r="AR166" i="22"/>
  <c r="AX166" i="22" s="1"/>
  <c r="AG166" i="22"/>
  <c r="AK166" i="22"/>
  <c r="AS207" i="22"/>
  <c r="AL207" i="22"/>
  <c r="AU134" i="22"/>
  <c r="AN134" i="22"/>
  <c r="BA134" i="22" s="1"/>
  <c r="AO321" i="23"/>
  <c r="AQ321" i="23"/>
  <c r="AD321" i="23"/>
  <c r="AI321" i="23" s="1"/>
  <c r="AR87" i="22"/>
  <c r="AK87" i="22"/>
  <c r="AG87" i="22"/>
  <c r="AB465" i="9"/>
  <c r="AC465" i="9"/>
  <c r="AS504" i="22"/>
  <c r="AS14" i="22"/>
  <c r="AU392" i="22"/>
  <c r="AD132" i="23"/>
  <c r="AQ132" i="23"/>
  <c r="AO132" i="23"/>
  <c r="AL357" i="22"/>
  <c r="AS357" i="22"/>
  <c r="AU425" i="22"/>
  <c r="AN425" i="22"/>
  <c r="AE9" i="28"/>
  <c r="K104" i="12"/>
  <c r="AS488" i="22"/>
  <c r="AL488" i="22"/>
  <c r="AT157" i="22"/>
  <c r="AN370" i="22"/>
  <c r="AU370" i="22"/>
  <c r="AV294" i="22"/>
  <c r="AH243" i="23"/>
  <c r="AQ243" i="23"/>
  <c r="AO243" i="23"/>
  <c r="AD243" i="23"/>
  <c r="AS188" i="23"/>
  <c r="AR483" i="22"/>
  <c r="AG483" i="22"/>
  <c r="AS205" i="22"/>
  <c r="AL205" i="22"/>
  <c r="AK345" i="23"/>
  <c r="AR345" i="23"/>
  <c r="AT410" i="22"/>
  <c r="AC169" i="9"/>
  <c r="AB169" i="9"/>
  <c r="AJ104" i="16"/>
  <c r="BP146" i="22"/>
  <c r="BQ146" i="22" s="1"/>
  <c r="AL104" i="16"/>
  <c r="AK104" i="16"/>
  <c r="AR293" i="22"/>
  <c r="AK293" i="22"/>
  <c r="AG293" i="22"/>
  <c r="AS362" i="22"/>
  <c r="AB195" i="9"/>
  <c r="AP338" i="23"/>
  <c r="AL100" i="22"/>
  <c r="AY100" i="22" s="1"/>
  <c r="AV92" i="22"/>
  <c r="AS349" i="23"/>
  <c r="P53" i="23"/>
  <c r="AU178" i="22"/>
  <c r="BA178" i="22" s="1"/>
  <c r="AN178" i="22"/>
  <c r="AK15" i="28"/>
  <c r="AJ17" i="28"/>
  <c r="AG308" i="22"/>
  <c r="AU78" i="22"/>
  <c r="AN78" i="22"/>
  <c r="AR183" i="22"/>
  <c r="AX183" i="22" s="1"/>
  <c r="AG183" i="22"/>
  <c r="AR348" i="22"/>
  <c r="AP360" i="23"/>
  <c r="AB497" i="9"/>
  <c r="AS508" i="22"/>
  <c r="AL508" i="22"/>
  <c r="AR202" i="23"/>
  <c r="AB474" i="9"/>
  <c r="U133" i="8"/>
  <c r="AH230" i="23"/>
  <c r="AM230" i="23" s="1"/>
  <c r="AS194" i="22"/>
  <c r="AY194" i="22" s="1"/>
  <c r="AL194" i="22"/>
  <c r="AR270" i="23"/>
  <c r="AK270" i="23"/>
  <c r="AU488" i="22"/>
  <c r="AU212" i="22"/>
  <c r="AP242" i="23"/>
  <c r="AU273" i="22"/>
  <c r="AU225" i="22"/>
  <c r="AP343" i="23"/>
  <c r="AI343" i="23"/>
  <c r="AU142" i="22"/>
  <c r="BA142" i="22" s="1"/>
  <c r="AN142" i="22"/>
  <c r="AU55" i="23"/>
  <c r="AY55" i="23"/>
  <c r="P55" i="23"/>
  <c r="AW55" i="23"/>
  <c r="AV55" i="23"/>
  <c r="BQ148" i="22"/>
  <c r="AK19" i="16"/>
  <c r="AL26" i="16" s="1"/>
  <c r="AU113" i="22"/>
  <c r="AD294" i="23"/>
  <c r="AJ294" i="23" s="1"/>
  <c r="AO294" i="23"/>
  <c r="AQ294" i="23"/>
  <c r="AK240" i="22"/>
  <c r="AG240" i="22"/>
  <c r="AR240" i="22"/>
  <c r="AS186" i="23"/>
  <c r="AL186" i="23"/>
  <c r="AR371" i="23"/>
  <c r="AK371" i="23"/>
  <c r="AA502" i="9"/>
  <c r="AD362" i="23"/>
  <c r="AK362" i="23" s="1"/>
  <c r="AQ362" i="23"/>
  <c r="AO362" i="23"/>
  <c r="J248" i="12"/>
  <c r="J240" i="12"/>
  <c r="J241" i="12" s="1"/>
  <c r="J245" i="12"/>
  <c r="AP325" i="23"/>
  <c r="AI325" i="23"/>
  <c r="AU446" i="22"/>
  <c r="AR78" i="22"/>
  <c r="AK78" i="22"/>
  <c r="AG78" i="22"/>
  <c r="AT78" i="22"/>
  <c r="AR283" i="23"/>
  <c r="AG356" i="22"/>
  <c r="AS159" i="22"/>
  <c r="AY159" i="22" s="1"/>
  <c r="AL97" i="22"/>
  <c r="AS97" i="22"/>
  <c r="AJ54" i="23"/>
  <c r="AM54" i="23" s="1"/>
  <c r="AK54" i="23"/>
  <c r="AL54" i="23"/>
  <c r="AK185" i="9"/>
  <c r="AJ185" i="9"/>
  <c r="AC338" i="9"/>
  <c r="AB338" i="9"/>
  <c r="AP94" i="23"/>
  <c r="AI94" i="23"/>
  <c r="AP376" i="23"/>
  <c r="AB403" i="9"/>
  <c r="AU314" i="22"/>
  <c r="AD268" i="23"/>
  <c r="AQ268" i="23"/>
  <c r="AO268" i="23"/>
  <c r="AD182" i="23"/>
  <c r="AL182" i="23" s="1"/>
  <c r="AQ182" i="23"/>
  <c r="AO182" i="23"/>
  <c r="AH182" i="23"/>
  <c r="AL259" i="22"/>
  <c r="AS259" i="22"/>
  <c r="AS500" i="22"/>
  <c r="AL500" i="22"/>
  <c r="AS340" i="23"/>
  <c r="AL340" i="23"/>
  <c r="AU167" i="22"/>
  <c r="BA167" i="22" s="1"/>
  <c r="AN167" i="22"/>
  <c r="AU193" i="22"/>
  <c r="BA193" i="22" s="1"/>
  <c r="AN193" i="22"/>
  <c r="AQ102" i="23"/>
  <c r="AO102" i="23"/>
  <c r="AD102" i="23"/>
  <c r="AS17" i="22"/>
  <c r="AI370" i="23"/>
  <c r="AP370" i="23"/>
  <c r="AL224" i="22"/>
  <c r="AS224" i="22"/>
  <c r="Q23" i="27"/>
  <c r="Q7" i="27"/>
  <c r="U200" i="22"/>
  <c r="W200" i="22" s="1"/>
  <c r="G34" i="16"/>
  <c r="AW22" i="12"/>
  <c r="AA306" i="9"/>
  <c r="AC306" i="9"/>
  <c r="AC311" i="9"/>
  <c r="AB311" i="9"/>
  <c r="AC174" i="9"/>
  <c r="AB174" i="9"/>
  <c r="AK194" i="9"/>
  <c r="AJ194" i="9"/>
  <c r="AC466" i="9"/>
  <c r="AB466" i="9"/>
  <c r="AK143" i="9"/>
  <c r="AJ143" i="9"/>
  <c r="AR360" i="22"/>
  <c r="AG360" i="22"/>
  <c r="AL360" i="22" s="1"/>
  <c r="AK360" i="22"/>
  <c r="AS354" i="22"/>
  <c r="AL354" i="22"/>
  <c r="AU492" i="22"/>
  <c r="AN492" i="22"/>
  <c r="AD170" i="23"/>
  <c r="AO170" i="23"/>
  <c r="AQ170" i="23"/>
  <c r="AH170" i="23"/>
  <c r="AR301" i="23"/>
  <c r="AK301" i="23"/>
  <c r="AO324" i="23"/>
  <c r="AQ324" i="23"/>
  <c r="AH324" i="23"/>
  <c r="AD324" i="23"/>
  <c r="AP315" i="23"/>
  <c r="AR104" i="22"/>
  <c r="AG104" i="22"/>
  <c r="AS171" i="22"/>
  <c r="AY171" i="22" s="1"/>
  <c r="AL171" i="22"/>
  <c r="AP290" i="23"/>
  <c r="AI290" i="23"/>
  <c r="AR309" i="22"/>
  <c r="AG309" i="22"/>
  <c r="AN309" i="22" s="1"/>
  <c r="AL459" i="22"/>
  <c r="AS459" i="22"/>
  <c r="AT181" i="22"/>
  <c r="AU282" i="22"/>
  <c r="AN282" i="22"/>
  <c r="AH103" i="23"/>
  <c r="AQ103" i="23"/>
  <c r="AO103" i="23"/>
  <c r="AD103" i="23"/>
  <c r="AS352" i="23"/>
  <c r="AL352" i="23"/>
  <c r="AS155" i="23"/>
  <c r="AK336" i="23"/>
  <c r="AR336" i="23"/>
  <c r="AO289" i="23"/>
  <c r="AD289" i="23"/>
  <c r="AH289" i="23" s="1"/>
  <c r="AQ289" i="23"/>
  <c r="AU161" i="22"/>
  <c r="BA161" i="22" s="1"/>
  <c r="AN161" i="22"/>
  <c r="AS455" i="22"/>
  <c r="AL455" i="22"/>
  <c r="AR50" i="22"/>
  <c r="AG50" i="22"/>
  <c r="AK50" i="22"/>
  <c r="AT50" i="22"/>
  <c r="AS195" i="22"/>
  <c r="AY195" i="22" s="1"/>
  <c r="AL195" i="22"/>
  <c r="AN437" i="22"/>
  <c r="AU437" i="22"/>
  <c r="AR139" i="23"/>
  <c r="AQ215" i="23"/>
  <c r="AO215" i="23"/>
  <c r="AD215" i="23"/>
  <c r="AI249" i="23"/>
  <c r="AP249" i="23"/>
  <c r="AQ305" i="23"/>
  <c r="AO305" i="23"/>
  <c r="AD305" i="23"/>
  <c r="AJ305" i="23" s="1"/>
  <c r="AR84" i="22"/>
  <c r="AG84" i="22"/>
  <c r="AL298" i="22"/>
  <c r="AS298" i="22"/>
  <c r="AN135" i="22"/>
  <c r="AU135" i="22"/>
  <c r="AG394" i="22"/>
  <c r="AK394" i="22" s="1"/>
  <c r="AR394" i="22"/>
  <c r="AS451" i="22"/>
  <c r="AN250" i="22"/>
  <c r="AU250" i="22"/>
  <c r="AR360" i="23"/>
  <c r="AD82" i="23"/>
  <c r="AQ82" i="23"/>
  <c r="AO82" i="23"/>
  <c r="AH82" i="23"/>
  <c r="AP128" i="23"/>
  <c r="AI128" i="23"/>
  <c r="AS51" i="22"/>
  <c r="AL181" i="23"/>
  <c r="AS181" i="23"/>
  <c r="AG127" i="22"/>
  <c r="AK127" i="22" s="1"/>
  <c r="AR127" i="22"/>
  <c r="AS380" i="22"/>
  <c r="AU28" i="22"/>
  <c r="AN28" i="22"/>
  <c r="AV28" i="22"/>
  <c r="AQ205" i="23"/>
  <c r="AO205" i="23"/>
  <c r="AD205" i="23"/>
  <c r="AG8" i="22"/>
  <c r="AK8" i="22" s="1"/>
  <c r="AR8" i="22"/>
  <c r="AT8" i="22"/>
  <c r="AS136" i="22"/>
  <c r="AL136" i="22"/>
  <c r="AY136" i="22" s="1"/>
  <c r="AU390" i="22"/>
  <c r="I254" i="12"/>
  <c r="I251" i="12"/>
  <c r="AQ271" i="23"/>
  <c r="AD271" i="23"/>
  <c r="AJ271" i="23" s="1"/>
  <c r="AO271" i="23"/>
  <c r="AD71" i="23"/>
  <c r="AO71" i="23"/>
  <c r="AQ71" i="23"/>
  <c r="AI273" i="23"/>
  <c r="AP273" i="23"/>
  <c r="AP144" i="23"/>
  <c r="AS495" i="22"/>
  <c r="AL495" i="22"/>
  <c r="AN176" i="22"/>
  <c r="AU176" i="22"/>
  <c r="BA176" i="22" s="1"/>
  <c r="AB250" i="9"/>
  <c r="AR198" i="22"/>
  <c r="AX198" i="22" s="1"/>
  <c r="AK198" i="22"/>
  <c r="AG198" i="22"/>
  <c r="AS53" i="22"/>
  <c r="AR92" i="23"/>
  <c r="AK92" i="23"/>
  <c r="AS264" i="23"/>
  <c r="AL264" i="23"/>
  <c r="AS119" i="23"/>
  <c r="AL119" i="23"/>
  <c r="AK316" i="22"/>
  <c r="AG316" i="22"/>
  <c r="AL316" i="22" s="1"/>
  <c r="AR316" i="22"/>
  <c r="AS316" i="22"/>
  <c r="AU171" i="22"/>
  <c r="BA171" i="22" s="1"/>
  <c r="AN171" i="22"/>
  <c r="AP321" i="23"/>
  <c r="AS37" i="22"/>
  <c r="AL37" i="22"/>
  <c r="AY37" i="22" s="1"/>
  <c r="AA465" i="9"/>
  <c r="AK508" i="22"/>
  <c r="AG508" i="22"/>
  <c r="AR508" i="22"/>
  <c r="AS472" i="22"/>
  <c r="AL472" i="22"/>
  <c r="AL77" i="22"/>
  <c r="AS77" i="22"/>
  <c r="AN382" i="22"/>
  <c r="AU382" i="22"/>
  <c r="AV414" i="22"/>
  <c r="AR144" i="23"/>
  <c r="AL366" i="22"/>
  <c r="AS366" i="22"/>
  <c r="AR347" i="23"/>
  <c r="AO176" i="23"/>
  <c r="BY194" i="22"/>
  <c r="AN184" i="22"/>
  <c r="AU184" i="22"/>
  <c r="BA184" i="22" s="1"/>
  <c r="AI164" i="23"/>
  <c r="AP164" i="23"/>
  <c r="AS370" i="22"/>
  <c r="AL370" i="22"/>
  <c r="AP370" i="22" s="1"/>
  <c r="AV253" i="22"/>
  <c r="AL156" i="23"/>
  <c r="AP103" i="23"/>
  <c r="AA493" i="9"/>
  <c r="V182" i="22"/>
  <c r="V194" i="22" s="1"/>
  <c r="AG407" i="22"/>
  <c r="AR407" i="22"/>
  <c r="AL346" i="22"/>
  <c r="AP346" i="22" s="1"/>
  <c r="AS346" i="22"/>
  <c r="AQ100" i="23"/>
  <c r="AO100" i="23"/>
  <c r="AD100" i="23"/>
  <c r="AI100" i="23" s="1"/>
  <c r="AC148" i="9"/>
  <c r="AB148" i="9"/>
  <c r="AA169" i="9"/>
  <c r="AG169" i="9" s="1"/>
  <c r="AH169" i="9" s="1"/>
  <c r="AG406" i="22"/>
  <c r="AR406" i="22"/>
  <c r="AR93" i="22"/>
  <c r="AK93" i="22"/>
  <c r="AG93" i="22"/>
  <c r="AS339" i="22"/>
  <c r="AL339" i="22"/>
  <c r="AB178" i="9"/>
  <c r="AC178" i="9"/>
  <c r="AU331" i="22"/>
  <c r="AN331" i="22"/>
  <c r="AS371" i="23"/>
  <c r="AQ338" i="23"/>
  <c r="AD338" i="23"/>
  <c r="AO338" i="23"/>
  <c r="AP129" i="23"/>
  <c r="AI129" i="23"/>
  <c r="AI181" i="23"/>
  <c r="AM181" i="23" s="1"/>
  <c r="P62" i="23"/>
  <c r="AR175" i="23"/>
  <c r="AK175" i="23"/>
  <c r="AP340" i="23"/>
  <c r="AU51" i="23"/>
  <c r="AT122" i="22"/>
  <c r="AU335" i="22"/>
  <c r="AP221" i="23"/>
  <c r="AL91" i="22"/>
  <c r="AS91" i="22"/>
  <c r="CB155" i="22"/>
  <c r="BF155" i="22"/>
  <c r="BN155" i="22" s="1"/>
  <c r="J269" i="12"/>
  <c r="J285" i="12" s="1"/>
  <c r="BB155" i="22"/>
  <c r="AQ360" i="23"/>
  <c r="AO360" i="23"/>
  <c r="AD360" i="23"/>
  <c r="AK360" i="23" s="1"/>
  <c r="P33" i="27"/>
  <c r="P35" i="27" s="1"/>
  <c r="O54" i="23"/>
  <c r="AG75" i="22"/>
  <c r="AL75" i="22" s="1"/>
  <c r="AY75" i="22" s="1"/>
  <c r="AT75" i="22"/>
  <c r="AK75" i="22"/>
  <c r="AR75" i="22"/>
  <c r="AP11" i="8"/>
  <c r="AT152" i="22"/>
  <c r="AM245" i="23"/>
  <c r="AO20" i="22"/>
  <c r="BB20" i="22" s="1"/>
  <c r="AM20" i="22"/>
  <c r="AZ20" i="22" s="1"/>
  <c r="AL394" i="22"/>
  <c r="AS394" i="22"/>
  <c r="AT508" i="22"/>
  <c r="AM148" i="23"/>
  <c r="AL256" i="22"/>
  <c r="AS256" i="22"/>
  <c r="AL318" i="22"/>
  <c r="AS318" i="22"/>
  <c r="AV336" i="22"/>
  <c r="AK131" i="22"/>
  <c r="AG131" i="22"/>
  <c r="AN131" i="22" s="1"/>
  <c r="BA131" i="22" s="1"/>
  <c r="AR131" i="22"/>
  <c r="AS163" i="22"/>
  <c r="AY163" i="22" s="1"/>
  <c r="AS113" i="23"/>
  <c r="AC330" i="9"/>
  <c r="AB330" i="9"/>
  <c r="AP130" i="23"/>
  <c r="S17" i="32"/>
  <c r="R226" i="9"/>
  <c r="AS303" i="22"/>
  <c r="AR163" i="22"/>
  <c r="AX163" i="22" s="1"/>
  <c r="AG163" i="22"/>
  <c r="N10" i="7"/>
  <c r="AK156" i="9"/>
  <c r="AJ156" i="9"/>
  <c r="AB489" i="9"/>
  <c r="AC489" i="9"/>
  <c r="AR282" i="22"/>
  <c r="AK282" i="22"/>
  <c r="AG282" i="22"/>
  <c r="AU345" i="22"/>
  <c r="AS146" i="23"/>
  <c r="AL146" i="23"/>
  <c r="AR125" i="23"/>
  <c r="AK125" i="23"/>
  <c r="AU219" i="22"/>
  <c r="AQ298" i="23"/>
  <c r="AO298" i="23"/>
  <c r="AD298" i="23"/>
  <c r="AG35" i="28"/>
  <c r="AH33" i="28"/>
  <c r="AR490" i="22"/>
  <c r="AG490" i="22"/>
  <c r="AR84" i="23"/>
  <c r="AK84" i="23"/>
  <c r="AS112" i="22"/>
  <c r="B11" i="16"/>
  <c r="B8" i="16"/>
  <c r="AD334" i="23"/>
  <c r="AQ334" i="23"/>
  <c r="AO334" i="23"/>
  <c r="AS11" i="22"/>
  <c r="AL11" i="22"/>
  <c r="AY11" i="22" s="1"/>
  <c r="AK97" i="16"/>
  <c r="AS468" i="22"/>
  <c r="AP335" i="23"/>
  <c r="AR257" i="22"/>
  <c r="AG257" i="22"/>
  <c r="AK257" i="22"/>
  <c r="AQ341" i="23"/>
  <c r="AO341" i="23"/>
  <c r="AD341" i="23"/>
  <c r="AI341" i="23" s="1"/>
  <c r="AL233" i="22"/>
  <c r="AS233" i="22"/>
  <c r="AU115" i="22"/>
  <c r="AP353" i="23"/>
  <c r="AA448" i="9"/>
  <c r="AC448" i="9"/>
  <c r="AS107" i="22"/>
  <c r="AU152" i="22"/>
  <c r="BA152" i="22" s="1"/>
  <c r="AU83" i="22"/>
  <c r="AN83" i="22"/>
  <c r="BA83" i="22" s="1"/>
  <c r="AK352" i="22"/>
  <c r="AR352" i="22"/>
  <c r="AG352" i="22"/>
  <c r="AV280" i="22"/>
  <c r="AL74" i="22"/>
  <c r="AS74" i="22"/>
  <c r="AU428" i="22"/>
  <c r="AN428" i="22"/>
  <c r="AM33" i="22"/>
  <c r="AZ33" i="22" s="1"/>
  <c r="AO33" i="22"/>
  <c r="AL478" i="22"/>
  <c r="AP478" i="22" s="1"/>
  <c r="AS478" i="22"/>
  <c r="AG340" i="22"/>
  <c r="AR340" i="22"/>
  <c r="AC355" i="9"/>
  <c r="AA355" i="9"/>
  <c r="AR499" i="22"/>
  <c r="AG499" i="22"/>
  <c r="AA319" i="9"/>
  <c r="AA419" i="9"/>
  <c r="AR302" i="22"/>
  <c r="AG302" i="22"/>
  <c r="AA377" i="9"/>
  <c r="Q31" i="27"/>
  <c r="O76" i="23" s="1"/>
  <c r="Q15" i="27"/>
  <c r="U208" i="22"/>
  <c r="W208" i="22" s="1"/>
  <c r="G42" i="16"/>
  <c r="AA243" i="9"/>
  <c r="AC301" i="9"/>
  <c r="AB301" i="9"/>
  <c r="AR389" i="22"/>
  <c r="AK389" i="22"/>
  <c r="AG389" i="22"/>
  <c r="AC453" i="9"/>
  <c r="AB453" i="9"/>
  <c r="AA311" i="9"/>
  <c r="AA174" i="9"/>
  <c r="AG174" i="9" s="1"/>
  <c r="AH174" i="9" s="1"/>
  <c r="AA466" i="9"/>
  <c r="C76" i="16"/>
  <c r="G73" i="16" s="1"/>
  <c r="C112" i="16"/>
  <c r="P10" i="7"/>
  <c r="AG315" i="22"/>
  <c r="AN315" i="22" s="1"/>
  <c r="AR315" i="22"/>
  <c r="AS244" i="22"/>
  <c r="AL244" i="22"/>
  <c r="AU400" i="22"/>
  <c r="AR174" i="23"/>
  <c r="AR355" i="23"/>
  <c r="AK192" i="23"/>
  <c r="AR192" i="23"/>
  <c r="AP324" i="23"/>
  <c r="AI324" i="23"/>
  <c r="AI90" i="23"/>
  <c r="AP90" i="23"/>
  <c r="AH11" i="8"/>
  <c r="Q185" i="12"/>
  <c r="AG61" i="22"/>
  <c r="AK61" i="22"/>
  <c r="AT61" i="22"/>
  <c r="AR61" i="22"/>
  <c r="AS33" i="22"/>
  <c r="AL33" i="22"/>
  <c r="AY33" i="22" s="1"/>
  <c r="AD290" i="23"/>
  <c r="AK290" i="23" s="1"/>
  <c r="AQ290" i="23"/>
  <c r="AO290" i="23"/>
  <c r="AH290" i="23"/>
  <c r="R15" i="32"/>
  <c r="R212" i="9"/>
  <c r="T27" i="8"/>
  <c r="V27" i="8" s="1"/>
  <c r="U27" i="8"/>
  <c r="AG215" i="22"/>
  <c r="AL215" i="22" s="1"/>
  <c r="AR215" i="22"/>
  <c r="AK215" i="22"/>
  <c r="AS313" i="22"/>
  <c r="AL313" i="22"/>
  <c r="AP313" i="22" s="1"/>
  <c r="AN338" i="22"/>
  <c r="AU338" i="22"/>
  <c r="AV81" i="22"/>
  <c r="AK278" i="23"/>
  <c r="AR278" i="23"/>
  <c r="AP220" i="23"/>
  <c r="AI220" i="23"/>
  <c r="AP135" i="23"/>
  <c r="AQ250" i="23"/>
  <c r="AP289" i="23"/>
  <c r="AU304" i="22"/>
  <c r="AL422" i="22"/>
  <c r="AS422" i="22"/>
  <c r="C121" i="16"/>
  <c r="AG251" i="22"/>
  <c r="AL251" i="22" s="1"/>
  <c r="AR251" i="22"/>
  <c r="AS174" i="22"/>
  <c r="AY174" i="22" s="1"/>
  <c r="AL174" i="22"/>
  <c r="AU396" i="22"/>
  <c r="AN396" i="22"/>
  <c r="AQ110" i="23"/>
  <c r="AO110" i="23"/>
  <c r="AD110" i="23"/>
  <c r="AJ110" i="23" s="1"/>
  <c r="AS110" i="23"/>
  <c r="AO270" i="23"/>
  <c r="AH270" i="23"/>
  <c r="AD270" i="23"/>
  <c r="AJ270" i="23" s="1"/>
  <c r="AQ270" i="23"/>
  <c r="AL333" i="23"/>
  <c r="AS333" i="23"/>
  <c r="AA495" i="9"/>
  <c r="G320" i="12"/>
  <c r="G288" i="12"/>
  <c r="G30" i="12"/>
  <c r="G272" i="12"/>
  <c r="G304" i="12"/>
  <c r="AG230" i="22"/>
  <c r="AR230" i="22"/>
  <c r="AL229" i="22"/>
  <c r="AS229" i="22"/>
  <c r="AT320" i="22"/>
  <c r="AU99" i="22"/>
  <c r="AC149" i="9"/>
  <c r="AB149" i="9"/>
  <c r="AR442" i="22"/>
  <c r="AK442" i="22"/>
  <c r="AG442" i="22"/>
  <c r="AS413" i="22"/>
  <c r="AL413" i="22"/>
  <c r="AT499" i="22"/>
  <c r="AN186" i="22"/>
  <c r="AU186" i="22"/>
  <c r="BA186" i="22" s="1"/>
  <c r="AO231" i="23"/>
  <c r="AQ231" i="23"/>
  <c r="AD231" i="23"/>
  <c r="AJ231" i="23" s="1"/>
  <c r="AK75" i="23"/>
  <c r="AL172" i="23"/>
  <c r="AS172" i="23"/>
  <c r="AL323" i="23"/>
  <c r="AS323" i="23"/>
  <c r="AK325" i="22"/>
  <c r="AG325" i="22"/>
  <c r="AR325" i="22"/>
  <c r="AR9" i="22"/>
  <c r="AG9" i="22"/>
  <c r="AT9" i="22"/>
  <c r="AS178" i="22"/>
  <c r="AY178" i="22" s="1"/>
  <c r="AD237" i="23"/>
  <c r="AQ237" i="23"/>
  <c r="AO237" i="23"/>
  <c r="AH237" i="23"/>
  <c r="AL72" i="23"/>
  <c r="AK179" i="22"/>
  <c r="AG179" i="22"/>
  <c r="AR179" i="22"/>
  <c r="AX179" i="22" s="1"/>
  <c r="AL49" i="22"/>
  <c r="AS49" i="22"/>
  <c r="AU391" i="22"/>
  <c r="AN391" i="22"/>
  <c r="AO144" i="23"/>
  <c r="AD144" i="23"/>
  <c r="AJ144" i="23" s="1"/>
  <c r="AQ144" i="23"/>
  <c r="AQ59" i="23"/>
  <c r="AO59" i="23"/>
  <c r="AD59" i="23"/>
  <c r="AH59" i="23" s="1"/>
  <c r="AQ284" i="23"/>
  <c r="AD284" i="23"/>
  <c r="AO284" i="23"/>
  <c r="AI55" i="23"/>
  <c r="AP55" i="23"/>
  <c r="AS355" i="22"/>
  <c r="AU111" i="22"/>
  <c r="AN111" i="22"/>
  <c r="BA111" i="22" s="1"/>
  <c r="AP209" i="23"/>
  <c r="AG241" i="22"/>
  <c r="AR241" i="22"/>
  <c r="AS141" i="22"/>
  <c r="AY141" i="22" s="1"/>
  <c r="AU477" i="22"/>
  <c r="AN477" i="22"/>
  <c r="AU322" i="22"/>
  <c r="AR187" i="23"/>
  <c r="AK187" i="23"/>
  <c r="AI255" i="23"/>
  <c r="AP255" i="23"/>
  <c r="AS256" i="23"/>
  <c r="AL256" i="23"/>
  <c r="AA405" i="9"/>
  <c r="AR70" i="22"/>
  <c r="AG70" i="22"/>
  <c r="AT70" i="22"/>
  <c r="AS193" i="22"/>
  <c r="AY193" i="22" s="1"/>
  <c r="AL193" i="22"/>
  <c r="AN459" i="22"/>
  <c r="AU459" i="22"/>
  <c r="AU163" i="22"/>
  <c r="BA163" i="22" s="1"/>
  <c r="AK210" i="23"/>
  <c r="AR210" i="23"/>
  <c r="AD279" i="23"/>
  <c r="AK279" i="23" s="1"/>
  <c r="AB509" i="9"/>
  <c r="AR474" i="22"/>
  <c r="AK474" i="22"/>
  <c r="AG474" i="22"/>
  <c r="AL470" i="22"/>
  <c r="AS470" i="22"/>
  <c r="AU374" i="22"/>
  <c r="AR308" i="23"/>
  <c r="AK308" i="23"/>
  <c r="AL266" i="22"/>
  <c r="AS266" i="22"/>
  <c r="AG330" i="22"/>
  <c r="AA412" i="9"/>
  <c r="AS338" i="22"/>
  <c r="AL338" i="22"/>
  <c r="AR255" i="23"/>
  <c r="AK255" i="23"/>
  <c r="AR304" i="23"/>
  <c r="AL110" i="22"/>
  <c r="AY110" i="22" s="1"/>
  <c r="AS110" i="22"/>
  <c r="AU500" i="22"/>
  <c r="AN500" i="22"/>
  <c r="AH251" i="23"/>
  <c r="AD251" i="23"/>
  <c r="AQ251" i="23"/>
  <c r="AO251" i="23"/>
  <c r="AT407" i="22"/>
  <c r="AN295" i="22"/>
  <c r="AU295" i="22"/>
  <c r="AK129" i="23"/>
  <c r="AR129" i="23"/>
  <c r="AA148" i="9"/>
  <c r="AG148" i="9" s="1"/>
  <c r="AH148" i="9" s="1"/>
  <c r="AB456" i="9"/>
  <c r="AR424" i="22"/>
  <c r="AG424" i="22"/>
  <c r="AL424" i="22" s="1"/>
  <c r="AS435" i="22"/>
  <c r="AL435" i="22"/>
  <c r="AA178" i="9"/>
  <c r="AG178" i="9" s="1"/>
  <c r="AH178" i="9" s="1"/>
  <c r="AS300" i="22"/>
  <c r="AV467" i="22"/>
  <c r="AQ371" i="23"/>
  <c r="AD371" i="23"/>
  <c r="AO371" i="23"/>
  <c r="AP173" i="23"/>
  <c r="AO340" i="23"/>
  <c r="AD340" i="23"/>
  <c r="AJ340" i="23" s="1"/>
  <c r="AQ340" i="23"/>
  <c r="AG153" i="22"/>
  <c r="AN153" i="22" s="1"/>
  <c r="AU438" i="22"/>
  <c r="AN438" i="22"/>
  <c r="AI54" i="23"/>
  <c r="AS290" i="22"/>
  <c r="AL290" i="22"/>
  <c r="AP290" i="22" s="1"/>
  <c r="AR308" i="22"/>
  <c r="AT312" i="22"/>
  <c r="AU491" i="22"/>
  <c r="AS332" i="23"/>
  <c r="AS238" i="23"/>
  <c r="AI45" i="23"/>
  <c r="AV45" i="23" s="1"/>
  <c r="AG348" i="22"/>
  <c r="AN348" i="22" s="1"/>
  <c r="AR470" i="22"/>
  <c r="AU301" i="22"/>
  <c r="AN301" i="22"/>
  <c r="P17" i="27"/>
  <c r="AH195" i="23"/>
  <c r="AM195" i="23" s="1"/>
  <c r="AQ297" i="23"/>
  <c r="AH297" i="23"/>
  <c r="AD297" i="23"/>
  <c r="AO297" i="23"/>
  <c r="AK20" i="22"/>
  <c r="AR272" i="23"/>
  <c r="AO69" i="23"/>
  <c r="AS240" i="22"/>
  <c r="AS387" i="22"/>
  <c r="AU77" i="12"/>
  <c r="AU79" i="12"/>
  <c r="AU78" i="12"/>
  <c r="AU76" i="12"/>
  <c r="AL89" i="22"/>
  <c r="AS89" i="22"/>
  <c r="AT215" i="22"/>
  <c r="AD174" i="23"/>
  <c r="AJ174" i="23" s="1"/>
  <c r="AQ174" i="23"/>
  <c r="AO174" i="23"/>
  <c r="AG375" i="22"/>
  <c r="AS356" i="22"/>
  <c r="AQ213" i="23"/>
  <c r="AO213" i="23"/>
  <c r="AD213" i="23"/>
  <c r="AH213" i="23" s="1"/>
  <c r="AR337" i="22"/>
  <c r="AG337" i="22"/>
  <c r="AN337" i="22" s="1"/>
  <c r="AD8" i="28"/>
  <c r="M35" i="27" s="1"/>
  <c r="J103" i="12"/>
  <c r="J225" i="12" s="1"/>
  <c r="N313" i="12"/>
  <c r="N321" i="12"/>
  <c r="N314" i="12"/>
  <c r="N317" i="12"/>
  <c r="N316" i="12"/>
  <c r="N315" i="12"/>
  <c r="N320" i="12"/>
  <c r="N312" i="12"/>
  <c r="N318" i="12"/>
  <c r="N319" i="12"/>
  <c r="N322" i="12"/>
  <c r="AQ49" i="23"/>
  <c r="AO49" i="23"/>
  <c r="AH49" i="23"/>
  <c r="AD49" i="23"/>
  <c r="AR247" i="23"/>
  <c r="AK247" i="23"/>
  <c r="AS86" i="22"/>
  <c r="AK69" i="22"/>
  <c r="AT69" i="22"/>
  <c r="AR69" i="22"/>
  <c r="AG69" i="22"/>
  <c r="AU190" i="22"/>
  <c r="BA190" i="22" s="1"/>
  <c r="AN190" i="22"/>
  <c r="AS381" i="22"/>
  <c r="AL381" i="22"/>
  <c r="AS411" i="22"/>
  <c r="AK277" i="22"/>
  <c r="AG277" i="22"/>
  <c r="AN277" i="22" s="1"/>
  <c r="AR277" i="22"/>
  <c r="AP109" i="23"/>
  <c r="AP506" i="22"/>
  <c r="AO374" i="23"/>
  <c r="AD374" i="23"/>
  <c r="AH374" i="23" s="1"/>
  <c r="AQ374" i="23"/>
  <c r="AS489" i="22"/>
  <c r="AL489" i="22"/>
  <c r="AK397" i="22"/>
  <c r="AR397" i="22"/>
  <c r="AG397" i="22"/>
  <c r="AD330" i="23"/>
  <c r="AH330" i="23" s="1"/>
  <c r="AO330" i="23"/>
  <c r="AQ330" i="23"/>
  <c r="AN398" i="22"/>
  <c r="AU398" i="22"/>
  <c r="AP293" i="23"/>
  <c r="AR193" i="22"/>
  <c r="AX193" i="22" s="1"/>
  <c r="AK193" i="22"/>
  <c r="AG193" i="22"/>
  <c r="AN209" i="22"/>
  <c r="AU209" i="22"/>
  <c r="AS232" i="23"/>
  <c r="AL117" i="22"/>
  <c r="AS117" i="22"/>
  <c r="AU34" i="22"/>
  <c r="AN34" i="22"/>
  <c r="BA34" i="22" s="1"/>
  <c r="AV34" i="22"/>
  <c r="AK52" i="22"/>
  <c r="AG52" i="22"/>
  <c r="AR52" i="22"/>
  <c r="AT52" i="22"/>
  <c r="AR355" i="22"/>
  <c r="AG355" i="22"/>
  <c r="AK355" i="22" s="1"/>
  <c r="AA382" i="9"/>
  <c r="AC382" i="9"/>
  <c r="V178" i="22"/>
  <c r="AA181" i="9"/>
  <c r="AG181" i="9" s="1"/>
  <c r="AH181" i="9" s="1"/>
  <c r="AA301" i="9"/>
  <c r="AR414" i="22"/>
  <c r="AK414" i="22"/>
  <c r="AG414" i="22"/>
  <c r="AA129" i="9"/>
  <c r="AC356" i="9"/>
  <c r="AB356" i="9"/>
  <c r="AA435" i="9"/>
  <c r="AC435" i="9"/>
  <c r="AB355" i="9"/>
  <c r="AB280" i="9"/>
  <c r="AC280" i="9"/>
  <c r="Q18" i="32"/>
  <c r="R203" i="9"/>
  <c r="S30" i="8"/>
  <c r="V30" i="8" s="1"/>
  <c r="T30" i="8"/>
  <c r="U30" i="8"/>
  <c r="AB393" i="9"/>
  <c r="AC393" i="9"/>
  <c r="AR260" i="22"/>
  <c r="AK260" i="22"/>
  <c r="AG260" i="22"/>
  <c r="AS396" i="22"/>
  <c r="AT385" i="22"/>
  <c r="AN305" i="22"/>
  <c r="AU305" i="22"/>
  <c r="AR87" i="23"/>
  <c r="AK87" i="23"/>
  <c r="AR248" i="23"/>
  <c r="AK248" i="23"/>
  <c r="AN237" i="22"/>
  <c r="AU237" i="22"/>
  <c r="P185" i="12"/>
  <c r="AR287" i="22"/>
  <c r="AG287" i="22"/>
  <c r="AK287" i="22" s="1"/>
  <c r="AS30" i="22"/>
  <c r="AL30" i="22"/>
  <c r="AY30" i="22" s="1"/>
  <c r="AU207" i="22"/>
  <c r="AN207" i="22"/>
  <c r="AL373" i="23"/>
  <c r="AS373" i="23"/>
  <c r="AC276" i="9"/>
  <c r="AA276" i="9"/>
  <c r="O21" i="8"/>
  <c r="O22" i="8"/>
  <c r="O23" i="8" s="1"/>
  <c r="AK63" i="22"/>
  <c r="AT63" i="22"/>
  <c r="AR63" i="22"/>
  <c r="AG63" i="22"/>
  <c r="AS483" i="22"/>
  <c r="AU227" i="22"/>
  <c r="AR117" i="23"/>
  <c r="AK117" i="23"/>
  <c r="AS135" i="23"/>
  <c r="AD250" i="23"/>
  <c r="AL250" i="23" s="1"/>
  <c r="AI134" i="23"/>
  <c r="AP134" i="23"/>
  <c r="AS45" i="22"/>
  <c r="AL45" i="22"/>
  <c r="AY45" i="22" s="1"/>
  <c r="AR220" i="22"/>
  <c r="AG220" i="22"/>
  <c r="AS16" i="22"/>
  <c r="AT357" i="22"/>
  <c r="AU349" i="22"/>
  <c r="AV446" i="22"/>
  <c r="AQ75" i="23"/>
  <c r="AH75" i="23"/>
  <c r="AD75" i="23"/>
  <c r="AI75" i="23" s="1"/>
  <c r="AO75" i="23"/>
  <c r="AS250" i="23"/>
  <c r="AR234" i="23"/>
  <c r="AK234" i="23"/>
  <c r="AP189" i="23"/>
  <c r="V181" i="22"/>
  <c r="G313" i="12"/>
  <c r="G265" i="12"/>
  <c r="G23" i="12"/>
  <c r="G297" i="12"/>
  <c r="G281" i="12"/>
  <c r="AC213" i="9"/>
  <c r="AB213" i="9"/>
  <c r="AR48" i="22"/>
  <c r="AG48" i="22"/>
  <c r="AL48" i="22" s="1"/>
  <c r="AY48" i="22" s="1"/>
  <c r="AT48" i="22"/>
  <c r="AS314" i="22"/>
  <c r="AU249" i="22"/>
  <c r="AA149" i="9"/>
  <c r="AG149" i="9" s="1"/>
  <c r="AH149" i="9" s="1"/>
  <c r="AR279" i="22"/>
  <c r="AG279" i="22"/>
  <c r="AK279" i="22" s="1"/>
  <c r="AL445" i="22"/>
  <c r="AS445" i="22"/>
  <c r="AU315" i="22"/>
  <c r="AR231" i="23"/>
  <c r="AQ199" i="23"/>
  <c r="AO199" i="23"/>
  <c r="AD199" i="23"/>
  <c r="AH199" i="23"/>
  <c r="AL220" i="23"/>
  <c r="AS220" i="23"/>
  <c r="AQ164" i="23"/>
  <c r="AH164" i="23"/>
  <c r="AD164" i="23"/>
  <c r="AO164" i="23"/>
  <c r="AK72" i="22"/>
  <c r="AC133" i="9"/>
  <c r="AB133" i="9"/>
  <c r="AK171" i="22"/>
  <c r="AG171" i="22"/>
  <c r="AR171" i="22"/>
  <c r="AX171" i="22" s="1"/>
  <c r="AL140" i="22"/>
  <c r="AS140" i="22"/>
  <c r="AY140" i="22" s="1"/>
  <c r="AT287" i="22"/>
  <c r="AR153" i="23"/>
  <c r="AK153" i="23"/>
  <c r="AK289" i="23"/>
  <c r="AR289" i="23"/>
  <c r="AR405" i="22"/>
  <c r="AG405" i="22"/>
  <c r="AN405" i="22" s="1"/>
  <c r="AG253" i="22"/>
  <c r="AL253" i="22" s="1"/>
  <c r="AR253" i="22"/>
  <c r="AK253" i="22"/>
  <c r="AS172" i="22"/>
  <c r="AY172" i="22" s="1"/>
  <c r="AL172" i="22"/>
  <c r="AP172" i="22" s="1"/>
  <c r="AT251" i="22"/>
  <c r="AU480" i="22"/>
  <c r="AN480" i="22"/>
  <c r="AU340" i="22"/>
  <c r="AD225" i="23"/>
  <c r="AH225" i="23" s="1"/>
  <c r="AQ225" i="23"/>
  <c r="AO225" i="23"/>
  <c r="AK233" i="23"/>
  <c r="AR233" i="23"/>
  <c r="AP284" i="23"/>
  <c r="AI284" i="23"/>
  <c r="AP176" i="23"/>
  <c r="AI176" i="23"/>
  <c r="AS331" i="22"/>
  <c r="AL331" i="22"/>
  <c r="AP99" i="23"/>
  <c r="AI99" i="23"/>
  <c r="AK88" i="22"/>
  <c r="AG88" i="22"/>
  <c r="AN88" i="22" s="1"/>
  <c r="BA88" i="22" s="1"/>
  <c r="AR88" i="22"/>
  <c r="AS168" i="22"/>
  <c r="AY168" i="22" s="1"/>
  <c r="AU493" i="22"/>
  <c r="AN493" i="22"/>
  <c r="AV338" i="22"/>
  <c r="AR375" i="23"/>
  <c r="AS205" i="23"/>
  <c r="AL205" i="23"/>
  <c r="AP368" i="23"/>
  <c r="AR415" i="22"/>
  <c r="AG415" i="22"/>
  <c r="AP42" i="16"/>
  <c r="AV167" i="22"/>
  <c r="AP206" i="23"/>
  <c r="AG151" i="22"/>
  <c r="AK151" i="22" s="1"/>
  <c r="AR151" i="22"/>
  <c r="AX151" i="22" s="1"/>
  <c r="AL217" i="22"/>
  <c r="AS217" i="22"/>
  <c r="AU508" i="22"/>
  <c r="AU127" i="22"/>
  <c r="AS304" i="23"/>
  <c r="AP91" i="23"/>
  <c r="G316" i="12"/>
  <c r="G268" i="12"/>
  <c r="G284" i="12"/>
  <c r="G26" i="12"/>
  <c r="G300" i="12"/>
  <c r="AR336" i="22"/>
  <c r="AG336" i="22"/>
  <c r="AS466" i="22"/>
  <c r="AL466" i="22"/>
  <c r="AU326" i="22"/>
  <c r="AN326" i="22"/>
  <c r="AR108" i="23"/>
  <c r="AS83" i="22"/>
  <c r="AD176" i="23"/>
  <c r="AR62" i="22"/>
  <c r="AK62" i="22"/>
  <c r="AG62" i="22"/>
  <c r="AT62" i="22"/>
  <c r="AG205" i="22"/>
  <c r="AR205" i="22"/>
  <c r="AR188" i="23"/>
  <c r="AK188" i="23"/>
  <c r="AS415" i="22"/>
  <c r="AP145" i="23"/>
  <c r="AL260" i="22"/>
  <c r="AS260" i="22"/>
  <c r="AT500" i="22"/>
  <c r="AU383" i="22"/>
  <c r="AN383" i="22"/>
  <c r="AV96" i="22"/>
  <c r="AD108" i="23"/>
  <c r="AQ108" i="23"/>
  <c r="AO108" i="23"/>
  <c r="AR135" i="23"/>
  <c r="AS104" i="22"/>
  <c r="AL104" i="22"/>
  <c r="AU441" i="22"/>
  <c r="AV374" i="22"/>
  <c r="AK264" i="23"/>
  <c r="AR264" i="23"/>
  <c r="AN263" i="22"/>
  <c r="AU263" i="22"/>
  <c r="AD118" i="23"/>
  <c r="AQ118" i="23"/>
  <c r="AO118" i="23"/>
  <c r="T127" i="8"/>
  <c r="AR334" i="22"/>
  <c r="AK334" i="22"/>
  <c r="AG334" i="22"/>
  <c r="AS440" i="22"/>
  <c r="AR37" i="22"/>
  <c r="AG37" i="22"/>
  <c r="AT37" i="22"/>
  <c r="CB199" i="22"/>
  <c r="N265" i="12"/>
  <c r="N281" i="12" s="1"/>
  <c r="BB199" i="22"/>
  <c r="BF199" i="22" s="1"/>
  <c r="BN199" i="22" s="1"/>
  <c r="AP361" i="23"/>
  <c r="AP140" i="23"/>
  <c r="AL325" i="22"/>
  <c r="AS325" i="22"/>
  <c r="AV202" i="22"/>
  <c r="AP371" i="23"/>
  <c r="AI371" i="23"/>
  <c r="AS194" i="23"/>
  <c r="AD109" i="23"/>
  <c r="AI109" i="23" s="1"/>
  <c r="AR147" i="22"/>
  <c r="AX147" i="22" s="1"/>
  <c r="AV278" i="22"/>
  <c r="AO252" i="23"/>
  <c r="AT103" i="22"/>
  <c r="AI185" i="23"/>
  <c r="AN432" i="22"/>
  <c r="AU432" i="22"/>
  <c r="AG495" i="22"/>
  <c r="AR495" i="22"/>
  <c r="AK495" i="22"/>
  <c r="AB336" i="9"/>
  <c r="G112" i="16"/>
  <c r="AI297" i="23"/>
  <c r="AP297" i="23"/>
  <c r="AS50" i="22"/>
  <c r="AT149" i="22"/>
  <c r="AR161" i="23"/>
  <c r="AK143" i="23"/>
  <c r="AR143" i="23"/>
  <c r="AQ69" i="23"/>
  <c r="AV416" i="22"/>
  <c r="E113" i="16"/>
  <c r="BZ143" i="22"/>
  <c r="AR244" i="22"/>
  <c r="E115" i="16"/>
  <c r="AH240" i="23"/>
  <c r="AM240" i="23" s="1"/>
  <c r="AU494" i="22"/>
  <c r="AN494" i="22"/>
  <c r="AN283" i="22"/>
  <c r="AU283" i="22"/>
  <c r="AK220" i="23"/>
  <c r="AR220" i="23"/>
  <c r="AS215" i="22"/>
  <c r="AR204" i="23"/>
  <c r="AK204" i="23"/>
  <c r="AG430" i="22"/>
  <c r="AL430" i="22" s="1"/>
  <c r="AR430" i="22"/>
  <c r="AQ77" i="23"/>
  <c r="AO77" i="23"/>
  <c r="AD77" i="23"/>
  <c r="AR138" i="22"/>
  <c r="AX138" i="22" s="1"/>
  <c r="AK138" i="22"/>
  <c r="AG138" i="22"/>
  <c r="AD325" i="23"/>
  <c r="AH325" i="23" s="1"/>
  <c r="AQ325" i="23"/>
  <c r="AO325" i="23"/>
  <c r="AO34" i="22"/>
  <c r="AM34" i="22"/>
  <c r="AZ34" i="22" s="1"/>
  <c r="AC484" i="9"/>
  <c r="AA484" i="9"/>
  <c r="S179" i="12"/>
  <c r="AQ365" i="23"/>
  <c r="AO365" i="23"/>
  <c r="AD365" i="23"/>
  <c r="AL47" i="22"/>
  <c r="AY47" i="22" s="1"/>
  <c r="AS47" i="22"/>
  <c r="AO299" i="23"/>
  <c r="AQ299" i="23"/>
  <c r="AH299" i="23"/>
  <c r="AD299" i="23"/>
  <c r="AR131" i="23"/>
  <c r="AI95" i="23"/>
  <c r="AP95" i="23"/>
  <c r="AS294" i="22"/>
  <c r="AL294" i="22"/>
  <c r="AS361" i="22"/>
  <c r="AL361" i="22"/>
  <c r="AD64" i="23"/>
  <c r="AR185" i="23"/>
  <c r="AK185" i="23"/>
  <c r="S20" i="32"/>
  <c r="R229" i="9"/>
  <c r="R17" i="32"/>
  <c r="R214" i="9"/>
  <c r="W29" i="8"/>
  <c r="V29" i="8"/>
  <c r="AK34" i="22"/>
  <c r="AB484" i="9"/>
  <c r="AC141" i="9"/>
  <c r="AB141" i="9"/>
  <c r="AV137" i="22"/>
  <c r="R159" i="8"/>
  <c r="AO329" i="23"/>
  <c r="AD329" i="23"/>
  <c r="AQ329" i="23"/>
  <c r="AS26" i="22"/>
  <c r="AL26" i="22"/>
  <c r="AY26" i="22" s="1"/>
  <c r="AS271" i="22"/>
  <c r="AQ262" i="23"/>
  <c r="AD262" i="23"/>
  <c r="AO262" i="23"/>
  <c r="AA413" i="9"/>
  <c r="AC413" i="9"/>
  <c r="AV78" i="12"/>
  <c r="AV77" i="12"/>
  <c r="AV76" i="12"/>
  <c r="AV79" i="12"/>
  <c r="AG469" i="22"/>
  <c r="AK469" i="22" s="1"/>
  <c r="AR469" i="22"/>
  <c r="AR429" i="22"/>
  <c r="AG429" i="22"/>
  <c r="AK429" i="22" s="1"/>
  <c r="AN312" i="22"/>
  <c r="AU312" i="22"/>
  <c r="AR151" i="23"/>
  <c r="AS332" i="22"/>
  <c r="AL332" i="22"/>
  <c r="AR243" i="22"/>
  <c r="AG243" i="22"/>
  <c r="AK243" i="22" s="1"/>
  <c r="AA503" i="9"/>
  <c r="AA509" i="9"/>
  <c r="AC387" i="9"/>
  <c r="AB387" i="9"/>
  <c r="AG401" i="22"/>
  <c r="AR401" i="22"/>
  <c r="AA283" i="9"/>
  <c r="AC283" i="9"/>
  <c r="AA478" i="9"/>
  <c r="AA248" i="9"/>
  <c r="AA501" i="9"/>
  <c r="AC501" i="9"/>
  <c r="AB500" i="9"/>
  <c r="AB263" i="9"/>
  <c r="AC263" i="9"/>
  <c r="AE8" i="28"/>
  <c r="K13" i="12" s="1"/>
  <c r="K103" i="12"/>
  <c r="K225" i="12" s="1"/>
  <c r="AK448" i="22"/>
  <c r="AR448" i="22"/>
  <c r="AG448" i="22"/>
  <c r="AC184" i="9"/>
  <c r="AB184" i="9"/>
  <c r="M18" i="8"/>
  <c r="M19" i="8" s="1"/>
  <c r="M7" i="8"/>
  <c r="M11" i="8"/>
  <c r="AA356" i="9"/>
  <c r="AB435" i="9"/>
  <c r="AA394" i="9"/>
  <c r="AA280" i="9"/>
  <c r="AB347" i="9"/>
  <c r="AA393" i="9"/>
  <c r="AA296" i="9"/>
  <c r="AG234" i="22"/>
  <c r="AN234" i="22" s="1"/>
  <c r="AR234" i="22"/>
  <c r="AS284" i="22"/>
  <c r="AL284" i="22"/>
  <c r="AN26" i="22"/>
  <c r="AV26" i="22"/>
  <c r="AU26" i="22"/>
  <c r="AK69" i="23"/>
  <c r="AR265" i="23"/>
  <c r="AK265" i="23"/>
  <c r="AU130" i="22"/>
  <c r="AN130" i="22"/>
  <c r="BA130" i="22" s="1"/>
  <c r="AR239" i="22"/>
  <c r="AK239" i="22"/>
  <c r="AG239" i="22"/>
  <c r="AS99" i="22"/>
  <c r="AT437" i="22"/>
  <c r="AT193" i="22"/>
  <c r="AU53" i="22"/>
  <c r="AV53" i="22"/>
  <c r="AP224" i="23"/>
  <c r="AI224" i="23"/>
  <c r="AB276" i="9"/>
  <c r="S124" i="8"/>
  <c r="T124" i="8"/>
  <c r="U124" i="8" s="1"/>
  <c r="AR115" i="22"/>
  <c r="AG115" i="22"/>
  <c r="AL388" i="22"/>
  <c r="AS388" i="22"/>
  <c r="AU114" i="22"/>
  <c r="AN114" i="22"/>
  <c r="BA114" i="22" s="1"/>
  <c r="AR305" i="23"/>
  <c r="AR316" i="23"/>
  <c r="AP93" i="23"/>
  <c r="AS252" i="23"/>
  <c r="AK162" i="9"/>
  <c r="AJ162" i="9"/>
  <c r="AR42" i="22"/>
  <c r="AG42" i="22"/>
  <c r="AL42" i="22" s="1"/>
  <c r="AY42" i="22" s="1"/>
  <c r="AT42" i="22"/>
  <c r="AL126" i="22"/>
  <c r="AS126" i="22"/>
  <c r="AN268" i="22"/>
  <c r="AU268" i="22"/>
  <c r="AK370" i="23"/>
  <c r="AR370" i="23"/>
  <c r="AL283" i="23"/>
  <c r="AS283" i="23"/>
  <c r="AH136" i="23"/>
  <c r="AQ136" i="23"/>
  <c r="AO136" i="23"/>
  <c r="AD136" i="23"/>
  <c r="G269" i="12"/>
  <c r="G317" i="12"/>
  <c r="G27" i="12"/>
  <c r="G301" i="12"/>
  <c r="G285" i="12"/>
  <c r="AQ120" i="23"/>
  <c r="AO120" i="23"/>
  <c r="AD120" i="23"/>
  <c r="AA213" i="9"/>
  <c r="AG94" i="22"/>
  <c r="AN94" i="22" s="1"/>
  <c r="BA94" i="22" s="1"/>
  <c r="AR94" i="22"/>
  <c r="AS436" i="22"/>
  <c r="AL436" i="22"/>
  <c r="AK309" i="23"/>
  <c r="AR309" i="23"/>
  <c r="AB260" i="9"/>
  <c r="AQ175" i="23"/>
  <c r="AD175" i="23"/>
  <c r="AJ175" i="23" s="1"/>
  <c r="AO175" i="23"/>
  <c r="AR422" i="22"/>
  <c r="AG422" i="22"/>
  <c r="AK422" i="22"/>
  <c r="AS365" i="22"/>
  <c r="AT144" i="22"/>
  <c r="AN198" i="22"/>
  <c r="AU198" i="22"/>
  <c r="BA198" i="22" s="1"/>
  <c r="AR367" i="23"/>
  <c r="AD159" i="23"/>
  <c r="AH159" i="23" s="1"/>
  <c r="AQ159" i="23"/>
  <c r="AO159" i="23"/>
  <c r="AS244" i="23"/>
  <c r="AL244" i="23"/>
  <c r="AP179" i="23"/>
  <c r="AI179" i="23"/>
  <c r="AD73" i="23"/>
  <c r="AH73" i="23" s="1"/>
  <c r="AQ73" i="23"/>
  <c r="AO73" i="23"/>
  <c r="AA133" i="9"/>
  <c r="AR146" i="22"/>
  <c r="AX146" i="22" s="1"/>
  <c r="AK146" i="22"/>
  <c r="AG146" i="22"/>
  <c r="AS18" i="22"/>
  <c r="AN418" i="22"/>
  <c r="AU418" i="22"/>
  <c r="AO232" i="23"/>
  <c r="AD232" i="23"/>
  <c r="AQ232" i="23"/>
  <c r="AK115" i="23"/>
  <c r="AR115" i="23"/>
  <c r="AN452" i="22"/>
  <c r="AU452" i="22"/>
  <c r="AS490" i="22"/>
  <c r="AL490" i="22"/>
  <c r="AN26" i="16"/>
  <c r="AN25" i="16"/>
  <c r="M10" i="7"/>
  <c r="AG97" i="22"/>
  <c r="AR97" i="22"/>
  <c r="AS283" i="22"/>
  <c r="AU350" i="22"/>
  <c r="AR147" i="23"/>
  <c r="AK147" i="23"/>
  <c r="AD135" i="23"/>
  <c r="AK135" i="23" s="1"/>
  <c r="AP186" i="23"/>
  <c r="AI186" i="23"/>
  <c r="AP216" i="23"/>
  <c r="AI216" i="23"/>
  <c r="AL67" i="22"/>
  <c r="AS67" i="22"/>
  <c r="AU151" i="22"/>
  <c r="BA151" i="22" s="1"/>
  <c r="AS173" i="23"/>
  <c r="AL173" i="23"/>
  <c r="AS498" i="22"/>
  <c r="AL148" i="22"/>
  <c r="AS148" i="22"/>
  <c r="AY148" i="22" s="1"/>
  <c r="AN487" i="22"/>
  <c r="AU487" i="22"/>
  <c r="AQ66" i="23"/>
  <c r="AO66" i="23"/>
  <c r="AD66" i="23"/>
  <c r="AI204" i="23"/>
  <c r="AP204" i="23"/>
  <c r="AD368" i="23"/>
  <c r="AH368" i="23" s="1"/>
  <c r="AQ368" i="23"/>
  <c r="AO368" i="23"/>
  <c r="AR76" i="22"/>
  <c r="AG76" i="22"/>
  <c r="AL76" i="22" s="1"/>
  <c r="AY76" i="22" s="1"/>
  <c r="AT76" i="22"/>
  <c r="AR298" i="22"/>
  <c r="AK298" i="22"/>
  <c r="AG298" i="22"/>
  <c r="AR258" i="22"/>
  <c r="AG258" i="22"/>
  <c r="AS137" i="22"/>
  <c r="AY137" i="22" s="1"/>
  <c r="AL137" i="22"/>
  <c r="AU444" i="22"/>
  <c r="AN444" i="22"/>
  <c r="AU327" i="22"/>
  <c r="AD248" i="23"/>
  <c r="AQ248" i="23"/>
  <c r="AO248" i="23"/>
  <c r="AH248" i="23"/>
  <c r="AR171" i="23"/>
  <c r="AS262" i="23"/>
  <c r="AL262" i="23"/>
  <c r="AL74" i="23"/>
  <c r="AU458" i="22"/>
  <c r="AN458" i="22"/>
  <c r="AO279" i="23"/>
  <c r="AG423" i="22"/>
  <c r="AR423" i="22"/>
  <c r="AK423" i="22"/>
  <c r="AS326" i="22"/>
  <c r="AL326" i="22"/>
  <c r="AN300" i="22"/>
  <c r="AU300" i="22"/>
  <c r="AV377" i="22"/>
  <c r="AR306" i="23"/>
  <c r="AK306" i="23"/>
  <c r="AQ171" i="23"/>
  <c r="AO171" i="23"/>
  <c r="AD171" i="23"/>
  <c r="AK171" i="23" s="1"/>
  <c r="AH171" i="23"/>
  <c r="AS228" i="22"/>
  <c r="AA339" i="9"/>
  <c r="AC339" i="9"/>
  <c r="AN21" i="16"/>
  <c r="AN23" i="16"/>
  <c r="AN24" i="16"/>
  <c r="AN22" i="16"/>
  <c r="AG105" i="22"/>
  <c r="AR105" i="22"/>
  <c r="AK105" i="22"/>
  <c r="AS145" i="22"/>
  <c r="AY145" i="22" s="1"/>
  <c r="BE145" i="22" s="1"/>
  <c r="BM145" i="22" s="1"/>
  <c r="AL145" i="22"/>
  <c r="AB225" i="9"/>
  <c r="AC225" i="9"/>
  <c r="T123" i="8"/>
  <c r="AS374" i="22"/>
  <c r="AT141" i="22"/>
  <c r="AU355" i="22"/>
  <c r="AQ261" i="23"/>
  <c r="AO261" i="23"/>
  <c r="AD261" i="23"/>
  <c r="AL261" i="23" s="1"/>
  <c r="AH261" i="23"/>
  <c r="AR112" i="23"/>
  <c r="AK112" i="23"/>
  <c r="AM112" i="23" s="1"/>
  <c r="AP261" i="23"/>
  <c r="AR172" i="22"/>
  <c r="AX172" i="22" s="1"/>
  <c r="AR99" i="22"/>
  <c r="AU471" i="22"/>
  <c r="AN471" i="22"/>
  <c r="AV142" i="22"/>
  <c r="AR313" i="23"/>
  <c r="AB157" i="9"/>
  <c r="AG380" i="22"/>
  <c r="AX85" i="22"/>
  <c r="R164" i="8"/>
  <c r="AG162" i="22"/>
  <c r="AR162" i="22"/>
  <c r="AX162" i="22" s="1"/>
  <c r="AK162" i="22"/>
  <c r="AU311" i="22"/>
  <c r="AN311" i="22"/>
  <c r="AQ361" i="23"/>
  <c r="AD361" i="23"/>
  <c r="AO361" i="23"/>
  <c r="AS125" i="23"/>
  <c r="AK101" i="22"/>
  <c r="AI243" i="23"/>
  <c r="AP243" i="23"/>
  <c r="AG147" i="22"/>
  <c r="AS118" i="23"/>
  <c r="AR153" i="22"/>
  <c r="AX153" i="22" s="1"/>
  <c r="AR237" i="22"/>
  <c r="AU371" i="22"/>
  <c r="AS108" i="23"/>
  <c r="AR377" i="22"/>
  <c r="AG377" i="22"/>
  <c r="AK377" i="22" s="1"/>
  <c r="AC431" i="9"/>
  <c r="AB431" i="9"/>
  <c r="AR266" i="22"/>
  <c r="AT397" i="22"/>
  <c r="AT111" i="22"/>
  <c r="AR292" i="23"/>
  <c r="AK292" i="23"/>
  <c r="AO130" i="23"/>
  <c r="AP356" i="23"/>
  <c r="AT93" i="22"/>
  <c r="AD234" i="23"/>
  <c r="AT346" i="22"/>
  <c r="AR186" i="23"/>
  <c r="BP175" i="22"/>
  <c r="BQ175" i="22" s="1"/>
  <c r="E108" i="16"/>
  <c r="AG365" i="22"/>
  <c r="F119" i="16"/>
  <c r="F124" i="16" s="1"/>
  <c r="AV284" i="22"/>
  <c r="AL438" i="22"/>
  <c r="AS438" i="22"/>
  <c r="AR375" i="22"/>
  <c r="R183" i="12"/>
  <c r="I240" i="12"/>
  <c r="I241" i="12" s="1"/>
  <c r="I245" i="12"/>
  <c r="I248" i="12"/>
  <c r="AU187" i="22"/>
  <c r="BA187" i="22" s="1"/>
  <c r="AN187" i="22"/>
  <c r="AK154" i="9"/>
  <c r="AJ154" i="9"/>
  <c r="AP312" i="23"/>
  <c r="AD177" i="23"/>
  <c r="AK177" i="23" s="1"/>
  <c r="AQ177" i="23"/>
  <c r="AO177" i="23"/>
  <c r="AU430" i="22"/>
  <c r="AP101" i="23"/>
  <c r="AI101" i="23"/>
  <c r="AR359" i="23"/>
  <c r="AK359" i="23"/>
  <c r="AL162" i="22"/>
  <c r="AS162" i="22"/>
  <c r="AY162" i="22" s="1"/>
  <c r="AS124" i="23"/>
  <c r="AL124" i="23"/>
  <c r="AS458" i="22"/>
  <c r="AG17" i="22"/>
  <c r="AL17" i="22" s="1"/>
  <c r="AY17" i="22" s="1"/>
  <c r="AR17" i="22"/>
  <c r="AT17" i="22"/>
  <c r="AU233" i="22"/>
  <c r="AN233" i="22"/>
  <c r="AB167" i="9"/>
  <c r="AC167" i="9"/>
  <c r="AK503" i="22"/>
  <c r="AG503" i="22"/>
  <c r="AR503" i="22"/>
  <c r="AS347" i="23"/>
  <c r="AU302" i="22"/>
  <c r="AM156" i="23"/>
  <c r="N35" i="27"/>
  <c r="AR358" i="22"/>
  <c r="AG358" i="22"/>
  <c r="Q21" i="32"/>
  <c r="R206" i="9"/>
  <c r="S33" i="8"/>
  <c r="T33" i="8"/>
  <c r="P58" i="23"/>
  <c r="AR440" i="22"/>
  <c r="AG440" i="22"/>
  <c r="AS288" i="23"/>
  <c r="AL288" i="23"/>
  <c r="B124" i="16"/>
  <c r="AV314" i="22"/>
  <c r="AS59" i="22"/>
  <c r="AL59" i="22"/>
  <c r="AR129" i="22"/>
  <c r="AG129" i="22"/>
  <c r="AL129" i="22" s="1"/>
  <c r="AY129" i="22" s="1"/>
  <c r="AC199" i="9"/>
  <c r="AB199" i="9"/>
  <c r="AN205" i="9"/>
  <c r="AF205" i="9" s="1"/>
  <c r="AG205" i="9" s="1"/>
  <c r="AH205" i="9" s="1"/>
  <c r="AK205" i="9" s="1"/>
  <c r="S205" i="9"/>
  <c r="T205" i="9" s="1"/>
  <c r="AP274" i="23"/>
  <c r="AI274" i="23"/>
  <c r="AM274" i="23" s="1"/>
  <c r="AP182" i="23"/>
  <c r="AG460" i="22"/>
  <c r="AO101" i="23"/>
  <c r="AB247" i="9"/>
  <c r="AR288" i="22"/>
  <c r="AG288" i="22"/>
  <c r="AA479" i="9"/>
  <c r="AC479" i="9"/>
  <c r="N33" i="12"/>
  <c r="AJ184" i="9"/>
  <c r="AK184" i="9"/>
  <c r="AB382" i="9"/>
  <c r="Q18" i="8"/>
  <c r="Q19" i="8" s="1"/>
  <c r="Q7" i="8"/>
  <c r="Q11" i="8"/>
  <c r="AC294" i="9"/>
  <c r="AB294" i="9"/>
  <c r="Q22" i="32"/>
  <c r="R207" i="9"/>
  <c r="S34" i="8"/>
  <c r="T34" i="8" s="1"/>
  <c r="AB377" i="9"/>
  <c r="AR134" i="22"/>
  <c r="AG134" i="22"/>
  <c r="AK134" i="22" s="1"/>
  <c r="AS317" i="22"/>
  <c r="AL317" i="22"/>
  <c r="AU118" i="22"/>
  <c r="AR364" i="23"/>
  <c r="AK364" i="23"/>
  <c r="AS302" i="23"/>
  <c r="AL302" i="23"/>
  <c r="AI69" i="23"/>
  <c r="AP69" i="23"/>
  <c r="AR377" i="23"/>
  <c r="AK377" i="23"/>
  <c r="AP271" i="23"/>
  <c r="AU153" i="22"/>
  <c r="BA153" i="22" s="1"/>
  <c r="I31" i="13"/>
  <c r="I41" i="13"/>
  <c r="I35" i="13"/>
  <c r="I32" i="13"/>
  <c r="I30" i="13"/>
  <c r="I38" i="13"/>
  <c r="I33" i="13"/>
  <c r="I36" i="13"/>
  <c r="I40" i="13"/>
  <c r="I37" i="13"/>
  <c r="I39" i="13"/>
  <c r="I34" i="13"/>
  <c r="AR6" i="22"/>
  <c r="AG6" i="22"/>
  <c r="AT6" i="22"/>
  <c r="AL131" i="22"/>
  <c r="AS131" i="22"/>
  <c r="AU177" i="22"/>
  <c r="BA177" i="22" s="1"/>
  <c r="AI211" i="23"/>
  <c r="AM211" i="23" s="1"/>
  <c r="S129" i="8"/>
  <c r="U129" i="8" s="1"/>
  <c r="T129" i="8"/>
  <c r="AB372" i="9"/>
  <c r="AC372" i="9"/>
  <c r="AR177" i="22"/>
  <c r="AX177" i="22" s="1"/>
  <c r="AG177" i="22"/>
  <c r="AS24" i="22"/>
  <c r="AT429" i="22"/>
  <c r="AT117" i="22"/>
  <c r="AU119" i="22"/>
  <c r="AS376" i="23"/>
  <c r="AI21" i="28"/>
  <c r="AH23" i="28"/>
  <c r="AO250" i="23"/>
  <c r="AS129" i="23"/>
  <c r="AL129" i="23"/>
  <c r="AR252" i="23"/>
  <c r="S184" i="12"/>
  <c r="R184" i="12"/>
  <c r="AT19" i="22"/>
  <c r="AK19" i="22"/>
  <c r="AG19" i="22"/>
  <c r="AR19" i="22"/>
  <c r="AS10" i="22"/>
  <c r="AU194" i="22"/>
  <c r="BA194" i="22" s="1"/>
  <c r="AN194" i="22"/>
  <c r="AR263" i="23"/>
  <c r="AK263" i="23"/>
  <c r="AI86" i="23"/>
  <c r="AP86" i="23"/>
  <c r="AR180" i="23"/>
  <c r="AK180" i="23"/>
  <c r="G280" i="12"/>
  <c r="AQ22" i="12"/>
  <c r="AQ26" i="12" s="1"/>
  <c r="G22" i="12"/>
  <c r="G264" i="12"/>
  <c r="G296" i="12"/>
  <c r="G312" i="12"/>
  <c r="AC8" i="28"/>
  <c r="I6" i="12"/>
  <c r="I103" i="12"/>
  <c r="I234" i="12" s="1"/>
  <c r="AR247" i="22"/>
  <c r="AG247" i="22"/>
  <c r="AK247" i="22"/>
  <c r="AS160" i="22"/>
  <c r="AY160" i="22" s="1"/>
  <c r="AR95" i="23"/>
  <c r="AK95" i="23"/>
  <c r="AR416" i="22"/>
  <c r="AG416" i="22"/>
  <c r="AK416" i="22" s="1"/>
  <c r="AS253" i="22"/>
  <c r="AN82" i="22"/>
  <c r="AU82" i="22"/>
  <c r="AK63" i="23"/>
  <c r="AX63" i="23" s="1"/>
  <c r="AK325" i="23"/>
  <c r="AR325" i="23"/>
  <c r="AS88" i="23"/>
  <c r="AL258" i="23"/>
  <c r="AS258" i="23"/>
  <c r="AI210" i="23"/>
  <c r="AP210" i="23"/>
  <c r="AR441" i="22"/>
  <c r="AG441" i="22"/>
  <c r="AN441" i="22" s="1"/>
  <c r="AG43" i="22"/>
  <c r="AR43" i="22"/>
  <c r="AK43" i="22"/>
  <c r="AT43" i="22"/>
  <c r="AS64" i="22"/>
  <c r="AL64" i="22"/>
  <c r="AY64" i="22" s="1"/>
  <c r="AN501" i="22"/>
  <c r="AU501" i="22"/>
  <c r="AV233" i="22"/>
  <c r="AR212" i="23"/>
  <c r="AK212" i="23"/>
  <c r="AD79" i="23"/>
  <c r="AI79" i="23" s="1"/>
  <c r="AQ79" i="23"/>
  <c r="AO79" i="23"/>
  <c r="AL77" i="23"/>
  <c r="AS92" i="22"/>
  <c r="AC317" i="9"/>
  <c r="AB317" i="9"/>
  <c r="AS430" i="22"/>
  <c r="AS42" i="22"/>
  <c r="AU394" i="22"/>
  <c r="AN394" i="22"/>
  <c r="AO201" i="23"/>
  <c r="AH201" i="23"/>
  <c r="AD201" i="23"/>
  <c r="AQ201" i="23"/>
  <c r="AP174" i="23"/>
  <c r="AI147" i="23"/>
  <c r="AP147" i="23"/>
  <c r="AI97" i="23"/>
  <c r="AP97" i="23"/>
  <c r="AS444" i="22"/>
  <c r="AL444" i="22"/>
  <c r="AS25" i="22"/>
  <c r="AL25" i="22"/>
  <c r="AT360" i="22"/>
  <c r="AU448" i="22"/>
  <c r="AQ53" i="23"/>
  <c r="AO53" i="23"/>
  <c r="AD53" i="23"/>
  <c r="AL140" i="23"/>
  <c r="AS140" i="23"/>
  <c r="AT44" i="22"/>
  <c r="AR44" i="22"/>
  <c r="AG44" i="22"/>
  <c r="AL44" i="22" s="1"/>
  <c r="AY44" i="22" s="1"/>
  <c r="AL427" i="22"/>
  <c r="AS427" i="22"/>
  <c r="AD123" i="23"/>
  <c r="AL123" i="23" s="1"/>
  <c r="AR382" i="22"/>
  <c r="AG382" i="22"/>
  <c r="AG140" i="22"/>
  <c r="AR140" i="22"/>
  <c r="AX140" i="22" s="1"/>
  <c r="AS151" i="22"/>
  <c r="AY151" i="22" s="1"/>
  <c r="AU496" i="22"/>
  <c r="AU33" i="22"/>
  <c r="AN33" i="22"/>
  <c r="BA33" i="22" s="1"/>
  <c r="AV33" i="22"/>
  <c r="AR344" i="23"/>
  <c r="AK344" i="23"/>
  <c r="AS82" i="23"/>
  <c r="AL82" i="23"/>
  <c r="AU254" i="22"/>
  <c r="AN254" i="22"/>
  <c r="AQ279" i="23"/>
  <c r="AR396" i="22"/>
  <c r="AK396" i="22"/>
  <c r="AG396" i="22"/>
  <c r="AL396" i="22" s="1"/>
  <c r="AS417" i="22"/>
  <c r="AL417" i="22"/>
  <c r="AT414" i="22"/>
  <c r="AU265" i="22"/>
  <c r="AK60" i="23"/>
  <c r="AT309" i="22"/>
  <c r="AS235" i="22"/>
  <c r="AL235" i="22"/>
  <c r="E119" i="16"/>
  <c r="AR226" i="22"/>
  <c r="AG226" i="22"/>
  <c r="AK226" i="22" s="1"/>
  <c r="AD131" i="23"/>
  <c r="AR191" i="23"/>
  <c r="AC506" i="9"/>
  <c r="AA506" i="9"/>
  <c r="L240" i="12"/>
  <c r="L241" i="12" s="1"/>
  <c r="AS479" i="22"/>
  <c r="AU483" i="22"/>
  <c r="AQ169" i="23"/>
  <c r="AD169" i="23"/>
  <c r="AO169" i="23"/>
  <c r="AQ188" i="23"/>
  <c r="AO188" i="23"/>
  <c r="AD188" i="23"/>
  <c r="AL188" i="23" s="1"/>
  <c r="AD304" i="23"/>
  <c r="AJ304" i="23" s="1"/>
  <c r="AO304" i="23"/>
  <c r="AQ304" i="23"/>
  <c r="AH304" i="23"/>
  <c r="AS142" i="23"/>
  <c r="AG99" i="22"/>
  <c r="AS6" i="22"/>
  <c r="AU443" i="22"/>
  <c r="AN443" i="22"/>
  <c r="CB144" i="22"/>
  <c r="BF144" i="22"/>
  <c r="BN144" i="22" s="1"/>
  <c r="BB144" i="22"/>
  <c r="I270" i="12"/>
  <c r="I286" i="12" s="1"/>
  <c r="AA205" i="9"/>
  <c r="AC205" i="9"/>
  <c r="AB503" i="9"/>
  <c r="AR123" i="22"/>
  <c r="AG123" i="22"/>
  <c r="B121" i="16"/>
  <c r="AV282" i="22"/>
  <c r="AS369" i="23"/>
  <c r="AQ322" i="23"/>
  <c r="AO322" i="23"/>
  <c r="AD322" i="23"/>
  <c r="AH322" i="23" s="1"/>
  <c r="AQ265" i="23"/>
  <c r="AQ109" i="23"/>
  <c r="AD252" i="23"/>
  <c r="AS157" i="23"/>
  <c r="AS139" i="23"/>
  <c r="AS72" i="22"/>
  <c r="AL72" i="22"/>
  <c r="AG237" i="22"/>
  <c r="AI266" i="23"/>
  <c r="AP266" i="23"/>
  <c r="AA431" i="9"/>
  <c r="S182" i="12"/>
  <c r="AG266" i="22"/>
  <c r="AV70" i="22"/>
  <c r="AT293" i="22"/>
  <c r="AQ130" i="23"/>
  <c r="AQ356" i="23"/>
  <c r="AO356" i="23"/>
  <c r="AH356" i="23"/>
  <c r="AD356" i="23"/>
  <c r="AJ356" i="23" s="1"/>
  <c r="AT365" i="22"/>
  <c r="AR130" i="23"/>
  <c r="AR228" i="22"/>
  <c r="AG228" i="22"/>
  <c r="AK228" i="22" s="1"/>
  <c r="AV141" i="22"/>
  <c r="AT415" i="22"/>
  <c r="AO24" i="16"/>
  <c r="AO23" i="16"/>
  <c r="AO21" i="16"/>
  <c r="AO22" i="16"/>
  <c r="AT248" i="22"/>
  <c r="AR106" i="22"/>
  <c r="AG106" i="22"/>
  <c r="AK106" i="22" s="1"/>
  <c r="P65" i="23"/>
  <c r="AS400" i="22"/>
  <c r="AL400" i="22"/>
  <c r="AG271" i="22"/>
  <c r="AL271" i="22" s="1"/>
  <c r="AR271" i="22"/>
  <c r="AK271" i="22"/>
  <c r="AP270" i="23"/>
  <c r="AI270" i="23"/>
  <c r="AC443" i="9"/>
  <c r="AB443" i="9"/>
  <c r="AR463" i="22"/>
  <c r="AK463" i="22"/>
  <c r="AG463" i="22"/>
  <c r="AU507" i="22"/>
  <c r="AL296" i="22"/>
  <c r="AS296" i="22"/>
  <c r="BP153" i="22"/>
  <c r="BQ153" i="22" s="1"/>
  <c r="AK99" i="16"/>
  <c r="AL99" i="16"/>
  <c r="AJ99" i="16"/>
  <c r="AS180" i="23"/>
  <c r="AL180" i="23"/>
  <c r="AA443" i="9"/>
  <c r="AT162" i="22"/>
  <c r="AU343" i="22"/>
  <c r="AM29" i="22"/>
  <c r="AZ29" i="22" s="1"/>
  <c r="AO29" i="22"/>
  <c r="BB29" i="22" s="1"/>
  <c r="CB143" i="22"/>
  <c r="I269" i="12"/>
  <c r="I285" i="12" s="1"/>
  <c r="BB143" i="22"/>
  <c r="AL208" i="23"/>
  <c r="AS208" i="23"/>
  <c r="AB261" i="9"/>
  <c r="AC261" i="9"/>
  <c r="AK206" i="23"/>
  <c r="AR206" i="23"/>
  <c r="AL334" i="22"/>
  <c r="AS334" i="22"/>
  <c r="AN148" i="22"/>
  <c r="AU148" i="22"/>
  <c r="BA148" i="22" s="1"/>
  <c r="AK74" i="23"/>
  <c r="AG371" i="22"/>
  <c r="AK371" i="22"/>
  <c r="AR371" i="22"/>
  <c r="Q26" i="27"/>
  <c r="O71" i="23" s="1"/>
  <c r="Q10" i="27"/>
  <c r="U203" i="22"/>
  <c r="W203" i="22" s="1"/>
  <c r="G37" i="16"/>
  <c r="AR79" i="12"/>
  <c r="AR78" i="12"/>
  <c r="AR77" i="12"/>
  <c r="AR76" i="12"/>
  <c r="AB220" i="9"/>
  <c r="AC220" i="9"/>
  <c r="Q180" i="12"/>
  <c r="AB419" i="9"/>
  <c r="AG317" i="22"/>
  <c r="AR317" i="22"/>
  <c r="AK317" i="22"/>
  <c r="AA456" i="9"/>
  <c r="AB479" i="9"/>
  <c r="AB463" i="9"/>
  <c r="V209" i="22"/>
  <c r="Q14" i="27"/>
  <c r="Q30" i="27"/>
  <c r="O75" i="23" s="1"/>
  <c r="U207" i="22"/>
  <c r="W207" i="22" s="1"/>
  <c r="G41" i="16"/>
  <c r="AW25" i="12"/>
  <c r="AR505" i="22"/>
  <c r="AK505" i="22"/>
  <c r="AG505" i="22"/>
  <c r="AN505" i="22" s="1"/>
  <c r="AA220" i="9"/>
  <c r="AA246" i="9"/>
  <c r="AC134" i="9"/>
  <c r="AB134" i="9"/>
  <c r="AC175" i="9"/>
  <c r="AB175" i="9"/>
  <c r="AB350" i="9"/>
  <c r="AC350" i="9"/>
  <c r="AA294" i="9"/>
  <c r="AB364" i="9"/>
  <c r="AC364" i="9"/>
  <c r="AR114" i="22"/>
  <c r="AG114" i="22"/>
  <c r="AL114" i="22" s="1"/>
  <c r="AY114" i="22" s="1"/>
  <c r="AL454" i="22"/>
  <c r="AS454" i="22"/>
  <c r="AU223" i="22"/>
  <c r="AN223" i="22"/>
  <c r="AR249" i="23"/>
  <c r="AK249" i="23"/>
  <c r="AI191" i="23"/>
  <c r="AP191" i="23"/>
  <c r="AQ264" i="23"/>
  <c r="AH263" i="23"/>
  <c r="AD282" i="23"/>
  <c r="AH282" i="23" s="1"/>
  <c r="AO282" i="23"/>
  <c r="AQ282" i="23"/>
  <c r="AU112" i="22"/>
  <c r="K6" i="13"/>
  <c r="J42" i="13"/>
  <c r="AR73" i="22"/>
  <c r="AG73" i="22"/>
  <c r="AN73" i="22" s="1"/>
  <c r="BA73" i="22" s="1"/>
  <c r="AK73" i="22"/>
  <c r="AT73" i="22"/>
  <c r="AS21" i="22"/>
  <c r="AL21" i="22"/>
  <c r="AY21" i="22" s="1"/>
  <c r="AU255" i="22"/>
  <c r="AN255" i="22"/>
  <c r="S131" i="8"/>
  <c r="AR167" i="22"/>
  <c r="AX167" i="22" s="1"/>
  <c r="AK167" i="22"/>
  <c r="AG167" i="22"/>
  <c r="AL167" i="22" s="1"/>
  <c r="AS212" i="22"/>
  <c r="AU324" i="22"/>
  <c r="AN324" i="22"/>
  <c r="AV112" i="22"/>
  <c r="AH166" i="23"/>
  <c r="AM166" i="23" s="1"/>
  <c r="AD303" i="23"/>
  <c r="AH303" i="23" s="1"/>
  <c r="AQ303" i="23"/>
  <c r="AO303" i="23"/>
  <c r="AG6" i="28"/>
  <c r="AK94" i="23"/>
  <c r="AR94" i="23"/>
  <c r="AP313" i="23"/>
  <c r="AI313" i="23"/>
  <c r="AR297" i="23"/>
  <c r="AK297" i="23"/>
  <c r="AT131" i="22"/>
  <c r="AC334" i="9"/>
  <c r="AB334" i="9"/>
  <c r="AK184" i="22"/>
  <c r="AG184" i="22"/>
  <c r="AR184" i="22"/>
  <c r="AX184" i="22" s="1"/>
  <c r="AS262" i="22"/>
  <c r="AL262" i="22"/>
  <c r="AT389" i="22"/>
  <c r="AU309" i="22"/>
  <c r="AK228" i="23"/>
  <c r="AR228" i="23"/>
  <c r="AR163" i="23"/>
  <c r="AK163" i="23"/>
  <c r="AL253" i="23"/>
  <c r="AS253" i="23"/>
  <c r="AR386" i="22"/>
  <c r="AG386" i="22"/>
  <c r="AN386" i="22" s="1"/>
  <c r="AB499" i="9"/>
  <c r="AC499" i="9"/>
  <c r="AK274" i="22"/>
  <c r="AG274" i="22"/>
  <c r="AR274" i="22"/>
  <c r="AS264" i="22"/>
  <c r="E5" i="16"/>
  <c r="D6" i="16"/>
  <c r="AR96" i="23"/>
  <c r="AV488" i="22"/>
  <c r="AB211" i="9"/>
  <c r="AC211" i="9"/>
  <c r="AG275" i="22"/>
  <c r="AL275" i="22" s="1"/>
  <c r="AR275" i="22"/>
  <c r="AK275" i="22"/>
  <c r="AL128" i="22"/>
  <c r="AY128" i="22" s="1"/>
  <c r="AS128" i="22"/>
  <c r="AU182" i="22"/>
  <c r="BA182" i="22" s="1"/>
  <c r="AN182" i="22"/>
  <c r="AR350" i="23"/>
  <c r="AK350" i="23"/>
  <c r="AS326" i="23"/>
  <c r="AL326" i="23"/>
  <c r="AS356" i="23"/>
  <c r="AZ72" i="22"/>
  <c r="AG462" i="22"/>
  <c r="AL462" i="22" s="1"/>
  <c r="AR462" i="22"/>
  <c r="AK462" i="22"/>
  <c r="AK27" i="22"/>
  <c r="AG27" i="22"/>
  <c r="AT27" i="22"/>
  <c r="AR27" i="22"/>
  <c r="AL113" i="22"/>
  <c r="AS113" i="22"/>
  <c r="AU498" i="22"/>
  <c r="AV198" i="22"/>
  <c r="AD93" i="23"/>
  <c r="AQ93" i="23"/>
  <c r="AH93" i="23"/>
  <c r="AO93" i="23"/>
  <c r="AK181" i="23"/>
  <c r="AR181" i="23"/>
  <c r="AS353" i="23"/>
  <c r="AR236" i="23"/>
  <c r="AS124" i="22"/>
  <c r="AL124" i="22"/>
  <c r="AA317" i="9"/>
  <c r="AR428" i="22"/>
  <c r="AG428" i="22"/>
  <c r="AK428" i="22"/>
  <c r="AS484" i="22"/>
  <c r="AL484" i="22"/>
  <c r="AN364" i="22"/>
  <c r="AU364" i="22"/>
  <c r="AV131" i="22"/>
  <c r="AR339" i="23"/>
  <c r="AK339" i="23"/>
  <c r="AO135" i="23"/>
  <c r="AL282" i="23"/>
  <c r="AS282" i="23"/>
  <c r="AI108" i="23"/>
  <c r="AP108" i="23"/>
  <c r="AT315" i="22"/>
  <c r="AI60" i="23"/>
  <c r="AK25" i="18"/>
  <c r="AK24" i="18"/>
  <c r="AS392" i="22"/>
  <c r="AL201" i="22"/>
  <c r="AS201" i="22"/>
  <c r="AT331" i="22"/>
  <c r="AU504" i="22"/>
  <c r="AN318" i="22"/>
  <c r="AU318" i="22"/>
  <c r="AR189" i="23"/>
  <c r="AK189" i="23"/>
  <c r="AI170" i="23"/>
  <c r="AP170" i="23"/>
  <c r="AS163" i="23"/>
  <c r="AL481" i="22"/>
  <c r="AS481" i="22"/>
  <c r="AS312" i="22"/>
  <c r="AL312" i="22"/>
  <c r="AG117" i="22"/>
  <c r="AK117" i="22" s="1"/>
  <c r="AR117" i="22"/>
  <c r="AS121" i="22"/>
  <c r="AL121" i="22"/>
  <c r="AY121" i="22" s="1"/>
  <c r="AU460" i="22"/>
  <c r="AN460" i="22"/>
  <c r="AU222" i="22"/>
  <c r="AN222" i="22"/>
  <c r="AK366" i="23"/>
  <c r="AR366" i="23"/>
  <c r="AO318" i="23"/>
  <c r="AD318" i="23"/>
  <c r="AQ318" i="23"/>
  <c r="AU116" i="22"/>
  <c r="AN116" i="22"/>
  <c r="AA505" i="9"/>
  <c r="AR343" i="22"/>
  <c r="AG343" i="22"/>
  <c r="AL343" i="22" s="1"/>
  <c r="AS477" i="22"/>
  <c r="AL477" i="22"/>
  <c r="AN260" i="22"/>
  <c r="AU260" i="22"/>
  <c r="AV268" i="22"/>
  <c r="AR199" i="23"/>
  <c r="AS336" i="23"/>
  <c r="AL350" i="23"/>
  <c r="AS350" i="23"/>
  <c r="AP187" i="23"/>
  <c r="AI187" i="23"/>
  <c r="AP49" i="23"/>
  <c r="AR466" i="22"/>
  <c r="AG466" i="22"/>
  <c r="AK466" i="22" s="1"/>
  <c r="AR120" i="22"/>
  <c r="AG120" i="22"/>
  <c r="AO139" i="23"/>
  <c r="AQ139" i="23"/>
  <c r="AD139" i="23"/>
  <c r="AT469" i="22"/>
  <c r="AD364" i="23"/>
  <c r="AJ364" i="23" s="1"/>
  <c r="AQ364" i="23"/>
  <c r="AO364" i="23"/>
  <c r="AB506" i="9"/>
  <c r="AS345" i="22"/>
  <c r="AN256" i="22"/>
  <c r="AU256" i="22"/>
  <c r="AQ78" i="23"/>
  <c r="AO78" i="23"/>
  <c r="AD78" i="23"/>
  <c r="AH78" i="23" s="1"/>
  <c r="AD235" i="23"/>
  <c r="AQ235" i="23"/>
  <c r="AO235" i="23"/>
  <c r="AP304" i="23"/>
  <c r="AI304" i="23"/>
  <c r="AS95" i="22"/>
  <c r="AL95" i="22"/>
  <c r="AY95" i="22" s="1"/>
  <c r="AU296" i="22"/>
  <c r="AN296" i="22"/>
  <c r="AN97" i="22"/>
  <c r="BA97" i="22" s="1"/>
  <c r="AU97" i="22"/>
  <c r="G69" i="13"/>
  <c r="G85" i="13"/>
  <c r="AR380" i="22"/>
  <c r="AR278" i="22"/>
  <c r="AG278" i="22"/>
  <c r="AK278" i="22" s="1"/>
  <c r="AB240" i="9"/>
  <c r="AC240" i="9"/>
  <c r="AL105" i="16"/>
  <c r="AK105" i="16"/>
  <c r="AJ105" i="16"/>
  <c r="BP147" i="22"/>
  <c r="BQ147" i="22" s="1"/>
  <c r="AO311" i="23"/>
  <c r="AD311" i="23"/>
  <c r="AQ311" i="23"/>
  <c r="AP267" i="23"/>
  <c r="AV496" i="22"/>
  <c r="AP322" i="23"/>
  <c r="AO265" i="23"/>
  <c r="AL60" i="23"/>
  <c r="AQ252" i="23"/>
  <c r="AD179" i="23"/>
  <c r="AT495" i="22"/>
  <c r="AT177" i="22"/>
  <c r="AS348" i="23"/>
  <c r="AS255" i="23"/>
  <c r="AS88" i="22"/>
  <c r="AG130" i="22"/>
  <c r="AT166" i="22"/>
  <c r="AP248" i="23"/>
  <c r="AI281" i="23"/>
  <c r="AP281" i="23"/>
  <c r="AG390" i="22"/>
  <c r="AG267" i="22"/>
  <c r="AD347" i="23"/>
  <c r="AJ347" i="23" s="1"/>
  <c r="AQ347" i="23"/>
  <c r="AO347" i="23"/>
  <c r="AM162" i="23"/>
  <c r="AD130" i="23"/>
  <c r="AI130" i="23" s="1"/>
  <c r="AL245" i="23"/>
  <c r="AS175" i="22"/>
  <c r="AY175" i="22" s="1"/>
  <c r="AG353" i="22"/>
  <c r="AQ234" i="23"/>
  <c r="AR323" i="23"/>
  <c r="AD256" i="23"/>
  <c r="AL25" i="18"/>
  <c r="AR365" i="22"/>
  <c r="AB488" i="9"/>
  <c r="AC488" i="9"/>
  <c r="AS450" i="22"/>
  <c r="AR254" i="23"/>
  <c r="AK254" i="23"/>
  <c r="AR104" i="23"/>
  <c r="S22" i="32" l="1"/>
  <c r="R231" i="9"/>
  <c r="U34" i="8"/>
  <c r="AP226" i="22"/>
  <c r="G121" i="16"/>
  <c r="H73" i="16"/>
  <c r="J73" i="16"/>
  <c r="I73" i="16"/>
  <c r="AX127" i="22"/>
  <c r="T16" i="32"/>
  <c r="R237" i="9"/>
  <c r="V49" i="8"/>
  <c r="AP51" i="22"/>
  <c r="AX51" i="22"/>
  <c r="BC168" i="22"/>
  <c r="U158" i="8"/>
  <c r="AU56" i="23"/>
  <c r="U50" i="8"/>
  <c r="BF80" i="22"/>
  <c r="AX113" i="22"/>
  <c r="Q136" i="12"/>
  <c r="R46" i="12"/>
  <c r="S46" i="12"/>
  <c r="U126" i="8"/>
  <c r="AX36" i="22"/>
  <c r="AX106" i="22"/>
  <c r="AX134" i="22"/>
  <c r="AX86" i="22"/>
  <c r="AP86" i="22"/>
  <c r="AP96" i="22"/>
  <c r="AX96" i="22"/>
  <c r="AK240" i="12"/>
  <c r="AK241" i="12" s="1"/>
  <c r="T14" i="32"/>
  <c r="R235" i="9"/>
  <c r="W26" i="8"/>
  <c r="U18" i="32"/>
  <c r="R251" i="9"/>
  <c r="T181" i="12"/>
  <c r="BF132" i="22"/>
  <c r="X23" i="32"/>
  <c r="R292" i="9"/>
  <c r="AX117" i="22"/>
  <c r="AX22" i="22"/>
  <c r="AX66" i="22"/>
  <c r="AU59" i="23"/>
  <c r="AX112" i="22"/>
  <c r="U52" i="8"/>
  <c r="V52" i="8"/>
  <c r="AX133" i="22"/>
  <c r="CA149" i="22"/>
  <c r="AM78" i="23"/>
  <c r="AX108" i="22"/>
  <c r="T24" i="32"/>
  <c r="R245" i="9"/>
  <c r="V36" i="8"/>
  <c r="U15" i="32"/>
  <c r="R248" i="9"/>
  <c r="AX81" i="22"/>
  <c r="Q128" i="12"/>
  <c r="AX125" i="22"/>
  <c r="AX8" i="22"/>
  <c r="BF35" i="22"/>
  <c r="S38" i="12"/>
  <c r="V123" i="8"/>
  <c r="AL240" i="12"/>
  <c r="AL241" i="12" s="1"/>
  <c r="AX128" i="22"/>
  <c r="V195" i="22"/>
  <c r="AM398" i="22"/>
  <c r="AO398" i="22"/>
  <c r="O203" i="12"/>
  <c r="AK17" i="22"/>
  <c r="AO241" i="22"/>
  <c r="AM241" i="22"/>
  <c r="AO420" i="22"/>
  <c r="AM420" i="22"/>
  <c r="AL420" i="22"/>
  <c r="AN150" i="22"/>
  <c r="AO458" i="22"/>
  <c r="AM458" i="22"/>
  <c r="G39" i="18"/>
  <c r="G105" i="16"/>
  <c r="AO61" i="22"/>
  <c r="BB61" i="22" s="1"/>
  <c r="AM61" i="22"/>
  <c r="AZ61" i="22" s="1"/>
  <c r="AH360" i="23"/>
  <c r="AH321" i="23"/>
  <c r="AO118" i="22"/>
  <c r="BB118" i="22" s="1"/>
  <c r="AM118" i="22"/>
  <c r="AZ118" i="22" s="1"/>
  <c r="AM255" i="23"/>
  <c r="AM322" i="22"/>
  <c r="AO322" i="22"/>
  <c r="BC156" i="22"/>
  <c r="W122" i="8"/>
  <c r="AM181" i="22"/>
  <c r="AO181" i="22"/>
  <c r="AD9" i="28"/>
  <c r="J104" i="12"/>
  <c r="AJ311" i="23"/>
  <c r="AL311" i="23"/>
  <c r="AN6" i="22"/>
  <c r="BA6" i="22" s="1"/>
  <c r="BF6" i="22" s="1"/>
  <c r="AM6" i="22"/>
  <c r="AZ6" i="22" s="1"/>
  <c r="AO6" i="22"/>
  <c r="BB6" i="22" s="1"/>
  <c r="AL6" i="22"/>
  <c r="AY6" i="22" s="1"/>
  <c r="AO230" i="22"/>
  <c r="AM230" i="22"/>
  <c r="C124" i="16"/>
  <c r="AM406" i="22"/>
  <c r="AO406" i="22"/>
  <c r="AL406" i="22"/>
  <c r="AL53" i="22"/>
  <c r="AY53" i="22" s="1"/>
  <c r="AO50" i="22"/>
  <c r="BB50" i="22" s="1"/>
  <c r="AM50" i="22"/>
  <c r="AZ50" i="22" s="1"/>
  <c r="AL50" i="22"/>
  <c r="AY50" i="22" s="1"/>
  <c r="AN50" i="22"/>
  <c r="BA50" i="22" s="1"/>
  <c r="BZ194" i="22"/>
  <c r="AK47" i="23"/>
  <c r="AX47" i="23" s="1"/>
  <c r="BC47" i="23" s="1"/>
  <c r="AJ47" i="23"/>
  <c r="AW47" i="23" s="1"/>
  <c r="AL47" i="23"/>
  <c r="AY47" i="23" s="1"/>
  <c r="AO160" i="22"/>
  <c r="AM160" i="22"/>
  <c r="AM248" i="22"/>
  <c r="AN248" i="22"/>
  <c r="AP248" i="22" s="1"/>
  <c r="AO248" i="22"/>
  <c r="G99" i="16"/>
  <c r="G33" i="18"/>
  <c r="G34" i="19" s="1"/>
  <c r="AO385" i="22"/>
  <c r="AM385" i="22"/>
  <c r="AN385" i="22"/>
  <c r="AJ62" i="23"/>
  <c r="AW62" i="23" s="1"/>
  <c r="AI62" i="23"/>
  <c r="AV62" i="23" s="1"/>
  <c r="AH62" i="23"/>
  <c r="BA47" i="22"/>
  <c r="BF47" i="22" s="1"/>
  <c r="AK118" i="22"/>
  <c r="BY185" i="22"/>
  <c r="AZ185" i="22"/>
  <c r="BC185" i="22" s="1"/>
  <c r="AM180" i="22"/>
  <c r="AO180" i="22"/>
  <c r="AN180" i="22"/>
  <c r="AO231" i="22"/>
  <c r="AM231" i="22"/>
  <c r="AK175" i="22"/>
  <c r="BF103" i="22"/>
  <c r="AI272" i="23"/>
  <c r="AO46" i="22"/>
  <c r="BB46" i="22" s="1"/>
  <c r="AM46" i="22"/>
  <c r="AZ46" i="22" s="1"/>
  <c r="AN46" i="22"/>
  <c r="BA46" i="22" s="1"/>
  <c r="AL46" i="22"/>
  <c r="AY46" i="22" s="1"/>
  <c r="AP372" i="22"/>
  <c r="AO122" i="22"/>
  <c r="BB122" i="22" s="1"/>
  <c r="AM122" i="22"/>
  <c r="AZ122" i="22" s="1"/>
  <c r="BE141" i="22"/>
  <c r="BM141" i="22" s="1"/>
  <c r="BY141" i="22"/>
  <c r="AZ141" i="22"/>
  <c r="AN226" i="22"/>
  <c r="AH335" i="23"/>
  <c r="R93" i="8"/>
  <c r="R94" i="8" s="1"/>
  <c r="R95" i="8" s="1"/>
  <c r="R96" i="8" s="1"/>
  <c r="R97" i="8" s="1"/>
  <c r="R98" i="8" s="1"/>
  <c r="R99" i="8" s="1"/>
  <c r="R100" i="8" s="1"/>
  <c r="R101" i="8" s="1"/>
  <c r="AH331" i="23"/>
  <c r="AK479" i="22"/>
  <c r="BE181" i="22"/>
  <c r="BM181" i="22" s="1"/>
  <c r="AZ181" i="22"/>
  <c r="BY181" i="22"/>
  <c r="AK271" i="23"/>
  <c r="AM23" i="22"/>
  <c r="AZ23" i="22" s="1"/>
  <c r="AO23" i="22"/>
  <c r="BB23" i="22" s="1"/>
  <c r="AN23" i="22"/>
  <c r="BA23" i="22" s="1"/>
  <c r="BF23" i="22" s="1"/>
  <c r="AL23" i="22"/>
  <c r="AY23" i="22" s="1"/>
  <c r="AJ269" i="23"/>
  <c r="AI269" i="23"/>
  <c r="AM269" i="23" s="1"/>
  <c r="AK269" i="23"/>
  <c r="AL269" i="23"/>
  <c r="AN125" i="22"/>
  <c r="BA125" i="22" s="1"/>
  <c r="AP470" i="22"/>
  <c r="AM436" i="22"/>
  <c r="AK436" i="22"/>
  <c r="AO436" i="22"/>
  <c r="AI202" i="23"/>
  <c r="AO159" i="22"/>
  <c r="AM159" i="22"/>
  <c r="BF157" i="22"/>
  <c r="BN157" i="22" s="1"/>
  <c r="CB157" i="22"/>
  <c r="BB157" i="22"/>
  <c r="J271" i="12"/>
  <c r="J287" i="12" s="1"/>
  <c r="BZ188" i="22"/>
  <c r="M18" i="12"/>
  <c r="M108" i="12"/>
  <c r="M216" i="12" s="1"/>
  <c r="M7" i="12"/>
  <c r="M12" i="12"/>
  <c r="AO14" i="22"/>
  <c r="BB14" i="22" s="1"/>
  <c r="AM14" i="22"/>
  <c r="AZ14" i="22" s="1"/>
  <c r="AN14" i="22"/>
  <c r="BA14" i="22" s="1"/>
  <c r="I51" i="16"/>
  <c r="H51" i="16"/>
  <c r="J51" i="16"/>
  <c r="K51" i="16" s="1"/>
  <c r="AO191" i="22"/>
  <c r="AM191" i="22"/>
  <c r="AJ184" i="23"/>
  <c r="AL184" i="23"/>
  <c r="AI184" i="23"/>
  <c r="BZ185" i="22"/>
  <c r="AL221" i="23"/>
  <c r="P200" i="12"/>
  <c r="O200" i="12"/>
  <c r="AO227" i="22"/>
  <c r="AM227" i="22"/>
  <c r="AL227" i="22"/>
  <c r="AL270" i="22"/>
  <c r="I49" i="16"/>
  <c r="AJ155" i="23"/>
  <c r="AI155" i="23"/>
  <c r="AK155" i="23"/>
  <c r="AK163" i="9"/>
  <c r="AJ163" i="9"/>
  <c r="AN421" i="22"/>
  <c r="AM421" i="22"/>
  <c r="AO421" i="22"/>
  <c r="AO367" i="22"/>
  <c r="AM367" i="22"/>
  <c r="AN367" i="22"/>
  <c r="AK10" i="22"/>
  <c r="AL265" i="22"/>
  <c r="BU168" i="22"/>
  <c r="CA168" i="22"/>
  <c r="AQ31" i="12"/>
  <c r="AQ28" i="12"/>
  <c r="AQ29" i="12"/>
  <c r="AQ30" i="12"/>
  <c r="AR30" i="12"/>
  <c r="AR31" i="12"/>
  <c r="U165" i="8"/>
  <c r="AL243" i="22"/>
  <c r="CB154" i="22"/>
  <c r="J268" i="12"/>
  <c r="J284" i="12" s="1"/>
  <c r="BB154" i="22"/>
  <c r="AO213" i="22"/>
  <c r="AK213" i="22"/>
  <c r="AM213" i="22"/>
  <c r="AM126" i="23"/>
  <c r="AM200" i="22"/>
  <c r="AO200" i="22"/>
  <c r="AO18" i="22"/>
  <c r="BB18" i="22" s="1"/>
  <c r="AM18" i="22"/>
  <c r="AZ18" i="22" s="1"/>
  <c r="AN18" i="22"/>
  <c r="BA18" i="22" s="1"/>
  <c r="BF18" i="22" s="1"/>
  <c r="AM272" i="22"/>
  <c r="AO272" i="22"/>
  <c r="AM193" i="23"/>
  <c r="AO267" i="22"/>
  <c r="AL267" i="22"/>
  <c r="AM267" i="22"/>
  <c r="AK267" i="22"/>
  <c r="AO120" i="22"/>
  <c r="BB120" i="22" s="1"/>
  <c r="AM120" i="22"/>
  <c r="AZ120" i="22" s="1"/>
  <c r="CB182" i="22"/>
  <c r="L272" i="12"/>
  <c r="L288" i="12" s="1"/>
  <c r="BF182" i="22"/>
  <c r="BN182" i="22" s="1"/>
  <c r="BB182" i="22"/>
  <c r="AV75" i="23"/>
  <c r="AU75" i="23"/>
  <c r="AX75" i="23"/>
  <c r="P75" i="23"/>
  <c r="AP371" i="22"/>
  <c r="AL142" i="23"/>
  <c r="AK44" i="22"/>
  <c r="AK6" i="22"/>
  <c r="AO358" i="22"/>
  <c r="AM358" i="22"/>
  <c r="AY67" i="22"/>
  <c r="AO115" i="22"/>
  <c r="BB115" i="22" s="1"/>
  <c r="AM115" i="22"/>
  <c r="AZ115" i="22" s="1"/>
  <c r="AM448" i="22"/>
  <c r="AO448" i="22"/>
  <c r="AJ262" i="23"/>
  <c r="AI262" i="23"/>
  <c r="AK262" i="23"/>
  <c r="AN229" i="9"/>
  <c r="AF229" i="9" s="1"/>
  <c r="AG229" i="9" s="1"/>
  <c r="AH229" i="9" s="1"/>
  <c r="AK229" i="9" s="1"/>
  <c r="S229" i="9"/>
  <c r="T229" i="9" s="1"/>
  <c r="AJ118" i="23"/>
  <c r="AL118" i="23"/>
  <c r="AI118" i="23"/>
  <c r="AM336" i="22"/>
  <c r="AO336" i="22"/>
  <c r="AL336" i="22"/>
  <c r="AK405" i="22"/>
  <c r="AJ199" i="23"/>
  <c r="AI199" i="23"/>
  <c r="AO220" i="22"/>
  <c r="AM220" i="22"/>
  <c r="AN203" i="9"/>
  <c r="AF203" i="9" s="1"/>
  <c r="AG203" i="9" s="1"/>
  <c r="AH203" i="9" s="1"/>
  <c r="AK203" i="9" s="1"/>
  <c r="S203" i="9"/>
  <c r="T203" i="9" s="1"/>
  <c r="AM69" i="22"/>
  <c r="AZ69" i="22" s="1"/>
  <c r="AO69" i="22"/>
  <c r="BB69" i="22" s="1"/>
  <c r="AL69" i="22"/>
  <c r="AY69" i="22" s="1"/>
  <c r="AY89" i="22"/>
  <c r="BZ193" i="22"/>
  <c r="AZ179" i="22"/>
  <c r="BY179" i="22"/>
  <c r="AK230" i="22"/>
  <c r="BZ174" i="22"/>
  <c r="AM302" i="22"/>
  <c r="AO302" i="22"/>
  <c r="AM352" i="22"/>
  <c r="AO352" i="22"/>
  <c r="AL352" i="22"/>
  <c r="AO257" i="22"/>
  <c r="AL257" i="22"/>
  <c r="AP257" i="22" s="1"/>
  <c r="AM257" i="22"/>
  <c r="AI33" i="28"/>
  <c r="AH35" i="28"/>
  <c r="AM163" i="22"/>
  <c r="AO163" i="22"/>
  <c r="AK406" i="22"/>
  <c r="AO84" i="22"/>
  <c r="BB84" i="22" s="1"/>
  <c r="AM84" i="22"/>
  <c r="AZ84" i="22" s="1"/>
  <c r="AH362" i="23"/>
  <c r="AH47" i="23"/>
  <c r="AK160" i="22"/>
  <c r="AP160" i="22" s="1"/>
  <c r="AO321" i="22"/>
  <c r="AM321" i="22"/>
  <c r="AN377" i="22"/>
  <c r="AO254" i="22"/>
  <c r="AM254" i="22"/>
  <c r="AK385" i="22"/>
  <c r="AK180" i="22"/>
  <c r="P72" i="23"/>
  <c r="AY72" i="23"/>
  <c r="AX72" i="23"/>
  <c r="AV72" i="23"/>
  <c r="AU72" i="23"/>
  <c r="BY175" i="22"/>
  <c r="BE175" i="22"/>
  <c r="BM175" i="22" s="1"/>
  <c r="BC175" i="22"/>
  <c r="AZ175" i="22"/>
  <c r="AJ140" i="23"/>
  <c r="AI140" i="23"/>
  <c r="AK140" i="23"/>
  <c r="AL398" i="22"/>
  <c r="AN416" i="22"/>
  <c r="AN406" i="22"/>
  <c r="AN372" i="22"/>
  <c r="AO372" i="22"/>
  <c r="AM372" i="22"/>
  <c r="BF85" i="22"/>
  <c r="AK122" i="22"/>
  <c r="AM141" i="22"/>
  <c r="AO141" i="22"/>
  <c r="AJ63" i="23"/>
  <c r="AW63" i="23" s="1"/>
  <c r="AL63" i="23"/>
  <c r="AY63" i="23" s="1"/>
  <c r="BC63" i="23" s="1"/>
  <c r="AI116" i="23"/>
  <c r="AO283" i="22"/>
  <c r="AM283" i="22"/>
  <c r="AO439" i="22"/>
  <c r="AM439" i="22"/>
  <c r="AK181" i="22"/>
  <c r="AN321" i="22"/>
  <c r="AM247" i="23"/>
  <c r="AK23" i="22"/>
  <c r="L105" i="12"/>
  <c r="L213" i="12" s="1"/>
  <c r="L9" i="12"/>
  <c r="P199" i="12"/>
  <c r="O199" i="12"/>
  <c r="AN436" i="22"/>
  <c r="AK159" i="22"/>
  <c r="BZ187" i="22"/>
  <c r="BZ146" i="22"/>
  <c r="AN157" i="22"/>
  <c r="AK14" i="22"/>
  <c r="H53" i="16"/>
  <c r="I53" i="16"/>
  <c r="AK191" i="22"/>
  <c r="AH184" i="23"/>
  <c r="AL368" i="23"/>
  <c r="AM492" i="22"/>
  <c r="AO492" i="22"/>
  <c r="AP451" i="22"/>
  <c r="O197" i="12"/>
  <c r="AH332" i="23"/>
  <c r="AK227" i="22"/>
  <c r="AM99" i="23"/>
  <c r="AO329" i="22"/>
  <c r="AM329" i="22"/>
  <c r="J48" i="16"/>
  <c r="I48" i="16"/>
  <c r="AH155" i="23"/>
  <c r="AN89" i="22"/>
  <c r="BA89" i="22" s="1"/>
  <c r="BF89" i="22" s="1"/>
  <c r="AM89" i="22"/>
  <c r="AZ89" i="22" s="1"/>
  <c r="AO89" i="22"/>
  <c r="BB89" i="22" s="1"/>
  <c r="AP173" i="22"/>
  <c r="AK367" i="22"/>
  <c r="AM143" i="23"/>
  <c r="AJ133" i="23"/>
  <c r="AH133" i="23"/>
  <c r="AK133" i="23"/>
  <c r="AN411" i="22"/>
  <c r="AM411" i="22"/>
  <c r="AO411" i="22"/>
  <c r="AM208" i="22"/>
  <c r="AO208" i="22"/>
  <c r="AM255" i="22"/>
  <c r="AK255" i="22"/>
  <c r="AP255" i="22" s="1"/>
  <c r="AO255" i="22"/>
  <c r="AL203" i="22"/>
  <c r="AK200" i="22"/>
  <c r="AP200" i="22" s="1"/>
  <c r="AK18" i="22"/>
  <c r="AK272" i="22"/>
  <c r="AK390" i="22"/>
  <c r="AM390" i="22"/>
  <c r="AO390" i="22"/>
  <c r="AH311" i="23"/>
  <c r="AM311" i="23" s="1"/>
  <c r="AK120" i="22"/>
  <c r="BA116" i="22"/>
  <c r="BF116" i="22" s="1"/>
  <c r="AJ93" i="23"/>
  <c r="AK93" i="23"/>
  <c r="AK386" i="22"/>
  <c r="AO371" i="22"/>
  <c r="AM371" i="22"/>
  <c r="AJ131" i="23"/>
  <c r="AH131" i="23"/>
  <c r="AI131" i="23"/>
  <c r="AJ201" i="23"/>
  <c r="AL201" i="23"/>
  <c r="AN119" i="22"/>
  <c r="BA119" i="22" s="1"/>
  <c r="AY59" i="22"/>
  <c r="AK358" i="22"/>
  <c r="AP358" i="22" s="1"/>
  <c r="AL228" i="22"/>
  <c r="AP228" i="22" s="1"/>
  <c r="AK94" i="22"/>
  <c r="AK115" i="22"/>
  <c r="AH262" i="23"/>
  <c r="U179" i="12"/>
  <c r="AH118" i="23"/>
  <c r="AK336" i="22"/>
  <c r="AP336" i="22" s="1"/>
  <c r="AK220" i="22"/>
  <c r="AP220" i="22" s="1"/>
  <c r="AO52" i="22"/>
  <c r="BB52" i="22" s="1"/>
  <c r="AM52" i="22"/>
  <c r="AZ52" i="22" s="1"/>
  <c r="AM397" i="22"/>
  <c r="AO397" i="22"/>
  <c r="AL330" i="22"/>
  <c r="AK330" i="22"/>
  <c r="AM330" i="22"/>
  <c r="AO330" i="22"/>
  <c r="AM179" i="22"/>
  <c r="AO179" i="22"/>
  <c r="AH231" i="23"/>
  <c r="AK251" i="22"/>
  <c r="H64" i="16"/>
  <c r="AK302" i="22"/>
  <c r="AK163" i="22"/>
  <c r="CC155" i="22"/>
  <c r="AK169" i="9"/>
  <c r="AJ169" i="9"/>
  <c r="BF184" i="22"/>
  <c r="BN184" i="22" s="1"/>
  <c r="CB184" i="22"/>
  <c r="L274" i="12"/>
  <c r="L290" i="12" s="1"/>
  <c r="BB184" i="22"/>
  <c r="AM508" i="22"/>
  <c r="AO508" i="22"/>
  <c r="AM198" i="22"/>
  <c r="AO198" i="22"/>
  <c r="AN390" i="22"/>
  <c r="AL51" i="22"/>
  <c r="AY51" i="22" s="1"/>
  <c r="AK84" i="22"/>
  <c r="AJ170" i="23"/>
  <c r="AM170" i="23" s="1"/>
  <c r="AK170" i="23"/>
  <c r="G33" i="19"/>
  <c r="G98" i="16"/>
  <c r="AQ31" i="16"/>
  <c r="G32" i="18"/>
  <c r="G44" i="16"/>
  <c r="G7" i="16" s="1"/>
  <c r="AK321" i="22"/>
  <c r="AP321" i="22" s="1"/>
  <c r="R24" i="32"/>
  <c r="R221" i="9"/>
  <c r="W36" i="8"/>
  <c r="AK254" i="22"/>
  <c r="AO263" i="22"/>
  <c r="AM263" i="22"/>
  <c r="AY27" i="22"/>
  <c r="CC149" i="22"/>
  <c r="AL120" i="22"/>
  <c r="AY120" i="22" s="1"/>
  <c r="F273" i="12"/>
  <c r="F289" i="12"/>
  <c r="F31" i="12"/>
  <c r="F321" i="12"/>
  <c r="F305" i="12"/>
  <c r="I321" i="12"/>
  <c r="I305" i="12"/>
  <c r="AZ180" i="22"/>
  <c r="BY180" i="22"/>
  <c r="BS180" i="22"/>
  <c r="BE180" i="22"/>
  <c r="BM180" i="22" s="1"/>
  <c r="BC180" i="22"/>
  <c r="AN253" i="22"/>
  <c r="AM357" i="22"/>
  <c r="AO357" i="22"/>
  <c r="AK221" i="23"/>
  <c r="AK456" i="22"/>
  <c r="CC158" i="22"/>
  <c r="AL329" i="22"/>
  <c r="AK218" i="22"/>
  <c r="AH140" i="23"/>
  <c r="BZ153" i="22"/>
  <c r="AO103" i="22"/>
  <c r="BB103" i="22" s="1"/>
  <c r="AM103" i="22"/>
  <c r="AZ103" i="22" s="1"/>
  <c r="AK46" i="22"/>
  <c r="AH68" i="23"/>
  <c r="AL367" i="22"/>
  <c r="AH221" i="23"/>
  <c r="U20" i="32"/>
  <c r="R253" i="9"/>
  <c r="AK141" i="22"/>
  <c r="AZ50" i="23"/>
  <c r="BA50" i="23" s="1"/>
  <c r="BB50" i="23"/>
  <c r="AL377" i="22"/>
  <c r="AP377" i="22" s="1"/>
  <c r="AK350" i="22"/>
  <c r="AP350" i="22" s="1"/>
  <c r="Q25" i="32"/>
  <c r="R210" i="9"/>
  <c r="W32" i="8"/>
  <c r="AI362" i="23"/>
  <c r="AN71" i="22"/>
  <c r="BA71" i="22" s="1"/>
  <c r="AK283" i="22"/>
  <c r="AK439" i="22"/>
  <c r="AN192" i="22"/>
  <c r="AO192" i="22"/>
  <c r="AM192" i="22"/>
  <c r="AJ247" i="23"/>
  <c r="AL247" i="23"/>
  <c r="AJ200" i="23"/>
  <c r="AL200" i="23"/>
  <c r="AH200" i="23"/>
  <c r="AM200" i="23" s="1"/>
  <c r="AI200" i="23"/>
  <c r="L225" i="12"/>
  <c r="L211" i="12"/>
  <c r="AM383" i="22"/>
  <c r="AO383" i="22"/>
  <c r="AH278" i="23"/>
  <c r="AM278" i="23" s="1"/>
  <c r="AI351" i="23"/>
  <c r="AO409" i="22"/>
  <c r="AM409" i="22"/>
  <c r="AP409" i="22" s="1"/>
  <c r="AM486" i="22"/>
  <c r="AO486" i="22"/>
  <c r="BY159" i="22"/>
  <c r="BE159" i="22"/>
  <c r="BM159" i="22" s="1"/>
  <c r="AZ159" i="22"/>
  <c r="U49" i="8"/>
  <c r="CB196" i="22"/>
  <c r="M274" i="12"/>
  <c r="M290" i="12" s="1"/>
  <c r="BB196" i="22"/>
  <c r="H55" i="16"/>
  <c r="I55" i="16"/>
  <c r="AK252" i="22"/>
  <c r="AP252" i="22" s="1"/>
  <c r="AM252" i="22"/>
  <c r="AN252" i="22"/>
  <c r="AO252" i="22"/>
  <c r="AS81" i="12"/>
  <c r="AS80" i="12"/>
  <c r="AP331" i="22"/>
  <c r="AP189" i="22"/>
  <c r="BA95" i="22"/>
  <c r="AK492" i="22"/>
  <c r="AM451" i="22"/>
  <c r="AO451" i="22"/>
  <c r="AN451" i="22"/>
  <c r="O202" i="12"/>
  <c r="AL25" i="16"/>
  <c r="AL226" i="22"/>
  <c r="AN251" i="22"/>
  <c r="AK392" i="22"/>
  <c r="AK329" i="22"/>
  <c r="AP329" i="22" s="1"/>
  <c r="AJ300" i="23"/>
  <c r="AL300" i="23"/>
  <c r="AP502" i="22"/>
  <c r="AN213" i="22"/>
  <c r="AK89" i="22"/>
  <c r="AN173" i="22"/>
  <c r="AM173" i="22"/>
  <c r="AO173" i="22"/>
  <c r="AH373" i="23"/>
  <c r="N135" i="12"/>
  <c r="O45" i="12"/>
  <c r="AK421" i="22"/>
  <c r="AK340" i="23"/>
  <c r="AL439" i="22"/>
  <c r="AL118" i="22"/>
  <c r="AY118" i="22" s="1"/>
  <c r="AK411" i="22"/>
  <c r="AO178" i="22"/>
  <c r="AM178" i="22"/>
  <c r="AP178" i="22" s="1"/>
  <c r="AK208" i="22"/>
  <c r="AJ80" i="23"/>
  <c r="AK80" i="23"/>
  <c r="AI80" i="23"/>
  <c r="AM80" i="23" s="1"/>
  <c r="AJ113" i="23"/>
  <c r="AI113" i="23"/>
  <c r="AN11" i="22"/>
  <c r="BA11" i="22" s="1"/>
  <c r="AM11" i="22"/>
  <c r="AZ11" i="22" s="1"/>
  <c r="AO11" i="22"/>
  <c r="BB11" i="22" s="1"/>
  <c r="AL213" i="22"/>
  <c r="AL405" i="22"/>
  <c r="V44" i="8"/>
  <c r="AP33" i="22"/>
  <c r="AO453" i="22"/>
  <c r="AN453" i="22"/>
  <c r="AM453" i="22"/>
  <c r="AP453" i="22" s="1"/>
  <c r="AK46" i="23"/>
  <c r="AX46" i="23" s="1"/>
  <c r="BC46" i="23" s="1"/>
  <c r="AJ46" i="23"/>
  <c r="AW46" i="23" s="1"/>
  <c r="AL46" i="23"/>
  <c r="AY46" i="23" s="1"/>
  <c r="AH46" i="23"/>
  <c r="AJ280" i="23"/>
  <c r="AK280" i="23"/>
  <c r="AH280" i="23"/>
  <c r="AL280" i="23"/>
  <c r="AH292" i="23"/>
  <c r="AJ139" i="23"/>
  <c r="AL139" i="23"/>
  <c r="AI139" i="23"/>
  <c r="AL15" i="28"/>
  <c r="AK17" i="28"/>
  <c r="AK238" i="22"/>
  <c r="AO238" i="22"/>
  <c r="AM238" i="22"/>
  <c r="AN220" i="9"/>
  <c r="AF220" i="9" s="1"/>
  <c r="AG220" i="9" s="1"/>
  <c r="AH220" i="9" s="1"/>
  <c r="AK220" i="9" s="1"/>
  <c r="S220" i="9"/>
  <c r="T220" i="9" s="1"/>
  <c r="AN242" i="22"/>
  <c r="AO242" i="22"/>
  <c r="AM242" i="22"/>
  <c r="AK177" i="9"/>
  <c r="AJ177" i="9"/>
  <c r="CB150" i="22"/>
  <c r="BB150" i="22"/>
  <c r="J264" i="12"/>
  <c r="G113" i="16"/>
  <c r="R21" i="32"/>
  <c r="R218" i="9"/>
  <c r="AN214" i="9"/>
  <c r="AF214" i="9" s="1"/>
  <c r="AG214" i="9" s="1"/>
  <c r="AH214" i="9" s="1"/>
  <c r="AK214" i="9" s="1"/>
  <c r="S214" i="9"/>
  <c r="T214" i="9" s="1"/>
  <c r="AJ315" i="23"/>
  <c r="AL315" i="23"/>
  <c r="O195" i="12"/>
  <c r="AM275" i="23"/>
  <c r="AO349" i="22"/>
  <c r="AM349" i="22"/>
  <c r="AM168" i="22"/>
  <c r="AK168" i="22"/>
  <c r="AO168" i="22"/>
  <c r="N300" i="12"/>
  <c r="N297" i="12"/>
  <c r="N301" i="12"/>
  <c r="N306" i="12"/>
  <c r="N302" i="12"/>
  <c r="N298" i="12"/>
  <c r="N305" i="12"/>
  <c r="N299" i="12"/>
  <c r="N307" i="12"/>
  <c r="N304" i="12"/>
  <c r="N296" i="12"/>
  <c r="N303" i="12"/>
  <c r="AO107" i="22"/>
  <c r="BB107" i="22" s="1"/>
  <c r="AM107" i="22"/>
  <c r="AZ107" i="22" s="1"/>
  <c r="AM226" i="23"/>
  <c r="AL368" i="22"/>
  <c r="S206" i="9"/>
  <c r="T206" i="9" s="1"/>
  <c r="AN206" i="9"/>
  <c r="AF206" i="9" s="1"/>
  <c r="AG206" i="9" s="1"/>
  <c r="AH206" i="9" s="1"/>
  <c r="AK206" i="9" s="1"/>
  <c r="CB187" i="22"/>
  <c r="M265" i="12"/>
  <c r="M281" i="12" s="1"/>
  <c r="BB187" i="22"/>
  <c r="AM76" i="22"/>
  <c r="AZ76" i="22" s="1"/>
  <c r="AO76" i="22"/>
  <c r="BB76" i="22" s="1"/>
  <c r="AN76" i="22"/>
  <c r="BA76" i="22" s="1"/>
  <c r="AM185" i="22"/>
  <c r="AO185" i="22"/>
  <c r="AK53" i="22"/>
  <c r="AM498" i="22"/>
  <c r="AO498" i="22"/>
  <c r="AH347" i="23"/>
  <c r="AJ330" i="23"/>
  <c r="AL330" i="23"/>
  <c r="AK330" i="23"/>
  <c r="AM70" i="22"/>
  <c r="AZ70" i="22" s="1"/>
  <c r="AO70" i="22"/>
  <c r="BB70" i="22" s="1"/>
  <c r="AJ298" i="23"/>
  <c r="AL298" i="23"/>
  <c r="BZ150" i="22"/>
  <c r="AP192" i="22"/>
  <c r="AX60" i="22"/>
  <c r="AM149" i="23"/>
  <c r="AP11" i="22"/>
  <c r="AX11" i="22"/>
  <c r="AJ358" i="23"/>
  <c r="AL358" i="23"/>
  <c r="AK358" i="23"/>
  <c r="AN355" i="22"/>
  <c r="AY126" i="22"/>
  <c r="AH298" i="23"/>
  <c r="S24" i="32"/>
  <c r="R233" i="9"/>
  <c r="AJ328" i="23"/>
  <c r="AK328" i="23"/>
  <c r="R16" i="32"/>
  <c r="R213" i="9"/>
  <c r="AM245" i="22"/>
  <c r="AL245" i="22"/>
  <c r="AO245" i="22"/>
  <c r="J6" i="12"/>
  <c r="AM49" i="22"/>
  <c r="AZ49" i="22" s="1"/>
  <c r="AO49" i="22"/>
  <c r="BB49" i="22" s="1"/>
  <c r="AH358" i="23"/>
  <c r="AM24" i="22"/>
  <c r="AZ24" i="22" s="1"/>
  <c r="AO24" i="22"/>
  <c r="BB24" i="22" s="1"/>
  <c r="AJ318" i="23"/>
  <c r="AL318" i="23"/>
  <c r="AJ368" i="23"/>
  <c r="AK368" i="23"/>
  <c r="AN144" i="22"/>
  <c r="AM144" i="22"/>
  <c r="AO144" i="22"/>
  <c r="AH260" i="23"/>
  <c r="AM260" i="23" s="1"/>
  <c r="AM335" i="22"/>
  <c r="AO335" i="22"/>
  <c r="AJ138" i="23"/>
  <c r="AL138" i="23"/>
  <c r="AH138" i="23"/>
  <c r="AM138" i="23" s="1"/>
  <c r="AI138" i="23"/>
  <c r="AO314" i="22"/>
  <c r="AM314" i="22"/>
  <c r="AK245" i="22"/>
  <c r="AM57" i="22"/>
  <c r="AZ57" i="22" s="1"/>
  <c r="AO57" i="22"/>
  <c r="BB57" i="22" s="1"/>
  <c r="AN57" i="22"/>
  <c r="BA57" i="22" s="1"/>
  <c r="BF57" i="22" s="1"/>
  <c r="AK57" i="22"/>
  <c r="BY170" i="22"/>
  <c r="AZ170" i="22"/>
  <c r="BC170" i="22" s="1"/>
  <c r="BV170" i="22" s="1"/>
  <c r="AJ307" i="23"/>
  <c r="AK307" i="23"/>
  <c r="AL307" i="23"/>
  <c r="AL53" i="23"/>
  <c r="AY53" i="23" s="1"/>
  <c r="AJ53" i="23"/>
  <c r="AW53" i="23" s="1"/>
  <c r="AK53" i="23"/>
  <c r="AX53" i="23" s="1"/>
  <c r="BC53" i="23" s="1"/>
  <c r="AI53" i="23"/>
  <c r="AV53" i="23" s="1"/>
  <c r="AJ120" i="23"/>
  <c r="AI120" i="23"/>
  <c r="AL120" i="23"/>
  <c r="BB152" i="22"/>
  <c r="J266" i="12"/>
  <c r="J282" i="12" s="1"/>
  <c r="CB152" i="22"/>
  <c r="AH100" i="23"/>
  <c r="AK335" i="22"/>
  <c r="AJ218" i="23"/>
  <c r="AI218" i="23"/>
  <c r="AL218" i="23"/>
  <c r="V221" i="22"/>
  <c r="V233" i="22" s="1"/>
  <c r="AJ141" i="23"/>
  <c r="AI141" i="23"/>
  <c r="AK141" i="23"/>
  <c r="AJ354" i="23"/>
  <c r="AL354" i="23"/>
  <c r="AJ284" i="23"/>
  <c r="AK284" i="23"/>
  <c r="AJ338" i="23"/>
  <c r="AL338" i="23"/>
  <c r="AK338" i="23"/>
  <c r="AM224" i="22"/>
  <c r="AO224" i="22"/>
  <c r="AO82" i="22"/>
  <c r="BB82" i="22" s="1"/>
  <c r="AM82" i="22"/>
  <c r="AZ82" i="22" s="1"/>
  <c r="AJ65" i="23"/>
  <c r="AW65" i="23" s="1"/>
  <c r="AL65" i="23"/>
  <c r="AY65" i="23" s="1"/>
  <c r="BC65" i="23" s="1"/>
  <c r="AI65" i="23"/>
  <c r="AV65" i="23" s="1"/>
  <c r="AM79" i="22"/>
  <c r="AZ79" i="22" s="1"/>
  <c r="AO79" i="22"/>
  <c r="BB79" i="22" s="1"/>
  <c r="AL79" i="22"/>
  <c r="AY79" i="22" s="1"/>
  <c r="AO91" i="22"/>
  <c r="BB91" i="22" s="1"/>
  <c r="BF91" i="22" s="1"/>
  <c r="AM91" i="22"/>
  <c r="AZ91" i="22" s="1"/>
  <c r="AJ329" i="23"/>
  <c r="AK329" i="23"/>
  <c r="AL107" i="22"/>
  <c r="AY107" i="22" s="1"/>
  <c r="AJ82" i="23"/>
  <c r="AM82" i="23" s="1"/>
  <c r="AI82" i="23"/>
  <c r="BZ171" i="22"/>
  <c r="AM356" i="22"/>
  <c r="AO356" i="22"/>
  <c r="AK356" i="22"/>
  <c r="AI360" i="23"/>
  <c r="AI338" i="23"/>
  <c r="BY166" i="22"/>
  <c r="AZ166" i="22"/>
  <c r="BE166" i="22"/>
  <c r="BM166" i="22" s="1"/>
  <c r="BC166" i="22"/>
  <c r="BS166" i="22" s="1"/>
  <c r="AK147" i="9"/>
  <c r="AJ147" i="9"/>
  <c r="AO467" i="22"/>
  <c r="AM467" i="22"/>
  <c r="AI68" i="23"/>
  <c r="AO413" i="22"/>
  <c r="AM413" i="22"/>
  <c r="AK62" i="23"/>
  <c r="AX62" i="23" s="1"/>
  <c r="AR80" i="12"/>
  <c r="AR81" i="12"/>
  <c r="AO379" i="22"/>
  <c r="AN379" i="22"/>
  <c r="AM379" i="22"/>
  <c r="BF164" i="22"/>
  <c r="BN164" i="22" s="1"/>
  <c r="CB164" i="22"/>
  <c r="K266" i="12"/>
  <c r="K282" i="12" s="1"/>
  <c r="BB164" i="22"/>
  <c r="AJ319" i="23"/>
  <c r="AK319" i="23"/>
  <c r="AK82" i="22"/>
  <c r="W149" i="8"/>
  <c r="AO488" i="22"/>
  <c r="AM488" i="22"/>
  <c r="AJ223" i="23"/>
  <c r="AK223" i="23"/>
  <c r="AL180" i="22"/>
  <c r="AN267" i="22"/>
  <c r="AJ333" i="23"/>
  <c r="AK333" i="23"/>
  <c r="AN69" i="22"/>
  <c r="AL122" i="22"/>
  <c r="AY122" i="22" s="1"/>
  <c r="BZ190" i="22"/>
  <c r="AJ312" i="23"/>
  <c r="AK312" i="23"/>
  <c r="AL312" i="23"/>
  <c r="AZ176" i="22"/>
  <c r="BY176" i="22"/>
  <c r="BE176" i="22"/>
  <c r="BM176" i="22" s="1"/>
  <c r="AK74" i="22"/>
  <c r="AL278" i="22"/>
  <c r="AP278" i="22" s="1"/>
  <c r="AJ198" i="23"/>
  <c r="AK198" i="23"/>
  <c r="AL198" i="23"/>
  <c r="AH198" i="23"/>
  <c r="AM198" i="23" s="1"/>
  <c r="BY139" i="22"/>
  <c r="BE139" i="22"/>
  <c r="BM139" i="22" s="1"/>
  <c r="AZ139" i="22"/>
  <c r="CB146" i="22"/>
  <c r="BF146" i="22"/>
  <c r="BN146" i="22" s="1"/>
  <c r="I272" i="12"/>
  <c r="I288" i="12" s="1"/>
  <c r="BB146" i="22"/>
  <c r="AN360" i="22"/>
  <c r="AL225" i="22"/>
  <c r="AN376" i="22"/>
  <c r="AO376" i="22"/>
  <c r="AM376" i="22"/>
  <c r="AK345" i="22"/>
  <c r="AP155" i="22"/>
  <c r="AJ357" i="23"/>
  <c r="AK357" i="23"/>
  <c r="AL357" i="23"/>
  <c r="AN307" i="22"/>
  <c r="AK135" i="22"/>
  <c r="AM135" i="22"/>
  <c r="AZ135" i="22" s="1"/>
  <c r="AO135" i="22"/>
  <c r="BB135" i="22" s="1"/>
  <c r="AM449" i="22"/>
  <c r="AL449" i="22"/>
  <c r="AO449" i="22"/>
  <c r="AL277" i="22"/>
  <c r="AM153" i="23"/>
  <c r="AP437" i="22"/>
  <c r="AI332" i="23"/>
  <c r="AH355" i="23"/>
  <c r="AH65" i="23"/>
  <c r="AK79" i="22"/>
  <c r="BZ154" i="22"/>
  <c r="AO493" i="22"/>
  <c r="AM493" i="22"/>
  <c r="AP489" i="22"/>
  <c r="AL376" i="22"/>
  <c r="AK91" i="22"/>
  <c r="AK108" i="16"/>
  <c r="AO431" i="22"/>
  <c r="AM431" i="22"/>
  <c r="AM443" i="22"/>
  <c r="AO443" i="22"/>
  <c r="AL327" i="22"/>
  <c r="AK332" i="23"/>
  <c r="BZ164" i="22"/>
  <c r="N132" i="12"/>
  <c r="O42" i="12"/>
  <c r="AM48" i="23"/>
  <c r="AU48" i="23"/>
  <c r="AM244" i="22"/>
  <c r="AK244" i="22"/>
  <c r="AO244" i="22"/>
  <c r="AL434" i="22"/>
  <c r="AJ257" i="23"/>
  <c r="AI257" i="23"/>
  <c r="AH257" i="23"/>
  <c r="AM257" i="23" s="1"/>
  <c r="AK257" i="23"/>
  <c r="AH354" i="23"/>
  <c r="AK373" i="23"/>
  <c r="AL141" i="23"/>
  <c r="BC48" i="23"/>
  <c r="AH310" i="23"/>
  <c r="AN168" i="22"/>
  <c r="P136" i="12"/>
  <c r="AU63" i="23"/>
  <c r="AL144" i="23"/>
  <c r="AL109" i="22"/>
  <c r="AY109" i="22" s="1"/>
  <c r="AK109" i="22"/>
  <c r="AO109" i="22"/>
  <c r="BB109" i="22" s="1"/>
  <c r="AM109" i="22"/>
  <c r="AZ109" i="22" s="1"/>
  <c r="AK113" i="23"/>
  <c r="AK484" i="22"/>
  <c r="AO484" i="22"/>
  <c r="AM484" i="22"/>
  <c r="AJ252" i="23"/>
  <c r="AH252" i="23"/>
  <c r="AM252" i="23" s="1"/>
  <c r="V17" i="32"/>
  <c r="R262" i="9"/>
  <c r="S211" i="9"/>
  <c r="T211" i="9" s="1"/>
  <c r="AN211" i="9"/>
  <c r="AF211" i="9" s="1"/>
  <c r="AG211" i="9" s="1"/>
  <c r="AH211" i="9" s="1"/>
  <c r="AK211" i="9" s="1"/>
  <c r="AO496" i="22"/>
  <c r="AM496" i="22"/>
  <c r="AK496" i="22"/>
  <c r="AJ241" i="23"/>
  <c r="AI241" i="23"/>
  <c r="AM241" i="23" s="1"/>
  <c r="AK241" i="23"/>
  <c r="AL241" i="23"/>
  <c r="AO447" i="22"/>
  <c r="AM447" i="22"/>
  <c r="AJ361" i="23"/>
  <c r="AK361" i="23"/>
  <c r="AN151" i="22"/>
  <c r="AH174" i="23"/>
  <c r="AX61" i="22"/>
  <c r="AY77" i="22"/>
  <c r="AH271" i="23"/>
  <c r="AP185" i="22"/>
  <c r="AO374" i="22"/>
  <c r="AM374" i="22"/>
  <c r="AK132" i="22"/>
  <c r="AK65" i="22"/>
  <c r="CB178" i="22"/>
  <c r="BF178" i="22"/>
  <c r="BN178" i="22" s="1"/>
  <c r="BB178" i="22"/>
  <c r="L268" i="12"/>
  <c r="L284" i="12" s="1"/>
  <c r="AM479" i="22"/>
  <c r="AO479" i="22"/>
  <c r="BZ152" i="22"/>
  <c r="O198" i="12"/>
  <c r="AM96" i="22"/>
  <c r="AZ96" i="22" s="1"/>
  <c r="AO96" i="22"/>
  <c r="BB96" i="22" s="1"/>
  <c r="AK458" i="22"/>
  <c r="AK129" i="22"/>
  <c r="BV190" i="22"/>
  <c r="CB190" i="22"/>
  <c r="BF190" i="22"/>
  <c r="BN190" i="22" s="1"/>
  <c r="BB190" i="22"/>
  <c r="M268" i="12"/>
  <c r="M284" i="12" s="1"/>
  <c r="AX52" i="22"/>
  <c r="BY163" i="22"/>
  <c r="AZ163" i="22"/>
  <c r="S23" i="8"/>
  <c r="AP486" i="22"/>
  <c r="H58" i="16"/>
  <c r="I58" i="16" s="1"/>
  <c r="J58" i="16"/>
  <c r="AO392" i="22"/>
  <c r="AM392" i="22"/>
  <c r="AK387" i="22"/>
  <c r="AM387" i="22"/>
  <c r="AO387" i="22"/>
  <c r="K222" i="12"/>
  <c r="K224" i="12"/>
  <c r="K324" i="12" s="1"/>
  <c r="K221" i="12"/>
  <c r="K223" i="12"/>
  <c r="AN86" i="22"/>
  <c r="BA86" i="22" s="1"/>
  <c r="BF86" i="22" s="1"/>
  <c r="AM86" i="22"/>
  <c r="AZ86" i="22" s="1"/>
  <c r="AO86" i="22"/>
  <c r="BB86" i="22" s="1"/>
  <c r="AK193" i="9"/>
  <c r="AJ193" i="9"/>
  <c r="AK54" i="22"/>
  <c r="AL323" i="22"/>
  <c r="AM323" i="22"/>
  <c r="AO323" i="22"/>
  <c r="BF90" i="22"/>
  <c r="AL421" i="22"/>
  <c r="AN118" i="22"/>
  <c r="BA118" i="22" s="1"/>
  <c r="BF118" i="22" s="1"/>
  <c r="AJ64" i="23"/>
  <c r="AW64" i="23" s="1"/>
  <c r="AK64" i="23"/>
  <c r="AX64" i="23" s="1"/>
  <c r="BC64" i="23" s="1"/>
  <c r="AH64" i="23"/>
  <c r="BZ196" i="22"/>
  <c r="AJ96" i="23"/>
  <c r="AL96" i="23"/>
  <c r="AO426" i="22"/>
  <c r="AM426" i="22"/>
  <c r="AN426" i="22"/>
  <c r="AJ90" i="23"/>
  <c r="AL90" i="23"/>
  <c r="AK90" i="23"/>
  <c r="AJ291" i="23"/>
  <c r="AK291" i="23"/>
  <c r="AL291" i="23"/>
  <c r="AM291" i="23" s="1"/>
  <c r="AK353" i="23"/>
  <c r="I54" i="16"/>
  <c r="AM499" i="22"/>
  <c r="AO499" i="22"/>
  <c r="AO55" i="22"/>
  <c r="BB55" i="22" s="1"/>
  <c r="AM55" i="22"/>
  <c r="AZ55" i="22" s="1"/>
  <c r="AN55" i="22"/>
  <c r="BA55" i="22" s="1"/>
  <c r="BF55" i="22" s="1"/>
  <c r="AP116" i="22"/>
  <c r="AX116" i="22"/>
  <c r="AH151" i="23"/>
  <c r="AY41" i="22"/>
  <c r="AK335" i="23"/>
  <c r="AO56" i="22"/>
  <c r="BB56" i="22" s="1"/>
  <c r="AM56" i="22"/>
  <c r="AZ56" i="22" s="1"/>
  <c r="AL56" i="22"/>
  <c r="AY56" i="22" s="1"/>
  <c r="AJ303" i="23"/>
  <c r="AM303" i="23" s="1"/>
  <c r="AL303" i="23"/>
  <c r="AJ289" i="23"/>
  <c r="AL289" i="23"/>
  <c r="BY144" i="22"/>
  <c r="BC144" i="22"/>
  <c r="BS144" i="22" s="1"/>
  <c r="AZ144" i="22"/>
  <c r="AK55" i="22"/>
  <c r="AO25" i="16"/>
  <c r="AO26" i="16"/>
  <c r="AN399" i="22"/>
  <c r="AO399" i="22"/>
  <c r="AM399" i="22"/>
  <c r="BZ165" i="22"/>
  <c r="AJ222" i="23"/>
  <c r="AH222" i="23"/>
  <c r="AL222" i="23"/>
  <c r="AK222" i="23"/>
  <c r="AN228" i="22"/>
  <c r="AJ66" i="23"/>
  <c r="AW66" i="23" s="1"/>
  <c r="AK66" i="23"/>
  <c r="AX66" i="23" s="1"/>
  <c r="BC66" i="23" s="1"/>
  <c r="AI330" i="23"/>
  <c r="AM330" i="23" s="1"/>
  <c r="AI47" i="28"/>
  <c r="AJ45" i="28"/>
  <c r="AL319" i="22"/>
  <c r="AK319" i="22"/>
  <c r="AP319" i="22" s="1"/>
  <c r="AM319" i="22"/>
  <c r="AO319" i="22"/>
  <c r="AK139" i="22"/>
  <c r="AL202" i="23"/>
  <c r="AK482" i="22"/>
  <c r="AM297" i="22"/>
  <c r="AO297" i="22"/>
  <c r="AP297" i="22" s="1"/>
  <c r="AM359" i="23"/>
  <c r="AJ233" i="23"/>
  <c r="AI233" i="23"/>
  <c r="AJ256" i="23"/>
  <c r="AI256" i="23"/>
  <c r="AH256" i="23"/>
  <c r="AM428" i="22"/>
  <c r="AL428" i="22"/>
  <c r="AO428" i="22"/>
  <c r="AO27" i="22"/>
  <c r="BB27" i="22" s="1"/>
  <c r="AM27" i="22"/>
  <c r="AZ27" i="22" s="1"/>
  <c r="AN27" i="22"/>
  <c r="BA27" i="22" s="1"/>
  <c r="BF27" i="22" s="1"/>
  <c r="U182" i="12"/>
  <c r="AN496" i="22"/>
  <c r="AN448" i="22"/>
  <c r="AK441" i="22"/>
  <c r="AO247" i="22"/>
  <c r="AP247" i="22" s="1"/>
  <c r="AM247" i="22"/>
  <c r="AM19" i="22"/>
  <c r="AZ19" i="22" s="1"/>
  <c r="AO19" i="22"/>
  <c r="BB19" i="22" s="1"/>
  <c r="AN19" i="22"/>
  <c r="BA19" i="22" s="1"/>
  <c r="BF19" i="22" s="1"/>
  <c r="BE177" i="22"/>
  <c r="BM177" i="22" s="1"/>
  <c r="BC177" i="22"/>
  <c r="BV177" i="22" s="1"/>
  <c r="BY177" i="22"/>
  <c r="AZ177" i="22"/>
  <c r="AN430" i="22"/>
  <c r="AK365" i="22"/>
  <c r="AM365" i="22"/>
  <c r="AO365" i="22"/>
  <c r="AL365" i="22"/>
  <c r="AK234" i="22"/>
  <c r="AH329" i="23"/>
  <c r="AO495" i="22"/>
  <c r="AM495" i="22"/>
  <c r="AY104" i="22"/>
  <c r="BY171" i="22"/>
  <c r="AZ171" i="22"/>
  <c r="AL135" i="23"/>
  <c r="AJ49" i="23"/>
  <c r="AL49" i="23"/>
  <c r="AY49" i="23" s="1"/>
  <c r="AK49" i="23"/>
  <c r="AX49" i="23" s="1"/>
  <c r="BC49" i="23" s="1"/>
  <c r="AI49" i="23"/>
  <c r="AL178" i="22"/>
  <c r="AN212" i="9"/>
  <c r="AF212" i="9" s="1"/>
  <c r="AG212" i="9" s="1"/>
  <c r="AH212" i="9" s="1"/>
  <c r="AK212" i="9" s="1"/>
  <c r="S212" i="9"/>
  <c r="T212" i="9" s="1"/>
  <c r="AI221" i="23"/>
  <c r="CB171" i="22"/>
  <c r="K273" i="12"/>
  <c r="K289" i="12" s="1"/>
  <c r="BB171" i="22"/>
  <c r="AJ205" i="23"/>
  <c r="AK205" i="23"/>
  <c r="AI205" i="23"/>
  <c r="AJ215" i="23"/>
  <c r="AK215" i="23"/>
  <c r="AO104" i="22"/>
  <c r="BB104" i="22" s="1"/>
  <c r="AM104" i="22"/>
  <c r="AZ104" i="22" s="1"/>
  <c r="AJ268" i="23"/>
  <c r="AI268" i="23"/>
  <c r="AK224" i="22"/>
  <c r="AN378" i="22"/>
  <c r="AP378" i="22" s="1"/>
  <c r="AL304" i="22"/>
  <c r="G39" i="19"/>
  <c r="G38" i="18"/>
  <c r="G104" i="16"/>
  <c r="AQ33" i="16"/>
  <c r="AJ377" i="23"/>
  <c r="AL377" i="23"/>
  <c r="AO187" i="22"/>
  <c r="AM187" i="22"/>
  <c r="AL367" i="23"/>
  <c r="AH267" i="23"/>
  <c r="BZ199" i="22"/>
  <c r="AK413" i="22"/>
  <c r="AM32" i="22"/>
  <c r="AZ32" i="22" s="1"/>
  <c r="AO32" i="22"/>
  <c r="BB32" i="22" s="1"/>
  <c r="AN32" i="22"/>
  <c r="BA32" i="22" s="1"/>
  <c r="AO446" i="22"/>
  <c r="AM446" i="22"/>
  <c r="AN164" i="22"/>
  <c r="AP311" i="22"/>
  <c r="BZ156" i="22"/>
  <c r="AH233" i="23"/>
  <c r="AK315" i="23"/>
  <c r="AM246" i="22"/>
  <c r="AO246" i="22"/>
  <c r="AO450" i="22"/>
  <c r="AL450" i="22"/>
  <c r="AP450" i="22" s="1"/>
  <c r="AM450" i="22"/>
  <c r="AH319" i="23"/>
  <c r="AI331" i="23"/>
  <c r="V149" i="8"/>
  <c r="AK488" i="22"/>
  <c r="AM137" i="22"/>
  <c r="AO137" i="22"/>
  <c r="AH223" i="23"/>
  <c r="BZ180" i="22"/>
  <c r="BT180" i="22"/>
  <c r="AH333" i="23"/>
  <c r="BA128" i="22"/>
  <c r="AO281" i="22"/>
  <c r="AM281" i="22"/>
  <c r="AK300" i="23"/>
  <c r="AI294" i="23"/>
  <c r="AH312" i="23"/>
  <c r="AN319" i="22"/>
  <c r="AL93" i="23"/>
  <c r="T132" i="8"/>
  <c r="AJ87" i="23"/>
  <c r="AL87" i="23"/>
  <c r="CC173" i="22"/>
  <c r="AI311" i="23"/>
  <c r="AK376" i="22"/>
  <c r="AP376" i="22" s="1"/>
  <c r="AP194" i="22"/>
  <c r="BC155" i="22"/>
  <c r="BW155" i="22" s="1"/>
  <c r="BE155" i="22"/>
  <c r="BM155" i="22" s="1"/>
  <c r="AZ155" i="22"/>
  <c r="BY155" i="22"/>
  <c r="AM68" i="22"/>
  <c r="AZ68" i="22" s="1"/>
  <c r="AO68" i="22"/>
  <c r="BB68" i="22" s="1"/>
  <c r="AN68" i="22"/>
  <c r="AI110" i="23"/>
  <c r="AL32" i="22"/>
  <c r="AY32" i="22" s="1"/>
  <c r="AH357" i="23"/>
  <c r="G37" i="18"/>
  <c r="G38" i="19"/>
  <c r="G103" i="16"/>
  <c r="AJ72" i="23"/>
  <c r="AW72" i="23" s="1"/>
  <c r="AI72" i="23"/>
  <c r="AL448" i="22"/>
  <c r="S156" i="8"/>
  <c r="T156" i="8"/>
  <c r="U156" i="8"/>
  <c r="BY165" i="22"/>
  <c r="AZ165" i="22"/>
  <c r="AK449" i="22"/>
  <c r="AN281" i="22"/>
  <c r="AN158" i="22"/>
  <c r="AO158" i="22"/>
  <c r="AM158" i="22"/>
  <c r="AN359" i="22"/>
  <c r="AO359" i="22"/>
  <c r="AM359" i="22"/>
  <c r="AJ83" i="23"/>
  <c r="AL83" i="23"/>
  <c r="AH83" i="23"/>
  <c r="AK493" i="22"/>
  <c r="AO201" i="22"/>
  <c r="AM201" i="22"/>
  <c r="AP201" i="22" s="1"/>
  <c r="AN201" i="22"/>
  <c r="AK431" i="22"/>
  <c r="AL337" i="22"/>
  <c r="AJ172" i="23"/>
  <c r="AI172" i="23"/>
  <c r="AH172" i="23"/>
  <c r="AK236" i="22"/>
  <c r="AM236" i="22"/>
  <c r="AO236" i="22"/>
  <c r="AM101" i="23"/>
  <c r="AN306" i="22"/>
  <c r="AK306" i="22"/>
  <c r="AM306" i="22"/>
  <c r="AO306" i="22"/>
  <c r="AM134" i="23"/>
  <c r="AM268" i="22"/>
  <c r="AO268" i="22"/>
  <c r="BB168" i="22"/>
  <c r="CB168" i="22"/>
  <c r="BF168" i="22"/>
  <c r="BN168" i="22" s="1"/>
  <c r="K270" i="12"/>
  <c r="K286" i="12" s="1"/>
  <c r="AL359" i="23"/>
  <c r="AK107" i="23"/>
  <c r="AM107" i="23" s="1"/>
  <c r="AH375" i="23"/>
  <c r="AN109" i="22"/>
  <c r="BA109" i="22" s="1"/>
  <c r="BF109" i="22" s="1"/>
  <c r="I19" i="13"/>
  <c r="I24" i="13"/>
  <c r="I16" i="13"/>
  <c r="I23" i="13"/>
  <c r="I15" i="13"/>
  <c r="I22" i="13"/>
  <c r="I25" i="13"/>
  <c r="I14" i="13"/>
  <c r="I20" i="13"/>
  <c r="I18" i="13"/>
  <c r="I17" i="13"/>
  <c r="I21" i="13"/>
  <c r="U43" i="8"/>
  <c r="R38" i="12"/>
  <c r="AO211" i="22"/>
  <c r="AM211" i="22"/>
  <c r="AH139" i="23"/>
  <c r="AM139" i="23" s="1"/>
  <c r="AJ365" i="23"/>
  <c r="AL365" i="23"/>
  <c r="AO490" i="22"/>
  <c r="AM490" i="22"/>
  <c r="AO127" i="22"/>
  <c r="BB127" i="22" s="1"/>
  <c r="AM127" i="22"/>
  <c r="AZ127" i="22" s="1"/>
  <c r="AL127" i="22"/>
  <c r="AY127" i="22" s="1"/>
  <c r="AT81" i="12"/>
  <c r="AT80" i="12"/>
  <c r="AH353" i="23"/>
  <c r="AM353" i="23" s="1"/>
  <c r="AJ320" i="23"/>
  <c r="AL320" i="23"/>
  <c r="AM320" i="23" s="1"/>
  <c r="AK320" i="23"/>
  <c r="AK211" i="22"/>
  <c r="CA145" i="22"/>
  <c r="P71" i="23"/>
  <c r="CB151" i="22"/>
  <c r="BB151" i="22"/>
  <c r="J265" i="12"/>
  <c r="J281" i="12" s="1"/>
  <c r="AH365" i="23"/>
  <c r="BA96" i="22"/>
  <c r="BF96" i="22" s="1"/>
  <c r="V201" i="22"/>
  <c r="AJ142" i="23"/>
  <c r="AH142" i="23"/>
  <c r="AM142" i="23" s="1"/>
  <c r="BE28" i="22"/>
  <c r="AJ260" i="23"/>
  <c r="AK260" i="23"/>
  <c r="AI260" i="23"/>
  <c r="AM309" i="23"/>
  <c r="AJ259" i="23"/>
  <c r="AL259" i="23"/>
  <c r="AH259" i="23"/>
  <c r="AM90" i="23"/>
  <c r="AK142" i="23"/>
  <c r="AJ232" i="23"/>
  <c r="AI232" i="23"/>
  <c r="F281" i="12"/>
  <c r="F265" i="12"/>
  <c r="F23" i="12"/>
  <c r="F297" i="12"/>
  <c r="F313" i="12"/>
  <c r="I313" i="12"/>
  <c r="I297" i="12"/>
  <c r="AX69" i="22"/>
  <c r="AC43" i="19"/>
  <c r="AJ239" i="12" s="1"/>
  <c r="AJ81" i="23"/>
  <c r="AL81" i="23"/>
  <c r="AI81" i="23"/>
  <c r="AM468" i="22"/>
  <c r="AO468" i="22"/>
  <c r="CC169" i="22"/>
  <c r="BT157" i="22"/>
  <c r="BZ157" i="22"/>
  <c r="AO377" i="22"/>
  <c r="AM377" i="22"/>
  <c r="AL86" i="22"/>
  <c r="AY86" i="22" s="1"/>
  <c r="AK57" i="23"/>
  <c r="AX57" i="23" s="1"/>
  <c r="BV161" i="22"/>
  <c r="BF161" i="22"/>
  <c r="BN161" i="22" s="1"/>
  <c r="CB161" i="22"/>
  <c r="BB161" i="22"/>
  <c r="J275" i="12"/>
  <c r="J291" i="12" s="1"/>
  <c r="AL331" i="23"/>
  <c r="CB172" i="22"/>
  <c r="K274" i="12"/>
  <c r="K290" i="12" s="1"/>
  <c r="BB172" i="22"/>
  <c r="AO292" i="22"/>
  <c r="AL292" i="22"/>
  <c r="AP292" i="22" s="1"/>
  <c r="AM292" i="22"/>
  <c r="BF183" i="22"/>
  <c r="BN183" i="22" s="1"/>
  <c r="CB183" i="22"/>
  <c r="L273" i="12"/>
  <c r="L289" i="12" s="1"/>
  <c r="BB183" i="22"/>
  <c r="BZ198" i="22"/>
  <c r="AM66" i="22"/>
  <c r="AO66" i="22"/>
  <c r="BB66" i="22" s="1"/>
  <c r="AN66" i="22"/>
  <c r="BA66" i="22" s="1"/>
  <c r="AL57" i="22"/>
  <c r="AY57" i="22" s="1"/>
  <c r="AK323" i="22"/>
  <c r="AX43" i="22"/>
  <c r="AK367" i="23"/>
  <c r="AY97" i="22"/>
  <c r="S201" i="9"/>
  <c r="T201" i="9" s="1"/>
  <c r="AN201" i="9"/>
  <c r="AF201" i="9" s="1"/>
  <c r="AG201" i="9" s="1"/>
  <c r="AH201" i="9" s="1"/>
  <c r="AK201" i="9" s="1"/>
  <c r="AO219" i="22"/>
  <c r="AM219" i="22"/>
  <c r="AM388" i="22"/>
  <c r="AP388" i="22" s="1"/>
  <c r="AO388" i="22"/>
  <c r="AJ254" i="23"/>
  <c r="AI254" i="23"/>
  <c r="AL254" i="23"/>
  <c r="AJ342" i="23"/>
  <c r="AL342" i="23"/>
  <c r="AK342" i="23"/>
  <c r="U82" i="12"/>
  <c r="AP259" i="22"/>
  <c r="AM119" i="23"/>
  <c r="AN473" i="22"/>
  <c r="AM473" i="22"/>
  <c r="AO473" i="22"/>
  <c r="AK473" i="22"/>
  <c r="BA104" i="22"/>
  <c r="BF104" i="22" s="1"/>
  <c r="AH307" i="23"/>
  <c r="AJ188" i="23"/>
  <c r="AI188" i="23"/>
  <c r="AJ132" i="23"/>
  <c r="AL132" i="23"/>
  <c r="AK132" i="23"/>
  <c r="AI132" i="23"/>
  <c r="AN7" i="22"/>
  <c r="BA7" i="22" s="1"/>
  <c r="AO7" i="22"/>
  <c r="BB7" i="22" s="1"/>
  <c r="AM7" i="22"/>
  <c r="AZ7" i="22" s="1"/>
  <c r="BZ179" i="22"/>
  <c r="AK167" i="23"/>
  <c r="AM167" i="23" s="1"/>
  <c r="AL322" i="22"/>
  <c r="AP322" i="22" s="1"/>
  <c r="BB60" i="23"/>
  <c r="AZ60" i="23"/>
  <c r="BA60" i="23" s="1"/>
  <c r="AN504" i="22"/>
  <c r="AO123" i="22"/>
  <c r="BB123" i="22" s="1"/>
  <c r="BF123" i="22" s="1"/>
  <c r="AM123" i="22"/>
  <c r="AZ123" i="22" s="1"/>
  <c r="AP495" i="22"/>
  <c r="AJ374" i="23"/>
  <c r="AM374" i="23" s="1"/>
  <c r="AL374" i="23"/>
  <c r="AK120" i="23"/>
  <c r="BB137" i="22"/>
  <c r="BF137" i="22" s="1"/>
  <c r="AL66" i="23"/>
  <c r="AY66" i="23" s="1"/>
  <c r="AO31" i="22"/>
  <c r="BB31" i="22" s="1"/>
  <c r="AM31" i="22"/>
  <c r="AZ31" i="22" s="1"/>
  <c r="AN31" i="22"/>
  <c r="BA31" i="22" s="1"/>
  <c r="BF31" i="22" s="1"/>
  <c r="AK31" i="22"/>
  <c r="M225" i="12"/>
  <c r="M211" i="12"/>
  <c r="AJ91" i="23"/>
  <c r="AI91" i="23"/>
  <c r="AM91" i="23" s="1"/>
  <c r="AL91" i="23"/>
  <c r="AL232" i="22"/>
  <c r="AL426" i="22"/>
  <c r="AN84" i="22"/>
  <c r="BA84" i="22" s="1"/>
  <c r="BF84" i="22" s="1"/>
  <c r="T162" i="8"/>
  <c r="AJ310" i="23"/>
  <c r="AL310" i="23"/>
  <c r="AO214" i="22"/>
  <c r="AM214" i="22"/>
  <c r="AL214" i="22"/>
  <c r="AP214" i="22" s="1"/>
  <c r="AN214" i="22"/>
  <c r="AO278" i="22"/>
  <c r="AM278" i="22"/>
  <c r="AO317" i="22"/>
  <c r="AM317" i="22"/>
  <c r="AP317" i="22" s="1"/>
  <c r="AL287" i="22"/>
  <c r="AP287" i="22" s="1"/>
  <c r="AM287" i="22"/>
  <c r="AO287" i="22"/>
  <c r="AN287" i="22"/>
  <c r="AL232" i="23"/>
  <c r="W27" i="8"/>
  <c r="AI305" i="23"/>
  <c r="AP27" i="22"/>
  <c r="AX27" i="22"/>
  <c r="S180" i="12"/>
  <c r="AL151" i="22"/>
  <c r="AP151" i="22" s="1"/>
  <c r="AX19" i="22"/>
  <c r="AO503" i="22"/>
  <c r="AN503" i="22"/>
  <c r="AM503" i="22"/>
  <c r="AP503" i="22" s="1"/>
  <c r="AK313" i="23"/>
  <c r="AH66" i="23"/>
  <c r="AO146" i="22"/>
  <c r="AM146" i="22"/>
  <c r="AL252" i="23"/>
  <c r="AM429" i="22"/>
  <c r="AO429" i="22"/>
  <c r="AO138" i="22"/>
  <c r="AM138" i="22"/>
  <c r="AM62" i="22"/>
  <c r="AZ62" i="22" s="1"/>
  <c r="AO62" i="22"/>
  <c r="BB62" i="22" s="1"/>
  <c r="BF62" i="22" s="1"/>
  <c r="AL304" i="23"/>
  <c r="AK375" i="23"/>
  <c r="AJ225" i="23"/>
  <c r="AI225" i="23"/>
  <c r="AK225" i="23"/>
  <c r="AL225" i="23"/>
  <c r="AM225" i="23" s="1"/>
  <c r="AM171" i="22"/>
  <c r="AO171" i="22"/>
  <c r="AO279" i="22"/>
  <c r="AN279" i="22"/>
  <c r="AM279" i="22"/>
  <c r="AP279" i="22" s="1"/>
  <c r="AM414" i="22"/>
  <c r="AP414" i="22" s="1"/>
  <c r="AO414" i="22"/>
  <c r="AJ213" i="23"/>
  <c r="AI213" i="23"/>
  <c r="AJ251" i="23"/>
  <c r="AK251" i="23"/>
  <c r="AI251" i="23"/>
  <c r="AO474" i="22"/>
  <c r="AM474" i="22"/>
  <c r="BZ178" i="22"/>
  <c r="AO442" i="22"/>
  <c r="AM442" i="22"/>
  <c r="AP442" i="22" s="1"/>
  <c r="AO389" i="22"/>
  <c r="AM389" i="22"/>
  <c r="AP389" i="22" s="1"/>
  <c r="AN335" i="22"/>
  <c r="AK347" i="23"/>
  <c r="AI144" i="23"/>
  <c r="AH205" i="23"/>
  <c r="AH215" i="23"/>
  <c r="AK104" i="22"/>
  <c r="AH268" i="23"/>
  <c r="AM268" i="23" s="1"/>
  <c r="AK283" i="23"/>
  <c r="AM240" i="22"/>
  <c r="AL240" i="22"/>
  <c r="AO240" i="22"/>
  <c r="AJ243" i="23"/>
  <c r="AK243" i="23"/>
  <c r="AI278" i="23"/>
  <c r="AL61" i="22"/>
  <c r="AY61" i="22" s="1"/>
  <c r="AO188" i="22"/>
  <c r="AM188" i="22"/>
  <c r="AH377" i="23"/>
  <c r="AM377" i="23" s="1"/>
  <c r="AM296" i="22"/>
  <c r="AP296" i="22" s="1"/>
  <c r="AO296" i="22"/>
  <c r="AK187" i="22"/>
  <c r="AP187" i="22" s="1"/>
  <c r="AK32" i="22"/>
  <c r="AK446" i="22"/>
  <c r="AK427" i="22"/>
  <c r="AP427" i="22" s="1"/>
  <c r="AN427" i="22"/>
  <c r="AM427" i="22"/>
  <c r="AO427" i="22"/>
  <c r="AM60" i="23"/>
  <c r="AM485" i="22"/>
  <c r="AO485" i="22"/>
  <c r="AL485" i="22"/>
  <c r="AJ161" i="23"/>
  <c r="AK161" i="23"/>
  <c r="AI161" i="23"/>
  <c r="AJ145" i="23"/>
  <c r="AI145" i="23"/>
  <c r="AK145" i="23"/>
  <c r="AL145" i="23"/>
  <c r="AM145" i="23" s="1"/>
  <c r="AK137" i="22"/>
  <c r="AN454" i="22"/>
  <c r="AM320" i="22"/>
  <c r="AP320" i="22" s="1"/>
  <c r="AO320" i="22"/>
  <c r="AY111" i="22"/>
  <c r="AO190" i="22"/>
  <c r="AP190" i="22" s="1"/>
  <c r="AM190" i="22"/>
  <c r="AO494" i="22"/>
  <c r="AM494" i="22"/>
  <c r="AL372" i="22"/>
  <c r="AN120" i="22"/>
  <c r="BA120" i="22" s="1"/>
  <c r="BF120" i="22" s="1"/>
  <c r="AM457" i="22"/>
  <c r="AO457" i="22"/>
  <c r="AH87" i="23"/>
  <c r="AM87" i="23" s="1"/>
  <c r="AN155" i="22"/>
  <c r="AO155" i="22"/>
  <c r="AM155" i="22"/>
  <c r="AX68" i="22"/>
  <c r="AN220" i="22"/>
  <c r="AM72" i="23"/>
  <c r="X42" i="8"/>
  <c r="W42" i="8"/>
  <c r="U42" i="8"/>
  <c r="V42" i="8"/>
  <c r="AM204" i="23"/>
  <c r="AL135" i="22"/>
  <c r="AY135" i="22" s="1"/>
  <c r="AM165" i="22"/>
  <c r="AL165" i="22"/>
  <c r="AP165" i="22" s="1"/>
  <c r="AO165" i="22"/>
  <c r="BZ142" i="22"/>
  <c r="AH147" i="23"/>
  <c r="AM147" i="23" s="1"/>
  <c r="CB195" i="22"/>
  <c r="BB195" i="22"/>
  <c r="M273" i="12"/>
  <c r="M289" i="12" s="1"/>
  <c r="AM294" i="22"/>
  <c r="AO294" i="22"/>
  <c r="AK158" i="22"/>
  <c r="AK359" i="22"/>
  <c r="AP359" i="22" s="1"/>
  <c r="AK218" i="23"/>
  <c r="W51" i="8"/>
  <c r="AK376" i="23"/>
  <c r="Z128" i="8"/>
  <c r="AM489" i="22"/>
  <c r="AN489" i="22"/>
  <c r="AO489" i="22"/>
  <c r="AM425" i="22"/>
  <c r="AK425" i="22"/>
  <c r="AO425" i="22"/>
  <c r="AK250" i="23"/>
  <c r="AL200" i="22"/>
  <c r="AP332" i="22"/>
  <c r="AJ85" i="23"/>
  <c r="AH85" i="23"/>
  <c r="AK85" i="23"/>
  <c r="AN107" i="22"/>
  <c r="BA107" i="22" s="1"/>
  <c r="BF107" i="22" s="1"/>
  <c r="AL52" i="22"/>
  <c r="AY52" i="22" s="1"/>
  <c r="AN352" i="22"/>
  <c r="AP268" i="22"/>
  <c r="T46" i="12"/>
  <c r="O136" i="12"/>
  <c r="X128" i="8"/>
  <c r="H65" i="16"/>
  <c r="K4" i="13"/>
  <c r="J26" i="13"/>
  <c r="AM352" i="23"/>
  <c r="AM117" i="23"/>
  <c r="AO355" i="22"/>
  <c r="AM355" i="22"/>
  <c r="AM315" i="22"/>
  <c r="AO315" i="22"/>
  <c r="AM157" i="22"/>
  <c r="AO157" i="22"/>
  <c r="AO221" i="22"/>
  <c r="AM221" i="22"/>
  <c r="AH376" i="23"/>
  <c r="AM376" i="23" s="1"/>
  <c r="AK16" i="22"/>
  <c r="CA156" i="22"/>
  <c r="BU156" i="22"/>
  <c r="AJ317" i="23"/>
  <c r="AK317" i="23"/>
  <c r="AL317" i="23"/>
  <c r="AZ164" i="22"/>
  <c r="BY164" i="22"/>
  <c r="AK242" i="22"/>
  <c r="AK155" i="9"/>
  <c r="AJ155" i="9"/>
  <c r="AM271" i="22"/>
  <c r="AP271" i="22" s="1"/>
  <c r="AO271" i="22"/>
  <c r="AP448" i="22"/>
  <c r="AJ272" i="23"/>
  <c r="AL272" i="23"/>
  <c r="AP263" i="22"/>
  <c r="BZ186" i="22"/>
  <c r="BS173" i="22"/>
  <c r="BY173" i="22"/>
  <c r="BE173" i="22"/>
  <c r="BM173" i="22" s="1"/>
  <c r="BC173" i="22"/>
  <c r="BW173" i="22" s="1"/>
  <c r="AZ173" i="22"/>
  <c r="AJ281" i="23"/>
  <c r="AK281" i="23"/>
  <c r="AL281" i="23"/>
  <c r="AO210" i="22"/>
  <c r="AM210" i="22"/>
  <c r="AO433" i="22"/>
  <c r="AM433" i="22"/>
  <c r="I56" i="16"/>
  <c r="H56" i="16"/>
  <c r="O196" i="12"/>
  <c r="AM35" i="22"/>
  <c r="AZ35" i="22" s="1"/>
  <c r="AO35" i="22"/>
  <c r="BB35" i="22" s="1"/>
  <c r="AL35" i="22"/>
  <c r="AY35" i="22" s="1"/>
  <c r="BY178" i="22"/>
  <c r="AZ178" i="22"/>
  <c r="BE178" i="22"/>
  <c r="BM178" i="22" s="1"/>
  <c r="BC178" i="22"/>
  <c r="BT178" i="22" s="1"/>
  <c r="Q32" i="27"/>
  <c r="O77" i="23" s="1"/>
  <c r="Q16" i="27"/>
  <c r="Q17" i="27" s="1"/>
  <c r="U209" i="22"/>
  <c r="W209" i="22" s="1"/>
  <c r="G43" i="16"/>
  <c r="AJ171" i="23"/>
  <c r="AI171" i="23"/>
  <c r="AM171" i="23" s="1"/>
  <c r="AI361" i="23"/>
  <c r="AL468" i="22"/>
  <c r="AM337" i="23"/>
  <c r="AK210" i="22"/>
  <c r="AL273" i="22"/>
  <c r="T186" i="12"/>
  <c r="AJ114" i="23"/>
  <c r="AL114" i="23"/>
  <c r="AH114" i="23"/>
  <c r="AI114" i="23"/>
  <c r="AX56" i="22"/>
  <c r="AM208" i="23"/>
  <c r="BF194" i="22"/>
  <c r="BN194" i="22" s="1"/>
  <c r="CB194" i="22"/>
  <c r="BB194" i="22"/>
  <c r="M272" i="12"/>
  <c r="M288" i="12" s="1"/>
  <c r="AL271" i="23"/>
  <c r="R143" i="8"/>
  <c r="R145" i="8"/>
  <c r="R140" i="8"/>
  <c r="R147" i="8"/>
  <c r="R142" i="8"/>
  <c r="R144" i="8"/>
  <c r="R146" i="8"/>
  <c r="R141" i="8"/>
  <c r="R148" i="8"/>
  <c r="AN230" i="22"/>
  <c r="AJ236" i="23"/>
  <c r="AM236" i="23" s="1"/>
  <c r="AL236" i="23"/>
  <c r="AI236" i="23"/>
  <c r="AL507" i="22"/>
  <c r="AI320" i="23"/>
  <c r="AN433" i="22"/>
  <c r="AN420" i="22"/>
  <c r="AH313" i="23"/>
  <c r="AI291" i="23"/>
  <c r="AJ61" i="23"/>
  <c r="AW61" i="23" s="1"/>
  <c r="AI61" i="23"/>
  <c r="AV61" i="23" s="1"/>
  <c r="AL61" i="23"/>
  <c r="AY61" i="23" s="1"/>
  <c r="BC61" i="23" s="1"/>
  <c r="AJ348" i="23"/>
  <c r="AM348" i="23" s="1"/>
  <c r="AL348" i="23"/>
  <c r="AY113" i="22"/>
  <c r="AL160" i="22"/>
  <c r="V205" i="22"/>
  <c r="AM337" i="22"/>
  <c r="AO337" i="22"/>
  <c r="AK499" i="22"/>
  <c r="S226" i="9"/>
  <c r="T226" i="9" s="1"/>
  <c r="AN226" i="9"/>
  <c r="AF226" i="9" s="1"/>
  <c r="AG226" i="9" s="1"/>
  <c r="AH226" i="9" s="1"/>
  <c r="AK226" i="9" s="1"/>
  <c r="AL159" i="22"/>
  <c r="AI252" i="23"/>
  <c r="AO30" i="22"/>
  <c r="BB30" i="22" s="1"/>
  <c r="AM30" i="22"/>
  <c r="AZ30" i="22" s="1"/>
  <c r="AN30" i="22"/>
  <c r="BA30" i="22" s="1"/>
  <c r="BF30" i="22" s="1"/>
  <c r="AK30" i="22"/>
  <c r="CB165" i="22"/>
  <c r="K267" i="12"/>
  <c r="K283" i="12" s="1"/>
  <c r="BB165" i="22"/>
  <c r="L6" i="13"/>
  <c r="K42" i="13"/>
  <c r="AO440" i="22"/>
  <c r="AM440" i="22"/>
  <c r="AP85" i="22"/>
  <c r="AK337" i="22"/>
  <c r="AP337" i="22" s="1"/>
  <c r="AY91" i="22"/>
  <c r="AH132" i="23"/>
  <c r="AO41" i="16"/>
  <c r="AF40" i="19" s="1"/>
  <c r="AF43" i="19" s="1"/>
  <c r="AM239" i="12" s="1"/>
  <c r="AO42" i="16"/>
  <c r="AF41" i="19" s="1"/>
  <c r="AF34" i="19"/>
  <c r="AJ104" i="23"/>
  <c r="AK104" i="23"/>
  <c r="AI104" i="23"/>
  <c r="AJ207" i="23"/>
  <c r="AK207" i="23"/>
  <c r="AM207" i="23" s="1"/>
  <c r="AI207" i="23"/>
  <c r="AL207" i="23"/>
  <c r="AI222" i="23"/>
  <c r="AK298" i="23"/>
  <c r="AO472" i="22"/>
  <c r="AM472" i="22"/>
  <c r="AP472" i="22" s="1"/>
  <c r="AO13" i="22"/>
  <c r="BB13" i="22" s="1"/>
  <c r="AM13" i="22"/>
  <c r="AZ13" i="22" s="1"/>
  <c r="AN13" i="22"/>
  <c r="BA13" i="22" s="1"/>
  <c r="BF13" i="22" s="1"/>
  <c r="AN244" i="9"/>
  <c r="AF244" i="9" s="1"/>
  <c r="AG244" i="9" s="1"/>
  <c r="AH244" i="9" s="1"/>
  <c r="AK244" i="9" s="1"/>
  <c r="S244" i="9"/>
  <c r="T244" i="9" s="1"/>
  <c r="AK440" i="22"/>
  <c r="V193" i="22"/>
  <c r="AH284" i="23"/>
  <c r="AM284" i="23" s="1"/>
  <c r="AH338" i="23"/>
  <c r="BC153" i="22"/>
  <c r="BS153" i="22" s="1"/>
  <c r="BY153" i="22"/>
  <c r="AZ153" i="22"/>
  <c r="AL283" i="22"/>
  <c r="F285" i="12"/>
  <c r="F269" i="12"/>
  <c r="F317" i="12"/>
  <c r="F27" i="12"/>
  <c r="F301" i="12"/>
  <c r="I317" i="12"/>
  <c r="I301" i="12"/>
  <c r="AO37" i="22"/>
  <c r="BB37" i="22" s="1"/>
  <c r="AM37" i="22"/>
  <c r="AZ37" i="22" s="1"/>
  <c r="AN37" i="22"/>
  <c r="BA37" i="22" s="1"/>
  <c r="AM251" i="23"/>
  <c r="AJ59" i="23"/>
  <c r="AW59" i="23" s="1"/>
  <c r="AL59" i="23"/>
  <c r="AY59" i="23" s="1"/>
  <c r="AK59" i="23"/>
  <c r="AX59" i="23" s="1"/>
  <c r="BC59" i="23" s="1"/>
  <c r="AI59" i="23"/>
  <c r="AV59" i="23" s="1"/>
  <c r="AM270" i="23"/>
  <c r="AI289" i="23"/>
  <c r="AM289" i="23" s="1"/>
  <c r="AK174" i="23"/>
  <c r="AO340" i="22"/>
  <c r="AM340" i="22"/>
  <c r="AI353" i="23"/>
  <c r="AJ334" i="23"/>
  <c r="AK334" i="23"/>
  <c r="AL334" i="23"/>
  <c r="AO407" i="22"/>
  <c r="AM407" i="22"/>
  <c r="AL155" i="23"/>
  <c r="AJ102" i="23"/>
  <c r="AK102" i="23"/>
  <c r="AI102" i="23"/>
  <c r="AL102" i="23"/>
  <c r="AN314" i="22"/>
  <c r="AP240" i="22"/>
  <c r="AN273" i="22"/>
  <c r="AO183" i="22"/>
  <c r="AM183" i="22"/>
  <c r="AL14" i="22"/>
  <c r="AY14" i="22" s="1"/>
  <c r="AM186" i="22"/>
  <c r="AO186" i="22"/>
  <c r="AL278" i="23"/>
  <c r="AL192" i="22"/>
  <c r="AN440" i="22"/>
  <c r="BY187" i="22"/>
  <c r="AZ187" i="22"/>
  <c r="AJ267" i="23"/>
  <c r="AL267" i="23"/>
  <c r="AI267" i="23"/>
  <c r="AM366" i="23"/>
  <c r="BE196" i="22"/>
  <c r="BM196" i="22" s="1"/>
  <c r="BC196" i="22"/>
  <c r="AZ196" i="22"/>
  <c r="BY196" i="22"/>
  <c r="AM45" i="22"/>
  <c r="AZ45" i="22" s="1"/>
  <c r="AO45" i="22"/>
  <c r="BB45" i="22" s="1"/>
  <c r="AN45" i="22"/>
  <c r="BA45" i="22" s="1"/>
  <c r="BF45" i="22" s="1"/>
  <c r="AJ286" i="23"/>
  <c r="AK286" i="23"/>
  <c r="AL286" i="23"/>
  <c r="AJ186" i="23"/>
  <c r="AK186" i="23"/>
  <c r="AM312" i="22"/>
  <c r="AO312" i="22"/>
  <c r="AL78" i="23"/>
  <c r="AP485" i="22"/>
  <c r="AM161" i="23"/>
  <c r="AL68" i="23"/>
  <c r="AM161" i="22"/>
  <c r="AO161" i="22"/>
  <c r="BC137" i="22"/>
  <c r="BD137" i="22" s="1"/>
  <c r="AZ137" i="22"/>
  <c r="BE137" i="22"/>
  <c r="AL102" i="22"/>
  <c r="AY102" i="22" s="1"/>
  <c r="AM102" i="22"/>
  <c r="AZ102" i="22" s="1"/>
  <c r="AO102" i="22"/>
  <c r="BB102" i="22" s="1"/>
  <c r="AI250" i="23"/>
  <c r="AO108" i="22"/>
  <c r="BB108" i="22" s="1"/>
  <c r="AM108" i="22"/>
  <c r="AZ108" i="22" s="1"/>
  <c r="AO310" i="22"/>
  <c r="AM310" i="22"/>
  <c r="AJ209" i="23"/>
  <c r="AI209" i="23"/>
  <c r="AL209" i="23"/>
  <c r="AL70" i="22"/>
  <c r="AY70" i="22" s="1"/>
  <c r="AJ106" i="23"/>
  <c r="AH106" i="23"/>
  <c r="AK106" i="23"/>
  <c r="AL106" i="23"/>
  <c r="AN138" i="22"/>
  <c r="BZ176" i="22"/>
  <c r="AL109" i="23"/>
  <c r="AM84" i="23"/>
  <c r="AO342" i="22"/>
  <c r="AL342" i="22"/>
  <c r="AM342" i="22"/>
  <c r="AJ127" i="23"/>
  <c r="AL127" i="23"/>
  <c r="AI127" i="23"/>
  <c r="AH127" i="23"/>
  <c r="T84" i="8"/>
  <c r="T79" i="8"/>
  <c r="T74" i="8"/>
  <c r="T81" i="8"/>
  <c r="T78" i="8"/>
  <c r="AN310" i="22"/>
  <c r="AL251" i="23"/>
  <c r="BY158" i="22"/>
  <c r="AZ158" i="22"/>
  <c r="AL329" i="23"/>
  <c r="AO41" i="22"/>
  <c r="BB41" i="22" s="1"/>
  <c r="AM41" i="22"/>
  <c r="AZ41" i="22" s="1"/>
  <c r="AN41" i="22"/>
  <c r="BA41" i="22" s="1"/>
  <c r="BF41" i="22" s="1"/>
  <c r="AJ216" i="23"/>
  <c r="AL216" i="23"/>
  <c r="AH216" i="23"/>
  <c r="S238" i="9"/>
  <c r="T238" i="9" s="1"/>
  <c r="AN238" i="9"/>
  <c r="AF238" i="9" s="1"/>
  <c r="AG238" i="9" s="1"/>
  <c r="AH238" i="9" s="1"/>
  <c r="AK238" i="9" s="1"/>
  <c r="BE169" i="22"/>
  <c r="BM169" i="22" s="1"/>
  <c r="BY169" i="22"/>
  <c r="AZ169" i="22"/>
  <c r="AI296" i="23"/>
  <c r="AM477" i="22"/>
  <c r="AP477" i="22" s="1"/>
  <c r="AO477" i="22"/>
  <c r="BC182" i="22"/>
  <c r="BY182" i="22"/>
  <c r="AZ182" i="22"/>
  <c r="AL257" i="23"/>
  <c r="AM207" i="22"/>
  <c r="AO207" i="22"/>
  <c r="AO39" i="22"/>
  <c r="BB39" i="22" s="1"/>
  <c r="BF39" i="22" s="1"/>
  <c r="AM39" i="22"/>
  <c r="AZ39" i="22" s="1"/>
  <c r="AK39" i="22"/>
  <c r="AN181" i="22"/>
  <c r="AI307" i="23"/>
  <c r="AM261" i="22"/>
  <c r="AO261" i="22"/>
  <c r="AP459" i="22"/>
  <c r="Y128" i="8"/>
  <c r="AJ125" i="23"/>
  <c r="AL125" i="23"/>
  <c r="AH125" i="23"/>
  <c r="AL350" i="22"/>
  <c r="V131" i="8"/>
  <c r="AX131" i="22"/>
  <c r="CB167" i="22"/>
  <c r="BF167" i="22"/>
  <c r="BN167" i="22" s="1"/>
  <c r="K269" i="12"/>
  <c r="K285" i="12" s="1"/>
  <c r="BB167" i="22"/>
  <c r="BF108" i="22"/>
  <c r="BT183" i="22"/>
  <c r="BZ183" i="22"/>
  <c r="AN351" i="22"/>
  <c r="AL351" i="22"/>
  <c r="AM351" i="22"/>
  <c r="AO351" i="22"/>
  <c r="AO150" i="22"/>
  <c r="AM150" i="22"/>
  <c r="AM65" i="22"/>
  <c r="AZ65" i="22" s="1"/>
  <c r="AL65" i="22"/>
  <c r="AY65" i="22" s="1"/>
  <c r="AO65" i="22"/>
  <c r="BB65" i="22" s="1"/>
  <c r="BF65" i="22" s="1"/>
  <c r="AM343" i="22"/>
  <c r="AO343" i="22"/>
  <c r="AY131" i="22"/>
  <c r="W127" i="8"/>
  <c r="AK48" i="22"/>
  <c r="AK315" i="22"/>
  <c r="AJ360" i="23"/>
  <c r="AL360" i="23"/>
  <c r="BF160" i="22"/>
  <c r="BN160" i="22" s="1"/>
  <c r="CB160" i="22"/>
  <c r="J274" i="12"/>
  <c r="J290" i="12" s="1"/>
  <c r="BB160" i="22"/>
  <c r="AO51" i="22"/>
  <c r="BB51" i="22" s="1"/>
  <c r="AM51" i="22"/>
  <c r="AZ51" i="22" s="1"/>
  <c r="AN51" i="22"/>
  <c r="BA51" i="22" s="1"/>
  <c r="BF51" i="22" s="1"/>
  <c r="AK343" i="22"/>
  <c r="AL458" i="22"/>
  <c r="BZ147" i="22"/>
  <c r="AM212" i="22"/>
  <c r="AO212" i="22"/>
  <c r="AN447" i="22"/>
  <c r="AK420" i="22"/>
  <c r="AP136" i="22"/>
  <c r="AX136" i="22"/>
  <c r="AI27" i="28"/>
  <c r="AH29" i="28"/>
  <c r="AH6" i="28" s="1"/>
  <c r="AJ322" i="23"/>
  <c r="AL322" i="23"/>
  <c r="AK76" i="22"/>
  <c r="AW26" i="12"/>
  <c r="AK148" i="9"/>
  <c r="AJ148" i="9"/>
  <c r="AL345" i="22"/>
  <c r="AN507" i="22"/>
  <c r="AJ169" i="23"/>
  <c r="AK169" i="23"/>
  <c r="AI169" i="23"/>
  <c r="AL169" i="23"/>
  <c r="BZ151" i="22"/>
  <c r="AP146" i="22"/>
  <c r="S159" i="8"/>
  <c r="AK131" i="23"/>
  <c r="AP138" i="22"/>
  <c r="AP62" i="22"/>
  <c r="AX62" i="22"/>
  <c r="AP171" i="22"/>
  <c r="R185" i="12"/>
  <c r="AX20" i="22"/>
  <c r="AP20" i="22"/>
  <c r="AM348" i="22"/>
  <c r="AO348" i="22"/>
  <c r="AK348" i="22"/>
  <c r="AJ371" i="23"/>
  <c r="AL371" i="23"/>
  <c r="AO353" i="22"/>
  <c r="AM353" i="22"/>
  <c r="AN353" i="22"/>
  <c r="AK353" i="22"/>
  <c r="AP353" i="22" s="1"/>
  <c r="AJ179" i="23"/>
  <c r="AK179" i="23"/>
  <c r="AH179" i="23"/>
  <c r="G70" i="13"/>
  <c r="G86" i="13"/>
  <c r="AK199" i="23"/>
  <c r="AL392" i="22"/>
  <c r="AY124" i="22"/>
  <c r="D8" i="16"/>
  <c r="D11" i="16"/>
  <c r="D10" i="16" s="1"/>
  <c r="AO463" i="22"/>
  <c r="AM463" i="22"/>
  <c r="AH169" i="23"/>
  <c r="AZ140" i="22"/>
  <c r="BY140" i="22"/>
  <c r="AY25" i="22"/>
  <c r="I105" i="12"/>
  <c r="I9" i="12"/>
  <c r="T184" i="12"/>
  <c r="AK460" i="22"/>
  <c r="AO460" i="22"/>
  <c r="AM460" i="22"/>
  <c r="BY146" i="22"/>
  <c r="AZ146" i="22"/>
  <c r="AN422" i="22"/>
  <c r="AO422" i="22"/>
  <c r="AM422" i="22"/>
  <c r="BC138" i="22"/>
  <c r="BS138" i="22" s="1"/>
  <c r="BE138" i="22"/>
  <c r="BM138" i="22" s="1"/>
  <c r="AZ138" i="22"/>
  <c r="BY138" i="22"/>
  <c r="AK37" i="22"/>
  <c r="AN127" i="22"/>
  <c r="BA127" i="22" s="1"/>
  <c r="AN340" i="22"/>
  <c r="AK149" i="9"/>
  <c r="AJ149" i="9"/>
  <c r="AN227" i="22"/>
  <c r="AM193" i="22"/>
  <c r="AP193" i="22" s="1"/>
  <c r="AO193" i="22"/>
  <c r="S183" i="12"/>
  <c r="AH371" i="23"/>
  <c r="AM371" i="23" s="1"/>
  <c r="AN322" i="22"/>
  <c r="AM9" i="22"/>
  <c r="AZ9" i="22" s="1"/>
  <c r="AO9" i="22"/>
  <c r="BB9" i="22" s="1"/>
  <c r="AN9" i="22"/>
  <c r="BA9" i="22" s="1"/>
  <c r="BF9" i="22" s="1"/>
  <c r="AL9" i="22"/>
  <c r="AY9" i="22" s="1"/>
  <c r="AK340" i="22"/>
  <c r="AH334" i="23"/>
  <c r="AL113" i="23"/>
  <c r="AK407" i="22"/>
  <c r="AI315" i="23"/>
  <c r="AH102" i="23"/>
  <c r="AM78" i="22"/>
  <c r="AZ78" i="22" s="1"/>
  <c r="AO78" i="22"/>
  <c r="BB78" i="22" s="1"/>
  <c r="AH294" i="23"/>
  <c r="AK183" i="22"/>
  <c r="AM250" i="22"/>
  <c r="AO250" i="22"/>
  <c r="BE186" i="22"/>
  <c r="BM186" i="22" s="1"/>
  <c r="BY186" i="22"/>
  <c r="AZ186" i="22"/>
  <c r="BC186" i="22"/>
  <c r="BS186" i="22"/>
  <c r="AO229" i="22"/>
  <c r="AM229" i="22"/>
  <c r="AM500" i="22"/>
  <c r="AP500" i="22" s="1"/>
  <c r="AO500" i="22"/>
  <c r="AY74" i="23"/>
  <c r="AX74" i="23"/>
  <c r="BC74" i="23" s="1"/>
  <c r="P74" i="23"/>
  <c r="AW74" i="23"/>
  <c r="AV74" i="23"/>
  <c r="AU74" i="23"/>
  <c r="BY188" i="22"/>
  <c r="BE188" i="22"/>
  <c r="BM188" i="22" s="1"/>
  <c r="AZ188" i="22"/>
  <c r="AN495" i="22"/>
  <c r="AL399" i="22"/>
  <c r="BZ192" i="22"/>
  <c r="BT192" i="22"/>
  <c r="AO26" i="22"/>
  <c r="BB26" i="22" s="1"/>
  <c r="AM26" i="22"/>
  <c r="AN278" i="22"/>
  <c r="G100" i="16"/>
  <c r="G34" i="18"/>
  <c r="AH301" i="23"/>
  <c r="AM301" i="23" s="1"/>
  <c r="AM196" i="22"/>
  <c r="AO196" i="22"/>
  <c r="AK45" i="22"/>
  <c r="AH286" i="23"/>
  <c r="BC51" i="23"/>
  <c r="AH186" i="23"/>
  <c r="AK312" i="22"/>
  <c r="AK161" i="22"/>
  <c r="AL333" i="22"/>
  <c r="AJ95" i="23"/>
  <c r="AH95" i="23"/>
  <c r="AL95" i="23"/>
  <c r="AN414" i="22"/>
  <c r="AL104" i="23"/>
  <c r="AM104" i="23" s="1"/>
  <c r="AK102" i="22"/>
  <c r="BZ191" i="22"/>
  <c r="AH285" i="23"/>
  <c r="AM285" i="23" s="1"/>
  <c r="AL175" i="23"/>
  <c r="F287" i="12"/>
  <c r="F319" i="12"/>
  <c r="F29" i="12"/>
  <c r="I319" i="12"/>
  <c r="F303" i="12"/>
  <c r="F271" i="12"/>
  <c r="I303" i="12"/>
  <c r="BY190" i="22"/>
  <c r="BC190" i="22"/>
  <c r="AZ190" i="22"/>
  <c r="AJ196" i="23"/>
  <c r="AI196" i="23"/>
  <c r="AL294" i="23"/>
  <c r="AK310" i="22"/>
  <c r="AP310" i="22" s="1"/>
  <c r="AH209" i="23"/>
  <c r="CA143" i="22"/>
  <c r="BU143" i="22"/>
  <c r="AI175" i="23"/>
  <c r="AO269" i="22"/>
  <c r="AM269" i="22"/>
  <c r="AP269" i="22" s="1"/>
  <c r="AM67" i="22"/>
  <c r="AZ67" i="22" s="1"/>
  <c r="AO67" i="22"/>
  <c r="BB67" i="22" s="1"/>
  <c r="BF138" i="22"/>
  <c r="BN138" i="22" s="1"/>
  <c r="CB138" i="22"/>
  <c r="I264" i="12"/>
  <c r="BB138" i="22"/>
  <c r="AL242" i="22"/>
  <c r="AO318" i="22"/>
  <c r="AM318" i="22"/>
  <c r="AP318" i="22" s="1"/>
  <c r="BZ139" i="22"/>
  <c r="R19" i="32"/>
  <c r="R216" i="9"/>
  <c r="BU189" i="22"/>
  <c r="CA189" i="22"/>
  <c r="AL293" i="23"/>
  <c r="AI66" i="23"/>
  <c r="AV66" i="23" s="1"/>
  <c r="AL213" i="23"/>
  <c r="AM213" i="23" s="1"/>
  <c r="P73" i="23"/>
  <c r="AX73" i="23"/>
  <c r="AW73" i="23"/>
  <c r="AV73" i="23"/>
  <c r="AU73" i="23"/>
  <c r="V126" i="8"/>
  <c r="W126" i="8" s="1"/>
  <c r="T50" i="8"/>
  <c r="AN200" i="22"/>
  <c r="AK342" i="22"/>
  <c r="AJ97" i="23"/>
  <c r="AL97" i="23"/>
  <c r="AH97" i="23"/>
  <c r="BY148" i="22"/>
  <c r="AZ148" i="22"/>
  <c r="AK127" i="23"/>
  <c r="R107" i="7"/>
  <c r="AO481" i="22"/>
  <c r="AM481" i="22"/>
  <c r="T150" i="8"/>
  <c r="T19" i="8"/>
  <c r="AK294" i="22"/>
  <c r="AP294" i="22" s="1"/>
  <c r="AN457" i="22"/>
  <c r="AP457" i="22" s="1"/>
  <c r="BZ167" i="22"/>
  <c r="AK41" i="22"/>
  <c r="AN56" i="22"/>
  <c r="BA56" i="22" s="1"/>
  <c r="BF56" i="22" s="1"/>
  <c r="AP149" i="22"/>
  <c r="AJ276" i="23"/>
  <c r="AK276" i="23"/>
  <c r="AL276" i="23"/>
  <c r="AH276" i="23"/>
  <c r="AO58" i="22"/>
  <c r="BB58" i="22" s="1"/>
  <c r="AM58" i="22"/>
  <c r="AZ58" i="22" s="1"/>
  <c r="AK58" i="22"/>
  <c r="AN58" i="22"/>
  <c r="BA58" i="22" s="1"/>
  <c r="BF58" i="22" s="1"/>
  <c r="AM438" i="22"/>
  <c r="AO438" i="22"/>
  <c r="AP438" i="22" s="1"/>
  <c r="S82" i="8"/>
  <c r="T82" i="8" s="1"/>
  <c r="S77" i="8"/>
  <c r="T77" i="8" s="1"/>
  <c r="S84" i="8"/>
  <c r="S79" i="8"/>
  <c r="S74" i="8"/>
  <c r="S81" i="8"/>
  <c r="S75" i="8"/>
  <c r="T75" i="8" s="1"/>
  <c r="S76" i="8"/>
  <c r="T76" i="8" s="1"/>
  <c r="S80" i="8"/>
  <c r="T80" i="8" s="1"/>
  <c r="S78" i="8"/>
  <c r="S83" i="8"/>
  <c r="T83" i="8" s="1"/>
  <c r="AO95" i="22"/>
  <c r="BB95" i="22" s="1"/>
  <c r="AM95" i="22"/>
  <c r="AZ95" i="22" s="1"/>
  <c r="AJ277" i="23"/>
  <c r="AL277" i="23"/>
  <c r="AK277" i="23"/>
  <c r="AH277" i="23"/>
  <c r="AM277" i="23" s="1"/>
  <c r="AM15" i="22"/>
  <c r="AZ15" i="22" s="1"/>
  <c r="AO15" i="22"/>
  <c r="BB15" i="22" s="1"/>
  <c r="AK15" i="22"/>
  <c r="AN15" i="22"/>
  <c r="BA15" i="22" s="1"/>
  <c r="AH10" i="28"/>
  <c r="AH12" i="28" s="1"/>
  <c r="N16" i="12"/>
  <c r="N18" i="12"/>
  <c r="N17" i="12" s="1"/>
  <c r="AO182" i="22"/>
  <c r="AM182" i="22"/>
  <c r="AJ314" i="23"/>
  <c r="AM314" i="23" s="1"/>
  <c r="AK314" i="23"/>
  <c r="AK207" i="22"/>
  <c r="AN461" i="22"/>
  <c r="AM461" i="22"/>
  <c r="AO461" i="22"/>
  <c r="AL306" i="22"/>
  <c r="AN179" i="22"/>
  <c r="AP179" i="22" s="1"/>
  <c r="AL39" i="22"/>
  <c r="AY39" i="22" s="1"/>
  <c r="BB181" i="22"/>
  <c r="BC181" i="22" s="1"/>
  <c r="CB181" i="22"/>
  <c r="L271" i="12"/>
  <c r="L287" i="12" s="1"/>
  <c r="BV181" i="22"/>
  <c r="AM220" i="23"/>
  <c r="AH326" i="23"/>
  <c r="AM326" i="23" s="1"/>
  <c r="AL174" i="23"/>
  <c r="AO373" i="22"/>
  <c r="AM373" i="22"/>
  <c r="AN229" i="22"/>
  <c r="AP229" i="22" s="1"/>
  <c r="BB140" i="22"/>
  <c r="I266" i="12"/>
  <c r="I282" i="12" s="1"/>
  <c r="CB140" i="22"/>
  <c r="AZ45" i="23"/>
  <c r="BA45" i="23" s="1"/>
  <c r="BB45" i="23"/>
  <c r="AM86" i="23"/>
  <c r="AJ123" i="23"/>
  <c r="AH123" i="23"/>
  <c r="AM123" i="23" s="1"/>
  <c r="AI123" i="23"/>
  <c r="AK123" i="23"/>
  <c r="S21" i="32"/>
  <c r="R230" i="9"/>
  <c r="BZ195" i="22"/>
  <c r="AM315" i="23"/>
  <c r="AP307" i="22"/>
  <c r="AM132" i="22"/>
  <c r="AZ132" i="22" s="1"/>
  <c r="AO132" i="22"/>
  <c r="BB132" i="22" s="1"/>
  <c r="AJ154" i="23"/>
  <c r="AI154" i="23"/>
  <c r="AK154" i="23"/>
  <c r="AM264" i="22"/>
  <c r="AO264" i="22"/>
  <c r="AV76" i="23"/>
  <c r="AW76" i="23"/>
  <c r="P76" i="23"/>
  <c r="AW28" i="12"/>
  <c r="AW30" i="12"/>
  <c r="AW31" i="12"/>
  <c r="AW29" i="12"/>
  <c r="AJ323" i="23"/>
  <c r="AK323" i="23"/>
  <c r="R18" i="32"/>
  <c r="R215" i="9"/>
  <c r="W30" i="8"/>
  <c r="AK241" i="22"/>
  <c r="AY74" i="22"/>
  <c r="AX50" i="22"/>
  <c r="AP50" i="22"/>
  <c r="P23" i="8"/>
  <c r="CB145" i="22"/>
  <c r="I271" i="12"/>
  <c r="I287" i="12" s="1"/>
  <c r="BB145" i="22"/>
  <c r="AH317" i="23"/>
  <c r="BY191" i="22"/>
  <c r="AZ191" i="22"/>
  <c r="AL185" i="22"/>
  <c r="AI174" i="23"/>
  <c r="AM243" i="22"/>
  <c r="AO243" i="22"/>
  <c r="AN243" i="22"/>
  <c r="AY49" i="22"/>
  <c r="AX69" i="23"/>
  <c r="BC69" i="23" s="1"/>
  <c r="AW69" i="23"/>
  <c r="AV69" i="23"/>
  <c r="P69" i="23"/>
  <c r="AY69" i="23"/>
  <c r="AU69" i="23"/>
  <c r="AO218" i="22"/>
  <c r="AM218" i="22"/>
  <c r="AN217" i="9"/>
  <c r="AF217" i="9" s="1"/>
  <c r="AG217" i="9" s="1"/>
  <c r="AH217" i="9" s="1"/>
  <c r="AK217" i="9" s="1"/>
  <c r="S217" i="9"/>
  <c r="T217" i="9" s="1"/>
  <c r="AM304" i="22"/>
  <c r="AO304" i="22"/>
  <c r="AJ351" i="23"/>
  <c r="AK351" i="23"/>
  <c r="AL351" i="23"/>
  <c r="AM113" i="23"/>
  <c r="AJ159" i="23"/>
  <c r="AM159" i="23" s="1"/>
  <c r="AI159" i="23"/>
  <c r="AM215" i="22"/>
  <c r="AN215" i="22"/>
  <c r="AO215" i="22"/>
  <c r="AL303" i="22"/>
  <c r="AP303" i="22" s="1"/>
  <c r="AJ100" i="23"/>
  <c r="AK100" i="23"/>
  <c r="AL100" i="23"/>
  <c r="AO362" i="22"/>
  <c r="AM362" i="22"/>
  <c r="AM83" i="22"/>
  <c r="AZ83" i="22" s="1"/>
  <c r="AO83" i="22"/>
  <c r="BB83" i="22" s="1"/>
  <c r="BF83" i="22" s="1"/>
  <c r="AK504" i="22"/>
  <c r="AJ67" i="23"/>
  <c r="AW67" i="23" s="1"/>
  <c r="AI67" i="23"/>
  <c r="AV67" i="23" s="1"/>
  <c r="AK67" i="23"/>
  <c r="AX67" i="23" s="1"/>
  <c r="BC67" i="23" s="1"/>
  <c r="AH67" i="23"/>
  <c r="AM81" i="22"/>
  <c r="AZ81" i="22" s="1"/>
  <c r="AO81" i="22"/>
  <c r="BB81" i="22" s="1"/>
  <c r="BF81" i="22" s="1"/>
  <c r="AJ190" i="23"/>
  <c r="AH190" i="23"/>
  <c r="AM190" i="23" s="1"/>
  <c r="AP299" i="22"/>
  <c r="AK24" i="22"/>
  <c r="S164" i="8"/>
  <c r="AJ135" i="23"/>
  <c r="AH135" i="23"/>
  <c r="AH232" i="23"/>
  <c r="V124" i="8"/>
  <c r="CC199" i="22"/>
  <c r="T15" i="32"/>
  <c r="R236" i="9"/>
  <c r="AM21" i="22"/>
  <c r="AZ21" i="22" s="1"/>
  <c r="AO21" i="22"/>
  <c r="BB21" i="22" s="1"/>
  <c r="AN21" i="22"/>
  <c r="BA21" i="22" s="1"/>
  <c r="AN61" i="22"/>
  <c r="AM412" i="22"/>
  <c r="AO412" i="22"/>
  <c r="AO92" i="22"/>
  <c r="BB92" i="22" s="1"/>
  <c r="BF92" i="22" s="1"/>
  <c r="AM92" i="22"/>
  <c r="AZ92" i="22" s="1"/>
  <c r="V130" i="8"/>
  <c r="AH188" i="23"/>
  <c r="AM288" i="22"/>
  <c r="AL288" i="22"/>
  <c r="AO288" i="22"/>
  <c r="AN205" i="22"/>
  <c r="AM205" i="22"/>
  <c r="AO205" i="22"/>
  <c r="BZ140" i="22"/>
  <c r="AN374" i="22"/>
  <c r="BE194" i="22"/>
  <c r="BM194" i="22" s="1"/>
  <c r="BZ159" i="22"/>
  <c r="AL349" i="22"/>
  <c r="X149" i="8"/>
  <c r="AL390" i="22"/>
  <c r="AN122" i="22"/>
  <c r="BA122" i="22" s="1"/>
  <c r="AK92" i="22"/>
  <c r="AM302" i="23"/>
  <c r="AP428" i="22"/>
  <c r="AL106" i="22"/>
  <c r="AO106" i="22"/>
  <c r="BB106" i="22" s="1"/>
  <c r="BF106" i="22" s="1"/>
  <c r="AM106" i="22"/>
  <c r="AZ106" i="22" s="1"/>
  <c r="AL347" i="23"/>
  <c r="AN371" i="22"/>
  <c r="U123" i="8"/>
  <c r="AO462" i="22"/>
  <c r="AM462" i="22"/>
  <c r="AP462" i="22" s="1"/>
  <c r="F5" i="16"/>
  <c r="E6" i="16"/>
  <c r="AZ184" i="22"/>
  <c r="BY184" i="22"/>
  <c r="AL212" i="22"/>
  <c r="AP212" i="22" s="1"/>
  <c r="AJ282" i="23"/>
  <c r="AK282" i="23"/>
  <c r="CC143" i="22"/>
  <c r="AP463" i="22"/>
  <c r="AK237" i="22"/>
  <c r="AO237" i="22"/>
  <c r="AM237" i="22"/>
  <c r="AO140" i="22"/>
  <c r="AM140" i="22"/>
  <c r="AJ177" i="23"/>
  <c r="AI177" i="23"/>
  <c r="AL177" i="23"/>
  <c r="AK147" i="22"/>
  <c r="AN147" i="22"/>
  <c r="AM147" i="22"/>
  <c r="AO147" i="22"/>
  <c r="BZ145" i="22"/>
  <c r="BT145" i="22"/>
  <c r="AO258" i="22"/>
  <c r="AM258" i="22"/>
  <c r="BZ148" i="22"/>
  <c r="AO97" i="22"/>
  <c r="BB97" i="22" s="1"/>
  <c r="AM97" i="22"/>
  <c r="AZ97" i="22" s="1"/>
  <c r="AI93" i="23"/>
  <c r="AM93" i="23" s="1"/>
  <c r="AJ299" i="23"/>
  <c r="AK299" i="23"/>
  <c r="AJ77" i="23"/>
  <c r="AK77" i="23"/>
  <c r="AI77" i="23"/>
  <c r="AJ176" i="23"/>
  <c r="AH176" i="23"/>
  <c r="AN508" i="22"/>
  <c r="AJ75" i="23"/>
  <c r="AW75" i="23" s="1"/>
  <c r="AL75" i="23"/>
  <c r="AY75" i="23" s="1"/>
  <c r="AO260" i="22"/>
  <c r="AM260" i="22"/>
  <c r="AP260" i="22" s="1"/>
  <c r="AJ297" i="23"/>
  <c r="AL297" i="23"/>
  <c r="AM297" i="23" s="1"/>
  <c r="AK9" i="22"/>
  <c r="AI135" i="23"/>
  <c r="AN115" i="22"/>
  <c r="BA115" i="22" s="1"/>
  <c r="BF115" i="22" s="1"/>
  <c r="BB51" i="23"/>
  <c r="AZ51" i="23"/>
  <c r="BA51" i="23" s="1"/>
  <c r="V206" i="22"/>
  <c r="AN316" i="22"/>
  <c r="AM316" i="22"/>
  <c r="AO316" i="22"/>
  <c r="AK139" i="23"/>
  <c r="AX78" i="22"/>
  <c r="BY183" i="22"/>
  <c r="BC183" i="22"/>
  <c r="BV183" i="22" s="1"/>
  <c r="AZ183" i="22"/>
  <c r="AM293" i="22"/>
  <c r="AO293" i="22"/>
  <c r="AN293" i="22"/>
  <c r="AP293" i="22" s="1"/>
  <c r="AM243" i="23"/>
  <c r="AJ173" i="23"/>
  <c r="AM173" i="23" s="1"/>
  <c r="AI173" i="23"/>
  <c r="AK186" i="22"/>
  <c r="AP186" i="22" s="1"/>
  <c r="AI178" i="23"/>
  <c r="AM178" i="23" s="1"/>
  <c r="V198" i="22"/>
  <c r="AK178" i="23"/>
  <c r="AM354" i="22"/>
  <c r="AO354" i="22"/>
  <c r="AL208" i="22"/>
  <c r="AK318" i="23"/>
  <c r="AO223" i="22"/>
  <c r="AM223" i="22"/>
  <c r="AI47" i="23"/>
  <c r="AV47" i="23" s="1"/>
  <c r="AL412" i="22"/>
  <c r="AN141" i="22"/>
  <c r="AX26" i="22"/>
  <c r="AN258" i="22"/>
  <c r="AL348" i="22"/>
  <c r="AK196" i="22"/>
  <c r="AP196" i="22" s="1"/>
  <c r="AN474" i="22"/>
  <c r="AK165" i="9"/>
  <c r="AJ165" i="9"/>
  <c r="AI64" i="23"/>
  <c r="AV64" i="23" s="1"/>
  <c r="AK176" i="23"/>
  <c r="BV156" i="22"/>
  <c r="BF156" i="22"/>
  <c r="BN156" i="22" s="1"/>
  <c r="CB156" i="22"/>
  <c r="J270" i="12"/>
  <c r="J286" i="12" s="1"/>
  <c r="BB156" i="22"/>
  <c r="BY161" i="22"/>
  <c r="BE161" i="22"/>
  <c r="BM161" i="22" s="1"/>
  <c r="BC161" i="22"/>
  <c r="AZ161" i="22"/>
  <c r="AN221" i="22"/>
  <c r="AH350" i="23"/>
  <c r="AM350" i="23" s="1"/>
  <c r="AN218" i="22"/>
  <c r="AL215" i="23"/>
  <c r="AL191" i="22"/>
  <c r="V188" i="22"/>
  <c r="AL335" i="23"/>
  <c r="AM196" i="23"/>
  <c r="AL31" i="22"/>
  <c r="AY31" i="22" s="1"/>
  <c r="AL467" i="22"/>
  <c r="AP467" i="22" s="1"/>
  <c r="BC143" i="22"/>
  <c r="AM501" i="22"/>
  <c r="AK501" i="22"/>
  <c r="AP501" i="22" s="1"/>
  <c r="AO501" i="22"/>
  <c r="AX67" i="22"/>
  <c r="AI347" i="23"/>
  <c r="AP40" i="22"/>
  <c r="AX40" i="22"/>
  <c r="AI106" i="23"/>
  <c r="AJ168" i="23"/>
  <c r="AL168" i="23"/>
  <c r="AH168" i="23"/>
  <c r="AI168" i="23"/>
  <c r="BY199" i="22"/>
  <c r="AZ199" i="22"/>
  <c r="AM209" i="22"/>
  <c r="AP209" i="22" s="1"/>
  <c r="AO209" i="22"/>
  <c r="AM363" i="22"/>
  <c r="AO363" i="22"/>
  <c r="AL363" i="22"/>
  <c r="AP363" i="22" s="1"/>
  <c r="T31" i="8"/>
  <c r="T37" i="8" s="1"/>
  <c r="AK91" i="23"/>
  <c r="BF12" i="22"/>
  <c r="AJ98" i="23"/>
  <c r="AL98" i="23"/>
  <c r="AI98" i="23"/>
  <c r="AM98" i="23" s="1"/>
  <c r="AJ210" i="23"/>
  <c r="AM210" i="23" s="1"/>
  <c r="AL210" i="23"/>
  <c r="S163" i="8"/>
  <c r="AO216" i="22"/>
  <c r="AM216" i="22"/>
  <c r="AP216" i="22" s="1"/>
  <c r="AL429" i="22"/>
  <c r="AP429" i="22" s="1"/>
  <c r="AL223" i="23"/>
  <c r="AP481" i="22"/>
  <c r="AJ344" i="23"/>
  <c r="AL344" i="23"/>
  <c r="AO128" i="22"/>
  <c r="BB128" i="22" s="1"/>
  <c r="AM128" i="22"/>
  <c r="AZ128" i="22" s="1"/>
  <c r="AN347" i="22"/>
  <c r="AO347" i="22"/>
  <c r="AM347" i="22"/>
  <c r="AP347" i="22" s="1"/>
  <c r="AM408" i="22"/>
  <c r="AP408" i="22" s="1"/>
  <c r="AO408" i="22"/>
  <c r="AL335" i="22"/>
  <c r="AL292" i="23"/>
  <c r="BB174" i="22"/>
  <c r="CB174" i="22"/>
  <c r="L264" i="12"/>
  <c r="AI373" i="23"/>
  <c r="AL161" i="22"/>
  <c r="AN272" i="22"/>
  <c r="AM381" i="22"/>
  <c r="AP381" i="22" s="1"/>
  <c r="AO381" i="22"/>
  <c r="AN381" i="22"/>
  <c r="BC29" i="22"/>
  <c r="BD29" i="22" s="1"/>
  <c r="BE29" i="22"/>
  <c r="AJ92" i="23"/>
  <c r="AH92" i="23"/>
  <c r="AI92" i="23"/>
  <c r="AN490" i="22"/>
  <c r="AJ336" i="23"/>
  <c r="AL336" i="23"/>
  <c r="AN241" i="22"/>
  <c r="AM169" i="22"/>
  <c r="AP169" i="22" s="1"/>
  <c r="AO169" i="22"/>
  <c r="AN169" i="22"/>
  <c r="S150" i="8"/>
  <c r="S19" i="8"/>
  <c r="AL492" i="22"/>
  <c r="AX95" i="22"/>
  <c r="AP95" i="22"/>
  <c r="AL36" i="22"/>
  <c r="S186" i="12"/>
  <c r="AM285" i="22"/>
  <c r="AO285" i="22"/>
  <c r="AJ163" i="23"/>
  <c r="AI163" i="23"/>
  <c r="AL163" i="23"/>
  <c r="AO90" i="22"/>
  <c r="BB90" i="22" s="1"/>
  <c r="AM90" i="22"/>
  <c r="AZ90" i="22" s="1"/>
  <c r="N61" i="12"/>
  <c r="N151" i="12" s="1"/>
  <c r="N56" i="12"/>
  <c r="N60" i="12"/>
  <c r="N55" i="12"/>
  <c r="N59" i="12"/>
  <c r="N149" i="12" s="1"/>
  <c r="N62" i="12"/>
  <c r="N152" i="12" s="1"/>
  <c r="N57" i="12"/>
  <c r="N64" i="12"/>
  <c r="N154" i="12" s="1"/>
  <c r="N54" i="12"/>
  <c r="N70" i="12" s="1"/>
  <c r="N58" i="12"/>
  <c r="N148" i="12" s="1"/>
  <c r="N63" i="12"/>
  <c r="AP182" i="22"/>
  <c r="AN24" i="22"/>
  <c r="BA24" i="22" s="1"/>
  <c r="BF24" i="22" s="1"/>
  <c r="AP461" i="22"/>
  <c r="I322" i="12"/>
  <c r="F32" i="12"/>
  <c r="F290" i="12"/>
  <c r="F322" i="12"/>
  <c r="F306" i="12"/>
  <c r="F274" i="12"/>
  <c r="I306" i="12"/>
  <c r="AP121" i="22"/>
  <c r="BF179" i="22"/>
  <c r="BN179" i="22" s="1"/>
  <c r="CB179" i="22"/>
  <c r="L269" i="12"/>
  <c r="L285" i="12" s="1"/>
  <c r="BB179" i="22"/>
  <c r="N137" i="12"/>
  <c r="AW40" i="12"/>
  <c r="O47" i="12"/>
  <c r="AK261" i="22"/>
  <c r="AP261" i="22" s="1"/>
  <c r="CC166" i="22"/>
  <c r="AN140" i="22"/>
  <c r="AN102" i="22"/>
  <c r="BA102" i="22" s="1"/>
  <c r="BF102" i="22" s="1"/>
  <c r="AK172" i="23"/>
  <c r="AP291" i="22"/>
  <c r="AO430" i="22"/>
  <c r="AM430" i="22"/>
  <c r="T18" i="32"/>
  <c r="R239" i="9"/>
  <c r="AJ341" i="23"/>
  <c r="AL341" i="23"/>
  <c r="AK341" i="23"/>
  <c r="AJ116" i="23"/>
  <c r="AL116" i="23"/>
  <c r="AO368" i="22"/>
  <c r="AM368" i="22"/>
  <c r="AP300" i="22"/>
  <c r="AM89" i="23"/>
  <c r="AP498" i="22"/>
  <c r="AO133" i="22"/>
  <c r="BB133" i="22" s="1"/>
  <c r="AN133" i="22"/>
  <c r="BA133" i="22" s="1"/>
  <c r="BF133" i="22" s="1"/>
  <c r="AM133" i="22"/>
  <c r="AZ133" i="22" s="1"/>
  <c r="R194" i="12"/>
  <c r="AK430" i="22"/>
  <c r="AP430" i="22" s="1"/>
  <c r="AK447" i="22"/>
  <c r="AM424" i="22"/>
  <c r="AO424" i="22"/>
  <c r="AK490" i="22"/>
  <c r="BE160" i="22"/>
  <c r="BM160" i="22" s="1"/>
  <c r="BC160" i="22"/>
  <c r="BT160" i="22" s="1"/>
  <c r="BY160" i="22"/>
  <c r="AZ160" i="22"/>
  <c r="G102" i="16"/>
  <c r="G36" i="18"/>
  <c r="G37" i="19"/>
  <c r="CB185" i="22"/>
  <c r="BF185" i="22"/>
  <c r="BN185" i="22" s="1"/>
  <c r="L275" i="12"/>
  <c r="L291" i="12" s="1"/>
  <c r="BB185" i="22"/>
  <c r="G59" i="16"/>
  <c r="H50" i="16"/>
  <c r="I50" i="16"/>
  <c r="AK107" i="22"/>
  <c r="AM386" i="22"/>
  <c r="AO386" i="22"/>
  <c r="AL386" i="22"/>
  <c r="AN343" i="22"/>
  <c r="AK99" i="22"/>
  <c r="AM99" i="22"/>
  <c r="AZ99" i="22" s="1"/>
  <c r="AO99" i="22"/>
  <c r="BB99" i="22" s="1"/>
  <c r="AM405" i="22"/>
  <c r="AO405" i="22"/>
  <c r="AM416" i="22"/>
  <c r="AO416" i="22"/>
  <c r="BZ162" i="22"/>
  <c r="BF79" i="22"/>
  <c r="AP284" i="22"/>
  <c r="BT149" i="22"/>
  <c r="BZ149" i="22"/>
  <c r="AL96" i="22"/>
  <c r="AY96" i="22" s="1"/>
  <c r="V189" i="22"/>
  <c r="AM180" i="23"/>
  <c r="AJ70" i="23"/>
  <c r="AH70" i="23"/>
  <c r="AL70" i="23"/>
  <c r="AY70" i="23" s="1"/>
  <c r="P201" i="12"/>
  <c r="O201" i="12"/>
  <c r="AO232" i="22"/>
  <c r="AM232" i="22"/>
  <c r="AK331" i="23"/>
  <c r="CB188" i="22"/>
  <c r="BB188" i="22"/>
  <c r="BF188" i="22" s="1"/>
  <c r="BN188" i="22" s="1"/>
  <c r="M266" i="12"/>
  <c r="M282" i="12" s="1"/>
  <c r="BE33" i="22"/>
  <c r="CB148" i="22"/>
  <c r="BB148" i="22"/>
  <c r="BF148" i="22" s="1"/>
  <c r="BN148" i="22" s="1"/>
  <c r="I274" i="12"/>
  <c r="I290" i="12" s="1"/>
  <c r="J224" i="12"/>
  <c r="J324" i="12" s="1"/>
  <c r="J223" i="12"/>
  <c r="AL355" i="22"/>
  <c r="AP355" i="22" s="1"/>
  <c r="AN70" i="22"/>
  <c r="BA70" i="22" s="1"/>
  <c r="AH316" i="23"/>
  <c r="AL509" i="22"/>
  <c r="AK509" i="22"/>
  <c r="AO509" i="22"/>
  <c r="AM509" i="22"/>
  <c r="AL56" i="23"/>
  <c r="AY56" i="23" s="1"/>
  <c r="AJ56" i="23"/>
  <c r="AW56" i="23" s="1"/>
  <c r="AK56" i="23"/>
  <c r="AX56" i="23" s="1"/>
  <c r="AI56" i="23"/>
  <c r="AM94" i="23"/>
  <c r="W49" i="8"/>
  <c r="CB162" i="22"/>
  <c r="K264" i="12"/>
  <c r="BB162" i="22"/>
  <c r="BC162" i="22" s="1"/>
  <c r="AJ150" i="23"/>
  <c r="AI150" i="23"/>
  <c r="AM150" i="23" s="1"/>
  <c r="AL150" i="23"/>
  <c r="AK232" i="22"/>
  <c r="AM80" i="22"/>
  <c r="AZ80" i="22" s="1"/>
  <c r="AL80" i="22"/>
  <c r="AY80" i="22" s="1"/>
  <c r="AO80" i="22"/>
  <c r="BB80" i="22" s="1"/>
  <c r="AM162" i="22"/>
  <c r="AO162" i="22"/>
  <c r="AP162" i="22" s="1"/>
  <c r="AH281" i="23"/>
  <c r="AM281" i="23" s="1"/>
  <c r="AK468" i="22"/>
  <c r="AN387" i="22"/>
  <c r="CC180" i="22"/>
  <c r="BW180" i="22"/>
  <c r="AJ372" i="23"/>
  <c r="AL372" i="23"/>
  <c r="AK372" i="23"/>
  <c r="AK35" i="22"/>
  <c r="AL178" i="23"/>
  <c r="AK49" i="22"/>
  <c r="AN302" i="22"/>
  <c r="CB186" i="22"/>
  <c r="M264" i="12"/>
  <c r="BB186" i="22"/>
  <c r="BF186" i="22" s="1"/>
  <c r="BN186" i="22" s="1"/>
  <c r="X29" i="8"/>
  <c r="AZ194" i="22"/>
  <c r="AM483" i="22"/>
  <c r="AO483" i="22"/>
  <c r="BT138" i="22"/>
  <c r="BZ138" i="22"/>
  <c r="AL499" i="22"/>
  <c r="AN336" i="22"/>
  <c r="AI151" i="23"/>
  <c r="AK314" i="22"/>
  <c r="AM152" i="22"/>
  <c r="AO152" i="22"/>
  <c r="AM74" i="22"/>
  <c r="AZ74" i="22" s="1"/>
  <c r="AO74" i="22"/>
  <c r="BB74" i="22" s="1"/>
  <c r="BF74" i="22" s="1"/>
  <c r="AJ355" i="23"/>
  <c r="AL355" i="23"/>
  <c r="BF180" i="22"/>
  <c r="BN180" i="22" s="1"/>
  <c r="AH96" i="23"/>
  <c r="AM206" i="22"/>
  <c r="AO206" i="22"/>
  <c r="AL24" i="22"/>
  <c r="AY24" i="22" s="1"/>
  <c r="S157" i="8"/>
  <c r="AK152" i="22"/>
  <c r="AP152" i="22" s="1"/>
  <c r="Q26" i="32"/>
  <c r="AK21" i="22"/>
  <c r="AO176" i="22"/>
  <c r="AM176" i="22"/>
  <c r="AL241" i="22"/>
  <c r="AK311" i="23"/>
  <c r="AK158" i="9"/>
  <c r="AJ158" i="9"/>
  <c r="AH61" i="23"/>
  <c r="AM244" i="23"/>
  <c r="BZ160" i="22"/>
  <c r="AY117" i="22"/>
  <c r="AO8" i="22"/>
  <c r="BB8" i="22" s="1"/>
  <c r="AN8" i="22"/>
  <c r="BA8" i="22" s="1"/>
  <c r="AM8" i="22"/>
  <c r="AZ8" i="22" s="1"/>
  <c r="F291" i="12"/>
  <c r="F275" i="12"/>
  <c r="F33" i="12"/>
  <c r="F323" i="12"/>
  <c r="I323" i="12"/>
  <c r="F307" i="12"/>
  <c r="I307" i="12"/>
  <c r="AK7" i="22"/>
  <c r="AM164" i="22"/>
  <c r="AO164" i="22"/>
  <c r="AK164" i="22"/>
  <c r="AP164" i="22" s="1"/>
  <c r="T45" i="8"/>
  <c r="AJ369" i="23"/>
  <c r="AM369" i="23" s="1"/>
  <c r="AL369" i="23"/>
  <c r="AJ111" i="23"/>
  <c r="AI111" i="23"/>
  <c r="AH111" i="23"/>
  <c r="AK111" i="23"/>
  <c r="AP145" i="22"/>
  <c r="BF169" i="22"/>
  <c r="BN169" i="22" s="1"/>
  <c r="S181" i="12"/>
  <c r="AI292" i="23"/>
  <c r="AP443" i="22"/>
  <c r="AO22" i="22"/>
  <c r="BB22" i="22" s="1"/>
  <c r="BF22" i="22" s="1"/>
  <c r="AM22" i="22"/>
  <c r="U130" i="8"/>
  <c r="AM113" i="22"/>
  <c r="AO113" i="22"/>
  <c r="BB113" i="22" s="1"/>
  <c r="AL220" i="22"/>
  <c r="AK288" i="22"/>
  <c r="AP288" i="22" s="1"/>
  <c r="AL18" i="22"/>
  <c r="AY18" i="22" s="1"/>
  <c r="AO234" i="22"/>
  <c r="AM234" i="22"/>
  <c r="AJ325" i="23"/>
  <c r="AM325" i="23" s="1"/>
  <c r="AL325" i="23"/>
  <c r="AJ237" i="23"/>
  <c r="AL237" i="23"/>
  <c r="AI237" i="23"/>
  <c r="AK96" i="23"/>
  <c r="BZ175" i="22"/>
  <c r="AK236" i="23"/>
  <c r="AL264" i="22"/>
  <c r="AP264" i="22" s="1"/>
  <c r="AM184" i="22"/>
  <c r="AO184" i="22"/>
  <c r="AM167" i="22"/>
  <c r="AP167" i="22" s="1"/>
  <c r="AO167" i="22"/>
  <c r="AM263" i="23"/>
  <c r="BF143" i="22"/>
  <c r="BN143" i="22" s="1"/>
  <c r="AY72" i="22"/>
  <c r="CC144" i="22"/>
  <c r="AN483" i="22"/>
  <c r="AK140" i="22"/>
  <c r="AP140" i="22" s="1"/>
  <c r="V129" i="8"/>
  <c r="CB153" i="22"/>
  <c r="BV153" i="22"/>
  <c r="BF153" i="22"/>
  <c r="BN153" i="22" s="1"/>
  <c r="J267" i="12"/>
  <c r="J283" i="12" s="1"/>
  <c r="BB153" i="22"/>
  <c r="R22" i="32"/>
  <c r="R219" i="9"/>
  <c r="AH177" i="23"/>
  <c r="AJ234" i="23"/>
  <c r="AH234" i="23"/>
  <c r="AL234" i="23"/>
  <c r="AX105" i="22"/>
  <c r="AK258" i="22"/>
  <c r="AP258" i="22" s="1"/>
  <c r="AK97" i="22"/>
  <c r="AJ136" i="23"/>
  <c r="AI136" i="23"/>
  <c r="AL136" i="23"/>
  <c r="AK136" i="23"/>
  <c r="AM469" i="22"/>
  <c r="AO469" i="22"/>
  <c r="AL440" i="22"/>
  <c r="AL168" i="22"/>
  <c r="AX72" i="22"/>
  <c r="AP72" i="22"/>
  <c r="AM75" i="23"/>
  <c r="AL483" i="22"/>
  <c r="AJ181" i="9"/>
  <c r="AK181" i="9"/>
  <c r="AZ193" i="22"/>
  <c r="BY193" i="22"/>
  <c r="BE193" i="22"/>
  <c r="BM193" i="22" s="1"/>
  <c r="BC193" i="22"/>
  <c r="AO277" i="22"/>
  <c r="AM277" i="22"/>
  <c r="AL356" i="22"/>
  <c r="AJ279" i="23"/>
  <c r="AH279" i="23"/>
  <c r="AL279" i="23"/>
  <c r="AL110" i="23"/>
  <c r="AJ290" i="23"/>
  <c r="AM290" i="23" s="1"/>
  <c r="AL290" i="23"/>
  <c r="B10" i="16"/>
  <c r="AO282" i="22"/>
  <c r="AM282" i="22"/>
  <c r="AL163" i="22"/>
  <c r="AX75" i="22"/>
  <c r="AK144" i="23"/>
  <c r="BA28" i="22"/>
  <c r="AL451" i="22"/>
  <c r="AJ324" i="23"/>
  <c r="AM324" i="23" s="1"/>
  <c r="AL324" i="23"/>
  <c r="AI376" i="23"/>
  <c r="BA78" i="22"/>
  <c r="AP250" i="22"/>
  <c r="AO497" i="22"/>
  <c r="AM497" i="22"/>
  <c r="AP497" i="22" s="1"/>
  <c r="AJ189" i="23"/>
  <c r="AI189" i="23"/>
  <c r="AM189" i="23" s="1"/>
  <c r="AL189" i="23"/>
  <c r="AL206" i="22"/>
  <c r="AP223" i="22"/>
  <c r="CB141" i="22"/>
  <c r="BB141" i="22"/>
  <c r="I267" i="12"/>
  <c r="I283" i="12" s="1"/>
  <c r="AO333" i="22"/>
  <c r="AM333" i="22"/>
  <c r="AL151" i="23"/>
  <c r="BT181" i="22"/>
  <c r="BZ181" i="22"/>
  <c r="AL254" i="22"/>
  <c r="AJ266" i="23"/>
  <c r="AH266" i="23"/>
  <c r="AL266" i="23"/>
  <c r="CC147" i="22"/>
  <c r="BW147" i="22"/>
  <c r="AN245" i="22"/>
  <c r="AX100" i="22"/>
  <c r="AP100" i="22"/>
  <c r="AL397" i="22"/>
  <c r="AP397" i="22" s="1"/>
  <c r="AK256" i="23"/>
  <c r="S14" i="32"/>
  <c r="R223" i="9"/>
  <c r="AL469" i="22"/>
  <c r="AP464" i="22"/>
  <c r="BC149" i="22"/>
  <c r="AN388" i="22"/>
  <c r="AM74" i="23"/>
  <c r="AP233" i="22"/>
  <c r="AN199" i="22"/>
  <c r="AM199" i="22"/>
  <c r="AO199" i="22"/>
  <c r="AP199" i="22" s="1"/>
  <c r="AJ249" i="23"/>
  <c r="AM249" i="23" s="1"/>
  <c r="AL249" i="23"/>
  <c r="AP445" i="22"/>
  <c r="AJ349" i="23"/>
  <c r="AM349" i="23" s="1"/>
  <c r="AL349" i="23"/>
  <c r="S204" i="9"/>
  <c r="T204" i="9" s="1"/>
  <c r="AN204" i="9"/>
  <c r="AF204" i="9" s="1"/>
  <c r="AG204" i="9" s="1"/>
  <c r="AH204" i="9" s="1"/>
  <c r="AK204" i="9" s="1"/>
  <c r="AM235" i="22"/>
  <c r="AP235" i="22" s="1"/>
  <c r="AO235" i="22"/>
  <c r="AM295" i="23"/>
  <c r="AX110" i="22"/>
  <c r="AP110" i="22"/>
  <c r="T48" i="8"/>
  <c r="V199" i="22"/>
  <c r="AL385" i="22"/>
  <c r="AM98" i="22"/>
  <c r="AZ98" i="22" s="1"/>
  <c r="AK98" i="22"/>
  <c r="AN98" i="22"/>
  <c r="BA98" i="22" s="1"/>
  <c r="AO98" i="22"/>
  <c r="BB98" i="22" s="1"/>
  <c r="AL176" i="23"/>
  <c r="AO148" i="22"/>
  <c r="AM148" i="22"/>
  <c r="AP148" i="22" s="1"/>
  <c r="AJ217" i="23"/>
  <c r="AL217" i="23"/>
  <c r="AH217" i="23"/>
  <c r="AI217" i="23"/>
  <c r="AK294" i="23"/>
  <c r="AI355" i="23"/>
  <c r="AM224" i="23"/>
  <c r="AM361" i="22"/>
  <c r="AP361" i="22" s="1"/>
  <c r="AN361" i="22"/>
  <c r="AO361" i="22"/>
  <c r="AL230" i="22"/>
  <c r="AO366" i="22"/>
  <c r="AM366" i="22"/>
  <c r="G69" i="16"/>
  <c r="G66" i="16"/>
  <c r="G71" i="16"/>
  <c r="G74" i="16"/>
  <c r="G68" i="16"/>
  <c r="G67" i="16"/>
  <c r="G72" i="16"/>
  <c r="AL8" i="22"/>
  <c r="BZ161" i="22"/>
  <c r="AO402" i="22"/>
  <c r="AM402" i="22"/>
  <c r="AL155" i="22"/>
  <c r="AK97" i="23"/>
  <c r="AP29" i="22"/>
  <c r="AN159" i="22"/>
  <c r="AL494" i="22"/>
  <c r="AP494" i="22" s="1"/>
  <c r="AM336" i="23"/>
  <c r="AL81" i="22"/>
  <c r="AY81" i="22" s="1"/>
  <c r="O73" i="12"/>
  <c r="AJ239" i="23"/>
  <c r="AL239" i="23"/>
  <c r="AI239" i="23"/>
  <c r="AL167" i="23"/>
  <c r="AY58" i="22"/>
  <c r="S58" i="8"/>
  <c r="S69" i="8" s="1"/>
  <c r="S65" i="8"/>
  <c r="S60" i="8"/>
  <c r="S67" i="8"/>
  <c r="S62" i="8"/>
  <c r="S64" i="8"/>
  <c r="S63" i="8"/>
  <c r="S59" i="8"/>
  <c r="S68" i="8"/>
  <c r="S66" i="8"/>
  <c r="S61" i="8"/>
  <c r="AP285" i="22"/>
  <c r="AL340" i="22"/>
  <c r="AP90" i="22"/>
  <c r="AX90" i="22"/>
  <c r="AN238" i="22"/>
  <c r="AK293" i="23"/>
  <c r="CB170" i="22"/>
  <c r="BB170" i="22"/>
  <c r="K272" i="12"/>
  <c r="K288" i="12" s="1"/>
  <c r="BE121" i="22"/>
  <c r="BC121" i="22"/>
  <c r="BD121" i="22" s="1"/>
  <c r="BZ197" i="22"/>
  <c r="AM295" i="22"/>
  <c r="AO295" i="22"/>
  <c r="AL184" i="22"/>
  <c r="AO480" i="22"/>
  <c r="AM480" i="22"/>
  <c r="AJ88" i="23"/>
  <c r="AL88" i="23"/>
  <c r="AI88" i="23"/>
  <c r="AP373" i="22"/>
  <c r="AI125" i="23"/>
  <c r="AX93" i="22"/>
  <c r="V179" i="12"/>
  <c r="BY195" i="22"/>
  <c r="BE195" i="22"/>
  <c r="BM195" i="22" s="1"/>
  <c r="AZ195" i="22"/>
  <c r="T131" i="8"/>
  <c r="AH116" i="23"/>
  <c r="AM410" i="22"/>
  <c r="AO410" i="22"/>
  <c r="AN410" i="22"/>
  <c r="BE157" i="22"/>
  <c r="BM157" i="22" s="1"/>
  <c r="BC157" i="22"/>
  <c r="BS157" i="22" s="1"/>
  <c r="BY157" i="22"/>
  <c r="AZ157" i="22"/>
  <c r="O204" i="12"/>
  <c r="AO253" i="22"/>
  <c r="AM253" i="22"/>
  <c r="AJ57" i="23"/>
  <c r="AW57" i="23" s="1"/>
  <c r="AL57" i="23"/>
  <c r="AY57" i="23" s="1"/>
  <c r="AK221" i="22"/>
  <c r="AP221" i="22" s="1"/>
  <c r="S160" i="8"/>
  <c r="AM125" i="22"/>
  <c r="AZ125" i="22" s="1"/>
  <c r="AO125" i="22"/>
  <c r="BB125" i="22" s="1"/>
  <c r="N138" i="12"/>
  <c r="P48" i="12"/>
  <c r="S48" i="12" s="1"/>
  <c r="O48" i="12"/>
  <c r="Q48" i="12"/>
  <c r="R48" i="12"/>
  <c r="AH323" i="23"/>
  <c r="AM323" i="23" s="1"/>
  <c r="AM44" i="22"/>
  <c r="AZ44" i="22" s="1"/>
  <c r="AO44" i="22"/>
  <c r="BB44" i="22" s="1"/>
  <c r="AN44" i="22"/>
  <c r="BA44" i="22" s="1"/>
  <c r="AL376" i="23"/>
  <c r="AJ261" i="23"/>
  <c r="AI261" i="23"/>
  <c r="AM261" i="23" s="1"/>
  <c r="AK261" i="23"/>
  <c r="AM356" i="23"/>
  <c r="AM415" i="22"/>
  <c r="AO415" i="22"/>
  <c r="AI335" i="23"/>
  <c r="AM309" i="22"/>
  <c r="AO309" i="22"/>
  <c r="AJ316" i="23"/>
  <c r="AL316" i="23"/>
  <c r="AM456" i="22"/>
  <c r="AO456" i="22"/>
  <c r="AO466" i="22"/>
  <c r="AM466" i="22"/>
  <c r="AL415" i="22"/>
  <c r="AK174" i="9"/>
  <c r="AJ174" i="9"/>
  <c r="AK309" i="22"/>
  <c r="AP309" i="22" s="1"/>
  <c r="AM367" i="23"/>
  <c r="AO112" i="22"/>
  <c r="BB112" i="22" s="1"/>
  <c r="AM112" i="22"/>
  <c r="AZ112" i="22" s="1"/>
  <c r="AM60" i="22"/>
  <c r="AZ60" i="22" s="1"/>
  <c r="AO60" i="22"/>
  <c r="BB60" i="22" s="1"/>
  <c r="AL60" i="22"/>
  <c r="AY60" i="22" s="1"/>
  <c r="AN60" i="22"/>
  <c r="BA60" i="22" s="1"/>
  <c r="AU65" i="12"/>
  <c r="AU64" i="12"/>
  <c r="AL159" i="23"/>
  <c r="AJ78" i="23"/>
  <c r="AI78" i="23"/>
  <c r="AK78" i="23"/>
  <c r="AM73" i="22"/>
  <c r="AZ73" i="22" s="1"/>
  <c r="AO73" i="22"/>
  <c r="BB73" i="22" s="1"/>
  <c r="BF73" i="22" s="1"/>
  <c r="BA26" i="22"/>
  <c r="BF26" i="22" s="1"/>
  <c r="AG4" i="28"/>
  <c r="AG5" i="28" s="1"/>
  <c r="AG7" i="28" s="1"/>
  <c r="AH75" i="28"/>
  <c r="AM203" i="22"/>
  <c r="AO203" i="22"/>
  <c r="BY152" i="22"/>
  <c r="AZ152" i="22"/>
  <c r="AM338" i="22"/>
  <c r="AO338" i="22"/>
  <c r="AN509" i="22"/>
  <c r="AX47" i="22"/>
  <c r="AP47" i="22"/>
  <c r="AJ309" i="23"/>
  <c r="AL309" i="23"/>
  <c r="H57" i="16"/>
  <c r="I57" i="16"/>
  <c r="BZ158" i="22"/>
  <c r="BB34" i="22"/>
  <c r="BF34" i="22" s="1"/>
  <c r="AL387" i="22"/>
  <c r="AM237" i="23"/>
  <c r="CB176" i="22"/>
  <c r="L266" i="12"/>
  <c r="L282" i="12" s="1"/>
  <c r="BB176" i="22"/>
  <c r="CB142" i="22"/>
  <c r="BF142" i="22"/>
  <c r="BN142" i="22" s="1"/>
  <c r="BB142" i="22"/>
  <c r="I268" i="12"/>
  <c r="I284" i="12" s="1"/>
  <c r="AK144" i="22"/>
  <c r="AK362" i="22"/>
  <c r="AP362" i="22" s="1"/>
  <c r="AO404" i="22"/>
  <c r="AM404" i="22"/>
  <c r="AP404" i="22" s="1"/>
  <c r="AM476" i="22"/>
  <c r="AP476" i="22" s="1"/>
  <c r="AO476" i="22"/>
  <c r="AK203" i="22"/>
  <c r="AJ229" i="23"/>
  <c r="AM229" i="23" s="1"/>
  <c r="AI229" i="23"/>
  <c r="AL190" i="23"/>
  <c r="W23" i="32"/>
  <c r="R280" i="9"/>
  <c r="AL280" i="22"/>
  <c r="AO280" i="22"/>
  <c r="AM280" i="22"/>
  <c r="J31" i="13"/>
  <c r="J30" i="13"/>
  <c r="J38" i="13"/>
  <c r="J41" i="13"/>
  <c r="J33" i="13"/>
  <c r="J36" i="13"/>
  <c r="J39" i="13"/>
  <c r="J35" i="13"/>
  <c r="J40" i="13"/>
  <c r="J37" i="13"/>
  <c r="J32" i="13"/>
  <c r="J34" i="13"/>
  <c r="AH53" i="23"/>
  <c r="AH120" i="23"/>
  <c r="AK42" i="22"/>
  <c r="AJ182" i="23"/>
  <c r="AK182" i="23"/>
  <c r="AI182" i="23"/>
  <c r="AM182" i="23" s="1"/>
  <c r="AJ337" i="23"/>
  <c r="AL337" i="23"/>
  <c r="AH218" i="23"/>
  <c r="AO482" i="22"/>
  <c r="AM482" i="22"/>
  <c r="AK114" i="23"/>
  <c r="AH81" i="23"/>
  <c r="AM81" i="23" s="1"/>
  <c r="AN456" i="22"/>
  <c r="AO327" i="22"/>
  <c r="AK327" i="22"/>
  <c r="AM327" i="22"/>
  <c r="AN232" i="9"/>
  <c r="AF232" i="9" s="1"/>
  <c r="AG232" i="9" s="1"/>
  <c r="AH232" i="9" s="1"/>
  <c r="AK232" i="9" s="1"/>
  <c r="S232" i="9"/>
  <c r="T232" i="9" s="1"/>
  <c r="AK280" i="22"/>
  <c r="AM43" i="22"/>
  <c r="AZ43" i="22" s="1"/>
  <c r="AO43" i="22"/>
  <c r="BB43" i="22" s="1"/>
  <c r="AN43" i="22"/>
  <c r="BA43" i="22" s="1"/>
  <c r="BF43" i="22" s="1"/>
  <c r="AJ250" i="23"/>
  <c r="AH250" i="23"/>
  <c r="AH340" i="23"/>
  <c r="AM340" i="23" s="1"/>
  <c r="AM360" i="22"/>
  <c r="AP360" i="22" s="1"/>
  <c r="AO360" i="22"/>
  <c r="AN166" i="22"/>
  <c r="AO166" i="22"/>
  <c r="AL166" i="22"/>
  <c r="AM166" i="22"/>
  <c r="AH141" i="23"/>
  <c r="AM141" i="23" s="1"/>
  <c r="BF29" i="22"/>
  <c r="AK399" i="22"/>
  <c r="AK176" i="22"/>
  <c r="AM345" i="22"/>
  <c r="AO345" i="22"/>
  <c r="AJ343" i="23"/>
  <c r="AM343" i="23" s="1"/>
  <c r="AL343" i="23"/>
  <c r="AK343" i="23"/>
  <c r="AO259" i="22"/>
  <c r="AM259" i="22"/>
  <c r="AK266" i="22"/>
  <c r="AO266" i="22"/>
  <c r="AM266" i="22"/>
  <c r="AK123" i="22"/>
  <c r="BF97" i="22"/>
  <c r="AM382" i="22"/>
  <c r="AO382" i="22"/>
  <c r="AM401" i="22"/>
  <c r="AO401" i="22"/>
  <c r="AJ108" i="23"/>
  <c r="AL108" i="23"/>
  <c r="AL83" i="22"/>
  <c r="AY83" i="22" s="1"/>
  <c r="BT168" i="22"/>
  <c r="BZ168" i="22"/>
  <c r="V202" i="22"/>
  <c r="AM222" i="22"/>
  <c r="AO222" i="22"/>
  <c r="AN208" i="22"/>
  <c r="AO142" i="22"/>
  <c r="AM142" i="22"/>
  <c r="AP142" i="22" s="1"/>
  <c r="AL19" i="22"/>
  <c r="AY19" i="22" s="1"/>
  <c r="AL410" i="22"/>
  <c r="AN486" i="22"/>
  <c r="AK190" i="23"/>
  <c r="AP333" i="22"/>
  <c r="AW70" i="23"/>
  <c r="P70" i="23"/>
  <c r="AX70" i="23"/>
  <c r="AV70" i="23"/>
  <c r="AU70" i="23"/>
  <c r="AL181" i="22"/>
  <c r="AL66" i="22"/>
  <c r="AY66" i="22" s="1"/>
  <c r="AJ242" i="23"/>
  <c r="AH242" i="23"/>
  <c r="AL242" i="23"/>
  <c r="AK242" i="23"/>
  <c r="AN467" i="22"/>
  <c r="AI39" i="28"/>
  <c r="AH41" i="28"/>
  <c r="U178" i="12"/>
  <c r="AM370" i="23"/>
  <c r="AL179" i="23"/>
  <c r="AL353" i="22"/>
  <c r="AM345" i="23"/>
  <c r="AK259" i="23"/>
  <c r="AK201" i="23"/>
  <c r="AN442" i="22"/>
  <c r="AM124" i="22"/>
  <c r="AZ124" i="22" s="1"/>
  <c r="AO124" i="22"/>
  <c r="BB124" i="22" s="1"/>
  <c r="BF124" i="22" s="1"/>
  <c r="AL375" i="23"/>
  <c r="BE149" i="22"/>
  <c r="BM149" i="22" s="1"/>
  <c r="BY174" i="22"/>
  <c r="AZ174" i="22"/>
  <c r="AO262" i="22"/>
  <c r="AM262" i="22"/>
  <c r="AO324" i="22"/>
  <c r="AM324" i="22"/>
  <c r="AL324" i="22"/>
  <c r="AP324" i="22" s="1"/>
  <c r="AI282" i="23"/>
  <c r="CB197" i="22"/>
  <c r="M275" i="12"/>
  <c r="M291" i="12" s="1"/>
  <c r="BB197" i="22"/>
  <c r="BC189" i="22"/>
  <c r="AM288" i="23"/>
  <c r="AJ327" i="23"/>
  <c r="AK327" i="23"/>
  <c r="AL327" i="23"/>
  <c r="AJ76" i="23"/>
  <c r="AK76" i="23"/>
  <c r="AX76" i="23" s="1"/>
  <c r="AH76" i="23"/>
  <c r="AU76" i="23" s="1"/>
  <c r="AL76" i="23"/>
  <c r="AY76" i="23" s="1"/>
  <c r="AI342" i="23"/>
  <c r="AM342" i="23" s="1"/>
  <c r="AN191" i="22"/>
  <c r="AM273" i="23"/>
  <c r="AL133" i="22"/>
  <c r="AY133" i="22" s="1"/>
  <c r="AP366" i="22"/>
  <c r="AL370" i="23"/>
  <c r="AL407" i="22"/>
  <c r="T161" i="8"/>
  <c r="S161" i="8"/>
  <c r="AP402" i="22"/>
  <c r="V188" i="12"/>
  <c r="BZ155" i="22"/>
  <c r="CB159" i="22"/>
  <c r="J273" i="12"/>
  <c r="J289" i="12" s="1"/>
  <c r="BB159" i="22"/>
  <c r="AL282" i="22"/>
  <c r="AV64" i="12"/>
  <c r="N131" i="12"/>
  <c r="AW38" i="12"/>
  <c r="P41" i="12"/>
  <c r="Q41" i="12"/>
  <c r="O41" i="12"/>
  <c r="R41" i="12"/>
  <c r="S41" i="12" s="1"/>
  <c r="AI364" i="23"/>
  <c r="AJ152" i="23"/>
  <c r="AL152" i="23"/>
  <c r="AI152" i="23"/>
  <c r="AL496" i="22"/>
  <c r="AM239" i="23"/>
  <c r="I314" i="12"/>
  <c r="F282" i="12"/>
  <c r="F314" i="12"/>
  <c r="F24" i="12"/>
  <c r="F266" i="12"/>
  <c r="F298" i="12"/>
  <c r="I298" i="12"/>
  <c r="U8" i="8"/>
  <c r="T70" i="8"/>
  <c r="AN129" i="22"/>
  <c r="BA129" i="22" s="1"/>
  <c r="AL15" i="22"/>
  <c r="AY15" i="22" s="1"/>
  <c r="AJ192" i="23"/>
  <c r="AL192" i="23"/>
  <c r="AI192" i="23"/>
  <c r="AM192" i="23" s="1"/>
  <c r="AO197" i="22"/>
  <c r="AL197" i="22"/>
  <c r="AM197" i="22"/>
  <c r="AK295" i="22"/>
  <c r="BZ184" i="22"/>
  <c r="AM25" i="22"/>
  <c r="AZ25" i="22" s="1"/>
  <c r="AO25" i="22"/>
  <c r="BB25" i="22" s="1"/>
  <c r="AN25" i="22"/>
  <c r="BA25" i="22" s="1"/>
  <c r="AK480" i="22"/>
  <c r="AH88" i="23"/>
  <c r="AN49" i="22"/>
  <c r="BA49" i="22" s="1"/>
  <c r="BF49" i="22" s="1"/>
  <c r="AN211" i="22"/>
  <c r="AJ339" i="23"/>
  <c r="AL339" i="23"/>
  <c r="AM126" i="22"/>
  <c r="AZ126" i="22" s="1"/>
  <c r="AN126" i="22"/>
  <c r="BA126" i="22" s="1"/>
  <c r="AO126" i="22"/>
  <c r="BB126" i="22" s="1"/>
  <c r="AL13" i="22"/>
  <c r="AY13" i="22" s="1"/>
  <c r="AJ52" i="23"/>
  <c r="AW52" i="23" s="1"/>
  <c r="AK52" i="23"/>
  <c r="AX52" i="23" s="1"/>
  <c r="AL52" i="23"/>
  <c r="AY52" i="23" s="1"/>
  <c r="AH52" i="23"/>
  <c r="AU74" i="12"/>
  <c r="AM465" i="22"/>
  <c r="AP465" i="22" s="1"/>
  <c r="AO465" i="22"/>
  <c r="AP395" i="22"/>
  <c r="AJ79" i="23"/>
  <c r="AL79" i="23"/>
  <c r="AK79" i="23"/>
  <c r="CB163" i="22"/>
  <c r="K265" i="12"/>
  <c r="K281" i="12" s="1"/>
  <c r="BB163" i="22"/>
  <c r="BA135" i="22"/>
  <c r="BF135" i="22" s="1"/>
  <c r="AJ321" i="23"/>
  <c r="AK321" i="23"/>
  <c r="BA117" i="22"/>
  <c r="BF117" i="22" s="1"/>
  <c r="AP231" i="22"/>
  <c r="AO276" i="22"/>
  <c r="AM276" i="22"/>
  <c r="AM53" i="22"/>
  <c r="AZ53" i="22" s="1"/>
  <c r="AO53" i="22"/>
  <c r="BB53" i="22" s="1"/>
  <c r="BF53" i="22" s="1"/>
  <c r="AO265" i="22"/>
  <c r="AM265" i="22"/>
  <c r="AK265" i="22"/>
  <c r="AO119" i="22"/>
  <c r="BB119" i="22" s="1"/>
  <c r="AM119" i="22"/>
  <c r="AZ119" i="22" s="1"/>
  <c r="AM491" i="22"/>
  <c r="AO491" i="22"/>
  <c r="AY84" i="22"/>
  <c r="BY154" i="22"/>
  <c r="AZ154" i="22"/>
  <c r="S241" i="9"/>
  <c r="T241" i="9" s="1"/>
  <c r="AN241" i="9"/>
  <c r="AF241" i="9" s="1"/>
  <c r="AG241" i="9" s="1"/>
  <c r="AH241" i="9" s="1"/>
  <c r="AK241" i="9" s="1"/>
  <c r="N205" i="12"/>
  <c r="BA82" i="22"/>
  <c r="BF82" i="22" s="1"/>
  <c r="AH361" i="23"/>
  <c r="AM361" i="23" s="1"/>
  <c r="AM175" i="22"/>
  <c r="AO175" i="22"/>
  <c r="AN175" i="22"/>
  <c r="AK349" i="22"/>
  <c r="AP349" i="22" s="1"/>
  <c r="BA93" i="22"/>
  <c r="BF93" i="22" s="1"/>
  <c r="K108" i="12"/>
  <c r="K7" i="12"/>
  <c r="K18" i="12"/>
  <c r="K119" i="12" s="1"/>
  <c r="K12" i="12"/>
  <c r="AO10" i="22"/>
  <c r="BB10" i="22" s="1"/>
  <c r="AM10" i="22"/>
  <c r="AZ10" i="22" s="1"/>
  <c r="AN10" i="22"/>
  <c r="BA10" i="22" s="1"/>
  <c r="BF10" i="22" s="1"/>
  <c r="BC145" i="22"/>
  <c r="V165" i="8"/>
  <c r="W165" i="8" s="1"/>
  <c r="AK424" i="22"/>
  <c r="AJ235" i="23"/>
  <c r="AK235" i="23"/>
  <c r="AI235" i="23"/>
  <c r="AP508" i="22"/>
  <c r="AK157" i="9"/>
  <c r="AJ157" i="9"/>
  <c r="BT173" i="22"/>
  <c r="BZ173" i="22"/>
  <c r="F283" i="12"/>
  <c r="F267" i="12"/>
  <c r="F25" i="12"/>
  <c r="F315" i="12"/>
  <c r="F299" i="12"/>
  <c r="I315" i="12"/>
  <c r="I299" i="12"/>
  <c r="AO54" i="22"/>
  <c r="BB54" i="22" s="1"/>
  <c r="AM54" i="22"/>
  <c r="AZ54" i="22" s="1"/>
  <c r="AN54" i="22"/>
  <c r="BA54" i="22" s="1"/>
  <c r="BF54" i="22" s="1"/>
  <c r="AO36" i="22"/>
  <c r="BB36" i="22" s="1"/>
  <c r="AM36" i="22"/>
  <c r="AZ36" i="22" s="1"/>
  <c r="AN36" i="22"/>
  <c r="BA36" i="22" s="1"/>
  <c r="BF36" i="22" s="1"/>
  <c r="AH235" i="23"/>
  <c r="AX73" i="22"/>
  <c r="BY162" i="22"/>
  <c r="BE162" i="22"/>
  <c r="BM162" i="22" s="1"/>
  <c r="AZ162" i="22"/>
  <c r="F272" i="12"/>
  <c r="F288" i="12"/>
  <c r="F320" i="12"/>
  <c r="F304" i="12"/>
  <c r="F30" i="12"/>
  <c r="I320" i="12"/>
  <c r="I304" i="12"/>
  <c r="AJ362" i="23"/>
  <c r="AL362" i="23"/>
  <c r="AH272" i="23"/>
  <c r="L83" i="12"/>
  <c r="L13" i="12"/>
  <c r="AX83" i="22"/>
  <c r="AP83" i="22"/>
  <c r="AO504" i="22"/>
  <c r="AM504" i="22"/>
  <c r="AL62" i="23"/>
  <c r="AY62" i="23" s="1"/>
  <c r="BZ170" i="22"/>
  <c r="AJ253" i="23"/>
  <c r="AI253" i="23"/>
  <c r="AM253" i="23" s="1"/>
  <c r="AN424" i="22"/>
  <c r="AM124" i="23"/>
  <c r="AN498" i="22"/>
  <c r="AK415" i="22"/>
  <c r="O68" i="23"/>
  <c r="Q33" i="27"/>
  <c r="AH283" i="23"/>
  <c r="AM283" i="23" s="1"/>
  <c r="S209" i="9"/>
  <c r="T209" i="9" s="1"/>
  <c r="AN209" i="9"/>
  <c r="AF209" i="9" s="1"/>
  <c r="AG209" i="9" s="1"/>
  <c r="AH209" i="9" s="1"/>
  <c r="AK209" i="9" s="1"/>
  <c r="AH328" i="23"/>
  <c r="V28" i="8"/>
  <c r="W28" i="8" s="1"/>
  <c r="AK433" i="22"/>
  <c r="BT144" i="22"/>
  <c r="BZ144" i="22"/>
  <c r="P128" i="12"/>
  <c r="U38" i="12"/>
  <c r="AK151" i="23"/>
  <c r="AI368" i="23"/>
  <c r="AM368" i="23" s="1"/>
  <c r="AO130" i="22"/>
  <c r="BB130" i="22" s="1"/>
  <c r="BF130" i="22" s="1"/>
  <c r="AL130" i="22"/>
  <c r="AY130" i="22" s="1"/>
  <c r="AK130" i="22"/>
  <c r="AM130" i="22"/>
  <c r="AZ130" i="22" s="1"/>
  <c r="AL374" i="22"/>
  <c r="BB198" i="22"/>
  <c r="CB198" i="22"/>
  <c r="N264" i="12"/>
  <c r="S15" i="32"/>
  <c r="R224" i="9"/>
  <c r="X27" i="8"/>
  <c r="Y27" i="8" s="1"/>
  <c r="BA52" i="22"/>
  <c r="BF52" i="22" s="1"/>
  <c r="AO139" i="22"/>
  <c r="AM139" i="22"/>
  <c r="AK225" i="22"/>
  <c r="AP225" i="22" s="1"/>
  <c r="AO225" i="22"/>
  <c r="AM225" i="22"/>
  <c r="AO475" i="22"/>
  <c r="AM475" i="22"/>
  <c r="AP475" i="22" s="1"/>
  <c r="AZ47" i="22"/>
  <c r="AM69" i="23"/>
  <c r="AX13" i="22"/>
  <c r="O128" i="12"/>
  <c r="T38" i="12"/>
  <c r="AO177" i="22"/>
  <c r="AL177" i="22"/>
  <c r="AM177" i="22"/>
  <c r="AI367" i="23"/>
  <c r="AO344" i="22"/>
  <c r="AM344" i="22"/>
  <c r="AP344" i="22" s="1"/>
  <c r="CC192" i="22"/>
  <c r="V208" i="22"/>
  <c r="AK219" i="22"/>
  <c r="AP219" i="22" s="1"/>
  <c r="AO400" i="22"/>
  <c r="AM400" i="22"/>
  <c r="AP400" i="22" s="1"/>
  <c r="AK412" i="22"/>
  <c r="AP412" i="22" s="1"/>
  <c r="AN112" i="22"/>
  <c r="BA112" i="22" s="1"/>
  <c r="BF112" i="22" s="1"/>
  <c r="AO441" i="22"/>
  <c r="AM441" i="22"/>
  <c r="AK177" i="22"/>
  <c r="AO134" i="22"/>
  <c r="BB134" i="22" s="1"/>
  <c r="BF134" i="22" s="1"/>
  <c r="AL134" i="22"/>
  <c r="AY134" i="22" s="1"/>
  <c r="AM134" i="22"/>
  <c r="AZ134" i="22" s="1"/>
  <c r="AM380" i="22"/>
  <c r="AK380" i="22"/>
  <c r="AP380" i="22" s="1"/>
  <c r="AO380" i="22"/>
  <c r="AK205" i="22"/>
  <c r="AL356" i="23"/>
  <c r="AP184" i="22"/>
  <c r="AH79" i="23"/>
  <c r="AM79" i="23" s="1"/>
  <c r="AK252" i="23"/>
  <c r="AL99" i="22"/>
  <c r="AY99" i="22" s="1"/>
  <c r="AL314" i="22"/>
  <c r="AP277" i="22"/>
  <c r="AK375" i="22"/>
  <c r="AO375" i="22"/>
  <c r="AM375" i="22"/>
  <c r="BB33" i="22"/>
  <c r="AL112" i="22"/>
  <c r="AP282" i="22"/>
  <c r="BZ163" i="22"/>
  <c r="AJ71" i="23"/>
  <c r="AW71" i="23" s="1"/>
  <c r="AL71" i="23"/>
  <c r="AY71" i="23" s="1"/>
  <c r="AI71" i="23"/>
  <c r="AV71" i="23" s="1"/>
  <c r="AK71" i="23"/>
  <c r="AX71" i="23" s="1"/>
  <c r="BC71" i="23" s="1"/>
  <c r="AJ103" i="23"/>
  <c r="AL103" i="23"/>
  <c r="AN212" i="22"/>
  <c r="AI316" i="23"/>
  <c r="V133" i="8"/>
  <c r="AM64" i="22"/>
  <c r="AZ64" i="22" s="1"/>
  <c r="AO64" i="22"/>
  <c r="BB64" i="22" s="1"/>
  <c r="BF64" i="22" s="1"/>
  <c r="AJ130" i="23"/>
  <c r="AK130" i="23"/>
  <c r="AH130" i="23"/>
  <c r="AH364" i="23"/>
  <c r="AM364" i="23" s="1"/>
  <c r="BE167" i="22"/>
  <c r="BM167" i="22" s="1"/>
  <c r="BY167" i="22"/>
  <c r="BC167" i="22"/>
  <c r="BS167" i="22"/>
  <c r="AZ167" i="22"/>
  <c r="AO505" i="22"/>
  <c r="AM505" i="22"/>
  <c r="AL479" i="22"/>
  <c r="AK382" i="22"/>
  <c r="AN177" i="22"/>
  <c r="AN207" i="9"/>
  <c r="AF207" i="9" s="1"/>
  <c r="AG207" i="9" s="1"/>
  <c r="AH207" i="9" s="1"/>
  <c r="AK207" i="9" s="1"/>
  <c r="S207" i="9"/>
  <c r="T207" i="9" s="1"/>
  <c r="AI312" i="23"/>
  <c r="AI356" i="23"/>
  <c r="AP101" i="22"/>
  <c r="AX101" i="22"/>
  <c r="BC172" i="22"/>
  <c r="BE172" i="22"/>
  <c r="BM172" i="22" s="1"/>
  <c r="BY172" i="22"/>
  <c r="AZ172" i="22"/>
  <c r="AM105" i="22"/>
  <c r="AZ105" i="22" s="1"/>
  <c r="AO105" i="22"/>
  <c r="BB105" i="22" s="1"/>
  <c r="BF105" i="22" s="1"/>
  <c r="AM423" i="22"/>
  <c r="AP423" i="22" s="1"/>
  <c r="AO423" i="22"/>
  <c r="AO298" i="22"/>
  <c r="AM298" i="22"/>
  <c r="AL498" i="22"/>
  <c r="AH175" i="23"/>
  <c r="AK305" i="23"/>
  <c r="AO239" i="22"/>
  <c r="AM239" i="22"/>
  <c r="AL239" i="22"/>
  <c r="AK401" i="22"/>
  <c r="AP34" i="22"/>
  <c r="AX34" i="22"/>
  <c r="AH77" i="23"/>
  <c r="AM77" i="23" s="1"/>
  <c r="BC147" i="22"/>
  <c r="BY147" i="22"/>
  <c r="AZ147" i="22"/>
  <c r="AO334" i="22"/>
  <c r="AN334" i="22"/>
  <c r="AM334" i="22"/>
  <c r="AP334" i="22" s="1"/>
  <c r="AH108" i="23"/>
  <c r="AK108" i="23"/>
  <c r="AJ164" i="23"/>
  <c r="AL164" i="23"/>
  <c r="AO63" i="22"/>
  <c r="BB63" i="22" s="1"/>
  <c r="AM63" i="22"/>
  <c r="AZ63" i="22" s="1"/>
  <c r="AN63" i="22"/>
  <c r="BA63" i="22" s="1"/>
  <c r="BF63" i="22" s="1"/>
  <c r="AL63" i="22"/>
  <c r="AY63" i="22" s="1"/>
  <c r="AI293" i="23"/>
  <c r="N323" i="12"/>
  <c r="AL332" i="23"/>
  <c r="BZ141" i="22"/>
  <c r="AH144" i="23"/>
  <c r="AM144" i="23" s="1"/>
  <c r="AO325" i="22"/>
  <c r="AM325" i="22"/>
  <c r="AP325" i="22" s="1"/>
  <c r="AN99" i="22"/>
  <c r="BA99" i="22" s="1"/>
  <c r="BF99" i="22" s="1"/>
  <c r="AH110" i="23"/>
  <c r="AM110" i="23" s="1"/>
  <c r="G41" i="19"/>
  <c r="G40" i="18"/>
  <c r="G106" i="16"/>
  <c r="AM75" i="22"/>
  <c r="AN75" i="22"/>
  <c r="BA75" i="22" s="1"/>
  <c r="AO75" i="22"/>
  <c r="BB75" i="22" s="1"/>
  <c r="AI340" i="23"/>
  <c r="AI103" i="23"/>
  <c r="AM103" i="23" s="1"/>
  <c r="AH71" i="23"/>
  <c r="AM71" i="23" s="1"/>
  <c r="AL380" i="22"/>
  <c r="CB193" i="22"/>
  <c r="BF193" i="22"/>
  <c r="BN193" i="22" s="1"/>
  <c r="BB193" i="22"/>
  <c r="M271" i="12"/>
  <c r="M287" i="12" s="1"/>
  <c r="AN446" i="22"/>
  <c r="AN113" i="22"/>
  <c r="BA113" i="22" s="1"/>
  <c r="AN488" i="22"/>
  <c r="AM308" i="22"/>
  <c r="AK308" i="22"/>
  <c r="AO308" i="22"/>
  <c r="AO87" i="22"/>
  <c r="BB87" i="22" s="1"/>
  <c r="AN87" i="22"/>
  <c r="BA87" i="22" s="1"/>
  <c r="BF87" i="22" s="1"/>
  <c r="AM87" i="22"/>
  <c r="AZ87" i="22" s="1"/>
  <c r="AN139" i="22"/>
  <c r="AK222" i="22"/>
  <c r="AP222" i="22" s="1"/>
  <c r="AL211" i="22"/>
  <c r="AO59" i="22"/>
  <c r="BB59" i="22" s="1"/>
  <c r="AM59" i="22"/>
  <c r="AZ59" i="22" s="1"/>
  <c r="AN59" i="22"/>
  <c r="BA59" i="22" s="1"/>
  <c r="AK59" i="22"/>
  <c r="AK64" i="22"/>
  <c r="AJ145" i="9"/>
  <c r="AK145" i="9"/>
  <c r="BY142" i="22"/>
  <c r="AZ142" i="22"/>
  <c r="BC142" i="22"/>
  <c r="BE142" i="22"/>
  <c r="BM142" i="22" s="1"/>
  <c r="AO418" i="22"/>
  <c r="AM418" i="22"/>
  <c r="AO111" i="22"/>
  <c r="BB111" i="22" s="1"/>
  <c r="BF111" i="22" s="1"/>
  <c r="AM111" i="22"/>
  <c r="AO202" i="22"/>
  <c r="AM202" i="22"/>
  <c r="AP202" i="22" s="1"/>
  <c r="AN330" i="22"/>
  <c r="AN266" i="22"/>
  <c r="AK184" i="23"/>
  <c r="Q189" i="12"/>
  <c r="AK287" i="23"/>
  <c r="AM287" i="23" s="1"/>
  <c r="V26" i="8"/>
  <c r="X26" i="8" s="1"/>
  <c r="AN435" i="22"/>
  <c r="AM435" i="22"/>
  <c r="AP435" i="22" s="1"/>
  <c r="AO435" i="22"/>
  <c r="AO464" i="22"/>
  <c r="AM464" i="22"/>
  <c r="AN464" i="22"/>
  <c r="AL401" i="22"/>
  <c r="AJ206" i="23"/>
  <c r="AL206" i="23"/>
  <c r="AI206" i="23"/>
  <c r="AM206" i="23" s="1"/>
  <c r="AN466" i="22"/>
  <c r="AK124" i="22"/>
  <c r="AN262" i="22"/>
  <c r="AL234" i="22"/>
  <c r="BE143" i="22"/>
  <c r="BM143" i="22" s="1"/>
  <c r="BZ182" i="22"/>
  <c r="AO174" i="22"/>
  <c r="AM174" i="22"/>
  <c r="AP174" i="22" s="1"/>
  <c r="AO417" i="22"/>
  <c r="AM417" i="22"/>
  <c r="AP417" i="22" s="1"/>
  <c r="AK262" i="22"/>
  <c r="AO445" i="22"/>
  <c r="AM445" i="22"/>
  <c r="AL315" i="22"/>
  <c r="BE189" i="22"/>
  <c r="BM189" i="22" s="1"/>
  <c r="AL305" i="22"/>
  <c r="AP305" i="22" s="1"/>
  <c r="AM305" i="22"/>
  <c r="AO305" i="22"/>
  <c r="P40" i="12"/>
  <c r="O40" i="12"/>
  <c r="AO391" i="22"/>
  <c r="AM391" i="22"/>
  <c r="AP391" i="22" s="1"/>
  <c r="AJ295" i="23"/>
  <c r="AK295" i="23"/>
  <c r="AH327" i="23"/>
  <c r="AL383" i="22"/>
  <c r="T46" i="8"/>
  <c r="R187" i="12"/>
  <c r="AN239" i="22"/>
  <c r="BB191" i="22"/>
  <c r="M269" i="12"/>
  <c r="M285" i="12" s="1"/>
  <c r="CB191" i="22"/>
  <c r="AJ160" i="23"/>
  <c r="AH160" i="23"/>
  <c r="AM160" i="23" s="1"/>
  <c r="AK160" i="23"/>
  <c r="AI160" i="23"/>
  <c r="AM195" i="22"/>
  <c r="AP195" i="22" s="1"/>
  <c r="AO195" i="22"/>
  <c r="G70" i="16"/>
  <c r="AL446" i="22"/>
  <c r="AO339" i="22"/>
  <c r="AM339" i="22"/>
  <c r="AO369" i="22"/>
  <c r="AL369" i="22"/>
  <c r="AP369" i="22" s="1"/>
  <c r="AM369" i="22"/>
  <c r="T155" i="8"/>
  <c r="T125" i="8"/>
  <c r="AP419" i="22"/>
  <c r="AM77" i="22"/>
  <c r="AZ77" i="22" s="1"/>
  <c r="AN77" i="22"/>
  <c r="BA77" i="22" s="1"/>
  <c r="AO77" i="22"/>
  <c r="BB77" i="22" s="1"/>
  <c r="U23" i="32"/>
  <c r="R256" i="9"/>
  <c r="Z35" i="8"/>
  <c r="AL505" i="22"/>
  <c r="AK351" i="22"/>
  <c r="AP351" i="22" s="1"/>
  <c r="AN449" i="22"/>
  <c r="AH152" i="23"/>
  <c r="AM152" i="23" s="1"/>
  <c r="O35" i="27"/>
  <c r="AO301" i="22"/>
  <c r="AL301" i="22"/>
  <c r="AP301" i="22" s="1"/>
  <c r="AM301" i="22"/>
  <c r="AI63" i="23"/>
  <c r="AV63" i="23" s="1"/>
  <c r="AN468" i="22"/>
  <c r="AN246" i="22"/>
  <c r="AP246" i="22" s="1"/>
  <c r="AL501" i="22"/>
  <c r="AH306" i="23"/>
  <c r="AM306" i="23" s="1"/>
  <c r="AI358" i="23"/>
  <c r="AI363" i="23"/>
  <c r="BY150" i="22"/>
  <c r="AZ150" i="22"/>
  <c r="BE150" i="22" s="1"/>
  <c r="BM150" i="22" s="1"/>
  <c r="CC175" i="22"/>
  <c r="AH154" i="23"/>
  <c r="AK197" i="22"/>
  <c r="AK25" i="22"/>
  <c r="AY12" i="22"/>
  <c r="AI365" i="23"/>
  <c r="AO286" i="22"/>
  <c r="AM286" i="22"/>
  <c r="AK286" i="22"/>
  <c r="BF166" i="22"/>
  <c r="BN166" i="22" s="1"/>
  <c r="AK126" i="22"/>
  <c r="AI52" i="23"/>
  <c r="AV52" i="23" s="1"/>
  <c r="L84" i="12"/>
  <c r="N72" i="12"/>
  <c r="N75" i="12"/>
  <c r="N76" i="12"/>
  <c r="N80" i="12"/>
  <c r="N79" i="12"/>
  <c r="N74" i="12"/>
  <c r="AW70" i="12" s="1"/>
  <c r="N77" i="12"/>
  <c r="N78" i="12"/>
  <c r="AM227" i="23"/>
  <c r="AO228" i="22"/>
  <c r="AM228" i="22"/>
  <c r="AQ33" i="12"/>
  <c r="AQ32" i="12"/>
  <c r="AR32" i="12"/>
  <c r="AR33" i="12"/>
  <c r="AO17" i="22"/>
  <c r="BB17" i="22" s="1"/>
  <c r="AM17" i="22"/>
  <c r="AZ17" i="22" s="1"/>
  <c r="AN17" i="22"/>
  <c r="BA17" i="22" s="1"/>
  <c r="BF114" i="22"/>
  <c r="AO151" i="22"/>
  <c r="AM151" i="22"/>
  <c r="AX88" i="22"/>
  <c r="AP253" i="22"/>
  <c r="AO48" i="22"/>
  <c r="BB48" i="22" s="1"/>
  <c r="AM48" i="22"/>
  <c r="AZ48" i="22" s="1"/>
  <c r="AN48" i="22"/>
  <c r="BA48" i="22" s="1"/>
  <c r="BF48" i="22" s="1"/>
  <c r="V214" i="22"/>
  <c r="AO16" i="22"/>
  <c r="BB16" i="22" s="1"/>
  <c r="AM16" i="22"/>
  <c r="AZ16" i="22" s="1"/>
  <c r="AN16" i="22"/>
  <c r="BA16" i="22" s="1"/>
  <c r="BF16" i="22" s="1"/>
  <c r="AJ202" i="23"/>
  <c r="AH202" i="23"/>
  <c r="N133" i="12"/>
  <c r="P43" i="12"/>
  <c r="Q43" i="12" s="1"/>
  <c r="O43" i="12"/>
  <c r="AX63" i="22"/>
  <c r="S18" i="32"/>
  <c r="R227" i="9"/>
  <c r="X30" i="8"/>
  <c r="AO341" i="22"/>
  <c r="AK341" i="22"/>
  <c r="AM341" i="22"/>
  <c r="N71" i="12"/>
  <c r="O39" i="12"/>
  <c r="AK270" i="22"/>
  <c r="AM270" i="22"/>
  <c r="AO270" i="22"/>
  <c r="BW189" i="22"/>
  <c r="CC189" i="22"/>
  <c r="AN276" i="22"/>
  <c r="AI3" i="28"/>
  <c r="AI23" i="28"/>
  <c r="AJ21" i="28"/>
  <c r="AM129" i="22"/>
  <c r="AZ129" i="22" s="1"/>
  <c r="AO129" i="22"/>
  <c r="BB129" i="22" s="1"/>
  <c r="AK119" i="22"/>
  <c r="AM303" i="22"/>
  <c r="AO303" i="22"/>
  <c r="AO38" i="22"/>
  <c r="BB38" i="22" s="1"/>
  <c r="AM38" i="22"/>
  <c r="AZ38" i="22" s="1"/>
  <c r="AN38" i="22"/>
  <c r="BA38" i="22" s="1"/>
  <c r="AK38" i="22"/>
  <c r="AO114" i="22"/>
  <c r="BB114" i="22" s="1"/>
  <c r="AM114" i="22"/>
  <c r="AZ114" i="22" s="1"/>
  <c r="AO226" i="22"/>
  <c r="AM226" i="22"/>
  <c r="AM201" i="23"/>
  <c r="AP352" i="22"/>
  <c r="AP198" i="22"/>
  <c r="V127" i="8"/>
  <c r="AO273" i="22"/>
  <c r="AM273" i="22"/>
  <c r="AX103" i="22"/>
  <c r="S16" i="32"/>
  <c r="R225" i="9"/>
  <c r="AL231" i="22"/>
  <c r="AK150" i="9"/>
  <c r="AJ150" i="9"/>
  <c r="AK114" i="22"/>
  <c r="AM248" i="23"/>
  <c r="AO94" i="22"/>
  <c r="BB94" i="22" s="1"/>
  <c r="BF94" i="22" s="1"/>
  <c r="AM94" i="22"/>
  <c r="AZ94" i="22" s="1"/>
  <c r="AK231" i="23"/>
  <c r="AK70" i="22"/>
  <c r="AM251" i="22"/>
  <c r="AO251" i="22"/>
  <c r="AZ198" i="22"/>
  <c r="BC198" i="22" s="1"/>
  <c r="BY198" i="22"/>
  <c r="BB55" i="23"/>
  <c r="AZ55" i="23"/>
  <c r="BA55" i="23" s="1"/>
  <c r="AO350" i="22"/>
  <c r="AM350" i="22"/>
  <c r="BC192" i="22"/>
  <c r="BW192" i="22" s="1"/>
  <c r="AZ192" i="22"/>
  <c r="BY192" i="22"/>
  <c r="BS192" i="22"/>
  <c r="BE192" i="22"/>
  <c r="BM192" i="22" s="1"/>
  <c r="AK188" i="9"/>
  <c r="AJ188" i="9"/>
  <c r="AM507" i="22"/>
  <c r="AO507" i="22"/>
  <c r="AO170" i="22"/>
  <c r="AM170" i="22"/>
  <c r="AP170" i="22" s="1"/>
  <c r="F316" i="12"/>
  <c r="F26" i="12"/>
  <c r="F284" i="12"/>
  <c r="F300" i="12"/>
  <c r="F268" i="12"/>
  <c r="I316" i="12"/>
  <c r="I300" i="12"/>
  <c r="AK153" i="22"/>
  <c r="AO153" i="22"/>
  <c r="AM153" i="22"/>
  <c r="AK304" i="22"/>
  <c r="AP304" i="22" s="1"/>
  <c r="AK80" i="22"/>
  <c r="AH318" i="23"/>
  <c r="AM318" i="23" s="1"/>
  <c r="AN275" i="22"/>
  <c r="AO275" i="22"/>
  <c r="AM275" i="22"/>
  <c r="AO42" i="22"/>
  <c r="BB42" i="22" s="1"/>
  <c r="AM42" i="22"/>
  <c r="AZ42" i="22" s="1"/>
  <c r="AN42" i="22"/>
  <c r="BA42" i="22" s="1"/>
  <c r="AH305" i="23"/>
  <c r="BB47" i="22"/>
  <c r="H52" i="16"/>
  <c r="I52" i="16"/>
  <c r="AN231" i="22"/>
  <c r="N247" i="12"/>
  <c r="N114" i="12"/>
  <c r="N214" i="12"/>
  <c r="AH372" i="23"/>
  <c r="AO452" i="22"/>
  <c r="AM452" i="22"/>
  <c r="BE85" i="22"/>
  <c r="BC85" i="22"/>
  <c r="BD85" i="22" s="1"/>
  <c r="AJ248" i="23"/>
  <c r="AI248" i="23"/>
  <c r="BC194" i="22"/>
  <c r="AK483" i="22"/>
  <c r="AK118" i="23"/>
  <c r="AJ296" i="23"/>
  <c r="AL296" i="23"/>
  <c r="AM296" i="23" s="1"/>
  <c r="V50" i="8"/>
  <c r="T47" i="8"/>
  <c r="AI354" i="23"/>
  <c r="AK426" i="22"/>
  <c r="AY68" i="22"/>
  <c r="AK452" i="22"/>
  <c r="AP452" i="22" s="1"/>
  <c r="AK206" i="22"/>
  <c r="AJ346" i="23"/>
  <c r="AM346" i="23" s="1"/>
  <c r="AL346" i="23"/>
  <c r="AK346" i="23"/>
  <c r="AH363" i="23"/>
  <c r="AI322" i="23"/>
  <c r="AM322" i="23" s="1"/>
  <c r="AM117" i="22"/>
  <c r="AZ117" i="22" s="1"/>
  <c r="AO117" i="22"/>
  <c r="BB117" i="22" s="1"/>
  <c r="AL353" i="23"/>
  <c r="AO274" i="22"/>
  <c r="AM274" i="22"/>
  <c r="AP274" i="22" s="1"/>
  <c r="AN274" i="22"/>
  <c r="U131" i="8"/>
  <c r="AP505" i="22"/>
  <c r="G35" i="18"/>
  <c r="AQ32" i="16"/>
  <c r="G36" i="19"/>
  <c r="G101" i="16"/>
  <c r="AO396" i="22"/>
  <c r="AM396" i="22"/>
  <c r="AP396" i="22" s="1"/>
  <c r="F264" i="12"/>
  <c r="F280" i="12"/>
  <c r="F22" i="12"/>
  <c r="F312" i="12"/>
  <c r="F296" i="12"/>
  <c r="I312" i="12"/>
  <c r="I296" i="12"/>
  <c r="CB177" i="22"/>
  <c r="L267" i="12"/>
  <c r="L283" i="12" s="1"/>
  <c r="BB177" i="22"/>
  <c r="AI271" i="23"/>
  <c r="U33" i="8"/>
  <c r="AP298" i="22"/>
  <c r="AJ73" i="23"/>
  <c r="AI73" i="23"/>
  <c r="AL73" i="23"/>
  <c r="AY73" i="23" s="1"/>
  <c r="AM136" i="23"/>
  <c r="AP239" i="22"/>
  <c r="U17" i="32"/>
  <c r="R250" i="9"/>
  <c r="AJ109" i="23"/>
  <c r="AH109" i="23"/>
  <c r="AK109" i="23"/>
  <c r="BY151" i="22"/>
  <c r="AZ151" i="22"/>
  <c r="AO88" i="22"/>
  <c r="BB88" i="22" s="1"/>
  <c r="BF88" i="22" s="1"/>
  <c r="AM88" i="22"/>
  <c r="AZ88" i="22" s="1"/>
  <c r="AL88" i="22"/>
  <c r="AY88" i="22" s="1"/>
  <c r="BZ172" i="22"/>
  <c r="AM164" i="23"/>
  <c r="AN349" i="22"/>
  <c r="AL411" i="22"/>
  <c r="AN491" i="22"/>
  <c r="AK178" i="9"/>
  <c r="AJ178" i="9"/>
  <c r="AK304" i="23"/>
  <c r="AM304" i="23" s="1"/>
  <c r="AN163" i="22"/>
  <c r="AL141" i="22"/>
  <c r="AH341" i="23"/>
  <c r="AM341" i="23" s="1"/>
  <c r="AO131" i="22"/>
  <c r="BB131" i="22" s="1"/>
  <c r="BF131" i="22" s="1"/>
  <c r="AM131" i="22"/>
  <c r="AZ131" i="22" s="1"/>
  <c r="AY54" i="23"/>
  <c r="AU54" i="23"/>
  <c r="AX54" i="23"/>
  <c r="AW54" i="23"/>
  <c r="AV54" i="23"/>
  <c r="P54" i="23"/>
  <c r="AM93" i="22"/>
  <c r="AZ93" i="22" s="1"/>
  <c r="AO93" i="22"/>
  <c r="BB93" i="22" s="1"/>
  <c r="AL93" i="22"/>
  <c r="AM394" i="22"/>
  <c r="AP394" i="22" s="1"/>
  <c r="AO394" i="22"/>
  <c r="AX87" i="22"/>
  <c r="AH57" i="23"/>
  <c r="CB139" i="22"/>
  <c r="I265" i="12"/>
  <c r="I281" i="12" s="1"/>
  <c r="BB139" i="22"/>
  <c r="BF20" i="22"/>
  <c r="AL171" i="23"/>
  <c r="AM185" i="23"/>
  <c r="AK410" i="22"/>
  <c r="AP410" i="22" s="1"/>
  <c r="AK157" i="22"/>
  <c r="AN204" i="22"/>
  <c r="AM204" i="22"/>
  <c r="AO204" i="22"/>
  <c r="AM454" i="22"/>
  <c r="AP454" i="22" s="1"/>
  <c r="AO454" i="22"/>
  <c r="V204" i="22"/>
  <c r="V216" i="22" s="1"/>
  <c r="AM71" i="22"/>
  <c r="AZ71" i="22" s="1"/>
  <c r="AK71" i="22"/>
  <c r="AO71" i="22"/>
  <c r="BB71" i="22" s="1"/>
  <c r="AO249" i="22"/>
  <c r="AM249" i="22"/>
  <c r="AP249" i="22" s="1"/>
  <c r="AK368" i="22"/>
  <c r="AX111" i="22"/>
  <c r="AL321" i="23"/>
  <c r="AO434" i="22"/>
  <c r="AN434" i="22"/>
  <c r="AM434" i="22"/>
  <c r="V191" i="22"/>
  <c r="AN329" i="22"/>
  <c r="AJ58" i="23"/>
  <c r="AW58" i="23" s="1"/>
  <c r="AH58" i="23"/>
  <c r="AI58" i="23"/>
  <c r="AV58" i="23" s="1"/>
  <c r="AK58" i="23"/>
  <c r="AX58" i="23" s="1"/>
  <c r="BC58" i="23" s="1"/>
  <c r="AK363" i="23"/>
  <c r="AN210" i="22"/>
  <c r="S37" i="8"/>
  <c r="AL132" i="22"/>
  <c r="AY132" i="22" s="1"/>
  <c r="AL416" i="22"/>
  <c r="AL131" i="23"/>
  <c r="AJ214" i="23"/>
  <c r="AK214" i="23"/>
  <c r="AL214" i="23"/>
  <c r="AI214" i="23"/>
  <c r="AM214" i="23" s="1"/>
  <c r="AO307" i="22"/>
  <c r="AM307" i="22"/>
  <c r="AN224" i="22"/>
  <c r="U127" i="8"/>
  <c r="AM300" i="22"/>
  <c r="AO300" i="22"/>
  <c r="AL115" i="22"/>
  <c r="AY115" i="22" s="1"/>
  <c r="AJ89" i="23"/>
  <c r="AK89" i="23"/>
  <c r="AL89" i="23"/>
  <c r="AL103" i="22"/>
  <c r="AJ137" i="23"/>
  <c r="AH137" i="23"/>
  <c r="AI137" i="23"/>
  <c r="AM308" i="23"/>
  <c r="AL379" i="22"/>
  <c r="AP379" i="22" s="1"/>
  <c r="N134" i="12"/>
  <c r="AW39" i="12"/>
  <c r="O44" i="12"/>
  <c r="P44" i="12"/>
  <c r="Q44" i="12"/>
  <c r="R44" i="12" s="1"/>
  <c r="AL210" i="22"/>
  <c r="AL272" i="22"/>
  <c r="X51" i="8"/>
  <c r="W52" i="8"/>
  <c r="AK398" i="22"/>
  <c r="AY98" i="22"/>
  <c r="AL233" i="23"/>
  <c r="AO487" i="22"/>
  <c r="AM487" i="22"/>
  <c r="AP487" i="22" s="1"/>
  <c r="AO432" i="22"/>
  <c r="AM432" i="22"/>
  <c r="AP432" i="22" s="1"/>
  <c r="BA67" i="22"/>
  <c r="AI369" i="23"/>
  <c r="AI247" i="23"/>
  <c r="AL183" i="22"/>
  <c r="AM219" i="23"/>
  <c r="U154" i="8"/>
  <c r="T154" i="8"/>
  <c r="AJ212" i="23"/>
  <c r="AL212" i="23"/>
  <c r="AH212" i="23"/>
  <c r="AL474" i="22"/>
  <c r="AP474" i="22" s="1"/>
  <c r="AP77" i="22"/>
  <c r="AX77" i="22"/>
  <c r="V23" i="32"/>
  <c r="R268" i="9"/>
  <c r="AA35" i="8"/>
  <c r="AL137" i="23"/>
  <c r="AL276" i="22"/>
  <c r="AP276" i="22" s="1"/>
  <c r="AM378" i="22"/>
  <c r="AO378" i="22"/>
  <c r="AM154" i="22"/>
  <c r="AP154" i="22" s="1"/>
  <c r="AO154" i="22"/>
  <c r="AO455" i="22"/>
  <c r="AN455" i="22"/>
  <c r="AM455" i="22"/>
  <c r="AP455" i="22" s="1"/>
  <c r="AV49" i="23"/>
  <c r="AU49" i="23"/>
  <c r="P49" i="23"/>
  <c r="AK374" i="22"/>
  <c r="AP374" i="22" s="1"/>
  <c r="AN341" i="22"/>
  <c r="BZ169" i="22"/>
  <c r="F270" i="12"/>
  <c r="F28" i="12"/>
  <c r="F318" i="12"/>
  <c r="I318" i="12"/>
  <c r="F302" i="12"/>
  <c r="F286" i="12"/>
  <c r="I302" i="12"/>
  <c r="AJ203" i="23"/>
  <c r="AL203" i="23"/>
  <c r="AH203" i="23"/>
  <c r="AM203" i="23" s="1"/>
  <c r="AL94" i="22"/>
  <c r="AY94" i="22" s="1"/>
  <c r="AM444" i="22"/>
  <c r="AP444" i="22" s="1"/>
  <c r="AO444" i="22"/>
  <c r="AK150" i="22"/>
  <c r="AP150" i="22" s="1"/>
  <c r="BF175" i="22"/>
  <c r="BN175" i="22" s="1"/>
  <c r="AM265" i="23"/>
  <c r="BY197" i="22"/>
  <c r="AZ197" i="22"/>
  <c r="AL125" i="22"/>
  <c r="AY125" i="22" s="1"/>
  <c r="AM326" i="22"/>
  <c r="AO326" i="22"/>
  <c r="AL286" i="22"/>
  <c r="AK337" i="23"/>
  <c r="AH339" i="23"/>
  <c r="AK216" i="23"/>
  <c r="AM256" i="22"/>
  <c r="AP256" i="22" s="1"/>
  <c r="AO256" i="22"/>
  <c r="Q194" i="12"/>
  <c r="AP471" i="22"/>
  <c r="Q133" i="12" l="1"/>
  <c r="R43" i="12"/>
  <c r="S131" i="12"/>
  <c r="BD162" i="22"/>
  <c r="X162" i="22"/>
  <c r="Y162" i="22" s="1"/>
  <c r="BS162" i="22"/>
  <c r="BT162" i="22"/>
  <c r="BV162" i="22"/>
  <c r="BD198" i="22"/>
  <c r="X198" i="22"/>
  <c r="Y198" i="22" s="1"/>
  <c r="BV198" i="22"/>
  <c r="BT198" i="22"/>
  <c r="BS198" i="22"/>
  <c r="K50" i="16"/>
  <c r="BD185" i="22"/>
  <c r="X185" i="22"/>
  <c r="Y185" i="22" s="1"/>
  <c r="BT185" i="22"/>
  <c r="BS185" i="22"/>
  <c r="BV185" i="22"/>
  <c r="AP104" i="22"/>
  <c r="AX104" i="22"/>
  <c r="BF33" i="22"/>
  <c r="BC33" i="22"/>
  <c r="BD33" i="22" s="1"/>
  <c r="AZ113" i="22"/>
  <c r="AP113" i="22"/>
  <c r="BD182" i="22"/>
  <c r="X182" i="22"/>
  <c r="Y182" i="22" s="1"/>
  <c r="BV182" i="22"/>
  <c r="BT182" i="22"/>
  <c r="BE113" i="22"/>
  <c r="BC113" i="22"/>
  <c r="BD113" i="22" s="1"/>
  <c r="AP166" i="22"/>
  <c r="AP215" i="22"/>
  <c r="AZ22" i="22"/>
  <c r="AP22" i="22"/>
  <c r="BU191" i="22"/>
  <c r="CA191" i="22"/>
  <c r="BE191" i="22"/>
  <c r="BM191" i="22" s="1"/>
  <c r="BC191" i="22"/>
  <c r="AM108" i="23"/>
  <c r="AX94" i="22"/>
  <c r="AP94" i="22"/>
  <c r="AY106" i="22"/>
  <c r="AP106" i="22"/>
  <c r="T159" i="8"/>
  <c r="AM49" i="23"/>
  <c r="V14" i="32"/>
  <c r="R259" i="9"/>
  <c r="Q204" i="12"/>
  <c r="AV56" i="23"/>
  <c r="BB56" i="23" s="1"/>
  <c r="AM56" i="23"/>
  <c r="AP340" i="22"/>
  <c r="AM179" i="23"/>
  <c r="AX23" i="22"/>
  <c r="AP23" i="22"/>
  <c r="X172" i="22"/>
  <c r="Y172" i="22" s="1"/>
  <c r="BD172" i="22"/>
  <c r="BV172" i="22"/>
  <c r="BT172" i="22"/>
  <c r="BS172" i="22"/>
  <c r="P204" i="12"/>
  <c r="BU193" i="22"/>
  <c r="CA193" i="22"/>
  <c r="AM163" i="23"/>
  <c r="BF15" i="22"/>
  <c r="BD196" i="22"/>
  <c r="X196" i="22"/>
  <c r="Y196" i="22" s="1"/>
  <c r="BS196" i="22"/>
  <c r="BV196" i="22"/>
  <c r="BA69" i="22"/>
  <c r="BF69" i="22" s="1"/>
  <c r="AP69" i="22"/>
  <c r="BC62" i="23"/>
  <c r="W50" i="8"/>
  <c r="X50" i="8" s="1"/>
  <c r="AX200" i="22"/>
  <c r="S185" i="12"/>
  <c r="R189" i="12"/>
  <c r="AP131" i="22"/>
  <c r="AZ66" i="22"/>
  <c r="AP66" i="22"/>
  <c r="S25" i="32"/>
  <c r="R234" i="9"/>
  <c r="AX32" i="22"/>
  <c r="AP32" i="22"/>
  <c r="V158" i="8"/>
  <c r="W14" i="32"/>
  <c r="R271" i="9"/>
  <c r="Z27" i="8"/>
  <c r="AX55" i="22"/>
  <c r="AP55" i="22"/>
  <c r="AZ75" i="22"/>
  <c r="AP75" i="22"/>
  <c r="CA199" i="22"/>
  <c r="BU199" i="22"/>
  <c r="BE199" i="22"/>
  <c r="BM199" i="22" s="1"/>
  <c r="BW177" i="22"/>
  <c r="CC177" i="22"/>
  <c r="BF177" i="22"/>
  <c r="BN177" i="22" s="1"/>
  <c r="AM120" i="23"/>
  <c r="AP422" i="22"/>
  <c r="AP224" i="22"/>
  <c r="BW187" i="22"/>
  <c r="CC187" i="22"/>
  <c r="BF187" i="22"/>
  <c r="BN187" i="22" s="1"/>
  <c r="W133" i="8"/>
  <c r="Y133" i="8" s="1"/>
  <c r="X133" i="8"/>
  <c r="BC199" i="22"/>
  <c r="BA61" i="22"/>
  <c r="BF61" i="22" s="1"/>
  <c r="AP61" i="22"/>
  <c r="AP188" i="22"/>
  <c r="AP281" i="22"/>
  <c r="U233" i="22"/>
  <c r="W233" i="22" s="1"/>
  <c r="BE60" i="22"/>
  <c r="BC60" i="22"/>
  <c r="BD60" i="22" s="1"/>
  <c r="S253" i="9"/>
  <c r="T253" i="9" s="1"/>
  <c r="AN253" i="9"/>
  <c r="AF253" i="9" s="1"/>
  <c r="AG253" i="9" s="1"/>
  <c r="AH253" i="9" s="1"/>
  <c r="AK253" i="9" s="1"/>
  <c r="X122" i="8"/>
  <c r="Y122" i="8" s="1"/>
  <c r="X179" i="12"/>
  <c r="AP119" i="22"/>
  <c r="AX119" i="22"/>
  <c r="BC76" i="23"/>
  <c r="AX49" i="22"/>
  <c r="AP49" i="22"/>
  <c r="CC140" i="22"/>
  <c r="BF140" i="22"/>
  <c r="BN140" i="22" s="1"/>
  <c r="P133" i="12"/>
  <c r="S43" i="12"/>
  <c r="AP434" i="22"/>
  <c r="R134" i="12"/>
  <c r="S44" i="12"/>
  <c r="V44" i="12" s="1"/>
  <c r="AY93" i="22"/>
  <c r="AP93" i="22"/>
  <c r="S187" i="12"/>
  <c r="AP338" i="22"/>
  <c r="BF44" i="22"/>
  <c r="AY8" i="22"/>
  <c r="BE8" i="22" s="1"/>
  <c r="AP8" i="22"/>
  <c r="BF28" i="22"/>
  <c r="BC28" i="22"/>
  <c r="BD28" i="22" s="1"/>
  <c r="AM299" i="23"/>
  <c r="BE50" i="22"/>
  <c r="BC50" i="22"/>
  <c r="BD50" i="22" s="1"/>
  <c r="AP507" i="22"/>
  <c r="Q196" i="12"/>
  <c r="P196" i="12"/>
  <c r="AP254" i="22"/>
  <c r="AG10" i="28"/>
  <c r="AG12" i="28" s="1"/>
  <c r="M106" i="12"/>
  <c r="M19" i="12"/>
  <c r="BE51" i="22"/>
  <c r="BC51" i="22"/>
  <c r="BD51" i="22" s="1"/>
  <c r="X175" i="22"/>
  <c r="Y175" i="22" s="1"/>
  <c r="BD175" i="22"/>
  <c r="BV175" i="22"/>
  <c r="BT175" i="22"/>
  <c r="BW175" i="22"/>
  <c r="BS175" i="22"/>
  <c r="U46" i="8"/>
  <c r="W46" i="8" s="1"/>
  <c r="V46" i="8"/>
  <c r="AP316" i="22"/>
  <c r="E29" i="12"/>
  <c r="E319" i="12"/>
  <c r="E287" i="12"/>
  <c r="E303" i="12"/>
  <c r="E271" i="12"/>
  <c r="AP460" i="22"/>
  <c r="AP39" i="22"/>
  <c r="AX39" i="22"/>
  <c r="BW151" i="22"/>
  <c r="CC151" i="22"/>
  <c r="BF151" i="22"/>
  <c r="BN151" i="22" s="1"/>
  <c r="BA68" i="22"/>
  <c r="BF68" i="22" s="1"/>
  <c r="AP68" i="22"/>
  <c r="AX120" i="22"/>
  <c r="AP120" i="22"/>
  <c r="T85" i="8"/>
  <c r="BB70" i="23"/>
  <c r="AZ70" i="23"/>
  <c r="BA70" i="23" s="1"/>
  <c r="V232" i="22"/>
  <c r="V220" i="22"/>
  <c r="BE12" i="22"/>
  <c r="BC12" i="22"/>
  <c r="BD12" i="22" s="1"/>
  <c r="Z23" i="32"/>
  <c r="R316" i="9"/>
  <c r="AB35" i="8"/>
  <c r="AE35" i="8" s="1"/>
  <c r="X147" i="22"/>
  <c r="Y147" i="22" s="1"/>
  <c r="BD147" i="22"/>
  <c r="BV147" i="22"/>
  <c r="BT147" i="22"/>
  <c r="BS147" i="22"/>
  <c r="CA152" i="22"/>
  <c r="BE152" i="22"/>
  <c r="BM152" i="22" s="1"/>
  <c r="BC152" i="22"/>
  <c r="BW152" i="22" s="1"/>
  <c r="G120" i="16"/>
  <c r="H72" i="16"/>
  <c r="AP326" i="22"/>
  <c r="AP383" i="22"/>
  <c r="AZ111" i="22"/>
  <c r="AP111" i="22"/>
  <c r="AP308" i="22"/>
  <c r="BE13" i="22"/>
  <c r="BC13" i="22"/>
  <c r="BD13" i="22" s="1"/>
  <c r="BE73" i="22"/>
  <c r="BC73" i="22"/>
  <c r="BD73" i="22" s="1"/>
  <c r="X188" i="12"/>
  <c r="W188" i="12"/>
  <c r="G115" i="16"/>
  <c r="H67" i="16"/>
  <c r="I67" i="16"/>
  <c r="AY36" i="22"/>
  <c r="AP36" i="22"/>
  <c r="J56" i="16"/>
  <c r="Y51" i="8"/>
  <c r="E313" i="12"/>
  <c r="E281" i="12"/>
  <c r="E23" i="12"/>
  <c r="E297" i="12"/>
  <c r="E265" i="12"/>
  <c r="J55" i="16"/>
  <c r="K55" i="16"/>
  <c r="AM199" i="23"/>
  <c r="U47" i="8"/>
  <c r="V47" i="8"/>
  <c r="P130" i="12"/>
  <c r="Q40" i="12"/>
  <c r="AM52" i="23"/>
  <c r="AU52" i="23"/>
  <c r="P73" i="12"/>
  <c r="AP81" i="22"/>
  <c r="V203" i="22"/>
  <c r="AP275" i="22"/>
  <c r="AP105" i="22"/>
  <c r="AM351" i="23"/>
  <c r="CA185" i="22"/>
  <c r="BU185" i="22"/>
  <c r="BE185" i="22"/>
  <c r="BM185" i="22" s="1"/>
  <c r="BU198" i="22"/>
  <c r="CA198" i="22"/>
  <c r="BE198" i="22"/>
  <c r="BM198" i="22" s="1"/>
  <c r="T53" i="8"/>
  <c r="V45" i="8"/>
  <c r="U45" i="8"/>
  <c r="AY200" i="22"/>
  <c r="BZ200" i="22" s="1"/>
  <c r="BD186" i="22"/>
  <c r="X186" i="22"/>
  <c r="Y186" i="22" s="1"/>
  <c r="BV186" i="22"/>
  <c r="BT186" i="22"/>
  <c r="T183" i="12"/>
  <c r="U183" i="12" s="1"/>
  <c r="CA187" i="22"/>
  <c r="BU187" i="22"/>
  <c r="BC187" i="22"/>
  <c r="BE187" i="22"/>
  <c r="BM187" i="22" s="1"/>
  <c r="AN227" i="9"/>
  <c r="AF227" i="9" s="1"/>
  <c r="AG227" i="9" s="1"/>
  <c r="AH227" i="9" s="1"/>
  <c r="AK227" i="9" s="1"/>
  <c r="S227" i="9"/>
  <c r="T227" i="9" s="1"/>
  <c r="BD167" i="22"/>
  <c r="X167" i="22"/>
  <c r="Y167" i="22" s="1"/>
  <c r="BT167" i="22"/>
  <c r="AM279" i="23"/>
  <c r="AM209" i="23"/>
  <c r="AM73" i="23"/>
  <c r="Q131" i="12"/>
  <c r="V41" i="12"/>
  <c r="AP357" i="22"/>
  <c r="AX18" i="22"/>
  <c r="AP18" i="22"/>
  <c r="AM344" i="23"/>
  <c r="U159" i="8"/>
  <c r="V159" i="8" s="1"/>
  <c r="AM271" i="23"/>
  <c r="AN268" i="9"/>
  <c r="AF268" i="9" s="1"/>
  <c r="AG268" i="9" s="1"/>
  <c r="AH268" i="9" s="1"/>
  <c r="AK268" i="9" s="1"/>
  <c r="S268" i="9"/>
  <c r="T268" i="9" s="1"/>
  <c r="CA151" i="22"/>
  <c r="BE151" i="22"/>
  <c r="BM151" i="22" s="1"/>
  <c r="BC151" i="22"/>
  <c r="AP416" i="22"/>
  <c r="U216" i="22"/>
  <c r="W216" i="22" s="1"/>
  <c r="U155" i="8"/>
  <c r="V155" i="8" s="1"/>
  <c r="AP418" i="22"/>
  <c r="AM282" i="23"/>
  <c r="L280" i="12"/>
  <c r="L292" i="12" s="1"/>
  <c r="L276" i="12"/>
  <c r="BD181" i="22"/>
  <c r="X181" i="22"/>
  <c r="Y181" i="22" s="1"/>
  <c r="BS181" i="22"/>
  <c r="AP273" i="22"/>
  <c r="AM300" i="23"/>
  <c r="BW196" i="22"/>
  <c r="CC196" i="22"/>
  <c r="BF196" i="22"/>
  <c r="BN196" i="22" s="1"/>
  <c r="AP405" i="22"/>
  <c r="BE106" i="22"/>
  <c r="BC106" i="22"/>
  <c r="BD106" i="22" s="1"/>
  <c r="X15" i="32"/>
  <c r="R284" i="9"/>
  <c r="CC162" i="22"/>
  <c r="BW162" i="22"/>
  <c r="BF162" i="22"/>
  <c r="BN162" i="22" s="1"/>
  <c r="BC136" i="22"/>
  <c r="BD136" i="22" s="1"/>
  <c r="BE136" i="22"/>
  <c r="BD194" i="22"/>
  <c r="X194" i="22"/>
  <c r="Y194" i="22" s="1"/>
  <c r="BS194" i="22"/>
  <c r="BV194" i="22"/>
  <c r="BT194" i="22"/>
  <c r="BD193" i="22"/>
  <c r="X193" i="22"/>
  <c r="Y193" i="22" s="1"/>
  <c r="BS193" i="22"/>
  <c r="BV193" i="22"/>
  <c r="BT193" i="22"/>
  <c r="AP491" i="22"/>
  <c r="U161" i="8"/>
  <c r="BW170" i="22"/>
  <c r="CC170" i="22"/>
  <c r="Z126" i="8"/>
  <c r="AZ26" i="22"/>
  <c r="BE26" i="22" s="1"/>
  <c r="AP26" i="22"/>
  <c r="T136" i="12"/>
  <c r="U46" i="12"/>
  <c r="W123" i="8"/>
  <c r="X123" i="8" s="1"/>
  <c r="G118" i="16"/>
  <c r="I70" i="16"/>
  <c r="H70" i="16"/>
  <c r="J52" i="16"/>
  <c r="L52" i="16" s="1"/>
  <c r="P75" i="12"/>
  <c r="O75" i="12"/>
  <c r="M83" i="12"/>
  <c r="M84" i="12" s="1"/>
  <c r="M13" i="12"/>
  <c r="AP466" i="22"/>
  <c r="BF170" i="22"/>
  <c r="BN170" i="22" s="1"/>
  <c r="X149" i="22"/>
  <c r="Y149" i="22" s="1"/>
  <c r="BD149" i="22"/>
  <c r="BS149" i="22"/>
  <c r="BV149" i="22"/>
  <c r="BW149" i="22"/>
  <c r="BU149" i="22"/>
  <c r="W129" i="8"/>
  <c r="X129" i="8" s="1"/>
  <c r="J50" i="16"/>
  <c r="L50" i="16" s="1"/>
  <c r="H59" i="16"/>
  <c r="AP354" i="22"/>
  <c r="BC57" i="23"/>
  <c r="AX135" i="22"/>
  <c r="AP135" i="22"/>
  <c r="J53" i="16"/>
  <c r="AY103" i="22"/>
  <c r="AP103" i="22"/>
  <c r="S85" i="8"/>
  <c r="AP243" i="22"/>
  <c r="CC188" i="22"/>
  <c r="BC188" i="22"/>
  <c r="BU188" i="22" s="1"/>
  <c r="V200" i="22"/>
  <c r="V212" i="22" s="1"/>
  <c r="AP139" i="22"/>
  <c r="AX35" i="22"/>
  <c r="AP35" i="22"/>
  <c r="E318" i="12"/>
  <c r="E28" i="12"/>
  <c r="E302" i="12"/>
  <c r="E286" i="12"/>
  <c r="E270" i="12"/>
  <c r="K52" i="16"/>
  <c r="AP88" i="22"/>
  <c r="O72" i="12"/>
  <c r="P72" i="12" s="1"/>
  <c r="AM293" i="23"/>
  <c r="CC176" i="22"/>
  <c r="BW176" i="22"/>
  <c r="BC176" i="22"/>
  <c r="BF176" i="22"/>
  <c r="BN176" i="22" s="1"/>
  <c r="S138" i="12"/>
  <c r="G117" i="16"/>
  <c r="H69" i="16"/>
  <c r="V223" i="22"/>
  <c r="V211" i="22"/>
  <c r="BC140" i="22"/>
  <c r="AW32" i="12"/>
  <c r="AW33" i="12"/>
  <c r="CA182" i="22"/>
  <c r="BU182" i="22"/>
  <c r="BE182" i="22"/>
  <c r="BM182" i="22" s="1"/>
  <c r="AM338" i="23"/>
  <c r="AM240" i="12"/>
  <c r="AM241" i="12" s="1"/>
  <c r="AM151" i="23"/>
  <c r="BT196" i="22"/>
  <c r="AY112" i="22"/>
  <c r="BE112" i="22" s="1"/>
  <c r="AP112" i="22"/>
  <c r="W18" i="32"/>
  <c r="R275" i="9"/>
  <c r="V16" i="32"/>
  <c r="R261" i="9"/>
  <c r="X28" i="8"/>
  <c r="R131" i="12"/>
  <c r="CC148" i="22"/>
  <c r="BC148" i="22"/>
  <c r="BU148" i="22" s="1"/>
  <c r="BD177" i="22"/>
  <c r="X177" i="22"/>
  <c r="Y177" i="22" s="1"/>
  <c r="BT177" i="22"/>
  <c r="BS177" i="22"/>
  <c r="V24" i="32"/>
  <c r="R269" i="9"/>
  <c r="X36" i="8"/>
  <c r="E283" i="12"/>
  <c r="E315" i="12"/>
  <c r="E267" i="12"/>
  <c r="E25" i="12"/>
  <c r="E299" i="12"/>
  <c r="AZ76" i="23"/>
  <c r="BA76" i="23" s="1"/>
  <c r="BB76" i="23"/>
  <c r="K280" i="12"/>
  <c r="K292" i="12" s="1"/>
  <c r="K276" i="12"/>
  <c r="CA179" i="22"/>
  <c r="BC179" i="22"/>
  <c r="BU179" i="22" s="1"/>
  <c r="BE179" i="22"/>
  <c r="BM179" i="22" s="1"/>
  <c r="BF75" i="22"/>
  <c r="AM254" i="23"/>
  <c r="X170" i="22"/>
  <c r="Y170" i="22" s="1"/>
  <c r="BD170" i="22"/>
  <c r="BS170" i="22"/>
  <c r="BT170" i="22"/>
  <c r="X52" i="8"/>
  <c r="Y52" i="8" s="1"/>
  <c r="AP60" i="22"/>
  <c r="V154" i="8"/>
  <c r="W154" i="8" s="1"/>
  <c r="BB54" i="23"/>
  <c r="AZ54" i="23"/>
  <c r="BA54" i="23" s="1"/>
  <c r="AP204" i="22"/>
  <c r="BE88" i="22"/>
  <c r="BC88" i="22"/>
  <c r="BD88" i="22" s="1"/>
  <c r="AP339" i="22"/>
  <c r="AP265" i="22"/>
  <c r="AP469" i="22"/>
  <c r="O137" i="12"/>
  <c r="P47" i="12"/>
  <c r="AX76" i="22"/>
  <c r="AP76" i="22"/>
  <c r="BV167" i="22"/>
  <c r="BS182" i="22"/>
  <c r="BE116" i="22"/>
  <c r="BC116" i="22"/>
  <c r="BD116" i="22" s="1"/>
  <c r="AM64" i="23"/>
  <c r="AU64" i="23"/>
  <c r="AM280" i="23"/>
  <c r="AP208" i="22"/>
  <c r="I121" i="16"/>
  <c r="K73" i="16"/>
  <c r="BE93" i="22"/>
  <c r="BC93" i="22"/>
  <c r="BD93" i="22" s="1"/>
  <c r="G116" i="16"/>
  <c r="H68" i="16"/>
  <c r="I68" i="16"/>
  <c r="AM266" i="23"/>
  <c r="X143" i="22"/>
  <c r="Y143" i="22" s="1"/>
  <c r="BD143" i="22"/>
  <c r="BV143" i="22"/>
  <c r="BS143" i="22"/>
  <c r="BT143" i="22"/>
  <c r="CA146" i="22"/>
  <c r="AM132" i="23"/>
  <c r="AP91" i="22"/>
  <c r="AX91" i="22"/>
  <c r="AM118" i="23"/>
  <c r="AJ23" i="28"/>
  <c r="AK21" i="28"/>
  <c r="BE63" i="22"/>
  <c r="BC63" i="22"/>
  <c r="BD63" i="22" s="1"/>
  <c r="AX126" i="22"/>
  <c r="AP126" i="22"/>
  <c r="AM327" i="23"/>
  <c r="CA172" i="22"/>
  <c r="BU172" i="22"/>
  <c r="CA162" i="22"/>
  <c r="BU162" i="22"/>
  <c r="AP295" i="22"/>
  <c r="CC197" i="22"/>
  <c r="G122" i="16"/>
  <c r="H74" i="16"/>
  <c r="BF98" i="22"/>
  <c r="V230" i="22"/>
  <c r="AP241" i="22"/>
  <c r="T139" i="8"/>
  <c r="T146" i="8"/>
  <c r="T141" i="8"/>
  <c r="T144" i="8"/>
  <c r="T148" i="8"/>
  <c r="BC73" i="23"/>
  <c r="AP440" i="22"/>
  <c r="AP499" i="22"/>
  <c r="AP158" i="22"/>
  <c r="AM205" i="23"/>
  <c r="AM307" i="23"/>
  <c r="AP449" i="22"/>
  <c r="BS155" i="22"/>
  <c r="AM333" i="23"/>
  <c r="AX129" i="22"/>
  <c r="AP129" i="22"/>
  <c r="AP392" i="22"/>
  <c r="W179" i="12"/>
  <c r="BE66" i="22"/>
  <c r="BC66" i="22"/>
  <c r="BD66" i="22" s="1"/>
  <c r="AN251" i="9"/>
  <c r="AF251" i="9" s="1"/>
  <c r="AG251" i="9" s="1"/>
  <c r="AH251" i="9" s="1"/>
  <c r="AK251" i="9" s="1"/>
  <c r="S251" i="9"/>
  <c r="T251" i="9" s="1"/>
  <c r="AP134" i="22"/>
  <c r="H121" i="16"/>
  <c r="BE77" i="22"/>
  <c r="BC77" i="22"/>
  <c r="BD77" i="22" s="1"/>
  <c r="E316" i="12"/>
  <c r="E284" i="12"/>
  <c r="E300" i="12"/>
  <c r="E26" i="12"/>
  <c r="E268" i="12"/>
  <c r="BD189" i="22"/>
  <c r="X189" i="22"/>
  <c r="Y189" i="22" s="1"/>
  <c r="BV189" i="22"/>
  <c r="BS189" i="22"/>
  <c r="BT189" i="22"/>
  <c r="AP237" i="22"/>
  <c r="AX24" i="22"/>
  <c r="AP24" i="22"/>
  <c r="BE62" i="22"/>
  <c r="BC62" i="22"/>
  <c r="BD62" i="22" s="1"/>
  <c r="AM106" i="23"/>
  <c r="V186" i="12"/>
  <c r="S221" i="9"/>
  <c r="T221" i="9" s="1"/>
  <c r="AN221" i="9"/>
  <c r="AF221" i="9" s="1"/>
  <c r="AG221" i="9" s="1"/>
  <c r="AH221" i="9" s="1"/>
  <c r="AK221" i="9" s="1"/>
  <c r="CA197" i="22"/>
  <c r="AM58" i="23"/>
  <c r="AU58" i="23"/>
  <c r="BC197" i="22"/>
  <c r="AP157" i="22"/>
  <c r="X131" i="8"/>
  <c r="AM305" i="23"/>
  <c r="CA147" i="22"/>
  <c r="BU147" i="22"/>
  <c r="AP375" i="22"/>
  <c r="G119" i="16"/>
  <c r="H71" i="16"/>
  <c r="I71" i="16"/>
  <c r="J71" i="16"/>
  <c r="K71" i="16"/>
  <c r="L71" i="16" s="1"/>
  <c r="AX98" i="22"/>
  <c r="AP98" i="22"/>
  <c r="BF78" i="22"/>
  <c r="BW144" i="22"/>
  <c r="AP314" i="22"/>
  <c r="BW185" i="22"/>
  <c r="CC185" i="22"/>
  <c r="BW166" i="22"/>
  <c r="BW143" i="22"/>
  <c r="AX92" i="22"/>
  <c r="AP92" i="22"/>
  <c r="V18" i="32"/>
  <c r="R263" i="9"/>
  <c r="G35" i="19"/>
  <c r="G43" i="19" s="1"/>
  <c r="N239" i="12" s="1"/>
  <c r="BC146" i="22"/>
  <c r="BW146" i="22" s="1"/>
  <c r="AP315" i="22"/>
  <c r="CC167" i="22"/>
  <c r="BW167" i="22"/>
  <c r="AP16" i="22"/>
  <c r="AX16" i="22"/>
  <c r="AP19" i="22"/>
  <c r="BW183" i="22"/>
  <c r="CC183" i="22"/>
  <c r="AM365" i="23"/>
  <c r="AP236" i="22"/>
  <c r="CA165" i="22"/>
  <c r="BU165" i="22"/>
  <c r="CA171" i="22"/>
  <c r="AP482" i="22"/>
  <c r="AP458" i="22"/>
  <c r="BE61" i="22"/>
  <c r="BC61" i="22"/>
  <c r="BD61" i="22" s="1"/>
  <c r="S213" i="9"/>
  <c r="T213" i="9" s="1"/>
  <c r="AN213" i="9"/>
  <c r="AF213" i="9" s="1"/>
  <c r="AG213" i="9" s="1"/>
  <c r="AH213" i="9" s="1"/>
  <c r="AK213" i="9" s="1"/>
  <c r="AM46" i="23"/>
  <c r="AU46" i="23"/>
  <c r="AP411" i="22"/>
  <c r="L222" i="12"/>
  <c r="L224" i="12"/>
  <c r="L324" i="12" s="1"/>
  <c r="L226" i="12"/>
  <c r="L221" i="12"/>
  <c r="L244" i="12" s="1"/>
  <c r="L223" i="12"/>
  <c r="AP141" i="22"/>
  <c r="X180" i="22"/>
  <c r="Y180" i="22" s="1"/>
  <c r="BD180" i="22"/>
  <c r="BV180" i="22"/>
  <c r="AM262" i="23"/>
  <c r="AP390" i="22"/>
  <c r="AM184" i="23"/>
  <c r="AP230" i="22"/>
  <c r="BC75" i="23"/>
  <c r="Q200" i="12"/>
  <c r="R200" i="12" s="1"/>
  <c r="BF50" i="22"/>
  <c r="BC134" i="22"/>
  <c r="BD134" i="22" s="1"/>
  <c r="BE134" i="22"/>
  <c r="BD168" i="22"/>
  <c r="X168" i="22"/>
  <c r="Y168" i="22" s="1"/>
  <c r="BS168" i="22"/>
  <c r="BC70" i="23"/>
  <c r="AM218" i="23"/>
  <c r="E322" i="12"/>
  <c r="E290" i="12"/>
  <c r="E274" i="12"/>
  <c r="E306" i="12"/>
  <c r="E32" i="12"/>
  <c r="V217" i="22"/>
  <c r="AM215" i="23"/>
  <c r="BF128" i="22"/>
  <c r="AP387" i="22"/>
  <c r="AP168" i="22"/>
  <c r="AP367" i="22"/>
  <c r="BE86" i="22"/>
  <c r="BC86" i="22"/>
  <c r="BD86" i="22" s="1"/>
  <c r="AP63" i="22"/>
  <c r="AM130" i="23"/>
  <c r="U128" i="12"/>
  <c r="BE197" i="22"/>
  <c r="BM197" i="22" s="1"/>
  <c r="AM212" i="23"/>
  <c r="AP398" i="22"/>
  <c r="BC54" i="23"/>
  <c r="T21" i="32"/>
  <c r="R242" i="9"/>
  <c r="AP483" i="22"/>
  <c r="BF42" i="22"/>
  <c r="AX70" i="22"/>
  <c r="AP70" i="22"/>
  <c r="BA200" i="22"/>
  <c r="AJ3" i="28"/>
  <c r="O133" i="12"/>
  <c r="T43" i="12"/>
  <c r="BF17" i="22"/>
  <c r="AP286" i="22"/>
  <c r="AU81" i="12"/>
  <c r="AU80" i="12"/>
  <c r="AV81" i="12"/>
  <c r="AV80" i="12"/>
  <c r="V161" i="8"/>
  <c r="BF197" i="22"/>
  <c r="BN197" i="22" s="1"/>
  <c r="S280" i="9"/>
  <c r="T280" i="9" s="1"/>
  <c r="AN280" i="9"/>
  <c r="AF280" i="9" s="1"/>
  <c r="AG280" i="9" s="1"/>
  <c r="AH280" i="9" s="1"/>
  <c r="AK280" i="9" s="1"/>
  <c r="BE90" i="22"/>
  <c r="BC90" i="22"/>
  <c r="BD90" i="22" s="1"/>
  <c r="G114" i="16"/>
  <c r="H66" i="16"/>
  <c r="AX97" i="22"/>
  <c r="AP97" i="22"/>
  <c r="AP7" i="22"/>
  <c r="AX7" i="22"/>
  <c r="AP21" i="22"/>
  <c r="AX21" i="22"/>
  <c r="U186" i="12"/>
  <c r="BF122" i="22"/>
  <c r="AN215" i="9"/>
  <c r="AF215" i="9" s="1"/>
  <c r="AG215" i="9" s="1"/>
  <c r="AH215" i="9" s="1"/>
  <c r="AK215" i="9" s="1"/>
  <c r="S215" i="9"/>
  <c r="T215" i="9" s="1"/>
  <c r="AH11" i="28"/>
  <c r="N174" i="12"/>
  <c r="N19" i="12"/>
  <c r="BE146" i="22"/>
  <c r="BM146" i="22" s="1"/>
  <c r="G87" i="13"/>
  <c r="G71" i="13" s="1"/>
  <c r="AJ27" i="28"/>
  <c r="AI29" i="28"/>
  <c r="AX48" i="22"/>
  <c r="AP48" i="22"/>
  <c r="AM127" i="23"/>
  <c r="BF37" i="22"/>
  <c r="AP210" i="22"/>
  <c r="AP137" i="22"/>
  <c r="BE19" i="22"/>
  <c r="BC19" i="22"/>
  <c r="BD19" i="22" s="1"/>
  <c r="U162" i="8"/>
  <c r="AP473" i="22"/>
  <c r="AM172" i="23"/>
  <c r="BE165" i="22"/>
  <c r="BM165" i="22" s="1"/>
  <c r="CA155" i="22"/>
  <c r="BU155" i="22"/>
  <c r="BF32" i="22"/>
  <c r="BE171" i="22"/>
  <c r="BM171" i="22" s="1"/>
  <c r="AM174" i="23"/>
  <c r="AP484" i="22"/>
  <c r="AP244" i="22"/>
  <c r="AX115" i="22"/>
  <c r="AP115" i="22"/>
  <c r="AP272" i="22"/>
  <c r="AP191" i="22"/>
  <c r="AP181" i="22"/>
  <c r="CA175" i="22"/>
  <c r="BU175" i="22"/>
  <c r="BB75" i="23"/>
  <c r="AZ75" i="23"/>
  <c r="BA75" i="23" s="1"/>
  <c r="AX10" i="22"/>
  <c r="AP10" i="22"/>
  <c r="BF46" i="22"/>
  <c r="AX118" i="22"/>
  <c r="AP118" i="22"/>
  <c r="G42" i="18"/>
  <c r="N238" i="12" s="1"/>
  <c r="AP163" i="22"/>
  <c r="AM155" i="23"/>
  <c r="AM47" i="23"/>
  <c r="AU47" i="23"/>
  <c r="CC157" i="22"/>
  <c r="BW157" i="22"/>
  <c r="AM62" i="23"/>
  <c r="AU62" i="23"/>
  <c r="BD156" i="22"/>
  <c r="X156" i="22"/>
  <c r="Y156" i="22" s="1"/>
  <c r="BS156" i="22"/>
  <c r="BE81" i="22"/>
  <c r="BC81" i="22"/>
  <c r="BD81" i="22" s="1"/>
  <c r="CA158" i="22"/>
  <c r="BW195" i="22"/>
  <c r="CC195" i="22"/>
  <c r="U180" i="12"/>
  <c r="AM259" i="23"/>
  <c r="BD155" i="22"/>
  <c r="X155" i="22"/>
  <c r="Y155" i="22" s="1"/>
  <c r="BV155" i="22"/>
  <c r="AM223" i="23"/>
  <c r="AP441" i="22"/>
  <c r="CA144" i="22"/>
  <c r="BU144" i="22"/>
  <c r="BB48" i="23"/>
  <c r="AZ48" i="23"/>
  <c r="BA48" i="23" s="1"/>
  <c r="X127" i="8"/>
  <c r="Y127" i="8" s="1"/>
  <c r="O130" i="12"/>
  <c r="AP124" i="22"/>
  <c r="AX124" i="22"/>
  <c r="BE147" i="22"/>
  <c r="BM147" i="22" s="1"/>
  <c r="BE101" i="22"/>
  <c r="BC101" i="22"/>
  <c r="BD101" i="22" s="1"/>
  <c r="AP73" i="22"/>
  <c r="BC52" i="23"/>
  <c r="O131" i="12"/>
  <c r="AX38" i="12"/>
  <c r="T41" i="12"/>
  <c r="AP123" i="22"/>
  <c r="AX123" i="22"/>
  <c r="AM250" i="23"/>
  <c r="AX42" i="22"/>
  <c r="AP42" i="22"/>
  <c r="AI75" i="28"/>
  <c r="AH4" i="28"/>
  <c r="AH5" i="28" s="1"/>
  <c r="AH7" i="28" s="1"/>
  <c r="BU157" i="22"/>
  <c r="CA157" i="22"/>
  <c r="BE105" i="22"/>
  <c r="BC105" i="22"/>
  <c r="BD105" i="22" s="1"/>
  <c r="AP468" i="22"/>
  <c r="BC56" i="23"/>
  <c r="AW56" i="12"/>
  <c r="N153" i="12"/>
  <c r="BE95" i="22"/>
  <c r="BC95" i="22"/>
  <c r="BD95" i="22" s="1"/>
  <c r="AX9" i="22"/>
  <c r="AP9" i="22"/>
  <c r="BF21" i="22"/>
  <c r="AP15" i="22"/>
  <c r="AX15" i="22"/>
  <c r="CA148" i="22"/>
  <c r="AX102" i="22"/>
  <c r="AP102" i="22"/>
  <c r="CA186" i="22"/>
  <c r="BU186" i="22"/>
  <c r="AP420" i="22"/>
  <c r="K36" i="13"/>
  <c r="K40" i="13"/>
  <c r="K31" i="13"/>
  <c r="K30" i="13"/>
  <c r="K38" i="13"/>
  <c r="K41" i="13"/>
  <c r="K33" i="13"/>
  <c r="K35" i="13"/>
  <c r="K37" i="13"/>
  <c r="K32" i="13"/>
  <c r="K34" i="13"/>
  <c r="K39" i="13"/>
  <c r="AM85" i="23"/>
  <c r="BF195" i="22"/>
  <c r="BN195" i="22" s="1"/>
  <c r="BC27" i="22"/>
  <c r="BD27" i="22" s="1"/>
  <c r="BE27" i="22"/>
  <c r="AM375" i="23"/>
  <c r="BC165" i="22"/>
  <c r="AP413" i="22"/>
  <c r="BC171" i="22"/>
  <c r="BE144" i="22"/>
  <c r="BM144" i="22" s="1"/>
  <c r="K58" i="16"/>
  <c r="P198" i="12"/>
  <c r="Q198" i="12" s="1"/>
  <c r="AP345" i="22"/>
  <c r="AP74" i="22"/>
  <c r="AX74" i="22"/>
  <c r="P195" i="12"/>
  <c r="AP421" i="22"/>
  <c r="P202" i="12"/>
  <c r="AM221" i="23"/>
  <c r="CA180" i="22"/>
  <c r="BU180" i="22"/>
  <c r="AQ35" i="16"/>
  <c r="AP302" i="22"/>
  <c r="I59" i="16"/>
  <c r="AM362" i="23"/>
  <c r="CC182" i="22"/>
  <c r="BW182" i="22"/>
  <c r="AP213" i="22"/>
  <c r="CA181" i="22"/>
  <c r="BU181" i="22"/>
  <c r="S128" i="12"/>
  <c r="Y26" i="8"/>
  <c r="BC36" i="22"/>
  <c r="BD36" i="22" s="1"/>
  <c r="BE36" i="22"/>
  <c r="G108" i="16"/>
  <c r="H112" i="16"/>
  <c r="I64" i="16"/>
  <c r="J64" i="16"/>
  <c r="BV157" i="22"/>
  <c r="S248" i="9"/>
  <c r="T248" i="9" s="1"/>
  <c r="AN248" i="9"/>
  <c r="AF248" i="9" s="1"/>
  <c r="AG248" i="9" s="1"/>
  <c r="AH248" i="9" s="1"/>
  <c r="AK248" i="9" s="1"/>
  <c r="BE22" i="22"/>
  <c r="BC22" i="22"/>
  <c r="BD22" i="22" s="1"/>
  <c r="S235" i="9"/>
  <c r="T235" i="9" s="1"/>
  <c r="AN235" i="9"/>
  <c r="AF235" i="9" s="1"/>
  <c r="AG235" i="9" s="1"/>
  <c r="AH235" i="9" s="1"/>
  <c r="AK235" i="9" s="1"/>
  <c r="X126" i="8"/>
  <c r="AZ56" i="23"/>
  <c r="BA56" i="23" s="1"/>
  <c r="T22" i="32"/>
  <c r="R243" i="9"/>
  <c r="AM68" i="23"/>
  <c r="AP251" i="22"/>
  <c r="BF119" i="22"/>
  <c r="AZ72" i="23"/>
  <c r="BA72" i="23" s="1"/>
  <c r="BB72" i="23"/>
  <c r="CC154" i="22"/>
  <c r="AP175" i="22"/>
  <c r="AP17" i="22"/>
  <c r="AX17" i="22"/>
  <c r="AP133" i="22"/>
  <c r="X49" i="8"/>
  <c r="V34" i="8"/>
  <c r="BE158" i="22"/>
  <c r="BM158" i="22" s="1"/>
  <c r="E317" i="12"/>
  <c r="E285" i="12"/>
  <c r="E269" i="12"/>
  <c r="E27" i="12"/>
  <c r="E301" i="12"/>
  <c r="BW165" i="22"/>
  <c r="CC165" i="22"/>
  <c r="G41" i="18"/>
  <c r="G107" i="16"/>
  <c r="G42" i="19"/>
  <c r="V15" i="32"/>
  <c r="R260" i="9"/>
  <c r="Y149" i="8"/>
  <c r="AM267" i="23"/>
  <c r="CC171" i="22"/>
  <c r="BW171" i="22"/>
  <c r="AJ47" i="28"/>
  <c r="AK45" i="28"/>
  <c r="S22" i="8"/>
  <c r="P42" i="12"/>
  <c r="AM355" i="23"/>
  <c r="CA166" i="22"/>
  <c r="BU166" i="22"/>
  <c r="BE170" i="22"/>
  <c r="BM170" i="22" s="1"/>
  <c r="AP238" i="22"/>
  <c r="P45" i="12"/>
  <c r="AP46" i="22"/>
  <c r="AX46" i="22"/>
  <c r="AM231" i="23"/>
  <c r="K48" i="16"/>
  <c r="O48" i="16" s="1"/>
  <c r="AX14" i="22"/>
  <c r="AP14" i="22"/>
  <c r="AP406" i="22"/>
  <c r="BE133" i="22"/>
  <c r="BC133" i="22"/>
  <c r="BD133" i="22" s="1"/>
  <c r="BE83" i="22"/>
  <c r="BC83" i="22"/>
  <c r="BD83" i="22" s="1"/>
  <c r="AM67" i="23"/>
  <c r="AU67" i="23"/>
  <c r="AM202" i="23"/>
  <c r="X142" i="22"/>
  <c r="Y142" i="22" s="1"/>
  <c r="BD142" i="22"/>
  <c r="AN224" i="9"/>
  <c r="AF224" i="9" s="1"/>
  <c r="AG224" i="9" s="1"/>
  <c r="AH224" i="9" s="1"/>
  <c r="AK224" i="9" s="1"/>
  <c r="S224" i="9"/>
  <c r="T224" i="9" s="1"/>
  <c r="CA154" i="22"/>
  <c r="CC163" i="22"/>
  <c r="BW163" i="22"/>
  <c r="BF129" i="22"/>
  <c r="AW42" i="12"/>
  <c r="AP266" i="22"/>
  <c r="Q138" i="12"/>
  <c r="CC141" i="22"/>
  <c r="BW141" i="22"/>
  <c r="AM234" i="23"/>
  <c r="T157" i="8"/>
  <c r="S138" i="8"/>
  <c r="T138" i="8" s="1"/>
  <c r="S145" i="8"/>
  <c r="T145" i="8" s="1"/>
  <c r="S140" i="8"/>
  <c r="T140" i="8" s="1"/>
  <c r="S147" i="8"/>
  <c r="T147" i="8" s="1"/>
  <c r="S142" i="8"/>
  <c r="T142" i="8" s="1"/>
  <c r="S139" i="8"/>
  <c r="S141" i="8"/>
  <c r="S146" i="8"/>
  <c r="S148" i="8"/>
  <c r="S144" i="8"/>
  <c r="S143" i="8"/>
  <c r="T143" i="8" s="1"/>
  <c r="T163" i="8"/>
  <c r="CA184" i="22"/>
  <c r="S230" i="9"/>
  <c r="T230" i="9" s="1"/>
  <c r="AN230" i="9"/>
  <c r="AF230" i="9" s="1"/>
  <c r="AG230" i="9" s="1"/>
  <c r="AH230" i="9" s="1"/>
  <c r="AK230" i="9" s="1"/>
  <c r="S216" i="9"/>
  <c r="T216" i="9" s="1"/>
  <c r="AN216" i="9"/>
  <c r="AF216" i="9" s="1"/>
  <c r="AG216" i="9" s="1"/>
  <c r="AH216" i="9" s="1"/>
  <c r="AK216" i="9" s="1"/>
  <c r="I108" i="12"/>
  <c r="I7" i="12"/>
  <c r="I18" i="12"/>
  <c r="I119" i="12" s="1"/>
  <c r="I12" i="12"/>
  <c r="P134" i="12"/>
  <c r="AY39" i="12"/>
  <c r="U44" i="12"/>
  <c r="BC111" i="22"/>
  <c r="BD111" i="22" s="1"/>
  <c r="BE111" i="22"/>
  <c r="AM363" i="23"/>
  <c r="AX80" i="22"/>
  <c r="AP80" i="22"/>
  <c r="AP270" i="22"/>
  <c r="AM154" i="23"/>
  <c r="R40" i="12"/>
  <c r="CA142" i="22"/>
  <c r="BU142" i="22"/>
  <c r="AP401" i="22"/>
  <c r="V33" i="8"/>
  <c r="AP205" i="22"/>
  <c r="U16" i="32"/>
  <c r="R249" i="9"/>
  <c r="Z28" i="8"/>
  <c r="BF126" i="22"/>
  <c r="T65" i="8"/>
  <c r="T60" i="8"/>
  <c r="T67" i="8"/>
  <c r="T62" i="8"/>
  <c r="T69" i="8" s="1"/>
  <c r="T63" i="8"/>
  <c r="T64" i="8"/>
  <c r="T66" i="8"/>
  <c r="T68" i="8"/>
  <c r="T61" i="8"/>
  <c r="T58" i="8"/>
  <c r="T59" i="8"/>
  <c r="BF141" i="22"/>
  <c r="BN141" i="22" s="1"/>
  <c r="BU160" i="22"/>
  <c r="CA160" i="22"/>
  <c r="N147" i="12"/>
  <c r="AW54" i="12"/>
  <c r="CC174" i="22"/>
  <c r="BW174" i="22"/>
  <c r="AM168" i="23"/>
  <c r="BC184" i="22"/>
  <c r="BU184" i="22" s="1"/>
  <c r="S236" i="9"/>
  <c r="T236" i="9" s="1"/>
  <c r="AN236" i="9"/>
  <c r="AF236" i="9" s="1"/>
  <c r="AG236" i="9" s="1"/>
  <c r="AH236" i="9" s="1"/>
  <c r="AK236" i="9" s="1"/>
  <c r="BW181" i="22"/>
  <c r="CC181" i="22"/>
  <c r="BE148" i="22"/>
  <c r="BM148" i="22" s="1"/>
  <c r="AM95" i="23"/>
  <c r="BT142" i="22"/>
  <c r="CC172" i="22"/>
  <c r="BW172" i="22"/>
  <c r="V156" i="8"/>
  <c r="AM329" i="23"/>
  <c r="BU163" i="22"/>
  <c r="CA163" i="22"/>
  <c r="AZ63" i="23"/>
  <c r="BA63" i="23" s="1"/>
  <c r="BB63" i="23"/>
  <c r="CA176" i="22"/>
  <c r="BU176" i="22"/>
  <c r="AM298" i="23"/>
  <c r="AM347" i="23"/>
  <c r="Q45" i="12"/>
  <c r="AZ39" i="12" s="1"/>
  <c r="BU159" i="22"/>
  <c r="CA159" i="22"/>
  <c r="L48" i="16"/>
  <c r="N48" i="16" s="1"/>
  <c r="BF154" i="22"/>
  <c r="BN154" i="22" s="1"/>
  <c r="AP479" i="22"/>
  <c r="U24" i="32"/>
  <c r="R257" i="9"/>
  <c r="S231" i="9"/>
  <c r="T231" i="9" s="1"/>
  <c r="AN231" i="9"/>
  <c r="AF231" i="9" s="1"/>
  <c r="AG231" i="9" s="1"/>
  <c r="AH231" i="9" s="1"/>
  <c r="AK231" i="9" s="1"/>
  <c r="AP424" i="22"/>
  <c r="O134" i="12"/>
  <c r="AX39" i="12"/>
  <c r="T44" i="12"/>
  <c r="AP368" i="22"/>
  <c r="CA192" i="22"/>
  <c r="BU192" i="22"/>
  <c r="Y23" i="32"/>
  <c r="R304" i="9"/>
  <c r="AD35" i="8"/>
  <c r="BW193" i="22"/>
  <c r="CC193" i="22"/>
  <c r="N280" i="12"/>
  <c r="AM328" i="23"/>
  <c r="AM272" i="23"/>
  <c r="BC154" i="22"/>
  <c r="BW154" i="22" s="1"/>
  <c r="V8" i="8"/>
  <c r="U70" i="8"/>
  <c r="U17" i="8"/>
  <c r="U7" i="8"/>
  <c r="U86" i="8" s="1"/>
  <c r="AP280" i="22"/>
  <c r="J57" i="16"/>
  <c r="T48" i="12"/>
  <c r="O138" i="12"/>
  <c r="BE75" i="22"/>
  <c r="BC75" i="22"/>
  <c r="BD75" i="22" s="1"/>
  <c r="AM177" i="23"/>
  <c r="U181" i="12"/>
  <c r="CA194" i="22"/>
  <c r="AZ200" i="22" s="1"/>
  <c r="CA200" i="22" s="1"/>
  <c r="BU194" i="22"/>
  <c r="AP509" i="22"/>
  <c r="Q201" i="12"/>
  <c r="AX99" i="22"/>
  <c r="AP99" i="22"/>
  <c r="BS160" i="22"/>
  <c r="CC179" i="22"/>
  <c r="BF174" i="22"/>
  <c r="BN174" i="22" s="1"/>
  <c r="CA161" i="22"/>
  <c r="BU161" i="22"/>
  <c r="BE184" i="22"/>
  <c r="BM184" i="22" s="1"/>
  <c r="BF181" i="22"/>
  <c r="BN181" i="22" s="1"/>
  <c r="AM276" i="23"/>
  <c r="AM97" i="23"/>
  <c r="CA188" i="22"/>
  <c r="AP183" i="22"/>
  <c r="AM125" i="23"/>
  <c r="BF165" i="22"/>
  <c r="BN165" i="22" s="1"/>
  <c r="CC194" i="22"/>
  <c r="BB200" i="22" s="1"/>
  <c r="CC200" i="22" s="1"/>
  <c r="BW194" i="22"/>
  <c r="I65" i="16"/>
  <c r="M222" i="12"/>
  <c r="M224" i="12"/>
  <c r="M324" i="12" s="1"/>
  <c r="M226" i="12"/>
  <c r="M221" i="12"/>
  <c r="M223" i="12"/>
  <c r="AP493" i="22"/>
  <c r="AM319" i="23"/>
  <c r="AP234" i="22"/>
  <c r="BC163" i="22"/>
  <c r="CC164" i="22"/>
  <c r="AP492" i="22"/>
  <c r="BC159" i="22"/>
  <c r="BW159" i="22" s="1"/>
  <c r="E321" i="12"/>
  <c r="E273" i="12"/>
  <c r="E289" i="12"/>
  <c r="E305" i="12"/>
  <c r="E31" i="12"/>
  <c r="AX84" i="22"/>
  <c r="AP84" i="22"/>
  <c r="W44" i="8"/>
  <c r="M48" i="16"/>
  <c r="BC72" i="23"/>
  <c r="AP431" i="22"/>
  <c r="V245" i="22"/>
  <c r="V257" i="22" s="1"/>
  <c r="U221" i="22"/>
  <c r="W221" i="22" s="1"/>
  <c r="BC131" i="22"/>
  <c r="BD131" i="22" s="1"/>
  <c r="BE131" i="22"/>
  <c r="BC158" i="22"/>
  <c r="BU158" i="22" s="1"/>
  <c r="BD145" i="22"/>
  <c r="X145" i="22"/>
  <c r="Y145" i="22" s="1"/>
  <c r="BS145" i="22"/>
  <c r="BE154" i="22"/>
  <c r="BM154" i="22" s="1"/>
  <c r="BF163" i="22"/>
  <c r="BN163" i="22" s="1"/>
  <c r="AJ39" i="28"/>
  <c r="AI41" i="28"/>
  <c r="K57" i="16"/>
  <c r="P138" i="12"/>
  <c r="S223" i="9"/>
  <c r="T223" i="9" s="1"/>
  <c r="AN223" i="9"/>
  <c r="AF223" i="9" s="1"/>
  <c r="AG223" i="9" s="1"/>
  <c r="AH223" i="9" s="1"/>
  <c r="AK223" i="9" s="1"/>
  <c r="BF8" i="22"/>
  <c r="W17" i="32"/>
  <c r="R274" i="9"/>
  <c r="R201" i="12"/>
  <c r="N65" i="12"/>
  <c r="N155" i="12" s="1"/>
  <c r="X161" i="22"/>
  <c r="Y161" i="22" s="1"/>
  <c r="BD161" i="22"/>
  <c r="BC26" i="22"/>
  <c r="BD26" i="22" s="1"/>
  <c r="BU183" i="22"/>
  <c r="CA183" i="22"/>
  <c r="AP147" i="22"/>
  <c r="E8" i="16"/>
  <c r="E11" i="16"/>
  <c r="E10" i="16" s="1"/>
  <c r="AP504" i="22"/>
  <c r="AM317" i="23"/>
  <c r="CA190" i="22"/>
  <c r="BU190" i="22"/>
  <c r="AM294" i="23"/>
  <c r="BF127" i="22"/>
  <c r="CA169" i="22"/>
  <c r="AU77" i="23"/>
  <c r="AX77" i="23"/>
  <c r="AW77" i="23"/>
  <c r="AV77" i="23"/>
  <c r="P77" i="23"/>
  <c r="AY77" i="23"/>
  <c r="AP242" i="22"/>
  <c r="AP425" i="22"/>
  <c r="AX31" i="22"/>
  <c r="AP31" i="22"/>
  <c r="BF172" i="22"/>
  <c r="BN172" i="22" s="1"/>
  <c r="AJ240" i="12"/>
  <c r="AJ241" i="12" s="1"/>
  <c r="CC168" i="22"/>
  <c r="BW168" i="22"/>
  <c r="AM83" i="23"/>
  <c r="BE163" i="22"/>
  <c r="BM163" i="22" s="1"/>
  <c r="BW178" i="22"/>
  <c r="CC178" i="22"/>
  <c r="CC146" i="22"/>
  <c r="AP335" i="22"/>
  <c r="AP57" i="22"/>
  <c r="AX57" i="22"/>
  <c r="BF95" i="22"/>
  <c r="BT153" i="22"/>
  <c r="AM131" i="23"/>
  <c r="AM331" i="23"/>
  <c r="AM321" i="23"/>
  <c r="P203" i="12"/>
  <c r="S245" i="9"/>
  <c r="T245" i="9" s="1"/>
  <c r="AN245" i="9"/>
  <c r="AF245" i="9" s="1"/>
  <c r="AG245" i="9" s="1"/>
  <c r="AH245" i="9" s="1"/>
  <c r="AK245" i="9" s="1"/>
  <c r="BE117" i="22"/>
  <c r="BC117" i="22"/>
  <c r="BD117" i="22" s="1"/>
  <c r="W130" i="8"/>
  <c r="X130" i="8" s="1"/>
  <c r="AM313" i="23"/>
  <c r="BD178" i="22"/>
  <c r="X178" i="22"/>
  <c r="Y178" i="22" s="1"/>
  <c r="V210" i="22"/>
  <c r="V222" i="22" s="1"/>
  <c r="R128" i="12"/>
  <c r="BV168" i="22"/>
  <c r="U132" i="8"/>
  <c r="BF171" i="22"/>
  <c r="BN171" i="22" s="1"/>
  <c r="AP496" i="22"/>
  <c r="AM100" i="23"/>
  <c r="AX53" i="22"/>
  <c r="AP53" i="22"/>
  <c r="S218" i="9"/>
  <c r="T218" i="9" s="1"/>
  <c r="AN218" i="9"/>
  <c r="AF218" i="9" s="1"/>
  <c r="AG218" i="9" s="1"/>
  <c r="AH218" i="9" s="1"/>
  <c r="AK218" i="9" s="1"/>
  <c r="AM373" i="23"/>
  <c r="AP439" i="22"/>
  <c r="AJ33" i="28"/>
  <c r="AI35" i="28"/>
  <c r="AI6" i="28" s="1"/>
  <c r="AP267" i="22"/>
  <c r="S90" i="8"/>
  <c r="S91" i="8" s="1"/>
  <c r="S92" i="8" s="1"/>
  <c r="S93" i="8" s="1"/>
  <c r="S94" i="8" s="1"/>
  <c r="S95" i="8" s="1"/>
  <c r="S96" i="8" s="1"/>
  <c r="S97" i="8" s="1"/>
  <c r="S98" i="8" s="1"/>
  <c r="S99" i="8" s="1"/>
  <c r="S100" i="8" s="1"/>
  <c r="AP117" i="22"/>
  <c r="Y28" i="8"/>
  <c r="AA28" i="8" s="1"/>
  <c r="X166" i="22"/>
  <c r="Y166" i="22" s="1"/>
  <c r="BD166" i="22"/>
  <c r="BV166" i="22"/>
  <c r="BT166" i="22"/>
  <c r="CC139" i="22"/>
  <c r="BW139" i="22"/>
  <c r="AX114" i="22"/>
  <c r="AP114" i="22"/>
  <c r="BF113" i="22"/>
  <c r="P131" i="12"/>
  <c r="AY38" i="12"/>
  <c r="U41" i="12"/>
  <c r="R138" i="12"/>
  <c r="AW46" i="12"/>
  <c r="AW44" i="12"/>
  <c r="AW47" i="12"/>
  <c r="AW45" i="12"/>
  <c r="AU71" i="23"/>
  <c r="AP488" i="22"/>
  <c r="O135" i="12"/>
  <c r="BF139" i="22"/>
  <c r="BN139" i="22" s="1"/>
  <c r="AM372" i="23"/>
  <c r="AN256" i="9"/>
  <c r="AF256" i="9" s="1"/>
  <c r="AG256" i="9" s="1"/>
  <c r="AH256" i="9" s="1"/>
  <c r="AK256" i="9" s="1"/>
  <c r="S256" i="9"/>
  <c r="T256" i="9" s="1"/>
  <c r="P39" i="12"/>
  <c r="CC159" i="22"/>
  <c r="S26" i="32"/>
  <c r="BD183" i="22"/>
  <c r="X183" i="22"/>
  <c r="Y183" i="22" s="1"/>
  <c r="G5" i="16"/>
  <c r="F6" i="16"/>
  <c r="X190" i="22"/>
  <c r="Y190" i="22" s="1"/>
  <c r="BD190" i="22"/>
  <c r="AP161" i="22"/>
  <c r="AP37" i="22"/>
  <c r="AX37" i="22"/>
  <c r="AM109" i="23"/>
  <c r="BF38" i="22"/>
  <c r="O71" i="12"/>
  <c r="P77" i="12"/>
  <c r="O77" i="12"/>
  <c r="AP382" i="22"/>
  <c r="O49" i="12"/>
  <c r="O139" i="12" s="1"/>
  <c r="BW198" i="22"/>
  <c r="CC198" i="22"/>
  <c r="CA174" i="22"/>
  <c r="BU174" i="22"/>
  <c r="AP144" i="22"/>
  <c r="AM116" i="23"/>
  <c r="M280" i="12"/>
  <c r="M292" i="12" s="1"/>
  <c r="M276" i="12"/>
  <c r="BF70" i="22"/>
  <c r="AM70" i="23"/>
  <c r="Y30" i="8"/>
  <c r="BE40" i="22"/>
  <c r="BC40" i="22"/>
  <c r="BD40" i="22" s="1"/>
  <c r="BE183" i="22"/>
  <c r="BM183" i="22" s="1"/>
  <c r="BE190" i="22"/>
  <c r="BM190" i="22" s="1"/>
  <c r="AP348" i="22"/>
  <c r="AB128" i="8"/>
  <c r="CA153" i="22"/>
  <c r="BU153" i="22"/>
  <c r="AX30" i="22"/>
  <c r="AP30" i="22"/>
  <c r="G75" i="16"/>
  <c r="G123" i="16" s="1"/>
  <c r="V82" i="12"/>
  <c r="BE69" i="22"/>
  <c r="BU145" i="22"/>
  <c r="AM310" i="23"/>
  <c r="AP356" i="22"/>
  <c r="AM358" i="23"/>
  <c r="AM63" i="23"/>
  <c r="AM15" i="28"/>
  <c r="AL17" i="28"/>
  <c r="AP283" i="22"/>
  <c r="AM140" i="23"/>
  <c r="AP330" i="22"/>
  <c r="AX122" i="22"/>
  <c r="AP122" i="22"/>
  <c r="AP180" i="22"/>
  <c r="X165" i="8"/>
  <c r="M51" i="16"/>
  <c r="AP436" i="22"/>
  <c r="AM335" i="23"/>
  <c r="AM360" i="23"/>
  <c r="V218" i="22"/>
  <c r="AN237" i="9"/>
  <c r="AF237" i="9" s="1"/>
  <c r="AG237" i="9" s="1"/>
  <c r="AH237" i="9" s="1"/>
  <c r="AK237" i="9" s="1"/>
  <c r="S237" i="9"/>
  <c r="T237" i="9" s="1"/>
  <c r="X144" i="22"/>
  <c r="Y144" i="22" s="1"/>
  <c r="BD144" i="22"/>
  <c r="BV144" i="22"/>
  <c r="AX109" i="22"/>
  <c r="AP109" i="22"/>
  <c r="AP79" i="22"/>
  <c r="AX79" i="22"/>
  <c r="Z149" i="8"/>
  <c r="W15" i="32"/>
  <c r="R272" i="9"/>
  <c r="W182" i="12"/>
  <c r="AM65" i="23"/>
  <c r="AU65" i="23"/>
  <c r="AP82" i="22"/>
  <c r="AX82" i="22"/>
  <c r="S233" i="9"/>
  <c r="T233" i="9" s="1"/>
  <c r="AN233" i="9"/>
  <c r="AF233" i="9" s="1"/>
  <c r="AG233" i="9" s="1"/>
  <c r="AH233" i="9" s="1"/>
  <c r="AK233" i="9" s="1"/>
  <c r="O205" i="12"/>
  <c r="AP38" i="22"/>
  <c r="AX38" i="22"/>
  <c r="CC145" i="22"/>
  <c r="BW145" i="22"/>
  <c r="BU140" i="22"/>
  <c r="CA140" i="22"/>
  <c r="BE87" i="22"/>
  <c r="BC87" i="22"/>
  <c r="BD87" i="22" s="1"/>
  <c r="V182" i="12"/>
  <c r="AN225" i="9"/>
  <c r="AF225" i="9" s="1"/>
  <c r="AG225" i="9" s="1"/>
  <c r="AH225" i="9" s="1"/>
  <c r="AK225" i="9" s="1"/>
  <c r="S225" i="9"/>
  <c r="T225" i="9" s="1"/>
  <c r="Q39" i="12"/>
  <c r="U214" i="22"/>
  <c r="W214" i="22" s="1"/>
  <c r="O74" i="12"/>
  <c r="P74" i="12" s="1"/>
  <c r="BF77" i="22"/>
  <c r="AX64" i="22"/>
  <c r="AP64" i="22"/>
  <c r="AM175" i="23"/>
  <c r="T128" i="12"/>
  <c r="BF198" i="22"/>
  <c r="BN198" i="22" s="1"/>
  <c r="Q35" i="27"/>
  <c r="E314" i="12"/>
  <c r="E24" i="12"/>
  <c r="E298" i="12"/>
  <c r="E282" i="12"/>
  <c r="E266" i="12"/>
  <c r="BF159" i="22"/>
  <c r="BN159" i="22" s="1"/>
  <c r="V226" i="22"/>
  <c r="V238" i="22" s="1"/>
  <c r="AP327" i="22"/>
  <c r="W131" i="8"/>
  <c r="BE72" i="22"/>
  <c r="BC72" i="22"/>
  <c r="BD72" i="22" s="1"/>
  <c r="BW153" i="22"/>
  <c r="CC153" i="22"/>
  <c r="AM111" i="23"/>
  <c r="AM96" i="23"/>
  <c r="AP490" i="22"/>
  <c r="AN239" i="9"/>
  <c r="AF239" i="9" s="1"/>
  <c r="AG239" i="9" s="1"/>
  <c r="AH239" i="9" s="1"/>
  <c r="AK239" i="9" s="1"/>
  <c r="S239" i="9"/>
  <c r="T239" i="9" s="1"/>
  <c r="N150" i="12"/>
  <c r="AW55" i="12"/>
  <c r="BS161" i="22"/>
  <c r="BS183" i="22"/>
  <c r="AM176" i="23"/>
  <c r="AM232" i="23"/>
  <c r="BV145" i="22"/>
  <c r="AP342" i="22"/>
  <c r="BS190" i="22"/>
  <c r="AP312" i="22"/>
  <c r="AM102" i="23"/>
  <c r="BE140" i="22"/>
  <c r="BM140" i="22" s="1"/>
  <c r="BE153" i="22"/>
  <c r="BM153" i="22" s="1"/>
  <c r="BS178" i="22"/>
  <c r="W124" i="8"/>
  <c r="X124" i="8" s="1"/>
  <c r="BU164" i="22"/>
  <c r="CA164" i="22"/>
  <c r="V43" i="8"/>
  <c r="BF7" i="22"/>
  <c r="AP43" i="22"/>
  <c r="AQ39" i="16"/>
  <c r="AQ38" i="16"/>
  <c r="AQ40" i="16"/>
  <c r="AQ37" i="16"/>
  <c r="AP365" i="22"/>
  <c r="AM256" i="23"/>
  <c r="K308" i="12"/>
  <c r="K250" i="12"/>
  <c r="AP52" i="22"/>
  <c r="BV178" i="22"/>
  <c r="BT190" i="22"/>
  <c r="BF11" i="22"/>
  <c r="BF71" i="22"/>
  <c r="AP218" i="22"/>
  <c r="AP227" i="22"/>
  <c r="AP159" i="22"/>
  <c r="AP385" i="22"/>
  <c r="N51" i="16"/>
  <c r="V219" i="22"/>
  <c r="BE125" i="22"/>
  <c r="BC125" i="22"/>
  <c r="BD125" i="22" s="1"/>
  <c r="J54" i="16"/>
  <c r="AW41" i="12"/>
  <c r="P68" i="23"/>
  <c r="AY68" i="23"/>
  <c r="AX68" i="23"/>
  <c r="AW68" i="23"/>
  <c r="AV68" i="23"/>
  <c r="AU68" i="23"/>
  <c r="AM88" i="23"/>
  <c r="AM242" i="23"/>
  <c r="BW142" i="22"/>
  <c r="CC142" i="22"/>
  <c r="T160" i="8"/>
  <c r="CA195" i="22"/>
  <c r="BU195" i="22"/>
  <c r="AM217" i="23"/>
  <c r="AP232" i="22"/>
  <c r="J250" i="12"/>
  <c r="J308" i="12"/>
  <c r="N88" i="12"/>
  <c r="CC156" i="22"/>
  <c r="BW156" i="22"/>
  <c r="AM135" i="23"/>
  <c r="U48" i="8"/>
  <c r="AM186" i="23"/>
  <c r="AZ74" i="23"/>
  <c r="BA74" i="23" s="1"/>
  <c r="BB74" i="23"/>
  <c r="CA138" i="22"/>
  <c r="BU138" i="22"/>
  <c r="BC169" i="22"/>
  <c r="AP56" i="22"/>
  <c r="BU178" i="22"/>
  <c r="CA178" i="22"/>
  <c r="BC164" i="22"/>
  <c r="J24" i="13"/>
  <c r="J16" i="13"/>
  <c r="J23" i="13"/>
  <c r="J15" i="13"/>
  <c r="J22" i="13"/>
  <c r="J14" i="13"/>
  <c r="J21" i="13"/>
  <c r="J25" i="13"/>
  <c r="J20" i="13"/>
  <c r="J17" i="13"/>
  <c r="J18" i="13"/>
  <c r="J19" i="13"/>
  <c r="T23" i="8"/>
  <c r="BE43" i="22"/>
  <c r="BC43" i="22"/>
  <c r="BD43" i="22" s="1"/>
  <c r="AP211" i="22"/>
  <c r="AM312" i="23"/>
  <c r="K244" i="12"/>
  <c r="BC52" i="22"/>
  <c r="BD52" i="22" s="1"/>
  <c r="BE52" i="22"/>
  <c r="AX65" i="22"/>
  <c r="AP65" i="22"/>
  <c r="V178" i="12"/>
  <c r="CC152" i="22"/>
  <c r="AP245" i="22"/>
  <c r="AP386" i="22"/>
  <c r="K49" i="16"/>
  <c r="L51" i="16"/>
  <c r="BU141" i="22"/>
  <c r="CA141" i="22"/>
  <c r="V207" i="22"/>
  <c r="AP125" i="22"/>
  <c r="S136" i="12"/>
  <c r="M6" i="13"/>
  <c r="L42" i="13"/>
  <c r="AP433" i="22"/>
  <c r="AP203" i="22"/>
  <c r="X157" i="22"/>
  <c r="Y157" i="22" s="1"/>
  <c r="BD157" i="22"/>
  <c r="BE110" i="22"/>
  <c r="BC110" i="22"/>
  <c r="BD110" i="22" s="1"/>
  <c r="E323" i="12"/>
  <c r="E33" i="12"/>
  <c r="E291" i="12"/>
  <c r="E275" i="12"/>
  <c r="E307" i="12"/>
  <c r="AX54" i="22"/>
  <c r="AP54" i="22"/>
  <c r="O132" i="12"/>
  <c r="AW49" i="23"/>
  <c r="BB49" i="23" s="1"/>
  <c r="Q134" i="12"/>
  <c r="AP197" i="22"/>
  <c r="X192" i="22"/>
  <c r="Y192" i="22" s="1"/>
  <c r="BD192" i="22"/>
  <c r="BV192" i="22"/>
  <c r="O78" i="12"/>
  <c r="P78" i="12"/>
  <c r="AM76" i="23"/>
  <c r="X160" i="22"/>
  <c r="Y160" i="22" s="1"/>
  <c r="BD160" i="22"/>
  <c r="AP343" i="22"/>
  <c r="AP87" i="22"/>
  <c r="AP206" i="22"/>
  <c r="AP71" i="22"/>
  <c r="AX71" i="22"/>
  <c r="AW72" i="12"/>
  <c r="O79" i="12"/>
  <c r="BC150" i="22"/>
  <c r="BW191" i="22"/>
  <c r="CC191" i="22"/>
  <c r="AX59" i="22"/>
  <c r="AP59" i="22"/>
  <c r="AM339" i="23"/>
  <c r="S250" i="9"/>
  <c r="T250" i="9" s="1"/>
  <c r="AN250" i="9"/>
  <c r="AF250" i="9" s="1"/>
  <c r="AG250" i="9" s="1"/>
  <c r="AH250" i="9" s="1"/>
  <c r="AK250" i="9" s="1"/>
  <c r="AP426" i="22"/>
  <c r="O80" i="12"/>
  <c r="P80" i="12" s="1"/>
  <c r="BF59" i="22"/>
  <c r="AP177" i="22"/>
  <c r="AP415" i="22"/>
  <c r="E320" i="12"/>
  <c r="E30" i="12"/>
  <c r="E304" i="12"/>
  <c r="E272" i="12"/>
  <c r="E288" i="12"/>
  <c r="AP480" i="22"/>
  <c r="BC174" i="22"/>
  <c r="AP176" i="22"/>
  <c r="BC47" i="22"/>
  <c r="BD47" i="22" s="1"/>
  <c r="BE47" i="22"/>
  <c r="BF60" i="22"/>
  <c r="BC195" i="22"/>
  <c r="BT161" i="22"/>
  <c r="BC100" i="22"/>
  <c r="BD100" i="22" s="1"/>
  <c r="BE100" i="22"/>
  <c r="J316" i="12"/>
  <c r="J320" i="12"/>
  <c r="J313" i="12"/>
  <c r="J317" i="12"/>
  <c r="J319" i="12"/>
  <c r="J318" i="12"/>
  <c r="J315" i="12"/>
  <c r="J312" i="12"/>
  <c r="J323" i="12"/>
  <c r="J321" i="12"/>
  <c r="J314" i="12"/>
  <c r="J322" i="12"/>
  <c r="V213" i="22"/>
  <c r="AP107" i="22"/>
  <c r="AX107" i="22"/>
  <c r="BC67" i="22"/>
  <c r="BD67" i="22" s="1"/>
  <c r="BE67" i="22"/>
  <c r="BC78" i="22"/>
  <c r="BD78" i="22" s="1"/>
  <c r="BE78" i="22"/>
  <c r="U184" i="12"/>
  <c r="BB69" i="23"/>
  <c r="AZ69" i="23"/>
  <c r="BA69" i="23" s="1"/>
  <c r="BF145" i="22"/>
  <c r="BN145" i="22" s="1"/>
  <c r="AX41" i="22"/>
  <c r="AP41" i="22"/>
  <c r="CC138" i="22"/>
  <c r="BW138" i="22"/>
  <c r="AP407" i="22"/>
  <c r="AM169" i="23"/>
  <c r="CC160" i="22"/>
  <c r="BW160" i="22"/>
  <c r="BE56" i="22"/>
  <c r="BC56" i="22"/>
  <c r="BD56" i="22" s="1"/>
  <c r="BU173" i="22"/>
  <c r="CA173" i="22"/>
  <c r="BE164" i="22"/>
  <c r="BM164" i="22" s="1"/>
  <c r="L4" i="13"/>
  <c r="K26" i="13"/>
  <c r="AP323" i="22"/>
  <c r="BW161" i="22"/>
  <c r="CC161" i="22"/>
  <c r="AM357" i="23"/>
  <c r="CA177" i="22"/>
  <c r="BU177" i="22"/>
  <c r="AM222" i="23"/>
  <c r="K320" i="12"/>
  <c r="K313" i="12"/>
  <c r="K317" i="12"/>
  <c r="K321" i="12"/>
  <c r="K314" i="12"/>
  <c r="K319" i="12"/>
  <c r="K318" i="12"/>
  <c r="K316" i="12"/>
  <c r="K315" i="12"/>
  <c r="K312" i="12"/>
  <c r="K323" i="12"/>
  <c r="K322" i="12"/>
  <c r="AX132" i="22"/>
  <c r="AP132" i="22"/>
  <c r="CA139" i="22"/>
  <c r="BF152" i="22"/>
  <c r="BN152" i="22" s="1"/>
  <c r="J105" i="12"/>
  <c r="J9" i="12"/>
  <c r="BE11" i="22"/>
  <c r="BC11" i="22"/>
  <c r="BD11" i="22" s="1"/>
  <c r="BF76" i="22"/>
  <c r="J280" i="12"/>
  <c r="J292" i="12" s="1"/>
  <c r="J276" i="12"/>
  <c r="AP89" i="22"/>
  <c r="AX89" i="22"/>
  <c r="V20" i="32"/>
  <c r="R265" i="9"/>
  <c r="X32" i="8"/>
  <c r="AM332" i="23"/>
  <c r="Q199" i="12"/>
  <c r="J49" i="16"/>
  <c r="BF14" i="22"/>
  <c r="BF125" i="22"/>
  <c r="BC141" i="22"/>
  <c r="BE128" i="22"/>
  <c r="BC128" i="22"/>
  <c r="BD128" i="22" s="1"/>
  <c r="AC35" i="8"/>
  <c r="R136" i="12"/>
  <c r="AP127" i="22"/>
  <c r="BE68" i="22"/>
  <c r="BC68" i="22"/>
  <c r="BD68" i="22" s="1"/>
  <c r="BU170" i="22"/>
  <c r="CA170" i="22"/>
  <c r="AX25" i="22"/>
  <c r="AP25" i="22"/>
  <c r="BC34" i="22"/>
  <c r="BD34" i="22" s="1"/>
  <c r="BE34" i="22"/>
  <c r="AM235" i="23"/>
  <c r="AM53" i="23"/>
  <c r="AU53" i="23"/>
  <c r="N81" i="12"/>
  <c r="O70" i="12"/>
  <c r="AP58" i="22"/>
  <c r="AX58" i="22"/>
  <c r="S194" i="12"/>
  <c r="T194" i="12" s="1"/>
  <c r="O129" i="12"/>
  <c r="BS142" i="22"/>
  <c r="AM57" i="23"/>
  <c r="AU57" i="23"/>
  <c r="BU150" i="22"/>
  <c r="CA150" i="22"/>
  <c r="S219" i="9"/>
  <c r="T219" i="9" s="1"/>
  <c r="AN219" i="9"/>
  <c r="AF219" i="9" s="1"/>
  <c r="AG219" i="9" s="1"/>
  <c r="AH219" i="9" s="1"/>
  <c r="AK219" i="9" s="1"/>
  <c r="CC186" i="22"/>
  <c r="BW186" i="22"/>
  <c r="AM316" i="23"/>
  <c r="E312" i="12"/>
  <c r="E280" i="12"/>
  <c r="E264" i="12"/>
  <c r="E22" i="12"/>
  <c r="E296" i="12"/>
  <c r="AP153" i="22"/>
  <c r="BF67" i="22"/>
  <c r="AM137" i="23"/>
  <c r="R25" i="32"/>
  <c r="R26" i="32" s="1"/>
  <c r="R222" i="9"/>
  <c r="V228" i="22"/>
  <c r="BE103" i="22"/>
  <c r="BC103" i="22"/>
  <c r="BD103" i="22" s="1"/>
  <c r="AP341" i="22"/>
  <c r="AW71" i="12"/>
  <c r="AW74" i="12" s="1"/>
  <c r="O76" i="12"/>
  <c r="U125" i="8"/>
  <c r="BF191" i="22"/>
  <c r="BN191" i="22" s="1"/>
  <c r="AP262" i="22"/>
  <c r="U14" i="32"/>
  <c r="R247" i="9"/>
  <c r="CA167" i="22"/>
  <c r="BU167" i="22"/>
  <c r="AP13" i="22"/>
  <c r="AP130" i="22"/>
  <c r="AX130" i="22"/>
  <c r="AE10" i="28"/>
  <c r="AE12" i="28" s="1"/>
  <c r="K106" i="12"/>
  <c r="K114" i="12" s="1"/>
  <c r="K19" i="12"/>
  <c r="BF25" i="22"/>
  <c r="BT155" i="22"/>
  <c r="BE174" i="22"/>
  <c r="BM174" i="22" s="1"/>
  <c r="AP399" i="22"/>
  <c r="BV142" i="22"/>
  <c r="AM61" i="23"/>
  <c r="AU61" i="23"/>
  <c r="AP447" i="22"/>
  <c r="AM92" i="23"/>
  <c r="AP67" i="22"/>
  <c r="AP78" i="22"/>
  <c r="Y126" i="8"/>
  <c r="I280" i="12"/>
  <c r="I292" i="12" s="1"/>
  <c r="I276" i="12"/>
  <c r="AM286" i="23"/>
  <c r="X138" i="22"/>
  <c r="Y138" i="22" s="1"/>
  <c r="BD138" i="22"/>
  <c r="BE20" i="22"/>
  <c r="BC20" i="22"/>
  <c r="BD20" i="22" s="1"/>
  <c r="BU196" i="22"/>
  <c r="CA196" i="22"/>
  <c r="BD153" i="22"/>
  <c r="X153" i="22"/>
  <c r="Y153" i="22" s="1"/>
  <c r="X173" i="22"/>
  <c r="Y173" i="22" s="1"/>
  <c r="BD173" i="22"/>
  <c r="BV173" i="22"/>
  <c r="H113" i="16"/>
  <c r="Z42" i="8"/>
  <c r="AM233" i="23"/>
  <c r="AM354" i="23"/>
  <c r="BC139" i="22"/>
  <c r="T180" i="12"/>
  <c r="CC150" i="22"/>
  <c r="BW150" i="22"/>
  <c r="AN210" i="9"/>
  <c r="AF210" i="9" s="1"/>
  <c r="AG210" i="9" s="1"/>
  <c r="AH210" i="9" s="1"/>
  <c r="AK210" i="9" s="1"/>
  <c r="S210" i="9"/>
  <c r="T210" i="9" s="1"/>
  <c r="CC184" i="22"/>
  <c r="BW184" i="22"/>
  <c r="R199" i="12"/>
  <c r="AP6" i="22"/>
  <c r="AX6" i="22"/>
  <c r="AP128" i="22"/>
  <c r="AP108" i="22"/>
  <c r="BB59" i="23"/>
  <c r="AZ59" i="23"/>
  <c r="BA59" i="23" s="1"/>
  <c r="S292" i="9"/>
  <c r="T292" i="9" s="1"/>
  <c r="AN292" i="9"/>
  <c r="AF292" i="9" s="1"/>
  <c r="AG292" i="9" s="1"/>
  <c r="AH292" i="9" s="1"/>
  <c r="AK292" i="9" s="1"/>
  <c r="BE127" i="22"/>
  <c r="BC127" i="22"/>
  <c r="BD127" i="22" s="1"/>
  <c r="Y29" i="8"/>
  <c r="Z29" i="8" s="1"/>
  <c r="S19" i="32"/>
  <c r="R228" i="9"/>
  <c r="U31" i="8"/>
  <c r="V31" i="8"/>
  <c r="V37" i="8" s="1"/>
  <c r="AM188" i="23"/>
  <c r="T164" i="8"/>
  <c r="AP207" i="22"/>
  <c r="BB73" i="23"/>
  <c r="AZ73" i="23"/>
  <c r="BA73" i="23" s="1"/>
  <c r="BV138" i="22"/>
  <c r="AP45" i="22"/>
  <c r="AX45" i="22"/>
  <c r="AM334" i="23"/>
  <c r="BV160" i="22"/>
  <c r="AM216" i="23"/>
  <c r="AM114" i="23"/>
  <c r="AA128" i="8"/>
  <c r="Y42" i="8"/>
  <c r="AA42" i="8" s="1"/>
  <c r="AP446" i="22"/>
  <c r="AM66" i="23"/>
  <c r="AU66" i="23"/>
  <c r="BF66" i="22"/>
  <c r="AP306" i="22"/>
  <c r="BT156" i="22"/>
  <c r="BW190" i="22"/>
  <c r="CC190" i="22"/>
  <c r="S262" i="9"/>
  <c r="T262" i="9" s="1"/>
  <c r="AN262" i="9"/>
  <c r="AF262" i="9" s="1"/>
  <c r="AG262" i="9" s="1"/>
  <c r="AH262" i="9" s="1"/>
  <c r="AK262" i="9" s="1"/>
  <c r="BF150" i="22"/>
  <c r="BN150" i="22" s="1"/>
  <c r="AM292" i="23"/>
  <c r="AP456" i="22"/>
  <c r="AM133" i="23"/>
  <c r="P197" i="12"/>
  <c r="Q197" i="12" s="1"/>
  <c r="L18" i="12"/>
  <c r="L108" i="12"/>
  <c r="L216" i="12" s="1"/>
  <c r="L7" i="12"/>
  <c r="L12" i="12"/>
  <c r="AP44" i="22"/>
  <c r="AX44" i="22"/>
  <c r="G40" i="19"/>
  <c r="V38" i="12"/>
  <c r="BE108" i="22"/>
  <c r="BC108" i="22"/>
  <c r="BD108" i="22" s="1"/>
  <c r="AM59" i="23"/>
  <c r="BE96" i="22"/>
  <c r="BC96" i="22"/>
  <c r="BD96" i="22" s="1"/>
  <c r="Y17" i="32" l="1"/>
  <c r="R298" i="9"/>
  <c r="V134" i="12"/>
  <c r="Z165" i="8"/>
  <c r="AA165" i="8" s="1"/>
  <c r="S198" i="12"/>
  <c r="AD23" i="32"/>
  <c r="R364" i="9" s="1"/>
  <c r="AA124" i="8"/>
  <c r="N58" i="16"/>
  <c r="Z16" i="32"/>
  <c r="R309" i="9"/>
  <c r="L119" i="16"/>
  <c r="W183" i="12"/>
  <c r="X154" i="8"/>
  <c r="Y154" i="8" s="1"/>
  <c r="N251" i="12"/>
  <c r="N254" i="12"/>
  <c r="U25" i="32"/>
  <c r="R258" i="9"/>
  <c r="U222" i="22"/>
  <c r="AW81" i="12"/>
  <c r="AW80" i="12"/>
  <c r="U257" i="22"/>
  <c r="W257" i="22" s="1"/>
  <c r="V194" i="12"/>
  <c r="S197" i="12"/>
  <c r="R74" i="12"/>
  <c r="U212" i="22"/>
  <c r="W212" i="22" s="1"/>
  <c r="V262" i="22"/>
  <c r="U238" i="22"/>
  <c r="W238" i="22" s="1"/>
  <c r="BE45" i="22"/>
  <c r="BC45" i="22"/>
  <c r="BD45" i="22" s="1"/>
  <c r="U219" i="22"/>
  <c r="W219" i="22" s="1"/>
  <c r="S243" i="9"/>
  <c r="T243" i="9" s="1"/>
  <c r="AN243" i="9"/>
  <c r="AF243" i="9" s="1"/>
  <c r="AG243" i="9" s="1"/>
  <c r="AH243" i="9" s="1"/>
  <c r="AK243" i="9" s="1"/>
  <c r="W24" i="32"/>
  <c r="R281" i="9"/>
  <c r="P205" i="12"/>
  <c r="BB201" i="22"/>
  <c r="CC201" i="22" s="1"/>
  <c r="O71" i="16"/>
  <c r="Q71" i="16" s="1"/>
  <c r="J119" i="16"/>
  <c r="H116" i="16"/>
  <c r="P51" i="16"/>
  <c r="BW188" i="22"/>
  <c r="Y123" i="8"/>
  <c r="AN271" i="9"/>
  <c r="AF271" i="9" s="1"/>
  <c r="AG271" i="9" s="1"/>
  <c r="AH271" i="9" s="1"/>
  <c r="AK271" i="9" s="1"/>
  <c r="S271" i="9"/>
  <c r="T271" i="9" s="1"/>
  <c r="T199" i="12"/>
  <c r="X178" i="12"/>
  <c r="F11" i="16"/>
  <c r="F10" i="16" s="1"/>
  <c r="F8" i="16"/>
  <c r="D273" i="12"/>
  <c r="D321" i="12"/>
  <c r="D289" i="12"/>
  <c r="D305" i="12"/>
  <c r="D31" i="12"/>
  <c r="P132" i="12"/>
  <c r="Q42" i="12"/>
  <c r="X14" i="32"/>
  <c r="R283" i="9"/>
  <c r="BE74" i="22"/>
  <c r="BC74" i="22"/>
  <c r="BD74" i="22" s="1"/>
  <c r="BE124" i="22"/>
  <c r="BC124" i="22"/>
  <c r="BD124" i="22" s="1"/>
  <c r="L73" i="16"/>
  <c r="N73" i="16" s="1"/>
  <c r="N71" i="16"/>
  <c r="I119" i="16"/>
  <c r="P137" i="12"/>
  <c r="R47" i="12"/>
  <c r="Q47" i="12"/>
  <c r="U136" i="12"/>
  <c r="AB42" i="8"/>
  <c r="BU152" i="22"/>
  <c r="Z179" i="12"/>
  <c r="BB57" i="23"/>
  <c r="AZ57" i="23"/>
  <c r="BA57" i="23" s="1"/>
  <c r="L57" i="16"/>
  <c r="M57" i="16" s="1"/>
  <c r="S272" i="9"/>
  <c r="T272" i="9" s="1"/>
  <c r="AN272" i="9"/>
  <c r="AF272" i="9" s="1"/>
  <c r="AG272" i="9" s="1"/>
  <c r="AH272" i="9" s="1"/>
  <c r="AK272" i="9" s="1"/>
  <c r="BE122" i="22"/>
  <c r="BC122" i="22"/>
  <c r="BD122" i="22" s="1"/>
  <c r="G28" i="16"/>
  <c r="G6" i="16"/>
  <c r="U131" i="12"/>
  <c r="U157" i="8"/>
  <c r="BB67" i="23"/>
  <c r="AZ67" i="23"/>
  <c r="BA67" i="23" s="1"/>
  <c r="T22" i="8"/>
  <c r="U22" i="8" s="1"/>
  <c r="AA126" i="8"/>
  <c r="V162" i="8"/>
  <c r="W162" i="8"/>
  <c r="W186" i="12"/>
  <c r="X186" i="12" s="1"/>
  <c r="M71" i="16"/>
  <c r="H119" i="16"/>
  <c r="BE24" i="22"/>
  <c r="BC24" i="22"/>
  <c r="BD24" i="22" s="1"/>
  <c r="Y179" i="12"/>
  <c r="AX40" i="12"/>
  <c r="BD176" i="22"/>
  <c r="X176" i="22"/>
  <c r="Y176" i="22" s="1"/>
  <c r="BT176" i="22"/>
  <c r="BS176" i="22"/>
  <c r="BV176" i="22"/>
  <c r="V46" i="12"/>
  <c r="BE18" i="22"/>
  <c r="BC18" i="22"/>
  <c r="BD18" i="22" s="1"/>
  <c r="Y188" i="12"/>
  <c r="Z188" i="12" s="1"/>
  <c r="T187" i="12"/>
  <c r="T189" i="12" s="1"/>
  <c r="W158" i="8"/>
  <c r="Y158" i="8" s="1"/>
  <c r="S265" i="9"/>
  <c r="T265" i="9" s="1"/>
  <c r="AN265" i="9"/>
  <c r="AF265" i="9" s="1"/>
  <c r="AG265" i="9" s="1"/>
  <c r="AH265" i="9" s="1"/>
  <c r="AK265" i="9" s="1"/>
  <c r="Z129" i="8"/>
  <c r="BY200" i="22"/>
  <c r="BC200" i="22"/>
  <c r="AJ35" i="28"/>
  <c r="AK33" i="28"/>
  <c r="X18" i="32"/>
  <c r="R287" i="9"/>
  <c r="BC16" i="22"/>
  <c r="BD16" i="22" s="1"/>
  <c r="BE16" i="22"/>
  <c r="V183" i="12"/>
  <c r="BE126" i="22"/>
  <c r="BC126" i="22"/>
  <c r="BD126" i="22" s="1"/>
  <c r="T138" i="12"/>
  <c r="AC10" i="28"/>
  <c r="AC12" i="28" s="1"/>
  <c r="I106" i="12"/>
  <c r="I114" i="12" s="1"/>
  <c r="I19" i="12"/>
  <c r="V131" i="12"/>
  <c r="U228" i="22"/>
  <c r="W228" i="22" s="1"/>
  <c r="BE129" i="22"/>
  <c r="BC129" i="22"/>
  <c r="BD129" i="22" s="1"/>
  <c r="T19" i="32"/>
  <c r="R240" i="9"/>
  <c r="W31" i="8"/>
  <c r="X31" i="8" s="1"/>
  <c r="U37" i="8"/>
  <c r="BE114" i="22"/>
  <c r="BC114" i="22"/>
  <c r="BD114" i="22" s="1"/>
  <c r="BE17" i="22"/>
  <c r="BC17" i="22"/>
  <c r="BD17" i="22" s="1"/>
  <c r="BE32" i="22"/>
  <c r="BC32" i="22"/>
  <c r="BD32" i="22" s="1"/>
  <c r="BC109" i="22"/>
  <c r="BD109" i="22" s="1"/>
  <c r="BE109" i="22"/>
  <c r="S200" i="12"/>
  <c r="T200" i="12" s="1"/>
  <c r="AZ66" i="23"/>
  <c r="BA66" i="23" s="1"/>
  <c r="BB66" i="23"/>
  <c r="S228" i="9"/>
  <c r="T228" i="9" s="1"/>
  <c r="AN228" i="9"/>
  <c r="AF228" i="9" s="1"/>
  <c r="AG228" i="9" s="1"/>
  <c r="AH228" i="9" s="1"/>
  <c r="AK228" i="9" s="1"/>
  <c r="BE58" i="22"/>
  <c r="BC58" i="22"/>
  <c r="BD58" i="22" s="1"/>
  <c r="BB68" i="23"/>
  <c r="AZ68" i="23"/>
  <c r="BA68" i="23" s="1"/>
  <c r="K53" i="16"/>
  <c r="AY70" i="12"/>
  <c r="Z51" i="8"/>
  <c r="S316" i="9"/>
  <c r="T316" i="9" s="1"/>
  <c r="AN316" i="9"/>
  <c r="AF316" i="9" s="1"/>
  <c r="AG316" i="9" s="1"/>
  <c r="AH316" i="9" s="1"/>
  <c r="AK316" i="9" s="1"/>
  <c r="Y15" i="32"/>
  <c r="R296" i="9"/>
  <c r="BC25" i="22"/>
  <c r="BD25" i="22" s="1"/>
  <c r="BE25" i="22"/>
  <c r="R202" i="12"/>
  <c r="AX71" i="12"/>
  <c r="Q76" i="12"/>
  <c r="L320" i="12"/>
  <c r="L317" i="12"/>
  <c r="L321" i="12"/>
  <c r="L316" i="12"/>
  <c r="L315" i="12"/>
  <c r="L314" i="12"/>
  <c r="L312" i="12"/>
  <c r="L323" i="12"/>
  <c r="L318" i="12"/>
  <c r="L319" i="12"/>
  <c r="L313" i="12"/>
  <c r="L322" i="12"/>
  <c r="BE119" i="22"/>
  <c r="BC119" i="22"/>
  <c r="BD119" i="22" s="1"/>
  <c r="BE84" i="22"/>
  <c r="BC84" i="22"/>
  <c r="BD84" i="22" s="1"/>
  <c r="W43" i="8"/>
  <c r="W82" i="12"/>
  <c r="T134" i="12"/>
  <c r="X171" i="22"/>
  <c r="Y171" i="22" s="1"/>
  <c r="BD171" i="22"/>
  <c r="BT171" i="22"/>
  <c r="BV171" i="22"/>
  <c r="BS171" i="22"/>
  <c r="J121" i="16"/>
  <c r="V180" i="12"/>
  <c r="W184" i="12"/>
  <c r="K253" i="12"/>
  <c r="K254" i="12" s="1"/>
  <c r="K251" i="12"/>
  <c r="D266" i="12"/>
  <c r="D298" i="12"/>
  <c r="D282" i="12"/>
  <c r="D314" i="12"/>
  <c r="D24" i="12"/>
  <c r="V132" i="8"/>
  <c r="V184" i="12"/>
  <c r="U65" i="8"/>
  <c r="U60" i="8"/>
  <c r="U67" i="8"/>
  <c r="U62" i="8"/>
  <c r="U63" i="8"/>
  <c r="U64" i="8"/>
  <c r="U66" i="8"/>
  <c r="U68" i="8"/>
  <c r="U58" i="8"/>
  <c r="U69" i="8" s="1"/>
  <c r="U61" i="8"/>
  <c r="U59" i="8"/>
  <c r="U21" i="32"/>
  <c r="R254" i="9"/>
  <c r="AB149" i="8"/>
  <c r="AJ75" i="28"/>
  <c r="AI4" i="28"/>
  <c r="AI5" i="28" s="1"/>
  <c r="AI7" i="28" s="1"/>
  <c r="BE97" i="22"/>
  <c r="BC97" i="22"/>
  <c r="BD97" i="22" s="1"/>
  <c r="AK3" i="28"/>
  <c r="H122" i="16"/>
  <c r="BE91" i="22"/>
  <c r="BC91" i="22"/>
  <c r="BD91" i="22" s="1"/>
  <c r="V128" i="12"/>
  <c r="X139" i="22"/>
  <c r="Y139" i="22" s="1"/>
  <c r="BD139" i="22"/>
  <c r="BT139" i="22"/>
  <c r="BV139" i="22"/>
  <c r="BS139" i="22"/>
  <c r="X141" i="22"/>
  <c r="Y141" i="22" s="1"/>
  <c r="BD141" i="22"/>
  <c r="BS141" i="22"/>
  <c r="BT141" i="22"/>
  <c r="BV141" i="22"/>
  <c r="BU139" i="22"/>
  <c r="BD195" i="22"/>
  <c r="X195" i="22"/>
  <c r="Y195" i="22" s="1"/>
  <c r="BV195" i="22"/>
  <c r="BT195" i="22"/>
  <c r="BS195" i="22"/>
  <c r="BE59" i="22"/>
  <c r="BC59" i="22"/>
  <c r="BD59" i="22" s="1"/>
  <c r="K307" i="12"/>
  <c r="K296" i="12"/>
  <c r="K297" i="12"/>
  <c r="K301" i="12"/>
  <c r="K306" i="12"/>
  <c r="K302" i="12"/>
  <c r="K298" i="12"/>
  <c r="K305" i="12"/>
  <c r="K299" i="12"/>
  <c r="K304" i="12"/>
  <c r="K300" i="12"/>
  <c r="K303" i="12"/>
  <c r="BE30" i="22"/>
  <c r="BC30" i="22"/>
  <c r="BD30" i="22" s="1"/>
  <c r="W132" i="8"/>
  <c r="X163" i="22"/>
  <c r="Y163" i="22" s="1"/>
  <c r="BD163" i="22"/>
  <c r="BT163" i="22"/>
  <c r="BS163" i="22"/>
  <c r="BV163" i="22"/>
  <c r="W8" i="8"/>
  <c r="V70" i="8"/>
  <c r="V17" i="8"/>
  <c r="V7" i="8"/>
  <c r="V86" i="8" s="1"/>
  <c r="S257" i="9"/>
  <c r="T257" i="9" s="1"/>
  <c r="AN257" i="9"/>
  <c r="AF257" i="9" s="1"/>
  <c r="AG257" i="9" s="1"/>
  <c r="AH257" i="9" s="1"/>
  <c r="AK257" i="9" s="1"/>
  <c r="W156" i="8"/>
  <c r="X165" i="22"/>
  <c r="Y165" i="22" s="1"/>
  <c r="BD165" i="22"/>
  <c r="BV165" i="22"/>
  <c r="BS165" i="22"/>
  <c r="BT165" i="22"/>
  <c r="BE102" i="22"/>
  <c r="BC102" i="22"/>
  <c r="BD102" i="22" s="1"/>
  <c r="BB62" i="23"/>
  <c r="AZ62" i="23"/>
  <c r="BA62" i="23" s="1"/>
  <c r="I66" i="16"/>
  <c r="CB200" i="22"/>
  <c r="N266" i="12"/>
  <c r="BC92" i="22"/>
  <c r="BD92" i="22" s="1"/>
  <c r="BE92" i="22"/>
  <c r="D300" i="12"/>
  <c r="D316" i="12"/>
  <c r="D268" i="12"/>
  <c r="D284" i="12"/>
  <c r="D26" i="12"/>
  <c r="Q75" i="12"/>
  <c r="N50" i="16"/>
  <c r="V240" i="22"/>
  <c r="AZ52" i="23"/>
  <c r="BA52" i="23" s="1"/>
  <c r="BB52" i="23"/>
  <c r="R196" i="12"/>
  <c r="Z127" i="8"/>
  <c r="N89" i="12"/>
  <c r="N90" i="12" s="1"/>
  <c r="N91" i="12" s="1"/>
  <c r="AV86" i="12"/>
  <c r="BC49" i="22"/>
  <c r="BD49" i="22" s="1"/>
  <c r="BE49" i="22"/>
  <c r="J303" i="12"/>
  <c r="J300" i="12"/>
  <c r="J304" i="12"/>
  <c r="J299" i="12"/>
  <c r="J306" i="12"/>
  <c r="J302" i="12"/>
  <c r="J298" i="12"/>
  <c r="J305" i="12"/>
  <c r="J301" i="12"/>
  <c r="J307" i="12"/>
  <c r="J296" i="12"/>
  <c r="J297" i="12"/>
  <c r="AZ65" i="23"/>
  <c r="BA65" i="23" s="1"/>
  <c r="BB65" i="23"/>
  <c r="X44" i="8"/>
  <c r="Y44" i="8"/>
  <c r="BE98" i="22"/>
  <c r="BC98" i="22"/>
  <c r="BD98" i="22" s="1"/>
  <c r="AW61" i="12"/>
  <c r="AW62" i="12"/>
  <c r="AW63" i="12"/>
  <c r="AW60" i="12"/>
  <c r="AN269" i="9"/>
  <c r="AF269" i="9" s="1"/>
  <c r="AG269" i="9" s="1"/>
  <c r="AH269" i="9" s="1"/>
  <c r="AK269" i="9" s="1"/>
  <c r="S269" i="9"/>
  <c r="T269" i="9" s="1"/>
  <c r="Y129" i="8"/>
  <c r="Y130" i="8"/>
  <c r="U22" i="32"/>
  <c r="R255" i="9"/>
  <c r="W34" i="8"/>
  <c r="X158" i="8"/>
  <c r="BE53" i="22"/>
  <c r="BC53" i="22"/>
  <c r="BD53" i="22" s="1"/>
  <c r="X182" i="12"/>
  <c r="AN259" i="9"/>
  <c r="AF259" i="9" s="1"/>
  <c r="AG259" i="9" s="1"/>
  <c r="AH259" i="9" s="1"/>
  <c r="AK259" i="9" s="1"/>
  <c r="S259" i="9"/>
  <c r="T259" i="9" s="1"/>
  <c r="BE130" i="22"/>
  <c r="BC130" i="22"/>
  <c r="BD130" i="22" s="1"/>
  <c r="BD169" i="22"/>
  <c r="X169" i="22"/>
  <c r="Y169" i="22" s="1"/>
  <c r="BV169" i="22"/>
  <c r="BS169" i="22"/>
  <c r="BW169" i="22"/>
  <c r="BT169" i="22"/>
  <c r="P129" i="12"/>
  <c r="AX41" i="12"/>
  <c r="P49" i="12"/>
  <c r="P139" i="12" s="1"/>
  <c r="O81" i="12"/>
  <c r="AX72" i="12" s="1"/>
  <c r="AW73" i="12"/>
  <c r="Q70" i="12"/>
  <c r="BC112" i="22"/>
  <c r="BD112" i="22" s="1"/>
  <c r="BD154" i="22"/>
  <c r="X154" i="22"/>
  <c r="Y154" i="22" s="1"/>
  <c r="BV154" i="22"/>
  <c r="BS154" i="22"/>
  <c r="BT154" i="22"/>
  <c r="W178" i="12"/>
  <c r="BC14" i="22"/>
  <c r="BD14" i="22" s="1"/>
  <c r="BE14" i="22"/>
  <c r="AA27" i="8"/>
  <c r="J59" i="16"/>
  <c r="BE42" i="22"/>
  <c r="BC42" i="22"/>
  <c r="BD42" i="22" s="1"/>
  <c r="J66" i="16"/>
  <c r="K66" i="16" s="1"/>
  <c r="BU171" i="22"/>
  <c r="X197" i="22"/>
  <c r="Y197" i="22" s="1"/>
  <c r="BD197" i="22"/>
  <c r="BT197" i="22"/>
  <c r="BS197" i="22"/>
  <c r="BV197" i="22"/>
  <c r="I74" i="16"/>
  <c r="S196" i="12"/>
  <c r="AN234" i="9"/>
  <c r="AF234" i="9" s="1"/>
  <c r="AG234" i="9" s="1"/>
  <c r="AH234" i="9" s="1"/>
  <c r="AK234" i="9" s="1"/>
  <c r="S234" i="9"/>
  <c r="T234" i="9" s="1"/>
  <c r="W159" i="8"/>
  <c r="BD152" i="22"/>
  <c r="X152" i="22"/>
  <c r="Y152" i="22" s="1"/>
  <c r="BV152" i="22"/>
  <c r="BT152" i="22"/>
  <c r="BS152" i="22"/>
  <c r="X188" i="22"/>
  <c r="Y188" i="22" s="1"/>
  <c r="BD188" i="22"/>
  <c r="BS188" i="22"/>
  <c r="BT188" i="22"/>
  <c r="BV188" i="22"/>
  <c r="Q78" i="12"/>
  <c r="BC79" i="22"/>
  <c r="BD79" i="22" s="1"/>
  <c r="BE79" i="22"/>
  <c r="BD148" i="22"/>
  <c r="X148" i="22"/>
  <c r="Y148" i="22" s="1"/>
  <c r="BT148" i="22"/>
  <c r="BV148" i="22"/>
  <c r="BS148" i="22"/>
  <c r="U194" i="12"/>
  <c r="K121" i="16"/>
  <c r="W41" i="12"/>
  <c r="X41" i="12" s="1"/>
  <c r="X17" i="32"/>
  <c r="R286" i="9"/>
  <c r="W33" i="8"/>
  <c r="T201" i="12"/>
  <c r="U53" i="8"/>
  <c r="AA29" i="8"/>
  <c r="P70" i="12"/>
  <c r="BE132" i="22"/>
  <c r="BC132" i="22"/>
  <c r="BD132" i="22" s="1"/>
  <c r="K24" i="13"/>
  <c r="K16" i="13"/>
  <c r="K23" i="13"/>
  <c r="K15" i="13"/>
  <c r="K22" i="13"/>
  <c r="K14" i="13"/>
  <c r="K25" i="13"/>
  <c r="K20" i="13"/>
  <c r="K17" i="13"/>
  <c r="K18" i="13"/>
  <c r="K19" i="13"/>
  <c r="K21" i="13"/>
  <c r="BC68" i="23"/>
  <c r="Q77" i="12"/>
  <c r="W38" i="12"/>
  <c r="BE57" i="22"/>
  <c r="BC57" i="22"/>
  <c r="BD57" i="22" s="1"/>
  <c r="Y165" i="8"/>
  <c r="U163" i="8"/>
  <c r="AW48" i="12"/>
  <c r="AW49" i="12"/>
  <c r="P48" i="16"/>
  <c r="S260" i="9"/>
  <c r="T260" i="9" s="1"/>
  <c r="AN260" i="9"/>
  <c r="AF260" i="9" s="1"/>
  <c r="AG260" i="9" s="1"/>
  <c r="AH260" i="9" s="1"/>
  <c r="AK260" i="9" s="1"/>
  <c r="M58" i="16"/>
  <c r="BE115" i="22"/>
  <c r="BC115" i="22"/>
  <c r="BD115" i="22" s="1"/>
  <c r="BE48" i="22"/>
  <c r="BC48" i="22"/>
  <c r="BD48" i="22" s="1"/>
  <c r="BC70" i="22"/>
  <c r="BD70" i="22" s="1"/>
  <c r="BE70" i="22"/>
  <c r="BB58" i="23"/>
  <c r="AZ58" i="23"/>
  <c r="BA58" i="23" s="1"/>
  <c r="BU146" i="22"/>
  <c r="W16" i="32"/>
  <c r="R273" i="9"/>
  <c r="AB28" i="8"/>
  <c r="X140" i="22"/>
  <c r="Y140" i="22" s="1"/>
  <c r="BD140" i="22"/>
  <c r="BS140" i="22"/>
  <c r="BT140" i="22"/>
  <c r="BV140" i="22"/>
  <c r="BE135" i="22"/>
  <c r="BC135" i="22"/>
  <c r="BD135" i="22" s="1"/>
  <c r="S284" i="9"/>
  <c r="T284" i="9" s="1"/>
  <c r="AN284" i="9"/>
  <c r="AF284" i="9" s="1"/>
  <c r="AG284" i="9" s="1"/>
  <c r="AH284" i="9" s="1"/>
  <c r="AK284" i="9" s="1"/>
  <c r="W155" i="8"/>
  <c r="W45" i="8"/>
  <c r="X45" i="8" s="1"/>
  <c r="Q73" i="12"/>
  <c r="R73" i="12" s="1"/>
  <c r="D287" i="12"/>
  <c r="D303" i="12"/>
  <c r="D319" i="12"/>
  <c r="D271" i="12"/>
  <c r="D29" i="12"/>
  <c r="S133" i="12"/>
  <c r="I113" i="16"/>
  <c r="J65" i="16"/>
  <c r="L245" i="12"/>
  <c r="L247" i="12"/>
  <c r="L248" i="12" s="1"/>
  <c r="Q135" i="12"/>
  <c r="I116" i="16"/>
  <c r="Q74" i="12"/>
  <c r="Y182" i="12"/>
  <c r="BE10" i="22"/>
  <c r="BC10" i="22"/>
  <c r="BD10" i="22" s="1"/>
  <c r="U160" i="8"/>
  <c r="T133" i="12"/>
  <c r="U230" i="22"/>
  <c r="W230" i="22" s="1"/>
  <c r="L30" i="13"/>
  <c r="L38" i="13"/>
  <c r="L41" i="13"/>
  <c r="L33" i="13"/>
  <c r="L36" i="13"/>
  <c r="L39" i="13"/>
  <c r="L35" i="13"/>
  <c r="L40" i="13"/>
  <c r="L37" i="13"/>
  <c r="L32" i="13"/>
  <c r="L34" i="13"/>
  <c r="L31" i="13"/>
  <c r="S263" i="9"/>
  <c r="T263" i="9" s="1"/>
  <c r="AN263" i="9"/>
  <c r="AF263" i="9" s="1"/>
  <c r="AG263" i="9" s="1"/>
  <c r="AH263" i="9" s="1"/>
  <c r="AK263" i="9" s="1"/>
  <c r="BD179" i="22"/>
  <c r="X179" i="22"/>
  <c r="Y179" i="22" s="1"/>
  <c r="BV179" i="22"/>
  <c r="BT179" i="22"/>
  <c r="BS179" i="22"/>
  <c r="V215" i="22"/>
  <c r="V227" i="22" s="1"/>
  <c r="BE44" i="22"/>
  <c r="BC44" i="22"/>
  <c r="BD44" i="22" s="1"/>
  <c r="D264" i="12"/>
  <c r="D22" i="12"/>
  <c r="D312" i="12"/>
  <c r="D296" i="12"/>
  <c r="D280" i="12"/>
  <c r="BC77" i="23"/>
  <c r="S274" i="9"/>
  <c r="T274" i="9" s="1"/>
  <c r="AN274" i="9"/>
  <c r="AF274" i="9" s="1"/>
  <c r="AG274" i="9" s="1"/>
  <c r="AH274" i="9" s="1"/>
  <c r="AK274" i="9" s="1"/>
  <c r="V269" i="22"/>
  <c r="V281" i="22" s="1"/>
  <c r="U245" i="22"/>
  <c r="W245" i="22" s="1"/>
  <c r="BW179" i="22"/>
  <c r="BC8" i="22"/>
  <c r="BD8" i="22" s="1"/>
  <c r="S189" i="12"/>
  <c r="R130" i="12"/>
  <c r="J112" i="16"/>
  <c r="BC15" i="22"/>
  <c r="BD15" i="22" s="1"/>
  <c r="BE15" i="22"/>
  <c r="BC123" i="22"/>
  <c r="BD123" i="22" s="1"/>
  <c r="BE123" i="22"/>
  <c r="L55" i="16"/>
  <c r="H114" i="16"/>
  <c r="AZ49" i="23"/>
  <c r="BA49" i="23" s="1"/>
  <c r="V235" i="22"/>
  <c r="U211" i="22"/>
  <c r="W211" i="22" s="1"/>
  <c r="AX70" i="12"/>
  <c r="K56" i="16"/>
  <c r="V244" i="22"/>
  <c r="V256" i="22" s="1"/>
  <c r="U220" i="22"/>
  <c r="W220" i="22" s="1"/>
  <c r="U43" i="12"/>
  <c r="R204" i="12"/>
  <c r="S204" i="12" s="1"/>
  <c r="BE64" i="22"/>
  <c r="BC64" i="22"/>
  <c r="BD64" i="22" s="1"/>
  <c r="N165" i="12"/>
  <c r="N170" i="12"/>
  <c r="N164" i="12"/>
  <c r="N172" i="12"/>
  <c r="N167" i="12"/>
  <c r="N162" i="12"/>
  <c r="N171" i="12"/>
  <c r="N166" i="12"/>
  <c r="N169" i="12"/>
  <c r="N163" i="12"/>
  <c r="N173" i="12" s="1"/>
  <c r="N168" i="12"/>
  <c r="Z44" i="8"/>
  <c r="W180" i="12"/>
  <c r="BE76" i="22"/>
  <c r="BC76" i="22"/>
  <c r="BD76" i="22" s="1"/>
  <c r="BE23" i="22"/>
  <c r="BC23" i="22"/>
  <c r="BD23" i="22" s="1"/>
  <c r="P76" i="12"/>
  <c r="BD164" i="22"/>
  <c r="X164" i="22"/>
  <c r="Y164" i="22" s="1"/>
  <c r="BT164" i="22"/>
  <c r="BS164" i="22"/>
  <c r="BV164" i="22"/>
  <c r="AK47" i="28"/>
  <c r="AL45" i="28"/>
  <c r="BE39" i="22"/>
  <c r="BC39" i="22"/>
  <c r="BD39" i="22" s="1"/>
  <c r="U19" i="32"/>
  <c r="U26" i="32" s="1"/>
  <c r="R252" i="9"/>
  <c r="U84" i="8"/>
  <c r="U79" i="8"/>
  <c r="U74" i="8"/>
  <c r="U81" i="8"/>
  <c r="U76" i="8"/>
  <c r="U80" i="8"/>
  <c r="U75" i="8"/>
  <c r="U83" i="8"/>
  <c r="U77" i="8"/>
  <c r="U85" i="8" s="1"/>
  <c r="U78" i="8"/>
  <c r="U82" i="8"/>
  <c r="Q202" i="12"/>
  <c r="AA23" i="32"/>
  <c r="R328" i="9"/>
  <c r="AF35" i="8"/>
  <c r="U150" i="8"/>
  <c r="U19" i="8"/>
  <c r="Q195" i="12"/>
  <c r="R195" i="12" s="1"/>
  <c r="AC42" i="8"/>
  <c r="AB126" i="8"/>
  <c r="AC126" i="8" s="1"/>
  <c r="L49" i="16"/>
  <c r="L26" i="13"/>
  <c r="M4" i="13"/>
  <c r="BD150" i="22"/>
  <c r="X150" i="22"/>
  <c r="Y150" i="22" s="1"/>
  <c r="BS150" i="22"/>
  <c r="BT150" i="22"/>
  <c r="BV150" i="22"/>
  <c r="S247" i="9"/>
  <c r="T247" i="9" s="1"/>
  <c r="AN247" i="9"/>
  <c r="AF247" i="9" s="1"/>
  <c r="AG247" i="9" s="1"/>
  <c r="AH247" i="9" s="1"/>
  <c r="AK247" i="9" s="1"/>
  <c r="S199" i="12"/>
  <c r="X16" i="32"/>
  <c r="R285" i="9"/>
  <c r="AC28" i="8"/>
  <c r="BB77" i="23"/>
  <c r="AZ77" i="23"/>
  <c r="BA77" i="23" s="1"/>
  <c r="M250" i="12"/>
  <c r="M308" i="12"/>
  <c r="BE46" i="22"/>
  <c r="BC46" i="22"/>
  <c r="BD46" i="22" s="1"/>
  <c r="I112" i="16"/>
  <c r="BB47" i="23"/>
  <c r="AZ47" i="23"/>
  <c r="BA47" i="23" s="1"/>
  <c r="AK27" i="28"/>
  <c r="AJ29" i="28"/>
  <c r="G124" i="16"/>
  <c r="BU197" i="22"/>
  <c r="BB64" i="23"/>
  <c r="AZ64" i="23"/>
  <c r="BA64" i="23" s="1"/>
  <c r="AN261" i="9"/>
  <c r="AF261" i="9" s="1"/>
  <c r="AG261" i="9" s="1"/>
  <c r="AH261" i="9" s="1"/>
  <c r="AK261" i="9" s="1"/>
  <c r="S261" i="9"/>
  <c r="T261" i="9" s="1"/>
  <c r="V247" i="22"/>
  <c r="U223" i="22"/>
  <c r="W223" i="22" s="1"/>
  <c r="D302" i="12"/>
  <c r="D28" i="12"/>
  <c r="D318" i="12"/>
  <c r="D270" i="12"/>
  <c r="D286" i="12"/>
  <c r="M52" i="16"/>
  <c r="X151" i="22"/>
  <c r="Y151" i="22" s="1"/>
  <c r="BD151" i="22"/>
  <c r="BV151" i="22"/>
  <c r="BS151" i="22"/>
  <c r="BT151" i="22"/>
  <c r="Q130" i="12"/>
  <c r="H120" i="16"/>
  <c r="U232" i="22"/>
  <c r="W232" i="22" s="1"/>
  <c r="BE104" i="22"/>
  <c r="BC104" i="22"/>
  <c r="BD104" i="22" s="1"/>
  <c r="R197" i="12"/>
  <c r="V125" i="8"/>
  <c r="X43" i="8"/>
  <c r="Z133" i="8"/>
  <c r="D275" i="12"/>
  <c r="D323" i="12"/>
  <c r="D307" i="12"/>
  <c r="D33" i="12"/>
  <c r="D291" i="12"/>
  <c r="U134" i="12"/>
  <c r="AN222" i="9"/>
  <c r="AF222" i="9" s="1"/>
  <c r="AG222" i="9" s="1"/>
  <c r="AH222" i="9" s="1"/>
  <c r="AK222" i="9" s="1"/>
  <c r="S222" i="9"/>
  <c r="T222" i="9" s="1"/>
  <c r="X158" i="22"/>
  <c r="Y158" i="22" s="1"/>
  <c r="BD158" i="22"/>
  <c r="BV158" i="22"/>
  <c r="BW158" i="22"/>
  <c r="BS158" i="22"/>
  <c r="BT158" i="22"/>
  <c r="BE7" i="22"/>
  <c r="BC7" i="22"/>
  <c r="BD7" i="22" s="1"/>
  <c r="Q72" i="12"/>
  <c r="L58" i="16"/>
  <c r="O58" i="16" s="1"/>
  <c r="U23" i="8"/>
  <c r="BC38" i="22"/>
  <c r="BD38" i="22" s="1"/>
  <c r="BE38" i="22"/>
  <c r="AD128" i="8"/>
  <c r="BB53" i="23"/>
  <c r="AZ53" i="23"/>
  <c r="BA53" i="23" s="1"/>
  <c r="BE107" i="22"/>
  <c r="BC107" i="22"/>
  <c r="BD107" i="22" s="1"/>
  <c r="Q79" i="12"/>
  <c r="V231" i="22"/>
  <c r="BC69" i="22"/>
  <c r="BD69" i="22" s="1"/>
  <c r="V53" i="8"/>
  <c r="Z26" i="8"/>
  <c r="BD174" i="22"/>
  <c r="X174" i="22"/>
  <c r="Y174" i="22" s="1"/>
  <c r="BV174" i="22"/>
  <c r="BS174" i="22"/>
  <c r="BT174" i="22"/>
  <c r="P79" i="12"/>
  <c r="V48" i="8"/>
  <c r="K65" i="16"/>
  <c r="P71" i="12"/>
  <c r="BU169" i="22"/>
  <c r="Z52" i="8"/>
  <c r="AA52" i="8" s="1"/>
  <c r="M244" i="12"/>
  <c r="K64" i="16"/>
  <c r="L64" i="16" s="1"/>
  <c r="T131" i="12"/>
  <c r="U217" i="22"/>
  <c r="W217" i="22" s="1"/>
  <c r="BW197" i="22"/>
  <c r="D267" i="12"/>
  <c r="D315" i="12"/>
  <c r="D299" i="12"/>
  <c r="D25" i="12"/>
  <c r="D283" i="12"/>
  <c r="H118" i="16"/>
  <c r="S40" i="12"/>
  <c r="I72" i="16"/>
  <c r="Y131" i="8"/>
  <c r="Z131" i="8" s="1"/>
  <c r="AA149" i="8"/>
  <c r="BE94" i="22"/>
  <c r="BC94" i="22"/>
  <c r="BD94" i="22" s="1"/>
  <c r="R133" i="12"/>
  <c r="V224" i="22"/>
  <c r="I115" i="16"/>
  <c r="S304" i="9"/>
  <c r="T304" i="9" s="1"/>
  <c r="AN304" i="9"/>
  <c r="AF304" i="9" s="1"/>
  <c r="AG304" i="9" s="1"/>
  <c r="AH304" i="9" s="1"/>
  <c r="AK304" i="9" s="1"/>
  <c r="BE6" i="22"/>
  <c r="BC6" i="22"/>
  <c r="BD6" i="22" s="1"/>
  <c r="BC89" i="22"/>
  <c r="BD89" i="22" s="1"/>
  <c r="BE89" i="22"/>
  <c r="J253" i="12"/>
  <c r="J254" i="12" s="1"/>
  <c r="J251" i="12"/>
  <c r="P71" i="16"/>
  <c r="K119" i="16"/>
  <c r="BC120" i="22"/>
  <c r="BD120" i="22" s="1"/>
  <c r="BE120" i="22"/>
  <c r="BE65" i="22"/>
  <c r="BC65" i="22"/>
  <c r="BD65" i="22" s="1"/>
  <c r="X184" i="22"/>
  <c r="Y184" i="22" s="1"/>
  <c r="BD184" i="22"/>
  <c r="BT184" i="22"/>
  <c r="BS184" i="22"/>
  <c r="BV184" i="22"/>
  <c r="AA122" i="8"/>
  <c r="U164" i="8"/>
  <c r="R198" i="12"/>
  <c r="Y16" i="32"/>
  <c r="R297" i="9"/>
  <c r="M114" i="12"/>
  <c r="M214" i="12"/>
  <c r="X159" i="22"/>
  <c r="Y159" i="22" s="1"/>
  <c r="BD159" i="22"/>
  <c r="BT159" i="22"/>
  <c r="BV159" i="22"/>
  <c r="BS159" i="22"/>
  <c r="AY201" i="22"/>
  <c r="BZ201" i="22" s="1"/>
  <c r="D23" i="12"/>
  <c r="D265" i="12"/>
  <c r="D281" i="12"/>
  <c r="D313" i="12"/>
  <c r="D297" i="12"/>
  <c r="AN15" i="28"/>
  <c r="AM17" i="28"/>
  <c r="N6" i="13"/>
  <c r="M42" i="13"/>
  <c r="N83" i="12"/>
  <c r="N84" i="12" s="1"/>
  <c r="N13" i="12"/>
  <c r="BB71" i="23"/>
  <c r="AZ71" i="23"/>
  <c r="BA71" i="23" s="1"/>
  <c r="S101" i="8"/>
  <c r="T90" i="8" s="1"/>
  <c r="T91" i="8" s="1"/>
  <c r="T92" i="8" s="1"/>
  <c r="T93" i="8" s="1"/>
  <c r="T94" i="8" s="1"/>
  <c r="T95" i="8" s="1"/>
  <c r="T96" i="8" s="1"/>
  <c r="T97" i="8" s="1"/>
  <c r="T98" i="8" s="1"/>
  <c r="T99" i="8" s="1"/>
  <c r="T100" i="8" s="1"/>
  <c r="T101" i="8" s="1"/>
  <c r="V234" i="22"/>
  <c r="U210" i="22"/>
  <c r="Y36" i="8"/>
  <c r="BE99" i="22"/>
  <c r="BC99" i="22"/>
  <c r="BD99" i="22" s="1"/>
  <c r="Y49" i="8"/>
  <c r="H75" i="16"/>
  <c r="H123" i="16" s="1"/>
  <c r="AQ41" i="16"/>
  <c r="AQ42" i="16"/>
  <c r="AX42" i="12"/>
  <c r="G72" i="13"/>
  <c r="G88" i="13"/>
  <c r="AN242" i="9"/>
  <c r="AF242" i="9" s="1"/>
  <c r="AG242" i="9" s="1"/>
  <c r="AH242" i="9" s="1"/>
  <c r="AK242" i="9" s="1"/>
  <c r="S242" i="9"/>
  <c r="T242" i="9" s="1"/>
  <c r="D32" i="12"/>
  <c r="D306" i="12"/>
  <c r="D322" i="12"/>
  <c r="D290" i="12"/>
  <c r="D274" i="12"/>
  <c r="V181" i="12"/>
  <c r="W181" i="12" s="1"/>
  <c r="W161" i="8"/>
  <c r="Z30" i="8"/>
  <c r="H117" i="16"/>
  <c r="I118" i="16"/>
  <c r="R39" i="12"/>
  <c r="BU151" i="22"/>
  <c r="J72" i="16"/>
  <c r="Y46" i="8"/>
  <c r="Z46" i="8" s="1"/>
  <c r="BW140" i="22"/>
  <c r="V229" i="22"/>
  <c r="BB61" i="23"/>
  <c r="AZ61" i="23"/>
  <c r="BA61" i="23" s="1"/>
  <c r="D272" i="12"/>
  <c r="D304" i="12"/>
  <c r="D30" i="12"/>
  <c r="D320" i="12"/>
  <c r="D288" i="12"/>
  <c r="D269" i="12"/>
  <c r="D317" i="12"/>
  <c r="D301" i="12"/>
  <c r="D27" i="12"/>
  <c r="D285" i="12"/>
  <c r="BE118" i="22"/>
  <c r="BC118" i="22"/>
  <c r="BD118" i="22" s="1"/>
  <c r="J68" i="16"/>
  <c r="Z124" i="8"/>
  <c r="AJ41" i="28"/>
  <c r="AJ6" i="28" s="1"/>
  <c r="AK39" i="28"/>
  <c r="Q80" i="12"/>
  <c r="R80" i="12" s="1"/>
  <c r="AZ201" i="22"/>
  <c r="CA201" i="22" s="1"/>
  <c r="Q129" i="12"/>
  <c r="AY41" i="12"/>
  <c r="BE41" i="22"/>
  <c r="BC41" i="22"/>
  <c r="BD41" i="22" s="1"/>
  <c r="J108" i="12"/>
  <c r="J7" i="12"/>
  <c r="J18" i="12"/>
  <c r="J119" i="12" s="1"/>
  <c r="J12" i="12"/>
  <c r="AN249" i="9"/>
  <c r="AF249" i="9" s="1"/>
  <c r="AG249" i="9" s="1"/>
  <c r="AH249" i="9" s="1"/>
  <c r="AK249" i="9" s="1"/>
  <c r="S249" i="9"/>
  <c r="T249" i="9" s="1"/>
  <c r="BW148" i="22"/>
  <c r="S134" i="12"/>
  <c r="X44" i="12"/>
  <c r="AB23" i="32"/>
  <c r="R340" i="9"/>
  <c r="AG35" i="8"/>
  <c r="BW164" i="22"/>
  <c r="AF10" i="28"/>
  <c r="AF12" i="28" s="1"/>
  <c r="L106" i="12"/>
  <c r="L19" i="12"/>
  <c r="W20" i="32"/>
  <c r="R277" i="9"/>
  <c r="V237" i="22"/>
  <c r="U213" i="22"/>
  <c r="W213" i="22" s="1"/>
  <c r="AW76" i="12"/>
  <c r="AW78" i="12"/>
  <c r="AW77" i="12"/>
  <c r="AW79" i="12"/>
  <c r="K54" i="16"/>
  <c r="K59" i="16" s="1"/>
  <c r="V242" i="22"/>
  <c r="U218" i="22"/>
  <c r="W218" i="22" s="1"/>
  <c r="AC128" i="8"/>
  <c r="AE128" i="8" s="1"/>
  <c r="Y32" i="8"/>
  <c r="Z32" i="8" s="1"/>
  <c r="BC71" i="22"/>
  <c r="BD71" i="22" s="1"/>
  <c r="BE71" i="22"/>
  <c r="BE54" i="22"/>
  <c r="BC54" i="22"/>
  <c r="BD54" i="22" s="1"/>
  <c r="Y124" i="8"/>
  <c r="O51" i="16"/>
  <c r="Q203" i="12"/>
  <c r="M313" i="12"/>
  <c r="M317" i="12"/>
  <c r="M321" i="12"/>
  <c r="M314" i="12"/>
  <c r="M318" i="12"/>
  <c r="M316" i="12"/>
  <c r="M315" i="12"/>
  <c r="M320" i="12"/>
  <c r="M312" i="12"/>
  <c r="M323" i="12"/>
  <c r="M322" i="12"/>
  <c r="M319" i="12"/>
  <c r="S201" i="12"/>
  <c r="BE80" i="22"/>
  <c r="BC80" i="22"/>
  <c r="BD80" i="22" s="1"/>
  <c r="BU154" i="22"/>
  <c r="P135" i="12"/>
  <c r="BE9" i="22"/>
  <c r="BC9" i="22"/>
  <c r="BD9" i="22" s="1"/>
  <c r="M73" i="16"/>
  <c r="BE35" i="22"/>
  <c r="BC35" i="22"/>
  <c r="BD35" i="22" s="1"/>
  <c r="K70" i="16"/>
  <c r="R45" i="12"/>
  <c r="X46" i="8"/>
  <c r="BD191" i="22"/>
  <c r="X191" i="22"/>
  <c r="Y191" i="22" s="1"/>
  <c r="BV191" i="22"/>
  <c r="BS191" i="22"/>
  <c r="BT191" i="22"/>
  <c r="AC23" i="32"/>
  <c r="R352" i="9" s="1"/>
  <c r="H115" i="16"/>
  <c r="H124" i="16" s="1"/>
  <c r="BB46" i="23"/>
  <c r="AZ46" i="23"/>
  <c r="BA46" i="23" s="1"/>
  <c r="V250" i="22"/>
  <c r="U226" i="22"/>
  <c r="W226" i="22" s="1"/>
  <c r="Y50" i="8"/>
  <c r="BE21" i="22"/>
  <c r="BC21" i="22"/>
  <c r="BD21" i="22" s="1"/>
  <c r="BD146" i="22"/>
  <c r="X146" i="22"/>
  <c r="Y146" i="22" s="1"/>
  <c r="BV146" i="22"/>
  <c r="BT146" i="22"/>
  <c r="BS146" i="22"/>
  <c r="Z122" i="8"/>
  <c r="AB122" i="8" s="1"/>
  <c r="K247" i="12"/>
  <c r="K248" i="12" s="1"/>
  <c r="K245" i="12"/>
  <c r="BE31" i="22"/>
  <c r="BC31" i="22"/>
  <c r="BD31" i="22" s="1"/>
  <c r="AK23" i="28"/>
  <c r="AL21" i="28"/>
  <c r="AW58" i="12"/>
  <c r="W44" i="12"/>
  <c r="Y44" i="12" s="1"/>
  <c r="BE82" i="22"/>
  <c r="BC82" i="22"/>
  <c r="BD82" i="22" s="1"/>
  <c r="BE37" i="22"/>
  <c r="BC37" i="22"/>
  <c r="BD37" i="22" s="1"/>
  <c r="U48" i="12"/>
  <c r="V48" i="12" s="1"/>
  <c r="N248" i="12"/>
  <c r="N240" i="12"/>
  <c r="N241" i="12" s="1"/>
  <c r="N245" i="12"/>
  <c r="L308" i="12"/>
  <c r="L250" i="12"/>
  <c r="V225" i="22"/>
  <c r="S275" i="9"/>
  <c r="T275" i="9" s="1"/>
  <c r="AN275" i="9"/>
  <c r="AF275" i="9" s="1"/>
  <c r="AG275" i="9" s="1"/>
  <c r="AH275" i="9" s="1"/>
  <c r="AK275" i="9" s="1"/>
  <c r="I69" i="16"/>
  <c r="M50" i="16"/>
  <c r="J70" i="16"/>
  <c r="BB202" i="22"/>
  <c r="CC202" i="22" s="1"/>
  <c r="BD187" i="22"/>
  <c r="X187" i="22"/>
  <c r="Y187" i="22" s="1"/>
  <c r="BT187" i="22"/>
  <c r="BS187" i="22"/>
  <c r="BV187" i="22"/>
  <c r="W47" i="8"/>
  <c r="J67" i="16"/>
  <c r="BD199" i="22"/>
  <c r="X199" i="22"/>
  <c r="Y199" i="22" s="1"/>
  <c r="BV199" i="22"/>
  <c r="BT199" i="22"/>
  <c r="BW199" i="22"/>
  <c r="BS199" i="22"/>
  <c r="BC55" i="22"/>
  <c r="BD55" i="22" s="1"/>
  <c r="BE55" i="22"/>
  <c r="T185" i="12"/>
  <c r="Y134" i="12" l="1"/>
  <c r="T45" i="12"/>
  <c r="V200" i="12"/>
  <c r="V305" i="22"/>
  <c r="U281" i="22"/>
  <c r="T80" i="12"/>
  <c r="BA70" i="12"/>
  <c r="V138" i="12"/>
  <c r="L112" i="16"/>
  <c r="Z158" i="8"/>
  <c r="R51" i="16"/>
  <c r="Z43" i="8"/>
  <c r="Y155" i="8"/>
  <c r="K114" i="16"/>
  <c r="L66" i="16"/>
  <c r="Y162" i="8"/>
  <c r="O73" i="16"/>
  <c r="W19" i="32"/>
  <c r="R276" i="9"/>
  <c r="AA130" i="8"/>
  <c r="AX77" i="12"/>
  <c r="AX76" i="12"/>
  <c r="AX78" i="12"/>
  <c r="AX79" i="12"/>
  <c r="M70" i="16"/>
  <c r="U227" i="22"/>
  <c r="W227" i="22" s="1"/>
  <c r="X131" i="12"/>
  <c r="Y41" i="12"/>
  <c r="U256" i="22"/>
  <c r="W256" i="22" s="1"/>
  <c r="Y20" i="32"/>
  <c r="R301" i="9"/>
  <c r="AB32" i="8"/>
  <c r="Y48" i="8"/>
  <c r="AN340" i="9"/>
  <c r="AF340" i="9" s="1"/>
  <c r="AG340" i="9" s="1"/>
  <c r="AH340" i="9" s="1"/>
  <c r="AK340" i="9" s="1"/>
  <c r="S340" i="9"/>
  <c r="T340" i="9" s="1"/>
  <c r="AN281" i="9"/>
  <c r="AF281" i="9" s="1"/>
  <c r="AG281" i="9" s="1"/>
  <c r="AH281" i="9" s="1"/>
  <c r="AK281" i="9" s="1"/>
  <c r="S281" i="9"/>
  <c r="T281" i="9" s="1"/>
  <c r="X134" i="12"/>
  <c r="AN286" i="9"/>
  <c r="AF286" i="9" s="1"/>
  <c r="AG286" i="9" s="1"/>
  <c r="AH286" i="9" s="1"/>
  <c r="AK286" i="9" s="1"/>
  <c r="S286" i="9"/>
  <c r="T286" i="9" s="1"/>
  <c r="N52" i="16"/>
  <c r="O52" i="16" s="1"/>
  <c r="AD126" i="8"/>
  <c r="V22" i="8"/>
  <c r="S74" i="12"/>
  <c r="AB129" i="8"/>
  <c r="AE23" i="32"/>
  <c r="R376" i="9" s="1"/>
  <c r="Z15" i="32"/>
  <c r="R308" i="9"/>
  <c r="X24" i="32"/>
  <c r="R293" i="9"/>
  <c r="X8" i="8"/>
  <c r="W70" i="8"/>
  <c r="W17" i="8"/>
  <c r="W7" i="8"/>
  <c r="W86" i="8" s="1"/>
  <c r="Y31" i="8"/>
  <c r="X183" i="12"/>
  <c r="J118" i="16"/>
  <c r="L70" i="16"/>
  <c r="AM21" i="28"/>
  <c r="AL23" i="28"/>
  <c r="AB124" i="8"/>
  <c r="AD10" i="28"/>
  <c r="AD12" i="28" s="1"/>
  <c r="J106" i="12"/>
  <c r="J114" i="12" s="1"/>
  <c r="J19" i="12"/>
  <c r="Y18" i="32"/>
  <c r="R299" i="9"/>
  <c r="W210" i="22"/>
  <c r="S130" i="12"/>
  <c r="T40" i="12"/>
  <c r="K113" i="16"/>
  <c r="S202" i="12"/>
  <c r="V259" i="22"/>
  <c r="U235" i="22"/>
  <c r="W235" i="22" s="1"/>
  <c r="AZ202" i="22"/>
  <c r="CA202" i="22" s="1"/>
  <c r="S240" i="9"/>
  <c r="T240" i="9" s="1"/>
  <c r="AN240" i="9"/>
  <c r="AF240" i="9" s="1"/>
  <c r="AG240" i="9" s="1"/>
  <c r="AH240" i="9" s="1"/>
  <c r="AK240" i="9" s="1"/>
  <c r="Z41" i="12"/>
  <c r="AZ40" i="12"/>
  <c r="Q137" i="12"/>
  <c r="S47" i="12"/>
  <c r="N49" i="16"/>
  <c r="J120" i="16"/>
  <c r="M300" i="12"/>
  <c r="M301" i="12"/>
  <c r="M305" i="12"/>
  <c r="M306" i="12"/>
  <c r="M302" i="12"/>
  <c r="M298" i="12"/>
  <c r="M297" i="12"/>
  <c r="M299" i="12"/>
  <c r="M307" i="12"/>
  <c r="M304" i="12"/>
  <c r="M296" i="12"/>
  <c r="M303" i="12"/>
  <c r="AN364" i="9"/>
  <c r="AF364" i="9" s="1"/>
  <c r="AG364" i="9" s="1"/>
  <c r="AH364" i="9" s="1"/>
  <c r="AK364" i="9" s="1"/>
  <c r="S364" i="9"/>
  <c r="T364" i="9" s="1"/>
  <c r="AX74" i="12"/>
  <c r="C300" i="12"/>
  <c r="C316" i="12"/>
  <c r="C26" i="12"/>
  <c r="C284" i="12"/>
  <c r="C268" i="12"/>
  <c r="AZ71" i="12"/>
  <c r="S76" i="12"/>
  <c r="S328" i="9"/>
  <c r="T328" i="9" s="1"/>
  <c r="AN328" i="9"/>
  <c r="AF328" i="9" s="1"/>
  <c r="AG328" i="9" s="1"/>
  <c r="AH328" i="9" s="1"/>
  <c r="AK328" i="9" s="1"/>
  <c r="X48" i="8"/>
  <c r="W48" i="8"/>
  <c r="R137" i="12"/>
  <c r="T71" i="16"/>
  <c r="V71" i="16" s="1"/>
  <c r="K67" i="16"/>
  <c r="L67" i="16" s="1"/>
  <c r="I117" i="16"/>
  <c r="I124" i="16" s="1"/>
  <c r="K69" i="16"/>
  <c r="L69" i="16"/>
  <c r="S277" i="9"/>
  <c r="T277" i="9" s="1"/>
  <c r="AN277" i="9"/>
  <c r="AF277" i="9" s="1"/>
  <c r="AG277" i="9" s="1"/>
  <c r="AH277" i="9" s="1"/>
  <c r="AK277" i="9" s="1"/>
  <c r="U90" i="8"/>
  <c r="U91" i="8" s="1"/>
  <c r="U92" i="8" s="1"/>
  <c r="U93" i="8" s="1"/>
  <c r="U94" i="8" s="1"/>
  <c r="U95" i="8" s="1"/>
  <c r="U96" i="8" s="1"/>
  <c r="U97" i="8" s="1"/>
  <c r="U98" i="8" s="1"/>
  <c r="U99" i="8" s="1"/>
  <c r="U100" i="8" s="1"/>
  <c r="U101" i="8" s="1"/>
  <c r="BB203" i="22"/>
  <c r="CC203" i="22" s="1"/>
  <c r="AM45" i="28"/>
  <c r="AL47" i="28"/>
  <c r="J113" i="16"/>
  <c r="V163" i="8"/>
  <c r="W163" i="8" s="1"/>
  <c r="AA30" i="8"/>
  <c r="Z36" i="8"/>
  <c r="AA36" i="8" s="1"/>
  <c r="N282" i="12"/>
  <c r="AN296" i="9"/>
  <c r="AF296" i="9" s="1"/>
  <c r="AG296" i="9" s="1"/>
  <c r="AH296" i="9" s="1"/>
  <c r="AK296" i="9" s="1"/>
  <c r="S296" i="9"/>
  <c r="T296" i="9" s="1"/>
  <c r="G11" i="16"/>
  <c r="G10" i="16" s="1"/>
  <c r="G8" i="16"/>
  <c r="M49" i="16"/>
  <c r="O49" i="16" s="1"/>
  <c r="AF23" i="32"/>
  <c r="R388" i="9" s="1"/>
  <c r="AX49" i="12"/>
  <c r="AX48" i="12"/>
  <c r="U138" i="12"/>
  <c r="W48" i="12"/>
  <c r="X48" i="12"/>
  <c r="O50" i="16"/>
  <c r="AN254" i="9"/>
  <c r="AF254" i="9" s="1"/>
  <c r="AG254" i="9" s="1"/>
  <c r="AH254" i="9" s="1"/>
  <c r="AK254" i="9" s="1"/>
  <c r="S254" i="9"/>
  <c r="T254" i="9" s="1"/>
  <c r="J116" i="16"/>
  <c r="V274" i="22"/>
  <c r="U250" i="22"/>
  <c r="W250" i="22" s="1"/>
  <c r="U197" i="12"/>
  <c r="Z154" i="8"/>
  <c r="AB16" i="32"/>
  <c r="R333" i="9"/>
  <c r="W131" i="12"/>
  <c r="AB41" i="12"/>
  <c r="T202" i="12"/>
  <c r="Z123" i="8"/>
  <c r="U234" i="22"/>
  <c r="Q51" i="16"/>
  <c r="X181" i="12"/>
  <c r="Y159" i="8"/>
  <c r="AA159" i="8" s="1"/>
  <c r="AA16" i="32"/>
  <c r="R321" i="9"/>
  <c r="AF28" i="8"/>
  <c r="AG28" i="8" s="1"/>
  <c r="AV87" i="12"/>
  <c r="N92" i="12"/>
  <c r="N93" i="12" s="1"/>
  <c r="N94" i="12" s="1"/>
  <c r="BA201" i="22"/>
  <c r="S287" i="9"/>
  <c r="T287" i="9" s="1"/>
  <c r="AN287" i="9"/>
  <c r="AF287" i="9" s="1"/>
  <c r="AG287" i="9" s="1"/>
  <c r="AH287" i="9" s="1"/>
  <c r="AK287" i="9" s="1"/>
  <c r="W222" i="22"/>
  <c r="AK41" i="28"/>
  <c r="AL39" i="28"/>
  <c r="V286" i="22"/>
  <c r="U262" i="22"/>
  <c r="W262" i="22" s="1"/>
  <c r="X33" i="8"/>
  <c r="AI35" i="8"/>
  <c r="AA50" i="8"/>
  <c r="V255" i="22"/>
  <c r="U231" i="22"/>
  <c r="W231" i="22" s="1"/>
  <c r="Y156" i="8"/>
  <c r="X156" i="8"/>
  <c r="Z50" i="8"/>
  <c r="V243" i="22"/>
  <c r="T197" i="12"/>
  <c r="S203" i="12"/>
  <c r="AY203" i="22"/>
  <c r="BZ203" i="22" s="1"/>
  <c r="Z130" i="8"/>
  <c r="C273" i="12"/>
  <c r="C305" i="12"/>
  <c r="C321" i="12"/>
  <c r="C289" i="12"/>
  <c r="C31" i="12"/>
  <c r="AN352" i="9"/>
  <c r="AF352" i="9" s="1"/>
  <c r="AG352" i="9" s="1"/>
  <c r="AH352" i="9" s="1"/>
  <c r="AK352" i="9" s="1"/>
  <c r="S352" i="9"/>
  <c r="T352" i="9" s="1"/>
  <c r="V185" i="12"/>
  <c r="C272" i="12"/>
  <c r="C304" i="12"/>
  <c r="C320" i="12"/>
  <c r="C30" i="12"/>
  <c r="C288" i="12"/>
  <c r="AD28" i="8"/>
  <c r="C267" i="12"/>
  <c r="C283" i="12"/>
  <c r="C299" i="12"/>
  <c r="C315" i="12"/>
  <c r="C25" i="12"/>
  <c r="R79" i="12"/>
  <c r="V23" i="8"/>
  <c r="M55" i="16"/>
  <c r="AN273" i="9"/>
  <c r="AF273" i="9" s="1"/>
  <c r="AG273" i="9" s="1"/>
  <c r="AH273" i="9" s="1"/>
  <c r="AK273" i="9" s="1"/>
  <c r="S273" i="9"/>
  <c r="T273" i="9" s="1"/>
  <c r="AB165" i="8"/>
  <c r="AD165" i="8" s="1"/>
  <c r="X159" i="8"/>
  <c r="I114" i="16"/>
  <c r="AA131" i="8"/>
  <c r="AC131" i="8" s="1"/>
  <c r="AX47" i="12"/>
  <c r="AX46" i="12"/>
  <c r="AX45" i="12"/>
  <c r="AX44" i="12"/>
  <c r="G23" i="16"/>
  <c r="G25" i="16"/>
  <c r="G19" i="16"/>
  <c r="G21" i="16"/>
  <c r="G18" i="16"/>
  <c r="G24" i="16"/>
  <c r="G22" i="16"/>
  <c r="AP17" i="16" s="1"/>
  <c r="G20" i="16"/>
  <c r="G27" i="16" s="1"/>
  <c r="G26" i="16"/>
  <c r="AY40" i="12"/>
  <c r="V246" i="22"/>
  <c r="V258" i="22" s="1"/>
  <c r="AO15" i="28"/>
  <c r="AN17" i="28"/>
  <c r="T204" i="12"/>
  <c r="U240" i="22"/>
  <c r="W240" i="22" s="1"/>
  <c r="V22" i="32"/>
  <c r="R267" i="9"/>
  <c r="AC124" i="8"/>
  <c r="AN252" i="9"/>
  <c r="AF252" i="9" s="1"/>
  <c r="AG252" i="9" s="1"/>
  <c r="AH252" i="9" s="1"/>
  <c r="AK252" i="9" s="1"/>
  <c r="S252" i="9"/>
  <c r="T252" i="9" s="1"/>
  <c r="Y180" i="12"/>
  <c r="S77" i="12"/>
  <c r="Z156" i="8"/>
  <c r="Y48" i="12"/>
  <c r="V271" i="22"/>
  <c r="U247" i="22"/>
  <c r="W247" i="22" s="1"/>
  <c r="W134" i="12"/>
  <c r="AB44" i="12"/>
  <c r="C269" i="12"/>
  <c r="C285" i="12"/>
  <c r="C317" i="12"/>
  <c r="C301" i="12"/>
  <c r="C27" i="12"/>
  <c r="I120" i="16"/>
  <c r="L72" i="16"/>
  <c r="V65" i="8"/>
  <c r="V60" i="8"/>
  <c r="V67" i="8"/>
  <c r="V62" i="8"/>
  <c r="V64" i="8"/>
  <c r="V63" i="8"/>
  <c r="V66" i="8"/>
  <c r="V58" i="8"/>
  <c r="V61" i="8"/>
  <c r="V68" i="8"/>
  <c r="V59" i="8"/>
  <c r="V69" i="8" s="1"/>
  <c r="V19" i="32"/>
  <c r="R264" i="9"/>
  <c r="W37" i="8"/>
  <c r="AW65" i="12"/>
  <c r="AW64" i="12"/>
  <c r="Y178" i="12"/>
  <c r="Z178" i="12" s="1"/>
  <c r="T26" i="32"/>
  <c r="Q48" i="16"/>
  <c r="R48" i="16" s="1"/>
  <c r="S297" i="9"/>
  <c r="T297" i="9" s="1"/>
  <c r="AN297" i="9"/>
  <c r="AF297" i="9" s="1"/>
  <c r="AG297" i="9" s="1"/>
  <c r="AH297" i="9" s="1"/>
  <c r="AK297" i="9" s="1"/>
  <c r="Z44" i="12"/>
  <c r="Z182" i="12"/>
  <c r="AA127" i="8"/>
  <c r="AB52" i="8"/>
  <c r="K68" i="16"/>
  <c r="AB27" i="8"/>
  <c r="L53" i="16"/>
  <c r="L65" i="16"/>
  <c r="R135" i="12"/>
  <c r="BA39" i="12"/>
  <c r="L54" i="16"/>
  <c r="V248" i="22"/>
  <c r="U224" i="22"/>
  <c r="W224" i="22" s="1"/>
  <c r="U133" i="12"/>
  <c r="V236" i="22"/>
  <c r="S255" i="9"/>
  <c r="T255" i="9" s="1"/>
  <c r="AN255" i="9"/>
  <c r="AF255" i="9" s="1"/>
  <c r="AG255" i="9" s="1"/>
  <c r="AH255" i="9" s="1"/>
  <c r="AK255" i="9" s="1"/>
  <c r="M253" i="12"/>
  <c r="M254" i="12" s="1"/>
  <c r="M251" i="12"/>
  <c r="C270" i="12"/>
  <c r="C28" i="12"/>
  <c r="C318" i="12"/>
  <c r="C286" i="12"/>
  <c r="C302" i="12"/>
  <c r="AA188" i="12"/>
  <c r="Q132" i="12"/>
  <c r="AZ38" i="12"/>
  <c r="R42" i="12"/>
  <c r="M245" i="12"/>
  <c r="M247" i="12"/>
  <c r="M248" i="12" s="1"/>
  <c r="V84" i="8"/>
  <c r="V79" i="8"/>
  <c r="V74" i="8"/>
  <c r="V81" i="8"/>
  <c r="V83" i="8"/>
  <c r="V76" i="8"/>
  <c r="V80" i="8"/>
  <c r="V77" i="8"/>
  <c r="V75" i="8"/>
  <c r="V78" i="8"/>
  <c r="V85" i="8" s="1"/>
  <c r="V82" i="8"/>
  <c r="AA123" i="8"/>
  <c r="S285" i="9"/>
  <c r="T285" i="9" s="1"/>
  <c r="AN285" i="9"/>
  <c r="AF285" i="9" s="1"/>
  <c r="AG285" i="9" s="1"/>
  <c r="AH285" i="9" s="1"/>
  <c r="AK285" i="9" s="1"/>
  <c r="X47" i="8"/>
  <c r="Y47" i="8" s="1"/>
  <c r="V261" i="22"/>
  <c r="U237" i="22"/>
  <c r="W237" i="22" s="1"/>
  <c r="R77" i="12"/>
  <c r="V249" i="22"/>
  <c r="U225" i="22"/>
  <c r="W225" i="22" s="1"/>
  <c r="AC122" i="8"/>
  <c r="AD42" i="8"/>
  <c r="Q49" i="12"/>
  <c r="Q139" i="12" s="1"/>
  <c r="AL27" i="28"/>
  <c r="AK29" i="28"/>
  <c r="AK6" i="28" s="1"/>
  <c r="C264" i="12"/>
  <c r="C312" i="12"/>
  <c r="C296" i="12"/>
  <c r="C22" i="12"/>
  <c r="C280" i="12"/>
  <c r="AC27" i="8"/>
  <c r="P58" i="16"/>
  <c r="R58" i="16" s="1"/>
  <c r="AB44" i="8"/>
  <c r="T196" i="12"/>
  <c r="U196" i="12" s="1"/>
  <c r="AL3" i="28"/>
  <c r="X184" i="12"/>
  <c r="Y184" i="12" s="1"/>
  <c r="S45" i="12"/>
  <c r="AA179" i="12"/>
  <c r="Z159" i="8"/>
  <c r="AA129" i="8"/>
  <c r="AE28" i="8"/>
  <c r="K118" i="16"/>
  <c r="AD124" i="8"/>
  <c r="W128" i="12"/>
  <c r="Y38" i="12"/>
  <c r="Z38" i="12" s="1"/>
  <c r="X38" i="12"/>
  <c r="AA46" i="8"/>
  <c r="AN283" i="9"/>
  <c r="AF283" i="9" s="1"/>
  <c r="AG283" i="9" s="1"/>
  <c r="AH283" i="9" s="1"/>
  <c r="AK283" i="9" s="1"/>
  <c r="S283" i="9"/>
  <c r="T283" i="9" s="1"/>
  <c r="L56" i="16"/>
  <c r="N56" i="16" s="1"/>
  <c r="M56" i="16"/>
  <c r="AA182" i="12"/>
  <c r="U187" i="12"/>
  <c r="Z49" i="8"/>
  <c r="AA49" i="8" s="1"/>
  <c r="M121" i="16"/>
  <c r="X34" i="8"/>
  <c r="V293" i="22"/>
  <c r="U269" i="22"/>
  <c r="W269" i="22" s="1"/>
  <c r="T25" i="32"/>
  <c r="R246" i="9"/>
  <c r="W53" i="8"/>
  <c r="Q71" i="12"/>
  <c r="R71" i="12" s="1"/>
  <c r="L253" i="12"/>
  <c r="L254" i="12" s="1"/>
  <c r="L251" i="12"/>
  <c r="C287" i="12"/>
  <c r="C303" i="12"/>
  <c r="C319" i="12"/>
  <c r="C271" i="12"/>
  <c r="C29" i="12"/>
  <c r="R75" i="12"/>
  <c r="S75" i="12" s="1"/>
  <c r="AA44" i="8"/>
  <c r="AC44" i="8" s="1"/>
  <c r="AA51" i="8"/>
  <c r="AB51" i="8" s="1"/>
  <c r="X82" i="12"/>
  <c r="V252" i="22"/>
  <c r="V264" i="22" s="1"/>
  <c r="AK35" i="28"/>
  <c r="AL33" i="28"/>
  <c r="S71" i="16"/>
  <c r="U71" i="16" s="1"/>
  <c r="Y43" i="8"/>
  <c r="S309" i="9"/>
  <c r="T309" i="9" s="1"/>
  <c r="AN309" i="9"/>
  <c r="AF309" i="9" s="1"/>
  <c r="AG309" i="9" s="1"/>
  <c r="AH309" i="9" s="1"/>
  <c r="AK309" i="9" s="1"/>
  <c r="AN298" i="9"/>
  <c r="AF298" i="9" s="1"/>
  <c r="AG298" i="9" s="1"/>
  <c r="AH298" i="9" s="1"/>
  <c r="AK298" i="9" s="1"/>
  <c r="S298" i="9"/>
  <c r="T298" i="9" s="1"/>
  <c r="S79" i="12"/>
  <c r="V268" i="22"/>
  <c r="V280" i="22" s="1"/>
  <c r="U244" i="22"/>
  <c r="W244" i="22" s="1"/>
  <c r="C313" i="12"/>
  <c r="C23" i="12"/>
  <c r="C297" i="12"/>
  <c r="C281" i="12"/>
  <c r="C265" i="12"/>
  <c r="S195" i="12"/>
  <c r="T195" i="12" s="1"/>
  <c r="Q205" i="12"/>
  <c r="J114" i="16"/>
  <c r="V160" i="8"/>
  <c r="X155" i="8"/>
  <c r="AA44" i="12"/>
  <c r="AH35" i="8"/>
  <c r="U201" i="12"/>
  <c r="X20" i="32"/>
  <c r="R289" i="9"/>
  <c r="AA32" i="8"/>
  <c r="W125" i="8"/>
  <c r="C32" i="12"/>
  <c r="C322" i="12"/>
  <c r="C306" i="12"/>
  <c r="C274" i="12"/>
  <c r="C290" i="12"/>
  <c r="M41" i="13"/>
  <c r="M30" i="13"/>
  <c r="M40" i="13"/>
  <c r="M34" i="13"/>
  <c r="M33" i="13"/>
  <c r="M36" i="13"/>
  <c r="M39" i="13"/>
  <c r="M38" i="13"/>
  <c r="M35" i="13"/>
  <c r="M37" i="13"/>
  <c r="M32" i="13"/>
  <c r="M31" i="13"/>
  <c r="T198" i="12"/>
  <c r="L307" i="12"/>
  <c r="L296" i="12"/>
  <c r="L304" i="12"/>
  <c r="L297" i="12"/>
  <c r="L306" i="12"/>
  <c r="L302" i="12"/>
  <c r="L298" i="12"/>
  <c r="L305" i="12"/>
  <c r="L301" i="12"/>
  <c r="L299" i="12"/>
  <c r="L303" i="12"/>
  <c r="L300" i="12"/>
  <c r="U185" i="12"/>
  <c r="AF128" i="8"/>
  <c r="L114" i="12"/>
  <c r="L214" i="12"/>
  <c r="O6" i="13"/>
  <c r="N42" i="13"/>
  <c r="AC149" i="8"/>
  <c r="AX73" i="12"/>
  <c r="P81" i="12"/>
  <c r="AY72" i="12" s="1"/>
  <c r="R70" i="12"/>
  <c r="X132" i="8"/>
  <c r="Y132" i="8" s="1"/>
  <c r="AA41" i="12"/>
  <c r="L121" i="16"/>
  <c r="X161" i="8"/>
  <c r="AA158" i="8"/>
  <c r="K112" i="16"/>
  <c r="M64" i="16"/>
  <c r="X180" i="12"/>
  <c r="AY202" i="22"/>
  <c r="BZ202" i="22" s="1"/>
  <c r="V136" i="12"/>
  <c r="W46" i="12"/>
  <c r="U199" i="12"/>
  <c r="AZ203" i="22"/>
  <c r="CA203" i="22" s="1"/>
  <c r="Q58" i="16"/>
  <c r="C275" i="12"/>
  <c r="C323" i="12"/>
  <c r="C307" i="12"/>
  <c r="C291" i="12"/>
  <c r="C33" i="12"/>
  <c r="I75" i="16"/>
  <c r="I123" i="16" s="1"/>
  <c r="M26" i="13"/>
  <c r="N4" i="13"/>
  <c r="AY71" i="12"/>
  <c r="R76" i="12"/>
  <c r="Z17" i="32"/>
  <c r="R310" i="9"/>
  <c r="I122" i="16"/>
  <c r="J74" i="16"/>
  <c r="AY73" i="12"/>
  <c r="R203" i="12"/>
  <c r="R205" i="12" s="1"/>
  <c r="O83" i="12"/>
  <c r="O84" i="12" s="1"/>
  <c r="C314" i="12"/>
  <c r="C266" i="12"/>
  <c r="C24" i="12"/>
  <c r="C298" i="12"/>
  <c r="C282" i="12"/>
  <c r="U200" i="12"/>
  <c r="BD200" i="22"/>
  <c r="X200" i="22"/>
  <c r="Y200" i="22" s="1"/>
  <c r="AB127" i="8"/>
  <c r="J69" i="16"/>
  <c r="J75" i="16" s="1"/>
  <c r="J123" i="16" s="1"/>
  <c r="V253" i="22"/>
  <c r="U229" i="22"/>
  <c r="W229" i="22" s="1"/>
  <c r="V239" i="22"/>
  <c r="U215" i="22"/>
  <c r="W215" i="22" s="1"/>
  <c r="Y186" i="12"/>
  <c r="Z186" i="12" s="1"/>
  <c r="V21" i="32"/>
  <c r="R266" i="9"/>
  <c r="J115" i="16"/>
  <c r="AZ70" i="12"/>
  <c r="S73" i="12"/>
  <c r="X162" i="8"/>
  <c r="Z162" i="8" s="1"/>
  <c r="V187" i="12"/>
  <c r="AC165" i="8"/>
  <c r="R129" i="12"/>
  <c r="S39" i="12"/>
  <c r="T39" i="12" s="1"/>
  <c r="R49" i="12"/>
  <c r="R139" i="12" s="1"/>
  <c r="AZ41" i="12"/>
  <c r="U145" i="8"/>
  <c r="U140" i="8"/>
  <c r="U147" i="8"/>
  <c r="U142" i="8"/>
  <c r="U144" i="8"/>
  <c r="U139" i="8"/>
  <c r="U146" i="8"/>
  <c r="U141" i="8"/>
  <c r="U143" i="8"/>
  <c r="U148" i="8"/>
  <c r="U138" i="8"/>
  <c r="AB131" i="8"/>
  <c r="V150" i="8"/>
  <c r="V19" i="8"/>
  <c r="V157" i="8"/>
  <c r="P73" i="16"/>
  <c r="W194" i="12"/>
  <c r="X194" i="12" s="1"/>
  <c r="AB46" i="8"/>
  <c r="K72" i="16"/>
  <c r="U242" i="22"/>
  <c r="W242" i="22" s="1"/>
  <c r="S80" i="12"/>
  <c r="V43" i="12"/>
  <c r="G89" i="13"/>
  <c r="G73" i="13"/>
  <c r="G74" i="13" s="1"/>
  <c r="V164" i="8"/>
  <c r="V241" i="22"/>
  <c r="Y14" i="32"/>
  <c r="R295" i="9"/>
  <c r="AB26" i="8"/>
  <c r="AA26" i="8"/>
  <c r="N57" i="16"/>
  <c r="L23" i="13"/>
  <c r="L15" i="13"/>
  <c r="L22" i="13"/>
  <c r="L14" i="13"/>
  <c r="L21" i="13"/>
  <c r="L16" i="13"/>
  <c r="L20" i="13"/>
  <c r="L17" i="13"/>
  <c r="L18" i="13"/>
  <c r="L19" i="13"/>
  <c r="L24" i="13"/>
  <c r="L25" i="13"/>
  <c r="BB204" i="22"/>
  <c r="CC204" i="22" s="1"/>
  <c r="V254" i="22"/>
  <c r="AB29" i="8"/>
  <c r="R78" i="12"/>
  <c r="S78" i="12" s="1"/>
  <c r="Y45" i="8"/>
  <c r="Z45" i="8" s="1"/>
  <c r="AK75" i="28"/>
  <c r="AJ4" i="28"/>
  <c r="AJ5" i="28" s="1"/>
  <c r="AJ7" i="28" s="1"/>
  <c r="S42" i="12"/>
  <c r="AX201" i="22"/>
  <c r="R71" i="16"/>
  <c r="AA133" i="8"/>
  <c r="AB133" i="8" s="1"/>
  <c r="S258" i="9"/>
  <c r="T258" i="9" s="1"/>
  <c r="AN258" i="9"/>
  <c r="AF258" i="9" s="1"/>
  <c r="AG258" i="9" s="1"/>
  <c r="AH258" i="9" s="1"/>
  <c r="AK258" i="9" s="1"/>
  <c r="R72" i="12"/>
  <c r="S72" i="12" s="1"/>
  <c r="AC51" i="8" l="1"/>
  <c r="AY78" i="12"/>
  <c r="AY77" i="12"/>
  <c r="AY76" i="12"/>
  <c r="AY79" i="12"/>
  <c r="AY74" i="12"/>
  <c r="U42" i="12"/>
  <c r="U264" i="22"/>
  <c r="W264" i="22" s="1"/>
  <c r="Z128" i="12"/>
  <c r="AA38" i="12"/>
  <c r="U280" i="22"/>
  <c r="V119" i="16"/>
  <c r="P49" i="16"/>
  <c r="Q49" i="16"/>
  <c r="T129" i="12"/>
  <c r="BB41" i="12"/>
  <c r="Z47" i="8"/>
  <c r="AA47" i="8"/>
  <c r="N72" i="16"/>
  <c r="Q50" i="16"/>
  <c r="AB178" i="12"/>
  <c r="X157" i="8"/>
  <c r="P52" i="16"/>
  <c r="AA162" i="8"/>
  <c r="U258" i="22"/>
  <c r="AF16" i="32"/>
  <c r="R381" i="9" s="1"/>
  <c r="Z24" i="32"/>
  <c r="R317" i="9"/>
  <c r="X163" i="8"/>
  <c r="U119" i="16"/>
  <c r="L115" i="16"/>
  <c r="M67" i="16"/>
  <c r="Z183" i="12"/>
  <c r="U254" i="22"/>
  <c r="W254" i="22" s="1"/>
  <c r="M66" i="16"/>
  <c r="AZ47" i="12"/>
  <c r="AZ45" i="12"/>
  <c r="AZ46" i="12"/>
  <c r="AZ44" i="12"/>
  <c r="AL29" i="28"/>
  <c r="AM27" i="28"/>
  <c r="AA15" i="32"/>
  <c r="R320" i="9"/>
  <c r="AP18" i="16"/>
  <c r="W71" i="16"/>
  <c r="U80" i="12"/>
  <c r="X46" i="12"/>
  <c r="AG23" i="32"/>
  <c r="R400" i="9" s="1"/>
  <c r="S135" i="12"/>
  <c r="BB39" i="12"/>
  <c r="L59" i="16"/>
  <c r="B315" i="12"/>
  <c r="B267" i="12"/>
  <c r="B25" i="12"/>
  <c r="B283" i="12"/>
  <c r="B299" i="12"/>
  <c r="P50" i="16"/>
  <c r="O55" i="16"/>
  <c r="O119" i="16" s="1"/>
  <c r="U239" i="22"/>
  <c r="W239" i="22" s="1"/>
  <c r="AA131" i="12"/>
  <c r="V265" i="22"/>
  <c r="U241" i="22"/>
  <c r="W241" i="22" s="1"/>
  <c r="AB50" i="8"/>
  <c r="AC50" i="8" s="1"/>
  <c r="O103" i="12"/>
  <c r="V292" i="22"/>
  <c r="U268" i="22"/>
  <c r="W268" i="22" s="1"/>
  <c r="S289" i="9"/>
  <c r="T289" i="9" s="1"/>
  <c r="AN289" i="9"/>
  <c r="AF289" i="9" s="1"/>
  <c r="AG289" i="9" s="1"/>
  <c r="AH289" i="9" s="1"/>
  <c r="AK289" i="9" s="1"/>
  <c r="Z131" i="12"/>
  <c r="P103" i="12"/>
  <c r="W234" i="22"/>
  <c r="AK35" i="8"/>
  <c r="AX80" i="12"/>
  <c r="AX81" i="12"/>
  <c r="W43" i="12"/>
  <c r="AZ204" i="22"/>
  <c r="CA204" i="22" s="1"/>
  <c r="AZ205" i="22" s="1"/>
  <c r="CA205" i="22" s="1"/>
  <c r="Y131" i="12"/>
  <c r="T42" i="12"/>
  <c r="T72" i="12"/>
  <c r="U72" i="12" s="1"/>
  <c r="AB15" i="32"/>
  <c r="R332" i="9"/>
  <c r="Y138" i="12"/>
  <c r="Y82" i="12"/>
  <c r="AP23" i="16"/>
  <c r="AP24" i="16"/>
  <c r="T130" i="12"/>
  <c r="U40" i="12"/>
  <c r="T119" i="16"/>
  <c r="T74" i="12"/>
  <c r="U74" i="12" s="1"/>
  <c r="W21" i="32"/>
  <c r="R278" i="9"/>
  <c r="Y33" i="8"/>
  <c r="X200" i="12"/>
  <c r="Y183" i="12"/>
  <c r="U79" i="12"/>
  <c r="AC159" i="8"/>
  <c r="H62" i="13"/>
  <c r="G10" i="13"/>
  <c r="H78" i="13"/>
  <c r="H79" i="13" s="1"/>
  <c r="BB205" i="22"/>
  <c r="CC205" i="22" s="1"/>
  <c r="K116" i="16"/>
  <c r="W164" i="8"/>
  <c r="W200" i="12"/>
  <c r="AM39" i="28"/>
  <c r="AL41" i="28"/>
  <c r="V260" i="22"/>
  <c r="U236" i="22"/>
  <c r="W236" i="22" s="1"/>
  <c r="AD127" i="8"/>
  <c r="V266" i="22"/>
  <c r="V278" i="22" s="1"/>
  <c r="B314" i="12"/>
  <c r="B266" i="12"/>
  <c r="B24" i="12"/>
  <c r="B282" i="12"/>
  <c r="B298" i="12"/>
  <c r="P6" i="13"/>
  <c r="O42" i="13"/>
  <c r="V317" i="22"/>
  <c r="U293" i="22"/>
  <c r="AA45" i="8"/>
  <c r="Z132" i="8"/>
  <c r="AA132" i="8" s="1"/>
  <c r="AD122" i="8"/>
  <c r="AE122" i="8" s="1"/>
  <c r="V298" i="22"/>
  <c r="U274" i="22"/>
  <c r="AN388" i="9"/>
  <c r="AF388" i="9" s="1"/>
  <c r="AG388" i="9" s="1"/>
  <c r="AH388" i="9" s="1"/>
  <c r="AK388" i="9" s="1"/>
  <c r="S388" i="9"/>
  <c r="T388" i="9" s="1"/>
  <c r="Z48" i="8"/>
  <c r="AN293" i="9"/>
  <c r="AF293" i="9" s="1"/>
  <c r="AG293" i="9" s="1"/>
  <c r="AH293" i="9" s="1"/>
  <c r="AK293" i="9" s="1"/>
  <c r="S293" i="9"/>
  <c r="T293" i="9" s="1"/>
  <c r="AC44" i="12"/>
  <c r="AD44" i="12" s="1"/>
  <c r="AC41" i="12"/>
  <c r="N64" i="16"/>
  <c r="P121" i="16"/>
  <c r="J122" i="16"/>
  <c r="K74" i="16"/>
  <c r="BB71" i="12"/>
  <c r="U76" i="12"/>
  <c r="K117" i="16"/>
  <c r="AA17" i="32"/>
  <c r="R322" i="9"/>
  <c r="AC29" i="8"/>
  <c r="W157" i="8"/>
  <c r="B305" i="12"/>
  <c r="B273" i="12"/>
  <c r="B31" i="12"/>
  <c r="B321" i="12"/>
  <c r="B289" i="12"/>
  <c r="AD130" i="8"/>
  <c r="J117" i="16"/>
  <c r="J124" i="16" s="1"/>
  <c r="O69" i="16"/>
  <c r="M69" i="16"/>
  <c r="P69" i="16" s="1"/>
  <c r="AD16" i="32"/>
  <c r="R357" i="9" s="1"/>
  <c r="L68" i="16"/>
  <c r="K120" i="16"/>
  <c r="AE126" i="8"/>
  <c r="O4" i="13"/>
  <c r="N26" i="13"/>
  <c r="AA134" i="12"/>
  <c r="W22" i="32"/>
  <c r="R279" i="9"/>
  <c r="Y34" i="8"/>
  <c r="Z34" i="8" s="1"/>
  <c r="X53" i="8"/>
  <c r="V273" i="22"/>
  <c r="U249" i="22"/>
  <c r="W249" i="22" s="1"/>
  <c r="AC127" i="8"/>
  <c r="AD131" i="8"/>
  <c r="AA154" i="8"/>
  <c r="N54" i="16"/>
  <c r="AE124" i="8"/>
  <c r="AF124" i="8" s="1"/>
  <c r="B297" i="12"/>
  <c r="B313" i="12"/>
  <c r="B23" i="12"/>
  <c r="B281" i="12"/>
  <c r="B265" i="12"/>
  <c r="AE16" i="32"/>
  <c r="R369" i="9" s="1"/>
  <c r="S137" i="12"/>
  <c r="V40" i="12"/>
  <c r="K115" i="16"/>
  <c r="AA20" i="32"/>
  <c r="R325" i="9"/>
  <c r="Z20" i="32"/>
  <c r="R313" i="9"/>
  <c r="AA43" i="8"/>
  <c r="W23" i="8"/>
  <c r="X37" i="8"/>
  <c r="AN246" i="9"/>
  <c r="AF246" i="9" s="1"/>
  <c r="AG246" i="9" s="1"/>
  <c r="AH246" i="9" s="1"/>
  <c r="AK246" i="9" s="1"/>
  <c r="S246" i="9"/>
  <c r="T246" i="9" s="1"/>
  <c r="AN276" i="9"/>
  <c r="AF276" i="9" s="1"/>
  <c r="AG276" i="9" s="1"/>
  <c r="AH276" i="9" s="1"/>
  <c r="AK276" i="9" s="1"/>
  <c r="S276" i="9"/>
  <c r="T276" i="9" s="1"/>
  <c r="BB70" i="12"/>
  <c r="BA71" i="12"/>
  <c r="BA74" i="12" s="1"/>
  <c r="T76" i="12"/>
  <c r="W136" i="12"/>
  <c r="AC46" i="8"/>
  <c r="AD46" i="8" s="1"/>
  <c r="M18" i="13"/>
  <c r="M23" i="13"/>
  <c r="M15" i="13"/>
  <c r="M22" i="13"/>
  <c r="M14" i="13"/>
  <c r="M21" i="13"/>
  <c r="M20" i="13"/>
  <c r="M17" i="13"/>
  <c r="M16" i="13"/>
  <c r="M24" i="13"/>
  <c r="M25" i="13"/>
  <c r="M19" i="13"/>
  <c r="T77" i="12"/>
  <c r="V197" i="12"/>
  <c r="M68" i="16"/>
  <c r="V283" i="22"/>
  <c r="U259" i="22"/>
  <c r="W259" i="22" s="1"/>
  <c r="U45" i="12"/>
  <c r="AE27" i="8"/>
  <c r="W160" i="8"/>
  <c r="AA14" i="32"/>
  <c r="R319" i="9"/>
  <c r="M118" i="16"/>
  <c r="L120" i="16"/>
  <c r="Q73" i="16"/>
  <c r="U77" i="12"/>
  <c r="B322" i="12"/>
  <c r="B274" i="12"/>
  <c r="B306" i="12"/>
  <c r="B290" i="12"/>
  <c r="B32" i="12"/>
  <c r="T47" i="12"/>
  <c r="T49" i="12" s="1"/>
  <c r="T139" i="12" s="1"/>
  <c r="AB130" i="8"/>
  <c r="L113" i="16"/>
  <c r="M65" i="16"/>
  <c r="Z31" i="8"/>
  <c r="AB123" i="8"/>
  <c r="S301" i="9"/>
  <c r="T301" i="9" s="1"/>
  <c r="AN301" i="9"/>
  <c r="AF301" i="9" s="1"/>
  <c r="AG301" i="9" s="1"/>
  <c r="AH301" i="9" s="1"/>
  <c r="AK301" i="9" s="1"/>
  <c r="AY204" i="22"/>
  <c r="BZ204" i="22" s="1"/>
  <c r="W197" i="12"/>
  <c r="BA40" i="12"/>
  <c r="S299" i="9"/>
  <c r="T299" i="9" s="1"/>
  <c r="AN299" i="9"/>
  <c r="AF299" i="9" s="1"/>
  <c r="AG299" i="9" s="1"/>
  <c r="AH299" i="9" s="1"/>
  <c r="AK299" i="9" s="1"/>
  <c r="V189" i="12"/>
  <c r="S267" i="9"/>
  <c r="T267" i="9" s="1"/>
  <c r="AN267" i="9"/>
  <c r="AF267" i="9" s="1"/>
  <c r="AG267" i="9" s="1"/>
  <c r="AH267" i="9" s="1"/>
  <c r="AK267" i="9" s="1"/>
  <c r="M119" i="16"/>
  <c r="N39" i="13"/>
  <c r="N33" i="13"/>
  <c r="N41" i="13"/>
  <c r="N30" i="13"/>
  <c r="N36" i="13"/>
  <c r="N38" i="13"/>
  <c r="N35" i="13"/>
  <c r="N37" i="13"/>
  <c r="N32" i="13"/>
  <c r="N40" i="13"/>
  <c r="N34" i="13"/>
  <c r="N31" i="13"/>
  <c r="Y53" i="8"/>
  <c r="AE44" i="8"/>
  <c r="AF44" i="8" s="1"/>
  <c r="R73" i="16"/>
  <c r="AG128" i="8"/>
  <c r="AI128" i="8" s="1"/>
  <c r="AB182" i="12"/>
  <c r="V204" i="12"/>
  <c r="AC16" i="32"/>
  <c r="R345" i="9" s="1"/>
  <c r="AH28" i="8"/>
  <c r="AI28" i="8" s="1"/>
  <c r="V267" i="22"/>
  <c r="U243" i="22"/>
  <c r="W243" i="22" s="1"/>
  <c r="R49" i="16"/>
  <c r="M54" i="16"/>
  <c r="O57" i="16"/>
  <c r="P57" i="16"/>
  <c r="AN308" i="9"/>
  <c r="AF308" i="9" s="1"/>
  <c r="AG308" i="9" s="1"/>
  <c r="AH308" i="9" s="1"/>
  <c r="AK308" i="9" s="1"/>
  <c r="S308" i="9"/>
  <c r="T308" i="9" s="1"/>
  <c r="L117" i="16"/>
  <c r="T78" i="12"/>
  <c r="U78" i="12" s="1"/>
  <c r="S129" i="12"/>
  <c r="BA41" i="12"/>
  <c r="S49" i="12"/>
  <c r="S139" i="12" s="1"/>
  <c r="U39" i="12"/>
  <c r="Y161" i="8"/>
  <c r="Z161" i="8" s="1"/>
  <c r="AD27" i="8"/>
  <c r="L114" i="16"/>
  <c r="AA178" i="12"/>
  <c r="B264" i="12"/>
  <c r="B296" i="12"/>
  <c r="B22" i="12"/>
  <c r="B280" i="12"/>
  <c r="B312" i="12"/>
  <c r="V279" i="22"/>
  <c r="U255" i="22"/>
  <c r="W255" i="22" s="1"/>
  <c r="W22" i="8"/>
  <c r="S71" i="12"/>
  <c r="B302" i="12"/>
  <c r="B318" i="12"/>
  <c r="B270" i="12"/>
  <c r="B28" i="12"/>
  <c r="B286" i="12"/>
  <c r="AP15" i="16"/>
  <c r="G82" i="16"/>
  <c r="G83" i="16" s="1"/>
  <c r="G84" i="16" s="1"/>
  <c r="G85" i="16" s="1"/>
  <c r="G86" i="16" s="1"/>
  <c r="G87" i="16" s="1"/>
  <c r="G88" i="16" s="1"/>
  <c r="G89" i="16" s="1"/>
  <c r="G90" i="16" s="1"/>
  <c r="G91" i="16" s="1"/>
  <c r="S333" i="9"/>
  <c r="T333" i="9" s="1"/>
  <c r="AN333" i="9"/>
  <c r="AF333" i="9" s="1"/>
  <c r="AG333" i="9" s="1"/>
  <c r="AH333" i="9" s="1"/>
  <c r="AK333" i="9" s="1"/>
  <c r="AZ73" i="12"/>
  <c r="R81" i="12"/>
  <c r="M72" i="16"/>
  <c r="AC32" i="8"/>
  <c r="AD159" i="8"/>
  <c r="V25" i="32"/>
  <c r="V26" i="32" s="1"/>
  <c r="R270" i="9"/>
  <c r="AC130" i="8"/>
  <c r="V198" i="12"/>
  <c r="AB154" i="8"/>
  <c r="AN264" i="9"/>
  <c r="AF264" i="9" s="1"/>
  <c r="AG264" i="9" s="1"/>
  <c r="AH264" i="9" s="1"/>
  <c r="AK264" i="9" s="1"/>
  <c r="S264" i="9"/>
  <c r="T264" i="9" s="1"/>
  <c r="BC201" i="22"/>
  <c r="BY201" i="22"/>
  <c r="B275" i="12"/>
  <c r="B291" i="12"/>
  <c r="B33" i="12"/>
  <c r="B323" i="12"/>
  <c r="B307" i="12"/>
  <c r="Z180" i="12"/>
  <c r="AA180" i="12" s="1"/>
  <c r="W185" i="12"/>
  <c r="X185" i="12" s="1"/>
  <c r="U189" i="12"/>
  <c r="T75" i="12"/>
  <c r="X128" i="12"/>
  <c r="Z184" i="12"/>
  <c r="AA184" i="12" s="1"/>
  <c r="AB159" i="8"/>
  <c r="AE159" i="8" s="1"/>
  <c r="AB179" i="12"/>
  <c r="AC179" i="12" s="1"/>
  <c r="AC52" i="8"/>
  <c r="AM47" i="28"/>
  <c r="AN45" i="28"/>
  <c r="V201" i="12"/>
  <c r="W201" i="12" s="1"/>
  <c r="U202" i="12"/>
  <c r="AL6" i="28"/>
  <c r="AF126" i="8"/>
  <c r="AH128" i="8"/>
  <c r="U204" i="12"/>
  <c r="AA186" i="12"/>
  <c r="N55" i="16"/>
  <c r="N119" i="16" s="1"/>
  <c r="N69" i="16"/>
  <c r="W84" i="8"/>
  <c r="W79" i="8"/>
  <c r="W74" i="8"/>
  <c r="W81" i="8"/>
  <c r="W76" i="8"/>
  <c r="W83" i="8"/>
  <c r="W80" i="8"/>
  <c r="W77" i="8"/>
  <c r="W82" i="8"/>
  <c r="W78" i="8"/>
  <c r="W75" i="8"/>
  <c r="W85" i="8" s="1"/>
  <c r="AN295" i="9"/>
  <c r="AF295" i="9" s="1"/>
  <c r="AG295" i="9" s="1"/>
  <c r="AH295" i="9" s="1"/>
  <c r="AK295" i="9" s="1"/>
  <c r="S295" i="9"/>
  <c r="T295" i="9" s="1"/>
  <c r="S321" i="9"/>
  <c r="T321" i="9" s="1"/>
  <c r="AN321" i="9"/>
  <c r="AF321" i="9" s="1"/>
  <c r="AG321" i="9" s="1"/>
  <c r="AH321" i="9" s="1"/>
  <c r="AK321" i="9" s="1"/>
  <c r="W60" i="8"/>
  <c r="W67" i="8"/>
  <c r="W62" i="8"/>
  <c r="W64" i="8"/>
  <c r="W59" i="8"/>
  <c r="W63" i="8"/>
  <c r="W66" i="8"/>
  <c r="W65" i="8"/>
  <c r="W58" i="8"/>
  <c r="W69" i="8" s="1"/>
  <c r="W68" i="8"/>
  <c r="W61" i="8"/>
  <c r="V329" i="22"/>
  <c r="U305" i="22"/>
  <c r="Y24" i="32"/>
  <c r="R305" i="9"/>
  <c r="AB36" i="8"/>
  <c r="T135" i="12"/>
  <c r="BC39" i="12"/>
  <c r="AD133" i="8"/>
  <c r="AB162" i="8"/>
  <c r="BA72" i="12"/>
  <c r="T79" i="12"/>
  <c r="V310" i="22"/>
  <c r="U286" i="22"/>
  <c r="Z18" i="32"/>
  <c r="R311" i="9"/>
  <c r="AB30" i="8"/>
  <c r="V133" i="12"/>
  <c r="AB134" i="12"/>
  <c r="V199" i="12"/>
  <c r="W199" i="12" s="1"/>
  <c r="T203" i="12"/>
  <c r="T205" i="12" s="1"/>
  <c r="M112" i="16"/>
  <c r="S119" i="16"/>
  <c r="X71" i="16"/>
  <c r="B287" i="12"/>
  <c r="B271" i="12"/>
  <c r="B319" i="12"/>
  <c r="B29" i="12"/>
  <c r="B303" i="12"/>
  <c r="AB49" i="8"/>
  <c r="Y128" i="12"/>
  <c r="AM3" i="28"/>
  <c r="U261" i="22"/>
  <c r="W261" i="22" s="1"/>
  <c r="N70" i="16"/>
  <c r="AC133" i="8"/>
  <c r="AE133" i="8" s="1"/>
  <c r="Z134" i="12"/>
  <c r="AP15" i="28"/>
  <c r="AO17" i="28"/>
  <c r="B272" i="12"/>
  <c r="B304" i="12"/>
  <c r="B288" i="12"/>
  <c r="B30" i="12"/>
  <c r="B320" i="12"/>
  <c r="Z155" i="8"/>
  <c r="AA155" i="8" s="1"/>
  <c r="U198" i="12"/>
  <c r="AN21" i="28"/>
  <c r="AM23" i="28"/>
  <c r="AD29" i="8"/>
  <c r="X125" i="8"/>
  <c r="X19" i="32"/>
  <c r="R288" i="9"/>
  <c r="Y37" i="8"/>
  <c r="AN310" i="9"/>
  <c r="AF310" i="9" s="1"/>
  <c r="AG310" i="9" s="1"/>
  <c r="AH310" i="9" s="1"/>
  <c r="AK310" i="9" s="1"/>
  <c r="S310" i="9"/>
  <c r="T310" i="9" s="1"/>
  <c r="AZ281" i="22"/>
  <c r="W281" i="22"/>
  <c r="AY281" i="22"/>
  <c r="BB281" i="22"/>
  <c r="BA281" i="22"/>
  <c r="AX281" i="22"/>
  <c r="B317" i="12"/>
  <c r="B301" i="12"/>
  <c r="B285" i="12"/>
  <c r="B27" i="12"/>
  <c r="B269" i="12"/>
  <c r="V145" i="8"/>
  <c r="V140" i="8"/>
  <c r="V147" i="8"/>
  <c r="V142" i="8"/>
  <c r="V144" i="8"/>
  <c r="V139" i="8"/>
  <c r="V146" i="8"/>
  <c r="V141" i="8"/>
  <c r="V143" i="8"/>
  <c r="V148" i="8"/>
  <c r="V138" i="8"/>
  <c r="X187" i="12"/>
  <c r="M53" i="16"/>
  <c r="S132" i="12"/>
  <c r="BB38" i="12"/>
  <c r="Y194" i="12"/>
  <c r="S70" i="12"/>
  <c r="T70" i="12" s="1"/>
  <c r="AL35" i="28"/>
  <c r="AM33" i="28"/>
  <c r="AB47" i="8"/>
  <c r="R132" i="12"/>
  <c r="BA38" i="12"/>
  <c r="U271" i="22"/>
  <c r="AE42" i="8"/>
  <c r="N267" i="12"/>
  <c r="CB201" i="22"/>
  <c r="V90" i="8"/>
  <c r="V91" i="8" s="1"/>
  <c r="V92" i="8" s="1"/>
  <c r="V93" i="8" s="1"/>
  <c r="V94" i="8" s="1"/>
  <c r="V95" i="8" s="1"/>
  <c r="V96" i="8" s="1"/>
  <c r="V97" i="8" s="1"/>
  <c r="V98" i="8" s="1"/>
  <c r="V99" i="8" s="1"/>
  <c r="V100" i="8" s="1"/>
  <c r="V101" i="8" s="1"/>
  <c r="AD44" i="8"/>
  <c r="L118" i="16"/>
  <c r="AJ35" i="8"/>
  <c r="AL35" i="8" s="1"/>
  <c r="N121" i="16"/>
  <c r="N95" i="12"/>
  <c r="N96" i="12" s="1"/>
  <c r="N97" i="12" s="1"/>
  <c r="AV88" i="12"/>
  <c r="AB131" i="12"/>
  <c r="W150" i="8"/>
  <c r="W19" i="8"/>
  <c r="U253" i="22"/>
  <c r="W253" i="22" s="1"/>
  <c r="B300" i="12"/>
  <c r="B316" i="12"/>
  <c r="B284" i="12"/>
  <c r="B26" i="12"/>
  <c r="B268" i="12"/>
  <c r="Y8" i="8"/>
  <c r="X70" i="8"/>
  <c r="X7" i="8"/>
  <c r="X86" i="8" s="1"/>
  <c r="X17" i="8"/>
  <c r="AH23" i="32"/>
  <c r="R412" i="9" s="1"/>
  <c r="AP16" i="16"/>
  <c r="AP21" i="16" s="1"/>
  <c r="P83" i="12"/>
  <c r="P84" i="12" s="1"/>
  <c r="AN266" i="9"/>
  <c r="AF266" i="9" s="1"/>
  <c r="AG266" i="9" s="1"/>
  <c r="AH266" i="9" s="1"/>
  <c r="AK266" i="9" s="1"/>
  <c r="S266" i="9"/>
  <c r="T266" i="9" s="1"/>
  <c r="Q81" i="12"/>
  <c r="AZ72" i="12" s="1"/>
  <c r="AZ74" i="12" s="1"/>
  <c r="W187" i="12"/>
  <c r="V196" i="12"/>
  <c r="W196" i="12" s="1"/>
  <c r="V45" i="12"/>
  <c r="AZ42" i="12"/>
  <c r="V272" i="22"/>
  <c r="U248" i="22"/>
  <c r="W248" i="22" s="1"/>
  <c r="V270" i="22"/>
  <c r="U246" i="22"/>
  <c r="AE165" i="8"/>
  <c r="X138" i="12"/>
  <c r="AN376" i="9"/>
  <c r="AF376" i="9" s="1"/>
  <c r="AG376" i="9" s="1"/>
  <c r="AH376" i="9" s="1"/>
  <c r="AK376" i="9" s="1"/>
  <c r="S376" i="9"/>
  <c r="T376" i="9" s="1"/>
  <c r="V251" i="22"/>
  <c r="V263" i="22" s="1"/>
  <c r="O121" i="16"/>
  <c r="O56" i="16"/>
  <c r="P56" i="16" s="1"/>
  <c r="AC129" i="8"/>
  <c r="Z48" i="12"/>
  <c r="AK4" i="28"/>
  <c r="AK5" i="28" s="1"/>
  <c r="AK7" i="28" s="1"/>
  <c r="AL75" i="28"/>
  <c r="Z14" i="32"/>
  <c r="R307" i="9"/>
  <c r="AC26" i="8"/>
  <c r="AD26" i="8" s="1"/>
  <c r="U195" i="12"/>
  <c r="V195" i="12" s="1"/>
  <c r="S205" i="12"/>
  <c r="V276" i="22"/>
  <c r="V288" i="22" s="1"/>
  <c r="U252" i="22"/>
  <c r="W252" i="22" s="1"/>
  <c r="AY47" i="12"/>
  <c r="AY46" i="12"/>
  <c r="AY45" i="12"/>
  <c r="AY44" i="12"/>
  <c r="AY42" i="12"/>
  <c r="AA156" i="8"/>
  <c r="W138" i="12"/>
  <c r="AD149" i="8"/>
  <c r="AB158" i="8"/>
  <c r="Y181" i="12"/>
  <c r="AB188" i="12"/>
  <c r="T73" i="12"/>
  <c r="U73" i="12" s="1"/>
  <c r="AZ80" i="12" l="1"/>
  <c r="AZ81" i="12"/>
  <c r="AE129" i="8"/>
  <c r="X189" i="12"/>
  <c r="O68" i="16"/>
  <c r="AZ206" i="22"/>
  <c r="CA206" i="22" s="1"/>
  <c r="AD134" i="12"/>
  <c r="AE44" i="12"/>
  <c r="Q69" i="16"/>
  <c r="AB155" i="8"/>
  <c r="AC155" i="8"/>
  <c r="AF29" i="8"/>
  <c r="U278" i="22"/>
  <c r="V287" i="22"/>
  <c r="U263" i="22"/>
  <c r="W263" i="22" s="1"/>
  <c r="Y199" i="12"/>
  <c r="W78" i="12"/>
  <c r="AH133" i="8"/>
  <c r="Y22" i="32"/>
  <c r="R303" i="9"/>
  <c r="U288" i="22"/>
  <c r="AH16" i="32"/>
  <c r="R405" i="9" s="1"/>
  <c r="AC14" i="32"/>
  <c r="R343" i="9"/>
  <c r="AE26" i="8"/>
  <c r="AG124" i="8"/>
  <c r="AI124" i="8" s="1"/>
  <c r="R57" i="16"/>
  <c r="W26" i="32"/>
  <c r="AV90" i="12"/>
  <c r="AK23" i="32"/>
  <c r="R448" i="9" s="1"/>
  <c r="BA81" i="12"/>
  <c r="BA80" i="12"/>
  <c r="AG44" i="8"/>
  <c r="Y19" i="32"/>
  <c r="R300" i="9"/>
  <c r="V130" i="12"/>
  <c r="Y164" i="8"/>
  <c r="V316" i="22"/>
  <c r="U292" i="22"/>
  <c r="O211" i="12"/>
  <c r="O225" i="12"/>
  <c r="O4" i="12"/>
  <c r="O105" i="12"/>
  <c r="U270" i="22"/>
  <c r="S270" i="9"/>
  <c r="T270" i="9" s="1"/>
  <c r="AN270" i="9"/>
  <c r="AF270" i="9" s="1"/>
  <c r="AG270" i="9" s="1"/>
  <c r="AH270" i="9" s="1"/>
  <c r="AK270" i="9" s="1"/>
  <c r="U129" i="12"/>
  <c r="BC41" i="12"/>
  <c r="X67" i="8"/>
  <c r="X62" i="8"/>
  <c r="X64" i="8"/>
  <c r="X59" i="8"/>
  <c r="X66" i="8"/>
  <c r="X65" i="8"/>
  <c r="X58" i="8"/>
  <c r="X69" i="8" s="1"/>
  <c r="X61" i="8"/>
  <c r="X60" i="8"/>
  <c r="X63" i="8"/>
  <c r="X68" i="8"/>
  <c r="AY48" i="12"/>
  <c r="AY49" i="12"/>
  <c r="BA286" i="22"/>
  <c r="AZ286" i="22"/>
  <c r="W286" i="22"/>
  <c r="BB286" i="22"/>
  <c r="CC286" i="22" s="1"/>
  <c r="AY286" i="22"/>
  <c r="AX286" i="22"/>
  <c r="AD32" i="8"/>
  <c r="CA281" i="22"/>
  <c r="V334" i="22"/>
  <c r="U310" i="22"/>
  <c r="S69" i="16"/>
  <c r="M113" i="16"/>
  <c r="S307" i="9"/>
  <c r="T307" i="9" s="1"/>
  <c r="AN307" i="9"/>
  <c r="AF307" i="9" s="1"/>
  <c r="AG307" i="9" s="1"/>
  <c r="AH307" i="9" s="1"/>
  <c r="AK307" i="9" s="1"/>
  <c r="AM35" i="8"/>
  <c r="AV89" i="12"/>
  <c r="V79" i="12"/>
  <c r="AC158" i="8"/>
  <c r="AD158" i="8" s="1"/>
  <c r="AC15" i="32"/>
  <c r="R344" i="9" s="1"/>
  <c r="AH27" i="8"/>
  <c r="V291" i="22"/>
  <c r="V303" i="22" s="1"/>
  <c r="U267" i="22"/>
  <c r="W267" i="22" s="1"/>
  <c r="BD71" i="12"/>
  <c r="X164" i="8"/>
  <c r="W133" i="12"/>
  <c r="X43" i="12"/>
  <c r="AB43" i="8"/>
  <c r="Q83" i="12"/>
  <c r="Z138" i="12"/>
  <c r="AJ23" i="32"/>
  <c r="R436" i="9" s="1"/>
  <c r="R121" i="16"/>
  <c r="S412" i="9"/>
  <c r="T412" i="9" s="1"/>
  <c r="AN412" i="9"/>
  <c r="AF412" i="9" s="1"/>
  <c r="AG412" i="9" s="1"/>
  <c r="AH412" i="9" s="1"/>
  <c r="AK412" i="9" s="1"/>
  <c r="BA77" i="12"/>
  <c r="BA76" i="12"/>
  <c r="BA79" i="12"/>
  <c r="BA78" i="12"/>
  <c r="AG16" i="32"/>
  <c r="R393" i="9" s="1"/>
  <c r="BB40" i="12"/>
  <c r="AN357" i="9"/>
  <c r="AF357" i="9" s="1"/>
  <c r="AG357" i="9" s="1"/>
  <c r="AH357" i="9" s="1"/>
  <c r="AK357" i="9" s="1"/>
  <c r="S357" i="9"/>
  <c r="T357" i="9" s="1"/>
  <c r="V290" i="22"/>
  <c r="U266" i="22"/>
  <c r="W266" i="22" s="1"/>
  <c r="AL4" i="28"/>
  <c r="AL5" i="28" s="1"/>
  <c r="AL7" i="28" s="1"/>
  <c r="AM75" i="28"/>
  <c r="W246" i="22"/>
  <c r="X150" i="8"/>
  <c r="X19" i="8"/>
  <c r="BA42" i="12"/>
  <c r="AQ15" i="28"/>
  <c r="AP17" i="28"/>
  <c r="W204" i="12"/>
  <c r="X204" i="12" s="1"/>
  <c r="V75" i="12"/>
  <c r="AF165" i="8"/>
  <c r="AB161" i="8"/>
  <c r="S345" i="9"/>
  <c r="T345" i="9" s="1"/>
  <c r="AN345" i="9"/>
  <c r="AF345" i="9" s="1"/>
  <c r="AG345" i="9" s="1"/>
  <c r="AH345" i="9" s="1"/>
  <c r="AK345" i="9" s="1"/>
  <c r="AE130" i="8"/>
  <c r="AF130" i="8" s="1"/>
  <c r="AJ28" i="8"/>
  <c r="M117" i="16"/>
  <c r="R69" i="16"/>
  <c r="R56" i="16"/>
  <c r="H80" i="13"/>
  <c r="H63" i="13"/>
  <c r="Z53" i="8"/>
  <c r="Z181" i="12"/>
  <c r="AB186" i="12"/>
  <c r="V289" i="22"/>
  <c r="U265" i="22"/>
  <c r="W265" i="22" s="1"/>
  <c r="X119" i="16"/>
  <c r="U132" i="12"/>
  <c r="BD38" i="12"/>
  <c r="W40" i="12"/>
  <c r="Y157" i="8"/>
  <c r="AE46" i="8"/>
  <c r="AF46" i="8" s="1"/>
  <c r="M115" i="16"/>
  <c r="AC49" i="8"/>
  <c r="AA183" i="12"/>
  <c r="U130" i="12"/>
  <c r="U75" i="12"/>
  <c r="BD70" i="12" s="1"/>
  <c r="H3" i="13"/>
  <c r="H5" i="13" s="1"/>
  <c r="G9" i="13"/>
  <c r="G8" i="13" s="1"/>
  <c r="AN33" i="28"/>
  <c r="AM35" i="28"/>
  <c r="W79" i="12"/>
  <c r="AA24" i="32"/>
  <c r="R329" i="9"/>
  <c r="M120" i="16"/>
  <c r="U73" i="16"/>
  <c r="Q56" i="16"/>
  <c r="X196" i="12"/>
  <c r="Y196" i="12" s="1"/>
  <c r="AI23" i="32"/>
  <c r="R424" i="9" s="1"/>
  <c r="AO45" i="28"/>
  <c r="AN47" i="28"/>
  <c r="V78" i="12"/>
  <c r="AD15" i="32"/>
  <c r="R356" i="9" s="1"/>
  <c r="X23" i="8"/>
  <c r="X22" i="8" s="1"/>
  <c r="X22" i="32"/>
  <c r="R291" i="9"/>
  <c r="AA34" i="8"/>
  <c r="AB34" i="8" s="1"/>
  <c r="AC162" i="8"/>
  <c r="Y187" i="12"/>
  <c r="K75" i="16"/>
  <c r="K123" i="16" s="1"/>
  <c r="Y125" i="8"/>
  <c r="AN305" i="9"/>
  <c r="AF305" i="9" s="1"/>
  <c r="AG305" i="9" s="1"/>
  <c r="AH305" i="9" s="1"/>
  <c r="AK305" i="9" s="1"/>
  <c r="S305" i="9"/>
  <c r="T305" i="9" s="1"/>
  <c r="U135" i="12"/>
  <c r="BD39" i="12"/>
  <c r="W45" i="12"/>
  <c r="AH124" i="8"/>
  <c r="N112" i="16"/>
  <c r="O64" i="16"/>
  <c r="P64" i="16" s="1"/>
  <c r="Z200" i="12"/>
  <c r="S400" i="9"/>
  <c r="T400" i="9" s="1"/>
  <c r="AN400" i="9"/>
  <c r="AF400" i="9" s="1"/>
  <c r="AG400" i="9" s="1"/>
  <c r="AH400" i="9" s="1"/>
  <c r="AK400" i="9" s="1"/>
  <c r="AF27" i="8"/>
  <c r="BB206" i="22"/>
  <c r="CC206" i="22" s="1"/>
  <c r="AY81" i="12"/>
  <c r="AY80" i="12"/>
  <c r="P55" i="16"/>
  <c r="AN320" i="9"/>
  <c r="AF320" i="9" s="1"/>
  <c r="AG320" i="9" s="1"/>
  <c r="AH320" i="9" s="1"/>
  <c r="AK320" i="9" s="1"/>
  <c r="S320" i="9"/>
  <c r="T320" i="9" s="1"/>
  <c r="AA48" i="12"/>
  <c r="AC47" i="8"/>
  <c r="T71" i="12"/>
  <c r="T81" i="12" s="1"/>
  <c r="BC72" i="12" s="1"/>
  <c r="AD182" i="12"/>
  <c r="Y71" i="16"/>
  <c r="U272" i="22"/>
  <c r="AN288" i="9"/>
  <c r="AF288" i="9" s="1"/>
  <c r="AG288" i="9" s="1"/>
  <c r="AH288" i="9" s="1"/>
  <c r="AK288" i="9" s="1"/>
  <c r="S288" i="9"/>
  <c r="T288" i="9" s="1"/>
  <c r="U279" i="22"/>
  <c r="AC131" i="12"/>
  <c r="AH44" i="8"/>
  <c r="AA33" i="8"/>
  <c r="N118" i="16"/>
  <c r="N65" i="16"/>
  <c r="AD179" i="12"/>
  <c r="AE179" i="12" s="1"/>
  <c r="Y197" i="12"/>
  <c r="W77" i="12"/>
  <c r="U283" i="22"/>
  <c r="AA161" i="8"/>
  <c r="AC134" i="12"/>
  <c r="AZ293" i="22"/>
  <c r="CA293" i="22" s="1"/>
  <c r="W293" i="22"/>
  <c r="AY293" i="22"/>
  <c r="BZ293" i="22" s="1"/>
  <c r="BB293" i="22"/>
  <c r="CC293" i="22" s="1"/>
  <c r="BA293" i="22"/>
  <c r="AX293" i="22"/>
  <c r="AN278" i="9"/>
  <c r="AF278" i="9" s="1"/>
  <c r="AG278" i="9" s="1"/>
  <c r="AH278" i="9" s="1"/>
  <c r="AK278" i="9" s="1"/>
  <c r="S278" i="9"/>
  <c r="T278" i="9" s="1"/>
  <c r="AP22" i="16"/>
  <c r="AG27" i="8"/>
  <c r="Q103" i="12"/>
  <c r="X136" i="12"/>
  <c r="Z46" i="12"/>
  <c r="BA280" i="22"/>
  <c r="AX280" i="22"/>
  <c r="BB280" i="22"/>
  <c r="AZ280" i="22"/>
  <c r="AY280" i="22"/>
  <c r="BZ280" i="22" s="1"/>
  <c r="W280" i="22"/>
  <c r="W25" i="32"/>
  <c r="R282" i="9"/>
  <c r="S319" i="9"/>
  <c r="T319" i="9" s="1"/>
  <c r="AN319" i="9"/>
  <c r="AF319" i="9" s="1"/>
  <c r="AG319" i="9" s="1"/>
  <c r="AH319" i="9" s="1"/>
  <c r="AK319" i="9" s="1"/>
  <c r="W202" i="12"/>
  <c r="X201" i="12"/>
  <c r="AZ76" i="12"/>
  <c r="AZ79" i="12"/>
  <c r="AZ77" i="12"/>
  <c r="AZ78" i="12"/>
  <c r="AC17" i="32"/>
  <c r="R346" i="9" s="1"/>
  <c r="AD52" i="8"/>
  <c r="AE52" i="8" s="1"/>
  <c r="S73" i="16"/>
  <c r="W90" i="8"/>
  <c r="W91" i="8" s="1"/>
  <c r="W92" i="8" s="1"/>
  <c r="W93" i="8" s="1"/>
  <c r="W94" i="8" s="1"/>
  <c r="W95" i="8" s="1"/>
  <c r="W96" i="8" s="1"/>
  <c r="W97" i="8" s="1"/>
  <c r="W98" i="8" s="1"/>
  <c r="W99" i="8" s="1"/>
  <c r="W100" i="8" s="1"/>
  <c r="W101" i="8" s="1"/>
  <c r="AO21" i="28"/>
  <c r="AN23" i="28"/>
  <c r="AX305" i="22"/>
  <c r="BB305" i="22"/>
  <c r="BA305" i="22"/>
  <c r="AZ305" i="22"/>
  <c r="W305" i="22"/>
  <c r="AY305" i="22"/>
  <c r="BZ305" i="22" s="1"/>
  <c r="AF159" i="8"/>
  <c r="AG159" i="8" s="1"/>
  <c r="AY205" i="22"/>
  <c r="BZ205" i="22" s="1"/>
  <c r="AN313" i="9"/>
  <c r="AF313" i="9" s="1"/>
  <c r="AG313" i="9" s="1"/>
  <c r="AH313" i="9" s="1"/>
  <c r="AK313" i="9" s="1"/>
  <c r="S313" i="9"/>
  <c r="T313" i="9" s="1"/>
  <c r="AF44" i="12"/>
  <c r="AE29" i="8"/>
  <c r="V341" i="22"/>
  <c r="U317" i="22"/>
  <c r="AN332" i="9"/>
  <c r="AF332" i="9" s="1"/>
  <c r="AG332" i="9" s="1"/>
  <c r="AH332" i="9" s="1"/>
  <c r="AK332" i="9" s="1"/>
  <c r="S332" i="9"/>
  <c r="T332" i="9" s="1"/>
  <c r="AN27" i="28"/>
  <c r="AM29" i="28"/>
  <c r="AM6" i="28" s="1"/>
  <c r="AB132" i="8"/>
  <c r="AC132" i="8" s="1"/>
  <c r="AN381" i="9"/>
  <c r="AF381" i="9" s="1"/>
  <c r="AG381" i="9" s="1"/>
  <c r="AH381" i="9" s="1"/>
  <c r="AK381" i="9" s="1"/>
  <c r="S381" i="9"/>
  <c r="T381" i="9" s="1"/>
  <c r="V304" i="22"/>
  <c r="AG133" i="8"/>
  <c r="T137" i="12"/>
  <c r="BC40" i="12"/>
  <c r="K122" i="16"/>
  <c r="K124" i="16" s="1"/>
  <c r="V39" i="12"/>
  <c r="W39" i="12" s="1"/>
  <c r="V297" i="22"/>
  <c r="U273" i="22"/>
  <c r="N120" i="16"/>
  <c r="BA73" i="12"/>
  <c r="S81" i="12"/>
  <c r="BB72" i="12" s="1"/>
  <c r="U70" i="12"/>
  <c r="V70" i="12" s="1"/>
  <c r="X199" i="12"/>
  <c r="BA46" i="12"/>
  <c r="BA45" i="12"/>
  <c r="BA47" i="12"/>
  <c r="BA44" i="12"/>
  <c r="S279" i="9"/>
  <c r="T279" i="9" s="1"/>
  <c r="AN279" i="9"/>
  <c r="AF279" i="9" s="1"/>
  <c r="AG279" i="9" s="1"/>
  <c r="AH279" i="9" s="1"/>
  <c r="AK279" i="9" s="1"/>
  <c r="X21" i="32"/>
  <c r="X26" i="32" s="1"/>
  <c r="R290" i="9"/>
  <c r="AC182" i="12"/>
  <c r="BA202" i="22"/>
  <c r="V285" i="22"/>
  <c r="V353" i="22"/>
  <c r="U329" i="22"/>
  <c r="AX202" i="22"/>
  <c r="L74" i="16"/>
  <c r="BC71" i="12"/>
  <c r="V76" i="12"/>
  <c r="P211" i="12"/>
  <c r="P225" i="12"/>
  <c r="P4" i="12"/>
  <c r="P105" i="12"/>
  <c r="V202" i="12"/>
  <c r="V72" i="12"/>
  <c r="W72" i="12" s="1"/>
  <c r="AB45" i="8"/>
  <c r="W119" i="16"/>
  <c r="W258" i="22"/>
  <c r="AA31" i="8"/>
  <c r="AN369" i="9"/>
  <c r="AF369" i="9" s="1"/>
  <c r="AG369" i="9" s="1"/>
  <c r="AH369" i="9" s="1"/>
  <c r="AK369" i="9" s="1"/>
  <c r="S369" i="9"/>
  <c r="T369" i="9" s="1"/>
  <c r="Z8" i="8"/>
  <c r="Y70" i="8"/>
  <c r="Y17" i="8"/>
  <c r="Y7" i="8"/>
  <c r="Y86" i="8" s="1"/>
  <c r="AZ49" i="12"/>
  <c r="AZ48" i="12"/>
  <c r="AB20" i="32"/>
  <c r="R337" i="9"/>
  <c r="V74" i="12"/>
  <c r="V300" i="22"/>
  <c r="V312" i="22" s="1"/>
  <c r="U276" i="22"/>
  <c r="V275" i="22"/>
  <c r="U251" i="22"/>
  <c r="W251" i="22" s="1"/>
  <c r="AB156" i="8"/>
  <c r="AF122" i="8"/>
  <c r="AP19" i="16"/>
  <c r="X197" i="12"/>
  <c r="AN325" i="9"/>
  <c r="AF325" i="9" s="1"/>
  <c r="AG325" i="9" s="1"/>
  <c r="AH325" i="9" s="1"/>
  <c r="AK325" i="9" s="1"/>
  <c r="S325" i="9"/>
  <c r="T325" i="9" s="1"/>
  <c r="O72" i="16"/>
  <c r="O26" i="13"/>
  <c r="P4" i="13"/>
  <c r="Y163" i="8"/>
  <c r="P42" i="13"/>
  <c r="Q6" i="13"/>
  <c r="AE127" i="8"/>
  <c r="T132" i="12"/>
  <c r="BC38" i="12"/>
  <c r="BC42" i="12" s="1"/>
  <c r="V42" i="12"/>
  <c r="AE41" i="12"/>
  <c r="R50" i="16"/>
  <c r="V282" i="22"/>
  <c r="Z194" i="12"/>
  <c r="AA194" i="12" s="1"/>
  <c r="X79" i="8"/>
  <c r="X74" i="8"/>
  <c r="X85" i="8" s="1"/>
  <c r="X81" i="8"/>
  <c r="X76" i="8"/>
  <c r="X83" i="8"/>
  <c r="X78" i="8"/>
  <c r="X80" i="8"/>
  <c r="X84" i="8"/>
  <c r="X77" i="8"/>
  <c r="X82" i="8"/>
  <c r="X75" i="8"/>
  <c r="X25" i="32"/>
  <c r="R294" i="9"/>
  <c r="V284" i="22"/>
  <c r="U260" i="22"/>
  <c r="W260" i="22" s="1"/>
  <c r="AF133" i="8"/>
  <c r="AN3" i="28"/>
  <c r="X201" i="22"/>
  <c r="Y201" i="22" s="1"/>
  <c r="BD201" i="22"/>
  <c r="N15" i="13"/>
  <c r="N22" i="13"/>
  <c r="N14" i="13"/>
  <c r="N21" i="13"/>
  <c r="N20" i="13"/>
  <c r="N17" i="13"/>
  <c r="N23" i="13"/>
  <c r="N18" i="13"/>
  <c r="N16" i="13"/>
  <c r="N19" i="13"/>
  <c r="N24" i="13"/>
  <c r="N25" i="13"/>
  <c r="W140" i="8"/>
  <c r="W147" i="8"/>
  <c r="W142" i="8"/>
  <c r="W144" i="8"/>
  <c r="W139" i="8"/>
  <c r="W145" i="8"/>
  <c r="W146" i="8"/>
  <c r="W141" i="8"/>
  <c r="W148" i="8"/>
  <c r="W143" i="8"/>
  <c r="W138" i="8"/>
  <c r="AG42" i="8"/>
  <c r="BY281" i="22"/>
  <c r="BC281" i="22"/>
  <c r="AD155" i="8"/>
  <c r="AA18" i="32"/>
  <c r="R323" i="9"/>
  <c r="AC30" i="8"/>
  <c r="AD30" i="8"/>
  <c r="V77" i="12"/>
  <c r="BB74" i="12"/>
  <c r="AH126" i="8"/>
  <c r="AN322" i="9"/>
  <c r="AF322" i="9" s="1"/>
  <c r="AG322" i="9" s="1"/>
  <c r="AH322" i="9" s="1"/>
  <c r="AK322" i="9" s="1"/>
  <c r="S322" i="9"/>
  <c r="T322" i="9" s="1"/>
  <c r="Y46" i="12"/>
  <c r="AE131" i="8"/>
  <c r="AF131" i="8" s="1"/>
  <c r="AD41" i="12"/>
  <c r="AA48" i="8"/>
  <c r="AA53" i="8" s="1"/>
  <c r="AA128" i="12"/>
  <c r="AB180" i="12"/>
  <c r="T73" i="16"/>
  <c r="V277" i="22"/>
  <c r="N283" i="12"/>
  <c r="W198" i="12"/>
  <c r="X198" i="12" s="1"/>
  <c r="AB17" i="32"/>
  <c r="R334" i="9"/>
  <c r="AG29" i="8"/>
  <c r="W195" i="12"/>
  <c r="X195" i="12" s="1"/>
  <c r="AZ271" i="22"/>
  <c r="W271" i="22"/>
  <c r="BA271" i="22"/>
  <c r="BB271" i="22"/>
  <c r="CB281" i="22"/>
  <c r="T275" i="12"/>
  <c r="AD50" i="8"/>
  <c r="Q57" i="16"/>
  <c r="Q121" i="16" s="1"/>
  <c r="N67" i="16"/>
  <c r="AC154" i="8"/>
  <c r="P72" i="16"/>
  <c r="AN39" i="28"/>
  <c r="AM41" i="28"/>
  <c r="Z82" i="12"/>
  <c r="AE149" i="8"/>
  <c r="AF149" i="8" s="1"/>
  <c r="AN317" i="9"/>
  <c r="AF317" i="9" s="1"/>
  <c r="AG317" i="9" s="1"/>
  <c r="AH317" i="9" s="1"/>
  <c r="AK317" i="9" s="1"/>
  <c r="S317" i="9"/>
  <c r="T317" i="9" s="1"/>
  <c r="AB38" i="12"/>
  <c r="AG126" i="8"/>
  <c r="AI126" i="8" s="1"/>
  <c r="Y185" i="12"/>
  <c r="Z185" i="12" s="1"/>
  <c r="W189" i="12"/>
  <c r="AJ128" i="8"/>
  <c r="AC188" i="12"/>
  <c r="AD188" i="12" s="1"/>
  <c r="M116" i="16"/>
  <c r="Z33" i="8"/>
  <c r="AB33" i="8" s="1"/>
  <c r="O70" i="16"/>
  <c r="V295" i="22"/>
  <c r="CC281" i="22"/>
  <c r="S311" i="9"/>
  <c r="T311" i="9" s="1"/>
  <c r="AN311" i="9"/>
  <c r="AF311" i="9" s="1"/>
  <c r="AG311" i="9" s="1"/>
  <c r="AH311" i="9" s="1"/>
  <c r="AK311" i="9" s="1"/>
  <c r="AC178" i="12"/>
  <c r="Q52" i="16"/>
  <c r="R52" i="16" s="1"/>
  <c r="AC123" i="8"/>
  <c r="V80" i="12"/>
  <c r="BA274" i="22"/>
  <c r="AZ274" i="22"/>
  <c r="W274" i="22"/>
  <c r="BB274" i="22"/>
  <c r="U203" i="12"/>
  <c r="AC36" i="8"/>
  <c r="M114" i="16"/>
  <c r="N66" i="16"/>
  <c r="AF42" i="8"/>
  <c r="AD51" i="8"/>
  <c r="V135" i="12"/>
  <c r="BE39" i="12"/>
  <c r="X160" i="8"/>
  <c r="Y160" i="8" s="1"/>
  <c r="O35" i="13"/>
  <c r="O39" i="13"/>
  <c r="O41" i="13"/>
  <c r="O40" i="13"/>
  <c r="O38" i="13"/>
  <c r="O33" i="13"/>
  <c r="O30" i="13"/>
  <c r="O36" i="13"/>
  <c r="O37" i="13"/>
  <c r="O32" i="13"/>
  <c r="O34" i="13"/>
  <c r="O31" i="13"/>
  <c r="BC70" i="12"/>
  <c r="V73" i="12"/>
  <c r="W73" i="12" s="1"/>
  <c r="AB14" i="32"/>
  <c r="R331" i="9"/>
  <c r="U47" i="12"/>
  <c r="U49" i="12" s="1"/>
  <c r="U139" i="12" s="1"/>
  <c r="N53" i="16"/>
  <c r="BZ281" i="22"/>
  <c r="AB184" i="12"/>
  <c r="AC184" i="12" s="1"/>
  <c r="M59" i="16"/>
  <c r="AD129" i="8"/>
  <c r="N68" i="16"/>
  <c r="L116" i="16"/>
  <c r="V322" i="22"/>
  <c r="U298" i="22"/>
  <c r="Y200" i="12"/>
  <c r="AE50" i="8"/>
  <c r="AF50" i="8" s="1"/>
  <c r="O54" i="16"/>
  <c r="AG149" i="8" l="1"/>
  <c r="AF52" i="8"/>
  <c r="AA21" i="32"/>
  <c r="R326" i="9"/>
  <c r="AC33" i="8"/>
  <c r="BC77" i="12"/>
  <c r="BC76" i="12"/>
  <c r="BC79" i="12"/>
  <c r="BC78" i="12"/>
  <c r="Y72" i="12"/>
  <c r="AG179" i="12"/>
  <c r="P112" i="16"/>
  <c r="U303" i="22"/>
  <c r="AA22" i="32"/>
  <c r="R327" i="9"/>
  <c r="AA164" i="8"/>
  <c r="AL128" i="8"/>
  <c r="AM128" i="8" s="1"/>
  <c r="AA157" i="8"/>
  <c r="AG32" i="8"/>
  <c r="AG131" i="8"/>
  <c r="U312" i="22"/>
  <c r="W129" i="12"/>
  <c r="BE41" i="12"/>
  <c r="X39" i="12"/>
  <c r="Y39" i="12"/>
  <c r="Y119" i="16"/>
  <c r="AI16" i="32"/>
  <c r="R417" i="9" s="1"/>
  <c r="AN28" i="8"/>
  <c r="AM16" i="32" s="1"/>
  <c r="R465" i="9" s="1"/>
  <c r="AF17" i="32"/>
  <c r="R382" i="9" s="1"/>
  <c r="Z136" i="12"/>
  <c r="U290" i="22"/>
  <c r="P120" i="16"/>
  <c r="AY298" i="22"/>
  <c r="AZ298" i="22"/>
  <c r="CA298" i="22" s="1"/>
  <c r="AX298" i="22"/>
  <c r="BB298" i="22"/>
  <c r="CC298" i="22" s="1"/>
  <c r="BA298" i="22"/>
  <c r="W298" i="22"/>
  <c r="N74" i="16"/>
  <c r="V132" i="12"/>
  <c r="BE38" i="12"/>
  <c r="AF15" i="32"/>
  <c r="R380" i="9" s="1"/>
  <c r="U316" i="22"/>
  <c r="O116" i="16"/>
  <c r="BB276" i="22"/>
  <c r="CC276" i="22" s="1"/>
  <c r="BA276" i="22"/>
  <c r="AZ276" i="22"/>
  <c r="AX276" i="22"/>
  <c r="W276" i="22"/>
  <c r="W130" i="12"/>
  <c r="Q84" i="12"/>
  <c r="Q14" i="12"/>
  <c r="AE17" i="32"/>
  <c r="R370" i="9" s="1"/>
  <c r="N116" i="16"/>
  <c r="O118" i="16"/>
  <c r="P70" i="16"/>
  <c r="AE30" i="8"/>
  <c r="AA46" i="12"/>
  <c r="Q42" i="13"/>
  <c r="R6" i="13"/>
  <c r="X202" i="12"/>
  <c r="BB317" i="22"/>
  <c r="BA317" i="22"/>
  <c r="AX317" i="22"/>
  <c r="AZ317" i="22"/>
  <c r="AY317" i="22"/>
  <c r="W317" i="22"/>
  <c r="CB293" i="22"/>
  <c r="U275" i="12"/>
  <c r="W135" i="12"/>
  <c r="BF39" i="12"/>
  <c r="Y45" i="12"/>
  <c r="X45" i="12"/>
  <c r="S356" i="9"/>
  <c r="T356" i="9" s="1"/>
  <c r="AN356" i="9"/>
  <c r="AF356" i="9" s="1"/>
  <c r="AG356" i="9" s="1"/>
  <c r="AH356" i="9" s="1"/>
  <c r="AK356" i="9" s="1"/>
  <c r="BD42" i="12"/>
  <c r="AQ17" i="28"/>
  <c r="AR15" i="28"/>
  <c r="AD43" i="8"/>
  <c r="AC156" i="8"/>
  <c r="BZ286" i="22"/>
  <c r="S103" i="12"/>
  <c r="Y198" i="12"/>
  <c r="Z198" i="12" s="1"/>
  <c r="BY202" i="22"/>
  <c r="BC202" i="22"/>
  <c r="S329" i="9"/>
  <c r="T329" i="9" s="1"/>
  <c r="AN329" i="9"/>
  <c r="AF329" i="9" s="1"/>
  <c r="AG329" i="9" s="1"/>
  <c r="AH329" i="9" s="1"/>
  <c r="AK329" i="9" s="1"/>
  <c r="AE131" i="12"/>
  <c r="U334" i="22"/>
  <c r="AO33" i="28"/>
  <c r="AN35" i="28"/>
  <c r="BD281" i="22"/>
  <c r="X281" i="22"/>
  <c r="Y281" i="22" s="1"/>
  <c r="Z39" i="12"/>
  <c r="Z37" i="8"/>
  <c r="U121" i="16"/>
  <c r="Z19" i="32"/>
  <c r="R312" i="9"/>
  <c r="AC31" i="8"/>
  <c r="AB31" i="8"/>
  <c r="AA37" i="8"/>
  <c r="AA185" i="12"/>
  <c r="U297" i="22"/>
  <c r="Z22" i="32"/>
  <c r="R315" i="9"/>
  <c r="AG15" i="32"/>
  <c r="R392" i="9" s="1"/>
  <c r="U287" i="22"/>
  <c r="V346" i="22"/>
  <c r="U322" i="22"/>
  <c r="AD123" i="8"/>
  <c r="V309" i="22"/>
  <c r="U285" i="22"/>
  <c r="AD154" i="8"/>
  <c r="Y189" i="12"/>
  <c r="V365" i="22"/>
  <c r="U341" i="22"/>
  <c r="Z163" i="8"/>
  <c r="AJ8" i="28"/>
  <c r="P13" i="12" s="1"/>
  <c r="P34" i="12"/>
  <c r="P6" i="12"/>
  <c r="AD17" i="32"/>
  <c r="R358" i="9" s="1"/>
  <c r="AO23" i="28"/>
  <c r="AP21" i="28"/>
  <c r="X133" i="12"/>
  <c r="Y43" i="12"/>
  <c r="BB73" i="12"/>
  <c r="AY288" i="22"/>
  <c r="BZ288" i="22" s="1"/>
  <c r="AX288" i="22"/>
  <c r="AZ288" i="22"/>
  <c r="BB288" i="22"/>
  <c r="BA288" i="22"/>
  <c r="W288" i="22"/>
  <c r="Y195" i="12"/>
  <c r="Z195" i="12" s="1"/>
  <c r="S346" i="9"/>
  <c r="T346" i="9" s="1"/>
  <c r="AN346" i="9"/>
  <c r="AF346" i="9" s="1"/>
  <c r="AG346" i="9" s="1"/>
  <c r="AH346" i="9" s="1"/>
  <c r="AK346" i="9" s="1"/>
  <c r="BD40" i="12"/>
  <c r="U137" i="12"/>
  <c r="X47" i="12"/>
  <c r="V313" i="22"/>
  <c r="U289" i="22"/>
  <c r="V306" i="22"/>
  <c r="U282" i="22"/>
  <c r="AC34" i="8"/>
  <c r="X77" i="12"/>
  <c r="CA305" i="22"/>
  <c r="AA200" i="12"/>
  <c r="N115" i="16"/>
  <c r="O67" i="16"/>
  <c r="AD186" i="12"/>
  <c r="X74" i="12"/>
  <c r="U71" i="12"/>
  <c r="U81" i="12" s="1"/>
  <c r="BD72" i="12" s="1"/>
  <c r="N114" i="16"/>
  <c r="O66" i="16"/>
  <c r="P213" i="12"/>
  <c r="P108" i="12"/>
  <c r="X78" i="12"/>
  <c r="Y78" i="12" s="1"/>
  <c r="Z78" i="12" s="1"/>
  <c r="BA49" i="12"/>
  <c r="BA48" i="12"/>
  <c r="CB202" i="22"/>
  <c r="N268" i="12"/>
  <c r="BC46" i="12"/>
  <c r="BC44" i="12"/>
  <c r="BC47" i="12"/>
  <c r="BC45" i="12"/>
  <c r="P26" i="13"/>
  <c r="Q4" i="13"/>
  <c r="P224" i="12"/>
  <c r="P324" i="12" s="1"/>
  <c r="P221" i="12"/>
  <c r="P244" i="12" s="1"/>
  <c r="P223" i="12"/>
  <c r="P222" i="12"/>
  <c r="AF134" i="12"/>
  <c r="X90" i="8"/>
  <c r="X91" i="8" s="1"/>
  <c r="X92" i="8" s="1"/>
  <c r="X93" i="8" s="1"/>
  <c r="X94" i="8" s="1"/>
  <c r="X95" i="8" s="1"/>
  <c r="X96" i="8" s="1"/>
  <c r="X97" i="8" s="1"/>
  <c r="X98" i="8" s="1"/>
  <c r="X99" i="8" s="1"/>
  <c r="X100" i="8" s="1"/>
  <c r="X101" i="8" s="1"/>
  <c r="AO47" i="28"/>
  <c r="AP45" i="28"/>
  <c r="CA286" i="22"/>
  <c r="AN300" i="9"/>
  <c r="AF300" i="9" s="1"/>
  <c r="AG300" i="9" s="1"/>
  <c r="AH300" i="9" s="1"/>
  <c r="AK300" i="9" s="1"/>
  <c r="S300" i="9"/>
  <c r="T300" i="9" s="1"/>
  <c r="AC180" i="12"/>
  <c r="AD180" i="12" s="1"/>
  <c r="AP25" i="16"/>
  <c r="AP26" i="16"/>
  <c r="AN334" i="9"/>
  <c r="AF334" i="9" s="1"/>
  <c r="AG334" i="9" s="1"/>
  <c r="AH334" i="9" s="1"/>
  <c r="AK334" i="9" s="1"/>
  <c r="S334" i="9"/>
  <c r="T334" i="9" s="1"/>
  <c r="AI122" i="8"/>
  <c r="AK28" i="8"/>
  <c r="BB81" i="12"/>
  <c r="BB80" i="12"/>
  <c r="N113" i="16"/>
  <c r="AN344" i="9"/>
  <c r="AF344" i="9" s="1"/>
  <c r="AG344" i="9" s="1"/>
  <c r="AH344" i="9" s="1"/>
  <c r="AK344" i="9" s="1"/>
  <c r="S344" i="9"/>
  <c r="T344" i="9" s="1"/>
  <c r="Z160" i="8"/>
  <c r="S436" i="9"/>
  <c r="T436" i="9" s="1"/>
  <c r="AN436" i="9"/>
  <c r="AF436" i="9" s="1"/>
  <c r="AG436" i="9" s="1"/>
  <c r="AH436" i="9" s="1"/>
  <c r="AK436" i="9" s="1"/>
  <c r="AB183" i="12"/>
  <c r="S323" i="9"/>
  <c r="T323" i="9" s="1"/>
  <c r="AN323" i="9"/>
  <c r="AF323" i="9" s="1"/>
  <c r="AG323" i="9" s="1"/>
  <c r="AH323" i="9" s="1"/>
  <c r="AK323" i="9" s="1"/>
  <c r="Y23" i="8"/>
  <c r="Y22" i="8" s="1"/>
  <c r="AL28" i="8"/>
  <c r="AM28" i="8"/>
  <c r="AK124" i="8"/>
  <c r="O53" i="16"/>
  <c r="AA181" i="12"/>
  <c r="AL23" i="32"/>
  <c r="R460" i="9" s="1"/>
  <c r="P67" i="16"/>
  <c r="AA82" i="12"/>
  <c r="P37" i="13"/>
  <c r="P33" i="13"/>
  <c r="P30" i="13"/>
  <c r="P41" i="13"/>
  <c r="P36" i="13"/>
  <c r="P39" i="13"/>
  <c r="P34" i="13"/>
  <c r="P31" i="13"/>
  <c r="P35" i="13"/>
  <c r="P32" i="13"/>
  <c r="P40" i="13"/>
  <c r="P38" i="13"/>
  <c r="AB24" i="32"/>
  <c r="R341" i="9"/>
  <c r="AE162" i="8"/>
  <c r="O23" i="13"/>
  <c r="O22" i="13"/>
  <c r="O14" i="13"/>
  <c r="O21" i="13"/>
  <c r="O20" i="13"/>
  <c r="O17" i="13"/>
  <c r="O18" i="13"/>
  <c r="O16" i="13"/>
  <c r="O15" i="13"/>
  <c r="O25" i="13"/>
  <c r="O24" i="13"/>
  <c r="O19" i="13"/>
  <c r="S121" i="16"/>
  <c r="S282" i="9"/>
  <c r="T282" i="9" s="1"/>
  <c r="AN282" i="9"/>
  <c r="AF282" i="9" s="1"/>
  <c r="AG282" i="9" s="1"/>
  <c r="AH282" i="9" s="1"/>
  <c r="AK282" i="9" s="1"/>
  <c r="BB279" i="22"/>
  <c r="BA279" i="22"/>
  <c r="AX279" i="22"/>
  <c r="W279" i="22"/>
  <c r="AY279" i="22"/>
  <c r="BZ279" i="22" s="1"/>
  <c r="AZ279" i="22"/>
  <c r="BB207" i="22"/>
  <c r="CC207" i="22" s="1"/>
  <c r="AD36" i="8"/>
  <c r="W75" i="12"/>
  <c r="X75" i="12" s="1"/>
  <c r="O65" i="16"/>
  <c r="X147" i="8"/>
  <c r="X142" i="8"/>
  <c r="X144" i="8"/>
  <c r="X139" i="8"/>
  <c r="X145" i="8"/>
  <c r="X146" i="8"/>
  <c r="X141" i="8"/>
  <c r="X140" i="8"/>
  <c r="X148" i="8"/>
  <c r="X138" i="8"/>
  <c r="X143" i="8"/>
  <c r="P65" i="16"/>
  <c r="CB286" i="22"/>
  <c r="U268" i="12"/>
  <c r="AD34" i="8"/>
  <c r="N59" i="16"/>
  <c r="BB273" i="22"/>
  <c r="W273" i="22"/>
  <c r="BA273" i="22"/>
  <c r="AZ273" i="22"/>
  <c r="AA197" i="12"/>
  <c r="AF179" i="12"/>
  <c r="S343" i="9"/>
  <c r="T343" i="9" s="1"/>
  <c r="AN343" i="9"/>
  <c r="AF343" i="9" s="1"/>
  <c r="AG343" i="9" s="1"/>
  <c r="AH343" i="9" s="1"/>
  <c r="AK343" i="9" s="1"/>
  <c r="AJ126" i="8"/>
  <c r="W73" i="16"/>
  <c r="X73" i="16" s="1"/>
  <c r="AN41" i="28"/>
  <c r="AO39" i="28"/>
  <c r="Z201" i="12"/>
  <c r="AZ207" i="22"/>
  <c r="CA207" i="22" s="1"/>
  <c r="AA160" i="8"/>
  <c r="Q211" i="12"/>
  <c r="Q4" i="12"/>
  <c r="Q105" i="12"/>
  <c r="Q225" i="12"/>
  <c r="AD132" i="8"/>
  <c r="AF132" i="8" s="1"/>
  <c r="T121" i="16"/>
  <c r="V299" i="22"/>
  <c r="V311" i="22" s="1"/>
  <c r="U275" i="22"/>
  <c r="V377" i="22"/>
  <c r="U353" i="22"/>
  <c r="AY278" i="22"/>
  <c r="AX278" i="22"/>
  <c r="BB278" i="22"/>
  <c r="CC278" i="22" s="1"/>
  <c r="BA278" i="22"/>
  <c r="AZ278" i="22"/>
  <c r="CA278" i="22" s="1"/>
  <c r="W278" i="22"/>
  <c r="AE51" i="8"/>
  <c r="AI27" i="8"/>
  <c r="AC186" i="12"/>
  <c r="CC271" i="22"/>
  <c r="AE36" i="8"/>
  <c r="O120" i="16"/>
  <c r="Y74" i="8"/>
  <c r="Y81" i="8"/>
  <c r="Y76" i="8"/>
  <c r="Y83" i="8"/>
  <c r="Y78" i="8"/>
  <c r="Y80" i="8"/>
  <c r="Y84" i="8"/>
  <c r="Y77" i="8"/>
  <c r="Y79" i="8"/>
  <c r="Y82" i="8"/>
  <c r="Y75" i="8"/>
  <c r="Y85" i="8" s="1"/>
  <c r="Z199" i="12"/>
  <c r="AD47" i="8"/>
  <c r="AG165" i="8"/>
  <c r="R103" i="12"/>
  <c r="Z164" i="8"/>
  <c r="AB164" i="8" s="1"/>
  <c r="AZ270" i="22"/>
  <c r="CA270" i="22" s="1"/>
  <c r="BB270" i="22"/>
  <c r="CC270" i="22" s="1"/>
  <c r="BA270" i="22"/>
  <c r="W270" i="22"/>
  <c r="T103" i="12"/>
  <c r="AN303" i="9"/>
  <c r="AF303" i="9" s="1"/>
  <c r="AG303" i="9" s="1"/>
  <c r="AH303" i="9" s="1"/>
  <c r="AK303" i="9" s="1"/>
  <c r="S303" i="9"/>
  <c r="T303" i="9" s="1"/>
  <c r="V308" i="22"/>
  <c r="U284" i="22"/>
  <c r="AE182" i="12"/>
  <c r="AB200" i="12"/>
  <c r="V315" i="22"/>
  <c r="U291" i="22"/>
  <c r="S117" i="16"/>
  <c r="S291" i="9"/>
  <c r="T291" i="9" s="1"/>
  <c r="AN291" i="9"/>
  <c r="AF291" i="9" s="1"/>
  <c r="AG291" i="9" s="1"/>
  <c r="AH291" i="9" s="1"/>
  <c r="AK291" i="9" s="1"/>
  <c r="S331" i="9"/>
  <c r="T331" i="9" s="1"/>
  <c r="AN331" i="9"/>
  <c r="AF331" i="9" s="1"/>
  <c r="AG331" i="9" s="1"/>
  <c r="AH331" i="9" s="1"/>
  <c r="AK331" i="9" s="1"/>
  <c r="CB305" i="22"/>
  <c r="V275" i="12"/>
  <c r="AB18" i="32"/>
  <c r="R335" i="9"/>
  <c r="AD49" i="8"/>
  <c r="BB47" i="12"/>
  <c r="BB46" i="12"/>
  <c r="BB45" i="12"/>
  <c r="BB44" i="12"/>
  <c r="BB292" i="22"/>
  <c r="CC292" i="22" s="1"/>
  <c r="AX292" i="22"/>
  <c r="W292" i="22"/>
  <c r="BA292" i="22"/>
  <c r="AZ292" i="22"/>
  <c r="CA292" i="22" s="1"/>
  <c r="AY292" i="22"/>
  <c r="BZ292" i="22" s="1"/>
  <c r="BE70" i="12"/>
  <c r="X73" i="12"/>
  <c r="Y73" i="12" s="1"/>
  <c r="Z73" i="12" s="1"/>
  <c r="BC74" i="12"/>
  <c r="AE154" i="8"/>
  <c r="AA138" i="12"/>
  <c r="Y204" i="12"/>
  <c r="Z204" i="12" s="1"/>
  <c r="W47" i="12"/>
  <c r="V302" i="22"/>
  <c r="V314" i="22" s="1"/>
  <c r="AG46" i="8"/>
  <c r="AH42" i="8"/>
  <c r="CC274" i="22"/>
  <c r="BB42" i="12"/>
  <c r="BC49" i="12" s="1"/>
  <c r="CB271" i="22"/>
  <c r="T265" i="12"/>
  <c r="AB48" i="8"/>
  <c r="Y150" i="8"/>
  <c r="Y19" i="8"/>
  <c r="W70" i="12"/>
  <c r="X70" i="12" s="1"/>
  <c r="W42" i="12"/>
  <c r="X40" i="12"/>
  <c r="V203" i="12"/>
  <c r="AN35" i="8"/>
  <c r="Q67" i="16"/>
  <c r="AD178" i="12"/>
  <c r="AE178" i="12" s="1"/>
  <c r="H81" i="13"/>
  <c r="H64" i="13"/>
  <c r="P68" i="16"/>
  <c r="V294" i="22"/>
  <c r="Z71" i="16"/>
  <c r="AE155" i="8"/>
  <c r="AF155" i="8" s="1"/>
  <c r="BY280" i="22"/>
  <c r="BC280" i="22"/>
  <c r="L122" i="16"/>
  <c r="L75" i="16"/>
  <c r="L123" i="16" s="1"/>
  <c r="L124" i="16" s="1"/>
  <c r="CB280" i="22"/>
  <c r="T274" i="12"/>
  <c r="AE123" i="8"/>
  <c r="W80" i="12"/>
  <c r="X80" i="12" s="1"/>
  <c r="AN290" i="9"/>
  <c r="AF290" i="9" s="1"/>
  <c r="AG290" i="9" s="1"/>
  <c r="AH290" i="9" s="1"/>
  <c r="AK290" i="9" s="1"/>
  <c r="S290" i="9"/>
  <c r="T290" i="9" s="1"/>
  <c r="N117" i="16"/>
  <c r="M74" i="16"/>
  <c r="CC305" i="22"/>
  <c r="V301" i="22"/>
  <c r="U277" i="22"/>
  <c r="BY305" i="22"/>
  <c r="BC305" i="22"/>
  <c r="AX329" i="22"/>
  <c r="W329" i="22"/>
  <c r="AZ329" i="22"/>
  <c r="AY329" i="22"/>
  <c r="BZ329" i="22" s="1"/>
  <c r="BB329" i="22"/>
  <c r="CC329" i="22" s="1"/>
  <c r="BA329" i="22"/>
  <c r="Z187" i="12"/>
  <c r="AC45" i="8"/>
  <c r="S405" i="9"/>
  <c r="T405" i="9" s="1"/>
  <c r="AN405" i="9"/>
  <c r="AF405" i="9" s="1"/>
  <c r="AG405" i="9" s="1"/>
  <c r="AH405" i="9" s="1"/>
  <c r="AK405" i="9" s="1"/>
  <c r="Y21" i="32"/>
  <c r="R302" i="9"/>
  <c r="AD33" i="8"/>
  <c r="AN337" i="9"/>
  <c r="AF337" i="9" s="1"/>
  <c r="AG337" i="9" s="1"/>
  <c r="AH337" i="9" s="1"/>
  <c r="AK337" i="9" s="1"/>
  <c r="S337" i="9"/>
  <c r="T337" i="9" s="1"/>
  <c r="P119" i="16"/>
  <c r="Q55" i="16"/>
  <c r="AD131" i="12"/>
  <c r="AF41" i="12"/>
  <c r="AO3" i="28"/>
  <c r="Y67" i="8"/>
  <c r="Y62" i="8"/>
  <c r="Y64" i="8"/>
  <c r="Y59" i="8"/>
  <c r="Y65" i="8"/>
  <c r="Y66" i="8"/>
  <c r="Y58" i="8"/>
  <c r="Y69" i="8" s="1"/>
  <c r="Y63" i="8"/>
  <c r="Y61" i="8"/>
  <c r="Y68" i="8"/>
  <c r="Y60" i="8"/>
  <c r="BE71" i="12"/>
  <c r="X76" i="12"/>
  <c r="BB78" i="12"/>
  <c r="BB77" i="12"/>
  <c r="BB76" i="12"/>
  <c r="BB79" i="12"/>
  <c r="V328" i="22"/>
  <c r="U304" i="22"/>
  <c r="V73" i="16"/>
  <c r="AH52" i="8"/>
  <c r="AE15" i="32"/>
  <c r="R368" i="9" s="1"/>
  <c r="Z125" i="8"/>
  <c r="AB125" i="8" s="1"/>
  <c r="S424" i="9"/>
  <c r="T424" i="9" s="1"/>
  <c r="AN424" i="9"/>
  <c r="AF424" i="9" s="1"/>
  <c r="AG424" i="9" s="1"/>
  <c r="AH424" i="9" s="1"/>
  <c r="AK424" i="9" s="1"/>
  <c r="AN75" i="28"/>
  <c r="AM4" i="28"/>
  <c r="AM5" i="28" s="1"/>
  <c r="AM7" i="28" s="1"/>
  <c r="W76" i="12"/>
  <c r="O213" i="12"/>
  <c r="O108" i="12"/>
  <c r="W74" i="12"/>
  <c r="AC43" i="8"/>
  <c r="AG50" i="8"/>
  <c r="AN29" i="28"/>
  <c r="AO27" i="28"/>
  <c r="S448" i="9"/>
  <c r="T448" i="9" s="1"/>
  <c r="AN448" i="9"/>
  <c r="AF448" i="9" s="1"/>
  <c r="AG448" i="9" s="1"/>
  <c r="AH448" i="9" s="1"/>
  <c r="AK448" i="9" s="1"/>
  <c r="BB310" i="22"/>
  <c r="AY310" i="22"/>
  <c r="AX310" i="22"/>
  <c r="W310" i="22"/>
  <c r="BA310" i="22"/>
  <c r="AZ310" i="22"/>
  <c r="Z21" i="32"/>
  <c r="R314" i="9"/>
  <c r="AE33" i="8"/>
  <c r="AC20" i="32"/>
  <c r="R349" i="9" s="1"/>
  <c r="V324" i="22"/>
  <c r="U300" i="22"/>
  <c r="AC161" i="8"/>
  <c r="V319" i="22"/>
  <c r="U295" i="22"/>
  <c r="AH159" i="8"/>
  <c r="AI159" i="8" s="1"/>
  <c r="AI44" i="8"/>
  <c r="AK44" i="8" s="1"/>
  <c r="Z197" i="12"/>
  <c r="AG52" i="8"/>
  <c r="CA280" i="22"/>
  <c r="AX283" i="22"/>
  <c r="BB283" i="22"/>
  <c r="BA283" i="22"/>
  <c r="AZ283" i="22"/>
  <c r="AY283" i="22"/>
  <c r="W283" i="22"/>
  <c r="BB272" i="22"/>
  <c r="W272" i="22"/>
  <c r="BA272" i="22"/>
  <c r="AZ272" i="22"/>
  <c r="CA272" i="22" s="1"/>
  <c r="AA125" i="8"/>
  <c r="Z196" i="12"/>
  <c r="AA196" i="12" s="1"/>
  <c r="R83" i="12"/>
  <c r="AF127" i="8"/>
  <c r="AI8" i="28"/>
  <c r="O13" i="12" s="1"/>
  <c r="O34" i="12"/>
  <c r="O6" i="12"/>
  <c r="AD14" i="32"/>
  <c r="AH122" i="8"/>
  <c r="AE134" i="12"/>
  <c r="Y201" i="12"/>
  <c r="AE132" i="8"/>
  <c r="AB194" i="12"/>
  <c r="AC194" i="12" s="1"/>
  <c r="O112" i="16"/>
  <c r="R64" i="16"/>
  <c r="Q64" i="16"/>
  <c r="AC18" i="32"/>
  <c r="R347" i="9" s="1"/>
  <c r="AB128" i="12"/>
  <c r="AC38" i="12"/>
  <c r="AD38" i="12" s="1"/>
  <c r="AE158" i="8"/>
  <c r="N75" i="16"/>
  <c r="N123" i="16" s="1"/>
  <c r="X79" i="12"/>
  <c r="Y79" i="12" s="1"/>
  <c r="AD162" i="8"/>
  <c r="V129" i="12"/>
  <c r="BD41" i="12"/>
  <c r="AG122" i="8"/>
  <c r="AN393" i="9"/>
  <c r="AF393" i="9" s="1"/>
  <c r="AG393" i="9" s="1"/>
  <c r="AH393" i="9" s="1"/>
  <c r="AK393" i="9" s="1"/>
  <c r="S393" i="9"/>
  <c r="T393" i="9" s="1"/>
  <c r="AK128" i="8"/>
  <c r="AJ124" i="8"/>
  <c r="AL124" i="8" s="1"/>
  <c r="AG130" i="8"/>
  <c r="AH130" i="8" s="1"/>
  <c r="S294" i="9"/>
  <c r="T294" i="9" s="1"/>
  <c r="AN294" i="9"/>
  <c r="AF294" i="9" s="1"/>
  <c r="AG294" i="9" s="1"/>
  <c r="AH294" i="9" s="1"/>
  <c r="AK294" i="9" s="1"/>
  <c r="X72" i="12"/>
  <c r="Z72" i="12" s="1"/>
  <c r="AH149" i="8"/>
  <c r="T69" i="16"/>
  <c r="BY293" i="22"/>
  <c r="BC293" i="22"/>
  <c r="BY286" i="22"/>
  <c r="BC286" i="22"/>
  <c r="AN6" i="28"/>
  <c r="AF51" i="8"/>
  <c r="AD184" i="12"/>
  <c r="AE184" i="12" s="1"/>
  <c r="V47" i="12"/>
  <c r="Y47" i="12" s="1"/>
  <c r="CA274" i="22"/>
  <c r="AE188" i="12"/>
  <c r="AF188" i="12" s="1"/>
  <c r="CA271" i="22"/>
  <c r="AA8" i="8"/>
  <c r="Z70" i="8"/>
  <c r="Z17" i="8"/>
  <c r="Z150" i="8" s="1"/>
  <c r="Z7" i="8"/>
  <c r="Z86" i="8" s="1"/>
  <c r="P54" i="16"/>
  <c r="Q54" i="16"/>
  <c r="AF32" i="8"/>
  <c r="CB274" i="22"/>
  <c r="T268" i="12"/>
  <c r="AF129" i="8"/>
  <c r="U205" i="12"/>
  <c r="Y136" i="12"/>
  <c r="AB46" i="12"/>
  <c r="AC46" i="12" s="1"/>
  <c r="AI133" i="8"/>
  <c r="AJ133" i="8" s="1"/>
  <c r="Z157" i="8"/>
  <c r="Q72" i="16"/>
  <c r="AY206" i="22"/>
  <c r="BZ206" i="22" s="1"/>
  <c r="AY207" i="22" s="1"/>
  <c r="BZ207" i="22" s="1"/>
  <c r="AH29" i="8"/>
  <c r="AI29" i="8" s="1"/>
  <c r="CC280" i="22"/>
  <c r="V307" i="22"/>
  <c r="V296" i="22"/>
  <c r="AB48" i="12"/>
  <c r="O224" i="12"/>
  <c r="O324" i="12" s="1"/>
  <c r="O221" i="12"/>
  <c r="O223" i="12"/>
  <c r="O222" i="12"/>
  <c r="AJ44" i="8"/>
  <c r="AF26" i="8"/>
  <c r="AE32" i="8"/>
  <c r="AG44" i="12"/>
  <c r="AH17" i="32" l="1"/>
  <c r="R406" i="9" s="1"/>
  <c r="AJ29" i="8"/>
  <c r="Y137" i="12"/>
  <c r="AG184" i="12"/>
  <c r="AE194" i="12"/>
  <c r="AE125" i="8"/>
  <c r="P74" i="16"/>
  <c r="Z76" i="12"/>
  <c r="AA76" i="12" s="1"/>
  <c r="Y26" i="32"/>
  <c r="U311" i="22"/>
  <c r="AC136" i="12"/>
  <c r="X121" i="16"/>
  <c r="BD77" i="12"/>
  <c r="BD76" i="12"/>
  <c r="BD79" i="12"/>
  <c r="BD78" i="12"/>
  <c r="BD74" i="12"/>
  <c r="AB198" i="12"/>
  <c r="AI130" i="8"/>
  <c r="AJ130" i="8" s="1"/>
  <c r="AL44" i="8"/>
  <c r="AD128" i="12"/>
  <c r="AH188" i="12"/>
  <c r="Z70" i="12"/>
  <c r="AI46" i="8"/>
  <c r="AI165" i="8"/>
  <c r="AG178" i="12"/>
  <c r="U314" i="22"/>
  <c r="AB195" i="12"/>
  <c r="AF47" i="8"/>
  <c r="AH132" i="8"/>
  <c r="P66" i="16"/>
  <c r="X293" i="22"/>
  <c r="Y293" i="22" s="1"/>
  <c r="BD293" i="22"/>
  <c r="AY300" i="22"/>
  <c r="AX300" i="22"/>
  <c r="BB300" i="22"/>
  <c r="BA300" i="22"/>
  <c r="AZ300" i="22"/>
  <c r="W300" i="22"/>
  <c r="AD45" i="8"/>
  <c r="AM23" i="32"/>
  <c r="R472" i="9" s="1"/>
  <c r="AO35" i="8"/>
  <c r="AN23" i="32" s="1"/>
  <c r="R484" i="9" s="1"/>
  <c r="V339" i="22"/>
  <c r="U315" i="22"/>
  <c r="AO41" i="28"/>
  <c r="AP39" i="28"/>
  <c r="P113" i="16"/>
  <c r="CC279" i="22"/>
  <c r="BB282" i="22"/>
  <c r="CC282" i="22" s="1"/>
  <c r="AX282" i="22"/>
  <c r="BA282" i="22"/>
  <c r="AZ282" i="22"/>
  <c r="AY282" i="22"/>
  <c r="W282" i="22"/>
  <c r="U103" i="12"/>
  <c r="AG123" i="8"/>
  <c r="S211" i="12"/>
  <c r="S225" i="12"/>
  <c r="S4" i="12"/>
  <c r="S105" i="12"/>
  <c r="CA317" i="22"/>
  <c r="N122" i="16"/>
  <c r="N124" i="16" s="1"/>
  <c r="Y77" i="12"/>
  <c r="U69" i="16"/>
  <c r="AD20" i="32"/>
  <c r="R361" i="9" s="1"/>
  <c r="AI32" i="8"/>
  <c r="AA201" i="12"/>
  <c r="CC272" i="22"/>
  <c r="U324" i="22"/>
  <c r="AO29" i="28"/>
  <c r="AP27" i="28"/>
  <c r="AJ27" i="8"/>
  <c r="V205" i="12"/>
  <c r="BF40" i="12"/>
  <c r="W137" i="12"/>
  <c r="BC292" i="22"/>
  <c r="BY292" i="22"/>
  <c r="AD200" i="12"/>
  <c r="AD183" i="12"/>
  <c r="P250" i="12"/>
  <c r="P253" i="12" s="1"/>
  <c r="P308" i="12"/>
  <c r="V330" i="22"/>
  <c r="U306" i="22"/>
  <c r="AF123" i="8"/>
  <c r="BY317" i="22"/>
  <c r="BC317" i="22"/>
  <c r="AK29" i="8"/>
  <c r="AG51" i="8"/>
  <c r="U309" i="22"/>
  <c r="S370" i="9"/>
  <c r="T370" i="9" s="1"/>
  <c r="AN370" i="9"/>
  <c r="AF370" i="9" s="1"/>
  <c r="AG370" i="9" s="1"/>
  <c r="AH370" i="9" s="1"/>
  <c r="AK370" i="9" s="1"/>
  <c r="S341" i="9"/>
  <c r="T341" i="9" s="1"/>
  <c r="AN341" i="9"/>
  <c r="AF341" i="9" s="1"/>
  <c r="AG341" i="9" s="1"/>
  <c r="AH341" i="9" s="1"/>
  <c r="AK341" i="9" s="1"/>
  <c r="AB22" i="32"/>
  <c r="R339" i="9"/>
  <c r="Y133" i="12"/>
  <c r="Z43" i="12"/>
  <c r="AG182" i="12"/>
  <c r="S382" i="9"/>
  <c r="T382" i="9" s="1"/>
  <c r="AN382" i="9"/>
  <c r="AF382" i="9" s="1"/>
  <c r="AG382" i="9" s="1"/>
  <c r="AH382" i="9" s="1"/>
  <c r="AK382" i="9" s="1"/>
  <c r="W132" i="12"/>
  <c r="BF38" i="12"/>
  <c r="X42" i="12"/>
  <c r="Y42" i="12" s="1"/>
  <c r="U346" i="22"/>
  <c r="Y25" i="32"/>
  <c r="R306" i="9"/>
  <c r="CC317" i="22"/>
  <c r="CB283" i="22"/>
  <c r="U265" i="12"/>
  <c r="V121" i="16"/>
  <c r="BY278" i="22"/>
  <c r="BC278" i="22"/>
  <c r="AN327" i="9"/>
  <c r="AF327" i="9" s="1"/>
  <c r="AG327" i="9" s="1"/>
  <c r="AH327" i="9" s="1"/>
  <c r="AK327" i="9" s="1"/>
  <c r="S327" i="9"/>
  <c r="T327" i="9" s="1"/>
  <c r="CA283" i="22"/>
  <c r="Q26" i="13"/>
  <c r="R4" i="13"/>
  <c r="AP23" i="28"/>
  <c r="AQ21" i="28"/>
  <c r="V71" i="12"/>
  <c r="W71" i="12" s="1"/>
  <c r="Z129" i="12"/>
  <c r="P115" i="16"/>
  <c r="AJ159" i="8"/>
  <c r="P22" i="13"/>
  <c r="P14" i="13"/>
  <c r="P21" i="13"/>
  <c r="P20" i="13"/>
  <c r="P19" i="13"/>
  <c r="P17" i="13"/>
  <c r="P23" i="13"/>
  <c r="P15" i="13"/>
  <c r="P25" i="13"/>
  <c r="P18" i="13"/>
  <c r="P24" i="13"/>
  <c r="P16" i="13"/>
  <c r="Z47" i="12"/>
  <c r="AB53" i="8"/>
  <c r="S6" i="13"/>
  <c r="R42" i="13"/>
  <c r="O244" i="12"/>
  <c r="R54" i="16"/>
  <c r="CC283" i="22"/>
  <c r="S314" i="9"/>
  <c r="T314" i="9" s="1"/>
  <c r="AN314" i="9"/>
  <c r="AF314" i="9" s="1"/>
  <c r="AG314" i="9" s="1"/>
  <c r="AH314" i="9" s="1"/>
  <c r="AK314" i="9" s="1"/>
  <c r="BB304" i="22"/>
  <c r="W304" i="22"/>
  <c r="BA304" i="22"/>
  <c r="AZ304" i="22"/>
  <c r="CA304" i="22" s="1"/>
  <c r="AY304" i="22"/>
  <c r="AX304" i="22"/>
  <c r="AF131" i="12"/>
  <c r="AG41" i="12"/>
  <c r="CA329" i="22"/>
  <c r="BC73" i="12"/>
  <c r="AC164" i="8"/>
  <c r="BZ278" i="22"/>
  <c r="AZ287" i="22"/>
  <c r="W287" i="22"/>
  <c r="BA287" i="22"/>
  <c r="BB287" i="22"/>
  <c r="CC287" i="22" s="1"/>
  <c r="AY287" i="22"/>
  <c r="BZ287" i="22" s="1"/>
  <c r="AX287" i="22"/>
  <c r="Q40" i="13"/>
  <c r="Q39" i="13"/>
  <c r="Q33" i="13"/>
  <c r="Q41" i="13"/>
  <c r="Q38" i="13"/>
  <c r="Q36" i="13"/>
  <c r="Q30" i="13"/>
  <c r="Q34" i="13"/>
  <c r="Q31" i="13"/>
  <c r="Q32" i="13"/>
  <c r="Q37" i="13"/>
  <c r="Q35" i="13"/>
  <c r="BY276" i="22"/>
  <c r="BZ298" i="22"/>
  <c r="AA19" i="32"/>
  <c r="R324" i="9"/>
  <c r="AB37" i="8"/>
  <c r="BZ317" i="22"/>
  <c r="X130" i="12"/>
  <c r="Y40" i="12"/>
  <c r="Z40" i="12"/>
  <c r="P247" i="12"/>
  <c r="BB289" i="22"/>
  <c r="BA289" i="22"/>
  <c r="AZ289" i="22"/>
  <c r="AX289" i="22"/>
  <c r="W289" i="22"/>
  <c r="AY289" i="22"/>
  <c r="CB298" i="22"/>
  <c r="V268" i="12"/>
  <c r="AC128" i="12"/>
  <c r="BZ283" i="22"/>
  <c r="W121" i="16"/>
  <c r="AN465" i="9"/>
  <c r="AF465" i="9" s="1"/>
  <c r="AG465" i="9" s="1"/>
  <c r="AH465" i="9" s="1"/>
  <c r="AK465" i="9" s="1"/>
  <c r="S465" i="9"/>
  <c r="T465" i="9" s="1"/>
  <c r="AK159" i="8"/>
  <c r="AP3" i="28"/>
  <c r="Z202" i="12"/>
  <c r="BY298" i="22"/>
  <c r="BC298" i="22"/>
  <c r="S417" i="9"/>
  <c r="T417" i="9" s="1"/>
  <c r="AN417" i="9"/>
  <c r="AF417" i="9" s="1"/>
  <c r="AG417" i="9" s="1"/>
  <c r="AH417" i="9" s="1"/>
  <c r="AK417" i="9" s="1"/>
  <c r="O250" i="12"/>
  <c r="O253" i="12" s="1"/>
  <c r="O308" i="12"/>
  <c r="AD21" i="32"/>
  <c r="R362" i="9" s="1"/>
  <c r="BD280" i="22"/>
  <c r="X280" i="22"/>
  <c r="Y280" i="22" s="1"/>
  <c r="U308" i="22"/>
  <c r="AB160" i="8"/>
  <c r="Z81" i="8"/>
  <c r="Z76" i="8"/>
  <c r="Z83" i="8"/>
  <c r="Z78" i="8"/>
  <c r="Z84" i="8"/>
  <c r="Z77" i="8"/>
  <c r="Z75" i="8"/>
  <c r="Z80" i="8"/>
  <c r="Z74" i="8"/>
  <c r="Z85" i="8" s="1"/>
  <c r="Z82" i="8"/>
  <c r="Z79" i="8"/>
  <c r="BY283" i="22"/>
  <c r="BC283" i="22"/>
  <c r="BA353" i="22"/>
  <c r="AZ353" i="22"/>
  <c r="W353" i="22"/>
  <c r="BB353" i="22"/>
  <c r="AY353" i="22"/>
  <c r="BZ353" i="22" s="1"/>
  <c r="AX353" i="22"/>
  <c r="AN460" i="9"/>
  <c r="AF460" i="9" s="1"/>
  <c r="AG460" i="9" s="1"/>
  <c r="AH460" i="9" s="1"/>
  <c r="AK460" i="9" s="1"/>
  <c r="S460" i="9"/>
  <c r="T460" i="9" s="1"/>
  <c r="AG129" i="8"/>
  <c r="O115" i="16"/>
  <c r="R67" i="16"/>
  <c r="BD45" i="12"/>
  <c r="BD44" i="12"/>
  <c r="BD46" i="12"/>
  <c r="BD47" i="12"/>
  <c r="AN358" i="9"/>
  <c r="AF358" i="9" s="1"/>
  <c r="AG358" i="9" s="1"/>
  <c r="AH358" i="9" s="1"/>
  <c r="AK358" i="9" s="1"/>
  <c r="S358" i="9"/>
  <c r="T358" i="9" s="1"/>
  <c r="AS15" i="28"/>
  <c r="AR17" i="28"/>
  <c r="CA276" i="22"/>
  <c r="Y129" i="12"/>
  <c r="S302" i="9"/>
  <c r="T302" i="9" s="1"/>
  <c r="AN302" i="9"/>
  <c r="AF302" i="9" s="1"/>
  <c r="AG302" i="9" s="1"/>
  <c r="AH302" i="9" s="1"/>
  <c r="AK302" i="9" s="1"/>
  <c r="AB19" i="32"/>
  <c r="R336" i="9"/>
  <c r="AC37" i="8"/>
  <c r="AD31" i="8"/>
  <c r="Q115" i="16"/>
  <c r="AE164" i="8"/>
  <c r="AG134" i="12"/>
  <c r="AH44" i="12"/>
  <c r="CB317" i="22"/>
  <c r="W275" i="12"/>
  <c r="AE20" i="32"/>
  <c r="R373" i="9" s="1"/>
  <c r="BA284" i="22"/>
  <c r="BB284" i="22"/>
  <c r="AZ284" i="22"/>
  <c r="W284" i="22"/>
  <c r="AY284" i="22"/>
  <c r="BZ284" i="22" s="1"/>
  <c r="AX284" i="22"/>
  <c r="AF182" i="12"/>
  <c r="X137" i="12"/>
  <c r="O317" i="12"/>
  <c r="O314" i="12"/>
  <c r="O318" i="12"/>
  <c r="O312" i="12"/>
  <c r="O313" i="12"/>
  <c r="O319" i="12"/>
  <c r="R355" i="9"/>
  <c r="U328" i="22"/>
  <c r="AE49" i="8"/>
  <c r="AH165" i="8"/>
  <c r="Z147" i="8"/>
  <c r="Z142" i="8"/>
  <c r="Z144" i="8"/>
  <c r="Z139" i="8"/>
  <c r="Z141" i="8"/>
  <c r="Z146" i="8"/>
  <c r="Z145" i="8"/>
  <c r="BY329" i="22"/>
  <c r="BC329" i="22"/>
  <c r="AH46" i="8"/>
  <c r="AJ46" i="8" s="1"/>
  <c r="Y147" i="8"/>
  <c r="Y142" i="8"/>
  <c r="Y144" i="8"/>
  <c r="Y139" i="8"/>
  <c r="Y146" i="8"/>
  <c r="Y145" i="8"/>
  <c r="Y141" i="8"/>
  <c r="Y140" i="8"/>
  <c r="Z140" i="8" s="1"/>
  <c r="Y148" i="8"/>
  <c r="Z148" i="8" s="1"/>
  <c r="Y138" i="8"/>
  <c r="Z138" i="8" s="1"/>
  <c r="Y143" i="8"/>
  <c r="Z143" i="8" s="1"/>
  <c r="V401" i="22"/>
  <c r="U377" i="22"/>
  <c r="AH179" i="12"/>
  <c r="AY208" i="22"/>
  <c r="BZ208" i="22" s="1"/>
  <c r="P9" i="12"/>
  <c r="AO35" i="28"/>
  <c r="AO6" i="28" s="1"/>
  <c r="AP33" i="28"/>
  <c r="AA136" i="12"/>
  <c r="CB276" i="22"/>
  <c r="T270" i="12"/>
  <c r="X129" i="12"/>
  <c r="BF41" i="12"/>
  <c r="X49" i="12"/>
  <c r="X139" i="12" s="1"/>
  <c r="AD156" i="8"/>
  <c r="AB21" i="32"/>
  <c r="R338" i="9"/>
  <c r="W49" i="12"/>
  <c r="W139" i="12" s="1"/>
  <c r="AD161" i="8"/>
  <c r="AF33" i="8"/>
  <c r="AB196" i="12"/>
  <c r="AB136" i="12"/>
  <c r="U319" i="22"/>
  <c r="AH51" i="8"/>
  <c r="AM126" i="8"/>
  <c r="Q68" i="16"/>
  <c r="Z67" i="8"/>
  <c r="Z62" i="8"/>
  <c r="Z64" i="8"/>
  <c r="Z59" i="8"/>
  <c r="Z69" i="8" s="1"/>
  <c r="Z66" i="8"/>
  <c r="Z65" i="8"/>
  <c r="Z58" i="8"/>
  <c r="Z68" i="8"/>
  <c r="Z60" i="8"/>
  <c r="Z61" i="8"/>
  <c r="Z63" i="8"/>
  <c r="O9" i="12"/>
  <c r="O8" i="12"/>
  <c r="T211" i="12"/>
  <c r="T225" i="12"/>
  <c r="T4" i="12"/>
  <c r="T105" i="12"/>
  <c r="AZ275" i="22"/>
  <c r="BB275" i="22"/>
  <c r="BA275" i="22"/>
  <c r="AX275" i="22"/>
  <c r="W275" i="22"/>
  <c r="AY210" i="22"/>
  <c r="BZ210" i="22" s="1"/>
  <c r="P24" i="12"/>
  <c r="P32" i="12"/>
  <c r="P35" i="12"/>
  <c r="P23" i="12"/>
  <c r="P22" i="12"/>
  <c r="P26" i="12"/>
  <c r="P25" i="12"/>
  <c r="P27" i="12"/>
  <c r="BD49" i="12"/>
  <c r="BD48" i="12"/>
  <c r="V320" i="22"/>
  <c r="V332" i="22" s="1"/>
  <c r="U296" i="22"/>
  <c r="AB8" i="8"/>
  <c r="AA70" i="8"/>
  <c r="AA17" i="8"/>
  <c r="AA150" i="8" s="1"/>
  <c r="AA7" i="8"/>
  <c r="AA86" i="8" s="1"/>
  <c r="O31" i="12"/>
  <c r="P31" i="12" s="1"/>
  <c r="O23" i="12"/>
  <c r="O35" i="12"/>
  <c r="O24" i="12"/>
  <c r="O32" i="12"/>
  <c r="O30" i="12"/>
  <c r="P30" i="12" s="1"/>
  <c r="O28" i="12"/>
  <c r="P28" i="12" s="1"/>
  <c r="O22" i="12"/>
  <c r="O26" i="12"/>
  <c r="O29" i="12"/>
  <c r="O25" i="12"/>
  <c r="O27" i="12"/>
  <c r="CA310" i="22"/>
  <c r="Z119" i="16"/>
  <c r="CA273" i="22"/>
  <c r="AA189" i="12"/>
  <c r="BC48" i="12"/>
  <c r="S392" i="9"/>
  <c r="T392" i="9" s="1"/>
  <c r="AN392" i="9"/>
  <c r="AF392" i="9" s="1"/>
  <c r="AG392" i="9" s="1"/>
  <c r="AH392" i="9" s="1"/>
  <c r="AK392" i="9" s="1"/>
  <c r="V358" i="22"/>
  <c r="V370" i="22" s="1"/>
  <c r="S326" i="9"/>
  <c r="T326" i="9" s="1"/>
  <c r="AN326" i="9"/>
  <c r="AF326" i="9" s="1"/>
  <c r="AG326" i="9" s="1"/>
  <c r="AH326" i="9" s="1"/>
  <c r="AK326" i="9" s="1"/>
  <c r="AC22" i="32"/>
  <c r="R351" i="9" s="1"/>
  <c r="AX285" i="22"/>
  <c r="W285" i="22"/>
  <c r="BB285" i="22"/>
  <c r="AZ285" i="22"/>
  <c r="CA285" i="22" s="1"/>
  <c r="AY285" i="22"/>
  <c r="BZ285" i="22" s="1"/>
  <c r="BA285" i="22"/>
  <c r="H82" i="13"/>
  <c r="H65" i="13"/>
  <c r="AZ208" i="22"/>
  <c r="CA208" i="22" s="1"/>
  <c r="X286" i="22"/>
  <c r="Y286" i="22" s="1"/>
  <c r="BD286" i="22"/>
  <c r="Y80" i="12"/>
  <c r="Z80" i="12" s="1"/>
  <c r="AA80" i="12" s="1"/>
  <c r="O114" i="16"/>
  <c r="AC125" i="8"/>
  <c r="CB292" i="22"/>
  <c r="U274" i="12"/>
  <c r="BB322" i="22"/>
  <c r="AY322" i="22"/>
  <c r="AX322" i="22"/>
  <c r="BA322" i="22"/>
  <c r="W322" i="22"/>
  <c r="AZ322" i="22"/>
  <c r="CA322" i="22" s="1"/>
  <c r="AF34" i="8"/>
  <c r="AN44" i="8"/>
  <c r="CB329" i="22"/>
  <c r="X275" i="12"/>
  <c r="CB278" i="22"/>
  <c r="T272" i="12"/>
  <c r="U313" i="22"/>
  <c r="Y70" i="12"/>
  <c r="AB138" i="12"/>
  <c r="AE48" i="12"/>
  <c r="AD48" i="12"/>
  <c r="AN347" i="9"/>
  <c r="AF347" i="9" s="1"/>
  <c r="AG347" i="9" s="1"/>
  <c r="AH347" i="9" s="1"/>
  <c r="AK347" i="9" s="1"/>
  <c r="S347" i="9"/>
  <c r="T347" i="9" s="1"/>
  <c r="BD305" i="22"/>
  <c r="X305" i="22"/>
  <c r="Y305" i="22" s="1"/>
  <c r="AC48" i="8"/>
  <c r="AC53" i="8" s="1"/>
  <c r="AD48" i="8"/>
  <c r="AD53" i="8" s="1"/>
  <c r="AC197" i="12"/>
  <c r="AX334" i="22"/>
  <c r="W334" i="22"/>
  <c r="BB334" i="22"/>
  <c r="BA334" i="22"/>
  <c r="AZ334" i="22"/>
  <c r="AY334" i="22"/>
  <c r="AD18" i="32"/>
  <c r="R359" i="9" s="1"/>
  <c r="AM124" i="8"/>
  <c r="AO124" i="8" s="1"/>
  <c r="AA199" i="12"/>
  <c r="AB199" i="12" s="1"/>
  <c r="BC81" i="12"/>
  <c r="BC80" i="12"/>
  <c r="AN335" i="9"/>
  <c r="AF335" i="9" s="1"/>
  <c r="AG335" i="9" s="1"/>
  <c r="AH335" i="9" s="1"/>
  <c r="AK335" i="9" s="1"/>
  <c r="S335" i="9"/>
  <c r="T335" i="9" s="1"/>
  <c r="V323" i="22"/>
  <c r="U299" i="22"/>
  <c r="V331" i="22"/>
  <c r="V343" i="22" s="1"/>
  <c r="U307" i="22"/>
  <c r="AN128" i="8"/>
  <c r="Q112" i="16"/>
  <c r="AB197" i="12"/>
  <c r="CB310" i="22"/>
  <c r="W268" i="12"/>
  <c r="AE43" i="8"/>
  <c r="BB277" i="22"/>
  <c r="CC277" i="22" s="1"/>
  <c r="AY277" i="22"/>
  <c r="AX277" i="22"/>
  <c r="W277" i="22"/>
  <c r="BA277" i="22"/>
  <c r="AZ277" i="22"/>
  <c r="CA277" i="22" s="1"/>
  <c r="V318" i="22"/>
  <c r="U294" i="22"/>
  <c r="O74" i="16"/>
  <c r="CB270" i="22"/>
  <c r="T264" i="12"/>
  <c r="CB273" i="22"/>
  <c r="T267" i="12"/>
  <c r="AB181" i="12"/>
  <c r="AE180" i="12"/>
  <c r="AA195" i="12"/>
  <c r="AA163" i="8"/>
  <c r="AB163" i="8"/>
  <c r="AC163" i="8" s="1"/>
  <c r="AE34" i="8"/>
  <c r="P118" i="16"/>
  <c r="Q70" i="16"/>
  <c r="S64" i="16"/>
  <c r="AZ303" i="22"/>
  <c r="W303" i="22"/>
  <c r="AY303" i="22"/>
  <c r="BZ303" i="22" s="1"/>
  <c r="BA303" i="22"/>
  <c r="BB303" i="22"/>
  <c r="CC303" i="22" s="1"/>
  <c r="AX303" i="22"/>
  <c r="BD202" i="22"/>
  <c r="X202" i="22"/>
  <c r="Y202" i="22" s="1"/>
  <c r="AN312" i="9"/>
  <c r="AF312" i="9" s="1"/>
  <c r="AG312" i="9" s="1"/>
  <c r="AH312" i="9" s="1"/>
  <c r="AK312" i="9" s="1"/>
  <c r="S312" i="9"/>
  <c r="T312" i="9" s="1"/>
  <c r="N284" i="12"/>
  <c r="AC200" i="12"/>
  <c r="AA71" i="16"/>
  <c r="AN315" i="9"/>
  <c r="AF315" i="9" s="1"/>
  <c r="AG315" i="9" s="1"/>
  <c r="AH315" i="9" s="1"/>
  <c r="AK315" i="9" s="1"/>
  <c r="S315" i="9"/>
  <c r="T315" i="9" s="1"/>
  <c r="AC183" i="12"/>
  <c r="AL126" i="8"/>
  <c r="V327" i="22"/>
  <c r="AI42" i="8"/>
  <c r="X135" i="12"/>
  <c r="Z45" i="12"/>
  <c r="AA45" i="12"/>
  <c r="W290" i="22"/>
  <c r="BB290" i="22"/>
  <c r="BA290" i="22"/>
  <c r="AZ290" i="22"/>
  <c r="AY290" i="22"/>
  <c r="AX290" i="22"/>
  <c r="AC48" i="12"/>
  <c r="Y135" i="12"/>
  <c r="Y202" i="12"/>
  <c r="AI52" i="8"/>
  <c r="S380" i="9"/>
  <c r="T380" i="9" s="1"/>
  <c r="AN380" i="9"/>
  <c r="AF380" i="9" s="1"/>
  <c r="AG380" i="9" s="1"/>
  <c r="AH380" i="9" s="1"/>
  <c r="AK380" i="9" s="1"/>
  <c r="AD125" i="8"/>
  <c r="Y90" i="8"/>
  <c r="Y91" i="8" s="1"/>
  <c r="Y92" i="8" s="1"/>
  <c r="Y93" i="8" s="1"/>
  <c r="Y94" i="8" s="1"/>
  <c r="Y95" i="8" s="1"/>
  <c r="Y96" i="8" s="1"/>
  <c r="Y97" i="8" s="1"/>
  <c r="Y98" i="8" s="1"/>
  <c r="Y99" i="8" s="1"/>
  <c r="Y100" i="8" s="1"/>
  <c r="Y101" i="8" s="1"/>
  <c r="AD46" i="12"/>
  <c r="CB272" i="22"/>
  <c r="T266" i="12"/>
  <c r="AH123" i="8"/>
  <c r="AZ291" i="22"/>
  <c r="CA291" i="22" s="1"/>
  <c r="W291" i="22"/>
  <c r="BB291" i="22"/>
  <c r="CC291" i="22" s="1"/>
  <c r="AY291" i="22"/>
  <c r="BZ291" i="22" s="1"/>
  <c r="AX291" i="22"/>
  <c r="BA291" i="22"/>
  <c r="AF162" i="8"/>
  <c r="AG162" i="8" s="1"/>
  <c r="AF20" i="32"/>
  <c r="R385" i="9" s="1"/>
  <c r="S368" i="9"/>
  <c r="T368" i="9" s="1"/>
  <c r="AN368" i="9"/>
  <c r="AF368" i="9" s="1"/>
  <c r="AG368" i="9" s="1"/>
  <c r="AH368" i="9" s="1"/>
  <c r="AK368" i="9" s="1"/>
  <c r="Y74" i="12"/>
  <c r="Z74" i="12" s="1"/>
  <c r="AA74" i="12" s="1"/>
  <c r="V325" i="22"/>
  <c r="V337" i="22" s="1"/>
  <c r="U301" i="22"/>
  <c r="AG17" i="32"/>
  <c r="R394" i="9" s="1"/>
  <c r="AL29" i="8"/>
  <c r="BA203" i="22"/>
  <c r="AD24" i="32"/>
  <c r="R365" i="9" s="1"/>
  <c r="Q224" i="12"/>
  <c r="Q324" i="12" s="1"/>
  <c r="Q221" i="12"/>
  <c r="Q244" i="12" s="1"/>
  <c r="Q223" i="12"/>
  <c r="Q222" i="12"/>
  <c r="AC24" i="32"/>
  <c r="R353" i="9" s="1"/>
  <c r="AF36" i="8"/>
  <c r="Q213" i="12"/>
  <c r="Q108" i="12"/>
  <c r="BB208" i="22"/>
  <c r="CC208" i="22" s="1"/>
  <c r="BB209" i="22"/>
  <c r="CC209" i="22" s="1"/>
  <c r="AK16" i="32"/>
  <c r="R441" i="9" s="1"/>
  <c r="AP28" i="8"/>
  <c r="AO16" i="32" s="1"/>
  <c r="R489" i="9" s="1"/>
  <c r="AF158" i="8"/>
  <c r="CC288" i="22"/>
  <c r="V389" i="22"/>
  <c r="U365" i="22"/>
  <c r="V321" i="22"/>
  <c r="V333" i="22" s="1"/>
  <c r="BB316" i="22"/>
  <c r="CC316" i="22" s="1"/>
  <c r="BA316" i="22"/>
  <c r="AZ316" i="22"/>
  <c r="CA316" i="22" s="1"/>
  <c r="W316" i="22"/>
  <c r="AY316" i="22"/>
  <c r="AX316" i="22"/>
  <c r="BF70" i="12"/>
  <c r="AL133" i="8"/>
  <c r="AD194" i="12"/>
  <c r="BB295" i="22"/>
  <c r="BA295" i="22"/>
  <c r="AX295" i="22"/>
  <c r="AZ295" i="22"/>
  <c r="AY295" i="22"/>
  <c r="W295" i="22"/>
  <c r="BC279" i="22"/>
  <c r="BY279" i="22"/>
  <c r="AX203" i="22"/>
  <c r="CB279" i="22"/>
  <c r="T273" i="12"/>
  <c r="Z79" i="12"/>
  <c r="AA198" i="12"/>
  <c r="AE47" i="8"/>
  <c r="AK149" i="8"/>
  <c r="P317" i="12"/>
  <c r="P314" i="12"/>
  <c r="P316" i="12"/>
  <c r="P315" i="12"/>
  <c r="P312" i="12"/>
  <c r="AG127" i="8"/>
  <c r="AH131" i="8"/>
  <c r="P116" i="16"/>
  <c r="Y73" i="16"/>
  <c r="Z73" i="16" s="1"/>
  <c r="O113" i="16"/>
  <c r="Q65" i="16"/>
  <c r="AG188" i="12"/>
  <c r="BY310" i="22"/>
  <c r="BC310" i="22"/>
  <c r="AG132" i="8"/>
  <c r="AI132" i="8" s="1"/>
  <c r="Y75" i="12"/>
  <c r="AJ122" i="8"/>
  <c r="AK122" i="8" s="1"/>
  <c r="BZ310" i="22"/>
  <c r="CB288" i="22"/>
  <c r="U270" i="12"/>
  <c r="Q120" i="16"/>
  <c r="R72" i="16"/>
  <c r="S83" i="12"/>
  <c r="M122" i="16"/>
  <c r="M75" i="16"/>
  <c r="M123" i="16" s="1"/>
  <c r="W203" i="12"/>
  <c r="X203" i="12" s="1"/>
  <c r="AK8" i="28"/>
  <c r="Q13" i="12" s="1"/>
  <c r="Q34" i="12"/>
  <c r="Q6" i="12"/>
  <c r="Z23" i="8"/>
  <c r="CA288" i="22"/>
  <c r="V340" i="22"/>
  <c r="V352" i="22" s="1"/>
  <c r="W312" i="22"/>
  <c r="BA312" i="22"/>
  <c r="BB312" i="22"/>
  <c r="AZ312" i="22"/>
  <c r="AY312" i="22"/>
  <c r="AX312" i="22"/>
  <c r="Z189" i="12"/>
  <c r="AF30" i="8"/>
  <c r="AJ149" i="8"/>
  <c r="AH15" i="32"/>
  <c r="R404" i="9" s="1"/>
  <c r="AF178" i="12"/>
  <c r="V326" i="22"/>
  <c r="U302" i="22"/>
  <c r="AB201" i="12"/>
  <c r="AI179" i="12"/>
  <c r="AE14" i="32"/>
  <c r="AG26" i="8"/>
  <c r="AH26" i="8" s="1"/>
  <c r="T117" i="16"/>
  <c r="AH32" i="8"/>
  <c r="AJ32" i="8" s="1"/>
  <c r="AA204" i="12"/>
  <c r="AN349" i="9"/>
  <c r="AF349" i="9" s="1"/>
  <c r="AG349" i="9" s="1"/>
  <c r="AH349" i="9" s="1"/>
  <c r="AK349" i="9" s="1"/>
  <c r="S349" i="9"/>
  <c r="T349" i="9" s="1"/>
  <c r="AK126" i="8"/>
  <c r="R112" i="16"/>
  <c r="O59" i="16"/>
  <c r="P53" i="16"/>
  <c r="Q53" i="16" s="1"/>
  <c r="O117" i="16"/>
  <c r="T64" i="16"/>
  <c r="R14" i="12"/>
  <c r="R84" i="12"/>
  <c r="O216" i="12"/>
  <c r="Q119" i="16"/>
  <c r="R55" i="16"/>
  <c r="BB49" i="12"/>
  <c r="BB48" i="12"/>
  <c r="CC273" i="22"/>
  <c r="AB82" i="12"/>
  <c r="AA73" i="12"/>
  <c r="AA79" i="12"/>
  <c r="AA78" i="12"/>
  <c r="AA72" i="12"/>
  <c r="AN124" i="8"/>
  <c r="AY209" i="22"/>
  <c r="BZ209" i="22" s="1"/>
  <c r="AM44" i="8"/>
  <c r="AA187" i="12"/>
  <c r="AB187" i="12" s="1"/>
  <c r="AL16" i="32"/>
  <c r="R453" i="9" s="1"/>
  <c r="W341" i="22"/>
  <c r="BB341" i="22"/>
  <c r="CC341" i="22" s="1"/>
  <c r="BA341" i="22"/>
  <c r="AZ341" i="22"/>
  <c r="CA341" i="22" s="1"/>
  <c r="AY341" i="22"/>
  <c r="BZ341" i="22" s="1"/>
  <c r="AX341" i="22"/>
  <c r="BB297" i="22"/>
  <c r="BA297" i="22"/>
  <c r="AY297" i="22"/>
  <c r="AX297" i="22"/>
  <c r="AZ297" i="22"/>
  <c r="W297" i="22"/>
  <c r="V137" i="12"/>
  <c r="AA47" i="12"/>
  <c r="V49" i="12"/>
  <c r="V139" i="12" s="1"/>
  <c r="O75" i="16"/>
  <c r="O123" i="16" s="1"/>
  <c r="CC310" i="22"/>
  <c r="BF71" i="12"/>
  <c r="Y76" i="12"/>
  <c r="AD164" i="8"/>
  <c r="AF184" i="12"/>
  <c r="AK133" i="8"/>
  <c r="AB157" i="8"/>
  <c r="AE38" i="12"/>
  <c r="AA39" i="12"/>
  <c r="AO75" i="28"/>
  <c r="AN4" i="28"/>
  <c r="AN5" i="28" s="1"/>
  <c r="AN7" i="28" s="1"/>
  <c r="AC21" i="32"/>
  <c r="R350" i="9" s="1"/>
  <c r="AH50" i="8"/>
  <c r="R211" i="12"/>
  <c r="R225" i="12"/>
  <c r="R4" i="12"/>
  <c r="R105" i="12"/>
  <c r="AE186" i="12"/>
  <c r="AF186" i="12" s="1"/>
  <c r="AG155" i="8"/>
  <c r="CA279" i="22"/>
  <c r="AJ16" i="32"/>
  <c r="R429" i="9" s="1"/>
  <c r="AO28" i="8"/>
  <c r="AN16" i="32" s="1"/>
  <c r="R477" i="9" s="1"/>
  <c r="AQ45" i="28"/>
  <c r="AP47" i="28"/>
  <c r="P216" i="12"/>
  <c r="BC288" i="22"/>
  <c r="BY288" i="22"/>
  <c r="AF154" i="8"/>
  <c r="Z25" i="32"/>
  <c r="Z26" i="32" s="1"/>
  <c r="R318" i="9"/>
  <c r="AK27" i="8"/>
  <c r="V336" i="22"/>
  <c r="AB185" i="12"/>
  <c r="AI149" i="8"/>
  <c r="U337" i="22" l="1"/>
  <c r="S14" i="27"/>
  <c r="S30" i="27"/>
  <c r="O99" i="23" s="1"/>
  <c r="I41" i="16"/>
  <c r="AY25" i="12"/>
  <c r="BE73" i="12"/>
  <c r="W81" i="12"/>
  <c r="BF72" i="12" s="1"/>
  <c r="AG14" i="32"/>
  <c r="AI26" i="8"/>
  <c r="Q117" i="16"/>
  <c r="Q59" i="16"/>
  <c r="U333" i="22"/>
  <c r="T67" i="16"/>
  <c r="AD199" i="12"/>
  <c r="U370" i="22"/>
  <c r="AH47" i="8"/>
  <c r="AI47" i="8" s="1"/>
  <c r="Y132" i="12"/>
  <c r="Y49" i="12"/>
  <c r="Y139" i="12" s="1"/>
  <c r="U352" i="22"/>
  <c r="U343" i="22"/>
  <c r="S27" i="27"/>
  <c r="O96" i="23" s="1"/>
  <c r="S11" i="27"/>
  <c r="AY24" i="12"/>
  <c r="P318" i="12"/>
  <c r="AI162" i="8"/>
  <c r="AK162" i="8" s="1"/>
  <c r="AH162" i="8"/>
  <c r="Z121" i="16"/>
  <c r="AA73" i="16"/>
  <c r="AB73" i="16"/>
  <c r="AB121" i="16" s="1"/>
  <c r="AC73" i="16"/>
  <c r="AC121" i="16" s="1"/>
  <c r="U332" i="22"/>
  <c r="X205" i="12"/>
  <c r="AI20" i="32"/>
  <c r="R421" i="9" s="1"/>
  <c r="S13" i="27"/>
  <c r="S29" i="27"/>
  <c r="O98" i="23" s="1"/>
  <c r="P320" i="12"/>
  <c r="V354" i="22"/>
  <c r="U330" i="22"/>
  <c r="O321" i="12"/>
  <c r="CC295" i="22"/>
  <c r="Q116" i="16"/>
  <c r="R68" i="16"/>
  <c r="AH154" i="8"/>
  <c r="CB322" i="22"/>
  <c r="X268" i="12"/>
  <c r="T213" i="12"/>
  <c r="T108" i="12"/>
  <c r="AN339" i="9"/>
  <c r="AF339" i="9" s="1"/>
  <c r="AG339" i="9" s="1"/>
  <c r="AH339" i="9" s="1"/>
  <c r="AK339" i="9" s="1"/>
  <c r="S339" i="9"/>
  <c r="T339" i="9" s="1"/>
  <c r="AH178" i="12"/>
  <c r="AI178" i="12" s="1"/>
  <c r="Z75" i="12"/>
  <c r="T221" i="12"/>
  <c r="T223" i="12"/>
  <c r="T222" i="12"/>
  <c r="T224" i="12"/>
  <c r="T324" i="12" s="1"/>
  <c r="O247" i="12"/>
  <c r="S213" i="12"/>
  <c r="S108" i="12"/>
  <c r="AC157" i="8"/>
  <c r="R10" i="27"/>
  <c r="R26" i="27"/>
  <c r="O83" i="23" s="1"/>
  <c r="H37" i="16"/>
  <c r="I37" i="16" s="1"/>
  <c r="CA287" i="22"/>
  <c r="AD157" i="8"/>
  <c r="BC341" i="22"/>
  <c r="BY341" i="22"/>
  <c r="AL122" i="8"/>
  <c r="Q9" i="12"/>
  <c r="AC198" i="12"/>
  <c r="AE46" i="12"/>
  <c r="AF46" i="12" s="1"/>
  <c r="AC160" i="8"/>
  <c r="S112" i="16"/>
  <c r="U64" i="16"/>
  <c r="CB277" i="22"/>
  <c r="T271" i="12"/>
  <c r="AD138" i="12"/>
  <c r="CC285" i="22"/>
  <c r="R8" i="27"/>
  <c r="R24" i="27"/>
  <c r="O81" i="23" s="1"/>
  <c r="AX23" i="12"/>
  <c r="H35" i="16"/>
  <c r="S9" i="27"/>
  <c r="S25" i="27"/>
  <c r="O94" i="23" s="1"/>
  <c r="I36" i="16"/>
  <c r="AI154" i="8"/>
  <c r="AP35" i="28"/>
  <c r="AQ33" i="28"/>
  <c r="CC284" i="22"/>
  <c r="BY353" i="22"/>
  <c r="BC353" i="22"/>
  <c r="BA308" i="22"/>
  <c r="AZ308" i="22"/>
  <c r="CA308" i="22" s="1"/>
  <c r="W308" i="22"/>
  <c r="AY308" i="22"/>
  <c r="AX308" i="22"/>
  <c r="BB308" i="22"/>
  <c r="CC308" i="22" s="1"/>
  <c r="AA26" i="32"/>
  <c r="R41" i="13"/>
  <c r="R38" i="13"/>
  <c r="R40" i="13"/>
  <c r="R39" i="13"/>
  <c r="R37" i="13"/>
  <c r="R35" i="13"/>
  <c r="R36" i="13"/>
  <c r="R34" i="13"/>
  <c r="R31" i="13"/>
  <c r="R30" i="13"/>
  <c r="R32" i="13"/>
  <c r="R33" i="13"/>
  <c r="BF45" i="12"/>
  <c r="BF44" i="12"/>
  <c r="S221" i="12"/>
  <c r="S244" i="12" s="1"/>
  <c r="S223" i="12"/>
  <c r="S222" i="12"/>
  <c r="S224" i="12"/>
  <c r="S324" i="12" s="1"/>
  <c r="AE45" i="8"/>
  <c r="Z77" i="12"/>
  <c r="AA77" i="12" s="1"/>
  <c r="R119" i="16"/>
  <c r="R59" i="16"/>
  <c r="BA306" i="22"/>
  <c r="AX306" i="22"/>
  <c r="BB306" i="22"/>
  <c r="AZ306" i="22"/>
  <c r="AY306" i="22"/>
  <c r="W306" i="22"/>
  <c r="W103" i="12"/>
  <c r="AB189" i="12"/>
  <c r="AA81" i="8"/>
  <c r="AA80" i="8"/>
  <c r="AA76" i="8"/>
  <c r="AA83" i="8"/>
  <c r="AA78" i="8"/>
  <c r="AA84" i="8"/>
  <c r="AA77" i="8"/>
  <c r="AA74" i="8"/>
  <c r="AA85" i="8" s="1"/>
  <c r="AA82" i="8"/>
  <c r="AA79" i="8"/>
  <c r="AA75" i="8"/>
  <c r="R367" i="9"/>
  <c r="Z135" i="12"/>
  <c r="AA142" i="8"/>
  <c r="AA144" i="8"/>
  <c r="AA139" i="8"/>
  <c r="AA146" i="8"/>
  <c r="AA141" i="8"/>
  <c r="AA140" i="8"/>
  <c r="AA148" i="8"/>
  <c r="AA138" i="8"/>
  <c r="AA147" i="8"/>
  <c r="AA143" i="8"/>
  <c r="AA145" i="8"/>
  <c r="Z130" i="12"/>
  <c r="CC304" i="22"/>
  <c r="AD198" i="12"/>
  <c r="AO128" i="8"/>
  <c r="AP128" i="8" s="1"/>
  <c r="AQ128" i="8" s="1"/>
  <c r="T276" i="12"/>
  <c r="AB25" i="32"/>
  <c r="AB26" i="32" s="1"/>
  <c r="R342" i="9"/>
  <c r="AI184" i="12"/>
  <c r="AA23" i="8"/>
  <c r="S353" i="9"/>
  <c r="T353" i="9" s="1"/>
  <c r="AN353" i="9"/>
  <c r="AF353" i="9" s="1"/>
  <c r="AG353" i="9" s="1"/>
  <c r="AH353" i="9" s="1"/>
  <c r="AK353" i="9" s="1"/>
  <c r="AA202" i="12"/>
  <c r="Q118" i="16"/>
  <c r="R70" i="16"/>
  <c r="AE138" i="12"/>
  <c r="O33" i="12"/>
  <c r="S21" i="27"/>
  <c r="S5" i="27"/>
  <c r="I32" i="16"/>
  <c r="AY22" i="12"/>
  <c r="AY26" i="12" s="1"/>
  <c r="AN355" i="9"/>
  <c r="AF355" i="9" s="1"/>
  <c r="AG355" i="9" s="1"/>
  <c r="AH355" i="9" s="1"/>
  <c r="AK355" i="9" s="1"/>
  <c r="S355" i="9"/>
  <c r="T355" i="9" s="1"/>
  <c r="CB284" i="22"/>
  <c r="U266" i="12"/>
  <c r="T6" i="13"/>
  <c r="S42" i="13"/>
  <c r="AF38" i="12"/>
  <c r="BZ295" i="22"/>
  <c r="AA137" i="12"/>
  <c r="S441" i="9"/>
  <c r="T441" i="9" s="1"/>
  <c r="AN441" i="9"/>
  <c r="AF441" i="9" s="1"/>
  <c r="AG441" i="9" s="1"/>
  <c r="AH441" i="9" s="1"/>
  <c r="AK441" i="9" s="1"/>
  <c r="P122" i="16"/>
  <c r="AJ15" i="32"/>
  <c r="R428" i="9" s="1"/>
  <c r="AC45" i="12"/>
  <c r="AD45" i="12" s="1"/>
  <c r="AA62" i="8"/>
  <c r="AA69" i="8"/>
  <c r="AA64" i="8"/>
  <c r="AA59" i="8"/>
  <c r="AA66" i="8"/>
  <c r="AA61" i="8"/>
  <c r="AA65" i="8"/>
  <c r="AA58" i="8"/>
  <c r="AA68" i="8"/>
  <c r="AA60" i="8"/>
  <c r="AA67" i="8"/>
  <c r="AA63" i="8"/>
  <c r="AN361" i="9"/>
  <c r="AF361" i="9" s="1"/>
  <c r="AG361" i="9" s="1"/>
  <c r="AH361" i="9" s="1"/>
  <c r="AK361" i="9" s="1"/>
  <c r="S361" i="9"/>
  <c r="T361" i="9" s="1"/>
  <c r="T13" i="12"/>
  <c r="T83" i="12"/>
  <c r="CB295" i="22"/>
  <c r="V265" i="12"/>
  <c r="BC303" i="22"/>
  <c r="BY303" i="22"/>
  <c r="AE22" i="32"/>
  <c r="R375" i="9" s="1"/>
  <c r="R115" i="16"/>
  <c r="BD278" i="22"/>
  <c r="X278" i="22"/>
  <c r="Y278" i="22" s="1"/>
  <c r="BB299" i="22"/>
  <c r="CC299" i="22" s="1"/>
  <c r="W299" i="22"/>
  <c r="AZ299" i="22"/>
  <c r="CA299" i="22" s="1"/>
  <c r="BA299" i="22"/>
  <c r="AY299" i="22"/>
  <c r="BZ299" i="22" s="1"/>
  <c r="AX299" i="22"/>
  <c r="H83" i="13"/>
  <c r="H66" i="13"/>
  <c r="AN149" i="8"/>
  <c r="Q113" i="16"/>
  <c r="CC322" i="22"/>
  <c r="Q25" i="12"/>
  <c r="Q315" i="12" s="1"/>
  <c r="Q35" i="12"/>
  <c r="Q27" i="12"/>
  <c r="Q317" i="12" s="1"/>
  <c r="Q28" i="12"/>
  <c r="Q32" i="12"/>
  <c r="Q30" i="12"/>
  <c r="Q23" i="12"/>
  <c r="Q22" i="12"/>
  <c r="Q26" i="12"/>
  <c r="Q29" i="12"/>
  <c r="Q31" i="12"/>
  <c r="Q24" i="12"/>
  <c r="BC316" i="22"/>
  <c r="BY316" i="22"/>
  <c r="S404" i="9"/>
  <c r="T404" i="9" s="1"/>
  <c r="AN404" i="9"/>
  <c r="AF404" i="9" s="1"/>
  <c r="AG404" i="9" s="1"/>
  <c r="AH404" i="9" s="1"/>
  <c r="AK404" i="9" s="1"/>
  <c r="Y121" i="16"/>
  <c r="BZ316" i="22"/>
  <c r="AK32" i="8"/>
  <c r="S70" i="16"/>
  <c r="BY277" i="22"/>
  <c r="BC277" i="22"/>
  <c r="AF125" i="8"/>
  <c r="AG125" i="8" s="1"/>
  <c r="BY285" i="22"/>
  <c r="BC285" i="22"/>
  <c r="R28" i="27"/>
  <c r="O85" i="23" s="1"/>
  <c r="R12" i="27"/>
  <c r="H39" i="16"/>
  <c r="AI9" i="28"/>
  <c r="O156" i="12"/>
  <c r="O107" i="12"/>
  <c r="O66" i="12"/>
  <c r="P8" i="12"/>
  <c r="CC353" i="22"/>
  <c r="S306" i="9"/>
  <c r="T306" i="9" s="1"/>
  <c r="AN306" i="9"/>
  <c r="AF306" i="9" s="1"/>
  <c r="AG306" i="9" s="1"/>
  <c r="AH306" i="9" s="1"/>
  <c r="AK306" i="9" s="1"/>
  <c r="V69" i="16"/>
  <c r="W69" i="16" s="1"/>
  <c r="P114" i="16"/>
  <c r="P124" i="16" s="1"/>
  <c r="Q66" i="16"/>
  <c r="R66" i="16" s="1"/>
  <c r="P75" i="16"/>
  <c r="P123" i="16" s="1"/>
  <c r="CA295" i="22"/>
  <c r="CA275" i="22"/>
  <c r="P321" i="12"/>
  <c r="O122" i="16"/>
  <c r="O124" i="16" s="1"/>
  <c r="Q74" i="16"/>
  <c r="AF194" i="12"/>
  <c r="AG194" i="12" s="1"/>
  <c r="AN8" i="28"/>
  <c r="T34" i="12"/>
  <c r="T6" i="12"/>
  <c r="AN484" i="9"/>
  <c r="AF484" i="9" s="1"/>
  <c r="AG484" i="9" s="1"/>
  <c r="AH484" i="9" s="1"/>
  <c r="AK484" i="9" s="1"/>
  <c r="S484" i="9"/>
  <c r="T484" i="9" s="1"/>
  <c r="AO126" i="8"/>
  <c r="AP126" i="8" s="1"/>
  <c r="AB40" i="12"/>
  <c r="CA284" i="22"/>
  <c r="AR45" i="28"/>
  <c r="AQ47" i="28"/>
  <c r="AH184" i="12"/>
  <c r="AN126" i="8"/>
  <c r="AN477" i="9"/>
  <c r="AF477" i="9" s="1"/>
  <c r="AG477" i="9" s="1"/>
  <c r="AH477" i="9" s="1"/>
  <c r="AK477" i="9" s="1"/>
  <c r="S477" i="9"/>
  <c r="T477" i="9" s="1"/>
  <c r="CB341" i="22"/>
  <c r="AL275" i="12"/>
  <c r="AL291" i="12" s="1"/>
  <c r="AM275" i="12"/>
  <c r="AM291" i="12" s="1"/>
  <c r="AK275" i="12"/>
  <c r="AK291" i="12" s="1"/>
  <c r="AJ275" i="12"/>
  <c r="AJ291" i="12" s="1"/>
  <c r="AI275" i="12"/>
  <c r="AI291" i="12" s="1"/>
  <c r="AH275" i="12"/>
  <c r="AH291" i="12" s="1"/>
  <c r="AG275" i="12"/>
  <c r="AG291" i="12" s="1"/>
  <c r="AF275" i="12"/>
  <c r="AF291" i="12" s="1"/>
  <c r="AE275" i="12"/>
  <c r="AE291" i="12" s="1"/>
  <c r="AD275" i="12"/>
  <c r="AD291" i="12" s="1"/>
  <c r="AC275" i="12"/>
  <c r="AC291" i="12" s="1"/>
  <c r="AB275" i="12"/>
  <c r="AB291" i="12" s="1"/>
  <c r="AA275" i="12"/>
  <c r="AA291" i="12" s="1"/>
  <c r="Z275" i="12"/>
  <c r="Z291" i="12" s="1"/>
  <c r="Y275" i="12"/>
  <c r="AC82" i="12"/>
  <c r="AB78" i="12"/>
  <c r="AB80" i="12"/>
  <c r="AB70" i="12"/>
  <c r="AB73" i="12"/>
  <c r="AB79" i="12"/>
  <c r="AB72" i="12"/>
  <c r="AB74" i="12"/>
  <c r="AB76" i="12"/>
  <c r="AJ51" i="8"/>
  <c r="Y203" i="12"/>
  <c r="Z203" i="12" s="1"/>
  <c r="W205" i="12"/>
  <c r="Q308" i="12"/>
  <c r="Q250" i="12"/>
  <c r="Q253" i="12" s="1"/>
  <c r="S385" i="9"/>
  <c r="T385" i="9" s="1"/>
  <c r="AN385" i="9"/>
  <c r="AF385" i="9" s="1"/>
  <c r="AG385" i="9" s="1"/>
  <c r="AH385" i="9" s="1"/>
  <c r="AK385" i="9" s="1"/>
  <c r="AA119" i="16"/>
  <c r="AB71" i="16"/>
  <c r="BZ277" i="22"/>
  <c r="AC199" i="12"/>
  <c r="AH34" i="8"/>
  <c r="R25" i="27"/>
  <c r="O82" i="23" s="1"/>
  <c r="R9" i="27"/>
  <c r="H36" i="16"/>
  <c r="S6" i="27"/>
  <c r="S22" i="27"/>
  <c r="O91" i="23" s="1"/>
  <c r="O7" i="12"/>
  <c r="O12" i="12"/>
  <c r="AJ165" i="8"/>
  <c r="P7" i="12"/>
  <c r="P12" i="12"/>
  <c r="BB309" i="22"/>
  <c r="AZ309" i="22"/>
  <c r="CA309" i="22" s="1"/>
  <c r="W309" i="22"/>
  <c r="AY309" i="22"/>
  <c r="BA309" i="22"/>
  <c r="AX309" i="22"/>
  <c r="AJ123" i="8"/>
  <c r="CA300" i="22"/>
  <c r="AF180" i="12"/>
  <c r="BB311" i="22"/>
  <c r="CC311" i="22" s="1"/>
  <c r="BA311" i="22"/>
  <c r="W311" i="22"/>
  <c r="AZ311" i="22"/>
  <c r="CA311" i="22" s="1"/>
  <c r="AY311" i="22"/>
  <c r="BZ311" i="22" s="1"/>
  <c r="AX311" i="22"/>
  <c r="AM133" i="8"/>
  <c r="BY334" i="22"/>
  <c r="BC334" i="22"/>
  <c r="AK130" i="8"/>
  <c r="U336" i="22"/>
  <c r="V364" i="22"/>
  <c r="U340" i="22"/>
  <c r="AY211" i="22"/>
  <c r="BZ211" i="22" s="1"/>
  <c r="BY295" i="22"/>
  <c r="BC295" i="22"/>
  <c r="AP75" i="28"/>
  <c r="AO4" i="28"/>
  <c r="AO5" i="28" s="1"/>
  <c r="AO7" i="28" s="1"/>
  <c r="BB210" i="22"/>
  <c r="CC210" i="22" s="1"/>
  <c r="V355" i="22"/>
  <c r="U331" i="22"/>
  <c r="CC275" i="22"/>
  <c r="BC287" i="22"/>
  <c r="BY287" i="22"/>
  <c r="AH182" i="12"/>
  <c r="V347" i="22"/>
  <c r="U323" i="22"/>
  <c r="BY284" i="22"/>
  <c r="BC284" i="22"/>
  <c r="CB287" i="22"/>
  <c r="U269" i="12"/>
  <c r="AB47" i="12"/>
  <c r="S24" i="27"/>
  <c r="O93" i="23" s="1"/>
  <c r="S8" i="27"/>
  <c r="AY23" i="12"/>
  <c r="BB328" i="22"/>
  <c r="BA328" i="22"/>
  <c r="W328" i="22"/>
  <c r="AZ328" i="22"/>
  <c r="CA328" i="22" s="1"/>
  <c r="AY328" i="22"/>
  <c r="BZ328" i="22" s="1"/>
  <c r="AX328" i="22"/>
  <c r="AP124" i="8"/>
  <c r="S351" i="9"/>
  <c r="T351" i="9" s="1"/>
  <c r="AN351" i="9"/>
  <c r="AF351" i="9" s="1"/>
  <c r="AG351" i="9" s="1"/>
  <c r="AH351" i="9" s="1"/>
  <c r="AK351" i="9" s="1"/>
  <c r="R21" i="27"/>
  <c r="R5" i="27"/>
  <c r="H32" i="16"/>
  <c r="AX22" i="12"/>
  <c r="S67" i="16"/>
  <c r="X329" i="22"/>
  <c r="Y329" i="22" s="1"/>
  <c r="BD329" i="22"/>
  <c r="CA353" i="22"/>
  <c r="Z137" i="12"/>
  <c r="BB346" i="22"/>
  <c r="CC346" i="22" s="1"/>
  <c r="BA346" i="22"/>
  <c r="CB346" i="22" s="1"/>
  <c r="AZ346" i="22"/>
  <c r="CA346" i="22" s="1"/>
  <c r="W346" i="22"/>
  <c r="AX346" i="22"/>
  <c r="AY346" i="22"/>
  <c r="BZ346" i="22" s="1"/>
  <c r="AI15" i="32"/>
  <c r="R416" i="9" s="1"/>
  <c r="AA43" i="12"/>
  <c r="CB300" i="22"/>
  <c r="V270" i="12"/>
  <c r="V335" i="22"/>
  <c r="AI17" i="32"/>
  <c r="R418" i="9" s="1"/>
  <c r="CB312" i="22"/>
  <c r="W270" i="12"/>
  <c r="AN489" i="9"/>
  <c r="AF489" i="9" s="1"/>
  <c r="AG489" i="9" s="1"/>
  <c r="AH489" i="9" s="1"/>
  <c r="AK489" i="9" s="1"/>
  <c r="S489" i="9"/>
  <c r="T489" i="9" s="1"/>
  <c r="AH20" i="32"/>
  <c r="R409" i="9" s="1"/>
  <c r="T112" i="16"/>
  <c r="CB303" i="22"/>
  <c r="V273" i="12"/>
  <c r="X310" i="22"/>
  <c r="Y310" i="22" s="1"/>
  <c r="BD310" i="22"/>
  <c r="AA129" i="12"/>
  <c r="Q216" i="12"/>
  <c r="AF49" i="8"/>
  <c r="V342" i="22"/>
  <c r="U318" i="22"/>
  <c r="AN472" i="9"/>
  <c r="AF472" i="9" s="1"/>
  <c r="AG472" i="9" s="1"/>
  <c r="AH472" i="9" s="1"/>
  <c r="AK472" i="9" s="1"/>
  <c r="S472" i="9"/>
  <c r="T472" i="9" s="1"/>
  <c r="S429" i="9"/>
  <c r="T429" i="9" s="1"/>
  <c r="AN429" i="9"/>
  <c r="AF429" i="9" s="1"/>
  <c r="AG429" i="9" s="1"/>
  <c r="AH429" i="9" s="1"/>
  <c r="AK429" i="9" s="1"/>
  <c r="Q247" i="12"/>
  <c r="AJ162" i="8"/>
  <c r="AJ52" i="8"/>
  <c r="AE200" i="12"/>
  <c r="AE18" i="32"/>
  <c r="R371" i="9" s="1"/>
  <c r="AG30" i="8"/>
  <c r="BY203" i="22"/>
  <c r="BC203" i="22"/>
  <c r="CB316" i="22"/>
  <c r="W274" i="12"/>
  <c r="Q321" i="12"/>
  <c r="Q314" i="12"/>
  <c r="Q318" i="12"/>
  <c r="Q322" i="12"/>
  <c r="Q316" i="12"/>
  <c r="Q312" i="12"/>
  <c r="Q313" i="12"/>
  <c r="Q320" i="12"/>
  <c r="CB291" i="22"/>
  <c r="U273" i="12"/>
  <c r="AC138" i="12"/>
  <c r="AF48" i="12"/>
  <c r="AD22" i="32"/>
  <c r="R363" i="9" s="1"/>
  <c r="AL159" i="8"/>
  <c r="R27" i="27"/>
  <c r="O84" i="23" s="1"/>
  <c r="R11" i="27"/>
  <c r="H38" i="16"/>
  <c r="I38" i="16" s="1"/>
  <c r="AX24" i="12"/>
  <c r="AE21" i="32"/>
  <c r="R374" i="9" s="1"/>
  <c r="S373" i="9"/>
  <c r="T373" i="9" s="1"/>
  <c r="AN373" i="9"/>
  <c r="AF373" i="9" s="1"/>
  <c r="AG373" i="9" s="1"/>
  <c r="AH373" i="9" s="1"/>
  <c r="AK373" i="9" s="1"/>
  <c r="CB353" i="22"/>
  <c r="AN362" i="9"/>
  <c r="AF362" i="9" s="1"/>
  <c r="AG362" i="9" s="1"/>
  <c r="AH362" i="9" s="1"/>
  <c r="AK362" i="9" s="1"/>
  <c r="S362" i="9"/>
  <c r="T362" i="9" s="1"/>
  <c r="BZ289" i="22"/>
  <c r="AP29" i="28"/>
  <c r="AQ27" i="28"/>
  <c r="U211" i="12"/>
  <c r="U225" i="12"/>
  <c r="U4" i="12"/>
  <c r="U105" i="12"/>
  <c r="CC300" i="22"/>
  <c r="R65" i="16"/>
  <c r="AI131" i="8"/>
  <c r="AK131" i="8" s="1"/>
  <c r="AM29" i="8"/>
  <c r="AN29" i="8" s="1"/>
  <c r="AG158" i="8"/>
  <c r="Y130" i="12"/>
  <c r="AD40" i="12"/>
  <c r="AA40" i="12"/>
  <c r="AC181" i="12"/>
  <c r="AC8" i="8"/>
  <c r="AB70" i="8"/>
  <c r="AB17" i="8"/>
  <c r="AB150" i="8" s="1"/>
  <c r="AB7" i="8"/>
  <c r="AB86" i="8" s="1"/>
  <c r="AC19" i="32"/>
  <c r="AD37" i="8"/>
  <c r="AC25" i="32" s="1"/>
  <c r="R354" i="9" s="1"/>
  <c r="AC40" i="12"/>
  <c r="AE40" i="12" s="1"/>
  <c r="AE48" i="8"/>
  <c r="AG48" i="8" s="1"/>
  <c r="AD136" i="12"/>
  <c r="BA302" i="22"/>
  <c r="AZ302" i="22"/>
  <c r="W302" i="22"/>
  <c r="AX302" i="22"/>
  <c r="BB302" i="22"/>
  <c r="CC302" i="22" s="1"/>
  <c r="AY302" i="22"/>
  <c r="BZ302" i="22" s="1"/>
  <c r="V344" i="22"/>
  <c r="U320" i="22"/>
  <c r="U326" i="22"/>
  <c r="AE31" i="8"/>
  <c r="AF31" i="8" s="1"/>
  <c r="AA25" i="32"/>
  <c r="R330" i="9"/>
  <c r="X292" i="22"/>
  <c r="Y292" i="22" s="1"/>
  <c r="BD292" i="22"/>
  <c r="CB297" i="22"/>
  <c r="V267" i="12"/>
  <c r="AI188" i="12"/>
  <c r="S10" i="27"/>
  <c r="S26" i="27"/>
  <c r="O95" i="23" s="1"/>
  <c r="AP35" i="8"/>
  <c r="AO23" i="32" s="1"/>
  <c r="R496" i="9" s="1"/>
  <c r="AE183" i="12"/>
  <c r="BB319" i="22"/>
  <c r="BA319" i="22"/>
  <c r="AY319" i="22"/>
  <c r="W319" i="22"/>
  <c r="AZ319" i="22"/>
  <c r="CA319" i="22" s="1"/>
  <c r="AX319" i="22"/>
  <c r="AA70" i="12"/>
  <c r="AG20" i="32"/>
  <c r="R397" i="9" s="1"/>
  <c r="AI51" i="8"/>
  <c r="BY300" i="22"/>
  <c r="BC300" i="22"/>
  <c r="BB314" i="22"/>
  <c r="BA314" i="22"/>
  <c r="AY314" i="22"/>
  <c r="AX314" i="22"/>
  <c r="W314" i="22"/>
  <c r="AZ314" i="22"/>
  <c r="CA314" i="22" s="1"/>
  <c r="Z22" i="8"/>
  <c r="AB204" i="12"/>
  <c r="AN406" i="9"/>
  <c r="AF406" i="9" s="1"/>
  <c r="AG406" i="9" s="1"/>
  <c r="AH406" i="9" s="1"/>
  <c r="AK406" i="9" s="1"/>
  <c r="S406" i="9"/>
  <c r="T406" i="9" s="1"/>
  <c r="V425" i="22"/>
  <c r="U401" i="22"/>
  <c r="AL130" i="8"/>
  <c r="AI50" i="8"/>
  <c r="AA135" i="12"/>
  <c r="P304" i="12"/>
  <c r="P301" i="12"/>
  <c r="P305" i="12"/>
  <c r="P297" i="12"/>
  <c r="P302" i="12"/>
  <c r="P298" i="12"/>
  <c r="P306" i="12"/>
  <c r="P299" i="12"/>
  <c r="P303" i="12"/>
  <c r="P307" i="12"/>
  <c r="P296" i="12"/>
  <c r="P300" i="12"/>
  <c r="AD201" i="12"/>
  <c r="AP41" i="28"/>
  <c r="AP6" i="28" s="1"/>
  <c r="AQ39" i="28"/>
  <c r="CA297" i="22"/>
  <c r="AJ132" i="8"/>
  <c r="AK132" i="8" s="1"/>
  <c r="S336" i="9"/>
  <c r="T336" i="9" s="1"/>
  <c r="AN336" i="9"/>
  <c r="AF336" i="9" s="1"/>
  <c r="AG336" i="9" s="1"/>
  <c r="AH336" i="9" s="1"/>
  <c r="AK336" i="9" s="1"/>
  <c r="BZ297" i="22"/>
  <c r="CB285" i="22"/>
  <c r="U267" i="12"/>
  <c r="X288" i="22"/>
  <c r="Y288" i="22" s="1"/>
  <c r="BD288" i="22"/>
  <c r="CA303" i="22"/>
  <c r="CC297" i="22"/>
  <c r="AE24" i="32"/>
  <c r="R377" i="9" s="1"/>
  <c r="AG36" i="8"/>
  <c r="AM149" i="8"/>
  <c r="BY290" i="22"/>
  <c r="BC290" i="22"/>
  <c r="S359" i="9"/>
  <c r="T359" i="9" s="1"/>
  <c r="AN359" i="9"/>
  <c r="AF359" i="9" s="1"/>
  <c r="AG359" i="9" s="1"/>
  <c r="AH359" i="9" s="1"/>
  <c r="AK359" i="9" s="1"/>
  <c r="R13" i="27"/>
  <c r="R29" i="27"/>
  <c r="O86" i="23" s="1"/>
  <c r="H40" i="16"/>
  <c r="I40" i="16" s="1"/>
  <c r="S31" i="27"/>
  <c r="O100" i="23" s="1"/>
  <c r="S15" i="27"/>
  <c r="AK50" i="8"/>
  <c r="AG131" i="12"/>
  <c r="X132" i="12"/>
  <c r="AA42" i="12"/>
  <c r="AB42" i="12" s="1"/>
  <c r="AG186" i="12"/>
  <c r="AH186" i="12" s="1"/>
  <c r="S453" i="9"/>
  <c r="T453" i="9" s="1"/>
  <c r="AN453" i="9"/>
  <c r="AF453" i="9" s="1"/>
  <c r="AG453" i="9" s="1"/>
  <c r="AH453" i="9" s="1"/>
  <c r="AK453" i="9" s="1"/>
  <c r="BY312" i="22"/>
  <c r="BC312" i="22"/>
  <c r="S14" i="12"/>
  <c r="S84" i="12"/>
  <c r="V345" i="22"/>
  <c r="V357" i="22" s="1"/>
  <c r="U321" i="22"/>
  <c r="AN365" i="9"/>
  <c r="AF365" i="9" s="1"/>
  <c r="AG365" i="9" s="1"/>
  <c r="AH365" i="9" s="1"/>
  <c r="AK365" i="9" s="1"/>
  <c r="S365" i="9"/>
  <c r="T365" i="9" s="1"/>
  <c r="BZ290" i="22"/>
  <c r="BZ334" i="22"/>
  <c r="AZ313" i="22"/>
  <c r="CA313" i="22" s="1"/>
  <c r="W313" i="22"/>
  <c r="BB313" i="22"/>
  <c r="AY313" i="22"/>
  <c r="BZ313" i="22" s="1"/>
  <c r="AX313" i="22"/>
  <c r="BA313" i="22"/>
  <c r="R31" i="27"/>
  <c r="O88" i="23" s="1"/>
  <c r="R15" i="27"/>
  <c r="H42" i="16"/>
  <c r="I42" i="16" s="1"/>
  <c r="S7" i="27"/>
  <c r="S23" i="27"/>
  <c r="O92" i="23" s="1"/>
  <c r="I34" i="16"/>
  <c r="AH41" i="12"/>
  <c r="O320" i="12"/>
  <c r="X283" i="22"/>
  <c r="Y283" i="22" s="1"/>
  <c r="BD283" i="22"/>
  <c r="O304" i="12"/>
  <c r="O305" i="12"/>
  <c r="O298" i="12"/>
  <c r="O301" i="12"/>
  <c r="O297" i="12"/>
  <c r="O302" i="12"/>
  <c r="O306" i="12"/>
  <c r="O299" i="12"/>
  <c r="O303" i="12"/>
  <c r="O296" i="12"/>
  <c r="O300" i="12"/>
  <c r="BC289" i="22"/>
  <c r="BY289" i="22"/>
  <c r="AQ23" i="28"/>
  <c r="AR21" i="28"/>
  <c r="BF42" i="12"/>
  <c r="AJ17" i="32"/>
  <c r="R430" i="9" s="1"/>
  <c r="BB324" i="22"/>
  <c r="CC324" i="22" s="1"/>
  <c r="BA324" i="22"/>
  <c r="W324" i="22"/>
  <c r="AZ324" i="22"/>
  <c r="CA324" i="22" s="1"/>
  <c r="AY324" i="22"/>
  <c r="BZ324" i="22" s="1"/>
  <c r="AX324" i="22"/>
  <c r="BZ282" i="22"/>
  <c r="BZ300" i="22"/>
  <c r="V338" i="22"/>
  <c r="AF164" i="8"/>
  <c r="AL27" i="8"/>
  <c r="AG154" i="8"/>
  <c r="AQ124" i="8"/>
  <c r="BE40" i="12"/>
  <c r="U117" i="16"/>
  <c r="AF48" i="8"/>
  <c r="Z90" i="8"/>
  <c r="Z91" i="8" s="1"/>
  <c r="Z92" i="8" s="1"/>
  <c r="Z93" i="8" s="1"/>
  <c r="Z94" i="8" s="1"/>
  <c r="Z95" i="8" s="1"/>
  <c r="Z96" i="8" s="1"/>
  <c r="Z97" i="8" s="1"/>
  <c r="Z98" i="8" s="1"/>
  <c r="Z99" i="8" s="1"/>
  <c r="Z100" i="8" s="1"/>
  <c r="Z101" i="8" s="1"/>
  <c r="AA90" i="8" s="1"/>
  <c r="AA91" i="8" s="1"/>
  <c r="AA92" i="8" s="1"/>
  <c r="AA93" i="8" s="1"/>
  <c r="X71" i="12"/>
  <c r="Y71" i="12" s="1"/>
  <c r="BD73" i="12"/>
  <c r="V81" i="12"/>
  <c r="BE72" i="12" s="1"/>
  <c r="R213" i="12"/>
  <c r="R108" i="12"/>
  <c r="AC187" i="12"/>
  <c r="BZ312" i="22"/>
  <c r="P322" i="12"/>
  <c r="BB365" i="22"/>
  <c r="CC365" i="22" s="1"/>
  <c r="BA365" i="22"/>
  <c r="W365" i="22"/>
  <c r="AY365" i="22"/>
  <c r="BZ365" i="22" s="1"/>
  <c r="AZ365" i="22"/>
  <c r="CA365" i="22" s="1"/>
  <c r="AX365" i="22"/>
  <c r="CB203" i="22"/>
  <c r="N269" i="12"/>
  <c r="CA290" i="22"/>
  <c r="AD163" i="8"/>
  <c r="CA334" i="22"/>
  <c r="AJ131" i="8"/>
  <c r="AE156" i="8"/>
  <c r="R23" i="27"/>
  <c r="O80" i="23" s="1"/>
  <c r="R7" i="27"/>
  <c r="H34" i="16"/>
  <c r="P33" i="12"/>
  <c r="O315" i="12"/>
  <c r="AH134" i="12"/>
  <c r="CA289" i="22"/>
  <c r="BD317" i="22"/>
  <c r="X317" i="22"/>
  <c r="Y317" i="22" s="1"/>
  <c r="V348" i="22"/>
  <c r="CA282" i="22"/>
  <c r="AH155" i="8"/>
  <c r="AF43" i="8"/>
  <c r="AH30" i="8"/>
  <c r="AK17" i="32"/>
  <c r="R442" i="9" s="1"/>
  <c r="AZ209" i="22"/>
  <c r="CA209" i="22" s="1"/>
  <c r="AZ210" i="22" s="1"/>
  <c r="CA210" i="22" s="1"/>
  <c r="AB45" i="12"/>
  <c r="AX307" i="22"/>
  <c r="W307" i="22"/>
  <c r="BA307" i="22"/>
  <c r="BB307" i="22"/>
  <c r="CC307" i="22" s="1"/>
  <c r="AZ307" i="22"/>
  <c r="CA307" i="22" s="1"/>
  <c r="AY307" i="22"/>
  <c r="AZ315" i="22"/>
  <c r="W315" i="22"/>
  <c r="AY315" i="22"/>
  <c r="BZ315" i="22" s="1"/>
  <c r="AX315" i="22"/>
  <c r="BB315" i="22"/>
  <c r="CC315" i="22" s="1"/>
  <c r="BA315" i="22"/>
  <c r="BC297" i="22"/>
  <c r="BY297" i="22"/>
  <c r="BB301" i="22"/>
  <c r="BA301" i="22"/>
  <c r="AZ301" i="22"/>
  <c r="W301" i="22"/>
  <c r="AX301" i="22"/>
  <c r="AY301" i="22"/>
  <c r="BB294" i="22"/>
  <c r="AY294" i="22"/>
  <c r="BA294" i="22"/>
  <c r="AZ294" i="22"/>
  <c r="CA294" i="22" s="1"/>
  <c r="AX294" i="22"/>
  <c r="W294" i="22"/>
  <c r="V103" i="12"/>
  <c r="AH129" i="8"/>
  <c r="U67" i="16"/>
  <c r="AJ42" i="8"/>
  <c r="AB39" i="12"/>
  <c r="AM8" i="28"/>
  <c r="S13" i="12" s="1"/>
  <c r="S34" i="12"/>
  <c r="S6" i="12"/>
  <c r="AQ28" i="8"/>
  <c r="AP16" i="32" s="1"/>
  <c r="R501" i="9" s="1"/>
  <c r="AL8" i="28"/>
  <c r="R13" i="12" s="1"/>
  <c r="R34" i="12"/>
  <c r="R6" i="12"/>
  <c r="Z42" i="12"/>
  <c r="Z49" i="12" s="1"/>
  <c r="Z139" i="12" s="1"/>
  <c r="CA312" i="22"/>
  <c r="R120" i="16"/>
  <c r="S72" i="16"/>
  <c r="T72" i="16"/>
  <c r="X279" i="22"/>
  <c r="Y279" i="22" s="1"/>
  <c r="BD279" i="22"/>
  <c r="V413" i="22"/>
  <c r="U389" i="22"/>
  <c r="CB290" i="22"/>
  <c r="U272" i="12"/>
  <c r="CB334" i="22"/>
  <c r="AC268" i="12"/>
  <c r="AC284" i="12" s="1"/>
  <c r="AB268" i="12"/>
  <c r="AB284" i="12" s="1"/>
  <c r="AA268" i="12"/>
  <c r="AA284" i="12" s="1"/>
  <c r="Z268" i="12"/>
  <c r="Z284" i="12" s="1"/>
  <c r="Y268" i="12"/>
  <c r="AM268" i="12"/>
  <c r="AM284" i="12" s="1"/>
  <c r="AF268" i="12"/>
  <c r="AF284" i="12" s="1"/>
  <c r="AL268" i="12"/>
  <c r="AL284" i="12" s="1"/>
  <c r="AK268" i="12"/>
  <c r="AK284" i="12" s="1"/>
  <c r="AJ268" i="12"/>
  <c r="AJ284" i="12" s="1"/>
  <c r="AI268" i="12"/>
  <c r="AI284" i="12" s="1"/>
  <c r="AH268" i="12"/>
  <c r="AH284" i="12" s="1"/>
  <c r="AG268" i="12"/>
  <c r="AG284" i="12" s="1"/>
  <c r="AE268" i="12"/>
  <c r="AE284" i="12" s="1"/>
  <c r="AD268" i="12"/>
  <c r="AD284" i="12" s="1"/>
  <c r="V382" i="22"/>
  <c r="V394" i="22" s="1"/>
  <c r="U358" i="22"/>
  <c r="AG33" i="8"/>
  <c r="AJ179" i="12"/>
  <c r="O316" i="12"/>
  <c r="AI44" i="12"/>
  <c r="AS17" i="28"/>
  <c r="AT15" i="28"/>
  <c r="CB289" i="22"/>
  <c r="U271" i="12"/>
  <c r="BC304" i="22"/>
  <c r="BY304" i="22"/>
  <c r="R26" i="13"/>
  <c r="S4" i="13"/>
  <c r="CB282" i="22"/>
  <c r="U264" i="12"/>
  <c r="R14" i="27"/>
  <c r="R30" i="27"/>
  <c r="O87" i="23" s="1"/>
  <c r="H41" i="16"/>
  <c r="AX25" i="12"/>
  <c r="BD298" i="22"/>
  <c r="X298" i="22"/>
  <c r="Y298" i="22" s="1"/>
  <c r="CB304" i="22"/>
  <c r="V274" i="12"/>
  <c r="S350" i="9"/>
  <c r="T350" i="9" s="1"/>
  <c r="AN350" i="9"/>
  <c r="AF350" i="9" s="1"/>
  <c r="AG350" i="9" s="1"/>
  <c r="AH350" i="9" s="1"/>
  <c r="AK350" i="9" s="1"/>
  <c r="S394" i="9"/>
  <c r="T394" i="9" s="1"/>
  <c r="AN394" i="9"/>
  <c r="AF394" i="9" s="1"/>
  <c r="AG394" i="9" s="1"/>
  <c r="AH394" i="9" s="1"/>
  <c r="AK394" i="9" s="1"/>
  <c r="BY275" i="22"/>
  <c r="Z133" i="12"/>
  <c r="AN318" i="9"/>
  <c r="AF318" i="9" s="1"/>
  <c r="AG318" i="9" s="1"/>
  <c r="AH318" i="9" s="1"/>
  <c r="AK318" i="9" s="1"/>
  <c r="S318" i="9"/>
  <c r="T318" i="9" s="1"/>
  <c r="CB275" i="22"/>
  <c r="T269" i="12"/>
  <c r="AQ3" i="28"/>
  <c r="BD81" i="12"/>
  <c r="BD80" i="12"/>
  <c r="BA296" i="22"/>
  <c r="AZ296" i="22"/>
  <c r="W296" i="22"/>
  <c r="BB296" i="22"/>
  <c r="CC296" i="22" s="1"/>
  <c r="AY296" i="22"/>
  <c r="BZ296" i="22" s="1"/>
  <c r="AX296" i="22"/>
  <c r="AC185" i="12"/>
  <c r="AD185" i="12" s="1"/>
  <c r="AG34" i="8"/>
  <c r="AJ50" i="8"/>
  <c r="V363" i="22"/>
  <c r="U339" i="22"/>
  <c r="P59" i="16"/>
  <c r="P117" i="16"/>
  <c r="R53" i="16"/>
  <c r="R117" i="16" s="1"/>
  <c r="V349" i="22"/>
  <c r="V361" i="22" s="1"/>
  <c r="U325" i="22"/>
  <c r="V351" i="22"/>
  <c r="U327" i="22"/>
  <c r="BC322" i="22"/>
  <c r="BY322" i="22"/>
  <c r="AE128" i="12"/>
  <c r="BZ322" i="22"/>
  <c r="S324" i="9"/>
  <c r="T324" i="9" s="1"/>
  <c r="AN324" i="9"/>
  <c r="AF324" i="9" s="1"/>
  <c r="AG324" i="9" s="1"/>
  <c r="AH324" i="9" s="1"/>
  <c r="AK324" i="9" s="1"/>
  <c r="M124" i="16"/>
  <c r="BC291" i="22"/>
  <c r="BY291" i="22"/>
  <c r="AG47" i="8"/>
  <c r="AL149" i="8"/>
  <c r="R221" i="12"/>
  <c r="R244" i="12" s="1"/>
  <c r="R223" i="12"/>
  <c r="R222" i="12"/>
  <c r="R224" i="12"/>
  <c r="R324" i="12" s="1"/>
  <c r="AF14" i="32"/>
  <c r="CC312" i="22"/>
  <c r="P313" i="12"/>
  <c r="AK46" i="8"/>
  <c r="CC290" i="22"/>
  <c r="AC195" i="12"/>
  <c r="AD197" i="12"/>
  <c r="AE197" i="12" s="1"/>
  <c r="CC334" i="22"/>
  <c r="R6" i="27"/>
  <c r="R22" i="27"/>
  <c r="O79" i="23" s="1"/>
  <c r="H33" i="16"/>
  <c r="I33" i="16" s="1"/>
  <c r="P29" i="12"/>
  <c r="S338" i="9"/>
  <c r="T338" i="9" s="1"/>
  <c r="AN338" i="9"/>
  <c r="AF338" i="9" s="1"/>
  <c r="AG338" i="9" s="1"/>
  <c r="AH338" i="9" s="1"/>
  <c r="AK338" i="9" s="1"/>
  <c r="BA377" i="22"/>
  <c r="CB377" i="22" s="1"/>
  <c r="AZ377" i="22"/>
  <c r="CA377" i="22" s="1"/>
  <c r="W377" i="22"/>
  <c r="AY377" i="22"/>
  <c r="BZ377" i="22" s="1"/>
  <c r="AX377" i="22"/>
  <c r="BB377" i="22"/>
  <c r="CC377" i="22" s="1"/>
  <c r="O322" i="12"/>
  <c r="CC289" i="22"/>
  <c r="BZ304" i="22"/>
  <c r="Q17" i="13"/>
  <c r="Q14" i="13"/>
  <c r="Q21" i="13"/>
  <c r="Q20" i="13"/>
  <c r="Q23" i="13"/>
  <c r="Q18" i="13"/>
  <c r="Q15" i="13"/>
  <c r="Q25" i="13"/>
  <c r="Q22" i="13"/>
  <c r="Q24" i="13"/>
  <c r="Q16" i="13"/>
  <c r="Q19" i="13"/>
  <c r="AE161" i="8"/>
  <c r="AI123" i="8"/>
  <c r="AK123" i="8" s="1"/>
  <c r="AC201" i="12"/>
  <c r="BC282" i="22"/>
  <c r="BY282" i="22"/>
  <c r="AO44" i="8"/>
  <c r="AC196" i="12"/>
  <c r="AD196" i="12" s="1"/>
  <c r="AH127" i="8"/>
  <c r="AI127" i="8" s="1"/>
  <c r="I106" i="16" l="1"/>
  <c r="AJ127" i="8"/>
  <c r="AJ47" i="8"/>
  <c r="AH48" i="8"/>
  <c r="AQ44" i="8"/>
  <c r="V418" i="22"/>
  <c r="U394" i="22"/>
  <c r="AD135" i="12"/>
  <c r="AE45" i="12"/>
  <c r="AA71" i="12"/>
  <c r="Y81" i="12"/>
  <c r="W117" i="16"/>
  <c r="AZ211" i="22"/>
  <c r="CA211" i="22" s="1"/>
  <c r="AZ212" i="22"/>
  <c r="CA212" i="22" s="1"/>
  <c r="U361" i="22"/>
  <c r="AE130" i="12"/>
  <c r="AB75" i="12"/>
  <c r="AB132" i="12"/>
  <c r="AS33" i="16"/>
  <c r="I38" i="18"/>
  <c r="I104" i="16"/>
  <c r="I39" i="19"/>
  <c r="AL132" i="8"/>
  <c r="I102" i="16"/>
  <c r="AE19" i="32"/>
  <c r="R372" i="9" s="1"/>
  <c r="AF37" i="8"/>
  <c r="AE25" i="32" s="1"/>
  <c r="R378" i="9" s="1"/>
  <c r="AH31" i="8"/>
  <c r="AS32" i="16"/>
  <c r="I101" i="16"/>
  <c r="I35" i="18"/>
  <c r="V381" i="22"/>
  <c r="U357" i="22"/>
  <c r="AN159" i="8"/>
  <c r="AF136" i="12"/>
  <c r="AG46" i="12"/>
  <c r="R114" i="16"/>
  <c r="AM17" i="32"/>
  <c r="R466" i="9" s="1"/>
  <c r="AO29" i="8"/>
  <c r="AN17" i="32" s="1"/>
  <c r="R478" i="9" s="1"/>
  <c r="AB203" i="12"/>
  <c r="Z205" i="12"/>
  <c r="AM46" i="8"/>
  <c r="AN123" i="8"/>
  <c r="I97" i="16"/>
  <c r="AN501" i="9"/>
  <c r="AF501" i="9" s="1"/>
  <c r="AG501" i="9" s="1"/>
  <c r="AH501" i="9" s="1"/>
  <c r="AK501" i="9" s="1"/>
  <c r="S501" i="9"/>
  <c r="T501" i="9" s="1"/>
  <c r="AQ41" i="28"/>
  <c r="AR39" i="28"/>
  <c r="AA94" i="8"/>
  <c r="AA95" i="8" s="1"/>
  <c r="AA96" i="8" s="1"/>
  <c r="AA97" i="8" s="1"/>
  <c r="AA98" i="8" s="1"/>
  <c r="AA99" i="8" s="1"/>
  <c r="AA100" i="8" s="1"/>
  <c r="AA101" i="8" s="1"/>
  <c r="T66" i="16"/>
  <c r="AA121" i="16"/>
  <c r="AG18" i="32"/>
  <c r="R395" i="9" s="1"/>
  <c r="AK179" i="12"/>
  <c r="AL179" i="12" s="1"/>
  <c r="CC306" i="22"/>
  <c r="X341" i="22"/>
  <c r="Y341" i="22" s="1"/>
  <c r="BD341" i="22"/>
  <c r="BB370" i="22"/>
  <c r="BA370" i="22"/>
  <c r="AY370" i="22"/>
  <c r="AZ370" i="22"/>
  <c r="CA370" i="22" s="1"/>
  <c r="AX370" i="22"/>
  <c r="W370" i="22"/>
  <c r="BF76" i="12"/>
  <c r="BF79" i="12"/>
  <c r="BF77" i="12"/>
  <c r="BF78" i="12"/>
  <c r="AF21" i="32"/>
  <c r="R386" i="9" s="1"/>
  <c r="AH33" i="8"/>
  <c r="AF53" i="8"/>
  <c r="X69" i="16"/>
  <c r="Y69" i="16" s="1"/>
  <c r="BG42" i="12"/>
  <c r="BF49" i="12"/>
  <c r="BF48" i="12"/>
  <c r="I98" i="16"/>
  <c r="BD312" i="22"/>
  <c r="X312" i="22"/>
  <c r="Y312" i="22" s="1"/>
  <c r="CC319" i="22"/>
  <c r="BY346" i="22"/>
  <c r="BC346" i="22"/>
  <c r="AI10" i="28"/>
  <c r="AI12" i="28" s="1"/>
  <c r="O16" i="12"/>
  <c r="O18" i="12"/>
  <c r="O17" i="12" s="1"/>
  <c r="T35" i="12"/>
  <c r="T31" i="12"/>
  <c r="S367" i="9"/>
  <c r="T367" i="9" s="1"/>
  <c r="AN367" i="9"/>
  <c r="AF367" i="9" s="1"/>
  <c r="AG367" i="9" s="1"/>
  <c r="AH367" i="9" s="1"/>
  <c r="AK367" i="9" s="1"/>
  <c r="BY306" i="22"/>
  <c r="BC306" i="22"/>
  <c r="H99" i="16"/>
  <c r="H33" i="18"/>
  <c r="H34" i="19"/>
  <c r="CA296" i="22"/>
  <c r="AX358" i="22"/>
  <c r="W358" i="22"/>
  <c r="BB358" i="22"/>
  <c r="CC358" i="22" s="1"/>
  <c r="BA358" i="22"/>
  <c r="CB358" i="22" s="1"/>
  <c r="AZ358" i="22"/>
  <c r="CA358" i="22" s="1"/>
  <c r="AY358" i="22"/>
  <c r="BZ358" i="22" s="1"/>
  <c r="AY389" i="22"/>
  <c r="BZ389" i="22" s="1"/>
  <c r="AX389" i="22"/>
  <c r="BB389" i="22"/>
  <c r="BA389" i="22"/>
  <c r="AZ389" i="22"/>
  <c r="W389" i="22"/>
  <c r="BD297" i="22"/>
  <c r="X297" i="22"/>
  <c r="Y297" i="22" s="1"/>
  <c r="AI155" i="8"/>
  <c r="AL155" i="8" s="1"/>
  <c r="AR23" i="28"/>
  <c r="AS21" i="28"/>
  <c r="P92" i="23"/>
  <c r="AX92" i="23"/>
  <c r="AY92" i="23"/>
  <c r="AW92" i="23"/>
  <c r="AV92" i="23"/>
  <c r="AU92" i="23"/>
  <c r="AF24" i="32"/>
  <c r="R389" i="9" s="1"/>
  <c r="AG183" i="12"/>
  <c r="CA302" i="22"/>
  <c r="AN374" i="9"/>
  <c r="AF374" i="9" s="1"/>
  <c r="AG374" i="9" s="1"/>
  <c r="AH374" i="9" s="1"/>
  <c r="AK374" i="9" s="1"/>
  <c r="S374" i="9"/>
  <c r="T374" i="9" s="1"/>
  <c r="AF183" i="12"/>
  <c r="AM159" i="8"/>
  <c r="BB331" i="22"/>
  <c r="CC331" i="22" s="1"/>
  <c r="W331" i="22"/>
  <c r="BA331" i="22"/>
  <c r="AZ331" i="22"/>
  <c r="CA331" i="22" s="1"/>
  <c r="AX331" i="22"/>
  <c r="AY331" i="22"/>
  <c r="BZ331" i="22" s="1"/>
  <c r="AB77" i="12"/>
  <c r="AC77" i="12" s="1"/>
  <c r="AJ20" i="32"/>
  <c r="R433" i="9" s="1"/>
  <c r="BD303" i="22"/>
  <c r="X303" i="22"/>
  <c r="Y303" i="22" s="1"/>
  <c r="AN428" i="9"/>
  <c r="AF428" i="9" s="1"/>
  <c r="AG428" i="9" s="1"/>
  <c r="AH428" i="9" s="1"/>
  <c r="AK428" i="9" s="1"/>
  <c r="S428" i="9"/>
  <c r="T428" i="9" s="1"/>
  <c r="AK52" i="8"/>
  <c r="AN342" i="9"/>
  <c r="AF342" i="9" s="1"/>
  <c r="AG342" i="9" s="1"/>
  <c r="AH342" i="9" s="1"/>
  <c r="AK342" i="9" s="1"/>
  <c r="S342" i="9"/>
  <c r="T342" i="9" s="1"/>
  <c r="CB306" i="22"/>
  <c r="W264" i="12"/>
  <c r="AL162" i="8"/>
  <c r="AD130" i="12"/>
  <c r="T26" i="27"/>
  <c r="O107" i="23" s="1"/>
  <c r="T10" i="27"/>
  <c r="J37" i="16"/>
  <c r="Y205" i="12"/>
  <c r="AN162" i="8"/>
  <c r="AO162" i="8" s="1"/>
  <c r="AN430" i="9"/>
  <c r="AF430" i="9" s="1"/>
  <c r="AG430" i="9" s="1"/>
  <c r="AH430" i="9" s="1"/>
  <c r="AK430" i="9" s="1"/>
  <c r="S430" i="9"/>
  <c r="T430" i="9" s="1"/>
  <c r="AF201" i="12"/>
  <c r="BY302" i="22"/>
  <c r="BC302" i="22"/>
  <c r="BD287" i="22"/>
  <c r="X287" i="22"/>
  <c r="Y287" i="22" s="1"/>
  <c r="Q33" i="12"/>
  <c r="CB315" i="22"/>
  <c r="W273" i="12"/>
  <c r="AX81" i="23"/>
  <c r="AW81" i="23"/>
  <c r="AV81" i="23"/>
  <c r="AU81" i="23"/>
  <c r="AY81" i="23"/>
  <c r="P81" i="23"/>
  <c r="AY83" i="23"/>
  <c r="AV83" i="23"/>
  <c r="AU83" i="23"/>
  <c r="AX83" i="23"/>
  <c r="BC83" i="23" s="1"/>
  <c r="AW83" i="23"/>
  <c r="P83" i="23"/>
  <c r="AU99" i="23"/>
  <c r="AW99" i="23"/>
  <c r="AV99" i="23"/>
  <c r="P99" i="23"/>
  <c r="AY99" i="23"/>
  <c r="AX99" i="23"/>
  <c r="BC99" i="23" s="1"/>
  <c r="AW95" i="23"/>
  <c r="AV95" i="23"/>
  <c r="AU95" i="23"/>
  <c r="P95" i="23"/>
  <c r="AX95" i="23"/>
  <c r="BC95" i="23" s="1"/>
  <c r="AY95" i="23"/>
  <c r="T115" i="16"/>
  <c r="R113" i="16"/>
  <c r="R75" i="16"/>
  <c r="R123" i="16" s="1"/>
  <c r="R32" i="27"/>
  <c r="O89" i="23" s="1"/>
  <c r="R16" i="27"/>
  <c r="H43" i="16"/>
  <c r="I43" i="16" s="1"/>
  <c r="P323" i="12"/>
  <c r="O323" i="12"/>
  <c r="BY377" i="22"/>
  <c r="BC377" i="22"/>
  <c r="V225" i="12"/>
  <c r="V211" i="12"/>
  <c r="V105" i="12"/>
  <c r="V4" i="12"/>
  <c r="BC313" i="22"/>
  <c r="BY313" i="22"/>
  <c r="BZ314" i="22"/>
  <c r="CC328" i="22"/>
  <c r="AG22" i="32"/>
  <c r="R399" i="9" s="1"/>
  <c r="AE157" i="8"/>
  <c r="BB333" i="22"/>
  <c r="W333" i="22"/>
  <c r="BA333" i="22"/>
  <c r="AZ333" i="22"/>
  <c r="CA333" i="22" s="1"/>
  <c r="AY333" i="22"/>
  <c r="BZ333" i="22" s="1"/>
  <c r="AX333" i="22"/>
  <c r="BB211" i="22"/>
  <c r="CC211" i="22" s="1"/>
  <c r="AI41" i="12"/>
  <c r="AI131" i="12" s="1"/>
  <c r="CB314" i="22"/>
  <c r="W272" i="12"/>
  <c r="U213" i="12"/>
  <c r="U108" i="12"/>
  <c r="AE53" i="8"/>
  <c r="CB309" i="22"/>
  <c r="W267" i="12"/>
  <c r="AE199" i="12"/>
  <c r="AJ9" i="28"/>
  <c r="P156" i="12"/>
  <c r="P107" i="12"/>
  <c r="P66" i="12"/>
  <c r="X316" i="22"/>
  <c r="Y316" i="22" s="1"/>
  <c r="BD316" i="22"/>
  <c r="S321" i="12"/>
  <c r="BC308" i="22"/>
  <c r="BY308" i="22"/>
  <c r="R116" i="16"/>
  <c r="S68" i="16"/>
  <c r="S421" i="9"/>
  <c r="T421" i="9" s="1"/>
  <c r="AN421" i="9"/>
  <c r="AF421" i="9" s="1"/>
  <c r="AG421" i="9" s="1"/>
  <c r="AH421" i="9" s="1"/>
  <c r="AK421" i="9" s="1"/>
  <c r="AY96" i="23"/>
  <c r="AX96" i="23"/>
  <c r="BC96" i="23" s="1"/>
  <c r="AW96" i="23"/>
  <c r="AV96" i="23"/>
  <c r="P96" i="23"/>
  <c r="AU96" i="23"/>
  <c r="BB337" i="22"/>
  <c r="BA337" i="22"/>
  <c r="AZ337" i="22"/>
  <c r="AY337" i="22"/>
  <c r="W337" i="22"/>
  <c r="AX337" i="22"/>
  <c r="BB321" i="22"/>
  <c r="CC321" i="22" s="1"/>
  <c r="BA321" i="22"/>
  <c r="AZ321" i="22"/>
  <c r="AY321" i="22"/>
  <c r="AX321" i="22"/>
  <c r="W321" i="22"/>
  <c r="U354" i="22"/>
  <c r="S9" i="12"/>
  <c r="S35" i="12"/>
  <c r="S31" i="12"/>
  <c r="S32" i="12"/>
  <c r="S27" i="12"/>
  <c r="S375" i="9"/>
  <c r="T375" i="9" s="1"/>
  <c r="AN375" i="9"/>
  <c r="AF375" i="9" s="1"/>
  <c r="AG375" i="9" s="1"/>
  <c r="AH375" i="9" s="1"/>
  <c r="AK375" i="9" s="1"/>
  <c r="CB296" i="22"/>
  <c r="V266" i="12"/>
  <c r="AH158" i="8"/>
  <c r="BE46" i="12"/>
  <c r="BE45" i="12"/>
  <c r="BE44" i="12"/>
  <c r="BE47" i="12"/>
  <c r="BE42" i="12"/>
  <c r="CB313" i="22"/>
  <c r="W271" i="12"/>
  <c r="P82" i="23"/>
  <c r="AW82" i="23"/>
  <c r="AV82" i="23"/>
  <c r="AU82" i="23"/>
  <c r="AX82" i="23"/>
  <c r="AY82" i="23"/>
  <c r="AP44" i="8"/>
  <c r="AI30" i="8"/>
  <c r="AG49" i="8"/>
  <c r="BC309" i="22"/>
  <c r="BY309" i="22"/>
  <c r="BD282" i="22"/>
  <c r="X282" i="22"/>
  <c r="Y282" i="22" s="1"/>
  <c r="V375" i="22"/>
  <c r="U351" i="22"/>
  <c r="AJ155" i="8"/>
  <c r="AK155" i="8" s="1"/>
  <c r="AE201" i="12"/>
  <c r="AX325" i="22"/>
  <c r="AY325" i="22"/>
  <c r="W325" i="22"/>
  <c r="AZ325" i="22"/>
  <c r="CA325" i="22" s="1"/>
  <c r="BB325" i="22"/>
  <c r="CC325" i="22" s="1"/>
  <c r="BA325" i="22"/>
  <c r="U276" i="12"/>
  <c r="BC294" i="22"/>
  <c r="BY294" i="22"/>
  <c r="BZ307" i="22"/>
  <c r="CB365" i="22"/>
  <c r="AK15" i="32"/>
  <c r="R440" i="9" s="1"/>
  <c r="CC313" i="22"/>
  <c r="AJ188" i="12"/>
  <c r="CC314" i="22"/>
  <c r="R348" i="9"/>
  <c r="AC26" i="32"/>
  <c r="AO8" i="28"/>
  <c r="U13" i="12" s="1"/>
  <c r="U34" i="12"/>
  <c r="U6" i="12"/>
  <c r="X203" i="22"/>
  <c r="Y203" i="22" s="1"/>
  <c r="BD203" i="22"/>
  <c r="I35" i="16"/>
  <c r="J35" i="16" s="1"/>
  <c r="BD295" i="22"/>
  <c r="X295" i="22"/>
  <c r="Y295" i="22" s="1"/>
  <c r="BZ309" i="22"/>
  <c r="O62" i="12"/>
  <c r="O152" i="12" s="1"/>
  <c r="O57" i="12"/>
  <c r="O61" i="12"/>
  <c r="O151" i="12" s="1"/>
  <c r="O56" i="12"/>
  <c r="O146" i="12" s="1"/>
  <c r="O60" i="12"/>
  <c r="O55" i="12"/>
  <c r="O145" i="12" s="1"/>
  <c r="O54" i="12"/>
  <c r="O64" i="12"/>
  <c r="O154" i="12" s="1"/>
  <c r="O58" i="12"/>
  <c r="O148" i="12" s="1"/>
  <c r="O63" i="12"/>
  <c r="O59" i="12"/>
  <c r="O149" i="12" s="1"/>
  <c r="T7" i="27"/>
  <c r="T23" i="27"/>
  <c r="O104" i="23" s="1"/>
  <c r="J34" i="16"/>
  <c r="BY299" i="22"/>
  <c r="BC299" i="22"/>
  <c r="R118" i="16"/>
  <c r="BZ308" i="22"/>
  <c r="U112" i="16"/>
  <c r="V64" i="16"/>
  <c r="S216" i="12"/>
  <c r="AZ213" i="22"/>
  <c r="CA213" i="22" s="1"/>
  <c r="AJ10" i="28"/>
  <c r="AJ12" i="28" s="1"/>
  <c r="P16" i="12"/>
  <c r="P18" i="12"/>
  <c r="P17" i="12" s="1"/>
  <c r="AY330" i="22"/>
  <c r="AX330" i="22"/>
  <c r="W330" i="22"/>
  <c r="BB330" i="22"/>
  <c r="CC330" i="22" s="1"/>
  <c r="BA330" i="22"/>
  <c r="AZ330" i="22"/>
  <c r="CA330" i="22" s="1"/>
  <c r="AI134" i="12"/>
  <c r="AJ44" i="12"/>
  <c r="AJ134" i="12" s="1"/>
  <c r="CB301" i="22"/>
  <c r="V271" i="12"/>
  <c r="BA401" i="22"/>
  <c r="CB401" i="22" s="1"/>
  <c r="W401" i="22"/>
  <c r="BB401" i="22"/>
  <c r="CC401" i="22" s="1"/>
  <c r="AZ401" i="22"/>
  <c r="CA401" i="22" s="1"/>
  <c r="AY401" i="22"/>
  <c r="AX401" i="22"/>
  <c r="T9" i="12"/>
  <c r="V406" i="22"/>
  <c r="U382" i="22"/>
  <c r="AY91" i="23"/>
  <c r="AU91" i="23"/>
  <c r="P91" i="23"/>
  <c r="AX91" i="23"/>
  <c r="BC91" i="23" s="1"/>
  <c r="AW91" i="23"/>
  <c r="AV91" i="23"/>
  <c r="AN496" i="9"/>
  <c r="AF496" i="9" s="1"/>
  <c r="AG496" i="9" s="1"/>
  <c r="AH496" i="9" s="1"/>
  <c r="AK496" i="9" s="1"/>
  <c r="S496" i="9"/>
  <c r="T496" i="9" s="1"/>
  <c r="AD73" i="16"/>
  <c r="AD121" i="16" s="1"/>
  <c r="AI129" i="8"/>
  <c r="AA132" i="12"/>
  <c r="O90" i="23"/>
  <c r="X322" i="22"/>
  <c r="Y322" i="22" s="1"/>
  <c r="BD322" i="22"/>
  <c r="BC314" i="22"/>
  <c r="BY314" i="22"/>
  <c r="AL123" i="8"/>
  <c r="V373" i="22"/>
  <c r="V385" i="22" s="1"/>
  <c r="U349" i="22"/>
  <c r="AM122" i="8"/>
  <c r="AN122" i="8" s="1"/>
  <c r="AF156" i="8"/>
  <c r="X300" i="22"/>
  <c r="Y300" i="22" s="1"/>
  <c r="BD300" i="22"/>
  <c r="AB81" i="8"/>
  <c r="AB76" i="8"/>
  <c r="AB83" i="8"/>
  <c r="AB78" i="8"/>
  <c r="AB80" i="8"/>
  <c r="AB85" i="8" s="1"/>
  <c r="AB84" i="8"/>
  <c r="AB77" i="8"/>
  <c r="AB75" i="8"/>
  <c r="AB74" i="8"/>
  <c r="AB82" i="8"/>
  <c r="AB79" i="8"/>
  <c r="U223" i="12"/>
  <c r="U222" i="12"/>
  <c r="U221" i="12"/>
  <c r="U244" i="12" s="1"/>
  <c r="U224" i="12"/>
  <c r="U324" i="12" s="1"/>
  <c r="AI34" i="8"/>
  <c r="AX204" i="22"/>
  <c r="AB119" i="16"/>
  <c r="AC71" i="16"/>
  <c r="AD71" i="16"/>
  <c r="AD119" i="16" s="1"/>
  <c r="AE71" i="16"/>
  <c r="AE119" i="16" s="1"/>
  <c r="AC70" i="12"/>
  <c r="AD82" i="12"/>
  <c r="AC72" i="12"/>
  <c r="AC80" i="12"/>
  <c r="AC73" i="12"/>
  <c r="AC79" i="12"/>
  <c r="AC78" i="12"/>
  <c r="AC76" i="12"/>
  <c r="AC74" i="12"/>
  <c r="AQ126" i="8"/>
  <c r="O215" i="12"/>
  <c r="O106" i="12"/>
  <c r="T30" i="27"/>
  <c r="O111" i="23" s="1"/>
  <c r="T14" i="27"/>
  <c r="J41" i="16"/>
  <c r="AG180" i="12"/>
  <c r="AH180" i="12" s="1"/>
  <c r="T70" i="16"/>
  <c r="S250" i="12"/>
  <c r="S253" i="12" s="1"/>
  <c r="S308" i="12"/>
  <c r="W343" i="22"/>
  <c r="AY343" i="22"/>
  <c r="BZ343" i="22" s="1"/>
  <c r="AZ343" i="22"/>
  <c r="AX343" i="22"/>
  <c r="BB343" i="22"/>
  <c r="BA343" i="22"/>
  <c r="AG31" i="8"/>
  <c r="Z71" i="12"/>
  <c r="X81" i="12"/>
  <c r="BF73" i="12"/>
  <c r="AF197" i="12"/>
  <c r="AG197" i="12" s="1"/>
  <c r="Q114" i="16"/>
  <c r="Q75" i="16"/>
  <c r="Q123" i="16" s="1"/>
  <c r="AJ178" i="12"/>
  <c r="BY311" i="22"/>
  <c r="BC311" i="22"/>
  <c r="AC135" i="12"/>
  <c r="U425" i="22"/>
  <c r="U355" i="22"/>
  <c r="V117" i="16"/>
  <c r="AR32" i="16"/>
  <c r="H101" i="16"/>
  <c r="H35" i="18"/>
  <c r="H36" i="19" s="1"/>
  <c r="N285" i="12"/>
  <c r="H36" i="18"/>
  <c r="H37" i="19"/>
  <c r="H102" i="16"/>
  <c r="T120" i="16"/>
  <c r="CB328" i="22"/>
  <c r="X274" i="12"/>
  <c r="O307" i="12"/>
  <c r="P93" i="23"/>
  <c r="AV93" i="23"/>
  <c r="AU93" i="23"/>
  <c r="AY93" i="23"/>
  <c r="AX93" i="23"/>
  <c r="AW93" i="23"/>
  <c r="T28" i="27"/>
  <c r="O109" i="23" s="1"/>
  <c r="T12" i="27"/>
  <c r="J39" i="16"/>
  <c r="S247" i="12"/>
  <c r="R21" i="13"/>
  <c r="R20" i="13"/>
  <c r="R19" i="13"/>
  <c r="R17" i="13"/>
  <c r="R23" i="13"/>
  <c r="R14" i="13"/>
  <c r="R18" i="13"/>
  <c r="R15" i="13"/>
  <c r="R25" i="13"/>
  <c r="R22" i="13"/>
  <c r="R24" i="13"/>
  <c r="R16" i="13"/>
  <c r="R9" i="12"/>
  <c r="BZ294" i="22"/>
  <c r="CB307" i="22"/>
  <c r="W265" i="12"/>
  <c r="AN330" i="9"/>
  <c r="AF330" i="9" s="1"/>
  <c r="AG330" i="9" s="1"/>
  <c r="AH330" i="9" s="1"/>
  <c r="AK330" i="9" s="1"/>
  <c r="S330" i="9"/>
  <c r="T330" i="9" s="1"/>
  <c r="AB64" i="8"/>
  <c r="AB59" i="8"/>
  <c r="AB66" i="8"/>
  <c r="AB61" i="8"/>
  <c r="AB65" i="8"/>
  <c r="AB58" i="8"/>
  <c r="AB69" i="8" s="1"/>
  <c r="AB68" i="8"/>
  <c r="AB60" i="8"/>
  <c r="AB62" i="8"/>
  <c r="AB63" i="8"/>
  <c r="AB67" i="8"/>
  <c r="AQ29" i="28"/>
  <c r="AQ6" i="28" s="1"/>
  <c r="AR27" i="28"/>
  <c r="AF138" i="12"/>
  <c r="R74" i="16"/>
  <c r="AB137" i="12"/>
  <c r="AZ340" i="22"/>
  <c r="W340" i="22"/>
  <c r="AY340" i="22"/>
  <c r="BZ340" i="22" s="1"/>
  <c r="AX340" i="22"/>
  <c r="BB340" i="22"/>
  <c r="CC340" i="22" s="1"/>
  <c r="BA340" i="22"/>
  <c r="CC309" i="22"/>
  <c r="T25" i="27"/>
  <c r="O106" i="23" s="1"/>
  <c r="T9" i="27"/>
  <c r="J36" i="16"/>
  <c r="AF128" i="12"/>
  <c r="CB308" i="22"/>
  <c r="W266" i="12"/>
  <c r="AX352" i="22"/>
  <c r="BB352" i="22"/>
  <c r="BA352" i="22"/>
  <c r="AZ352" i="22"/>
  <c r="AY352" i="22"/>
  <c r="W352" i="22"/>
  <c r="AI158" i="8"/>
  <c r="AK158" i="8" s="1"/>
  <c r="AN442" i="9"/>
  <c r="AF442" i="9" s="1"/>
  <c r="AG442" i="9" s="1"/>
  <c r="AH442" i="9" s="1"/>
  <c r="AK442" i="9" s="1"/>
  <c r="S442" i="9"/>
  <c r="T442" i="9" s="1"/>
  <c r="BD277" i="22"/>
  <c r="X277" i="22"/>
  <c r="Y277" i="22" s="1"/>
  <c r="I100" i="16"/>
  <c r="I34" i="18"/>
  <c r="AY94" i="23"/>
  <c r="AV94" i="23"/>
  <c r="AU94" i="23"/>
  <c r="P94" i="23"/>
  <c r="AX94" i="23"/>
  <c r="AW94" i="23"/>
  <c r="S118" i="16"/>
  <c r="AD204" i="12"/>
  <c r="AH194" i="12"/>
  <c r="AW98" i="23"/>
  <c r="AU98" i="23"/>
  <c r="AY98" i="23"/>
  <c r="AX98" i="23"/>
  <c r="BC98" i="23" s="1"/>
  <c r="AV98" i="23"/>
  <c r="P98" i="23"/>
  <c r="AN377" i="9"/>
  <c r="AF377" i="9" s="1"/>
  <c r="AG377" i="9" s="1"/>
  <c r="AH377" i="9" s="1"/>
  <c r="AK377" i="9" s="1"/>
  <c r="S377" i="9"/>
  <c r="T377" i="9" s="1"/>
  <c r="H105" i="16"/>
  <c r="H39" i="18"/>
  <c r="BY315" i="22"/>
  <c r="BC315" i="22"/>
  <c r="BA204" i="22"/>
  <c r="X289" i="22"/>
  <c r="Y289" i="22" s="1"/>
  <c r="BD289" i="22"/>
  <c r="AW87" i="23"/>
  <c r="AY87" i="23"/>
  <c r="AX87" i="23"/>
  <c r="BC87" i="23" s="1"/>
  <c r="AV87" i="23"/>
  <c r="P87" i="23"/>
  <c r="AU87" i="23"/>
  <c r="AC42" i="12"/>
  <c r="AD42" i="12" s="1"/>
  <c r="H84" i="13"/>
  <c r="H67" i="13"/>
  <c r="AY327" i="22"/>
  <c r="BB327" i="22"/>
  <c r="CC327" i="22" s="1"/>
  <c r="W327" i="22"/>
  <c r="BA327" i="22"/>
  <c r="AZ327" i="22"/>
  <c r="CA327" i="22" s="1"/>
  <c r="AX327" i="22"/>
  <c r="V367" i="22"/>
  <c r="R31" i="12"/>
  <c r="R35" i="12"/>
  <c r="R27" i="12"/>
  <c r="R28" i="12"/>
  <c r="R32" i="12"/>
  <c r="R322" i="12" s="1"/>
  <c r="R30" i="12"/>
  <c r="R23" i="12"/>
  <c r="R22" i="12"/>
  <c r="R26" i="12"/>
  <c r="R29" i="12"/>
  <c r="R25" i="12"/>
  <c r="R24" i="12"/>
  <c r="CC294" i="22"/>
  <c r="AG43" i="8"/>
  <c r="AH43" i="8" s="1"/>
  <c r="AL32" i="8"/>
  <c r="AC70" i="8"/>
  <c r="AD8" i="8"/>
  <c r="AC7" i="8"/>
  <c r="AC86" i="8" s="1"/>
  <c r="AC17" i="8"/>
  <c r="AC150" i="8" s="1"/>
  <c r="AF18" i="32"/>
  <c r="R383" i="9" s="1"/>
  <c r="AN418" i="9"/>
  <c r="AF418" i="9" s="1"/>
  <c r="AG418" i="9" s="1"/>
  <c r="AH418" i="9" s="1"/>
  <c r="AK418" i="9" s="1"/>
  <c r="S418" i="9"/>
  <c r="T418" i="9" s="1"/>
  <c r="V388" i="22"/>
  <c r="U364" i="22"/>
  <c r="AS45" i="28"/>
  <c r="AR47" i="28"/>
  <c r="H37" i="18"/>
  <c r="H103" i="16"/>
  <c r="H38" i="19"/>
  <c r="T21" i="27"/>
  <c r="T5" i="27"/>
  <c r="J32" i="16"/>
  <c r="AZ22" i="12"/>
  <c r="BF47" i="12"/>
  <c r="X353" i="22"/>
  <c r="Y353" i="22" s="1"/>
  <c r="BD353" i="22"/>
  <c r="AD160" i="8"/>
  <c r="V376" i="22"/>
  <c r="AG38" i="12"/>
  <c r="AA75" i="12"/>
  <c r="AC75" i="12" s="1"/>
  <c r="AA133" i="12"/>
  <c r="V437" i="22"/>
  <c r="U413" i="22"/>
  <c r="CB302" i="22"/>
  <c r="V272" i="12"/>
  <c r="T216" i="12"/>
  <c r="S409" i="9"/>
  <c r="T409" i="9" s="1"/>
  <c r="AN409" i="9"/>
  <c r="AF409" i="9" s="1"/>
  <c r="AG409" i="9" s="1"/>
  <c r="AH409" i="9" s="1"/>
  <c r="AK409" i="9" s="1"/>
  <c r="BB318" i="22"/>
  <c r="CC318" i="22" s="1"/>
  <c r="BA318" i="22"/>
  <c r="AZ318" i="22"/>
  <c r="W318" i="22"/>
  <c r="AX318" i="22"/>
  <c r="AY318" i="22"/>
  <c r="BZ318" i="22" s="1"/>
  <c r="X103" i="12"/>
  <c r="AM130" i="8"/>
  <c r="AO130" i="8" s="1"/>
  <c r="S120" i="16"/>
  <c r="V72" i="16"/>
  <c r="V366" i="22"/>
  <c r="U342" i="22"/>
  <c r="CA315" i="22"/>
  <c r="AH49" i="8"/>
  <c r="AI49" i="8" s="1"/>
  <c r="R308" i="12"/>
  <c r="R250" i="12"/>
  <c r="R253" i="12" s="1"/>
  <c r="S12" i="27"/>
  <c r="S28" i="27"/>
  <c r="O97" i="23" s="1"/>
  <c r="I39" i="16"/>
  <c r="P319" i="12"/>
  <c r="R247" i="12"/>
  <c r="AX339" i="22"/>
  <c r="BB339" i="22"/>
  <c r="BA339" i="22"/>
  <c r="AZ339" i="22"/>
  <c r="AY339" i="22"/>
  <c r="W339" i="22"/>
  <c r="X304" i="22"/>
  <c r="Y304" i="22" s="1"/>
  <c r="BD304" i="22"/>
  <c r="AY213" i="22"/>
  <c r="BZ213" i="22" s="1"/>
  <c r="BY307" i="22"/>
  <c r="BC307" i="22"/>
  <c r="R216" i="12"/>
  <c r="BY324" i="22"/>
  <c r="BC324" i="22"/>
  <c r="AE163" i="8"/>
  <c r="AW100" i="23"/>
  <c r="AV100" i="23"/>
  <c r="AU100" i="23"/>
  <c r="AY100" i="23"/>
  <c r="AX100" i="23"/>
  <c r="P100" i="23"/>
  <c r="S397" i="9"/>
  <c r="T397" i="9" s="1"/>
  <c r="AN397" i="9"/>
  <c r="AF397" i="9" s="1"/>
  <c r="AG397" i="9" s="1"/>
  <c r="AH397" i="9" s="1"/>
  <c r="AK397" i="9" s="1"/>
  <c r="AD19" i="32"/>
  <c r="AE37" i="8"/>
  <c r="AD25" i="32" s="1"/>
  <c r="R366" i="9" s="1"/>
  <c r="AC189" i="12"/>
  <c r="AK51" i="8"/>
  <c r="AJ30" i="8"/>
  <c r="AD195" i="12"/>
  <c r="AE195" i="12" s="1"/>
  <c r="V359" i="22"/>
  <c r="U335" i="22"/>
  <c r="AX26" i="12"/>
  <c r="AY32" i="12" s="1"/>
  <c r="AY336" i="22"/>
  <c r="BZ336" i="22" s="1"/>
  <c r="BA336" i="22"/>
  <c r="W336" i="22"/>
  <c r="BB336" i="22"/>
  <c r="CC336" i="22" s="1"/>
  <c r="AZ336" i="22"/>
  <c r="AX336" i="22"/>
  <c r="AG164" i="8"/>
  <c r="AM27" i="8"/>
  <c r="AC47" i="12"/>
  <c r="T22" i="27"/>
  <c r="O103" i="23" s="1"/>
  <c r="T6" i="27"/>
  <c r="J33" i="16"/>
  <c r="S34" i="13"/>
  <c r="S38" i="13"/>
  <c r="S41" i="13"/>
  <c r="S40" i="13"/>
  <c r="S39" i="13"/>
  <c r="S37" i="13"/>
  <c r="S36" i="13"/>
  <c r="S31" i="13"/>
  <c r="S32" i="13"/>
  <c r="S33" i="13"/>
  <c r="S30" i="13"/>
  <c r="S35" i="13"/>
  <c r="BF46" i="12"/>
  <c r="AE136" i="12"/>
  <c r="AG48" i="12"/>
  <c r="AE160" i="8"/>
  <c r="W64" i="16"/>
  <c r="V371" i="22"/>
  <c r="U347" i="22"/>
  <c r="X291" i="22"/>
  <c r="Y291" i="22" s="1"/>
  <c r="BD291" i="22"/>
  <c r="CA301" i="22"/>
  <c r="AA203" i="12"/>
  <c r="BZ306" i="22"/>
  <c r="AH131" i="12"/>
  <c r="BD290" i="22"/>
  <c r="X290" i="22"/>
  <c r="Y290" i="22" s="1"/>
  <c r="BZ319" i="22"/>
  <c r="T24" i="27"/>
  <c r="O105" i="23" s="1"/>
  <c r="T8" i="27"/>
  <c r="AZ23" i="12"/>
  <c r="AB23" i="8"/>
  <c r="AL47" i="8"/>
  <c r="CC301" i="22"/>
  <c r="CB319" i="22"/>
  <c r="X265" i="12"/>
  <c r="AB129" i="12"/>
  <c r="AC39" i="12"/>
  <c r="AM162" i="8"/>
  <c r="AK127" i="8"/>
  <c r="V372" i="22"/>
  <c r="U348" i="22"/>
  <c r="I96" i="16"/>
  <c r="AR34" i="16"/>
  <c r="AF199" i="12"/>
  <c r="H100" i="16"/>
  <c r="H34" i="18"/>
  <c r="AB43" i="12"/>
  <c r="AR3" i="28"/>
  <c r="BC365" i="22"/>
  <c r="BY365" i="22"/>
  <c r="U72" i="16"/>
  <c r="AM123" i="8"/>
  <c r="AF45" i="8"/>
  <c r="R379" i="9"/>
  <c r="S26" i="13"/>
  <c r="T4" i="13"/>
  <c r="Z132" i="12"/>
  <c r="CB294" i="22"/>
  <c r="V264" i="12"/>
  <c r="V362" i="22"/>
  <c r="U338" i="22"/>
  <c r="AJ184" i="12"/>
  <c r="AK184" i="12" s="1"/>
  <c r="AJ154" i="8"/>
  <c r="V387" i="22"/>
  <c r="U363" i="22"/>
  <c r="AB135" i="12"/>
  <c r="AR33" i="16"/>
  <c r="H38" i="18"/>
  <c r="H39" i="19"/>
  <c r="H104" i="16"/>
  <c r="BB326" i="22"/>
  <c r="W326" i="22"/>
  <c r="AY326" i="22"/>
  <c r="BZ326" i="22" s="1"/>
  <c r="AX326" i="22"/>
  <c r="BA326" i="22"/>
  <c r="AZ326" i="22"/>
  <c r="CA326" i="22" s="1"/>
  <c r="AN371" i="9"/>
  <c r="AF371" i="9" s="1"/>
  <c r="AG371" i="9" s="1"/>
  <c r="AH371" i="9" s="1"/>
  <c r="AK371" i="9" s="1"/>
  <c r="S371" i="9"/>
  <c r="T371" i="9" s="1"/>
  <c r="H30" i="18"/>
  <c r="H44" i="16"/>
  <c r="H7" i="16" s="1"/>
  <c r="H5" i="16" s="1"/>
  <c r="H96" i="16"/>
  <c r="H31" i="19"/>
  <c r="AQ34" i="16"/>
  <c r="X284" i="22"/>
  <c r="Y284" i="22" s="1"/>
  <c r="BD284" i="22"/>
  <c r="V360" i="22"/>
  <c r="AL46" i="8"/>
  <c r="S66" i="16"/>
  <c r="AY85" i="23"/>
  <c r="AX85" i="23"/>
  <c r="BC85" i="23" s="1"/>
  <c r="AW85" i="23"/>
  <c r="AV85" i="23"/>
  <c r="AU85" i="23"/>
  <c r="P85" i="23"/>
  <c r="T13" i="27"/>
  <c r="T29" i="27"/>
  <c r="O110" i="23" s="1"/>
  <c r="J40" i="16"/>
  <c r="T42" i="13"/>
  <c r="U6" i="13"/>
  <c r="AD181" i="12"/>
  <c r="AE181" i="12" s="1"/>
  <c r="AE198" i="12"/>
  <c r="AB202" i="12"/>
  <c r="AX332" i="22"/>
  <c r="BB332" i="22"/>
  <c r="W332" i="22"/>
  <c r="BA332" i="22"/>
  <c r="AZ332" i="22"/>
  <c r="CA332" i="22" s="1"/>
  <c r="AY332" i="22"/>
  <c r="AE185" i="12"/>
  <c r="CB324" i="22"/>
  <c r="X270" i="12"/>
  <c r="U344" i="22"/>
  <c r="AY80" i="23"/>
  <c r="AU80" i="23"/>
  <c r="AX80" i="23"/>
  <c r="BC80" i="23" s="1"/>
  <c r="AW80" i="23"/>
  <c r="AV80" i="23"/>
  <c r="P80" i="23"/>
  <c r="AN416" i="9"/>
  <c r="AF416" i="9" s="1"/>
  <c r="AG416" i="9" s="1"/>
  <c r="AH416" i="9" s="1"/>
  <c r="AK416" i="9" s="1"/>
  <c r="S416" i="9"/>
  <c r="T416" i="9" s="1"/>
  <c r="CA306" i="22"/>
  <c r="R391" i="9"/>
  <c r="AM131" i="8"/>
  <c r="AX30" i="12"/>
  <c r="AX28" i="12"/>
  <c r="AX31" i="12"/>
  <c r="AX29" i="12"/>
  <c r="CB311" i="22"/>
  <c r="W269" i="12"/>
  <c r="AA22" i="8"/>
  <c r="I105" i="16"/>
  <c r="I39" i="18"/>
  <c r="AE196" i="12"/>
  <c r="AI186" i="12"/>
  <c r="AJ186" i="12" s="1"/>
  <c r="AL17" i="32"/>
  <c r="R454" i="9" s="1"/>
  <c r="Q122" i="16"/>
  <c r="S17" i="27"/>
  <c r="AU88" i="23"/>
  <c r="P88" i="23"/>
  <c r="AY88" i="23"/>
  <c r="AX88" i="23"/>
  <c r="BC88" i="23" s="1"/>
  <c r="AV88" i="23"/>
  <c r="AW88" i="23"/>
  <c r="AL131" i="8"/>
  <c r="U83" i="12"/>
  <c r="AQ75" i="28"/>
  <c r="AP4" i="28"/>
  <c r="AP5" i="28" s="1"/>
  <c r="AP7" i="28" s="1"/>
  <c r="AF161" i="8"/>
  <c r="R314" i="12"/>
  <c r="R313" i="12"/>
  <c r="R320" i="12"/>
  <c r="R312" i="12"/>
  <c r="S115" i="16"/>
  <c r="V67" i="16"/>
  <c r="BE76" i="12"/>
  <c r="BE79" i="12"/>
  <c r="BE77" i="12"/>
  <c r="BE78" i="12"/>
  <c r="BE74" i="12"/>
  <c r="AM50" i="8"/>
  <c r="AH125" i="8"/>
  <c r="AC204" i="12"/>
  <c r="T31" i="27"/>
  <c r="O112" i="23" s="1"/>
  <c r="T15" i="27"/>
  <c r="J42" i="16"/>
  <c r="AQ35" i="8"/>
  <c r="AP23" i="32" s="1"/>
  <c r="R508" i="9" s="1"/>
  <c r="AN133" i="8"/>
  <c r="AO133" i="8" s="1"/>
  <c r="AR33" i="28"/>
  <c r="AQ35" i="28"/>
  <c r="Q8" i="12"/>
  <c r="T308" i="12"/>
  <c r="T250" i="12"/>
  <c r="T253" i="12" s="1"/>
  <c r="V356" i="22"/>
  <c r="V368" i="22" s="1"/>
  <c r="AH14" i="32"/>
  <c r="BY296" i="22"/>
  <c r="BC296" i="22"/>
  <c r="V369" i="22"/>
  <c r="U345" i="22"/>
  <c r="BY328" i="22"/>
  <c r="BC328" i="22"/>
  <c r="AK165" i="8"/>
  <c r="AL165" i="8" s="1"/>
  <c r="AK42" i="8"/>
  <c r="H40" i="18"/>
  <c r="I40" i="18" s="1"/>
  <c r="H106" i="16"/>
  <c r="AJ158" i="8"/>
  <c r="U115" i="16"/>
  <c r="T14" i="12"/>
  <c r="T84" i="12"/>
  <c r="AW84" i="23"/>
  <c r="AY84" i="23"/>
  <c r="AX84" i="23"/>
  <c r="AV84" i="23"/>
  <c r="AU84" i="23"/>
  <c r="P84" i="23"/>
  <c r="AY28" i="12"/>
  <c r="AY30" i="12"/>
  <c r="AY31" i="12"/>
  <c r="AY29" i="12"/>
  <c r="AC130" i="12"/>
  <c r="AN354" i="9"/>
  <c r="AF354" i="9" s="1"/>
  <c r="AG354" i="9" s="1"/>
  <c r="AH354" i="9" s="1"/>
  <c r="AK354" i="9" s="1"/>
  <c r="S354" i="9"/>
  <c r="T354" i="9" s="1"/>
  <c r="AB144" i="8"/>
  <c r="AB139" i="8"/>
  <c r="AB146" i="8"/>
  <c r="AB141" i="8"/>
  <c r="AB140" i="8"/>
  <c r="AB148" i="8"/>
  <c r="AB143" i="8"/>
  <c r="AB147" i="8"/>
  <c r="AB138" i="8"/>
  <c r="AB142" i="8"/>
  <c r="AB145" i="8"/>
  <c r="S363" i="9"/>
  <c r="T363" i="9" s="1"/>
  <c r="AN363" i="9"/>
  <c r="AF363" i="9" s="1"/>
  <c r="AG363" i="9" s="1"/>
  <c r="AH363" i="9" s="1"/>
  <c r="AK363" i="9" s="1"/>
  <c r="AA49" i="12"/>
  <c r="AA139" i="12" s="1"/>
  <c r="CB299" i="22"/>
  <c r="V269" i="12"/>
  <c r="H31" i="18"/>
  <c r="H97" i="16"/>
  <c r="H32" i="19"/>
  <c r="AO149" i="8"/>
  <c r="AP149" i="8" s="1"/>
  <c r="AQ149" i="8" s="1"/>
  <c r="AX79" i="23"/>
  <c r="AW79" i="23"/>
  <c r="AV79" i="23"/>
  <c r="AU79" i="23"/>
  <c r="AY79" i="23"/>
  <c r="P79" i="23"/>
  <c r="AK47" i="8"/>
  <c r="S65" i="16"/>
  <c r="BZ301" i="22"/>
  <c r="S32" i="27"/>
  <c r="O101" i="23" s="1"/>
  <c r="S16" i="27"/>
  <c r="P86" i="23"/>
  <c r="AY86" i="23"/>
  <c r="AX86" i="23"/>
  <c r="BC86" i="23" s="1"/>
  <c r="AW86" i="23"/>
  <c r="AV86" i="23"/>
  <c r="AU86" i="23"/>
  <c r="V350" i="22"/>
  <c r="R17" i="27"/>
  <c r="AN130" i="8"/>
  <c r="Q297" i="12"/>
  <c r="Q298" i="12"/>
  <c r="Q302" i="12"/>
  <c r="Q305" i="12"/>
  <c r="Q301" i="12"/>
  <c r="Q306" i="12"/>
  <c r="Q299" i="12"/>
  <c r="Q303" i="12"/>
  <c r="Q296" i="12"/>
  <c r="Q304" i="12"/>
  <c r="Q300" i="12"/>
  <c r="AB130" i="12"/>
  <c r="BD285" i="22"/>
  <c r="X285" i="22"/>
  <c r="Y285" i="22" s="1"/>
  <c r="AF163" i="8"/>
  <c r="AF22" i="32"/>
  <c r="R387" i="9" s="1"/>
  <c r="AT17" i="28"/>
  <c r="AU15" i="28"/>
  <c r="AI36" i="8"/>
  <c r="BY301" i="22"/>
  <c r="BC301" i="22"/>
  <c r="AI182" i="12"/>
  <c r="H98" i="16"/>
  <c r="AR31" i="16"/>
  <c r="H32" i="18"/>
  <c r="H33" i="19"/>
  <c r="AM132" i="8"/>
  <c r="AL50" i="8"/>
  <c r="BY319" i="22"/>
  <c r="BC319" i="22"/>
  <c r="AY320" i="22"/>
  <c r="BB320" i="22"/>
  <c r="AZ320" i="22"/>
  <c r="AX320" i="22"/>
  <c r="W320" i="22"/>
  <c r="BA320" i="22"/>
  <c r="AA130" i="12"/>
  <c r="AF40" i="12"/>
  <c r="Q319" i="12"/>
  <c r="AF200" i="12"/>
  <c r="R33" i="27"/>
  <c r="R35" i="27" s="1"/>
  <c r="O78" i="23"/>
  <c r="BB323" i="22"/>
  <c r="CC323" i="22" s="1"/>
  <c r="BA323" i="22"/>
  <c r="W323" i="22"/>
  <c r="AZ323" i="22"/>
  <c r="CA323" i="22" s="1"/>
  <c r="AY323" i="22"/>
  <c r="BZ323" i="22" s="1"/>
  <c r="AX323" i="22"/>
  <c r="X334" i="22"/>
  <c r="Y334" i="22" s="1"/>
  <c r="BD334" i="22"/>
  <c r="T68" i="16"/>
  <c r="U68" i="16" s="1"/>
  <c r="AY212" i="22"/>
  <c r="BZ212" i="22" s="1"/>
  <c r="T27" i="27"/>
  <c r="O108" i="23" s="1"/>
  <c r="T11" i="27"/>
  <c r="J38" i="16"/>
  <c r="AZ24" i="12"/>
  <c r="W67" i="16"/>
  <c r="AH38" i="12"/>
  <c r="BF74" i="12"/>
  <c r="W225" i="12"/>
  <c r="W211" i="12"/>
  <c r="W4" i="12"/>
  <c r="W105" i="12"/>
  <c r="Q7" i="12"/>
  <c r="Q12" i="12"/>
  <c r="T244" i="12"/>
  <c r="AH36" i="8"/>
  <c r="AD187" i="12"/>
  <c r="AJ26" i="8"/>
  <c r="AD132" i="12" l="1"/>
  <c r="U385" i="22"/>
  <c r="Y67" i="16"/>
  <c r="I41" i="18"/>
  <c r="I107" i="16"/>
  <c r="I108" i="16" s="1"/>
  <c r="I42" i="19"/>
  <c r="AE77" i="12"/>
  <c r="AI37" i="8"/>
  <c r="AH25" i="32" s="1"/>
  <c r="R414" i="9" s="1"/>
  <c r="AM165" i="8"/>
  <c r="U368" i="22"/>
  <c r="AL154" i="8"/>
  <c r="T315" i="12"/>
  <c r="U116" i="16"/>
  <c r="W68" i="16"/>
  <c r="AG195" i="12"/>
  <c r="AC71" i="12"/>
  <c r="AM184" i="12"/>
  <c r="I41" i="19"/>
  <c r="AI43" i="8"/>
  <c r="AJ43" i="8"/>
  <c r="Y117" i="16"/>
  <c r="J99" i="16"/>
  <c r="J33" i="18"/>
  <c r="J34" i="19"/>
  <c r="V70" i="16"/>
  <c r="T24" i="12"/>
  <c r="AJ125" i="8"/>
  <c r="AQ8" i="28"/>
  <c r="W34" i="12"/>
  <c r="W6" i="12"/>
  <c r="U9" i="27"/>
  <c r="U25" i="27"/>
  <c r="O118" i="23" s="1"/>
  <c r="K36" i="16"/>
  <c r="AX357" i="22"/>
  <c r="BB357" i="22"/>
  <c r="BA357" i="22"/>
  <c r="AY357" i="22"/>
  <c r="AZ357" i="22"/>
  <c r="W357" i="22"/>
  <c r="AK9" i="28"/>
  <c r="Q156" i="12"/>
  <c r="Q107" i="12"/>
  <c r="Q66" i="12"/>
  <c r="AU17" i="28"/>
  <c r="AV15" i="28"/>
  <c r="AZ338" i="22"/>
  <c r="W338" i="22"/>
  <c r="AY338" i="22"/>
  <c r="BZ338" i="22" s="1"/>
  <c r="BB338" i="22"/>
  <c r="AX338" i="22"/>
  <c r="BA338" i="22"/>
  <c r="BB342" i="22"/>
  <c r="BA342" i="22"/>
  <c r="AZ342" i="22"/>
  <c r="AY342" i="22"/>
  <c r="AX342" i="22"/>
  <c r="W342" i="22"/>
  <c r="T22" i="12"/>
  <c r="AF130" i="12"/>
  <c r="BB96" i="23"/>
  <c r="AZ96" i="23"/>
  <c r="BA96" i="23" s="1"/>
  <c r="AG42" i="12"/>
  <c r="AH42" i="12" s="1"/>
  <c r="BB91" i="23"/>
  <c r="AZ91" i="23"/>
  <c r="BA91" i="23" s="1"/>
  <c r="AI11" i="28"/>
  <c r="O174" i="12"/>
  <c r="O19" i="12"/>
  <c r="BY330" i="22"/>
  <c r="BC330" i="22"/>
  <c r="CB332" i="22"/>
  <c r="AB266" i="12"/>
  <c r="AB282" i="12" s="1"/>
  <c r="AJ266" i="12"/>
  <c r="AJ282" i="12" s="1"/>
  <c r="AI266" i="12"/>
  <c r="AI282" i="12" s="1"/>
  <c r="AH266" i="12"/>
  <c r="AH282" i="12" s="1"/>
  <c r="AG266" i="12"/>
  <c r="AG282" i="12" s="1"/>
  <c r="AF266" i="12"/>
  <c r="AF282" i="12" s="1"/>
  <c r="AE266" i="12"/>
  <c r="AE282" i="12" s="1"/>
  <c r="AD266" i="12"/>
  <c r="AD282" i="12" s="1"/>
  <c r="AC266" i="12"/>
  <c r="AC282" i="12" s="1"/>
  <c r="AK266" i="12"/>
  <c r="AK282" i="12" s="1"/>
  <c r="Y266" i="12"/>
  <c r="AM266" i="12"/>
  <c r="AM282" i="12" s="1"/>
  <c r="AL266" i="12"/>
  <c r="AL282" i="12" s="1"/>
  <c r="AA266" i="12"/>
  <c r="AA282" i="12" s="1"/>
  <c r="Z266" i="12"/>
  <c r="Z282" i="12" s="1"/>
  <c r="H85" i="13"/>
  <c r="H69" i="13" s="1"/>
  <c r="H68" i="13"/>
  <c r="V31" i="27"/>
  <c r="O136" i="23" s="1"/>
  <c r="V15" i="27"/>
  <c r="V108" i="12"/>
  <c r="V213" i="12"/>
  <c r="AH24" i="32"/>
  <c r="R413" i="9" s="1"/>
  <c r="BD299" i="22"/>
  <c r="X299" i="22"/>
  <c r="Y299" i="22" s="1"/>
  <c r="BZ337" i="22"/>
  <c r="V383" i="22"/>
  <c r="V395" i="22" s="1"/>
  <c r="U359" i="22"/>
  <c r="U22" i="27"/>
  <c r="O115" i="23" s="1"/>
  <c r="U6" i="27"/>
  <c r="K33" i="16"/>
  <c r="U29" i="27"/>
  <c r="O122" i="23" s="1"/>
  <c r="U13" i="27"/>
  <c r="K40" i="16"/>
  <c r="AK154" i="8"/>
  <c r="AP133" i="8"/>
  <c r="BY333" i="22"/>
  <c r="BC333" i="22"/>
  <c r="R316" i="12"/>
  <c r="AT21" i="28"/>
  <c r="AS23" i="28"/>
  <c r="AB90" i="8"/>
  <c r="AB91" i="8" s="1"/>
  <c r="AB92" i="8" s="1"/>
  <c r="AB93" i="8" s="1"/>
  <c r="AB94" i="8" s="1"/>
  <c r="AB95" i="8" s="1"/>
  <c r="AB96" i="8" s="1"/>
  <c r="AB97" i="8" s="1"/>
  <c r="AB98" i="8" s="1"/>
  <c r="AB99" i="8" s="1"/>
  <c r="AB100" i="8" s="1"/>
  <c r="AB101" i="8" s="1"/>
  <c r="AC90" i="8" s="1"/>
  <c r="AC91" i="8" s="1"/>
  <c r="AC92" i="8" s="1"/>
  <c r="AC93" i="8" s="1"/>
  <c r="AN454" i="9"/>
  <c r="AF454" i="9" s="1"/>
  <c r="AG454" i="9" s="1"/>
  <c r="AH454" i="9" s="1"/>
  <c r="AK454" i="9" s="1"/>
  <c r="S454" i="9"/>
  <c r="T454" i="9" s="1"/>
  <c r="BZ339" i="22"/>
  <c r="AF198" i="12"/>
  <c r="AG198" i="12" s="1"/>
  <c r="R33" i="12"/>
  <c r="Z81" i="12"/>
  <c r="AB71" i="12"/>
  <c r="AB81" i="12" s="1"/>
  <c r="S22" i="13"/>
  <c r="S21" i="13"/>
  <c r="S20" i="13"/>
  <c r="S19" i="13"/>
  <c r="S18" i="13"/>
  <c r="S17" i="13"/>
  <c r="S23" i="13"/>
  <c r="S14" i="13"/>
  <c r="S24" i="13"/>
  <c r="S15" i="13"/>
  <c r="S25" i="13"/>
  <c r="S16" i="13"/>
  <c r="U14" i="27"/>
  <c r="U30" i="27"/>
  <c r="O123" i="23" s="1"/>
  <c r="K41" i="16"/>
  <c r="L41" i="16" s="1"/>
  <c r="AZ349" i="22"/>
  <c r="CA349" i="22" s="1"/>
  <c r="AX349" i="22"/>
  <c r="AY349" i="22"/>
  <c r="BZ349" i="22" s="1"/>
  <c r="BB349" i="22"/>
  <c r="CC349" i="22" s="1"/>
  <c r="BA349" i="22"/>
  <c r="CB349" i="22" s="1"/>
  <c r="W349" i="22"/>
  <c r="BY331" i="22"/>
  <c r="BC331" i="22"/>
  <c r="AY105" i="23"/>
  <c r="AV105" i="23"/>
  <c r="AU105" i="23"/>
  <c r="AX105" i="23"/>
  <c r="BC105" i="23" s="1"/>
  <c r="AW105" i="23"/>
  <c r="P105" i="23"/>
  <c r="V405" i="22"/>
  <c r="U381" i="22"/>
  <c r="U70" i="16"/>
  <c r="AS47" i="28"/>
  <c r="AT45" i="28"/>
  <c r="BY325" i="22"/>
  <c r="BC325" i="22"/>
  <c r="Q124" i="16"/>
  <c r="V276" i="12"/>
  <c r="AI18" i="32"/>
  <c r="R419" i="9" s="1"/>
  <c r="U31" i="27"/>
  <c r="O124" i="23" s="1"/>
  <c r="U15" i="27"/>
  <c r="K42" i="16"/>
  <c r="L42" i="16" s="1"/>
  <c r="U35" i="12"/>
  <c r="U27" i="12"/>
  <c r="U31" i="12"/>
  <c r="U25" i="12"/>
  <c r="U26" i="12"/>
  <c r="AG21" i="32"/>
  <c r="R398" i="9" s="1"/>
  <c r="AL33" i="8"/>
  <c r="AI33" i="8"/>
  <c r="BB351" i="22"/>
  <c r="BA351" i="22"/>
  <c r="CB351" i="22" s="1"/>
  <c r="AY351" i="22"/>
  <c r="BZ351" i="22" s="1"/>
  <c r="W351" i="22"/>
  <c r="AZ351" i="22"/>
  <c r="CA351" i="22" s="1"/>
  <c r="AX351" i="22"/>
  <c r="J40" i="18"/>
  <c r="J41" i="19"/>
  <c r="J106" i="16"/>
  <c r="U26" i="27"/>
  <c r="O119" i="23" s="1"/>
  <c r="U10" i="27"/>
  <c r="K37" i="16"/>
  <c r="V399" i="22"/>
  <c r="U375" i="22"/>
  <c r="S30" i="12"/>
  <c r="S433" i="9"/>
  <c r="T433" i="9" s="1"/>
  <c r="AN433" i="9"/>
  <c r="AF433" i="9" s="1"/>
  <c r="AG433" i="9" s="1"/>
  <c r="AH433" i="9" s="1"/>
  <c r="AK433" i="9" s="1"/>
  <c r="AY394" i="22"/>
  <c r="BZ394" i="22" s="1"/>
  <c r="AX394" i="22"/>
  <c r="BB394" i="22"/>
  <c r="CC394" i="22" s="1"/>
  <c r="BA394" i="22"/>
  <c r="AZ394" i="22"/>
  <c r="W394" i="22"/>
  <c r="T41" i="13"/>
  <c r="T40" i="13"/>
  <c r="T39" i="13"/>
  <c r="T38" i="13"/>
  <c r="T37" i="13"/>
  <c r="T36" i="13"/>
  <c r="T35" i="13"/>
  <c r="T34" i="13"/>
  <c r="T31" i="13"/>
  <c r="T33" i="13"/>
  <c r="T32" i="13"/>
  <c r="T30" i="13"/>
  <c r="AM154" i="8"/>
  <c r="S318" i="12"/>
  <c r="J37" i="18"/>
  <c r="J103" i="16"/>
  <c r="J38" i="19"/>
  <c r="AU110" i="23"/>
  <c r="AW110" i="23"/>
  <c r="P110" i="23"/>
  <c r="AY110" i="23"/>
  <c r="AX110" i="23"/>
  <c r="AV110" i="23"/>
  <c r="CA339" i="22"/>
  <c r="AK44" i="12"/>
  <c r="AK134" i="12" s="1"/>
  <c r="AZ83" i="23"/>
  <c r="BA83" i="23" s="1"/>
  <c r="BB83" i="23"/>
  <c r="CC320" i="22"/>
  <c r="R321" i="12"/>
  <c r="AZ80" i="23"/>
  <c r="BA80" i="23" s="1"/>
  <c r="BB80" i="23"/>
  <c r="AN379" i="9"/>
  <c r="AF379" i="9" s="1"/>
  <c r="AG379" i="9" s="1"/>
  <c r="AH379" i="9" s="1"/>
  <c r="AK379" i="9" s="1"/>
  <c r="S379" i="9"/>
  <c r="T379" i="9" s="1"/>
  <c r="BB348" i="22"/>
  <c r="AZ348" i="22"/>
  <c r="AY348" i="22"/>
  <c r="BA348" i="22"/>
  <c r="AX348" i="22"/>
  <c r="W348" i="22"/>
  <c r="T321" i="12"/>
  <c r="U372" i="22"/>
  <c r="CC339" i="22"/>
  <c r="AC76" i="8"/>
  <c r="AC83" i="8"/>
  <c r="AC78" i="8"/>
  <c r="AC80" i="8"/>
  <c r="AC75" i="8"/>
  <c r="AC84" i="8"/>
  <c r="AC77" i="8"/>
  <c r="AC82" i="8"/>
  <c r="AC81" i="8"/>
  <c r="AC79" i="8"/>
  <c r="AC74" i="8"/>
  <c r="AC85" i="8" s="1"/>
  <c r="U367" i="22"/>
  <c r="BZ352" i="22"/>
  <c r="R122" i="16"/>
  <c r="R124" i="16" s="1"/>
  <c r="CB343" i="22"/>
  <c r="U247" i="12"/>
  <c r="AO123" i="8"/>
  <c r="AJ11" i="28"/>
  <c r="P174" i="12"/>
  <c r="P19" i="12"/>
  <c r="O144" i="12"/>
  <c r="AW57" i="12"/>
  <c r="O86" i="12"/>
  <c r="O87" i="12" s="1"/>
  <c r="O88" i="12" s="1"/>
  <c r="S12" i="12"/>
  <c r="P61" i="12"/>
  <c r="P151" i="12" s="1"/>
  <c r="P56" i="12"/>
  <c r="P146" i="12" s="1"/>
  <c r="P54" i="12"/>
  <c r="P57" i="12"/>
  <c r="P64" i="12"/>
  <c r="P154" i="12" s="1"/>
  <c r="P59" i="12"/>
  <c r="P149" i="12" s="1"/>
  <c r="P60" i="12"/>
  <c r="P58" i="12"/>
  <c r="P148" i="12" s="1"/>
  <c r="P62" i="12"/>
  <c r="P152" i="12" s="1"/>
  <c r="P63" i="12"/>
  <c r="P55" i="12"/>
  <c r="P145" i="12" s="1"/>
  <c r="AB265" i="12"/>
  <c r="AB281" i="12" s="1"/>
  <c r="AA265" i="12"/>
  <c r="AA281" i="12" s="1"/>
  <c r="Z265" i="12"/>
  <c r="Z281" i="12" s="1"/>
  <c r="Y265" i="12"/>
  <c r="CB331" i="22"/>
  <c r="AC265" i="12"/>
  <c r="AC281" i="12" s="1"/>
  <c r="AI265" i="12"/>
  <c r="AI281" i="12" s="1"/>
  <c r="AK265" i="12"/>
  <c r="AK281" i="12" s="1"/>
  <c r="AJ265" i="12"/>
  <c r="AJ281" i="12" s="1"/>
  <c r="AH265" i="12"/>
  <c r="AH281" i="12" s="1"/>
  <c r="AG265" i="12"/>
  <c r="AG281" i="12" s="1"/>
  <c r="AF265" i="12"/>
  <c r="AF281" i="12" s="1"/>
  <c r="AE265" i="12"/>
  <c r="AE281" i="12" s="1"/>
  <c r="AD265" i="12"/>
  <c r="AD281" i="12" s="1"/>
  <c r="AM265" i="12"/>
  <c r="AM281" i="12" s="1"/>
  <c r="AL265" i="12"/>
  <c r="AL281" i="12" s="1"/>
  <c r="AJ33" i="8"/>
  <c r="AP29" i="8"/>
  <c r="S372" i="9"/>
  <c r="T372" i="9" s="1"/>
  <c r="AN372" i="9"/>
  <c r="AF372" i="9" s="1"/>
  <c r="AG372" i="9" s="1"/>
  <c r="AH372" i="9" s="1"/>
  <c r="AK372" i="9" s="1"/>
  <c r="R297" i="12"/>
  <c r="R305" i="12"/>
  <c r="R298" i="12"/>
  <c r="R301" i="12"/>
  <c r="R306" i="12"/>
  <c r="R302" i="12"/>
  <c r="R299" i="12"/>
  <c r="R303" i="12"/>
  <c r="R296" i="12"/>
  <c r="R304" i="12"/>
  <c r="R300" i="12"/>
  <c r="V10" i="27"/>
  <c r="V26" i="27"/>
  <c r="O131" i="23" s="1"/>
  <c r="AS3" i="28"/>
  <c r="R319" i="12"/>
  <c r="AY347" i="22"/>
  <c r="BB347" i="22"/>
  <c r="CC347" i="22" s="1"/>
  <c r="W347" i="22"/>
  <c r="BA347" i="22"/>
  <c r="AZ347" i="22"/>
  <c r="CA347" i="22" s="1"/>
  <c r="AX347" i="22"/>
  <c r="BB92" i="23"/>
  <c r="AZ92" i="23"/>
  <c r="BA92" i="23" s="1"/>
  <c r="AW106" i="23"/>
  <c r="AV106" i="23"/>
  <c r="P106" i="23"/>
  <c r="AY106" i="23"/>
  <c r="AX106" i="23"/>
  <c r="BC106" i="23" s="1"/>
  <c r="AU106" i="23"/>
  <c r="S25" i="12"/>
  <c r="W223" i="12"/>
  <c r="W224" i="12"/>
  <c r="W324" i="12" s="1"/>
  <c r="W222" i="12"/>
  <c r="W221" i="12"/>
  <c r="W244" i="12" s="1"/>
  <c r="BC332" i="22"/>
  <c r="BY332" i="22"/>
  <c r="V14" i="27"/>
  <c r="V30" i="27"/>
  <c r="O135" i="23" s="1"/>
  <c r="AL42" i="8"/>
  <c r="AB205" i="12"/>
  <c r="U9" i="12"/>
  <c r="CB337" i="22"/>
  <c r="AJ271" i="12"/>
  <c r="AJ287" i="12" s="1"/>
  <c r="AD271" i="12"/>
  <c r="AD287" i="12" s="1"/>
  <c r="AC271" i="12"/>
  <c r="AC287" i="12" s="1"/>
  <c r="AB271" i="12"/>
  <c r="AB287" i="12" s="1"/>
  <c r="AA271" i="12"/>
  <c r="AA287" i="12" s="1"/>
  <c r="Z271" i="12"/>
  <c r="Z287" i="12" s="1"/>
  <c r="Y271" i="12"/>
  <c r="AM271" i="12"/>
  <c r="AM287" i="12" s="1"/>
  <c r="AL271" i="12"/>
  <c r="AL287" i="12" s="1"/>
  <c r="AK271" i="12"/>
  <c r="AK287" i="12" s="1"/>
  <c r="AE271" i="12"/>
  <c r="AE287" i="12" s="1"/>
  <c r="AG271" i="12"/>
  <c r="AG287" i="12" s="1"/>
  <c r="AI271" i="12"/>
  <c r="AI287" i="12" s="1"/>
  <c r="AH271" i="12"/>
  <c r="AH287" i="12" s="1"/>
  <c r="AF271" i="12"/>
  <c r="AF287" i="12" s="1"/>
  <c r="AG138" i="12"/>
  <c r="AI48" i="12"/>
  <c r="AI138" i="12" s="1"/>
  <c r="AJ48" i="12"/>
  <c r="AJ138" i="12" s="1"/>
  <c r="BC92" i="23"/>
  <c r="R315" i="12"/>
  <c r="O114" i="12"/>
  <c r="O214" i="12"/>
  <c r="BE48" i="12"/>
  <c r="BE49" i="12"/>
  <c r="CB320" i="22"/>
  <c r="X266" i="12"/>
  <c r="S322" i="12"/>
  <c r="T114" i="16"/>
  <c r="CB333" i="22"/>
  <c r="AH267" i="12"/>
  <c r="AH283" i="12" s="1"/>
  <c r="AM267" i="12"/>
  <c r="AM283" i="12" s="1"/>
  <c r="AL267" i="12"/>
  <c r="AL283" i="12" s="1"/>
  <c r="AK267" i="12"/>
  <c r="AK283" i="12" s="1"/>
  <c r="AD267" i="12"/>
  <c r="AD283" i="12" s="1"/>
  <c r="AF267" i="12"/>
  <c r="AF283" i="12" s="1"/>
  <c r="AE267" i="12"/>
  <c r="AE283" i="12" s="1"/>
  <c r="AC267" i="12"/>
  <c r="AC283" i="12" s="1"/>
  <c r="AB267" i="12"/>
  <c r="AB283" i="12" s="1"/>
  <c r="AA267" i="12"/>
  <c r="AA283" i="12" s="1"/>
  <c r="Z267" i="12"/>
  <c r="Z283" i="12" s="1"/>
  <c r="Y267" i="12"/>
  <c r="AJ267" i="12"/>
  <c r="AJ283" i="12" s="1"/>
  <c r="AI267" i="12"/>
  <c r="AI283" i="12" s="1"/>
  <c r="AG267" i="12"/>
  <c r="AG283" i="12" s="1"/>
  <c r="AG19" i="32"/>
  <c r="AH37" i="8"/>
  <c r="AG25" i="32" s="1"/>
  <c r="R402" i="9" s="1"/>
  <c r="CA320" i="22"/>
  <c r="V400" i="22"/>
  <c r="U376" i="22"/>
  <c r="AH22" i="32"/>
  <c r="R411" i="9" s="1"/>
  <c r="AJ34" i="8"/>
  <c r="AG196" i="12"/>
  <c r="CB339" i="22"/>
  <c r="Z273" i="12"/>
  <c r="Z289" i="12" s="1"/>
  <c r="AM273" i="12"/>
  <c r="AM289" i="12" s="1"/>
  <c r="AL273" i="12"/>
  <c r="AL289" i="12" s="1"/>
  <c r="AK273" i="12"/>
  <c r="AK289" i="12" s="1"/>
  <c r="AJ273" i="12"/>
  <c r="AJ289" i="12" s="1"/>
  <c r="AI273" i="12"/>
  <c r="AI289" i="12" s="1"/>
  <c r="AH273" i="12"/>
  <c r="AH289" i="12" s="1"/>
  <c r="AG273" i="12"/>
  <c r="AG289" i="12" s="1"/>
  <c r="AF273" i="12"/>
  <c r="AF289" i="12" s="1"/>
  <c r="AA273" i="12"/>
  <c r="AA289" i="12" s="1"/>
  <c r="Y273" i="12"/>
  <c r="AD273" i="12"/>
  <c r="AD289" i="12" s="1"/>
  <c r="AC273" i="12"/>
  <c r="AC289" i="12" s="1"/>
  <c r="AB273" i="12"/>
  <c r="AB289" i="12" s="1"/>
  <c r="AE273" i="12"/>
  <c r="AE289" i="12" s="1"/>
  <c r="AC144" i="8"/>
  <c r="AC139" i="8"/>
  <c r="AC146" i="8"/>
  <c r="AC141" i="8"/>
  <c r="AC148" i="8"/>
  <c r="AC140" i="8"/>
  <c r="AC147" i="8"/>
  <c r="AC143" i="8"/>
  <c r="AC138" i="8"/>
  <c r="AC142" i="8"/>
  <c r="AC145" i="8"/>
  <c r="V397" i="22"/>
  <c r="V409" i="22" s="1"/>
  <c r="U373" i="22"/>
  <c r="X306" i="22"/>
  <c r="Y306" i="22" s="1"/>
  <c r="BD306" i="22"/>
  <c r="S478" i="9"/>
  <c r="T478" i="9" s="1"/>
  <c r="AN478" i="9"/>
  <c r="AF478" i="9" s="1"/>
  <c r="AG478" i="9" s="1"/>
  <c r="AH478" i="9" s="1"/>
  <c r="AK478" i="9" s="1"/>
  <c r="BZ320" i="22"/>
  <c r="BB84" i="23"/>
  <c r="AZ84" i="23"/>
  <c r="BA84" i="23" s="1"/>
  <c r="V393" i="22"/>
  <c r="U369" i="22"/>
  <c r="BE81" i="12"/>
  <c r="BE80" i="12"/>
  <c r="AG161" i="8"/>
  <c r="AO122" i="8"/>
  <c r="AQ122" i="8" s="1"/>
  <c r="BB85" i="23"/>
  <c r="AZ85" i="23"/>
  <c r="BA85" i="23" s="1"/>
  <c r="CC326" i="22"/>
  <c r="AN127" i="8"/>
  <c r="AU103" i="23"/>
  <c r="AY103" i="23"/>
  <c r="AX103" i="23"/>
  <c r="BC103" i="23" s="1"/>
  <c r="AW103" i="23"/>
  <c r="AV103" i="23"/>
  <c r="P103" i="23"/>
  <c r="BC339" i="22"/>
  <c r="BY339" i="22"/>
  <c r="BY318" i="22"/>
  <c r="BC318" i="22"/>
  <c r="AD70" i="8"/>
  <c r="AE8" i="8"/>
  <c r="AD7" i="8"/>
  <c r="AD86" i="8" s="1"/>
  <c r="AD17" i="8"/>
  <c r="AD150" i="8" s="1"/>
  <c r="CA352" i="22"/>
  <c r="BC93" i="23"/>
  <c r="CC343" i="22"/>
  <c r="T12" i="12"/>
  <c r="AN440" i="9"/>
  <c r="AF440" i="9" s="1"/>
  <c r="AG440" i="9" s="1"/>
  <c r="AH440" i="9" s="1"/>
  <c r="AK440" i="9" s="1"/>
  <c r="S440" i="9"/>
  <c r="T440" i="9" s="1"/>
  <c r="BD309" i="22"/>
  <c r="X309" i="22"/>
  <c r="Y309" i="22" s="1"/>
  <c r="AL158" i="8"/>
  <c r="AX354" i="22"/>
  <c r="W354" i="22"/>
  <c r="BB354" i="22"/>
  <c r="CC354" i="22" s="1"/>
  <c r="AY354" i="22"/>
  <c r="BZ354" i="22" s="1"/>
  <c r="BA354" i="22"/>
  <c r="CB354" i="22" s="1"/>
  <c r="AZ354" i="22"/>
  <c r="CA354" i="22" s="1"/>
  <c r="P215" i="12"/>
  <c r="P106" i="12"/>
  <c r="AV107" i="23"/>
  <c r="P107" i="23"/>
  <c r="AY107" i="23"/>
  <c r="AX107" i="23"/>
  <c r="BC107" i="23" s="1"/>
  <c r="AU107" i="23"/>
  <c r="AW107" i="23"/>
  <c r="BY370" i="22"/>
  <c r="BC370" i="22"/>
  <c r="S466" i="9"/>
  <c r="T466" i="9" s="1"/>
  <c r="AN466" i="9"/>
  <c r="AF466" i="9" s="1"/>
  <c r="AG466" i="9" s="1"/>
  <c r="AH466" i="9" s="1"/>
  <c r="AK466" i="9" s="1"/>
  <c r="AM47" i="8"/>
  <c r="AK10" i="28"/>
  <c r="AK12" i="28" s="1"/>
  <c r="Q18" i="12"/>
  <c r="Q17" i="12" s="1"/>
  <c r="Q16" i="12"/>
  <c r="W363" i="22"/>
  <c r="AY363" i="22"/>
  <c r="BZ363" i="22" s="1"/>
  <c r="BB363" i="22"/>
  <c r="CC363" i="22" s="1"/>
  <c r="BA363" i="22"/>
  <c r="AZ363" i="22"/>
  <c r="AX363" i="22"/>
  <c r="AP8" i="28"/>
  <c r="V34" i="12"/>
  <c r="V6" i="12"/>
  <c r="AN389" i="9"/>
  <c r="AF389" i="9" s="1"/>
  <c r="AG389" i="9" s="1"/>
  <c r="AH389" i="9" s="1"/>
  <c r="AK389" i="9" s="1"/>
  <c r="S389" i="9"/>
  <c r="T389" i="9" s="1"/>
  <c r="T301" i="12"/>
  <c r="T305" i="12"/>
  <c r="T300" i="12"/>
  <c r="T296" i="12"/>
  <c r="T306" i="12"/>
  <c r="AX32" i="12"/>
  <c r="AX33" i="12"/>
  <c r="CC332" i="22"/>
  <c r="BA335" i="22"/>
  <c r="AZ335" i="22"/>
  <c r="CA335" i="22" s="1"/>
  <c r="W335" i="22"/>
  <c r="BB335" i="22"/>
  <c r="CC335" i="22" s="1"/>
  <c r="AY335" i="22"/>
  <c r="BZ335" i="22" s="1"/>
  <c r="AX335" i="22"/>
  <c r="BD302" i="22"/>
  <c r="X302" i="22"/>
  <c r="Y302" i="22" s="1"/>
  <c r="H35" i="19"/>
  <c r="H43" i="19" s="1"/>
  <c r="O239" i="12" s="1"/>
  <c r="CA337" i="22"/>
  <c r="BF81" i="12"/>
  <c r="BF80" i="12"/>
  <c r="BG74" i="12"/>
  <c r="BC79" i="23"/>
  <c r="U366" i="22"/>
  <c r="Y103" i="12"/>
  <c r="V120" i="16"/>
  <c r="U27" i="27"/>
  <c r="O120" i="23" s="1"/>
  <c r="U11" i="27"/>
  <c r="K38" i="16"/>
  <c r="BA24" i="12"/>
  <c r="AN386" i="9"/>
  <c r="AF386" i="9" s="1"/>
  <c r="AG386" i="9" s="1"/>
  <c r="AH386" i="9" s="1"/>
  <c r="AK386" i="9" s="1"/>
  <c r="S386" i="9"/>
  <c r="T386" i="9" s="1"/>
  <c r="J36" i="18"/>
  <c r="J37" i="19"/>
  <c r="J102" i="16"/>
  <c r="AR6" i="28"/>
  <c r="BC320" i="22"/>
  <c r="BY320" i="22"/>
  <c r="I44" i="16"/>
  <c r="I7" i="16" s="1"/>
  <c r="I5" i="16" s="1"/>
  <c r="AS39" i="28"/>
  <c r="AR41" i="28"/>
  <c r="P108" i="23"/>
  <c r="AY108" i="23"/>
  <c r="AX108" i="23"/>
  <c r="AW108" i="23"/>
  <c r="AV108" i="23"/>
  <c r="AU108" i="23"/>
  <c r="R318" i="12"/>
  <c r="AH48" i="12"/>
  <c r="R360" i="9"/>
  <c r="AD26" i="32"/>
  <c r="AF160" i="8"/>
  <c r="AF19" i="32"/>
  <c r="R384" i="9" s="1"/>
  <c r="AG37" i="8"/>
  <c r="AF25" i="32" s="1"/>
  <c r="R390" i="9" s="1"/>
  <c r="V430" i="22"/>
  <c r="U406" i="22"/>
  <c r="AY33" i="12"/>
  <c r="CC333" i="22"/>
  <c r="J101" i="16"/>
  <c r="AT32" i="16"/>
  <c r="J35" i="18"/>
  <c r="BB361" i="22"/>
  <c r="CC361" i="22" s="1"/>
  <c r="AZ361" i="22"/>
  <c r="CA361" i="22" s="1"/>
  <c r="W361" i="22"/>
  <c r="BA361" i="22"/>
  <c r="CB361" i="22" s="1"/>
  <c r="AY361" i="22"/>
  <c r="BZ361" i="22" s="1"/>
  <c r="AX361" i="22"/>
  <c r="T116" i="16"/>
  <c r="BD319" i="22"/>
  <c r="X319" i="22"/>
  <c r="Y319" i="22" s="1"/>
  <c r="BD296" i="22"/>
  <c r="X296" i="22"/>
  <c r="Y296" i="22" s="1"/>
  <c r="I40" i="19"/>
  <c r="AI125" i="8"/>
  <c r="AA81" i="12"/>
  <c r="AQ162" i="8"/>
  <c r="AC137" i="12"/>
  <c r="AE47" i="12"/>
  <c r="AD47" i="12"/>
  <c r="AF47" i="12" s="1"/>
  <c r="AC64" i="8"/>
  <c r="AC59" i="8"/>
  <c r="AC66" i="8"/>
  <c r="AC61" i="8"/>
  <c r="AC65" i="8"/>
  <c r="AC58" i="8"/>
  <c r="AC69" i="8" s="1"/>
  <c r="AC68" i="8"/>
  <c r="AC60" i="8"/>
  <c r="AC63" i="8"/>
  <c r="AC62" i="8"/>
  <c r="AC67" i="8"/>
  <c r="CB204" i="22"/>
  <c r="N270" i="12"/>
  <c r="N286" i="12" s="1"/>
  <c r="CB352" i="22"/>
  <c r="AK48" i="12"/>
  <c r="AK138" i="12" s="1"/>
  <c r="R8" i="12"/>
  <c r="BA355" i="22"/>
  <c r="BB355" i="22"/>
  <c r="CC355" i="22" s="1"/>
  <c r="AZ355" i="22"/>
  <c r="CA355" i="22" s="1"/>
  <c r="AY355" i="22"/>
  <c r="BZ355" i="22" s="1"/>
  <c r="AX355" i="22"/>
  <c r="W355" i="22"/>
  <c r="BC343" i="22"/>
  <c r="BY343" i="22"/>
  <c r="U308" i="12"/>
  <c r="U250" i="12"/>
  <c r="U253" i="12" s="1"/>
  <c r="X314" i="22"/>
  <c r="Y314" i="22" s="1"/>
  <c r="BD314" i="22"/>
  <c r="BC401" i="22"/>
  <c r="BY401" i="22"/>
  <c r="O150" i="12"/>
  <c r="AX55" i="12"/>
  <c r="AK49" i="8"/>
  <c r="V378" i="22"/>
  <c r="X68" i="16"/>
  <c r="S116" i="16"/>
  <c r="AF196" i="12"/>
  <c r="BD324" i="22"/>
  <c r="X324" i="22"/>
  <c r="Y324" i="22" s="1"/>
  <c r="T16" i="27"/>
  <c r="T32" i="27"/>
  <c r="O113" i="23" s="1"/>
  <c r="J43" i="16"/>
  <c r="Q323" i="12"/>
  <c r="AM179" i="12"/>
  <c r="AN391" i="9"/>
  <c r="AF391" i="9" s="1"/>
  <c r="AG391" i="9" s="1"/>
  <c r="AH391" i="9" s="1"/>
  <c r="AK391" i="9" s="1"/>
  <c r="S391" i="9"/>
  <c r="T391" i="9" s="1"/>
  <c r="J105" i="16"/>
  <c r="J39" i="18"/>
  <c r="S316" i="12"/>
  <c r="U362" i="22"/>
  <c r="S29" i="12"/>
  <c r="T29" i="12" s="1"/>
  <c r="V374" i="22"/>
  <c r="V386" i="22" s="1"/>
  <c r="U350" i="22"/>
  <c r="AH197" i="12"/>
  <c r="BB213" i="22"/>
  <c r="CC213" i="22" s="1"/>
  <c r="W115" i="16"/>
  <c r="AL51" i="8"/>
  <c r="AG200" i="12"/>
  <c r="AK33" i="8"/>
  <c r="BD328" i="22"/>
  <c r="X328" i="22"/>
  <c r="Y328" i="22" s="1"/>
  <c r="AK30" i="8"/>
  <c r="CA340" i="22"/>
  <c r="AP122" i="8"/>
  <c r="AL188" i="12"/>
  <c r="AK125" i="8"/>
  <c r="J97" i="16"/>
  <c r="X225" i="12"/>
  <c r="X211" i="12"/>
  <c r="X105" i="12"/>
  <c r="X4" i="12"/>
  <c r="AW109" i="23"/>
  <c r="AV109" i="23"/>
  <c r="P109" i="23"/>
  <c r="AY109" i="23"/>
  <c r="AX109" i="23"/>
  <c r="BC109" i="23" s="1"/>
  <c r="AU109" i="23"/>
  <c r="AE74" i="12"/>
  <c r="U315" i="12"/>
  <c r="AM155" i="8"/>
  <c r="AY345" i="22"/>
  <c r="AX345" i="22"/>
  <c r="BB345" i="22"/>
  <c r="BA345" i="22"/>
  <c r="AZ345" i="22"/>
  <c r="W345" i="22"/>
  <c r="AH161" i="8"/>
  <c r="AF26" i="32"/>
  <c r="AN46" i="8"/>
  <c r="AI14" i="32"/>
  <c r="AK26" i="8"/>
  <c r="AX101" i="23"/>
  <c r="BC101" i="23" s="1"/>
  <c r="AW101" i="23"/>
  <c r="AV101" i="23"/>
  <c r="AY101" i="23"/>
  <c r="AU101" i="23"/>
  <c r="P101" i="23"/>
  <c r="BC84" i="23"/>
  <c r="BB212" i="22"/>
  <c r="CC212" i="22" s="1"/>
  <c r="W344" i="22"/>
  <c r="BB344" i="22"/>
  <c r="CC344" i="22" s="1"/>
  <c r="BA344" i="22"/>
  <c r="CB344" i="22" s="1"/>
  <c r="AZ344" i="22"/>
  <c r="CA344" i="22" s="1"/>
  <c r="AY344" i="22"/>
  <c r="BZ344" i="22" s="1"/>
  <c r="AX344" i="22"/>
  <c r="AP123" i="8"/>
  <c r="AQ123" i="8" s="1"/>
  <c r="AJ41" i="12"/>
  <c r="AJ131" i="12" s="1"/>
  <c r="AL15" i="32"/>
  <c r="R452" i="9" s="1"/>
  <c r="AN27" i="8"/>
  <c r="AM15" i="32" s="1"/>
  <c r="R464" i="9" s="1"/>
  <c r="BC100" i="23"/>
  <c r="CA318" i="22"/>
  <c r="AK20" i="32"/>
  <c r="R445" i="9" s="1"/>
  <c r="AM32" i="8"/>
  <c r="AN32" i="8"/>
  <c r="AM20" i="32" s="1"/>
  <c r="R469" i="9" s="1"/>
  <c r="BY327" i="22"/>
  <c r="BC327" i="22"/>
  <c r="BC94" i="23"/>
  <c r="CC352" i="22"/>
  <c r="AR29" i="28"/>
  <c r="AS27" i="28"/>
  <c r="R12" i="12"/>
  <c r="BB93" i="23"/>
  <c r="AZ93" i="23"/>
  <c r="BA93" i="23" s="1"/>
  <c r="V379" i="22"/>
  <c r="CA343" i="22"/>
  <c r="AE73" i="12"/>
  <c r="BZ401" i="22"/>
  <c r="AJ49" i="8"/>
  <c r="AJ182" i="12"/>
  <c r="AK182" i="12" s="1"/>
  <c r="BB81" i="23"/>
  <c r="AZ81" i="23"/>
  <c r="BA81" i="23" s="1"/>
  <c r="AO159" i="8"/>
  <c r="BZ370" i="22"/>
  <c r="S74" i="16"/>
  <c r="I36" i="18"/>
  <c r="CB336" i="22"/>
  <c r="AD270" i="12"/>
  <c r="AD286" i="12" s="1"/>
  <c r="AM270" i="12"/>
  <c r="AM286" i="12" s="1"/>
  <c r="AL270" i="12"/>
  <c r="AL286" i="12" s="1"/>
  <c r="AK270" i="12"/>
  <c r="AK286" i="12" s="1"/>
  <c r="AJ270" i="12"/>
  <c r="AJ286" i="12" s="1"/>
  <c r="AI270" i="12"/>
  <c r="AI286" i="12" s="1"/>
  <c r="AA270" i="12"/>
  <c r="AA286" i="12" s="1"/>
  <c r="AH270" i="12"/>
  <c r="AH286" i="12" s="1"/>
  <c r="AG270" i="12"/>
  <c r="AG286" i="12" s="1"/>
  <c r="AF270" i="12"/>
  <c r="AF286" i="12" s="1"/>
  <c r="AC270" i="12"/>
  <c r="AC286" i="12" s="1"/>
  <c r="AB270" i="12"/>
  <c r="AB286" i="12" s="1"/>
  <c r="Z270" i="12"/>
  <c r="Z286" i="12" s="1"/>
  <c r="Y270" i="12"/>
  <c r="AE270" i="12"/>
  <c r="AE286" i="12" s="1"/>
  <c r="U8" i="27"/>
  <c r="U24" i="27"/>
  <c r="O117" i="23" s="1"/>
  <c r="K35" i="16"/>
  <c r="BA23" i="12"/>
  <c r="BB82" i="23"/>
  <c r="AZ82" i="23"/>
  <c r="BA82" i="23" s="1"/>
  <c r="U216" i="12"/>
  <c r="W108" i="12"/>
  <c r="W213" i="12"/>
  <c r="V411" i="22"/>
  <c r="U387" i="22"/>
  <c r="AL184" i="12"/>
  <c r="U371" i="22"/>
  <c r="AC119" i="16"/>
  <c r="AF71" i="16"/>
  <c r="AF119" i="16" s="1"/>
  <c r="AE135" i="12"/>
  <c r="AS33" i="28"/>
  <c r="AR35" i="28"/>
  <c r="J98" i="16"/>
  <c r="AT31" i="16"/>
  <c r="AG201" i="12"/>
  <c r="AV111" i="23"/>
  <c r="P111" i="23"/>
  <c r="AY111" i="23"/>
  <c r="AX111" i="23"/>
  <c r="BC111" i="23" s="1"/>
  <c r="AW111" i="23"/>
  <c r="AU111" i="23"/>
  <c r="CB330" i="22"/>
  <c r="AM264" i="12"/>
  <c r="AL264" i="12"/>
  <c r="AK264" i="12"/>
  <c r="AJ264" i="12"/>
  <c r="AB264" i="12"/>
  <c r="AA264" i="12"/>
  <c r="Z264" i="12"/>
  <c r="Y264" i="12"/>
  <c r="AH264" i="12"/>
  <c r="AI264" i="12"/>
  <c r="AG264" i="12"/>
  <c r="AF264" i="12"/>
  <c r="AE264" i="12"/>
  <c r="AD264" i="12"/>
  <c r="AC264" i="12"/>
  <c r="S315" i="12"/>
  <c r="AN165" i="8"/>
  <c r="H41" i="18"/>
  <c r="H107" i="16"/>
  <c r="H108" i="16" s="1"/>
  <c r="H42" i="19"/>
  <c r="O153" i="12"/>
  <c r="AX56" i="12"/>
  <c r="W72" i="16"/>
  <c r="S383" i="9"/>
  <c r="T383" i="9" s="1"/>
  <c r="AN383" i="9"/>
  <c r="AF383" i="9" s="1"/>
  <c r="AG383" i="9" s="1"/>
  <c r="AH383" i="9" s="1"/>
  <c r="AK383" i="9" s="1"/>
  <c r="Z69" i="16"/>
  <c r="AI31" i="8"/>
  <c r="AJ31" i="8" s="1"/>
  <c r="AZ382" i="22"/>
  <c r="W382" i="22"/>
  <c r="AY382" i="22"/>
  <c r="BA382" i="22"/>
  <c r="CB382" i="22" s="1"/>
  <c r="BB382" i="22"/>
  <c r="AX382" i="22"/>
  <c r="O65" i="12"/>
  <c r="O155" i="12" s="1"/>
  <c r="AH164" i="8"/>
  <c r="AC202" i="12"/>
  <c r="AG199" i="12"/>
  <c r="AN399" i="9"/>
  <c r="AF399" i="9" s="1"/>
  <c r="AG399" i="9" s="1"/>
  <c r="AH399" i="9" s="1"/>
  <c r="AK399" i="9" s="1"/>
  <c r="S399" i="9"/>
  <c r="T399" i="9" s="1"/>
  <c r="AH183" i="12"/>
  <c r="CA389" i="22"/>
  <c r="T27" i="12"/>
  <c r="U317" i="12" s="1"/>
  <c r="CB370" i="22"/>
  <c r="AM127" i="8"/>
  <c r="I35" i="19"/>
  <c r="U21" i="27"/>
  <c r="U5" i="27"/>
  <c r="K32" i="16"/>
  <c r="BA22" i="12"/>
  <c r="BA26" i="12" s="1"/>
  <c r="AZ25" i="12"/>
  <c r="AQ130" i="8"/>
  <c r="W112" i="16"/>
  <c r="W413" i="22"/>
  <c r="AZ413" i="22"/>
  <c r="AX413" i="22"/>
  <c r="BA413" i="22"/>
  <c r="BB413" i="22"/>
  <c r="AY413" i="22"/>
  <c r="S395" i="9"/>
  <c r="T395" i="9" s="1"/>
  <c r="AN395" i="9"/>
  <c r="AF395" i="9" s="1"/>
  <c r="AG395" i="9" s="1"/>
  <c r="AH395" i="9" s="1"/>
  <c r="AK395" i="9" s="1"/>
  <c r="H28" i="16"/>
  <c r="H6" i="16"/>
  <c r="W364" i="22"/>
  <c r="BB364" i="22"/>
  <c r="BA364" i="22"/>
  <c r="AZ364" i="22"/>
  <c r="CA364" i="22" s="1"/>
  <c r="AY364" i="22"/>
  <c r="BZ364" i="22" s="1"/>
  <c r="AX364" i="22"/>
  <c r="AF73" i="16"/>
  <c r="AF121" i="16" s="1"/>
  <c r="AN508" i="9"/>
  <c r="AF508" i="9" s="1"/>
  <c r="AG508" i="9" s="1"/>
  <c r="AH508" i="9" s="1"/>
  <c r="AK508" i="9" s="1"/>
  <c r="S508" i="9"/>
  <c r="T508" i="9" s="1"/>
  <c r="AC23" i="8"/>
  <c r="BY340" i="22"/>
  <c r="BC340" i="22"/>
  <c r="AI194" i="12"/>
  <c r="AJ194" i="12" s="1"/>
  <c r="R317" i="12"/>
  <c r="AE42" i="12"/>
  <c r="S348" i="9"/>
  <c r="T348" i="9" s="1"/>
  <c r="AN348" i="9"/>
  <c r="AF348" i="9" s="1"/>
  <c r="AG348" i="9" s="1"/>
  <c r="AH348" i="9" s="1"/>
  <c r="AK348" i="9" s="1"/>
  <c r="S28" i="12"/>
  <c r="CB326" i="22"/>
  <c r="X272" i="12"/>
  <c r="AY214" i="22"/>
  <c r="BZ214" i="22" s="1"/>
  <c r="AJ129" i="8"/>
  <c r="AK129" i="8" s="1"/>
  <c r="AC129" i="12"/>
  <c r="BY352" i="22"/>
  <c r="BC352" i="22"/>
  <c r="AE80" i="12"/>
  <c r="AE72" i="12"/>
  <c r="AX90" i="23"/>
  <c r="BC90" i="23" s="1"/>
  <c r="AW90" i="23"/>
  <c r="AV90" i="23"/>
  <c r="P90" i="23"/>
  <c r="AU90" i="23"/>
  <c r="AY90" i="23"/>
  <c r="V112" i="16"/>
  <c r="X64" i="16"/>
  <c r="Y64" i="16"/>
  <c r="AX54" i="12"/>
  <c r="O147" i="12"/>
  <c r="AK188" i="12"/>
  <c r="BY321" i="22"/>
  <c r="BC321" i="22"/>
  <c r="AF157" i="8"/>
  <c r="AP162" i="8"/>
  <c r="CB389" i="22"/>
  <c r="T26" i="12"/>
  <c r="CC370" i="22"/>
  <c r="AG136" i="12"/>
  <c r="AN132" i="8"/>
  <c r="AO132" i="8" s="1"/>
  <c r="AZ214" i="22"/>
  <c r="CA214" i="22" s="1"/>
  <c r="AL127" i="8"/>
  <c r="X301" i="22"/>
  <c r="Y301" i="22" s="1"/>
  <c r="BD301" i="22"/>
  <c r="J100" i="16"/>
  <c r="J34" i="18"/>
  <c r="T118" i="16"/>
  <c r="I99" i="16"/>
  <c r="I33" i="18"/>
  <c r="I34" i="19"/>
  <c r="BC337" i="22"/>
  <c r="BY337" i="22"/>
  <c r="BB79" i="23"/>
  <c r="AZ79" i="23"/>
  <c r="BA79" i="23" s="1"/>
  <c r="AB133" i="12"/>
  <c r="AC43" i="12"/>
  <c r="BB87" i="23"/>
  <c r="AZ87" i="23"/>
  <c r="BA87" i="23" s="1"/>
  <c r="BZ325" i="22"/>
  <c r="V223" i="12"/>
  <c r="V224" i="12"/>
  <c r="V324" i="12" s="1"/>
  <c r="V222" i="12"/>
  <c r="V221" i="12"/>
  <c r="V244" i="12" s="1"/>
  <c r="BD377" i="22"/>
  <c r="X377" i="22"/>
  <c r="Y377" i="22" s="1"/>
  <c r="AS38" i="16"/>
  <c r="AS40" i="16"/>
  <c r="AS39" i="16"/>
  <c r="AS37" i="16"/>
  <c r="BB88" i="23"/>
  <c r="AZ88" i="23"/>
  <c r="BA88" i="23" s="1"/>
  <c r="AF195" i="12"/>
  <c r="V461" i="22"/>
  <c r="U437" i="22"/>
  <c r="CB340" i="22"/>
  <c r="AF274" i="12"/>
  <c r="AF290" i="12" s="1"/>
  <c r="AE274" i="12"/>
  <c r="AE290" i="12" s="1"/>
  <c r="AD274" i="12"/>
  <c r="AD290" i="12" s="1"/>
  <c r="AC274" i="12"/>
  <c r="AC290" i="12" s="1"/>
  <c r="AB274" i="12"/>
  <c r="AB290" i="12" s="1"/>
  <c r="AA274" i="12"/>
  <c r="AA290" i="12" s="1"/>
  <c r="Z274" i="12"/>
  <c r="Z290" i="12" s="1"/>
  <c r="Y274" i="12"/>
  <c r="AM274" i="12"/>
  <c r="AM290" i="12" s="1"/>
  <c r="AL274" i="12"/>
  <c r="AL290" i="12" s="1"/>
  <c r="AK274" i="12"/>
  <c r="AK290" i="12" s="1"/>
  <c r="AJ274" i="12"/>
  <c r="AJ290" i="12" s="1"/>
  <c r="AI274" i="12"/>
  <c r="AI290" i="12" s="1"/>
  <c r="AH274" i="12"/>
  <c r="AH290" i="12" s="1"/>
  <c r="AG274" i="12"/>
  <c r="AG290" i="12" s="1"/>
  <c r="V412" i="22"/>
  <c r="U388" i="22"/>
  <c r="BB98" i="23"/>
  <c r="AZ98" i="23"/>
  <c r="BA98" i="23" s="1"/>
  <c r="P104" i="23"/>
  <c r="AY104" i="23"/>
  <c r="AX104" i="23"/>
  <c r="BC104" i="23" s="1"/>
  <c r="AW104" i="23"/>
  <c r="AV104" i="23"/>
  <c r="AU104" i="23"/>
  <c r="S22" i="12"/>
  <c r="T312" i="12" s="1"/>
  <c r="AZ30" i="12"/>
  <c r="AZ28" i="12"/>
  <c r="AZ31" i="12"/>
  <c r="AZ29" i="12"/>
  <c r="U42" i="13"/>
  <c r="V6" i="13"/>
  <c r="X346" i="22"/>
  <c r="Y346" i="22" s="1"/>
  <c r="BD346" i="22"/>
  <c r="AG40" i="12"/>
  <c r="BY323" i="22"/>
  <c r="BC323" i="22"/>
  <c r="Q307" i="12"/>
  <c r="V13" i="12"/>
  <c r="V83" i="12"/>
  <c r="T322" i="12"/>
  <c r="AG24" i="32"/>
  <c r="R401" i="9" s="1"/>
  <c r="AJ36" i="8"/>
  <c r="AB49" i="12"/>
  <c r="AB139" i="12" s="1"/>
  <c r="BC336" i="22"/>
  <c r="BY336" i="22"/>
  <c r="BB100" i="23"/>
  <c r="AZ100" i="23"/>
  <c r="BA100" i="23" s="1"/>
  <c r="BB94" i="23"/>
  <c r="AZ94" i="23"/>
  <c r="BA94" i="23" s="1"/>
  <c r="V449" i="22"/>
  <c r="T247" i="12"/>
  <c r="S113" i="16"/>
  <c r="S75" i="16"/>
  <c r="S123" i="16" s="1"/>
  <c r="U14" i="12"/>
  <c r="U84" i="12"/>
  <c r="S114" i="16"/>
  <c r="AR38" i="16"/>
  <c r="AR40" i="16"/>
  <c r="AR39" i="16"/>
  <c r="AR37" i="16"/>
  <c r="AI48" i="8"/>
  <c r="CA336" i="22"/>
  <c r="P97" i="23"/>
  <c r="AY97" i="23"/>
  <c r="AX97" i="23"/>
  <c r="BC97" i="23" s="1"/>
  <c r="AW97" i="23"/>
  <c r="AV97" i="23"/>
  <c r="AU97" i="23"/>
  <c r="J44" i="16"/>
  <c r="J7" i="16" s="1"/>
  <c r="J96" i="16"/>
  <c r="J30" i="18"/>
  <c r="AS34" i="16"/>
  <c r="J31" i="19"/>
  <c r="AG156" i="8"/>
  <c r="AC81" i="12"/>
  <c r="S33" i="27"/>
  <c r="S35" i="27" s="1"/>
  <c r="BD294" i="22"/>
  <c r="X294" i="22"/>
  <c r="Y294" i="22" s="1"/>
  <c r="BZ321" i="22"/>
  <c r="BC81" i="23"/>
  <c r="W276" i="12"/>
  <c r="CC389" i="22"/>
  <c r="I32" i="18"/>
  <c r="J32" i="18" s="1"/>
  <c r="AE73" i="16"/>
  <c r="AE121" i="16" s="1"/>
  <c r="V380" i="22"/>
  <c r="V392" i="22" s="1"/>
  <c r="U356" i="22"/>
  <c r="W14" i="27"/>
  <c r="W30" i="27"/>
  <c r="O147" i="23" s="1"/>
  <c r="AW78" i="23"/>
  <c r="AV78" i="23"/>
  <c r="AU78" i="23"/>
  <c r="P78" i="23"/>
  <c r="AY78" i="23"/>
  <c r="AX78" i="23"/>
  <c r="BC78" i="23" s="1"/>
  <c r="U12" i="27"/>
  <c r="U28" i="27"/>
  <c r="O121" i="23" s="1"/>
  <c r="K39" i="16"/>
  <c r="X117" i="16"/>
  <c r="AH128" i="12"/>
  <c r="AQ133" i="8"/>
  <c r="CC337" i="22"/>
  <c r="S387" i="9"/>
  <c r="T387" i="9" s="1"/>
  <c r="AN387" i="9"/>
  <c r="AF387" i="9" s="1"/>
  <c r="AG387" i="9" s="1"/>
  <c r="AH387" i="9" s="1"/>
  <c r="AK387" i="9" s="1"/>
  <c r="AF181" i="12"/>
  <c r="AD189" i="12"/>
  <c r="AZ86" i="23"/>
  <c r="BA86" i="23" s="1"/>
  <c r="BB86" i="23"/>
  <c r="V442" i="22"/>
  <c r="U418" i="22"/>
  <c r="AX112" i="23"/>
  <c r="AW112" i="23"/>
  <c r="AV112" i="23"/>
  <c r="P112" i="23"/>
  <c r="AU112" i="23"/>
  <c r="AY112" i="23"/>
  <c r="AT33" i="16"/>
  <c r="J39" i="19"/>
  <c r="J38" i="18"/>
  <c r="J104" i="16"/>
  <c r="T26" i="13"/>
  <c r="U4" i="13"/>
  <c r="AG128" i="12"/>
  <c r="AI38" i="12"/>
  <c r="AK38" i="12" s="1"/>
  <c r="AJ38" i="12"/>
  <c r="P89" i="23"/>
  <c r="AY89" i="23"/>
  <c r="AX89" i="23"/>
  <c r="BC89" i="23" s="1"/>
  <c r="AW89" i="23"/>
  <c r="AV89" i="23"/>
  <c r="AU89" i="23"/>
  <c r="AE204" i="12"/>
  <c r="AK186" i="12"/>
  <c r="AL186" i="12" s="1"/>
  <c r="I30" i="18"/>
  <c r="BZ330" i="22"/>
  <c r="AH163" i="8"/>
  <c r="AB22" i="8"/>
  <c r="I37" i="18"/>
  <c r="I38" i="19"/>
  <c r="I103" i="16"/>
  <c r="AZ26" i="12"/>
  <c r="CB327" i="22"/>
  <c r="X273" i="12"/>
  <c r="AR35" i="16"/>
  <c r="AN50" i="8"/>
  <c r="R403" i="9"/>
  <c r="V115" i="16"/>
  <c r="AC203" i="12"/>
  <c r="AD203" i="12" s="1"/>
  <c r="AA205" i="12"/>
  <c r="T17" i="27"/>
  <c r="AL52" i="8"/>
  <c r="V68" i="16"/>
  <c r="AD74" i="12"/>
  <c r="AD77" i="12"/>
  <c r="AD80" i="12"/>
  <c r="AD70" i="12"/>
  <c r="AD81" i="12" s="1"/>
  <c r="AD73" i="12"/>
  <c r="AD79" i="12"/>
  <c r="AE79" i="12" s="1"/>
  <c r="AD78" i="12"/>
  <c r="AD72" i="12"/>
  <c r="AD76" i="12"/>
  <c r="AD75" i="12"/>
  <c r="AD71" i="12"/>
  <c r="S26" i="12"/>
  <c r="U316" i="12" s="1"/>
  <c r="CA321" i="22"/>
  <c r="X308" i="22"/>
  <c r="Y308" i="22" s="1"/>
  <c r="BD308" i="22"/>
  <c r="AD39" i="12"/>
  <c r="BB95" i="23"/>
  <c r="AZ95" i="23"/>
  <c r="BA95" i="23" s="1"/>
  <c r="BY389" i="22"/>
  <c r="BC389" i="22"/>
  <c r="T32" i="12"/>
  <c r="AS31" i="16"/>
  <c r="AS35" i="16" s="1"/>
  <c r="I31" i="18"/>
  <c r="AH46" i="12"/>
  <c r="AK178" i="12"/>
  <c r="AF185" i="12"/>
  <c r="AC132" i="12"/>
  <c r="AI180" i="12"/>
  <c r="AJ180" i="12" s="1"/>
  <c r="H41" i="19"/>
  <c r="BD307" i="22"/>
  <c r="X307" i="22"/>
  <c r="Y307" i="22" s="1"/>
  <c r="S317" i="12"/>
  <c r="BC358" i="22"/>
  <c r="BY358" i="22"/>
  <c r="AN155" i="8"/>
  <c r="AZ99" i="23"/>
  <c r="BA99" i="23" s="1"/>
  <c r="BB99" i="23"/>
  <c r="I36" i="19"/>
  <c r="S23" i="12"/>
  <c r="AF45" i="12"/>
  <c r="AP130" i="8"/>
  <c r="BC204" i="22"/>
  <c r="BY204" i="22"/>
  <c r="AN366" i="9"/>
  <c r="AF366" i="9" s="1"/>
  <c r="AG366" i="9" s="1"/>
  <c r="AH366" i="9" s="1"/>
  <c r="AK366" i="9" s="1"/>
  <c r="S366" i="9"/>
  <c r="T366" i="9" s="1"/>
  <c r="BC326" i="22"/>
  <c r="BY326" i="22"/>
  <c r="S378" i="9"/>
  <c r="T378" i="9" s="1"/>
  <c r="AN378" i="9"/>
  <c r="AF378" i="9" s="1"/>
  <c r="AG378" i="9" s="1"/>
  <c r="AH378" i="9" s="1"/>
  <c r="AK378" i="9" s="1"/>
  <c r="CB318" i="22"/>
  <c r="X264" i="12"/>
  <c r="AK43" i="8"/>
  <c r="X315" i="22"/>
  <c r="Y315" i="22" s="1"/>
  <c r="BD315" i="22"/>
  <c r="BB425" i="22"/>
  <c r="BA425" i="22"/>
  <c r="AY425" i="22"/>
  <c r="W425" i="22"/>
  <c r="AX425" i="22"/>
  <c r="AZ425" i="22"/>
  <c r="AH18" i="32"/>
  <c r="R407" i="9" s="1"/>
  <c r="AQ4" i="28"/>
  <c r="AQ5" i="28" s="1"/>
  <c r="AQ7" i="28" s="1"/>
  <c r="AR75" i="28"/>
  <c r="U120" i="16"/>
  <c r="AE187" i="12"/>
  <c r="CB323" i="22"/>
  <c r="X269" i="12"/>
  <c r="T65" i="16"/>
  <c r="X67" i="16"/>
  <c r="AO131" i="8"/>
  <c r="BZ332" i="22"/>
  <c r="V384" i="22"/>
  <c r="U360" i="22"/>
  <c r="BD365" i="22"/>
  <c r="X365" i="22"/>
  <c r="Y365" i="22" s="1"/>
  <c r="AI163" i="8"/>
  <c r="AG163" i="8"/>
  <c r="T33" i="27"/>
  <c r="T35" i="27" s="1"/>
  <c r="O102" i="23"/>
  <c r="U23" i="27"/>
  <c r="O116" i="23" s="1"/>
  <c r="U7" i="27"/>
  <c r="K34" i="16"/>
  <c r="BZ327" i="22"/>
  <c r="H40" i="19"/>
  <c r="U66" i="16"/>
  <c r="X311" i="22"/>
  <c r="Y311" i="22" s="1"/>
  <c r="BD311" i="22"/>
  <c r="S301" i="12"/>
  <c r="S306" i="12"/>
  <c r="S305" i="12"/>
  <c r="S299" i="12"/>
  <c r="S296" i="12"/>
  <c r="S300" i="12"/>
  <c r="AF42" i="12"/>
  <c r="CB325" i="22"/>
  <c r="X271" i="12"/>
  <c r="BC82" i="23"/>
  <c r="S24" i="12"/>
  <c r="CB321" i="22"/>
  <c r="X267" i="12"/>
  <c r="S312" i="12"/>
  <c r="BD313" i="22"/>
  <c r="X313" i="22"/>
  <c r="Y313" i="22" s="1"/>
  <c r="AE26" i="32"/>
  <c r="AI183" i="12"/>
  <c r="T25" i="12"/>
  <c r="AN131" i="8"/>
  <c r="AP131" i="8" s="1"/>
  <c r="AG45" i="8"/>
  <c r="AG53" i="8" s="1"/>
  <c r="AK128" i="12" l="1"/>
  <c r="AI19" i="32"/>
  <c r="R420" i="9" s="1"/>
  <c r="AK31" i="8"/>
  <c r="AJ37" i="8"/>
  <c r="AI25" i="32" s="1"/>
  <c r="R426" i="9" s="1"/>
  <c r="U386" i="22"/>
  <c r="W28" i="27"/>
  <c r="O145" i="23" s="1"/>
  <c r="W12" i="27"/>
  <c r="AN42" i="8"/>
  <c r="X70" i="16"/>
  <c r="AH132" i="12"/>
  <c r="O251" i="12"/>
  <c r="O254" i="12"/>
  <c r="AP46" i="8"/>
  <c r="AQ46" i="8" s="1"/>
  <c r="AG79" i="12"/>
  <c r="U395" i="22"/>
  <c r="I28" i="16"/>
  <c r="J5" i="16"/>
  <c r="I6" i="16"/>
  <c r="L106" i="16"/>
  <c r="AI198" i="12"/>
  <c r="U409" i="22"/>
  <c r="AF137" i="12"/>
  <c r="U392" i="22"/>
  <c r="AI42" i="12"/>
  <c r="AI132" i="12" s="1"/>
  <c r="J33" i="19"/>
  <c r="L105" i="16"/>
  <c r="L40" i="19"/>
  <c r="L39" i="18"/>
  <c r="M41" i="16"/>
  <c r="N41" i="16" s="1"/>
  <c r="S403" i="9"/>
  <c r="T403" i="9" s="1"/>
  <c r="AN403" i="9"/>
  <c r="AF403" i="9" s="1"/>
  <c r="AG403" i="9" s="1"/>
  <c r="AH403" i="9" s="1"/>
  <c r="AK403" i="9" s="1"/>
  <c r="AC133" i="12"/>
  <c r="AE71" i="12"/>
  <c r="S390" i="9"/>
  <c r="T390" i="9" s="1"/>
  <c r="AN390" i="9"/>
  <c r="AF390" i="9" s="1"/>
  <c r="AG390" i="9" s="1"/>
  <c r="AH390" i="9" s="1"/>
  <c r="AK390" i="9" s="1"/>
  <c r="R307" i="12"/>
  <c r="V13" i="27"/>
  <c r="V29" i="27"/>
  <c r="O134" i="23" s="1"/>
  <c r="L40" i="16"/>
  <c r="S320" i="12"/>
  <c r="AL48" i="12"/>
  <c r="AL138" i="12" s="1"/>
  <c r="CC348" i="22"/>
  <c r="X14" i="27"/>
  <c r="X30" i="27"/>
  <c r="O159" i="23" s="1"/>
  <c r="AY381" i="22"/>
  <c r="W381" i="22"/>
  <c r="BB381" i="22"/>
  <c r="CC381" i="22" s="1"/>
  <c r="BA381" i="22"/>
  <c r="AZ381" i="22"/>
  <c r="AX381" i="22"/>
  <c r="W116" i="16"/>
  <c r="AX205" i="22"/>
  <c r="AH136" i="12"/>
  <c r="BA356" i="22"/>
  <c r="AZ356" i="22"/>
  <c r="W356" i="22"/>
  <c r="BB356" i="22"/>
  <c r="AX356" i="22"/>
  <c r="AY356" i="22"/>
  <c r="BZ356" i="22" s="1"/>
  <c r="BD321" i="22"/>
  <c r="X321" i="22"/>
  <c r="Y321" i="22" s="1"/>
  <c r="BB109" i="23"/>
  <c r="AZ109" i="23"/>
  <c r="BA109" i="23" s="1"/>
  <c r="X401" i="22"/>
  <c r="Y401" i="22" s="1"/>
  <c r="BD401" i="22"/>
  <c r="BB385" i="22"/>
  <c r="CC385" i="22" s="1"/>
  <c r="BA385" i="22"/>
  <c r="CB385" i="22" s="1"/>
  <c r="W385" i="22"/>
  <c r="AX385" i="22"/>
  <c r="AY385" i="22"/>
  <c r="BZ385" i="22" s="1"/>
  <c r="AZ385" i="22"/>
  <c r="CA385" i="22" s="1"/>
  <c r="AF135" i="12"/>
  <c r="V6" i="27"/>
  <c r="V22" i="27"/>
  <c r="O127" i="23" s="1"/>
  <c r="L33" i="16"/>
  <c r="T23" i="12"/>
  <c r="BC22" i="12" s="1"/>
  <c r="S313" i="12"/>
  <c r="W15" i="27"/>
  <c r="W31" i="27"/>
  <c r="O148" i="23" s="1"/>
  <c r="M42" i="16"/>
  <c r="CB364" i="22"/>
  <c r="BY382" i="22"/>
  <c r="BC382" i="22"/>
  <c r="AE280" i="12"/>
  <c r="I37" i="19"/>
  <c r="CC345" i="22"/>
  <c r="S360" i="9"/>
  <c r="T360" i="9" s="1"/>
  <c r="AN360" i="9"/>
  <c r="AF360" i="9" s="1"/>
  <c r="AG360" i="9" s="1"/>
  <c r="AH360" i="9" s="1"/>
  <c r="AK360" i="9" s="1"/>
  <c r="BA30" i="12"/>
  <c r="BA28" i="12"/>
  <c r="BA31" i="12"/>
  <c r="BA29" i="12"/>
  <c r="AI22" i="32"/>
  <c r="R423" i="9" s="1"/>
  <c r="AK34" i="8"/>
  <c r="CB347" i="22"/>
  <c r="U32" i="12"/>
  <c r="CA342" i="22"/>
  <c r="K100" i="16"/>
  <c r="K34" i="18"/>
  <c r="BB368" i="22"/>
  <c r="CC368" i="22" s="1"/>
  <c r="BA368" i="22"/>
  <c r="CB368" i="22" s="1"/>
  <c r="AY368" i="22"/>
  <c r="BZ368" i="22" s="1"/>
  <c r="AZ368" i="22"/>
  <c r="CA368" i="22" s="1"/>
  <c r="AX368" i="22"/>
  <c r="W368" i="22"/>
  <c r="AH156" i="8"/>
  <c r="AK156" i="8" s="1"/>
  <c r="AN452" i="9"/>
  <c r="AF452" i="9" s="1"/>
  <c r="AG452" i="9" s="1"/>
  <c r="AH452" i="9" s="1"/>
  <c r="AK452" i="9" s="1"/>
  <c r="S452" i="9"/>
  <c r="T452" i="9" s="1"/>
  <c r="X326" i="22"/>
  <c r="Y326" i="22" s="1"/>
  <c r="BD326" i="22"/>
  <c r="AR41" i="16"/>
  <c r="AR42" i="16"/>
  <c r="AJ128" i="12"/>
  <c r="V435" i="22"/>
  <c r="U411" i="22"/>
  <c r="BD337" i="22"/>
  <c r="X337" i="22"/>
  <c r="Y337" i="22" s="1"/>
  <c r="W216" i="12"/>
  <c r="V423" i="22"/>
  <c r="U399" i="22"/>
  <c r="AF77" i="12"/>
  <c r="BA32" i="12"/>
  <c r="BA33" i="12"/>
  <c r="AO42" i="8"/>
  <c r="AF132" i="12"/>
  <c r="AK42" i="12"/>
  <c r="AK132" i="12" s="1"/>
  <c r="CB345" i="22"/>
  <c r="AI46" i="12"/>
  <c r="AJ46" i="12" s="1"/>
  <c r="AJ136" i="12" s="1"/>
  <c r="V42" i="13"/>
  <c r="W6" i="13"/>
  <c r="BC425" i="22"/>
  <c r="BD389" i="22"/>
  <c r="X389" i="22"/>
  <c r="Y389" i="22" s="1"/>
  <c r="V116" i="16"/>
  <c r="U39" i="13"/>
  <c r="U38" i="13"/>
  <c r="U32" i="13"/>
  <c r="U41" i="13"/>
  <c r="U40" i="13"/>
  <c r="U37" i="13"/>
  <c r="U36" i="13"/>
  <c r="U35" i="13"/>
  <c r="U33" i="13"/>
  <c r="U31" i="13"/>
  <c r="U34" i="13"/>
  <c r="U30" i="13"/>
  <c r="Y70" i="16"/>
  <c r="AX58" i="12"/>
  <c r="AY215" i="22"/>
  <c r="BZ215" i="22" s="1"/>
  <c r="CC364" i="22"/>
  <c r="O114" i="23"/>
  <c r="CC382" i="22"/>
  <c r="AF280" i="12"/>
  <c r="S122" i="16"/>
  <c r="T74" i="16"/>
  <c r="BC345" i="22"/>
  <c r="BY345" i="22"/>
  <c r="AJ21" i="32"/>
  <c r="R434" i="9" s="1"/>
  <c r="AO33" i="8"/>
  <c r="AN21" i="32" s="1"/>
  <c r="R482" i="9" s="1"/>
  <c r="U305" i="12"/>
  <c r="U306" i="12"/>
  <c r="U299" i="12"/>
  <c r="U301" i="12"/>
  <c r="U304" i="12"/>
  <c r="U300" i="12"/>
  <c r="Y68" i="16"/>
  <c r="K36" i="18"/>
  <c r="K37" i="19"/>
  <c r="K102" i="16"/>
  <c r="V9" i="12"/>
  <c r="AY135" i="23"/>
  <c r="AU135" i="23"/>
  <c r="P135" i="23"/>
  <c r="AV135" i="23"/>
  <c r="AX135" i="23"/>
  <c r="BC135" i="23" s="1"/>
  <c r="AW135" i="23"/>
  <c r="U22" i="12"/>
  <c r="V22" i="12" s="1"/>
  <c r="T316" i="12"/>
  <c r="V216" i="12"/>
  <c r="CB342" i="22"/>
  <c r="AX118" i="23"/>
  <c r="AV118" i="23"/>
  <c r="AU118" i="23"/>
  <c r="P118" i="23"/>
  <c r="AY118" i="23"/>
  <c r="AW118" i="23"/>
  <c r="T113" i="16"/>
  <c r="T75" i="16"/>
  <c r="T123" i="16" s="1"/>
  <c r="U65" i="16"/>
  <c r="V65" i="16" s="1"/>
  <c r="AJ14" i="32"/>
  <c r="BB359" i="22"/>
  <c r="W359" i="22"/>
  <c r="BA359" i="22"/>
  <c r="CB359" i="22" s="1"/>
  <c r="AZ359" i="22"/>
  <c r="CA359" i="22" s="1"/>
  <c r="AY359" i="22"/>
  <c r="BZ359" i="22" s="1"/>
  <c r="AX359" i="22"/>
  <c r="Q60" i="12"/>
  <c r="Q55" i="12"/>
  <c r="Q145" i="12" s="1"/>
  <c r="Q54" i="12"/>
  <c r="Q57" i="12"/>
  <c r="Q64" i="12"/>
  <c r="Q154" i="12" s="1"/>
  <c r="Q61" i="12"/>
  <c r="Q151" i="12" s="1"/>
  <c r="Q59" i="12"/>
  <c r="Q149" i="12" s="1"/>
  <c r="Q58" i="12"/>
  <c r="Q148" i="12" s="1"/>
  <c r="Q56" i="12"/>
  <c r="Q146" i="12" s="1"/>
  <c r="Q62" i="12"/>
  <c r="Q152" i="12" s="1"/>
  <c r="Q63" i="12"/>
  <c r="BY348" i="22"/>
  <c r="BC348" i="22"/>
  <c r="AH198" i="12"/>
  <c r="AF72" i="12"/>
  <c r="CB348" i="22"/>
  <c r="AF78" i="12"/>
  <c r="AE202" i="12"/>
  <c r="AC205" i="12"/>
  <c r="AY367" i="22"/>
  <c r="AX367" i="22"/>
  <c r="AZ367" i="22"/>
  <c r="W367" i="22"/>
  <c r="BB367" i="22"/>
  <c r="BA367" i="22"/>
  <c r="BY344" i="22"/>
  <c r="BC344" i="22"/>
  <c r="U118" i="16"/>
  <c r="W70" i="16"/>
  <c r="AN413" i="9"/>
  <c r="AF413" i="9" s="1"/>
  <c r="AG413" i="9" s="1"/>
  <c r="AH413" i="9" s="1"/>
  <c r="AK413" i="9" s="1"/>
  <c r="S413" i="9"/>
  <c r="T413" i="9" s="1"/>
  <c r="K35" i="18"/>
  <c r="K101" i="16"/>
  <c r="AU32" i="16"/>
  <c r="AY116" i="23"/>
  <c r="AV116" i="23"/>
  <c r="AU116" i="23"/>
  <c r="AX116" i="23"/>
  <c r="BC116" i="23" s="1"/>
  <c r="P116" i="23"/>
  <c r="AW116" i="23"/>
  <c r="U26" i="13"/>
  <c r="V4" i="13"/>
  <c r="CA345" i="22"/>
  <c r="AF74" i="12"/>
  <c r="AZ97" i="23"/>
  <c r="BA97" i="23" s="1"/>
  <c r="BB97" i="23"/>
  <c r="AM188" i="12"/>
  <c r="T30" i="12"/>
  <c r="V320" i="12" s="1"/>
  <c r="P119" i="23"/>
  <c r="AY119" i="23"/>
  <c r="AX119" i="23"/>
  <c r="BC119" i="23" s="1"/>
  <c r="AV119" i="23"/>
  <c r="AU119" i="23"/>
  <c r="AW119" i="23"/>
  <c r="V473" i="22"/>
  <c r="U449" i="22"/>
  <c r="Y112" i="16"/>
  <c r="AG280" i="12"/>
  <c r="AG292" i="12" s="1"/>
  <c r="K99" i="16"/>
  <c r="K33" i="18"/>
  <c r="K34" i="19" s="1"/>
  <c r="X327" i="22"/>
  <c r="Y327" i="22" s="1"/>
  <c r="BD327" i="22"/>
  <c r="BZ345" i="22"/>
  <c r="AI200" i="12"/>
  <c r="J107" i="16"/>
  <c r="J108" i="16" s="1"/>
  <c r="J41" i="18"/>
  <c r="J42" i="18" s="1"/>
  <c r="Q238" i="12" s="1"/>
  <c r="BC361" i="22"/>
  <c r="BY361" i="22"/>
  <c r="AH138" i="12"/>
  <c r="CB335" i="22"/>
  <c r="AK269" i="12"/>
  <c r="AK285" i="12" s="1"/>
  <c r="AJ269" i="12"/>
  <c r="AJ285" i="12" s="1"/>
  <c r="AI269" i="12"/>
  <c r="AI285" i="12" s="1"/>
  <c r="AH269" i="12"/>
  <c r="AH285" i="12" s="1"/>
  <c r="AG269" i="12"/>
  <c r="AG285" i="12" s="1"/>
  <c r="AF269" i="12"/>
  <c r="AF285" i="12" s="1"/>
  <c r="AE269" i="12"/>
  <c r="AE285" i="12" s="1"/>
  <c r="AD269" i="12"/>
  <c r="AD285" i="12" s="1"/>
  <c r="Z269" i="12"/>
  <c r="Z285" i="12" s="1"/>
  <c r="AB269" i="12"/>
  <c r="AB285" i="12" s="1"/>
  <c r="AA269" i="12"/>
  <c r="AA285" i="12" s="1"/>
  <c r="Y269" i="12"/>
  <c r="Y276" i="12" s="1"/>
  <c r="AM269" i="12"/>
  <c r="AM285" i="12" s="1"/>
  <c r="AL269" i="12"/>
  <c r="AL285" i="12" s="1"/>
  <c r="AC269" i="12"/>
  <c r="AC285" i="12" s="1"/>
  <c r="V30" i="12"/>
  <c r="V32" i="12"/>
  <c r="V35" i="12"/>
  <c r="V27" i="12"/>
  <c r="V31" i="12"/>
  <c r="V26" i="12"/>
  <c r="V25" i="12"/>
  <c r="AG157" i="8"/>
  <c r="AD144" i="8"/>
  <c r="AD139" i="8"/>
  <c r="AD146" i="8"/>
  <c r="AD141" i="8"/>
  <c r="AD148" i="8"/>
  <c r="AD143" i="8"/>
  <c r="AD147" i="8"/>
  <c r="AD142" i="8"/>
  <c r="AD140" i="8"/>
  <c r="AD145" i="8"/>
  <c r="AD138" i="8"/>
  <c r="S411" i="9"/>
  <c r="T411" i="9" s="1"/>
  <c r="AN411" i="9"/>
  <c r="AF411" i="9" s="1"/>
  <c r="AG411" i="9" s="1"/>
  <c r="AH411" i="9" s="1"/>
  <c r="AK411" i="9" s="1"/>
  <c r="P162" i="12"/>
  <c r="P173" i="12" s="1"/>
  <c r="P166" i="12"/>
  <c r="P171" i="12"/>
  <c r="U30" i="12"/>
  <c r="AN158" i="8"/>
  <c r="CC342" i="22"/>
  <c r="AM43" i="8"/>
  <c r="AI156" i="8"/>
  <c r="AJ156" i="8" s="1"/>
  <c r="V466" i="22"/>
  <c r="U442" i="22"/>
  <c r="AW131" i="23"/>
  <c r="P131" i="23"/>
  <c r="AY131" i="23"/>
  <c r="AX131" i="23"/>
  <c r="BC131" i="23" s="1"/>
  <c r="AV131" i="23"/>
  <c r="AU131" i="23"/>
  <c r="BD325" i="22"/>
  <c r="X325" i="22"/>
  <c r="Y325" i="22" s="1"/>
  <c r="AN398" i="9"/>
  <c r="AF398" i="9" s="1"/>
  <c r="AG398" i="9" s="1"/>
  <c r="AH398" i="9" s="1"/>
  <c r="AK398" i="9" s="1"/>
  <c r="S398" i="9"/>
  <c r="T398" i="9" s="1"/>
  <c r="V12" i="27"/>
  <c r="V28" i="27"/>
  <c r="O133" i="23" s="1"/>
  <c r="L39" i="16"/>
  <c r="M39" i="16" s="1"/>
  <c r="U114" i="16"/>
  <c r="V66" i="16"/>
  <c r="BB111" i="23"/>
  <c r="AZ111" i="23"/>
  <c r="BA111" i="23" s="1"/>
  <c r="AL125" i="8"/>
  <c r="BA25" i="12"/>
  <c r="CA348" i="22"/>
  <c r="BD323" i="22"/>
  <c r="X323" i="22"/>
  <c r="Y323" i="22" s="1"/>
  <c r="AC94" i="8"/>
  <c r="AC95" i="8" s="1"/>
  <c r="AC96" i="8" s="1"/>
  <c r="AC97" i="8" s="1"/>
  <c r="AC98" i="8" s="1"/>
  <c r="AC99" i="8" s="1"/>
  <c r="AC100" i="8" s="1"/>
  <c r="AC101" i="8" s="1"/>
  <c r="AS75" i="28"/>
  <c r="AR4" i="28"/>
  <c r="AR5" i="28" s="1"/>
  <c r="AR7" i="28" s="1"/>
  <c r="W13" i="12"/>
  <c r="W83" i="12"/>
  <c r="AZ32" i="12"/>
  <c r="AZ33" i="12"/>
  <c r="AG130" i="12"/>
  <c r="BC364" i="22"/>
  <c r="BY364" i="22"/>
  <c r="V404" i="22"/>
  <c r="U380" i="22"/>
  <c r="CC357" i="22"/>
  <c r="BD333" i="22"/>
  <c r="X333" i="22"/>
  <c r="Y333" i="22" s="1"/>
  <c r="AT40" i="16"/>
  <c r="AT38" i="16"/>
  <c r="AT39" i="16"/>
  <c r="AT37" i="16"/>
  <c r="X112" i="16"/>
  <c r="H11" i="16"/>
  <c r="H10" i="16" s="1"/>
  <c r="H8" i="16"/>
  <c r="BZ382" i="22"/>
  <c r="AI280" i="12"/>
  <c r="AI292" i="12" s="1"/>
  <c r="AI276" i="12"/>
  <c r="AT35" i="16"/>
  <c r="AW117" i="23"/>
  <c r="AY117" i="23"/>
  <c r="AU117" i="23"/>
  <c r="AX117" i="23"/>
  <c r="BC117" i="23" s="1"/>
  <c r="AV117" i="23"/>
  <c r="P117" i="23"/>
  <c r="AE43" i="12"/>
  <c r="AG43" i="12" s="1"/>
  <c r="AY113" i="23"/>
  <c r="AU113" i="23"/>
  <c r="AW113" i="23"/>
  <c r="P113" i="23"/>
  <c r="AX113" i="23"/>
  <c r="AV113" i="23"/>
  <c r="AW120" i="23"/>
  <c r="AY120" i="23"/>
  <c r="AX120" i="23"/>
  <c r="BC120" i="23" s="1"/>
  <c r="AV120" i="23"/>
  <c r="AU120" i="23"/>
  <c r="P120" i="23"/>
  <c r="P114" i="12"/>
  <c r="P214" i="12"/>
  <c r="AD83" i="8"/>
  <c r="AD78" i="8"/>
  <c r="AD80" i="8"/>
  <c r="AD75" i="8"/>
  <c r="AD85" i="8" s="1"/>
  <c r="AD84" i="8"/>
  <c r="AD76" i="8"/>
  <c r="AD77" i="8"/>
  <c r="AD81" i="8"/>
  <c r="AD82" i="8"/>
  <c r="AD74" i="8"/>
  <c r="AD79" i="8"/>
  <c r="BB369" i="22"/>
  <c r="CC369" i="22" s="1"/>
  <c r="AY369" i="22"/>
  <c r="AX369" i="22"/>
  <c r="BA369" i="22"/>
  <c r="AZ369" i="22"/>
  <c r="W369" i="22"/>
  <c r="BA376" i="22"/>
  <c r="AX376" i="22"/>
  <c r="BB376" i="22"/>
  <c r="AZ376" i="22"/>
  <c r="W376" i="22"/>
  <c r="AY376" i="22"/>
  <c r="BZ376" i="22" s="1"/>
  <c r="BZ347" i="22"/>
  <c r="X330" i="22"/>
  <c r="Y330" i="22" s="1"/>
  <c r="BD330" i="22"/>
  <c r="CB338" i="22"/>
  <c r="AL272" i="12"/>
  <c r="AL288" i="12" s="1"/>
  <c r="AK272" i="12"/>
  <c r="AK288" i="12" s="1"/>
  <c r="AJ272" i="12"/>
  <c r="AJ288" i="12" s="1"/>
  <c r="AI272" i="12"/>
  <c r="AI288" i="12" s="1"/>
  <c r="AH272" i="12"/>
  <c r="AH288" i="12" s="1"/>
  <c r="AG272" i="12"/>
  <c r="AG288" i="12" s="1"/>
  <c r="AF272" i="12"/>
  <c r="AF288" i="12" s="1"/>
  <c r="AE272" i="12"/>
  <c r="AE288" i="12" s="1"/>
  <c r="AM272" i="12"/>
  <c r="AM288" i="12" s="1"/>
  <c r="AD272" i="12"/>
  <c r="AD288" i="12" s="1"/>
  <c r="AC272" i="12"/>
  <c r="AC288" i="12" s="1"/>
  <c r="AB272" i="12"/>
  <c r="AB288" i="12" s="1"/>
  <c r="AA272" i="12"/>
  <c r="AA288" i="12" s="1"/>
  <c r="Z272" i="12"/>
  <c r="Z288" i="12" s="1"/>
  <c r="Y272" i="12"/>
  <c r="W9" i="12"/>
  <c r="AP165" i="8"/>
  <c r="AP159" i="8"/>
  <c r="AQ159" i="8" s="1"/>
  <c r="AF71" i="12"/>
  <c r="AK194" i="12"/>
  <c r="AL194" i="12" s="1"/>
  <c r="AL9" i="28"/>
  <c r="R156" i="12"/>
  <c r="R107" i="12"/>
  <c r="R66" i="12"/>
  <c r="BB106" i="23"/>
  <c r="AZ106" i="23"/>
  <c r="BA106" i="23" s="1"/>
  <c r="BB78" i="23"/>
  <c r="AZ78" i="23"/>
  <c r="BA78" i="23" s="1"/>
  <c r="AX63" i="12"/>
  <c r="AX62" i="12"/>
  <c r="AX61" i="12"/>
  <c r="AX60" i="12"/>
  <c r="V407" i="22"/>
  <c r="U383" i="22"/>
  <c r="BY349" i="22"/>
  <c r="BC349" i="22"/>
  <c r="BD320" i="22"/>
  <c r="X320" i="22"/>
  <c r="Y320" i="22" s="1"/>
  <c r="V421" i="22"/>
  <c r="U397" i="22"/>
  <c r="AI128" i="12"/>
  <c r="K105" i="16"/>
  <c r="K39" i="18"/>
  <c r="AD202" i="12"/>
  <c r="K98" i="16"/>
  <c r="AU31" i="16"/>
  <c r="K32" i="18"/>
  <c r="K33" i="19"/>
  <c r="AN384" i="9"/>
  <c r="AF384" i="9" s="1"/>
  <c r="AG384" i="9" s="1"/>
  <c r="AH384" i="9" s="1"/>
  <c r="AK384" i="9" s="1"/>
  <c r="S384" i="9"/>
  <c r="T384" i="9" s="1"/>
  <c r="R7" i="12"/>
  <c r="BB107" i="23"/>
  <c r="AZ107" i="23"/>
  <c r="BA107" i="23" s="1"/>
  <c r="AT27" i="28"/>
  <c r="AS29" i="28"/>
  <c r="AS6" i="28" s="1"/>
  <c r="BY342" i="22"/>
  <c r="BC342" i="22"/>
  <c r="AY102" i="23"/>
  <c r="AU102" i="23"/>
  <c r="AX102" i="23"/>
  <c r="BC102" i="23" s="1"/>
  <c r="AW102" i="23"/>
  <c r="AV102" i="23"/>
  <c r="P102" i="23"/>
  <c r="AO46" i="8"/>
  <c r="S303" i="12"/>
  <c r="AN469" i="9"/>
  <c r="AF469" i="9" s="1"/>
  <c r="AG469" i="9" s="1"/>
  <c r="AH469" i="9" s="1"/>
  <c r="AK469" i="9" s="1"/>
  <c r="S469" i="9"/>
  <c r="T469" i="9" s="1"/>
  <c r="BB101" i="23"/>
  <c r="AZ101" i="23"/>
  <c r="BA101" i="23" s="1"/>
  <c r="AR8" i="28"/>
  <c r="X34" i="12"/>
  <c r="X6" i="12"/>
  <c r="BD343" i="22"/>
  <c r="X343" i="22"/>
  <c r="Y343" i="22" s="1"/>
  <c r="AZ108" i="23"/>
  <c r="BA108" i="23" s="1"/>
  <c r="BB108" i="23"/>
  <c r="AH200" i="12"/>
  <c r="BC363" i="22"/>
  <c r="BY363" i="22"/>
  <c r="AE70" i="8"/>
  <c r="AF8" i="8"/>
  <c r="AE17" i="8"/>
  <c r="AE150" i="8" s="1"/>
  <c r="AE7" i="8"/>
  <c r="AE86" i="8" s="1"/>
  <c r="V417" i="22"/>
  <c r="U393" i="22"/>
  <c r="V424" i="22"/>
  <c r="U400" i="22"/>
  <c r="BD332" i="22"/>
  <c r="X332" i="22"/>
  <c r="Y332" i="22" s="1"/>
  <c r="AN154" i="8"/>
  <c r="AO154" i="8" s="1"/>
  <c r="AN47" i="8"/>
  <c r="T8" i="12"/>
  <c r="BC351" i="22"/>
  <c r="BY351" i="22"/>
  <c r="K40" i="18"/>
  <c r="L40" i="18" s="1"/>
  <c r="K41" i="19"/>
  <c r="K106" i="16"/>
  <c r="BB105" i="23"/>
  <c r="AZ105" i="23"/>
  <c r="BA105" i="23" s="1"/>
  <c r="AU136" i="23"/>
  <c r="AY136" i="23"/>
  <c r="AX136" i="23"/>
  <c r="BC136" i="23" s="1"/>
  <c r="AW136" i="23"/>
  <c r="AV136" i="23"/>
  <c r="P136" i="23"/>
  <c r="BY338" i="22"/>
  <c r="BC338" i="22"/>
  <c r="W35" i="12"/>
  <c r="W27" i="12"/>
  <c r="W31" i="12"/>
  <c r="W26" i="12"/>
  <c r="W25" i="12"/>
  <c r="AL43" i="8"/>
  <c r="AN43" i="8" s="1"/>
  <c r="AO165" i="8"/>
  <c r="AQ165" i="8" s="1"/>
  <c r="AL280" i="12"/>
  <c r="BC354" i="22"/>
  <c r="BY354" i="22"/>
  <c r="AK21" i="32"/>
  <c r="R446" i="9" s="1"/>
  <c r="X116" i="16"/>
  <c r="AF76" i="12"/>
  <c r="P147" i="12"/>
  <c r="AY54" i="12"/>
  <c r="BB437" i="22"/>
  <c r="W437" i="22"/>
  <c r="AY437" i="22"/>
  <c r="AX437" i="22"/>
  <c r="AZ437" i="22"/>
  <c r="BA437" i="22"/>
  <c r="AZ362" i="22"/>
  <c r="W362" i="22"/>
  <c r="AY362" i="22"/>
  <c r="BA362" i="22"/>
  <c r="CB362" i="22" s="1"/>
  <c r="AX362" i="22"/>
  <c r="BB362" i="22"/>
  <c r="AY147" i="23"/>
  <c r="AW147" i="23"/>
  <c r="AX147" i="23"/>
  <c r="BC147" i="23" s="1"/>
  <c r="AV147" i="23"/>
  <c r="AU147" i="23"/>
  <c r="P147" i="23"/>
  <c r="AH195" i="12"/>
  <c r="AI195" i="12" s="1"/>
  <c r="Z68" i="16"/>
  <c r="AA68" i="16" s="1"/>
  <c r="AP132" i="8"/>
  <c r="AQ132" i="8" s="1"/>
  <c r="AO158" i="8"/>
  <c r="T20" i="13"/>
  <c r="T19" i="13"/>
  <c r="T23" i="13"/>
  <c r="T14" i="13"/>
  <c r="T18" i="13"/>
  <c r="T24" i="13"/>
  <c r="T15" i="13"/>
  <c r="T25" i="13"/>
  <c r="T17" i="13"/>
  <c r="T22" i="13"/>
  <c r="T21" i="13"/>
  <c r="T16" i="13"/>
  <c r="K96" i="16"/>
  <c r="K30" i="18"/>
  <c r="K31" i="19"/>
  <c r="AT34" i="16"/>
  <c r="S323" i="12"/>
  <c r="I33" i="19"/>
  <c r="S307" i="12"/>
  <c r="V247" i="12"/>
  <c r="AP127" i="8"/>
  <c r="AH276" i="12"/>
  <c r="AH280" i="12"/>
  <c r="AH292" i="12" s="1"/>
  <c r="AD129" i="12"/>
  <c r="AE39" i="12"/>
  <c r="AF39" i="12" s="1"/>
  <c r="AM158" i="8"/>
  <c r="BB112" i="23"/>
  <c r="AZ112" i="23"/>
  <c r="BA112" i="23" s="1"/>
  <c r="J35" i="19"/>
  <c r="AM52" i="8"/>
  <c r="H25" i="16"/>
  <c r="H19" i="16"/>
  <c r="H21" i="16"/>
  <c r="H18" i="16"/>
  <c r="H24" i="16"/>
  <c r="H22" i="16"/>
  <c r="H17" i="16"/>
  <c r="H16" i="16"/>
  <c r="H23" i="16"/>
  <c r="H26" i="16"/>
  <c r="H20" i="16"/>
  <c r="CA382" i="22"/>
  <c r="AL20" i="32"/>
  <c r="R457" i="9" s="1"/>
  <c r="AO32" i="8"/>
  <c r="AN20" i="32" s="1"/>
  <c r="R481" i="9" s="1"/>
  <c r="S8" i="12"/>
  <c r="X108" i="12"/>
  <c r="X213" i="12"/>
  <c r="CA363" i="22"/>
  <c r="AA103" i="12"/>
  <c r="AD64" i="8"/>
  <c r="AD59" i="8"/>
  <c r="AD66" i="8"/>
  <c r="AD61" i="8"/>
  <c r="AD68" i="8"/>
  <c r="AD65" i="8"/>
  <c r="AD58" i="8"/>
  <c r="AD69" i="8" s="1"/>
  <c r="AD67" i="8"/>
  <c r="AD60" i="8"/>
  <c r="AD62" i="8"/>
  <c r="AD63" i="8"/>
  <c r="T319" i="12"/>
  <c r="W247" i="12"/>
  <c r="AU33" i="16"/>
  <c r="K38" i="18"/>
  <c r="K104" i="16"/>
  <c r="K39" i="19"/>
  <c r="CC338" i="22"/>
  <c r="AP27" i="8"/>
  <c r="AO15" i="32" s="1"/>
  <c r="R488" i="9" s="1"/>
  <c r="AD43" i="12"/>
  <c r="AF43" i="12" s="1"/>
  <c r="W120" i="16"/>
  <c r="AG77" i="12"/>
  <c r="V14" i="12"/>
  <c r="V84" i="12"/>
  <c r="AG80" i="12"/>
  <c r="V403" i="22"/>
  <c r="U379" i="22"/>
  <c r="BB406" i="22"/>
  <c r="BA406" i="22"/>
  <c r="CB406" i="22" s="1"/>
  <c r="W406" i="22"/>
  <c r="AY406" i="22"/>
  <c r="BZ406" i="22" s="1"/>
  <c r="AZ406" i="22"/>
  <c r="AX406" i="22"/>
  <c r="U12" i="12"/>
  <c r="W25" i="27"/>
  <c r="O142" i="23" s="1"/>
  <c r="W9" i="27"/>
  <c r="M36" i="16"/>
  <c r="BA387" i="22"/>
  <c r="BB387" i="22"/>
  <c r="AZ387" i="22"/>
  <c r="AY387" i="22"/>
  <c r="AX387" i="22"/>
  <c r="W387" i="22"/>
  <c r="V454" i="22"/>
  <c r="U430" i="22"/>
  <c r="BA388" i="22"/>
  <c r="CB388" i="22" s="1"/>
  <c r="AZ388" i="22"/>
  <c r="CA388" i="22" s="1"/>
  <c r="BB388" i="22"/>
  <c r="CC388" i="22" s="1"/>
  <c r="AX388" i="22"/>
  <c r="AY388" i="22"/>
  <c r="BZ388" i="22" s="1"/>
  <c r="W388" i="22"/>
  <c r="V23" i="27"/>
  <c r="O128" i="23" s="1"/>
  <c r="V7" i="27"/>
  <c r="L34" i="16"/>
  <c r="T314" i="12"/>
  <c r="S314" i="12"/>
  <c r="AH185" i="12"/>
  <c r="AF73" i="12"/>
  <c r="AL38" i="12"/>
  <c r="V436" i="22"/>
  <c r="U412" i="22"/>
  <c r="AI164" i="8"/>
  <c r="AJ164" i="8" s="1"/>
  <c r="BA375" i="22"/>
  <c r="AZ375" i="22"/>
  <c r="W375" i="22"/>
  <c r="AX375" i="22"/>
  <c r="AY375" i="22"/>
  <c r="BB375" i="22"/>
  <c r="W5" i="27"/>
  <c r="W21" i="27"/>
  <c r="M32" i="16"/>
  <c r="AH157" i="8"/>
  <c r="BZ357" i="22"/>
  <c r="BD204" i="22"/>
  <c r="X204" i="22"/>
  <c r="Y204" i="22" s="1"/>
  <c r="H42" i="18"/>
  <c r="O238" i="12" s="1"/>
  <c r="J40" i="19"/>
  <c r="BC335" i="22"/>
  <c r="BY335" i="22"/>
  <c r="U29" i="12"/>
  <c r="AC280" i="12"/>
  <c r="AC292" i="12" s="1"/>
  <c r="AC276" i="12"/>
  <c r="BY347" i="22"/>
  <c r="BC347" i="22"/>
  <c r="X26" i="27"/>
  <c r="O155" i="23" s="1"/>
  <c r="X10" i="27"/>
  <c r="S407" i="9"/>
  <c r="T407" i="9" s="1"/>
  <c r="AN407" i="9"/>
  <c r="AF407" i="9" s="1"/>
  <c r="AG407" i="9" s="1"/>
  <c r="AH407" i="9" s="1"/>
  <c r="AK407" i="9" s="1"/>
  <c r="S298" i="12"/>
  <c r="AZ360" i="22"/>
  <c r="W360" i="22"/>
  <c r="AY360" i="22"/>
  <c r="BB360" i="22"/>
  <c r="CC360" i="22" s="1"/>
  <c r="BA360" i="22"/>
  <c r="CB360" i="22" s="1"/>
  <c r="AX360" i="22"/>
  <c r="BD358" i="22"/>
  <c r="X358" i="22"/>
  <c r="Y358" i="22" s="1"/>
  <c r="AE203" i="12"/>
  <c r="I42" i="18"/>
  <c r="P238" i="12" s="1"/>
  <c r="I31" i="19"/>
  <c r="I43" i="19" s="1"/>
  <c r="P239" i="12" s="1"/>
  <c r="K37" i="18"/>
  <c r="K103" i="16"/>
  <c r="AH40" i="12"/>
  <c r="V315" i="12"/>
  <c r="V321" i="12"/>
  <c r="V316" i="12"/>
  <c r="V317" i="12"/>
  <c r="V11" i="27"/>
  <c r="V27" i="27"/>
  <c r="O132" i="23" s="1"/>
  <c r="L38" i="16"/>
  <c r="BB24" i="12"/>
  <c r="T28" i="12"/>
  <c r="AH19" i="32"/>
  <c r="AM31" i="8"/>
  <c r="Z280" i="12"/>
  <c r="AP32" i="8"/>
  <c r="AO20" i="32" s="1"/>
  <c r="R493" i="9" s="1"/>
  <c r="BY355" i="22"/>
  <c r="BC355" i="22"/>
  <c r="CB363" i="22"/>
  <c r="BD318" i="22"/>
  <c r="X318" i="22"/>
  <c r="Y318" i="22" s="1"/>
  <c r="P153" i="12"/>
  <c r="AY124" i="23"/>
  <c r="AU124" i="23"/>
  <c r="AX124" i="23"/>
  <c r="BC124" i="23" s="1"/>
  <c r="AW124" i="23"/>
  <c r="AV124" i="23"/>
  <c r="P124" i="23"/>
  <c r="O165" i="12"/>
  <c r="P165" i="12" s="1"/>
  <c r="O170" i="12"/>
  <c r="P170" i="12" s="1"/>
  <c r="O164" i="12"/>
  <c r="P164" i="12" s="1"/>
  <c r="O169" i="12"/>
  <c r="P169" i="12" s="1"/>
  <c r="O172" i="12"/>
  <c r="P172" i="12" s="1"/>
  <c r="O167" i="12"/>
  <c r="P167" i="12" s="1"/>
  <c r="O162" i="12"/>
  <c r="O171" i="12"/>
  <c r="O166" i="12"/>
  <c r="O163" i="12"/>
  <c r="P163" i="12" s="1"/>
  <c r="O168" i="12"/>
  <c r="P168" i="12" s="1"/>
  <c r="AE70" i="12"/>
  <c r="T317" i="12"/>
  <c r="AM51" i="8"/>
  <c r="AN464" i="9"/>
  <c r="AF464" i="9" s="1"/>
  <c r="AG464" i="9" s="1"/>
  <c r="AH464" i="9" s="1"/>
  <c r="AK464" i="9" s="1"/>
  <c r="S464" i="9"/>
  <c r="T464" i="9" s="1"/>
  <c r="W350" i="22"/>
  <c r="AZ350" i="22"/>
  <c r="CA350" i="22" s="1"/>
  <c r="BB350" i="22"/>
  <c r="CC350" i="22" s="1"/>
  <c r="AY350" i="22"/>
  <c r="BZ350" i="22" s="1"/>
  <c r="AX350" i="22"/>
  <c r="BA350" i="22"/>
  <c r="CB350" i="22" s="1"/>
  <c r="AS41" i="28"/>
  <c r="AT39" i="28"/>
  <c r="AG132" i="12"/>
  <c r="AI199" i="12"/>
  <c r="BA373" i="22"/>
  <c r="W373" i="22"/>
  <c r="BB373" i="22"/>
  <c r="AZ373" i="22"/>
  <c r="AY373" i="22"/>
  <c r="AX373" i="22"/>
  <c r="X25" i="27"/>
  <c r="O154" i="23" s="1"/>
  <c r="X9" i="27"/>
  <c r="AU45" i="28"/>
  <c r="AT47" i="28"/>
  <c r="V485" i="22"/>
  <c r="U461" i="22"/>
  <c r="AC49" i="12"/>
  <c r="AC139" i="12" s="1"/>
  <c r="AG74" i="12"/>
  <c r="AM42" i="8"/>
  <c r="Z103" i="12"/>
  <c r="Y115" i="16"/>
  <c r="I32" i="19"/>
  <c r="AH199" i="12"/>
  <c r="AW86" i="12"/>
  <c r="O89" i="12"/>
  <c r="O90" i="12" s="1"/>
  <c r="O91" i="12" s="1"/>
  <c r="S297" i="12"/>
  <c r="V408" i="22"/>
  <c r="U384" i="22"/>
  <c r="AG45" i="12"/>
  <c r="AM186" i="12"/>
  <c r="AU121" i="23"/>
  <c r="AY121" i="23"/>
  <c r="AX121" i="23"/>
  <c r="BC121" i="23" s="1"/>
  <c r="AW121" i="23"/>
  <c r="AV121" i="23"/>
  <c r="P121" i="23"/>
  <c r="AJ48" i="8"/>
  <c r="V5" i="27"/>
  <c r="V21" i="27"/>
  <c r="L32" i="16"/>
  <c r="BB22" i="12"/>
  <c r="S33" i="12"/>
  <c r="V308" i="12"/>
  <c r="V250" i="12"/>
  <c r="V253" i="12" s="1"/>
  <c r="Z117" i="16"/>
  <c r="AA276" i="12"/>
  <c r="AA280" i="12"/>
  <c r="AA292" i="12" s="1"/>
  <c r="AT33" i="28"/>
  <c r="AS35" i="28"/>
  <c r="AN445" i="9"/>
  <c r="AF445" i="9" s="1"/>
  <c r="AG445" i="9" s="1"/>
  <c r="AH445" i="9" s="1"/>
  <c r="AK445" i="9" s="1"/>
  <c r="S445" i="9"/>
  <c r="T445" i="9" s="1"/>
  <c r="X223" i="12"/>
  <c r="X224" i="12"/>
  <c r="X324" i="12" s="1"/>
  <c r="X222" i="12"/>
  <c r="X221" i="12"/>
  <c r="X244" i="12" s="1"/>
  <c r="AH196" i="12"/>
  <c r="AD137" i="12"/>
  <c r="AG47" i="12"/>
  <c r="BC108" i="23"/>
  <c r="AH201" i="12"/>
  <c r="AN402" i="9"/>
  <c r="AF402" i="9" s="1"/>
  <c r="AG402" i="9" s="1"/>
  <c r="AH402" i="9" s="1"/>
  <c r="AK402" i="9" s="1"/>
  <c r="S402" i="9"/>
  <c r="T402" i="9" s="1"/>
  <c r="W315" i="12"/>
  <c r="W321" i="12"/>
  <c r="AL178" i="12"/>
  <c r="AO17" i="32"/>
  <c r="R490" i="9" s="1"/>
  <c r="AQ29" i="8"/>
  <c r="AP17" i="32" s="1"/>
  <c r="R502" i="9" s="1"/>
  <c r="BC110" i="23"/>
  <c r="BD331" i="22"/>
  <c r="X331" i="22"/>
  <c r="Y331" i="22" s="1"/>
  <c r="AX122" i="23"/>
  <c r="AY122" i="23"/>
  <c r="AW122" i="23"/>
  <c r="AV122" i="23"/>
  <c r="AU122" i="23"/>
  <c r="P122" i="23"/>
  <c r="H86" i="13"/>
  <c r="H70" i="13" s="1"/>
  <c r="AL129" i="8"/>
  <c r="AM129" i="8" s="1"/>
  <c r="AO50" i="8"/>
  <c r="AP50" i="8" s="1"/>
  <c r="X72" i="16"/>
  <c r="BB110" i="23"/>
  <c r="AZ110" i="23"/>
  <c r="BA110" i="23" s="1"/>
  <c r="AN401" i="9"/>
  <c r="AF401" i="9" s="1"/>
  <c r="AG401" i="9" s="1"/>
  <c r="AH401" i="9" s="1"/>
  <c r="AK401" i="9" s="1"/>
  <c r="S401" i="9"/>
  <c r="T401" i="9" s="1"/>
  <c r="BD340" i="22"/>
  <c r="X340" i="22"/>
  <c r="Y340" i="22" s="1"/>
  <c r="AY371" i="22"/>
  <c r="W371" i="22"/>
  <c r="BB371" i="22"/>
  <c r="BA371" i="22"/>
  <c r="AZ371" i="22"/>
  <c r="CA371" i="22" s="1"/>
  <c r="AX371" i="22"/>
  <c r="BY394" i="22"/>
  <c r="BC394" i="22"/>
  <c r="W23" i="27"/>
  <c r="O140" i="23" s="1"/>
  <c r="W7" i="27"/>
  <c r="M34" i="16"/>
  <c r="AK180" i="12"/>
  <c r="P144" i="12"/>
  <c r="AX57" i="12"/>
  <c r="V118" i="16"/>
  <c r="X352" i="22"/>
  <c r="Y352" i="22" s="1"/>
  <c r="BD352" i="22"/>
  <c r="BA205" i="22"/>
  <c r="BZ348" i="22"/>
  <c r="AF79" i="12"/>
  <c r="X8" i="27"/>
  <c r="X24" i="27"/>
  <c r="O153" i="23" s="1"/>
  <c r="BD23" i="12"/>
  <c r="AJ18" i="32"/>
  <c r="R431" i="9" s="1"/>
  <c r="AL30" i="8"/>
  <c r="AM30" i="8" s="1"/>
  <c r="AX123" i="23"/>
  <c r="AW123" i="23"/>
  <c r="AV123" i="23"/>
  <c r="AY123" i="23"/>
  <c r="AU123" i="23"/>
  <c r="P123" i="23"/>
  <c r="T298" i="12"/>
  <c r="AF80" i="12"/>
  <c r="AT23" i="28"/>
  <c r="AU21" i="28"/>
  <c r="S124" i="16"/>
  <c r="BY357" i="22"/>
  <c r="BC357" i="22"/>
  <c r="AQ131" i="8"/>
  <c r="BD336" i="22"/>
  <c r="X336" i="22"/>
  <c r="Y336" i="22" s="1"/>
  <c r="BB104" i="23"/>
  <c r="AZ104" i="23"/>
  <c r="BA104" i="23" s="1"/>
  <c r="BB90" i="23"/>
  <c r="AZ90" i="23"/>
  <c r="BA90" i="23" s="1"/>
  <c r="W10" i="27"/>
  <c r="W26" i="27"/>
  <c r="O143" i="23" s="1"/>
  <c r="M37" i="16"/>
  <c r="AF204" i="12"/>
  <c r="AG204" i="12" s="1"/>
  <c r="AB280" i="12"/>
  <c r="AL182" i="12"/>
  <c r="AM182" i="12" s="1"/>
  <c r="BB214" i="22"/>
  <c r="CC214" i="22" s="1"/>
  <c r="AE137" i="12"/>
  <c r="Y211" i="12"/>
  <c r="Y225" i="12"/>
  <c r="Y4" i="12"/>
  <c r="Y105" i="12"/>
  <c r="AL31" i="8"/>
  <c r="W308" i="12"/>
  <c r="W250" i="12"/>
  <c r="W253" i="12" s="1"/>
  <c r="AT3" i="28"/>
  <c r="AI21" i="32"/>
  <c r="R422" i="9" s="1"/>
  <c r="AN33" i="8"/>
  <c r="AM21" i="32" s="1"/>
  <c r="R470" i="9" s="1"/>
  <c r="AE76" i="12"/>
  <c r="W372" i="22"/>
  <c r="AX372" i="22"/>
  <c r="BB372" i="22"/>
  <c r="CC372" i="22" s="1"/>
  <c r="BA372" i="22"/>
  <c r="AZ372" i="22"/>
  <c r="AY372" i="22"/>
  <c r="S419" i="9"/>
  <c r="T419" i="9" s="1"/>
  <c r="AN419" i="9"/>
  <c r="AF419" i="9" s="1"/>
  <c r="AG419" i="9" s="1"/>
  <c r="AH419" i="9" s="1"/>
  <c r="AK419" i="9" s="1"/>
  <c r="K97" i="16"/>
  <c r="CA338" i="22"/>
  <c r="AE75" i="12"/>
  <c r="AO155" i="8"/>
  <c r="AE189" i="12"/>
  <c r="S414" i="9"/>
  <c r="T414" i="9" s="1"/>
  <c r="AN414" i="9"/>
  <c r="AF414" i="9" s="1"/>
  <c r="AG414" i="9" s="1"/>
  <c r="AH414" i="9" s="1"/>
  <c r="AK414" i="9" s="1"/>
  <c r="V398" i="22"/>
  <c r="V410" i="22" s="1"/>
  <c r="U374" i="22"/>
  <c r="AB103" i="12" s="1"/>
  <c r="U32" i="27"/>
  <c r="O125" i="23" s="1"/>
  <c r="U16" i="27"/>
  <c r="U17" i="27" s="1"/>
  <c r="K43" i="16"/>
  <c r="K44" i="16" s="1"/>
  <c r="K7" i="16" s="1"/>
  <c r="U378" i="22"/>
  <c r="Q215" i="12"/>
  <c r="Q106" i="12"/>
  <c r="R415" i="9"/>
  <c r="AZ103" i="23"/>
  <c r="BA103" i="23" s="1"/>
  <c r="BB103" i="23"/>
  <c r="AL49" i="8"/>
  <c r="X370" i="22"/>
  <c r="Y370" i="22" s="1"/>
  <c r="BD370" i="22"/>
  <c r="CA357" i="22"/>
  <c r="V429" i="22"/>
  <c r="U405" i="22"/>
  <c r="CB357" i="22"/>
  <c r="AI196" i="12"/>
  <c r="AF187" i="12"/>
  <c r="BZ342" i="22"/>
  <c r="S304" i="12"/>
  <c r="W24" i="27"/>
  <c r="O141" i="23" s="1"/>
  <c r="W8" i="27"/>
  <c r="BC23" i="12"/>
  <c r="AG185" i="12"/>
  <c r="BC112" i="23"/>
  <c r="AO127" i="8"/>
  <c r="AQ127" i="8" s="1"/>
  <c r="AE132" i="12"/>
  <c r="AJ42" i="12"/>
  <c r="AJ132" i="12" s="1"/>
  <c r="AJ280" i="12"/>
  <c r="AJ292" i="12" s="1"/>
  <c r="AJ276" i="12"/>
  <c r="U321" i="12"/>
  <c r="AI40" i="12"/>
  <c r="AI130" i="12" s="1"/>
  <c r="AH47" i="12"/>
  <c r="AI47" i="12" s="1"/>
  <c r="AI137" i="12" s="1"/>
  <c r="J36" i="19"/>
  <c r="AY366" i="22"/>
  <c r="W366" i="22"/>
  <c r="BB366" i="22"/>
  <c r="BA366" i="22"/>
  <c r="AZ366" i="22"/>
  <c r="AX366" i="22"/>
  <c r="T303" i="12"/>
  <c r="BD339" i="22"/>
  <c r="X339" i="22"/>
  <c r="Y339" i="22" s="1"/>
  <c r="R396" i="9"/>
  <c r="AG26" i="32"/>
  <c r="V8" i="27"/>
  <c r="V24" i="27"/>
  <c r="O129" i="23" s="1"/>
  <c r="L35" i="16"/>
  <c r="BB23" i="12"/>
  <c r="P65" i="12"/>
  <c r="P155" i="12" s="1"/>
  <c r="V396" i="22"/>
  <c r="CA394" i="22"/>
  <c r="CC351" i="22"/>
  <c r="AJ40" i="12"/>
  <c r="AJ130" i="12" s="1"/>
  <c r="AM49" i="8"/>
  <c r="AN49" i="8" s="1"/>
  <c r="AG181" i="12"/>
  <c r="AH181" i="12" s="1"/>
  <c r="AG160" i="8"/>
  <c r="BC413" i="22"/>
  <c r="AM280" i="12"/>
  <c r="AD23" i="8"/>
  <c r="U24" i="12"/>
  <c r="V391" i="22"/>
  <c r="AE78" i="12"/>
  <c r="AS41" i="16"/>
  <c r="AS42" i="16"/>
  <c r="AD280" i="12"/>
  <c r="AD292" i="12" s="1"/>
  <c r="AD276" i="12"/>
  <c r="AI161" i="8"/>
  <c r="AC22" i="8"/>
  <c r="AD22" i="8" s="1"/>
  <c r="V9" i="27"/>
  <c r="V25" i="27"/>
  <c r="O130" i="23" s="1"/>
  <c r="L36" i="16"/>
  <c r="N36" i="16" s="1"/>
  <c r="BB89" i="23"/>
  <c r="AZ89" i="23"/>
  <c r="BA89" i="23" s="1"/>
  <c r="Z64" i="16"/>
  <c r="AA64" i="16" s="1"/>
  <c r="S302" i="12"/>
  <c r="X115" i="16"/>
  <c r="Z67" i="16"/>
  <c r="X276" i="12"/>
  <c r="BB418" i="22"/>
  <c r="BA418" i="22"/>
  <c r="AZ418" i="22"/>
  <c r="AY418" i="22"/>
  <c r="AX418" i="22"/>
  <c r="BC418" i="22" s="1"/>
  <c r="W418" i="22"/>
  <c r="AI24" i="32"/>
  <c r="R425" i="9" s="1"/>
  <c r="AK36" i="8"/>
  <c r="AZ215" i="22"/>
  <c r="CA215" i="22" s="1"/>
  <c r="AJ183" i="12"/>
  <c r="AK183" i="12" s="1"/>
  <c r="AK280" i="12"/>
  <c r="AK292" i="12" s="1"/>
  <c r="AK276" i="12"/>
  <c r="AK41" i="12"/>
  <c r="AK131" i="12" s="1"/>
  <c r="AO27" i="8"/>
  <c r="AN15" i="32" s="1"/>
  <c r="R476" i="9" s="1"/>
  <c r="AL26" i="8"/>
  <c r="J31" i="18"/>
  <c r="K31" i="18" s="1"/>
  <c r="AH45" i="8"/>
  <c r="CB355" i="22"/>
  <c r="V390" i="22"/>
  <c r="T299" i="12"/>
  <c r="AK11" i="28"/>
  <c r="Q174" i="12"/>
  <c r="Q19" i="12"/>
  <c r="AL44" i="12"/>
  <c r="L37" i="16"/>
  <c r="AY55" i="12"/>
  <c r="P150" i="12"/>
  <c r="AA69" i="16"/>
  <c r="CB394" i="22"/>
  <c r="AH21" i="32"/>
  <c r="R410" i="9" s="1"/>
  <c r="AM33" i="8"/>
  <c r="AP33" i="8" s="1"/>
  <c r="AO21" i="32" s="1"/>
  <c r="R494" i="9" s="1"/>
  <c r="P115" i="23"/>
  <c r="AV115" i="23"/>
  <c r="AY115" i="23"/>
  <c r="AX115" i="23"/>
  <c r="AW115" i="23"/>
  <c r="AU115" i="23"/>
  <c r="AJ163" i="8"/>
  <c r="AV17" i="28"/>
  <c r="AW15" i="28"/>
  <c r="S319" i="12"/>
  <c r="AI197" i="12"/>
  <c r="AJ197" i="12" s="1"/>
  <c r="R323" i="12"/>
  <c r="AB211" i="12" l="1"/>
  <c r="AB225" i="12"/>
  <c r="AB4" i="12"/>
  <c r="AB105" i="12"/>
  <c r="AN494" i="9"/>
  <c r="AF494" i="9" s="1"/>
  <c r="AG494" i="9" s="1"/>
  <c r="AH494" i="9" s="1"/>
  <c r="AK494" i="9" s="1"/>
  <c r="S494" i="9"/>
  <c r="T494" i="9" s="1"/>
  <c r="N105" i="16"/>
  <c r="N39" i="18"/>
  <c r="U289" i="12" s="1"/>
  <c r="N40" i="19"/>
  <c r="L41" i="19"/>
  <c r="AQ154" i="8"/>
  <c r="N100" i="16"/>
  <c r="AF133" i="12"/>
  <c r="AH43" i="12"/>
  <c r="AF129" i="12"/>
  <c r="AF49" i="12"/>
  <c r="AF139" i="12" s="1"/>
  <c r="M37" i="18"/>
  <c r="T287" i="12" s="1"/>
  <c r="M103" i="16"/>
  <c r="M38" i="19"/>
  <c r="AG133" i="12"/>
  <c r="V113" i="16"/>
  <c r="W65" i="16"/>
  <c r="AL18" i="32"/>
  <c r="R455" i="9" s="1"/>
  <c r="AA116" i="16"/>
  <c r="U410" i="22"/>
  <c r="AA112" i="16"/>
  <c r="Q248" i="12"/>
  <c r="Q245" i="12"/>
  <c r="Y66" i="16"/>
  <c r="AK195" i="12"/>
  <c r="K32" i="19"/>
  <c r="Y5" i="27"/>
  <c r="Y21" i="27"/>
  <c r="BB123" i="23"/>
  <c r="AZ123" i="23"/>
  <c r="BA123" i="23" s="1"/>
  <c r="Z9" i="27"/>
  <c r="Z25" i="27"/>
  <c r="O178" i="23" s="1"/>
  <c r="P36" i="16"/>
  <c r="V490" i="22"/>
  <c r="U490" i="22" s="1"/>
  <c r="U466" i="22"/>
  <c r="BZ366" i="22"/>
  <c r="AQ15" i="16"/>
  <c r="H80" i="16"/>
  <c r="H81" i="16" s="1"/>
  <c r="H82" i="16" s="1"/>
  <c r="H83" i="16" s="1"/>
  <c r="H84" i="16" s="1"/>
  <c r="H85" i="16" s="1"/>
  <c r="H86" i="16" s="1"/>
  <c r="H87" i="16" s="1"/>
  <c r="H88" i="16" s="1"/>
  <c r="H89" i="16" s="1"/>
  <c r="H90" i="16" s="1"/>
  <c r="Z14" i="27"/>
  <c r="Z30" i="27"/>
  <c r="O183" i="23" s="1"/>
  <c r="P41" i="16"/>
  <c r="X120" i="16"/>
  <c r="X28" i="27"/>
  <c r="O157" i="23" s="1"/>
  <c r="X12" i="27"/>
  <c r="N39" i="16"/>
  <c r="L102" i="16"/>
  <c r="L36" i="18"/>
  <c r="AK19" i="32"/>
  <c r="R444" i="9" s="1"/>
  <c r="W312" i="12"/>
  <c r="AZ384" i="22"/>
  <c r="W384" i="22"/>
  <c r="AY384" i="22"/>
  <c r="BZ384" i="22" s="1"/>
  <c r="AX384" i="22"/>
  <c r="BA384" i="22"/>
  <c r="BB384" i="22"/>
  <c r="AU132" i="23"/>
  <c r="P132" i="23"/>
  <c r="AY132" i="23"/>
  <c r="AX132" i="23"/>
  <c r="BC132" i="23" s="1"/>
  <c r="AW132" i="23"/>
  <c r="AV132" i="23"/>
  <c r="X335" i="22"/>
  <c r="Y335" i="22" s="1"/>
  <c r="BD335" i="22"/>
  <c r="BB412" i="22"/>
  <c r="CC412" i="22" s="1"/>
  <c r="BA412" i="22"/>
  <c r="CB412" i="22" s="1"/>
  <c r="AY412" i="22"/>
  <c r="BZ412" i="22" s="1"/>
  <c r="W412" i="22"/>
  <c r="AX412" i="22"/>
  <c r="AZ412" i="22"/>
  <c r="CA412" i="22" s="1"/>
  <c r="BZ387" i="22"/>
  <c r="AY58" i="12"/>
  <c r="AN9" i="28"/>
  <c r="T156" i="12"/>
  <c r="T107" i="12"/>
  <c r="T66" i="12"/>
  <c r="T7" i="12"/>
  <c r="X30" i="12"/>
  <c r="X320" i="12" s="1"/>
  <c r="X26" i="12"/>
  <c r="X31" i="12"/>
  <c r="X27" i="12"/>
  <c r="X25" i="12"/>
  <c r="AL10" i="28"/>
  <c r="AL12" i="28" s="1"/>
  <c r="R16" i="12"/>
  <c r="R18" i="12"/>
  <c r="R17" i="12" s="1"/>
  <c r="AO49" i="8"/>
  <c r="BB117" i="23"/>
  <c r="AZ117" i="23"/>
  <c r="BA117" i="23" s="1"/>
  <c r="V428" i="22"/>
  <c r="U404" i="22"/>
  <c r="Z66" i="16"/>
  <c r="AQ50" i="8"/>
  <c r="BD348" i="22"/>
  <c r="X348" i="22"/>
  <c r="Y348" i="22" s="1"/>
  <c r="CC359" i="22"/>
  <c r="L31" i="18"/>
  <c r="L32" i="19" s="1"/>
  <c r="L97" i="16"/>
  <c r="CC356" i="22"/>
  <c r="P159" i="23"/>
  <c r="AW159" i="23"/>
  <c r="AX159" i="23"/>
  <c r="AV159" i="23"/>
  <c r="AU159" i="23"/>
  <c r="AY159" i="23"/>
  <c r="AK164" i="8"/>
  <c r="AL164" i="8" s="1"/>
  <c r="AL19" i="32"/>
  <c r="R456" i="9" s="1"/>
  <c r="W42" i="13"/>
  <c r="X6" i="13"/>
  <c r="O240" i="12"/>
  <c r="O241" i="12" s="1"/>
  <c r="O248" i="12"/>
  <c r="O245" i="12"/>
  <c r="H27" i="16"/>
  <c r="AQ18" i="16" s="1"/>
  <c r="BB383" i="22"/>
  <c r="AZ383" i="22"/>
  <c r="W383" i="22"/>
  <c r="AY383" i="22"/>
  <c r="AX383" i="22"/>
  <c r="BA383" i="22"/>
  <c r="CB383" i="22" s="1"/>
  <c r="BB135" i="23"/>
  <c r="AZ135" i="23"/>
  <c r="BA135" i="23" s="1"/>
  <c r="BB122" i="23"/>
  <c r="AZ122" i="23"/>
  <c r="BA122" i="23" s="1"/>
  <c r="U407" i="22"/>
  <c r="AH77" i="12"/>
  <c r="AX145" i="23"/>
  <c r="BC145" i="23" s="1"/>
  <c r="AW145" i="23"/>
  <c r="AV145" i="23"/>
  <c r="AY145" i="23"/>
  <c r="P145" i="23"/>
  <c r="AU145" i="23"/>
  <c r="BY371" i="22"/>
  <c r="BC371" i="22"/>
  <c r="V32" i="27"/>
  <c r="O137" i="23" s="1"/>
  <c r="V16" i="27"/>
  <c r="L43" i="16"/>
  <c r="BB25" i="12"/>
  <c r="AJ199" i="12"/>
  <c r="AN51" i="8"/>
  <c r="AO51" i="8"/>
  <c r="BZ360" i="22"/>
  <c r="AW142" i="23"/>
  <c r="AY142" i="23"/>
  <c r="AV142" i="23"/>
  <c r="P142" i="23"/>
  <c r="AX142" i="23"/>
  <c r="AU142" i="23"/>
  <c r="K42" i="18"/>
  <c r="R238" i="12" s="1"/>
  <c r="AX400" i="22"/>
  <c r="BB400" i="22"/>
  <c r="CC400" i="22" s="1"/>
  <c r="W400" i="22"/>
  <c r="AZ400" i="22"/>
  <c r="CA400" i="22" s="1"/>
  <c r="AY400" i="22"/>
  <c r="BZ400" i="22" s="1"/>
  <c r="BA400" i="22"/>
  <c r="CB400" i="22" s="1"/>
  <c r="CB376" i="22"/>
  <c r="AZ120" i="23"/>
  <c r="BA120" i="23" s="1"/>
  <c r="BB120" i="23"/>
  <c r="AG276" i="12"/>
  <c r="V12" i="12"/>
  <c r="T122" i="16"/>
  <c r="T124" i="16" s="1"/>
  <c r="U74" i="16"/>
  <c r="AY395" i="22"/>
  <c r="W395" i="22"/>
  <c r="BB395" i="22"/>
  <c r="CC395" i="22" s="1"/>
  <c r="BA395" i="22"/>
  <c r="CB395" i="22" s="1"/>
  <c r="AZ395" i="22"/>
  <c r="AX395" i="22"/>
  <c r="AX15" i="28"/>
  <c r="AW17" i="28"/>
  <c r="Y223" i="12"/>
  <c r="Y222" i="12"/>
  <c r="Y224" i="12"/>
  <c r="Y324" i="12" s="1"/>
  <c r="Y221" i="12"/>
  <c r="Y244" i="12" s="1"/>
  <c r="M100" i="16"/>
  <c r="P129" i="23"/>
  <c r="AY129" i="23"/>
  <c r="AX129" i="23"/>
  <c r="BC129" i="23" s="1"/>
  <c r="AW129" i="23"/>
  <c r="AV129" i="23"/>
  <c r="AU129" i="23"/>
  <c r="AL40" i="12"/>
  <c r="AL130" i="12" s="1"/>
  <c r="AN415" i="9"/>
  <c r="AF415" i="9" s="1"/>
  <c r="AG415" i="9" s="1"/>
  <c r="AH415" i="9" s="1"/>
  <c r="AK415" i="9" s="1"/>
  <c r="S415" i="9"/>
  <c r="T415" i="9" s="1"/>
  <c r="AJ47" i="12"/>
  <c r="AJ137" i="12" s="1"/>
  <c r="X357" i="22"/>
  <c r="Y357" i="22" s="1"/>
  <c r="BD357" i="22"/>
  <c r="AH79" i="12"/>
  <c r="BB26" i="12"/>
  <c r="AU154" i="23"/>
  <c r="P154" i="23"/>
  <c r="AY154" i="23"/>
  <c r="AV154" i="23"/>
  <c r="AX154" i="23"/>
  <c r="AW154" i="23"/>
  <c r="AP155" i="8"/>
  <c r="AQ155" i="8" s="1"/>
  <c r="AY56" i="12"/>
  <c r="L32" i="18"/>
  <c r="L33" i="19" s="1"/>
  <c r="L98" i="16"/>
  <c r="AV31" i="16"/>
  <c r="K108" i="16"/>
  <c r="S446" i="9"/>
  <c r="T446" i="9" s="1"/>
  <c r="AN446" i="9"/>
  <c r="AF446" i="9" s="1"/>
  <c r="AG446" i="9" s="1"/>
  <c r="AH446" i="9" s="1"/>
  <c r="AK446" i="9" s="1"/>
  <c r="V448" i="22"/>
  <c r="V460" i="22" s="1"/>
  <c r="U424" i="22"/>
  <c r="AU35" i="16"/>
  <c r="Y8" i="27"/>
  <c r="Y24" i="27"/>
  <c r="O165" i="23" s="1"/>
  <c r="BE23" i="12"/>
  <c r="Q65" i="12"/>
  <c r="Q155" i="12" s="1"/>
  <c r="BB399" i="22"/>
  <c r="AZ399" i="22"/>
  <c r="AY399" i="22"/>
  <c r="W399" i="22"/>
  <c r="BA399" i="22"/>
  <c r="CB399" i="22" s="1"/>
  <c r="AX399" i="22"/>
  <c r="BY368" i="22"/>
  <c r="BC368" i="22"/>
  <c r="BC385" i="22"/>
  <c r="BY385" i="22"/>
  <c r="V419" i="22"/>
  <c r="AY125" i="23"/>
  <c r="AX125" i="23"/>
  <c r="BC125" i="23" s="1"/>
  <c r="AW125" i="23"/>
  <c r="AV125" i="23"/>
  <c r="P125" i="23"/>
  <c r="AU125" i="23"/>
  <c r="X308" i="12"/>
  <c r="X250" i="12"/>
  <c r="X253" i="12" s="1"/>
  <c r="Y31" i="27"/>
  <c r="O172" i="23" s="1"/>
  <c r="Y15" i="27"/>
  <c r="AX430" i="22"/>
  <c r="BB430" i="22"/>
  <c r="W430" i="22"/>
  <c r="BA430" i="22"/>
  <c r="AZ430" i="22"/>
  <c r="AY430" i="22"/>
  <c r="Y29" i="27"/>
  <c r="O170" i="23" s="1"/>
  <c r="Y13" i="27"/>
  <c r="AX65" i="12"/>
  <c r="AX64" i="12"/>
  <c r="AN425" i="9"/>
  <c r="AF425" i="9" s="1"/>
  <c r="AG425" i="9" s="1"/>
  <c r="AH425" i="9" s="1"/>
  <c r="AK425" i="9" s="1"/>
  <c r="S425" i="9"/>
  <c r="T425" i="9" s="1"/>
  <c r="CC387" i="22"/>
  <c r="BY360" i="22"/>
  <c r="BC360" i="22"/>
  <c r="CB387" i="22"/>
  <c r="AJ195" i="12"/>
  <c r="L37" i="18"/>
  <c r="L103" i="16"/>
  <c r="L38" i="19"/>
  <c r="L33" i="18"/>
  <c r="L99" i="16"/>
  <c r="L34" i="19"/>
  <c r="AI45" i="8"/>
  <c r="AH53" i="8"/>
  <c r="S488" i="9"/>
  <c r="T488" i="9" s="1"/>
  <c r="AN488" i="9"/>
  <c r="AF488" i="9" s="1"/>
  <c r="AG488" i="9" s="1"/>
  <c r="AH488" i="9" s="1"/>
  <c r="AK488" i="9" s="1"/>
  <c r="X338" i="22"/>
  <c r="Y338" i="22" s="1"/>
  <c r="BD338" i="22"/>
  <c r="AH74" i="12"/>
  <c r="BB115" i="23"/>
  <c r="AZ115" i="23"/>
  <c r="BA115" i="23" s="1"/>
  <c r="AN396" i="9"/>
  <c r="AF396" i="9" s="1"/>
  <c r="AG396" i="9" s="1"/>
  <c r="AH396" i="9" s="1"/>
  <c r="AK396" i="9" s="1"/>
  <c r="S396" i="9"/>
  <c r="T396" i="9" s="1"/>
  <c r="AI26" i="32"/>
  <c r="CB371" i="22"/>
  <c r="BC122" i="23"/>
  <c r="L96" i="16"/>
  <c r="L30" i="18"/>
  <c r="L44" i="16"/>
  <c r="L7" i="16" s="1"/>
  <c r="AU34" i="16"/>
  <c r="L31" i="19"/>
  <c r="BY373" i="22"/>
  <c r="BC373" i="22"/>
  <c r="V312" i="12"/>
  <c r="CA360" i="22"/>
  <c r="X216" i="12"/>
  <c r="W393" i="22"/>
  <c r="BB393" i="22"/>
  <c r="AZ393" i="22"/>
  <c r="AY393" i="22"/>
  <c r="BA393" i="22"/>
  <c r="AX393" i="22"/>
  <c r="CA369" i="22"/>
  <c r="W14" i="12"/>
  <c r="W84" i="12"/>
  <c r="V23" i="12"/>
  <c r="W23" i="12" s="1"/>
  <c r="V26" i="13"/>
  <c r="W4" i="13"/>
  <c r="V447" i="22"/>
  <c r="V459" i="22" s="1"/>
  <c r="U423" i="22"/>
  <c r="AN30" i="8"/>
  <c r="AM18" i="32" s="1"/>
  <c r="R467" i="9" s="1"/>
  <c r="AY386" i="22"/>
  <c r="W386" i="22"/>
  <c r="AZ386" i="22"/>
  <c r="CA386" i="22" s="1"/>
  <c r="AX386" i="22"/>
  <c r="BA386" i="22"/>
  <c r="CB386" i="22" s="1"/>
  <c r="BB386" i="22"/>
  <c r="CC386" i="22" s="1"/>
  <c r="AJ22" i="32"/>
  <c r="R435" i="9" s="1"/>
  <c r="AL34" i="8"/>
  <c r="AM34" i="8"/>
  <c r="BD418" i="22"/>
  <c r="X418" i="22"/>
  <c r="Y418" i="22" s="1"/>
  <c r="Q170" i="12"/>
  <c r="Q164" i="12"/>
  <c r="Q169" i="12"/>
  <c r="Q163" i="12"/>
  <c r="Q173" i="12" s="1"/>
  <c r="Q165" i="12"/>
  <c r="Q171" i="12"/>
  <c r="Q166" i="12"/>
  <c r="Q172" i="12"/>
  <c r="Q167" i="12"/>
  <c r="Q162" i="12"/>
  <c r="Q168" i="12"/>
  <c r="M98" i="16"/>
  <c r="X13" i="27"/>
  <c r="X29" i="27"/>
  <c r="O158" i="23" s="1"/>
  <c r="S431" i="9"/>
  <c r="T431" i="9" s="1"/>
  <c r="AN431" i="9"/>
  <c r="AF431" i="9" s="1"/>
  <c r="AG431" i="9" s="1"/>
  <c r="AH431" i="9" s="1"/>
  <c r="AK431" i="9" s="1"/>
  <c r="AL128" i="12"/>
  <c r="I11" i="16"/>
  <c r="I10" i="16" s="1"/>
  <c r="I8" i="16"/>
  <c r="BD345" i="22"/>
  <c r="X345" i="22"/>
  <c r="Y345" i="22" s="1"/>
  <c r="AL156" i="8"/>
  <c r="AN156" i="8" s="1"/>
  <c r="I25" i="16"/>
  <c r="I19" i="16"/>
  <c r="I17" i="16"/>
  <c r="I22" i="16"/>
  <c r="I21" i="16"/>
  <c r="I18" i="16"/>
  <c r="I24" i="16"/>
  <c r="I16" i="16"/>
  <c r="I23" i="16"/>
  <c r="I26" i="16"/>
  <c r="I20" i="16"/>
  <c r="V305" i="12"/>
  <c r="V306" i="12"/>
  <c r="V301" i="12"/>
  <c r="V304" i="12"/>
  <c r="V300" i="12"/>
  <c r="V296" i="12"/>
  <c r="V298" i="12"/>
  <c r="V303" i="12"/>
  <c r="V299" i="12"/>
  <c r="AZ124" i="23"/>
  <c r="BA124" i="23" s="1"/>
  <c r="BB124" i="23"/>
  <c r="BB147" i="23"/>
  <c r="AZ147" i="23"/>
  <c r="BA147" i="23" s="1"/>
  <c r="BC115" i="23"/>
  <c r="AK14" i="32"/>
  <c r="AL37" i="8"/>
  <c r="AK25" i="32" s="1"/>
  <c r="R450" i="9" s="1"/>
  <c r="AI185" i="12"/>
  <c r="AJ185" i="12" s="1"/>
  <c r="Q114" i="12"/>
  <c r="Q214" i="12"/>
  <c r="BZ372" i="22"/>
  <c r="AL41" i="12"/>
  <c r="CC371" i="22"/>
  <c r="AG137" i="12"/>
  <c r="V33" i="27"/>
  <c r="O126" i="23"/>
  <c r="BZ373" i="22"/>
  <c r="AE81" i="12"/>
  <c r="AG70" i="12"/>
  <c r="AF70" i="12"/>
  <c r="AW128" i="23"/>
  <c r="P128" i="23"/>
  <c r="AY128" i="23"/>
  <c r="AU128" i="23"/>
  <c r="AX128" i="23"/>
  <c r="AV128" i="23"/>
  <c r="AM9" i="28"/>
  <c r="S156" i="12"/>
  <c r="S107" i="12"/>
  <c r="S66" i="12"/>
  <c r="S7" i="12"/>
  <c r="BD354" i="22"/>
  <c r="X354" i="22"/>
  <c r="Y354" i="22" s="1"/>
  <c r="V441" i="22"/>
  <c r="V453" i="22" s="1"/>
  <c r="U417" i="22"/>
  <c r="AP154" i="8"/>
  <c r="AF202" i="12"/>
  <c r="AD205" i="12"/>
  <c r="CB369" i="22"/>
  <c r="Y25" i="27"/>
  <c r="O166" i="23" s="1"/>
  <c r="Y9" i="27"/>
  <c r="O36" i="16"/>
  <c r="U16" i="13"/>
  <c r="U20" i="13"/>
  <c r="U19" i="13"/>
  <c r="U18" i="13"/>
  <c r="U25" i="13"/>
  <c r="U23" i="13"/>
  <c r="U14" i="13"/>
  <c r="U24" i="13"/>
  <c r="U15" i="13"/>
  <c r="U17" i="13"/>
  <c r="U22" i="13"/>
  <c r="U21" i="13"/>
  <c r="AM26" i="8"/>
  <c r="AI201" i="12"/>
  <c r="L38" i="18"/>
  <c r="L104" i="16"/>
  <c r="AV33" i="16"/>
  <c r="AF203" i="12"/>
  <c r="S422" i="9"/>
  <c r="T422" i="9" s="1"/>
  <c r="AN422" i="9"/>
  <c r="AF422" i="9" s="1"/>
  <c r="AG422" i="9" s="1"/>
  <c r="AH422" i="9" s="1"/>
  <c r="AK422" i="9" s="1"/>
  <c r="M40" i="18"/>
  <c r="T290" i="12" s="1"/>
  <c r="M106" i="16"/>
  <c r="BC437" i="22"/>
  <c r="V422" i="22"/>
  <c r="V434" i="22" s="1"/>
  <c r="U398" i="22"/>
  <c r="AZ121" i="23"/>
  <c r="BA121" i="23" s="1"/>
  <c r="BB121" i="23"/>
  <c r="P251" i="12"/>
  <c r="P254" i="12"/>
  <c r="CA375" i="22"/>
  <c r="V445" i="22"/>
  <c r="U421" i="22"/>
  <c r="Y118" i="16"/>
  <c r="W299" i="12"/>
  <c r="W305" i="12"/>
  <c r="W301" i="12"/>
  <c r="W300" i="12"/>
  <c r="W296" i="12"/>
  <c r="W306" i="12"/>
  <c r="AU33" i="28"/>
  <c r="AT35" i="28"/>
  <c r="AG72" i="12"/>
  <c r="X9" i="12"/>
  <c r="AK200" i="12"/>
  <c r="AO129" i="8"/>
  <c r="S434" i="9"/>
  <c r="T434" i="9" s="1"/>
  <c r="AN434" i="9"/>
  <c r="AF434" i="9" s="1"/>
  <c r="AG434" i="9" s="1"/>
  <c r="AH434" i="9" s="1"/>
  <c r="AK434" i="9" s="1"/>
  <c r="AS8" i="28"/>
  <c r="Y34" i="12"/>
  <c r="Y6" i="12"/>
  <c r="CA376" i="22"/>
  <c r="CB356" i="22"/>
  <c r="AN129" i="8"/>
  <c r="AP129" i="8" s="1"/>
  <c r="Z115" i="16"/>
  <c r="AA67" i="16"/>
  <c r="AW153" i="23"/>
  <c r="P153" i="23"/>
  <c r="AY153" i="23"/>
  <c r="AX153" i="23"/>
  <c r="BC153" i="23" s="1"/>
  <c r="AV153" i="23"/>
  <c r="AU153" i="23"/>
  <c r="AA225" i="12"/>
  <c r="AA211" i="12"/>
  <c r="AA4" i="12"/>
  <c r="AA105" i="12"/>
  <c r="BC376" i="22"/>
  <c r="BY376" i="22"/>
  <c r="J32" i="19"/>
  <c r="AN476" i="9"/>
  <c r="AF476" i="9" s="1"/>
  <c r="AG476" i="9" s="1"/>
  <c r="AH476" i="9" s="1"/>
  <c r="AK476" i="9" s="1"/>
  <c r="S476" i="9"/>
  <c r="T476" i="9" s="1"/>
  <c r="Z112" i="16"/>
  <c r="AB64" i="16"/>
  <c r="AE23" i="8"/>
  <c r="AE22" i="8" s="1"/>
  <c r="CA372" i="22"/>
  <c r="AU23" i="28"/>
  <c r="AV21" i="28"/>
  <c r="V17" i="27"/>
  <c r="CA373" i="22"/>
  <c r="T33" i="12"/>
  <c r="BC406" i="22"/>
  <c r="BY406" i="22"/>
  <c r="AU38" i="16"/>
  <c r="AU40" i="16"/>
  <c r="AU39" i="16"/>
  <c r="AU37" i="16"/>
  <c r="AN481" i="9"/>
  <c r="AF481" i="9" s="1"/>
  <c r="AG481" i="9" s="1"/>
  <c r="AH481" i="9" s="1"/>
  <c r="AK481" i="9" s="1"/>
  <c r="S481" i="9"/>
  <c r="T481" i="9" s="1"/>
  <c r="CC362" i="22"/>
  <c r="AL276" i="12"/>
  <c r="AE83" i="8"/>
  <c r="AE78" i="8"/>
  <c r="AE80" i="8"/>
  <c r="AE75" i="8"/>
  <c r="AE84" i="8"/>
  <c r="AE76" i="8"/>
  <c r="AE77" i="8"/>
  <c r="AE85" i="8" s="1"/>
  <c r="AE81" i="8"/>
  <c r="AE82" i="8"/>
  <c r="AE74" i="8"/>
  <c r="AE79" i="8"/>
  <c r="BY369" i="22"/>
  <c r="BC369" i="22"/>
  <c r="BB131" i="23"/>
  <c r="AZ131" i="23"/>
  <c r="BA131" i="23" s="1"/>
  <c r="Y14" i="27"/>
  <c r="Y30" i="27"/>
  <c r="O171" i="23" s="1"/>
  <c r="O41" i="16"/>
  <c r="CB367" i="22"/>
  <c r="Y116" i="16"/>
  <c r="AF276" i="12"/>
  <c r="AE276" i="12"/>
  <c r="BY205" i="22"/>
  <c r="BC205" i="22"/>
  <c r="AX134" i="23"/>
  <c r="BC134" i="23" s="1"/>
  <c r="AW134" i="23"/>
  <c r="AV134" i="23"/>
  <c r="AY134" i="23"/>
  <c r="AU134" i="23"/>
  <c r="P134" i="23"/>
  <c r="S426" i="9"/>
  <c r="T426" i="9" s="1"/>
  <c r="AN426" i="9"/>
  <c r="AF426" i="9" s="1"/>
  <c r="AG426" i="9" s="1"/>
  <c r="AH426" i="9" s="1"/>
  <c r="AK426" i="9" s="1"/>
  <c r="U403" i="22"/>
  <c r="AZ119" i="23"/>
  <c r="BA119" i="23" s="1"/>
  <c r="BB119" i="23"/>
  <c r="AG202" i="12"/>
  <c r="AE205" i="12"/>
  <c r="AK198" i="12"/>
  <c r="AI181" i="12"/>
  <c r="R408" i="9"/>
  <c r="AH26" i="32"/>
  <c r="J42" i="19"/>
  <c r="AL134" i="12"/>
  <c r="AM44" i="12"/>
  <c r="AM134" i="12" s="1"/>
  <c r="BB29" i="12"/>
  <c r="BB30" i="12"/>
  <c r="BB28" i="12"/>
  <c r="BB31" i="12"/>
  <c r="AN423" i="9"/>
  <c r="AF423" i="9" s="1"/>
  <c r="AG423" i="9" s="1"/>
  <c r="AH423" i="9" s="1"/>
  <c r="AK423" i="9" s="1"/>
  <c r="S423" i="9"/>
  <c r="T423" i="9" s="1"/>
  <c r="M105" i="16"/>
  <c r="M39" i="18"/>
  <c r="T289" i="12" s="1"/>
  <c r="AG78" i="12"/>
  <c r="W30" i="12"/>
  <c r="W304" i="12" s="1"/>
  <c r="W13" i="27"/>
  <c r="W29" i="27"/>
  <c r="O146" i="23" s="1"/>
  <c r="M40" i="16"/>
  <c r="N40" i="16" s="1"/>
  <c r="T304" i="12"/>
  <c r="T320" i="12"/>
  <c r="W118" i="16"/>
  <c r="V414" i="22"/>
  <c r="U390" i="22"/>
  <c r="AV45" i="28"/>
  <c r="AU47" i="28"/>
  <c r="AT42" i="16"/>
  <c r="AT41" i="16"/>
  <c r="W66" i="16"/>
  <c r="X7" i="27"/>
  <c r="X23" i="27"/>
  <c r="O152" i="23" s="1"/>
  <c r="N34" i="16"/>
  <c r="U314" i="12"/>
  <c r="U319" i="12"/>
  <c r="P133" i="23"/>
  <c r="AV133" i="23"/>
  <c r="AU133" i="23"/>
  <c r="AY133" i="23"/>
  <c r="AX133" i="23"/>
  <c r="BC133" i="23" s="1"/>
  <c r="AW133" i="23"/>
  <c r="U113" i="16"/>
  <c r="U75" i="16"/>
  <c r="U123" i="16" s="1"/>
  <c r="AN52" i="8"/>
  <c r="K43" i="19"/>
  <c r="R239" i="12" s="1"/>
  <c r="BD344" i="22"/>
  <c r="X344" i="22"/>
  <c r="Y344" i="22" s="1"/>
  <c r="M35" i="16"/>
  <c r="AW31" i="16" s="1"/>
  <c r="U8" i="12"/>
  <c r="CB372" i="22"/>
  <c r="CB205" i="22"/>
  <c r="N271" i="12"/>
  <c r="N287" i="12" s="1"/>
  <c r="BZ371" i="22"/>
  <c r="AK48" i="8"/>
  <c r="X65" i="16"/>
  <c r="Y65" i="16" s="1"/>
  <c r="CC373" i="22"/>
  <c r="CA406" i="22"/>
  <c r="AQ32" i="8"/>
  <c r="AP20" i="32" s="1"/>
  <c r="R505" i="9" s="1"/>
  <c r="BY362" i="22"/>
  <c r="BC362" i="22"/>
  <c r="AL292" i="12"/>
  <c r="AE144" i="8"/>
  <c r="AE139" i="8"/>
  <c r="AE146" i="8"/>
  <c r="AE141" i="8"/>
  <c r="AE138" i="8"/>
  <c r="AE148" i="8"/>
  <c r="AE143" i="8"/>
  <c r="AE147" i="8"/>
  <c r="AE142" i="8"/>
  <c r="AE140" i="8"/>
  <c r="AE145" i="8"/>
  <c r="BZ369" i="22"/>
  <c r="X13" i="12"/>
  <c r="X83" i="12"/>
  <c r="CC367" i="22"/>
  <c r="Q147" i="12"/>
  <c r="AZ54" i="12"/>
  <c r="AZ58" i="12" s="1"/>
  <c r="AF292" i="12"/>
  <c r="AE292" i="12"/>
  <c r="BB392" i="22"/>
  <c r="BA392" i="22"/>
  <c r="CB392" i="22" s="1"/>
  <c r="AZ392" i="22"/>
  <c r="W392" i="22"/>
  <c r="AX392" i="22"/>
  <c r="AY392" i="22"/>
  <c r="AJ19" i="32"/>
  <c r="R432" i="9" s="1"/>
  <c r="AI160" i="8"/>
  <c r="AU143" i="23"/>
  <c r="AY143" i="23"/>
  <c r="AW143" i="23"/>
  <c r="P143" i="23"/>
  <c r="AX143" i="23"/>
  <c r="BC143" i="23" s="1"/>
  <c r="AV143" i="23"/>
  <c r="W27" i="27"/>
  <c r="O144" i="23" s="1"/>
  <c r="W11" i="27"/>
  <c r="M38" i="16"/>
  <c r="BC24" i="12"/>
  <c r="BC26" i="12" s="1"/>
  <c r="U28" i="12"/>
  <c r="T302" i="12"/>
  <c r="T318" i="12"/>
  <c r="BZ381" i="22"/>
  <c r="AO47" i="8"/>
  <c r="AP47" i="8" s="1"/>
  <c r="AQ47" i="8" s="1"/>
  <c r="X118" i="16"/>
  <c r="S502" i="9"/>
  <c r="T502" i="9" s="1"/>
  <c r="AN502" i="9"/>
  <c r="AF502" i="9" s="1"/>
  <c r="AG502" i="9" s="1"/>
  <c r="AH502" i="9" s="1"/>
  <c r="AK502" i="9" s="1"/>
  <c r="M96" i="16"/>
  <c r="M30" i="18"/>
  <c r="M31" i="19"/>
  <c r="AN457" i="9"/>
  <c r="AF457" i="9" s="1"/>
  <c r="AG457" i="9" s="1"/>
  <c r="AH457" i="9" s="1"/>
  <c r="AK457" i="9" s="1"/>
  <c r="S457" i="9"/>
  <c r="T457" i="9" s="1"/>
  <c r="AE129" i="12"/>
  <c r="AE49" i="12"/>
  <c r="AE139" i="12" s="1"/>
  <c r="AG39" i="12"/>
  <c r="AJ39" i="12" s="1"/>
  <c r="AH39" i="12"/>
  <c r="BB136" i="23"/>
  <c r="AZ136" i="23"/>
  <c r="BA136" i="23" s="1"/>
  <c r="AF70" i="8"/>
  <c r="AG8" i="8"/>
  <c r="AF7" i="8"/>
  <c r="AF86" i="8" s="1"/>
  <c r="AF17" i="8"/>
  <c r="AF150" i="8" s="1"/>
  <c r="BC113" i="23"/>
  <c r="AT75" i="28"/>
  <c r="AS4" i="28"/>
  <c r="AS5" i="28" s="1"/>
  <c r="AS7" i="28" s="1"/>
  <c r="Y26" i="27"/>
  <c r="O167" i="23" s="1"/>
  <c r="Y10" i="27"/>
  <c r="AZ449" i="22"/>
  <c r="AY449" i="22"/>
  <c r="BA449" i="22"/>
  <c r="AX449" i="22"/>
  <c r="W449" i="22"/>
  <c r="BB449" i="22"/>
  <c r="Q144" i="12"/>
  <c r="AY57" i="12"/>
  <c r="U303" i="12"/>
  <c r="X382" i="22"/>
  <c r="Y382" i="22" s="1"/>
  <c r="BD382" i="22"/>
  <c r="AB68" i="16"/>
  <c r="AB116" i="16" s="1"/>
  <c r="V416" i="22"/>
  <c r="AI157" i="8"/>
  <c r="AN31" i="8"/>
  <c r="AM19" i="32" s="1"/>
  <c r="R468" i="9" s="1"/>
  <c r="P148" i="23"/>
  <c r="AX148" i="23"/>
  <c r="AV148" i="23"/>
  <c r="AY148" i="23"/>
  <c r="AW148" i="23"/>
  <c r="AU148" i="23"/>
  <c r="L101" i="16"/>
  <c r="L35" i="18"/>
  <c r="AV32" i="16"/>
  <c r="AY405" i="22"/>
  <c r="AX405" i="22"/>
  <c r="W405" i="22"/>
  <c r="BB405" i="22"/>
  <c r="AZ405" i="22"/>
  <c r="BA405" i="22"/>
  <c r="CB375" i="22"/>
  <c r="X351" i="22"/>
  <c r="Y351" i="22" s="1"/>
  <c r="BD351" i="22"/>
  <c r="V114" i="16"/>
  <c r="X66" i="16"/>
  <c r="AA66" i="16" s="1"/>
  <c r="AJ198" i="12"/>
  <c r="W6" i="27"/>
  <c r="W22" i="27"/>
  <c r="O139" i="23" s="1"/>
  <c r="M33" i="16"/>
  <c r="AV34" i="16" s="1"/>
  <c r="T313" i="12"/>
  <c r="T297" i="12"/>
  <c r="U23" i="12"/>
  <c r="U408" i="22"/>
  <c r="Y72" i="16"/>
  <c r="BD349" i="22"/>
  <c r="X349" i="22"/>
  <c r="Y349" i="22" s="1"/>
  <c r="AN482" i="9"/>
  <c r="AF482" i="9" s="1"/>
  <c r="AG482" i="9" s="1"/>
  <c r="AH482" i="9" s="1"/>
  <c r="AK482" i="9" s="1"/>
  <c r="S482" i="9"/>
  <c r="T482" i="9" s="1"/>
  <c r="X364" i="22"/>
  <c r="Y364" i="22" s="1"/>
  <c r="BD364" i="22"/>
  <c r="J28" i="16"/>
  <c r="J6" i="16"/>
  <c r="K5" i="16"/>
  <c r="N35" i="16"/>
  <c r="AW87" i="12"/>
  <c r="O92" i="12"/>
  <c r="O93" i="12" s="1"/>
  <c r="O94" i="12" s="1"/>
  <c r="AD133" i="12"/>
  <c r="O173" i="12"/>
  <c r="S490" i="9"/>
  <c r="T490" i="9" s="1"/>
  <c r="AN490" i="9"/>
  <c r="AF490" i="9" s="1"/>
  <c r="AG490" i="9" s="1"/>
  <c r="AH490" i="9" s="1"/>
  <c r="AK490" i="9" s="1"/>
  <c r="BB215" i="22"/>
  <c r="CC215" i="22" s="1"/>
  <c r="CB373" i="22"/>
  <c r="V322" i="12"/>
  <c r="O138" i="23"/>
  <c r="BC388" i="22"/>
  <c r="BY388" i="22"/>
  <c r="AD49" i="12"/>
  <c r="AD139" i="12" s="1"/>
  <c r="BZ362" i="22"/>
  <c r="AE64" i="8"/>
  <c r="AE59" i="8"/>
  <c r="AE66" i="8"/>
  <c r="AE61" i="8"/>
  <c r="AE68" i="8"/>
  <c r="AE63" i="8"/>
  <c r="AE58" i="8"/>
  <c r="AE60" i="8"/>
  <c r="AE67" i="8"/>
  <c r="AE62" i="8"/>
  <c r="AE69" i="8" s="1"/>
  <c r="AE65" i="8"/>
  <c r="K40" i="19"/>
  <c r="R61" i="12"/>
  <c r="R151" i="12" s="1"/>
  <c r="R56" i="12"/>
  <c r="R146" i="12" s="1"/>
  <c r="R60" i="12"/>
  <c r="R55" i="12"/>
  <c r="R145" i="12" s="1"/>
  <c r="R54" i="12"/>
  <c r="R63" i="12"/>
  <c r="R58" i="12"/>
  <c r="R148" i="12" s="1"/>
  <c r="R57" i="12"/>
  <c r="R64" i="12"/>
  <c r="R154" i="12" s="1"/>
  <c r="R59" i="12"/>
  <c r="R149" i="12" s="1"/>
  <c r="R62" i="12"/>
  <c r="R152" i="12" s="1"/>
  <c r="AD90" i="8"/>
  <c r="AD91" i="8" s="1"/>
  <c r="AD92" i="8" s="1"/>
  <c r="AD93" i="8" s="1"/>
  <c r="AD94" i="8" s="1"/>
  <c r="AD95" i="8" s="1"/>
  <c r="AD96" i="8" s="1"/>
  <c r="AD97" i="8" s="1"/>
  <c r="AD98" i="8" s="1"/>
  <c r="AD99" i="8" s="1"/>
  <c r="AD100" i="8" s="1"/>
  <c r="AD101" i="8" s="1"/>
  <c r="V497" i="22"/>
  <c r="U497" i="22" s="1"/>
  <c r="U473" i="22"/>
  <c r="BB116" i="23"/>
  <c r="AZ116" i="23"/>
  <c r="BA116" i="23" s="1"/>
  <c r="CA367" i="22"/>
  <c r="BB118" i="23"/>
  <c r="AZ118" i="23"/>
  <c r="BA118" i="23" s="1"/>
  <c r="U298" i="12"/>
  <c r="AW114" i="23"/>
  <c r="P114" i="23"/>
  <c r="AU114" i="23"/>
  <c r="AY114" i="23"/>
  <c r="AX114" i="23"/>
  <c r="BC114" i="23" s="1"/>
  <c r="AV114" i="23"/>
  <c r="AN420" i="9"/>
  <c r="AF420" i="9" s="1"/>
  <c r="AG420" i="9" s="1"/>
  <c r="AH420" i="9" s="1"/>
  <c r="AK420" i="9" s="1"/>
  <c r="S420" i="9"/>
  <c r="T420" i="9" s="1"/>
  <c r="BY375" i="22"/>
  <c r="BC375" i="22"/>
  <c r="AM194" i="12"/>
  <c r="X361" i="22"/>
  <c r="Y361" i="22" s="1"/>
  <c r="BD361" i="22"/>
  <c r="AI79" i="12"/>
  <c r="M101" i="16"/>
  <c r="AT41" i="28"/>
  <c r="AT6" i="28" s="1"/>
  <c r="AU39" i="28"/>
  <c r="AH78" i="12"/>
  <c r="AN125" i="8"/>
  <c r="AT29" i="28"/>
  <c r="AU27" i="28"/>
  <c r="AI136" i="12"/>
  <c r="K36" i="19"/>
  <c r="AZ461" i="22"/>
  <c r="W461" i="22"/>
  <c r="AX461" i="22"/>
  <c r="BA461" i="22"/>
  <c r="AY461" i="22"/>
  <c r="BB461" i="22"/>
  <c r="V420" i="22"/>
  <c r="V432" i="22" s="1"/>
  <c r="U396" i="22"/>
  <c r="H87" i="13"/>
  <c r="H71" i="13" s="1"/>
  <c r="CA387" i="22"/>
  <c r="W12" i="12"/>
  <c r="AK197" i="12"/>
  <c r="AL197" i="12" s="1"/>
  <c r="Y108" i="12"/>
  <c r="Y213" i="12"/>
  <c r="Z70" i="16"/>
  <c r="AK37" i="8"/>
  <c r="AJ25" i="32" s="1"/>
  <c r="R438" i="9" s="1"/>
  <c r="V415" i="22"/>
  <c r="V427" i="22" s="1"/>
  <c r="U391" i="22"/>
  <c r="AJ26" i="32"/>
  <c r="R427" i="9"/>
  <c r="X394" i="22"/>
  <c r="Y394" i="22" s="1"/>
  <c r="BD394" i="22"/>
  <c r="AJ196" i="12"/>
  <c r="AK196" i="12" s="1"/>
  <c r="N37" i="16"/>
  <c r="O37" i="16" s="1"/>
  <c r="AL21" i="32"/>
  <c r="R458" i="9" s="1"/>
  <c r="AQ33" i="8"/>
  <c r="AP21" i="32" s="1"/>
  <c r="R506" i="9" s="1"/>
  <c r="L100" i="16"/>
  <c r="L34" i="18"/>
  <c r="AM292" i="12"/>
  <c r="AN410" i="9"/>
  <c r="AF410" i="9" s="1"/>
  <c r="AG410" i="9" s="1"/>
  <c r="AH410" i="9" s="1"/>
  <c r="AK410" i="9" s="1"/>
  <c r="S410" i="9"/>
  <c r="T410" i="9" s="1"/>
  <c r="P130" i="23"/>
  <c r="AY130" i="23"/>
  <c r="AX130" i="23"/>
  <c r="BC130" i="23" s="1"/>
  <c r="AW130" i="23"/>
  <c r="AV130" i="23"/>
  <c r="AU130" i="23"/>
  <c r="CA366" i="22"/>
  <c r="AK199" i="12"/>
  <c r="AY155" i="23"/>
  <c r="AX155" i="23"/>
  <c r="BC155" i="23" s="1"/>
  <c r="AU155" i="23"/>
  <c r="P155" i="23"/>
  <c r="AW155" i="23"/>
  <c r="AV155" i="23"/>
  <c r="Z8" i="27"/>
  <c r="Z24" i="27"/>
  <c r="O177" i="23" s="1"/>
  <c r="BF23" i="12"/>
  <c r="AZ102" i="23"/>
  <c r="BA102" i="23" s="1"/>
  <c r="BB102" i="23"/>
  <c r="R215" i="12"/>
  <c r="R106" i="12"/>
  <c r="AM38" i="12"/>
  <c r="BY367" i="22"/>
  <c r="BC367" i="22"/>
  <c r="AZ55" i="12"/>
  <c r="Q150" i="12"/>
  <c r="U33" i="27"/>
  <c r="U35" i="27" s="1"/>
  <c r="AM178" i="12"/>
  <c r="K35" i="19"/>
  <c r="BC381" i="22"/>
  <c r="BY381" i="22"/>
  <c r="AL180" i="12"/>
  <c r="AM180" i="12" s="1"/>
  <c r="U435" i="22"/>
  <c r="AX374" i="22"/>
  <c r="AY374" i="22"/>
  <c r="BA374" i="22"/>
  <c r="W374" i="22"/>
  <c r="BB374" i="22"/>
  <c r="AZ374" i="22"/>
  <c r="AU3" i="28"/>
  <c r="V478" i="22"/>
  <c r="U454" i="22"/>
  <c r="AH137" i="12"/>
  <c r="X21" i="27"/>
  <c r="X5" i="27"/>
  <c r="N32" i="16"/>
  <c r="O32" i="16" s="1"/>
  <c r="BD22" i="12"/>
  <c r="U312" i="12"/>
  <c r="AG135" i="12"/>
  <c r="AH45" i="12"/>
  <c r="BY350" i="22"/>
  <c r="BC350" i="22"/>
  <c r="BY387" i="22"/>
  <c r="BC387" i="22"/>
  <c r="W22" i="12"/>
  <c r="X22" i="12" s="1"/>
  <c r="BY356" i="22"/>
  <c r="BC356" i="22"/>
  <c r="AK18" i="32"/>
  <c r="R443" i="9" s="1"/>
  <c r="U485" i="22"/>
  <c r="U436" i="22"/>
  <c r="Z116" i="16"/>
  <c r="AY127" i="23"/>
  <c r="AV127" i="23"/>
  <c r="AU127" i="23"/>
  <c r="P127" i="23"/>
  <c r="AX127" i="23"/>
  <c r="AW127" i="23"/>
  <c r="CA356" i="22"/>
  <c r="AV140" i="23"/>
  <c r="AY140" i="23"/>
  <c r="AX140" i="23"/>
  <c r="BC140" i="23" s="1"/>
  <c r="AW140" i="23"/>
  <c r="AU140" i="23"/>
  <c r="P140" i="23"/>
  <c r="Q153" i="12"/>
  <c r="AZ56" i="12"/>
  <c r="CC376" i="22"/>
  <c r="AM276" i="12"/>
  <c r="BB378" i="22"/>
  <c r="W378" i="22"/>
  <c r="AZ378" i="22"/>
  <c r="CA378" i="22" s="1"/>
  <c r="AY378" i="22"/>
  <c r="BZ378" i="22" s="1"/>
  <c r="BA378" i="22"/>
  <c r="CB378" i="22" s="1"/>
  <c r="AX378" i="22"/>
  <c r="AC103" i="12"/>
  <c r="U320" i="12"/>
  <c r="Z211" i="12"/>
  <c r="Z225" i="12"/>
  <c r="Z4" i="12"/>
  <c r="Z105" i="12"/>
  <c r="BD355" i="22"/>
  <c r="X355" i="22"/>
  <c r="Y355" i="22" s="1"/>
  <c r="BC366" i="22"/>
  <c r="BY366" i="22"/>
  <c r="P141" i="23"/>
  <c r="AY141" i="23"/>
  <c r="AX141" i="23"/>
  <c r="BC141" i="23" s="1"/>
  <c r="AW141" i="23"/>
  <c r="AV141" i="23"/>
  <c r="AU141" i="23"/>
  <c r="V402" i="22"/>
  <c r="BY372" i="22"/>
  <c r="BC372" i="22"/>
  <c r="AH80" i="12"/>
  <c r="AL183" i="12"/>
  <c r="AM183" i="12" s="1"/>
  <c r="X413" i="22"/>
  <c r="Y413" i="22" s="1"/>
  <c r="BD413" i="22"/>
  <c r="X247" i="12"/>
  <c r="S493" i="9"/>
  <c r="T493" i="9" s="1"/>
  <c r="AN493" i="9"/>
  <c r="AF493" i="9" s="1"/>
  <c r="AG493" i="9" s="1"/>
  <c r="AH493" i="9" s="1"/>
  <c r="AK493" i="9" s="1"/>
  <c r="AZ216" i="22"/>
  <c r="CA216" i="22" s="1"/>
  <c r="AM125" i="8"/>
  <c r="CB366" i="22"/>
  <c r="K107" i="16"/>
  <c r="K42" i="19"/>
  <c r="K41" i="18"/>
  <c r="AG76" i="12"/>
  <c r="AB276" i="12"/>
  <c r="AP42" i="8"/>
  <c r="AQ42" i="8" s="1"/>
  <c r="AQ27" i="8"/>
  <c r="AP15" i="32" s="1"/>
  <c r="R500" i="9" s="1"/>
  <c r="Z292" i="12"/>
  <c r="AM40" i="12"/>
  <c r="AM130" i="12" s="1"/>
  <c r="AH130" i="12"/>
  <c r="AK40" i="12"/>
  <c r="AK130" i="12" s="1"/>
  <c r="BD347" i="22"/>
  <c r="X347" i="22"/>
  <c r="Y347" i="22" s="1"/>
  <c r="CC375" i="22"/>
  <c r="CC406" i="22"/>
  <c r="AI39" i="12"/>
  <c r="CA362" i="22"/>
  <c r="W29" i="12"/>
  <c r="BD363" i="22"/>
  <c r="X363" i="22"/>
  <c r="Y363" i="22" s="1"/>
  <c r="BB113" i="23"/>
  <c r="AZ113" i="23"/>
  <c r="BA113" i="23" s="1"/>
  <c r="V29" i="12"/>
  <c r="V319" i="12" s="1"/>
  <c r="AM48" i="12"/>
  <c r="AM138" i="12" s="1"/>
  <c r="BZ367" i="22"/>
  <c r="AG73" i="12"/>
  <c r="AH73" i="12" s="1"/>
  <c r="BC118" i="23"/>
  <c r="U296" i="12"/>
  <c r="X425" i="22"/>
  <c r="Y425" i="22" s="1"/>
  <c r="BD425" i="22"/>
  <c r="CA381" i="22"/>
  <c r="AG71" i="12"/>
  <c r="BA409" i="22"/>
  <c r="CB409" i="22" s="1"/>
  <c r="AZ409" i="22"/>
  <c r="CA409" i="22" s="1"/>
  <c r="BB409" i="22"/>
  <c r="CC409" i="22" s="1"/>
  <c r="AY409" i="22"/>
  <c r="BZ409" i="22" s="1"/>
  <c r="AX409" i="22"/>
  <c r="W409" i="22"/>
  <c r="AJ161" i="8"/>
  <c r="AJ24" i="32"/>
  <c r="R437" i="9" s="1"/>
  <c r="AL36" i="8"/>
  <c r="AH204" i="12"/>
  <c r="AH160" i="8"/>
  <c r="BC359" i="22"/>
  <c r="BY359" i="22"/>
  <c r="AI80" i="12"/>
  <c r="BA397" i="22"/>
  <c r="W397" i="22"/>
  <c r="AZ397" i="22"/>
  <c r="CA397" i="22" s="1"/>
  <c r="AY397" i="22"/>
  <c r="BB397" i="22"/>
  <c r="AX397" i="22"/>
  <c r="AE133" i="12"/>
  <c r="AM156" i="8"/>
  <c r="V41" i="13"/>
  <c r="V40" i="13"/>
  <c r="V37" i="13"/>
  <c r="V39" i="13"/>
  <c r="V38" i="13"/>
  <c r="V36" i="13"/>
  <c r="V35" i="13"/>
  <c r="V34" i="13"/>
  <c r="V31" i="13"/>
  <c r="V32" i="13"/>
  <c r="V30" i="13"/>
  <c r="V33" i="13"/>
  <c r="AF189" i="12"/>
  <c r="AQ17" i="16"/>
  <c r="Z10" i="27"/>
  <c r="Z26" i="27"/>
  <c r="O179" i="23" s="1"/>
  <c r="U429" i="22"/>
  <c r="BC123" i="23"/>
  <c r="W316" i="12"/>
  <c r="P248" i="12"/>
  <c r="P240" i="12"/>
  <c r="P241" i="12" s="1"/>
  <c r="P245" i="12"/>
  <c r="W380" i="22"/>
  <c r="AY380" i="22"/>
  <c r="BB380" i="22"/>
  <c r="BA380" i="22"/>
  <c r="AZ380" i="22"/>
  <c r="AX380" i="22"/>
  <c r="AQ16" i="16"/>
  <c r="AK46" i="12"/>
  <c r="AK136" i="12" s="1"/>
  <c r="W32" i="12"/>
  <c r="W322" i="12" s="1"/>
  <c r="AA117" i="16"/>
  <c r="AB69" i="16"/>
  <c r="AO43" i="8"/>
  <c r="CC366" i="22"/>
  <c r="S470" i="9"/>
  <c r="T470" i="9" s="1"/>
  <c r="AN470" i="9"/>
  <c r="AF470" i="9" s="1"/>
  <c r="AG470" i="9" s="1"/>
  <c r="AH470" i="9" s="1"/>
  <c r="AK470" i="9" s="1"/>
  <c r="AB292" i="12"/>
  <c r="AG187" i="12"/>
  <c r="AH187" i="12" s="1"/>
  <c r="W317" i="12"/>
  <c r="X315" i="12"/>
  <c r="X321" i="12"/>
  <c r="X316" i="12"/>
  <c r="X317" i="12"/>
  <c r="AI74" i="12"/>
  <c r="AL42" i="12"/>
  <c r="Z276" i="12"/>
  <c r="K38" i="19"/>
  <c r="BZ375" i="22"/>
  <c r="AY379" i="22"/>
  <c r="BZ379" i="22" s="1"/>
  <c r="AX379" i="22"/>
  <c r="BB379" i="22"/>
  <c r="CC379" i="22" s="1"/>
  <c r="BA379" i="22"/>
  <c r="CB379" i="22" s="1"/>
  <c r="W379" i="22"/>
  <c r="AZ379" i="22"/>
  <c r="CA379" i="22" s="1"/>
  <c r="AJ200" i="12"/>
  <c r="X342" i="22"/>
  <c r="Y342" i="22" s="1"/>
  <c r="BD342" i="22"/>
  <c r="AZ442" i="22"/>
  <c r="W442" i="22"/>
  <c r="AY442" i="22"/>
  <c r="AX442" i="22"/>
  <c r="BB442" i="22"/>
  <c r="BA442" i="22"/>
  <c r="V24" i="12"/>
  <c r="AF75" i="12"/>
  <c r="AY216" i="22"/>
  <c r="BZ216" i="22" s="1"/>
  <c r="AK163" i="8"/>
  <c r="BB411" i="22"/>
  <c r="CC411" i="22" s="1"/>
  <c r="AX411" i="22"/>
  <c r="AY411" i="22"/>
  <c r="W411" i="22"/>
  <c r="BA411" i="22"/>
  <c r="AZ411" i="22"/>
  <c r="X31" i="27"/>
  <c r="O160" i="23" s="1"/>
  <c r="X15" i="27"/>
  <c r="N42" i="16"/>
  <c r="O42" i="16" s="1"/>
  <c r="U322" i="12"/>
  <c r="CB381" i="22"/>
  <c r="AP158" i="8"/>
  <c r="AQ158" i="8" s="1"/>
  <c r="V433" i="22"/>
  <c r="U427" i="22" l="1"/>
  <c r="AJ129" i="12"/>
  <c r="AH189" i="12"/>
  <c r="N38" i="18"/>
  <c r="U288" i="12" s="1"/>
  <c r="N104" i="16"/>
  <c r="AX33" i="16"/>
  <c r="V477" i="22"/>
  <c r="U453" i="22"/>
  <c r="U460" i="22"/>
  <c r="U459" i="22"/>
  <c r="AA5" i="27"/>
  <c r="AA21" i="27"/>
  <c r="X312" i="12"/>
  <c r="O40" i="18"/>
  <c r="V290" i="12" s="1"/>
  <c r="O106" i="16"/>
  <c r="O41" i="19"/>
  <c r="AK160" i="8"/>
  <c r="O96" i="16"/>
  <c r="BC32" i="12"/>
  <c r="BC33" i="12"/>
  <c r="Y113" i="16"/>
  <c r="Z6" i="27"/>
  <c r="Z22" i="27"/>
  <c r="O175" i="23" s="1"/>
  <c r="V458" i="22"/>
  <c r="U434" i="22"/>
  <c r="AA114" i="16"/>
  <c r="V456" i="22"/>
  <c r="U432" i="22"/>
  <c r="O101" i="16"/>
  <c r="BD387" i="22"/>
  <c r="X387" i="22"/>
  <c r="Y387" i="22" s="1"/>
  <c r="AH129" i="12"/>
  <c r="AH49" i="12"/>
  <c r="AH139" i="12" s="1"/>
  <c r="BB417" i="22"/>
  <c r="AZ417" i="22"/>
  <c r="BA417" i="22"/>
  <c r="W417" i="22"/>
  <c r="AX417" i="22"/>
  <c r="AY417" i="22"/>
  <c r="X362" i="22"/>
  <c r="Y362" i="22" s="1"/>
  <c r="BD362" i="22"/>
  <c r="AA222" i="12"/>
  <c r="AA221" i="12"/>
  <c r="AA224" i="12"/>
  <c r="AA324" i="12" s="1"/>
  <c r="AA223" i="12"/>
  <c r="BC400" i="22"/>
  <c r="BY400" i="22"/>
  <c r="X350" i="22"/>
  <c r="Y350" i="22" s="1"/>
  <c r="BD350" i="22"/>
  <c r="X12" i="12"/>
  <c r="V35" i="27"/>
  <c r="BY397" i="22"/>
  <c r="BC397" i="22"/>
  <c r="Z108" i="12"/>
  <c r="Z213" i="12"/>
  <c r="BY374" i="22"/>
  <c r="BC374" i="22"/>
  <c r="BA408" i="22"/>
  <c r="CB408" i="22" s="1"/>
  <c r="AZ408" i="22"/>
  <c r="W408" i="22"/>
  <c r="AY408" i="22"/>
  <c r="BZ408" i="22" s="1"/>
  <c r="AX408" i="22"/>
  <c r="BB408" i="22"/>
  <c r="CC408" i="22" s="1"/>
  <c r="M37" i="19"/>
  <c r="M102" i="16"/>
  <c r="M36" i="18"/>
  <c r="T286" i="12" s="1"/>
  <c r="AZ64" i="12"/>
  <c r="AZ65" i="12"/>
  <c r="S505" i="9"/>
  <c r="T505" i="9" s="1"/>
  <c r="AN505" i="9"/>
  <c r="AF505" i="9" s="1"/>
  <c r="AG505" i="9" s="1"/>
  <c r="AH505" i="9" s="1"/>
  <c r="AK505" i="9" s="1"/>
  <c r="AX206" i="22"/>
  <c r="AW21" i="28"/>
  <c r="AV23" i="28"/>
  <c r="AL47" i="12"/>
  <c r="AL137" i="12" s="1"/>
  <c r="O40" i="16"/>
  <c r="P40" i="16" s="1"/>
  <c r="V443" i="22"/>
  <c r="U419" i="22"/>
  <c r="BZ395" i="22"/>
  <c r="R248" i="12"/>
  <c r="R240" i="12"/>
  <c r="R241" i="12" s="1"/>
  <c r="R245" i="12"/>
  <c r="W404" i="22"/>
  <c r="AY404" i="22"/>
  <c r="BZ404" i="22" s="1"/>
  <c r="AX404" i="22"/>
  <c r="BB404" i="22"/>
  <c r="CC404" i="22" s="1"/>
  <c r="BA404" i="22"/>
  <c r="CB404" i="22" s="1"/>
  <c r="AZ404" i="22"/>
  <c r="CA404" i="22" s="1"/>
  <c r="AN10" i="28"/>
  <c r="AN12" i="28" s="1"/>
  <c r="T16" i="12"/>
  <c r="T18" i="12"/>
  <c r="T17" i="12" s="1"/>
  <c r="BB132" i="23"/>
  <c r="AZ132" i="23"/>
  <c r="BA132" i="23" s="1"/>
  <c r="Y114" i="16"/>
  <c r="AY218" i="22"/>
  <c r="BZ218" i="22" s="1"/>
  <c r="AY219" i="22" s="1"/>
  <c r="BZ219" i="22" s="1"/>
  <c r="P37" i="16"/>
  <c r="Q37" i="16" s="1"/>
  <c r="CC397" i="22"/>
  <c r="AT8" i="28"/>
  <c r="Z34" i="12"/>
  <c r="Z6" i="12"/>
  <c r="AH135" i="12"/>
  <c r="W435" i="22"/>
  <c r="BA435" i="22"/>
  <c r="AY435" i="22"/>
  <c r="AZ435" i="22"/>
  <c r="BB435" i="22"/>
  <c r="AX435" i="22"/>
  <c r="BC435" i="22" s="1"/>
  <c r="AN506" i="9"/>
  <c r="AF506" i="9" s="1"/>
  <c r="AG506" i="9" s="1"/>
  <c r="AH506" i="9" s="1"/>
  <c r="AK506" i="9" s="1"/>
  <c r="S506" i="9"/>
  <c r="T506" i="9" s="1"/>
  <c r="AW32" i="16"/>
  <c r="AW35" i="16" s="1"/>
  <c r="BC449" i="22"/>
  <c r="Z65" i="16"/>
  <c r="AI72" i="12"/>
  <c r="BB142" i="23"/>
  <c r="AZ142" i="23"/>
  <c r="BA142" i="23" s="1"/>
  <c r="X42" i="13"/>
  <c r="Y6" i="13"/>
  <c r="U428" i="22"/>
  <c r="CC384" i="22"/>
  <c r="H91" i="16"/>
  <c r="I80" i="16" s="1"/>
  <c r="I81" i="16" s="1"/>
  <c r="I82" i="16" s="1"/>
  <c r="I83" i="16" s="1"/>
  <c r="I84" i="16" s="1"/>
  <c r="I85" i="16" s="1"/>
  <c r="I86" i="16" s="1"/>
  <c r="I87" i="16" s="1"/>
  <c r="I88" i="16" s="1"/>
  <c r="I89" i="16" s="1"/>
  <c r="I90" i="16" s="1"/>
  <c r="I91" i="16" s="1"/>
  <c r="AY217" i="22"/>
  <c r="BZ217" i="22" s="1"/>
  <c r="AY220" i="22" s="1"/>
  <c r="BZ220" i="22" s="1"/>
  <c r="AY179" i="23"/>
  <c r="AX179" i="23"/>
  <c r="BC179" i="23" s="1"/>
  <c r="AW179" i="23"/>
  <c r="AU179" i="23"/>
  <c r="AV179" i="23"/>
  <c r="P179" i="23"/>
  <c r="BZ397" i="22"/>
  <c r="Z223" i="12"/>
  <c r="Z222" i="12"/>
  <c r="Z224" i="12"/>
  <c r="Z324" i="12" s="1"/>
  <c r="Z221" i="12"/>
  <c r="Z244" i="12" s="1"/>
  <c r="BC127" i="23"/>
  <c r="AI45" i="12"/>
  <c r="S458" i="9"/>
  <c r="T458" i="9" s="1"/>
  <c r="AN458" i="9"/>
  <c r="AF458" i="9" s="1"/>
  <c r="AG458" i="9" s="1"/>
  <c r="AH458" i="9" s="1"/>
  <c r="AK458" i="9" s="1"/>
  <c r="M35" i="18"/>
  <c r="X6" i="27"/>
  <c r="X22" i="27"/>
  <c r="O151" i="23" s="1"/>
  <c r="N33" i="16"/>
  <c r="W313" i="12"/>
  <c r="U297" i="12"/>
  <c r="L36" i="19"/>
  <c r="AX144" i="23"/>
  <c r="BC144" i="23" s="1"/>
  <c r="AV144" i="23"/>
  <c r="P144" i="23"/>
  <c r="AW144" i="23"/>
  <c r="AU144" i="23"/>
  <c r="AY144" i="23"/>
  <c r="AN408" i="9"/>
  <c r="AF408" i="9" s="1"/>
  <c r="AG408" i="9" s="1"/>
  <c r="AH408" i="9" s="1"/>
  <c r="AK408" i="9" s="1"/>
  <c r="S408" i="9"/>
  <c r="T408" i="9" s="1"/>
  <c r="BB216" i="22"/>
  <c r="CC216" i="22" s="1"/>
  <c r="AM10" i="28"/>
  <c r="AM12" i="28" s="1"/>
  <c r="S16" i="12"/>
  <c r="S18" i="12"/>
  <c r="S17" i="12" s="1"/>
  <c r="V297" i="12"/>
  <c r="W26" i="13"/>
  <c r="X4" i="13"/>
  <c r="L42" i="18"/>
  <c r="S238" i="12" s="1"/>
  <c r="P170" i="23"/>
  <c r="AU170" i="23"/>
  <c r="AV170" i="23"/>
  <c r="AY170" i="23"/>
  <c r="AX170" i="23"/>
  <c r="BC170" i="23" s="1"/>
  <c r="AW170" i="23"/>
  <c r="X385" i="22"/>
  <c r="Y385" i="22" s="1"/>
  <c r="BD385" i="22"/>
  <c r="AV35" i="16"/>
  <c r="AZ129" i="23"/>
  <c r="BA129" i="23" s="1"/>
  <c r="BB129" i="23"/>
  <c r="U122" i="16"/>
  <c r="U124" i="16" s="1"/>
  <c r="V74" i="16"/>
  <c r="BC142" i="23"/>
  <c r="W33" i="13"/>
  <c r="W37" i="13"/>
  <c r="W41" i="13"/>
  <c r="W40" i="13"/>
  <c r="W39" i="13"/>
  <c r="W38" i="13"/>
  <c r="W36" i="13"/>
  <c r="W35" i="13"/>
  <c r="W34" i="13"/>
  <c r="W32" i="13"/>
  <c r="W31" i="13"/>
  <c r="W30" i="13"/>
  <c r="T215" i="12"/>
  <c r="T106" i="12"/>
  <c r="CB384" i="22"/>
  <c r="AQ19" i="16"/>
  <c r="BC411" i="22"/>
  <c r="BY411" i="22"/>
  <c r="BD373" i="22"/>
  <c r="X373" i="22"/>
  <c r="Y373" i="22" s="1"/>
  <c r="AG129" i="12"/>
  <c r="AG49" i="12"/>
  <c r="AG139" i="12" s="1"/>
  <c r="AV39" i="28"/>
  <c r="AU41" i="28"/>
  <c r="V28" i="12"/>
  <c r="P158" i="23"/>
  <c r="AV158" i="23"/>
  <c r="AY158" i="23"/>
  <c r="AX158" i="23"/>
  <c r="BC158" i="23" s="1"/>
  <c r="AW158" i="23"/>
  <c r="AU158" i="23"/>
  <c r="AL22" i="32"/>
  <c r="R459" i="9" s="1"/>
  <c r="CB393" i="22"/>
  <c r="BC430" i="22"/>
  <c r="CA399" i="22"/>
  <c r="BC154" i="23"/>
  <c r="AP51" i="8"/>
  <c r="BY412" i="22"/>
  <c r="BC412" i="22"/>
  <c r="AP31" i="8"/>
  <c r="AO19" i="32" s="1"/>
  <c r="R492" i="9" s="1"/>
  <c r="AJ45" i="12"/>
  <c r="AJ135" i="12" s="1"/>
  <c r="AO52" i="8"/>
  <c r="AY138" i="23"/>
  <c r="AV138" i="23"/>
  <c r="AU138" i="23"/>
  <c r="AX138" i="23"/>
  <c r="BC138" i="23" s="1"/>
  <c r="AW138" i="23"/>
  <c r="P138" i="23"/>
  <c r="BA55" i="12"/>
  <c r="R150" i="12"/>
  <c r="BB390" i="22"/>
  <c r="CC390" i="22" s="1"/>
  <c r="BA390" i="22"/>
  <c r="CB390" i="22" s="1"/>
  <c r="AY390" i="22"/>
  <c r="BZ390" i="22" s="1"/>
  <c r="AZ390" i="22"/>
  <c r="CA390" i="22" s="1"/>
  <c r="AX390" i="22"/>
  <c r="W390" i="22"/>
  <c r="AD103" i="12"/>
  <c r="P126" i="23"/>
  <c r="AX126" i="23"/>
  <c r="AY126" i="23"/>
  <c r="AW126" i="23"/>
  <c r="AV126" i="23"/>
  <c r="AU126" i="23"/>
  <c r="AY429" i="22"/>
  <c r="W429" i="22"/>
  <c r="AX429" i="22"/>
  <c r="BB429" i="22"/>
  <c r="BA429" i="22"/>
  <c r="AZ429" i="22"/>
  <c r="X205" i="22"/>
  <c r="Y205" i="22" s="1"/>
  <c r="BD205" i="22"/>
  <c r="X14" i="12"/>
  <c r="X84" i="12"/>
  <c r="Y23" i="27"/>
  <c r="O164" i="23" s="1"/>
  <c r="Y7" i="27"/>
  <c r="O34" i="16"/>
  <c r="W24" i="12"/>
  <c r="W314" i="12"/>
  <c r="AX167" i="23"/>
  <c r="BC167" i="23" s="1"/>
  <c r="AW167" i="23"/>
  <c r="AV167" i="23"/>
  <c r="P167" i="23"/>
  <c r="AU167" i="23"/>
  <c r="AY167" i="23"/>
  <c r="Z13" i="27"/>
  <c r="Z29" i="27"/>
  <c r="O182" i="23" s="1"/>
  <c r="V431" i="22"/>
  <c r="BB497" i="22"/>
  <c r="AZ497" i="22"/>
  <c r="W497" i="22"/>
  <c r="AY497" i="22"/>
  <c r="AX497" i="22"/>
  <c r="BA497" i="22"/>
  <c r="AT4" i="28"/>
  <c r="AT5" i="28" s="1"/>
  <c r="AT7" i="28" s="1"/>
  <c r="AU75" i="28"/>
  <c r="BY380" i="22"/>
  <c r="BC380" i="22"/>
  <c r="X359" i="22"/>
  <c r="Y359" i="22" s="1"/>
  <c r="BD359" i="22"/>
  <c r="O150" i="23"/>
  <c r="X375" i="22"/>
  <c r="Y375" i="22" s="1"/>
  <c r="BD375" i="22"/>
  <c r="AE90" i="8"/>
  <c r="AE91" i="8" s="1"/>
  <c r="AE92" i="8" s="1"/>
  <c r="AE93" i="8" s="1"/>
  <c r="AE94" i="8" s="1"/>
  <c r="AE95" i="8" s="1"/>
  <c r="AE96" i="8" s="1"/>
  <c r="AE97" i="8" s="1"/>
  <c r="AE98" i="8" s="1"/>
  <c r="AE99" i="8" s="1"/>
  <c r="AE100" i="8" s="1"/>
  <c r="AE101" i="8" s="1"/>
  <c r="BA403" i="22"/>
  <c r="BB403" i="22"/>
  <c r="AY403" i="22"/>
  <c r="AZ403" i="22"/>
  <c r="AX403" i="22"/>
  <c r="W403" i="22"/>
  <c r="W297" i="12"/>
  <c r="M41" i="19"/>
  <c r="BC128" i="23"/>
  <c r="R439" i="9"/>
  <c r="AK22" i="32"/>
  <c r="R447" i="9" s="1"/>
  <c r="BZ393" i="22"/>
  <c r="U313" i="12"/>
  <c r="BD360" i="22"/>
  <c r="X360" i="22"/>
  <c r="Y360" i="22" s="1"/>
  <c r="CC399" i="22"/>
  <c r="AQ51" i="8"/>
  <c r="AP49" i="8"/>
  <c r="AQ49" i="8" s="1"/>
  <c r="BC159" i="23"/>
  <c r="X23" i="12"/>
  <c r="X297" i="12" s="1"/>
  <c r="S444" i="9"/>
  <c r="T444" i="9" s="1"/>
  <c r="AN444" i="9"/>
  <c r="AF444" i="9" s="1"/>
  <c r="AG444" i="9" s="1"/>
  <c r="AH444" i="9" s="1"/>
  <c r="AK444" i="9" s="1"/>
  <c r="AI129" i="12"/>
  <c r="AI49" i="12"/>
  <c r="AI139" i="12" s="1"/>
  <c r="AV47" i="28"/>
  <c r="AW45" i="28"/>
  <c r="AI53" i="8"/>
  <c r="Y216" i="12"/>
  <c r="AZ145" i="23"/>
  <c r="BA145" i="23" s="1"/>
  <c r="BB145" i="23"/>
  <c r="Z114" i="16"/>
  <c r="S456" i="9"/>
  <c r="T456" i="9" s="1"/>
  <c r="AN456" i="9"/>
  <c r="AF456" i="9" s="1"/>
  <c r="AG456" i="9" s="1"/>
  <c r="AH456" i="9" s="1"/>
  <c r="AK456" i="9" s="1"/>
  <c r="CB397" i="22"/>
  <c r="AL48" i="8"/>
  <c r="V302" i="12"/>
  <c r="AH133" i="12"/>
  <c r="CA384" i="22"/>
  <c r="AL11" i="28"/>
  <c r="R174" i="12"/>
  <c r="R19" i="12"/>
  <c r="S427" i="9"/>
  <c r="T427" i="9" s="1"/>
  <c r="AN427" i="9"/>
  <c r="AF427" i="9" s="1"/>
  <c r="AG427" i="9" s="1"/>
  <c r="AH427" i="9" s="1"/>
  <c r="AK427" i="9" s="1"/>
  <c r="AO30" i="8"/>
  <c r="AN18" i="32" s="1"/>
  <c r="R479" i="9" s="1"/>
  <c r="BD437" i="22"/>
  <c r="X437" i="22"/>
  <c r="Y437" i="22" s="1"/>
  <c r="BB436" i="22"/>
  <c r="BA436" i="22"/>
  <c r="W436" i="22"/>
  <c r="AZ436" i="22"/>
  <c r="AY436" i="22"/>
  <c r="AX436" i="22"/>
  <c r="BC436" i="22" s="1"/>
  <c r="U302" i="12"/>
  <c r="O95" i="12"/>
  <c r="O96" i="12" s="1"/>
  <c r="O97" i="12" s="1"/>
  <c r="AW88" i="12"/>
  <c r="AI78" i="12"/>
  <c r="X313" i="12"/>
  <c r="CA380" i="22"/>
  <c r="AL160" i="8"/>
  <c r="V426" i="22"/>
  <c r="U402" i="22"/>
  <c r="CC378" i="22"/>
  <c r="AX485" i="22"/>
  <c r="BB485" i="22"/>
  <c r="BA485" i="22"/>
  <c r="AZ485" i="22"/>
  <c r="AY485" i="22"/>
  <c r="W485" i="22"/>
  <c r="AZ130" i="23"/>
  <c r="BA130" i="23" s="1"/>
  <c r="BB130" i="23"/>
  <c r="BB391" i="22"/>
  <c r="AY391" i="22"/>
  <c r="AX391" i="22"/>
  <c r="BA391" i="22"/>
  <c r="W391" i="22"/>
  <c r="AZ391" i="22"/>
  <c r="CA391" i="22" s="1"/>
  <c r="BC461" i="22"/>
  <c r="N33" i="18"/>
  <c r="U283" i="12" s="1"/>
  <c r="N99" i="16"/>
  <c r="S468" i="9"/>
  <c r="T468" i="9" s="1"/>
  <c r="AN468" i="9"/>
  <c r="AF468" i="9" s="1"/>
  <c r="AG468" i="9" s="1"/>
  <c r="AH468" i="9" s="1"/>
  <c r="AK468" i="9" s="1"/>
  <c r="AO31" i="8"/>
  <c r="M40" i="19"/>
  <c r="BB128" i="23"/>
  <c r="AZ128" i="23"/>
  <c r="BA128" i="23" s="1"/>
  <c r="AR15" i="16"/>
  <c r="CA393" i="22"/>
  <c r="Y247" i="12"/>
  <c r="AL199" i="12"/>
  <c r="AM199" i="12" s="1"/>
  <c r="AA24" i="27"/>
  <c r="O189" i="23" s="1"/>
  <c r="AA8" i="27"/>
  <c r="AI187" i="12"/>
  <c r="BC409" i="22"/>
  <c r="BY409" i="22"/>
  <c r="X27" i="27"/>
  <c r="O156" i="23" s="1"/>
  <c r="X11" i="27"/>
  <c r="N38" i="16"/>
  <c r="AX32" i="16" s="1"/>
  <c r="BD24" i="12"/>
  <c r="V465" i="22"/>
  <c r="U441" i="22"/>
  <c r="Y120" i="16"/>
  <c r="AK39" i="12"/>
  <c r="AL132" i="12"/>
  <c r="AM42" i="12"/>
  <c r="AM132" i="12" s="1"/>
  <c r="BD381" i="22"/>
  <c r="X381" i="22"/>
  <c r="Y381" i="22" s="1"/>
  <c r="AZ466" i="22"/>
  <c r="W466" i="22"/>
  <c r="AY466" i="22"/>
  <c r="BB466" i="22"/>
  <c r="AX466" i="22"/>
  <c r="BA466" i="22"/>
  <c r="AW139" i="23"/>
  <c r="AY139" i="23"/>
  <c r="AX139" i="23"/>
  <c r="BC139" i="23" s="1"/>
  <c r="AV139" i="23"/>
  <c r="AU139" i="23"/>
  <c r="P139" i="23"/>
  <c r="Z15" i="27"/>
  <c r="Z31" i="27"/>
  <c r="O184" i="23" s="1"/>
  <c r="P42" i="16"/>
  <c r="AB112" i="16"/>
  <c r="AJ80" i="12"/>
  <c r="Y13" i="12"/>
  <c r="Y83" i="12"/>
  <c r="AL195" i="12"/>
  <c r="AY171" i="23"/>
  <c r="AV171" i="23"/>
  <c r="AU171" i="23"/>
  <c r="AW171" i="23"/>
  <c r="AX171" i="23"/>
  <c r="BC171" i="23" s="1"/>
  <c r="P171" i="23"/>
  <c r="N40" i="18"/>
  <c r="U290" i="12" s="1"/>
  <c r="N106" i="16"/>
  <c r="CB380" i="22"/>
  <c r="Y12" i="27"/>
  <c r="Y28" i="27"/>
  <c r="O169" i="23" s="1"/>
  <c r="O39" i="16"/>
  <c r="AZ141" i="23"/>
  <c r="BA141" i="23" s="1"/>
  <c r="BB141" i="23"/>
  <c r="V509" i="22"/>
  <c r="U509" i="22" s="1"/>
  <c r="BD367" i="22"/>
  <c r="X367" i="22"/>
  <c r="Y367" i="22" s="1"/>
  <c r="V439" i="22"/>
  <c r="V451" i="22" s="1"/>
  <c r="U415" i="22"/>
  <c r="R65" i="12"/>
  <c r="R155" i="12" s="1"/>
  <c r="K28" i="16"/>
  <c r="L5" i="16"/>
  <c r="K6" i="16"/>
  <c r="AF139" i="8"/>
  <c r="AF146" i="8"/>
  <c r="AF141" i="8"/>
  <c r="AF148" i="8"/>
  <c r="AF143" i="8"/>
  <c r="AF138" i="8"/>
  <c r="AF147" i="8"/>
  <c r="AF142" i="8"/>
  <c r="AF145" i="8"/>
  <c r="AF144" i="8"/>
  <c r="AF140" i="8"/>
  <c r="AN432" i="9"/>
  <c r="AF432" i="9" s="1"/>
  <c r="AG432" i="9" s="1"/>
  <c r="AH432" i="9" s="1"/>
  <c r="AK432" i="9" s="1"/>
  <c r="S432" i="9"/>
  <c r="T432" i="9" s="1"/>
  <c r="AO9" i="28"/>
  <c r="U156" i="12"/>
  <c r="U107" i="12"/>
  <c r="U66" i="12"/>
  <c r="U7" i="12"/>
  <c r="N98" i="16"/>
  <c r="AX31" i="16"/>
  <c r="O100" i="16"/>
  <c r="V8" i="12"/>
  <c r="AN435" i="9"/>
  <c r="AF435" i="9" s="1"/>
  <c r="AG435" i="9" s="1"/>
  <c r="AH435" i="9" s="1"/>
  <c r="AK435" i="9" s="1"/>
  <c r="S435" i="9"/>
  <c r="T435" i="9" s="1"/>
  <c r="CC393" i="22"/>
  <c r="Y315" i="12"/>
  <c r="Y316" i="12"/>
  <c r="Y321" i="12"/>
  <c r="Y317" i="12"/>
  <c r="X29" i="12"/>
  <c r="Y29" i="12" s="1"/>
  <c r="V314" i="12"/>
  <c r="R254" i="12"/>
  <c r="R251" i="12"/>
  <c r="CB374" i="22"/>
  <c r="AJ45" i="8"/>
  <c r="AL45" i="8" s="1"/>
  <c r="AL163" i="8"/>
  <c r="BZ374" i="22"/>
  <c r="BB114" i="23"/>
  <c r="AZ114" i="23"/>
  <c r="BA114" i="23" s="1"/>
  <c r="AW183" i="23"/>
  <c r="AV183" i="23"/>
  <c r="AU183" i="23"/>
  <c r="P183" i="23"/>
  <c r="AY183" i="23"/>
  <c r="AX183" i="23"/>
  <c r="BC183" i="23" s="1"/>
  <c r="AQ21" i="16"/>
  <c r="AQ24" i="16"/>
  <c r="AQ23" i="16"/>
  <c r="AQ22" i="16"/>
  <c r="U33" i="12"/>
  <c r="AA115" i="16"/>
  <c r="W490" i="22"/>
  <c r="BA490" i="22"/>
  <c r="AZ490" i="22"/>
  <c r="AY490" i="22"/>
  <c r="AX490" i="22"/>
  <c r="BB490" i="22"/>
  <c r="AG205" i="12"/>
  <c r="P100" i="16"/>
  <c r="W320" i="12"/>
  <c r="BA206" i="22"/>
  <c r="AX178" i="23"/>
  <c r="BC178" i="23" s="1"/>
  <c r="AW178" i="23"/>
  <c r="AV178" i="23"/>
  <c r="P178" i="23"/>
  <c r="AY178" i="23"/>
  <c r="AU178" i="23"/>
  <c r="X114" i="16"/>
  <c r="CC380" i="22"/>
  <c r="AK24" i="32"/>
  <c r="R449" i="9" s="1"/>
  <c r="Z72" i="16"/>
  <c r="BB454" i="22"/>
  <c r="BA454" i="22"/>
  <c r="AZ454" i="22"/>
  <c r="AY454" i="22"/>
  <c r="W454" i="22"/>
  <c r="AX454" i="22"/>
  <c r="J11" i="16"/>
  <c r="J10" i="16" s="1"/>
  <c r="J8" i="16"/>
  <c r="V440" i="22"/>
  <c r="U416" i="22"/>
  <c r="AF83" i="8"/>
  <c r="AF78" i="8"/>
  <c r="AF80" i="8"/>
  <c r="AF75" i="8"/>
  <c r="AF82" i="8"/>
  <c r="AF77" i="8"/>
  <c r="AF81" i="8"/>
  <c r="AF74" i="8"/>
  <c r="AF85" i="8" s="1"/>
  <c r="AF76" i="8"/>
  <c r="AF84" i="8"/>
  <c r="AF79" i="8"/>
  <c r="BZ392" i="22"/>
  <c r="M99" i="16"/>
  <c r="M33" i="18"/>
  <c r="T283" i="12" s="1"/>
  <c r="P152" i="23"/>
  <c r="AY152" i="23"/>
  <c r="AX152" i="23"/>
  <c r="BC152" i="23" s="1"/>
  <c r="AW152" i="23"/>
  <c r="AV152" i="23"/>
  <c r="AU152" i="23"/>
  <c r="AC64" i="16"/>
  <c r="J43" i="19"/>
  <c r="Q239" i="12" s="1"/>
  <c r="AH76" i="12"/>
  <c r="W303" i="12"/>
  <c r="AJ74" i="12"/>
  <c r="AW172" i="23"/>
  <c r="AV172" i="23"/>
  <c r="AU172" i="23"/>
  <c r="AY172" i="23"/>
  <c r="AX172" i="23"/>
  <c r="BC172" i="23" s="1"/>
  <c r="P172" i="23"/>
  <c r="AZ154" i="23"/>
  <c r="BA154" i="23" s="1"/>
  <c r="BB154" i="23"/>
  <c r="L37" i="19"/>
  <c r="BE22" i="12"/>
  <c r="S455" i="9"/>
  <c r="T455" i="9" s="1"/>
  <c r="AN455" i="9"/>
  <c r="AF455" i="9" s="1"/>
  <c r="AG455" i="9" s="1"/>
  <c r="AH455" i="9" s="1"/>
  <c r="AK455" i="9" s="1"/>
  <c r="AC69" i="16"/>
  <c r="AN467" i="9"/>
  <c r="AF467" i="9" s="1"/>
  <c r="AG467" i="9" s="1"/>
  <c r="AH467" i="9" s="1"/>
  <c r="AK467" i="9" s="1"/>
  <c r="S467" i="9"/>
  <c r="T467" i="9" s="1"/>
  <c r="U318" i="12"/>
  <c r="BB217" i="22"/>
  <c r="CC217" i="22" s="1"/>
  <c r="BB218" i="22" s="1"/>
  <c r="CC218" i="22" s="1"/>
  <c r="BB148" i="23"/>
  <c r="AZ148" i="23"/>
  <c r="BA148" i="23" s="1"/>
  <c r="AF23" i="8"/>
  <c r="AG23" i="8" s="1"/>
  <c r="AH23" i="8" s="1"/>
  <c r="AI23" i="8" s="1"/>
  <c r="AJ23" i="8" s="1"/>
  <c r="AK23" i="8" s="1"/>
  <c r="AL23" i="8"/>
  <c r="AM23" i="8" s="1"/>
  <c r="AN23" i="8" s="1"/>
  <c r="AO23" i="8" s="1"/>
  <c r="W398" i="22"/>
  <c r="BB398" i="22"/>
  <c r="CC398" i="22" s="1"/>
  <c r="BA398" i="22"/>
  <c r="CB398" i="22" s="1"/>
  <c r="AZ398" i="22"/>
  <c r="CA398" i="22" s="1"/>
  <c r="AY398" i="22"/>
  <c r="BZ398" i="22" s="1"/>
  <c r="AX398" i="22"/>
  <c r="AK185" i="12"/>
  <c r="AL185" i="12" s="1"/>
  <c r="BC148" i="23"/>
  <c r="AQ129" i="8"/>
  <c r="AZ410" i="22"/>
  <c r="W410" i="22"/>
  <c r="AY410" i="22"/>
  <c r="BB410" i="22"/>
  <c r="CC410" i="22" s="1"/>
  <c r="AX410" i="22"/>
  <c r="BA410" i="22"/>
  <c r="AY160" i="23"/>
  <c r="AV160" i="23"/>
  <c r="AU160" i="23"/>
  <c r="AX160" i="23"/>
  <c r="BC160" i="23" s="1"/>
  <c r="AW160" i="23"/>
  <c r="P160" i="23"/>
  <c r="AL200" i="12"/>
  <c r="AM200" i="12" s="1"/>
  <c r="BZ380" i="22"/>
  <c r="AM36" i="8"/>
  <c r="AZ63" i="12"/>
  <c r="AZ60" i="12"/>
  <c r="AZ61" i="12"/>
  <c r="AZ62" i="12"/>
  <c r="V502" i="22"/>
  <c r="U502" i="22" s="1"/>
  <c r="U478" i="22"/>
  <c r="AM128" i="12"/>
  <c r="AN438" i="9"/>
  <c r="AF438" i="9" s="1"/>
  <c r="AG438" i="9" s="1"/>
  <c r="AH438" i="9" s="1"/>
  <c r="AK438" i="9" s="1"/>
  <c r="S438" i="9"/>
  <c r="T438" i="9" s="1"/>
  <c r="AP43" i="8"/>
  <c r="AQ43" i="8" s="1"/>
  <c r="J19" i="16"/>
  <c r="J17" i="16"/>
  <c r="J21" i="16"/>
  <c r="J18" i="16"/>
  <c r="J22" i="16"/>
  <c r="J20" i="16"/>
  <c r="J16" i="16"/>
  <c r="AS15" i="16" s="1"/>
  <c r="J24" i="16"/>
  <c r="J26" i="16"/>
  <c r="J23" i="16"/>
  <c r="J25" i="16"/>
  <c r="AG70" i="8"/>
  <c r="AH8" i="8"/>
  <c r="AG17" i="8"/>
  <c r="AG150" i="8" s="1"/>
  <c r="AG7" i="8"/>
  <c r="AG86" i="8" s="1"/>
  <c r="BY392" i="22"/>
  <c r="BC392" i="22"/>
  <c r="BD369" i="22"/>
  <c r="X369" i="22"/>
  <c r="Y369" i="22" s="1"/>
  <c r="Y9" i="12"/>
  <c r="AH203" i="12"/>
  <c r="AU166" i="23"/>
  <c r="P166" i="23"/>
  <c r="AV166" i="23"/>
  <c r="AY166" i="23"/>
  <c r="AX166" i="23"/>
  <c r="BC166" i="23" s="1"/>
  <c r="AW166" i="23"/>
  <c r="M32" i="18"/>
  <c r="N32" i="18" s="1"/>
  <c r="AG75" i="12"/>
  <c r="AH75" i="12" s="1"/>
  <c r="O35" i="16"/>
  <c r="BB32" i="12"/>
  <c r="BB33" i="12"/>
  <c r="Y308" i="12"/>
  <c r="Y250" i="12"/>
  <c r="Y253" i="12" s="1"/>
  <c r="L107" i="16"/>
  <c r="L41" i="18"/>
  <c r="BC383" i="22"/>
  <c r="BY383" i="22"/>
  <c r="AA26" i="27"/>
  <c r="O191" i="23" s="1"/>
  <c r="AA10" i="27"/>
  <c r="N37" i="18"/>
  <c r="U287" i="12" s="1"/>
  <c r="N103" i="16"/>
  <c r="N38" i="19"/>
  <c r="W113" i="16"/>
  <c r="AB65" i="16"/>
  <c r="AB113" i="16" s="1"/>
  <c r="AN34" i="8"/>
  <c r="AM22" i="32" s="1"/>
  <c r="R471" i="9" s="1"/>
  <c r="AB108" i="12"/>
  <c r="AB213" i="12"/>
  <c r="BY405" i="22"/>
  <c r="BC405" i="22"/>
  <c r="L35" i="19"/>
  <c r="BB153" i="23"/>
  <c r="AZ153" i="23"/>
  <c r="BA153" i="23" s="1"/>
  <c r="V471" i="22"/>
  <c r="U447" i="22"/>
  <c r="N101" i="16"/>
  <c r="N35" i="18"/>
  <c r="U285" i="12" s="1"/>
  <c r="AG189" i="12"/>
  <c r="AV33" i="28"/>
  <c r="AU35" i="28"/>
  <c r="X368" i="22"/>
  <c r="Y368" i="22" s="1"/>
  <c r="BD368" i="22"/>
  <c r="AB117" i="16"/>
  <c r="S60" i="12"/>
  <c r="T60" i="12" s="1"/>
  <c r="S55" i="12"/>
  <c r="S145" i="12" s="1"/>
  <c r="S57" i="12"/>
  <c r="T57" i="12" s="1"/>
  <c r="S64" i="12"/>
  <c r="S154" i="12" s="1"/>
  <c r="S61" i="12"/>
  <c r="S151" i="12" s="1"/>
  <c r="S59" i="12"/>
  <c r="S149" i="12" s="1"/>
  <c r="S54" i="12"/>
  <c r="S58" i="12"/>
  <c r="S148" i="12" s="1"/>
  <c r="S56" i="12"/>
  <c r="S146" i="12" s="1"/>
  <c r="S62" i="12"/>
  <c r="S152" i="12" s="1"/>
  <c r="S63" i="12"/>
  <c r="T63" i="12" s="1"/>
  <c r="AL196" i="12"/>
  <c r="AM196" i="12" s="1"/>
  <c r="BB133" i="23"/>
  <c r="AZ133" i="23"/>
  <c r="BA133" i="23" s="1"/>
  <c r="V446" i="22"/>
  <c r="U422" i="22"/>
  <c r="V444" i="22"/>
  <c r="U420" i="22"/>
  <c r="V457" i="22"/>
  <c r="U433" i="22"/>
  <c r="N30" i="18"/>
  <c r="AW34" i="16"/>
  <c r="N96" i="16"/>
  <c r="AL198" i="12"/>
  <c r="O105" i="16"/>
  <c r="O40" i="19"/>
  <c r="O39" i="18"/>
  <c r="V289" i="12" s="1"/>
  <c r="BY393" i="22"/>
  <c r="BC393" i="22"/>
  <c r="M34" i="18"/>
  <c r="BB159" i="23"/>
  <c r="AZ159" i="23"/>
  <c r="BA159" i="23" s="1"/>
  <c r="CA411" i="22"/>
  <c r="AP125" i="8"/>
  <c r="S443" i="9"/>
  <c r="T443" i="9" s="1"/>
  <c r="AN443" i="9"/>
  <c r="AF443" i="9" s="1"/>
  <c r="AG443" i="9" s="1"/>
  <c r="AH443" i="9" s="1"/>
  <c r="AK443" i="9" s="1"/>
  <c r="AV3" i="28"/>
  <c r="R114" i="12"/>
  <c r="R214" i="12"/>
  <c r="Z118" i="16"/>
  <c r="AA70" i="16"/>
  <c r="AL46" i="12"/>
  <c r="AK47" i="12"/>
  <c r="AK137" i="12" s="1"/>
  <c r="R147" i="12"/>
  <c r="BA54" i="12"/>
  <c r="AF59" i="8"/>
  <c r="AF66" i="8"/>
  <c r="AF61" i="8"/>
  <c r="AF68" i="8"/>
  <c r="AF63" i="8"/>
  <c r="AF58" i="8"/>
  <c r="AF64" i="8"/>
  <c r="AF60" i="8"/>
  <c r="AF67" i="8"/>
  <c r="AF62" i="8"/>
  <c r="AF65" i="8"/>
  <c r="AF69" i="8"/>
  <c r="W114" i="16"/>
  <c r="AB66" i="16"/>
  <c r="AB114" i="16" s="1"/>
  <c r="Y30" i="12"/>
  <c r="Y22" i="12"/>
  <c r="Y26" i="12"/>
  <c r="Y27" i="12"/>
  <c r="Y31" i="12"/>
  <c r="Y25" i="12"/>
  <c r="W298" i="12"/>
  <c r="AV40" i="16"/>
  <c r="AV38" i="16"/>
  <c r="AV39" i="16"/>
  <c r="AV37" i="16"/>
  <c r="AF81" i="12"/>
  <c r="AH70" i="12"/>
  <c r="AR17" i="16"/>
  <c r="BY386" i="22"/>
  <c r="BC386" i="22"/>
  <c r="AK161" i="8"/>
  <c r="AL161" i="8" s="1"/>
  <c r="X299" i="12"/>
  <c r="X305" i="12"/>
  <c r="X301" i="12"/>
  <c r="X304" i="12"/>
  <c r="X300" i="12"/>
  <c r="X296" i="12"/>
  <c r="AU165" i="23"/>
  <c r="P165" i="23"/>
  <c r="AY165" i="23"/>
  <c r="AX165" i="23"/>
  <c r="BC165" i="23" s="1"/>
  <c r="AW165" i="23"/>
  <c r="AV165" i="23"/>
  <c r="AJ201" i="12"/>
  <c r="BZ383" i="22"/>
  <c r="O162" i="23"/>
  <c r="AI204" i="12"/>
  <c r="AJ204" i="12" s="1"/>
  <c r="AV8" i="28"/>
  <c r="AB34" i="12"/>
  <c r="AB6" i="12"/>
  <c r="P39" i="18"/>
  <c r="W289" i="12" s="1"/>
  <c r="P40" i="19"/>
  <c r="P105" i="16"/>
  <c r="BY379" i="22"/>
  <c r="BC379" i="22"/>
  <c r="AY177" i="23"/>
  <c r="AX177" i="23"/>
  <c r="P177" i="23"/>
  <c r="AW177" i="23"/>
  <c r="AU177" i="23"/>
  <c r="AV177" i="23"/>
  <c r="AM197" i="12"/>
  <c r="V469" i="22"/>
  <c r="U445" i="22"/>
  <c r="V20" i="13"/>
  <c r="V19" i="13"/>
  <c r="V18" i="13"/>
  <c r="V17" i="13"/>
  <c r="V14" i="13"/>
  <c r="V24" i="13"/>
  <c r="V15" i="13"/>
  <c r="V21" i="13"/>
  <c r="V25" i="13"/>
  <c r="V23" i="13"/>
  <c r="V16" i="13"/>
  <c r="V22" i="13"/>
  <c r="BY384" i="22"/>
  <c r="BC384" i="22"/>
  <c r="M38" i="18"/>
  <c r="T288" i="12" s="1"/>
  <c r="M104" i="16"/>
  <c r="AW33" i="16"/>
  <c r="Y22" i="27"/>
  <c r="O163" i="23" s="1"/>
  <c r="Y6" i="27"/>
  <c r="O33" i="16"/>
  <c r="AK74" i="12"/>
  <c r="AC211" i="12"/>
  <c r="AC225" i="12"/>
  <c r="AC4" i="12"/>
  <c r="AC105" i="12"/>
  <c r="S215" i="12"/>
  <c r="S106" i="12"/>
  <c r="BY399" i="22"/>
  <c r="BC399" i="22"/>
  <c r="AO156" i="8"/>
  <c r="AP156" i="8" s="1"/>
  <c r="AQ156" i="8" s="1"/>
  <c r="BC378" i="22"/>
  <c r="BY378" i="22"/>
  <c r="AY63" i="12"/>
  <c r="AY61" i="12"/>
  <c r="AY62" i="12"/>
  <c r="AY60" i="12"/>
  <c r="AI77" i="12"/>
  <c r="AJ77" i="12" s="1"/>
  <c r="BC442" i="22"/>
  <c r="BB143" i="23"/>
  <c r="AZ143" i="23"/>
  <c r="BA143" i="23" s="1"/>
  <c r="BZ399" i="22"/>
  <c r="X372" i="22"/>
  <c r="Y372" i="22" s="1"/>
  <c r="BD372" i="22"/>
  <c r="CB411" i="22"/>
  <c r="AN437" i="9"/>
  <c r="AF437" i="9" s="1"/>
  <c r="AG437" i="9" s="1"/>
  <c r="AH437" i="9" s="1"/>
  <c r="AK437" i="9" s="1"/>
  <c r="S437" i="9"/>
  <c r="T437" i="9" s="1"/>
  <c r="BD356" i="22"/>
  <c r="X356" i="22"/>
  <c r="Y356" i="22" s="1"/>
  <c r="AJ160" i="8"/>
  <c r="CB405" i="22"/>
  <c r="CA392" i="22"/>
  <c r="BB134" i="23"/>
  <c r="AZ134" i="23"/>
  <c r="BA134" i="23" s="1"/>
  <c r="BD376" i="22"/>
  <c r="X376" i="22"/>
  <c r="Y376" i="22" s="1"/>
  <c r="AH72" i="12"/>
  <c r="V313" i="12"/>
  <c r="AJ157" i="8"/>
  <c r="AK157" i="8" s="1"/>
  <c r="AM164" i="8"/>
  <c r="AN164" i="8" s="1"/>
  <c r="BB125" i="23"/>
  <c r="AZ125" i="23"/>
  <c r="BA125" i="23" s="1"/>
  <c r="AJ79" i="12"/>
  <c r="AK79" i="12" s="1"/>
  <c r="AX17" i="28"/>
  <c r="AY15" i="28"/>
  <c r="P137" i="23"/>
  <c r="AU137" i="23"/>
  <c r="AX137" i="23"/>
  <c r="BC137" i="23" s="1"/>
  <c r="AY137" i="23"/>
  <c r="AW137" i="23"/>
  <c r="AV137" i="23"/>
  <c r="AA30" i="27"/>
  <c r="O195" i="23" s="1"/>
  <c r="AA14" i="27"/>
  <c r="Q41" i="16"/>
  <c r="AG203" i="12"/>
  <c r="AY157" i="23"/>
  <c r="AX157" i="23"/>
  <c r="BC157" i="23" s="1"/>
  <c r="AW157" i="23"/>
  <c r="AU157" i="23"/>
  <c r="P157" i="23"/>
  <c r="AV157" i="23"/>
  <c r="AA65" i="16"/>
  <c r="AB222" i="12"/>
  <c r="AB224" i="12"/>
  <c r="AB324" i="12" s="1"/>
  <c r="AB223" i="12"/>
  <c r="AB221" i="12"/>
  <c r="AB244" i="12" s="1"/>
  <c r="X366" i="22"/>
  <c r="Y366" i="22" s="1"/>
  <c r="BD366" i="22"/>
  <c r="BZ405" i="22"/>
  <c r="BC29" i="12"/>
  <c r="BC30" i="12"/>
  <c r="BC28" i="12"/>
  <c r="BC31" i="12"/>
  <c r="BB127" i="23"/>
  <c r="AZ127" i="23"/>
  <c r="BA127" i="23" s="1"/>
  <c r="BB155" i="23"/>
  <c r="AZ155" i="23"/>
  <c r="BA155" i="23" s="1"/>
  <c r="M31" i="18"/>
  <c r="T281" i="12" s="1"/>
  <c r="M32" i="19"/>
  <c r="M97" i="16"/>
  <c r="AY146" i="23"/>
  <c r="AU146" i="23"/>
  <c r="AW146" i="23"/>
  <c r="AX146" i="23"/>
  <c r="BC146" i="23" s="1"/>
  <c r="AV146" i="23"/>
  <c r="P146" i="23"/>
  <c r="AM198" i="12"/>
  <c r="AK80" i="12"/>
  <c r="BD26" i="12"/>
  <c r="AI43" i="12"/>
  <c r="W473" i="22"/>
  <c r="AY473" i="22"/>
  <c r="AX473" i="22"/>
  <c r="BA473" i="22"/>
  <c r="AZ473" i="22"/>
  <c r="BB473" i="22"/>
  <c r="AZ217" i="22"/>
  <c r="CA217" i="22" s="1"/>
  <c r="CA405" i="22"/>
  <c r="AH202" i="12"/>
  <c r="AF205" i="12"/>
  <c r="AR16" i="16"/>
  <c r="AH71" i="12"/>
  <c r="AU42" i="16"/>
  <c r="AU41" i="16"/>
  <c r="BY395" i="22"/>
  <c r="BC395" i="22"/>
  <c r="BD371" i="22"/>
  <c r="X371" i="22"/>
  <c r="Y371" i="22" s="1"/>
  <c r="CA383" i="22"/>
  <c r="AA9" i="27"/>
  <c r="AA25" i="27"/>
  <c r="O190" i="23" s="1"/>
  <c r="Q36" i="16"/>
  <c r="AJ181" i="12"/>
  <c r="V472" i="22"/>
  <c r="U448" i="22"/>
  <c r="AA13" i="27"/>
  <c r="AA29" i="27"/>
  <c r="O194" i="23" s="1"/>
  <c r="AY421" i="22"/>
  <c r="AX421" i="22"/>
  <c r="BB421" i="22"/>
  <c r="W421" i="22"/>
  <c r="BA421" i="22"/>
  <c r="AZ421" i="22"/>
  <c r="BA423" i="22"/>
  <c r="AZ423" i="22"/>
  <c r="W423" i="22"/>
  <c r="BB423" i="22"/>
  <c r="AY423" i="22"/>
  <c r="AX423" i="22"/>
  <c r="BC423" i="22" s="1"/>
  <c r="V438" i="22"/>
  <c r="U414" i="22"/>
  <c r="AL14" i="32"/>
  <c r="AN26" i="8"/>
  <c r="AO26" i="8"/>
  <c r="AL131" i="12"/>
  <c r="AM41" i="12"/>
  <c r="AM131" i="12" s="1"/>
  <c r="L108" i="16"/>
  <c r="AO125" i="8"/>
  <c r="AQ125" i="8" s="1"/>
  <c r="AK45" i="8"/>
  <c r="H88" i="13"/>
  <c r="X113" i="16"/>
  <c r="AY65" i="12"/>
  <c r="AY64" i="12"/>
  <c r="S500" i="9"/>
  <c r="T500" i="9" s="1"/>
  <c r="AN500" i="9"/>
  <c r="AF500" i="9" s="1"/>
  <c r="AG500" i="9" s="1"/>
  <c r="AH500" i="9" s="1"/>
  <c r="AK500" i="9" s="1"/>
  <c r="BB396" i="22"/>
  <c r="BA396" i="22"/>
  <c r="W396" i="22"/>
  <c r="AY396" i="22"/>
  <c r="BZ396" i="22" s="1"/>
  <c r="AX396" i="22"/>
  <c r="AZ396" i="22"/>
  <c r="CA396" i="22" s="1"/>
  <c r="AX407" i="22"/>
  <c r="W407" i="22"/>
  <c r="BB407" i="22"/>
  <c r="CC407" i="22" s="1"/>
  <c r="AY407" i="22"/>
  <c r="BA407" i="22"/>
  <c r="AZ407" i="22"/>
  <c r="T280" i="12"/>
  <c r="AI73" i="12"/>
  <c r="AJ73" i="12" s="1"/>
  <c r="AN450" i="9"/>
  <c r="AF450" i="9" s="1"/>
  <c r="AG450" i="9" s="1"/>
  <c r="AH450" i="9" s="1"/>
  <c r="AK450" i="9" s="1"/>
  <c r="S450" i="9"/>
  <c r="T450" i="9" s="1"/>
  <c r="Z12" i="27"/>
  <c r="Z28" i="27"/>
  <c r="O181" i="23" s="1"/>
  <c r="P39" i="16"/>
  <c r="BB140" i="23"/>
  <c r="AZ140" i="23"/>
  <c r="BA140" i="23" s="1"/>
  <c r="CA374" i="22"/>
  <c r="AV27" i="28"/>
  <c r="AU29" i="28"/>
  <c r="AU6" i="28" s="1"/>
  <c r="R153" i="12"/>
  <c r="BA56" i="12"/>
  <c r="BD406" i="22"/>
  <c r="X406" i="22"/>
  <c r="Y406" i="22" s="1"/>
  <c r="AA108" i="12"/>
  <c r="AA213" i="12"/>
  <c r="BZ411" i="22"/>
  <c r="Z21" i="27"/>
  <c r="Z5" i="27"/>
  <c r="P32" i="16"/>
  <c r="Q32" i="16" s="1"/>
  <c r="BF22" i="12"/>
  <c r="CC374" i="22"/>
  <c r="W319" i="12"/>
  <c r="R144" i="12"/>
  <c r="AZ57" i="12"/>
  <c r="X388" i="22"/>
  <c r="Y388" i="22" s="1"/>
  <c r="BD388" i="22"/>
  <c r="CC405" i="22"/>
  <c r="CC392" i="22"/>
  <c r="AC68" i="16"/>
  <c r="W32" i="27"/>
  <c r="W16" i="27"/>
  <c r="W17" i="27" s="1"/>
  <c r="M43" i="16"/>
  <c r="M44" i="16" s="1"/>
  <c r="M7" i="16" s="1"/>
  <c r="BC25" i="12"/>
  <c r="T323" i="12"/>
  <c r="T307" i="12"/>
  <c r="AU8" i="28"/>
  <c r="AA34" i="12"/>
  <c r="AA6" i="12"/>
  <c r="L39" i="19"/>
  <c r="I27" i="16"/>
  <c r="AR18" i="16" s="1"/>
  <c r="BZ386" i="22"/>
  <c r="W424" i="22"/>
  <c r="AZ424" i="22"/>
  <c r="AY424" i="22"/>
  <c r="AX424" i="22"/>
  <c r="BB424" i="22"/>
  <c r="BA424" i="22"/>
  <c r="CA395" i="22"/>
  <c r="CC383" i="22"/>
  <c r="X32" i="12"/>
  <c r="Y32" i="12" s="1"/>
  <c r="AB67" i="16"/>
  <c r="BB219" i="22" l="1"/>
  <c r="CC219" i="22" s="1"/>
  <c r="T147" i="12"/>
  <c r="T150" i="12"/>
  <c r="AB28" i="27"/>
  <c r="O205" i="23" s="1"/>
  <c r="AB12" i="27"/>
  <c r="L43" i="19"/>
  <c r="S239" i="12" s="1"/>
  <c r="AB15" i="27"/>
  <c r="AB31" i="27"/>
  <c r="O208" i="23" s="1"/>
  <c r="Y322" i="12"/>
  <c r="Q30" i="18"/>
  <c r="Q31" i="19"/>
  <c r="Q96" i="16"/>
  <c r="P104" i="16"/>
  <c r="AZ33" i="16"/>
  <c r="U282" i="12"/>
  <c r="N33" i="19"/>
  <c r="AC70" i="16"/>
  <c r="AC118" i="16" s="1"/>
  <c r="Q101" i="16"/>
  <c r="AW42" i="16"/>
  <c r="AW41" i="16"/>
  <c r="AL204" i="12"/>
  <c r="AO163" i="8"/>
  <c r="AP163" i="8" s="1"/>
  <c r="T153" i="12"/>
  <c r="AL53" i="8"/>
  <c r="AM157" i="8"/>
  <c r="V475" i="22"/>
  <c r="U451" i="22"/>
  <c r="AD65" i="16"/>
  <c r="AD113" i="16" s="1"/>
  <c r="AJ202" i="12"/>
  <c r="AH205" i="12"/>
  <c r="AL24" i="32"/>
  <c r="R461" i="9" s="1"/>
  <c r="AN36" i="8"/>
  <c r="AM24" i="32" s="1"/>
  <c r="R473" i="9" s="1"/>
  <c r="Z120" i="16"/>
  <c r="K11" i="16"/>
  <c r="K10" i="16" s="1"/>
  <c r="K8" i="16"/>
  <c r="AZ179" i="23"/>
  <c r="BA179" i="23" s="1"/>
  <c r="BB179" i="23"/>
  <c r="U477" i="22"/>
  <c r="U280" i="12"/>
  <c r="AK187" i="12"/>
  <c r="V493" i="22"/>
  <c r="U493" i="22" s="1"/>
  <c r="U469" i="22"/>
  <c r="BB170" i="23"/>
  <c r="AZ170" i="23"/>
  <c r="BA170" i="23" s="1"/>
  <c r="AY420" i="22"/>
  <c r="AX420" i="22"/>
  <c r="BB420" i="22"/>
  <c r="BA420" i="22"/>
  <c r="AZ420" i="22"/>
  <c r="W420" i="22"/>
  <c r="BD397" i="22"/>
  <c r="X397" i="22"/>
  <c r="Y397" i="22" s="1"/>
  <c r="V455" i="22"/>
  <c r="V467" i="22" s="1"/>
  <c r="U431" i="22"/>
  <c r="Q100" i="16"/>
  <c r="BB177" i="23"/>
  <c r="AZ177" i="23"/>
  <c r="BA177" i="23" s="1"/>
  <c r="BZ391" i="22"/>
  <c r="AJ187" i="12"/>
  <c r="U438" i="22"/>
  <c r="AY182" i="23"/>
  <c r="AW182" i="23"/>
  <c r="AV182" i="23"/>
  <c r="AU182" i="23"/>
  <c r="P182" i="23"/>
  <c r="AX182" i="23"/>
  <c r="BC182" i="23" s="1"/>
  <c r="AY151" i="23"/>
  <c r="AX151" i="23"/>
  <c r="AV151" i="23"/>
  <c r="AU151" i="23"/>
  <c r="P151" i="23"/>
  <c r="AW151" i="23"/>
  <c r="AN11" i="28"/>
  <c r="T174" i="12"/>
  <c r="P175" i="23"/>
  <c r="AY175" i="23"/>
  <c r="AW175" i="23"/>
  <c r="AV175" i="23"/>
  <c r="AX175" i="23"/>
  <c r="BC175" i="23" s="1"/>
  <c r="AU175" i="23"/>
  <c r="AP164" i="8"/>
  <c r="AQ164" i="8" s="1"/>
  <c r="P181" i="23"/>
  <c r="AY181" i="23"/>
  <c r="AX181" i="23"/>
  <c r="BC181" i="23" s="1"/>
  <c r="AW181" i="23"/>
  <c r="AV181" i="23"/>
  <c r="AU181" i="23"/>
  <c r="BB157" i="23"/>
  <c r="AZ157" i="23"/>
  <c r="BA157" i="23" s="1"/>
  <c r="M39" i="19"/>
  <c r="BC177" i="23"/>
  <c r="BB165" i="23"/>
  <c r="AZ165" i="23"/>
  <c r="BA165" i="23" s="1"/>
  <c r="N36" i="19"/>
  <c r="J27" i="16"/>
  <c r="CB410" i="22"/>
  <c r="W21" i="13"/>
  <c r="W19" i="13"/>
  <c r="W18" i="13"/>
  <c r="W25" i="13"/>
  <c r="W20" i="13"/>
  <c r="W24" i="13"/>
  <c r="W15" i="13"/>
  <c r="W23" i="13"/>
  <c r="W22" i="13"/>
  <c r="W17" i="13"/>
  <c r="W16" i="13"/>
  <c r="W14" i="13"/>
  <c r="T285" i="12"/>
  <c r="M36" i="19"/>
  <c r="T62" i="12"/>
  <c r="T152" i="12" s="1"/>
  <c r="AW194" i="23"/>
  <c r="AV194" i="23"/>
  <c r="P194" i="23"/>
  <c r="AU194" i="23"/>
  <c r="AY194" i="23"/>
  <c r="AX194" i="23"/>
  <c r="AX162" i="23"/>
  <c r="AV162" i="23"/>
  <c r="P162" i="23"/>
  <c r="AY162" i="23"/>
  <c r="AW162" i="23"/>
  <c r="AU162" i="23"/>
  <c r="AB216" i="12"/>
  <c r="AO160" i="8"/>
  <c r="AS19" i="16"/>
  <c r="BC396" i="22"/>
  <c r="BY396" i="22"/>
  <c r="AR21" i="16"/>
  <c r="AR24" i="16"/>
  <c r="AR23" i="16"/>
  <c r="AR22" i="16"/>
  <c r="X302" i="12"/>
  <c r="AY191" i="23"/>
  <c r="AX191" i="23"/>
  <c r="BC191" i="23" s="1"/>
  <c r="AW191" i="23"/>
  <c r="AV191" i="23"/>
  <c r="AU191" i="23"/>
  <c r="P191" i="23"/>
  <c r="BY410" i="22"/>
  <c r="BC410" i="22"/>
  <c r="Q254" i="12"/>
  <c r="Q251" i="12"/>
  <c r="Q240" i="12"/>
  <c r="Q241" i="12" s="1"/>
  <c r="AM163" i="8"/>
  <c r="Y319" i="12"/>
  <c r="AL80" i="12"/>
  <c r="AM47" i="12"/>
  <c r="AM137" i="12" s="1"/>
  <c r="AM161" i="8"/>
  <c r="BB167" i="23"/>
  <c r="AZ167" i="23"/>
  <c r="BA167" i="23" s="1"/>
  <c r="X28" i="12"/>
  <c r="Z28" i="12" s="1"/>
  <c r="AW39" i="28"/>
  <c r="AV41" i="28"/>
  <c r="AV6" i="28" s="1"/>
  <c r="T58" i="12"/>
  <c r="T148" i="12" s="1"/>
  <c r="O186" i="23"/>
  <c r="AB5" i="27"/>
  <c r="AB21" i="27"/>
  <c r="R32" i="16"/>
  <c r="AX35" i="16"/>
  <c r="AB29" i="27"/>
  <c r="O206" i="23" s="1"/>
  <c r="AB13" i="27"/>
  <c r="N34" i="19"/>
  <c r="BD374" i="22"/>
  <c r="X374" i="22"/>
  <c r="Y374" i="22" s="1"/>
  <c r="AB247" i="12"/>
  <c r="AB248" i="12" s="1"/>
  <c r="AB245" i="12"/>
  <c r="BB171" i="23"/>
  <c r="AZ171" i="23"/>
  <c r="BA171" i="23" s="1"/>
  <c r="AB72" i="16"/>
  <c r="AB120" i="16" s="1"/>
  <c r="AL181" i="12"/>
  <c r="AJ189" i="12"/>
  <c r="P86" i="12"/>
  <c r="P87" i="12" s="1"/>
  <c r="P88" i="12" s="1"/>
  <c r="AW89" i="12"/>
  <c r="AW90" i="12" s="1"/>
  <c r="BY391" i="22"/>
  <c r="BC391" i="22"/>
  <c r="BB414" i="22"/>
  <c r="BA414" i="22"/>
  <c r="W414" i="22"/>
  <c r="AX414" i="22"/>
  <c r="AY414" i="22"/>
  <c r="AZ414" i="22"/>
  <c r="AF103" i="12"/>
  <c r="N32" i="19"/>
  <c r="N97" i="16"/>
  <c r="N31" i="18"/>
  <c r="U281" i="12" s="1"/>
  <c r="CC391" i="22"/>
  <c r="BC473" i="22"/>
  <c r="O37" i="18"/>
  <c r="V287" i="12" s="1"/>
  <c r="O103" i="16"/>
  <c r="O38" i="19"/>
  <c r="AK129" i="12"/>
  <c r="AO34" i="8"/>
  <c r="V318" i="12"/>
  <c r="X435" i="22"/>
  <c r="Y435" i="22" s="1"/>
  <c r="BD435" i="22"/>
  <c r="BD395" i="22"/>
  <c r="X395" i="22"/>
  <c r="Y395" i="22" s="1"/>
  <c r="Y23" i="12"/>
  <c r="BD393" i="22"/>
  <c r="X393" i="22"/>
  <c r="Y393" i="22" s="1"/>
  <c r="BB447" i="22"/>
  <c r="BA447" i="22"/>
  <c r="AX447" i="22"/>
  <c r="AZ447" i="22"/>
  <c r="AY447" i="22"/>
  <c r="W447" i="22"/>
  <c r="X383" i="22"/>
  <c r="Y383" i="22" s="1"/>
  <c r="BD383" i="22"/>
  <c r="AA72" i="16"/>
  <c r="BZ410" i="22"/>
  <c r="AZ152" i="23"/>
  <c r="BA152" i="23" s="1"/>
  <c r="BB152" i="23"/>
  <c r="W416" i="22"/>
  <c r="BB416" i="22"/>
  <c r="BA416" i="22"/>
  <c r="AX416" i="22"/>
  <c r="AZ416" i="22"/>
  <c r="AY416" i="22"/>
  <c r="P169" i="23"/>
  <c r="AX169" i="23"/>
  <c r="AY169" i="23"/>
  <c r="AW169" i="23"/>
  <c r="AV169" i="23"/>
  <c r="AU169" i="23"/>
  <c r="AR19" i="16"/>
  <c r="AM11" i="28"/>
  <c r="S174" i="12"/>
  <c r="S19" i="12"/>
  <c r="AI135" i="12"/>
  <c r="AK45" i="12"/>
  <c r="AK135" i="12" s="1"/>
  <c r="AL45" i="12"/>
  <c r="AL135" i="12" s="1"/>
  <c r="T56" i="12"/>
  <c r="T146" i="12" s="1"/>
  <c r="BB459" i="22"/>
  <c r="W459" i="22"/>
  <c r="BA459" i="22"/>
  <c r="AY459" i="22"/>
  <c r="AX459" i="22"/>
  <c r="BC459" i="22" s="1"/>
  <c r="AZ459" i="22"/>
  <c r="AP52" i="8"/>
  <c r="AQ52" i="8" s="1"/>
  <c r="AC222" i="12"/>
  <c r="AC224" i="12"/>
  <c r="AC324" i="12" s="1"/>
  <c r="AC223" i="12"/>
  <c r="AC221" i="12"/>
  <c r="P101" i="16"/>
  <c r="O149" i="23"/>
  <c r="W33" i="27"/>
  <c r="W35" i="27" s="1"/>
  <c r="BC403" i="22"/>
  <c r="BY403" i="22"/>
  <c r="O31" i="18"/>
  <c r="V281" i="12" s="1"/>
  <c r="O97" i="16"/>
  <c r="AK72" i="12"/>
  <c r="AC66" i="16"/>
  <c r="AC114" i="16" s="1"/>
  <c r="N39" i="19"/>
  <c r="AA113" i="16"/>
  <c r="V468" i="22"/>
  <c r="U444" i="22"/>
  <c r="BB160" i="23"/>
  <c r="AZ160" i="23"/>
  <c r="BA160" i="23" s="1"/>
  <c r="BB509" i="22"/>
  <c r="BA509" i="22"/>
  <c r="W509" i="22"/>
  <c r="AZ509" i="22"/>
  <c r="AY509" i="22"/>
  <c r="AX509" i="22"/>
  <c r="BC509" i="22" s="1"/>
  <c r="AJ72" i="12"/>
  <c r="AN161" i="8"/>
  <c r="U471" i="22"/>
  <c r="V464" i="22"/>
  <c r="U440" i="22"/>
  <c r="AN45" i="8"/>
  <c r="AN53" i="8" s="1"/>
  <c r="AJ53" i="8"/>
  <c r="P106" i="16"/>
  <c r="P40" i="18"/>
  <c r="W290" i="12" s="1"/>
  <c r="AI76" i="12"/>
  <c r="AJ76" i="12" s="1"/>
  <c r="S492" i="9"/>
  <c r="T492" i="9" s="1"/>
  <c r="AN492" i="9"/>
  <c r="AF492" i="9" s="1"/>
  <c r="AG492" i="9" s="1"/>
  <c r="AH492" i="9" s="1"/>
  <c r="AK492" i="9" s="1"/>
  <c r="AL39" i="12"/>
  <c r="AM39" i="12" s="1"/>
  <c r="V122" i="16"/>
  <c r="V124" i="16" s="1"/>
  <c r="V75" i="16"/>
  <c r="V123" i="16" s="1"/>
  <c r="W74" i="16"/>
  <c r="X74" i="16"/>
  <c r="BC404" i="22"/>
  <c r="BY404" i="22"/>
  <c r="AF22" i="8"/>
  <c r="AG22" i="8" s="1"/>
  <c r="AH22" i="8" s="1"/>
  <c r="AI22" i="8" s="1"/>
  <c r="AJ22" i="8" s="1"/>
  <c r="AK22" i="8" s="1"/>
  <c r="AL22" i="8" s="1"/>
  <c r="AM22" i="8" s="1"/>
  <c r="AN22" i="8" s="1"/>
  <c r="AO22" i="8" s="1"/>
  <c r="V483" i="22"/>
  <c r="Y42" i="13"/>
  <c r="Z6" i="13"/>
  <c r="BC497" i="22"/>
  <c r="AN14" i="32"/>
  <c r="AX38" i="16"/>
  <c r="AX40" i="16"/>
  <c r="AX39" i="16"/>
  <c r="AX37" i="16"/>
  <c r="X319" i="12"/>
  <c r="CA403" i="22"/>
  <c r="AH81" i="12"/>
  <c r="AJ70" i="12"/>
  <c r="BB172" i="23"/>
  <c r="AZ172" i="23"/>
  <c r="BA172" i="23" s="1"/>
  <c r="AM160" i="8"/>
  <c r="R451" i="9"/>
  <c r="Z113" i="16"/>
  <c r="AE65" i="16"/>
  <c r="AE113" i="16" s="1"/>
  <c r="AQ23" i="8"/>
  <c r="U458" i="22"/>
  <c r="AL74" i="12"/>
  <c r="Y14" i="12"/>
  <c r="Y84" i="12"/>
  <c r="P103" i="16"/>
  <c r="BB178" i="23"/>
  <c r="AZ178" i="23"/>
  <c r="BA178" i="23" s="1"/>
  <c r="Y27" i="27"/>
  <c r="O168" i="23" s="1"/>
  <c r="Y11" i="27"/>
  <c r="O38" i="16"/>
  <c r="BE24" i="12"/>
  <c r="X384" i="22"/>
  <c r="Y384" i="22" s="1"/>
  <c r="BD384" i="22"/>
  <c r="X303" i="12"/>
  <c r="AW150" i="23"/>
  <c r="P150" i="23"/>
  <c r="AY150" i="23"/>
  <c r="AV150" i="23"/>
  <c r="AU150" i="23"/>
  <c r="AX150" i="23"/>
  <c r="L42" i="19"/>
  <c r="X392" i="22"/>
  <c r="Y392" i="22" s="1"/>
  <c r="BD392" i="22"/>
  <c r="CA410" i="22"/>
  <c r="X16" i="27"/>
  <c r="X17" i="27" s="1"/>
  <c r="X32" i="27"/>
  <c r="O161" i="23" s="1"/>
  <c r="N43" i="16"/>
  <c r="BD25" i="12"/>
  <c r="U307" i="12"/>
  <c r="AW184" i="23"/>
  <c r="AU184" i="23"/>
  <c r="AY184" i="23"/>
  <c r="AX184" i="23"/>
  <c r="BC184" i="23" s="1"/>
  <c r="AV184" i="23"/>
  <c r="P184" i="23"/>
  <c r="AX441" i="22"/>
  <c r="BB441" i="22"/>
  <c r="AZ441" i="22"/>
  <c r="W441" i="22"/>
  <c r="AY441" i="22"/>
  <c r="BA441" i="22"/>
  <c r="AN479" i="9"/>
  <c r="AF479" i="9" s="1"/>
  <c r="AG479" i="9" s="1"/>
  <c r="AH479" i="9" s="1"/>
  <c r="AK479" i="9" s="1"/>
  <c r="S479" i="9"/>
  <c r="T479" i="9" s="1"/>
  <c r="X412" i="22"/>
  <c r="Y412" i="22" s="1"/>
  <c r="BD412" i="22"/>
  <c r="Z247" i="12"/>
  <c r="Z248" i="12" s="1"/>
  <c r="Z245" i="12"/>
  <c r="T59" i="12"/>
  <c r="T149" i="12" s="1"/>
  <c r="N34" i="18"/>
  <c r="O34" i="18" s="1"/>
  <c r="AP26" i="8"/>
  <c r="AQ26" i="8" s="1"/>
  <c r="BB137" i="23"/>
  <c r="AZ137" i="23"/>
  <c r="BA137" i="23" s="1"/>
  <c r="S150" i="12"/>
  <c r="BB55" i="12"/>
  <c r="V480" i="22"/>
  <c r="U456" i="22"/>
  <c r="S471" i="9"/>
  <c r="T471" i="9" s="1"/>
  <c r="AN471" i="9"/>
  <c r="AF471" i="9" s="1"/>
  <c r="AG471" i="9" s="1"/>
  <c r="AH471" i="9" s="1"/>
  <c r="AK471" i="9" s="1"/>
  <c r="AB308" i="12"/>
  <c r="AB250" i="12"/>
  <c r="AW3" i="28"/>
  <c r="Z216" i="12"/>
  <c r="AM37" i="8"/>
  <c r="AL25" i="32" s="1"/>
  <c r="R462" i="9" s="1"/>
  <c r="AS17" i="16"/>
  <c r="AK201" i="12"/>
  <c r="BC490" i="22"/>
  <c r="AW33" i="28"/>
  <c r="AV35" i="28"/>
  <c r="BC429" i="22"/>
  <c r="P33" i="16"/>
  <c r="AY34" i="16" s="1"/>
  <c r="BB138" i="23"/>
  <c r="AZ138" i="23"/>
  <c r="BA138" i="23" s="1"/>
  <c r="X379" i="22"/>
  <c r="Y379" i="22" s="1"/>
  <c r="BD379" i="22"/>
  <c r="BD378" i="22"/>
  <c r="X378" i="22"/>
  <c r="Y378" i="22" s="1"/>
  <c r="AB24" i="27"/>
  <c r="O201" i="23" s="1"/>
  <c r="AB8" i="27"/>
  <c r="S144" i="12"/>
  <c r="BA57" i="12"/>
  <c r="BB478" i="22"/>
  <c r="BA478" i="22"/>
  <c r="AZ478" i="22"/>
  <c r="W478" i="22"/>
  <c r="AY478" i="22"/>
  <c r="AX478" i="22"/>
  <c r="BC478" i="22" s="1"/>
  <c r="AC117" i="16"/>
  <c r="AD69" i="16"/>
  <c r="V489" i="22"/>
  <c r="U489" i="22" s="1"/>
  <c r="U465" i="22"/>
  <c r="AP34" i="8"/>
  <c r="AO22" i="32" s="1"/>
  <c r="R495" i="9" s="1"/>
  <c r="BC126" i="23"/>
  <c r="Z315" i="12"/>
  <c r="Z312" i="12"/>
  <c r="T61" i="12"/>
  <c r="T151" i="12" s="1"/>
  <c r="BB427" i="22"/>
  <c r="BA427" i="22"/>
  <c r="W427" i="22"/>
  <c r="AX427" i="22"/>
  <c r="AY427" i="22"/>
  <c r="AZ427" i="22"/>
  <c r="AW8" i="28"/>
  <c r="AC34" i="12"/>
  <c r="AC6" i="12"/>
  <c r="P164" i="23"/>
  <c r="AY164" i="23"/>
  <c r="AW164" i="23"/>
  <c r="AX164" i="23"/>
  <c r="AV164" i="23"/>
  <c r="AU164" i="23"/>
  <c r="AY432" i="22"/>
  <c r="AZ432" i="22"/>
  <c r="BB432" i="22"/>
  <c r="BA432" i="22"/>
  <c r="AX432" i="22"/>
  <c r="BC432" i="22" s="1"/>
  <c r="W432" i="22"/>
  <c r="AB115" i="16"/>
  <c r="T282" i="12"/>
  <c r="T292" i="12" s="1"/>
  <c r="M33" i="19"/>
  <c r="M43" i="19" s="1"/>
  <c r="T239" i="12" s="1"/>
  <c r="BC407" i="22"/>
  <c r="BY407" i="22"/>
  <c r="BB448" i="22"/>
  <c r="BA448" i="22"/>
  <c r="AX448" i="22"/>
  <c r="AZ448" i="22"/>
  <c r="AY448" i="22"/>
  <c r="W448" i="22"/>
  <c r="AZ433" i="22"/>
  <c r="W433" i="22"/>
  <c r="AY433" i="22"/>
  <c r="AX433" i="22"/>
  <c r="BB433" i="22"/>
  <c r="BA433" i="22"/>
  <c r="V481" i="22"/>
  <c r="U457" i="22"/>
  <c r="BC417" i="22"/>
  <c r="J80" i="16"/>
  <c r="J81" i="16" s="1"/>
  <c r="J82" i="16" s="1"/>
  <c r="J83" i="16" s="1"/>
  <c r="J84" i="16" s="1"/>
  <c r="J85" i="16" s="1"/>
  <c r="J86" i="16" s="1"/>
  <c r="J87" i="16" s="1"/>
  <c r="J88" i="16" s="1"/>
  <c r="J89" i="16" s="1"/>
  <c r="J90" i="16" s="1"/>
  <c r="J91" i="16" s="1"/>
  <c r="CB403" i="22"/>
  <c r="CC396" i="22"/>
  <c r="V470" i="22"/>
  <c r="U446" i="22"/>
  <c r="BC206" i="22"/>
  <c r="BY206" i="22"/>
  <c r="AK77" i="12"/>
  <c r="AL77" i="12" s="1"/>
  <c r="Y12" i="12"/>
  <c r="Y4" i="13"/>
  <c r="X26" i="13"/>
  <c r="S153" i="12"/>
  <c r="BB56" i="12"/>
  <c r="AN163" i="8"/>
  <c r="BB126" i="23"/>
  <c r="AZ126" i="23"/>
  <c r="BA126" i="23" s="1"/>
  <c r="AI203" i="12"/>
  <c r="P30" i="18"/>
  <c r="P31" i="19" s="1"/>
  <c r="P96" i="16"/>
  <c r="AI133" i="12"/>
  <c r="AJ43" i="12"/>
  <c r="AK43" i="12" s="1"/>
  <c r="AA32" i="12"/>
  <c r="AB32" i="12" s="1"/>
  <c r="AA27" i="12"/>
  <c r="AB27" i="12" s="1"/>
  <c r="O174" i="23"/>
  <c r="AX195" i="23"/>
  <c r="AV195" i="23"/>
  <c r="AU195" i="23"/>
  <c r="AY195" i="23"/>
  <c r="AW195" i="23"/>
  <c r="P195" i="23"/>
  <c r="BD399" i="22"/>
  <c r="X399" i="22"/>
  <c r="Y399" i="22" s="1"/>
  <c r="AB30" i="27"/>
  <c r="O207" i="23" s="1"/>
  <c r="AB14" i="27"/>
  <c r="R41" i="16"/>
  <c r="AG78" i="8"/>
  <c r="AG80" i="8"/>
  <c r="AG75" i="8"/>
  <c r="AG85" i="8" s="1"/>
  <c r="AG82" i="8"/>
  <c r="AG77" i="8"/>
  <c r="AG81" i="8"/>
  <c r="AG74" i="8"/>
  <c r="AG84" i="8"/>
  <c r="AG83" i="8"/>
  <c r="AG79" i="8"/>
  <c r="AG76" i="8"/>
  <c r="BB502" i="22"/>
  <c r="BA502" i="22"/>
  <c r="AX502" i="22"/>
  <c r="W502" i="22"/>
  <c r="AY502" i="22"/>
  <c r="AZ502" i="22"/>
  <c r="BC454" i="22"/>
  <c r="AI189" i="12"/>
  <c r="AP9" i="28"/>
  <c r="V156" i="12"/>
  <c r="V107" i="12"/>
  <c r="V66" i="12"/>
  <c r="W8" i="12"/>
  <c r="X8" i="12" s="1"/>
  <c r="V7" i="12"/>
  <c r="BC485" i="22"/>
  <c r="AN447" i="9"/>
  <c r="AF447" i="9" s="1"/>
  <c r="AG447" i="9" s="1"/>
  <c r="AH447" i="9" s="1"/>
  <c r="AK447" i="9" s="1"/>
  <c r="S447" i="9"/>
  <c r="T447" i="9" s="1"/>
  <c r="X380" i="22"/>
  <c r="Y380" i="22" s="1"/>
  <c r="BD380" i="22"/>
  <c r="AO164" i="8"/>
  <c r="T64" i="12"/>
  <c r="T154" i="12" s="1"/>
  <c r="O35" i="18"/>
  <c r="P35" i="18" s="1"/>
  <c r="AI75" i="12"/>
  <c r="AJ75" i="12" s="1"/>
  <c r="X41" i="13"/>
  <c r="X40" i="13"/>
  <c r="X39" i="13"/>
  <c r="X38" i="13"/>
  <c r="X37" i="13"/>
  <c r="X36" i="13"/>
  <c r="X35" i="13"/>
  <c r="X34" i="13"/>
  <c r="X33" i="13"/>
  <c r="X31" i="13"/>
  <c r="X30" i="13"/>
  <c r="X32" i="13"/>
  <c r="BA63" i="12"/>
  <c r="BA62" i="12"/>
  <c r="BA61" i="12"/>
  <c r="BA60" i="12"/>
  <c r="BD386" i="22"/>
  <c r="X386" i="22"/>
  <c r="Y386" i="22" s="1"/>
  <c r="BC466" i="22"/>
  <c r="BD409" i="22"/>
  <c r="X409" i="22"/>
  <c r="Y409" i="22" s="1"/>
  <c r="BD461" i="22"/>
  <c r="X461" i="22"/>
  <c r="Y461" i="22" s="1"/>
  <c r="AX21" i="28"/>
  <c r="AW23" i="28"/>
  <c r="AL79" i="12"/>
  <c r="AM79" i="12" s="1"/>
  <c r="BB415" i="22"/>
  <c r="AX415" i="22"/>
  <c r="W415" i="22"/>
  <c r="BA415" i="22"/>
  <c r="AZ415" i="22"/>
  <c r="AY415" i="22"/>
  <c r="CB396" i="22"/>
  <c r="AZ422" i="22"/>
  <c r="W422" i="22"/>
  <c r="AY422" i="22"/>
  <c r="AX422" i="22"/>
  <c r="BB422" i="22"/>
  <c r="BA422" i="22"/>
  <c r="AY189" i="23"/>
  <c r="AX189" i="23"/>
  <c r="BC189" i="23" s="1"/>
  <c r="AW189" i="23"/>
  <c r="AV189" i="23"/>
  <c r="AU189" i="23"/>
  <c r="P189" i="23"/>
  <c r="X436" i="22"/>
  <c r="Y436" i="22" s="1"/>
  <c r="BD436" i="22"/>
  <c r="BC424" i="22"/>
  <c r="Y320" i="12"/>
  <c r="X423" i="22"/>
  <c r="Y423" i="22" s="1"/>
  <c r="BD423" i="22"/>
  <c r="AL157" i="8"/>
  <c r="AC65" i="16"/>
  <c r="AC113" i="16" s="1"/>
  <c r="Q40" i="19"/>
  <c r="Q39" i="18"/>
  <c r="X289" i="12" s="1"/>
  <c r="Q105" i="16"/>
  <c r="H73" i="13"/>
  <c r="H89" i="13"/>
  <c r="BD32" i="12"/>
  <c r="BD33" i="12"/>
  <c r="BA58" i="12"/>
  <c r="AZ218" i="22"/>
  <c r="CA218" i="22" s="1"/>
  <c r="M42" i="18"/>
  <c r="T238" i="12" s="1"/>
  <c r="H72" i="13"/>
  <c r="AN160" i="8"/>
  <c r="AB9" i="12"/>
  <c r="Y303" i="12"/>
  <c r="Y296" i="12"/>
  <c r="Y304" i="12"/>
  <c r="Y300" i="12"/>
  <c r="Y299" i="12"/>
  <c r="Y297" i="12"/>
  <c r="Y301" i="12"/>
  <c r="Y306" i="12"/>
  <c r="Y305" i="12"/>
  <c r="AG146" i="8"/>
  <c r="AG141" i="8"/>
  <c r="AG148" i="8"/>
  <c r="AG143" i="8"/>
  <c r="AG138" i="8"/>
  <c r="AG147" i="8"/>
  <c r="AG142" i="8"/>
  <c r="AG144" i="8"/>
  <c r="AG145" i="8"/>
  <c r="AG140" i="8"/>
  <c r="AG139" i="8"/>
  <c r="AP30" i="8"/>
  <c r="AM185" i="12"/>
  <c r="N272" i="12"/>
  <c r="N288" i="12" s="1"/>
  <c r="CB206" i="22"/>
  <c r="AK181" i="12"/>
  <c r="N41" i="19"/>
  <c r="AZ139" i="23"/>
  <c r="BA139" i="23" s="1"/>
  <c r="BB139" i="23"/>
  <c r="AN19" i="32"/>
  <c r="R480" i="9" s="1"/>
  <c r="AQ31" i="8"/>
  <c r="AP19" i="32" s="1"/>
  <c r="R504" i="9" s="1"/>
  <c r="S439" i="9"/>
  <c r="T439" i="9" s="1"/>
  <c r="AN439" i="9"/>
  <c r="AF439" i="9" s="1"/>
  <c r="AG439" i="9" s="1"/>
  <c r="AH439" i="9" s="1"/>
  <c r="AK439" i="9" s="1"/>
  <c r="AD105" i="12"/>
  <c r="AD211" i="12"/>
  <c r="AD225" i="12"/>
  <c r="AD4" i="12"/>
  <c r="X411" i="22"/>
  <c r="Y411" i="22" s="1"/>
  <c r="BD411" i="22"/>
  <c r="Z308" i="12"/>
  <c r="Z250" i="12"/>
  <c r="BY408" i="22"/>
  <c r="BC408" i="22"/>
  <c r="X400" i="22"/>
  <c r="Y400" i="22" s="1"/>
  <c r="BD400" i="22"/>
  <c r="W28" i="12"/>
  <c r="W318" i="12" s="1"/>
  <c r="U443" i="22"/>
  <c r="O39" i="19"/>
  <c r="O38" i="18"/>
  <c r="V288" i="12" s="1"/>
  <c r="O104" i="16"/>
  <c r="AY33" i="16"/>
  <c r="AA31" i="27"/>
  <c r="O196" i="23" s="1"/>
  <c r="AA15" i="27"/>
  <c r="Q42" i="16"/>
  <c r="R42" i="16" s="1"/>
  <c r="V496" i="22"/>
  <c r="U496" i="22" s="1"/>
  <c r="U472" i="22"/>
  <c r="AY17" i="28"/>
  <c r="AZ15" i="28"/>
  <c r="BB445" i="22"/>
  <c r="BA445" i="22"/>
  <c r="AZ445" i="22"/>
  <c r="W445" i="22"/>
  <c r="AY445" i="22"/>
  <c r="AX445" i="22"/>
  <c r="S449" i="9"/>
  <c r="T449" i="9" s="1"/>
  <c r="AN449" i="9"/>
  <c r="AF449" i="9" s="1"/>
  <c r="AG449" i="9" s="1"/>
  <c r="AH449" i="9" s="1"/>
  <c r="AK449" i="9" s="1"/>
  <c r="K22" i="16"/>
  <c r="K24" i="16"/>
  <c r="K19" i="16"/>
  <c r="K21" i="16"/>
  <c r="K18" i="16"/>
  <c r="K25" i="16"/>
  <c r="K17" i="16"/>
  <c r="K16" i="16"/>
  <c r="AT15" i="16" s="1"/>
  <c r="K26" i="16"/>
  <c r="K23" i="16"/>
  <c r="K20" i="16"/>
  <c r="AN48" i="8"/>
  <c r="AC67" i="16"/>
  <c r="AC115" i="16" s="1"/>
  <c r="U60" i="12"/>
  <c r="U62" i="12"/>
  <c r="U152" i="12" s="1"/>
  <c r="U57" i="12"/>
  <c r="U63" i="12"/>
  <c r="U215" i="12"/>
  <c r="U106" i="12"/>
  <c r="CC403" i="22"/>
  <c r="BB434" i="22"/>
  <c r="BA434" i="22"/>
  <c r="AZ434" i="22"/>
  <c r="W434" i="22"/>
  <c r="AY434" i="22"/>
  <c r="AX434" i="22"/>
  <c r="BD449" i="22"/>
  <c r="X449" i="22"/>
  <c r="Y449" i="22" s="1"/>
  <c r="AY190" i="23"/>
  <c r="AX190" i="23"/>
  <c r="BC190" i="23" s="1"/>
  <c r="P190" i="23"/>
  <c r="AU190" i="23"/>
  <c r="AW190" i="23"/>
  <c r="AV190" i="23"/>
  <c r="AJ203" i="12"/>
  <c r="S248" i="12"/>
  <c r="S240" i="12"/>
  <c r="S241" i="12" s="1"/>
  <c r="S245" i="12"/>
  <c r="AS16" i="16"/>
  <c r="T284" i="12"/>
  <c r="M35" i="19"/>
  <c r="AC112" i="16"/>
  <c r="AD64" i="16"/>
  <c r="AK73" i="12"/>
  <c r="AL73" i="12" s="1"/>
  <c r="AA9" i="12"/>
  <c r="CA407" i="22"/>
  <c r="AK53" i="8"/>
  <c r="BC421" i="22"/>
  <c r="AI70" i="12"/>
  <c r="S114" i="12"/>
  <c r="S214" i="12"/>
  <c r="AB26" i="27"/>
  <c r="O203" i="23" s="1"/>
  <c r="AB10" i="27"/>
  <c r="R37" i="16"/>
  <c r="X405" i="22"/>
  <c r="Y405" i="22" s="1"/>
  <c r="BD405" i="22"/>
  <c r="AH70" i="8"/>
  <c r="AI8" i="8"/>
  <c r="AH7" i="8"/>
  <c r="AH86" i="8" s="1"/>
  <c r="AH17" i="8"/>
  <c r="AH150" i="8" s="1"/>
  <c r="BD29" i="12"/>
  <c r="BD31" i="12"/>
  <c r="BD30" i="12"/>
  <c r="BD28" i="12"/>
  <c r="AX402" i="22"/>
  <c r="W402" i="22"/>
  <c r="BB402" i="22"/>
  <c r="CC402" i="22" s="1"/>
  <c r="AZ402" i="22"/>
  <c r="CA402" i="22" s="1"/>
  <c r="AY402" i="22"/>
  <c r="BZ402" i="22" s="1"/>
  <c r="BA402" i="22"/>
  <c r="CB402" i="22" s="1"/>
  <c r="AE103" i="12"/>
  <c r="R164" i="12"/>
  <c r="R169" i="12"/>
  <c r="R163" i="12"/>
  <c r="R170" i="12"/>
  <c r="R165" i="12"/>
  <c r="R171" i="12"/>
  <c r="R166" i="12"/>
  <c r="R172" i="12"/>
  <c r="R167" i="12"/>
  <c r="R162" i="12"/>
  <c r="R173" i="12" s="1"/>
  <c r="R168" i="12"/>
  <c r="AM45" i="8"/>
  <c r="AK26" i="32"/>
  <c r="Z23" i="27"/>
  <c r="O176" i="23" s="1"/>
  <c r="Z7" i="27"/>
  <c r="P34" i="16"/>
  <c r="AQ25" i="16"/>
  <c r="AQ26" i="16"/>
  <c r="AV42" i="16"/>
  <c r="AV41" i="16"/>
  <c r="AI71" i="12"/>
  <c r="T54" i="12"/>
  <c r="AA308" i="12"/>
  <c r="AA250" i="12"/>
  <c r="AX34" i="16"/>
  <c r="X24" i="12"/>
  <c r="AA28" i="27"/>
  <c r="O193" i="23" s="1"/>
  <c r="AA12" i="27"/>
  <c r="Q39" i="16"/>
  <c r="R39" i="16" s="1"/>
  <c r="BB453" i="22"/>
  <c r="AZ453" i="22"/>
  <c r="W453" i="22"/>
  <c r="AY453" i="22"/>
  <c r="AX453" i="22"/>
  <c r="BA453" i="22"/>
  <c r="AZ146" i="23"/>
  <c r="BA146" i="23" s="1"/>
  <c r="BB146" i="23"/>
  <c r="BB183" i="23"/>
  <c r="AZ183" i="23"/>
  <c r="BA183" i="23" s="1"/>
  <c r="CB391" i="22"/>
  <c r="P163" i="23"/>
  <c r="AY163" i="23"/>
  <c r="AX163" i="23"/>
  <c r="BC163" i="23" s="1"/>
  <c r="AV163" i="23"/>
  <c r="AW163" i="23"/>
  <c r="AU163" i="23"/>
  <c r="V463" i="22"/>
  <c r="U439" i="22"/>
  <c r="AA6" i="27"/>
  <c r="AA22" i="27"/>
  <c r="O187" i="23" s="1"/>
  <c r="X322" i="12"/>
  <c r="BD442" i="22"/>
  <c r="X442" i="22"/>
  <c r="Y442" i="22" s="1"/>
  <c r="BB166" i="23"/>
  <c r="AZ166" i="23"/>
  <c r="BA166" i="23" s="1"/>
  <c r="T55" i="12"/>
  <c r="T145" i="12" s="1"/>
  <c r="CB407" i="22"/>
  <c r="Y28" i="12"/>
  <c r="AP23" i="8"/>
  <c r="N102" i="16"/>
  <c r="N36" i="18"/>
  <c r="U286" i="12" s="1"/>
  <c r="V450" i="22"/>
  <c r="U426" i="22"/>
  <c r="AW47" i="28"/>
  <c r="AX45" i="28"/>
  <c r="AV75" i="28"/>
  <c r="AU4" i="28"/>
  <c r="AU5" i="28" s="1"/>
  <c r="AU7" i="28" s="1"/>
  <c r="O32" i="18"/>
  <c r="V282" i="12" s="1"/>
  <c r="O98" i="16"/>
  <c r="AY31" i="16"/>
  <c r="BY390" i="22"/>
  <c r="BC390" i="22"/>
  <c r="BD430" i="22"/>
  <c r="X430" i="22"/>
  <c r="Y430" i="22" s="1"/>
  <c r="BA428" i="22"/>
  <c r="AZ428" i="22"/>
  <c r="AX428" i="22"/>
  <c r="W428" i="22"/>
  <c r="AY428" i="22"/>
  <c r="BB428" i="22"/>
  <c r="Z9" i="12"/>
  <c r="AX460" i="22"/>
  <c r="W460" i="22"/>
  <c r="AZ460" i="22"/>
  <c r="BB460" i="22"/>
  <c r="BA460" i="22"/>
  <c r="AY460" i="22"/>
  <c r="AM48" i="8"/>
  <c r="AX156" i="23"/>
  <c r="BC156" i="23" s="1"/>
  <c r="AW156" i="23"/>
  <c r="AV156" i="23"/>
  <c r="P156" i="23"/>
  <c r="AY156" i="23"/>
  <c r="AU156" i="23"/>
  <c r="M107" i="16"/>
  <c r="M108" i="16" s="1"/>
  <c r="M42" i="19"/>
  <c r="M41" i="18"/>
  <c r="T291" i="12" s="1"/>
  <c r="AN459" i="9"/>
  <c r="AF459" i="9" s="1"/>
  <c r="AG459" i="9" s="1"/>
  <c r="AH459" i="9" s="1"/>
  <c r="AK459" i="9" s="1"/>
  <c r="S459" i="9"/>
  <c r="T459" i="9" s="1"/>
  <c r="M5" i="16"/>
  <c r="L28" i="16"/>
  <c r="L6" i="16"/>
  <c r="BB158" i="23"/>
  <c r="AZ158" i="23"/>
  <c r="BA158" i="23" s="1"/>
  <c r="AM14" i="32"/>
  <c r="AN37" i="8"/>
  <c r="AM25" i="32" s="1"/>
  <c r="R474" i="9" s="1"/>
  <c r="AM74" i="12"/>
  <c r="AO10" i="28"/>
  <c r="AO12" i="28" s="1"/>
  <c r="U16" i="12"/>
  <c r="U18" i="12"/>
  <c r="U17" i="12" s="1"/>
  <c r="AC116" i="16"/>
  <c r="AE68" i="16"/>
  <c r="AE116" i="16" s="1"/>
  <c r="AD68" i="16"/>
  <c r="AI202" i="12"/>
  <c r="AW27" i="28"/>
  <c r="AV29" i="28"/>
  <c r="Y312" i="12"/>
  <c r="BZ403" i="22"/>
  <c r="AY221" i="22"/>
  <c r="BZ221" i="22" s="1"/>
  <c r="AW38" i="16"/>
  <c r="AW40" i="16"/>
  <c r="AW39" i="16"/>
  <c r="AW37" i="16"/>
  <c r="AF90" i="8"/>
  <c r="AF91" i="8" s="1"/>
  <c r="AF92" i="8" s="1"/>
  <c r="AF93" i="8" s="1"/>
  <c r="AF94" i="8" s="1"/>
  <c r="AF95" i="8" s="1"/>
  <c r="AF96" i="8" s="1"/>
  <c r="AF97" i="8" s="1"/>
  <c r="AF98" i="8" s="1"/>
  <c r="AF99" i="8" s="1"/>
  <c r="AF100" i="8" s="1"/>
  <c r="AF101" i="8" s="1"/>
  <c r="AG90" i="8" s="1"/>
  <c r="AG91" i="8" s="1"/>
  <c r="AG92" i="8" s="1"/>
  <c r="AG93" i="8" s="1"/>
  <c r="AG94" i="8" s="1"/>
  <c r="AG95" i="8" s="1"/>
  <c r="AG96" i="8" s="1"/>
  <c r="AG97" i="8" s="1"/>
  <c r="AG98" i="8" s="1"/>
  <c r="AG99" i="8" s="1"/>
  <c r="AG100" i="8" s="1"/>
  <c r="AG81" i="12"/>
  <c r="AM195" i="12"/>
  <c r="AL136" i="12"/>
  <c r="AM46" i="12"/>
  <c r="AM136" i="12" s="1"/>
  <c r="S147" i="12"/>
  <c r="BB54" i="12"/>
  <c r="AG66" i="8"/>
  <c r="AG61" i="8"/>
  <c r="AG68" i="8"/>
  <c r="AG63" i="8"/>
  <c r="AG58" i="8"/>
  <c r="AG64" i="8"/>
  <c r="AG60" i="8"/>
  <c r="AG67" i="8"/>
  <c r="AG59" i="8"/>
  <c r="AG62" i="8"/>
  <c r="AG65" i="8"/>
  <c r="AG69" i="8"/>
  <c r="AA216" i="12"/>
  <c r="BZ407" i="22"/>
  <c r="Q40" i="16"/>
  <c r="R40" i="16" s="1"/>
  <c r="AM80" i="12"/>
  <c r="AJ78" i="12"/>
  <c r="AC108" i="12"/>
  <c r="AC213" i="12"/>
  <c r="AK204" i="12"/>
  <c r="X306" i="12"/>
  <c r="AB25" i="27"/>
  <c r="O202" i="23" s="1"/>
  <c r="AB9" i="27"/>
  <c r="R36" i="16"/>
  <c r="AA118" i="16"/>
  <c r="AB70" i="16"/>
  <c r="N31" i="19"/>
  <c r="S65" i="12"/>
  <c r="S155" i="12" s="1"/>
  <c r="O33" i="18"/>
  <c r="V283" i="12" s="1"/>
  <c r="O99" i="16"/>
  <c r="P35" i="16"/>
  <c r="AS18" i="16"/>
  <c r="BY398" i="22"/>
  <c r="BC398" i="22"/>
  <c r="U323" i="12"/>
  <c r="M34" i="19"/>
  <c r="V33" i="12"/>
  <c r="Z13" i="12"/>
  <c r="Z83" i="12"/>
  <c r="T214" i="12"/>
  <c r="T114" i="12"/>
  <c r="BB144" i="23"/>
  <c r="AZ144" i="23"/>
  <c r="BA144" i="23" s="1"/>
  <c r="V452" i="22"/>
  <c r="Z30" i="12"/>
  <c r="Z320" i="12" s="1"/>
  <c r="Z32" i="12"/>
  <c r="AB322" i="12" s="1"/>
  <c r="Z22" i="12"/>
  <c r="Z27" i="12"/>
  <c r="Z31" i="12"/>
  <c r="Z26" i="12"/>
  <c r="Z29" i="12"/>
  <c r="AA29" i="12" s="1"/>
  <c r="Z25" i="12"/>
  <c r="Z23" i="12"/>
  <c r="AX419" i="22"/>
  <c r="W419" i="22"/>
  <c r="BB419" i="22"/>
  <c r="BA419" i="22"/>
  <c r="AZ419" i="22"/>
  <c r="AY419" i="22"/>
  <c r="CA408" i="22"/>
  <c r="AA244" i="12"/>
  <c r="O30" i="18"/>
  <c r="V484" i="22"/>
  <c r="BB220" i="22"/>
  <c r="CC220" i="22" s="1"/>
  <c r="AK133" i="12" l="1"/>
  <c r="AK49" i="12"/>
  <c r="AK139" i="12" s="1"/>
  <c r="R104" i="16"/>
  <c r="AC27" i="27"/>
  <c r="O216" i="23" s="1"/>
  <c r="AC11" i="27"/>
  <c r="S102" i="16"/>
  <c r="AA28" i="12"/>
  <c r="AB318" i="12"/>
  <c r="AP161" i="8"/>
  <c r="AQ161" i="8" s="1"/>
  <c r="V491" i="22"/>
  <c r="U491" i="22" s="1"/>
  <c r="U467" i="22"/>
  <c r="AP48" i="8"/>
  <c r="AQ48" i="8" s="1"/>
  <c r="T251" i="12"/>
  <c r="T254" i="12"/>
  <c r="W285" i="12"/>
  <c r="Q35" i="18"/>
  <c r="P36" i="19"/>
  <c r="AP14" i="32"/>
  <c r="R103" i="16"/>
  <c r="AM129" i="12"/>
  <c r="AD12" i="27"/>
  <c r="AD28" i="27"/>
  <c r="O229" i="23" s="1"/>
  <c r="T103" i="16"/>
  <c r="AA319" i="12"/>
  <c r="AB29" i="12"/>
  <c r="AC29" i="12" s="1"/>
  <c r="AE26" i="27"/>
  <c r="O239" i="23" s="1"/>
  <c r="AE10" i="27"/>
  <c r="U101" i="16"/>
  <c r="V284" i="12"/>
  <c r="O35" i="19"/>
  <c r="AR9" i="28"/>
  <c r="X156" i="12"/>
  <c r="X107" i="12"/>
  <c r="X66" i="12"/>
  <c r="X7" i="12"/>
  <c r="R106" i="16"/>
  <c r="AL76" i="12"/>
  <c r="AE31" i="27"/>
  <c r="O244" i="23" s="1"/>
  <c r="AE15" i="27"/>
  <c r="U106" i="16"/>
  <c r="U450" i="22"/>
  <c r="AZ191" i="23"/>
  <c r="BA191" i="23" s="1"/>
  <c r="BB191" i="23"/>
  <c r="AY207" i="23"/>
  <c r="AX207" i="23"/>
  <c r="AW207" i="23"/>
  <c r="AV207" i="23"/>
  <c r="AU207" i="23"/>
  <c r="P207" i="23"/>
  <c r="BC416" i="22"/>
  <c r="AM72" i="12"/>
  <c r="S451" i="9"/>
  <c r="T451" i="9" s="1"/>
  <c r="AN451" i="9"/>
  <c r="AF451" i="9" s="1"/>
  <c r="AG451" i="9" s="1"/>
  <c r="AH451" i="9" s="1"/>
  <c r="AK451" i="9" s="1"/>
  <c r="P89" i="12"/>
  <c r="P90" i="12" s="1"/>
  <c r="P91" i="12" s="1"/>
  <c r="AX86" i="12"/>
  <c r="BB446" i="22"/>
  <c r="BA446" i="22"/>
  <c r="AY446" i="22"/>
  <c r="AX446" i="22"/>
  <c r="AZ446" i="22"/>
  <c r="W446" i="22"/>
  <c r="AL26" i="32"/>
  <c r="AC22" i="27"/>
  <c r="O211" i="23" s="1"/>
  <c r="AC6" i="27"/>
  <c r="S97" i="16"/>
  <c r="AC8" i="27"/>
  <c r="AC24" i="27"/>
  <c r="O213" i="23" s="1"/>
  <c r="S99" i="16"/>
  <c r="P32" i="18"/>
  <c r="W282" i="12" s="1"/>
  <c r="P33" i="19"/>
  <c r="AZ31" i="16"/>
  <c r="P98" i="16"/>
  <c r="X318" i="12"/>
  <c r="AZ219" i="22"/>
  <c r="CA219" i="22" s="1"/>
  <c r="BE29" i="12"/>
  <c r="BE31" i="12"/>
  <c r="BE28" i="12"/>
  <c r="BE30" i="12"/>
  <c r="BD466" i="22"/>
  <c r="X466" i="22"/>
  <c r="Y466" i="22" s="1"/>
  <c r="AN504" i="9"/>
  <c r="AF504" i="9" s="1"/>
  <c r="AG504" i="9" s="1"/>
  <c r="AH504" i="9" s="1"/>
  <c r="AK504" i="9" s="1"/>
  <c r="S504" i="9"/>
  <c r="T504" i="9" s="1"/>
  <c r="S254" i="12"/>
  <c r="S251" i="12"/>
  <c r="AC26" i="27"/>
  <c r="O215" i="23" s="1"/>
  <c r="AC10" i="27"/>
  <c r="S101" i="16"/>
  <c r="O34" i="19"/>
  <c r="L21" i="16"/>
  <c r="L18" i="16"/>
  <c r="L17" i="16"/>
  <c r="L22" i="16"/>
  <c r="L25" i="16"/>
  <c r="L19" i="16"/>
  <c r="L20" i="16"/>
  <c r="L16" i="16"/>
  <c r="AU15" i="16" s="1"/>
  <c r="L24" i="16"/>
  <c r="L26" i="16"/>
  <c r="L23" i="16"/>
  <c r="AA317" i="12"/>
  <c r="X390" i="22"/>
  <c r="Y390" i="22" s="1"/>
  <c r="BD390" i="22"/>
  <c r="AM53" i="8"/>
  <c r="U61" i="12"/>
  <c r="U151" i="12" s="1"/>
  <c r="S480" i="9"/>
  <c r="T480" i="9" s="1"/>
  <c r="AN480" i="9"/>
  <c r="AF480" i="9" s="1"/>
  <c r="AG480" i="9" s="1"/>
  <c r="AH480" i="9" s="1"/>
  <c r="AK480" i="9" s="1"/>
  <c r="BD417" i="22"/>
  <c r="X417" i="22"/>
  <c r="Y417" i="22" s="1"/>
  <c r="BD432" i="22"/>
  <c r="X432" i="22"/>
  <c r="Y432" i="22" s="1"/>
  <c r="Z317" i="12"/>
  <c r="X490" i="22"/>
  <c r="Y490" i="22" s="1"/>
  <c r="BD490" i="22"/>
  <c r="AY168" i="23"/>
  <c r="AX168" i="23"/>
  <c r="BC168" i="23" s="1"/>
  <c r="AW168" i="23"/>
  <c r="AU168" i="23"/>
  <c r="AV168" i="23"/>
  <c r="P168" i="23"/>
  <c r="Y74" i="16"/>
  <c r="BD473" i="22"/>
  <c r="X473" i="22"/>
  <c r="Y473" i="22" s="1"/>
  <c r="AC27" i="12"/>
  <c r="AC32" i="12"/>
  <c r="AW6" i="28"/>
  <c r="N37" i="19"/>
  <c r="X280" i="12"/>
  <c r="W465" i="22"/>
  <c r="BA465" i="22"/>
  <c r="AZ465" i="22"/>
  <c r="AY465" i="22"/>
  <c r="BB465" i="22"/>
  <c r="AX465" i="22"/>
  <c r="AZ471" i="22"/>
  <c r="AY471" i="22"/>
  <c r="W471" i="22"/>
  <c r="BA471" i="22"/>
  <c r="BB471" i="22"/>
  <c r="AX471" i="22"/>
  <c r="BC471" i="22" s="1"/>
  <c r="W451" i="22"/>
  <c r="BB451" i="22"/>
  <c r="BA451" i="22"/>
  <c r="AZ451" i="22"/>
  <c r="AY451" i="22"/>
  <c r="AX451" i="22"/>
  <c r="BC451" i="22" s="1"/>
  <c r="P97" i="16"/>
  <c r="P31" i="18"/>
  <c r="W281" i="12" s="1"/>
  <c r="BB469" i="22"/>
  <c r="BA469" i="22"/>
  <c r="AX469" i="22"/>
  <c r="W469" i="22"/>
  <c r="AZ469" i="22"/>
  <c r="AY469" i="22"/>
  <c r="T248" i="12"/>
  <c r="T240" i="12"/>
  <c r="T241" i="12" s="1"/>
  <c r="T245" i="12"/>
  <c r="AC5" i="27"/>
  <c r="AC21" i="27"/>
  <c r="S96" i="16"/>
  <c r="M28" i="16"/>
  <c r="M6" i="16"/>
  <c r="N5" i="16"/>
  <c r="AA322" i="12"/>
  <c r="AB30" i="12"/>
  <c r="AB320" i="12" s="1"/>
  <c r="AL203" i="12"/>
  <c r="U64" i="12"/>
  <c r="U154" i="12" s="1"/>
  <c r="AT16" i="16"/>
  <c r="I62" i="13"/>
  <c r="H10" i="13"/>
  <c r="I78" i="13"/>
  <c r="I79" i="13" s="1"/>
  <c r="BC422" i="22"/>
  <c r="P174" i="23"/>
  <c r="AY174" i="23"/>
  <c r="AX174" i="23"/>
  <c r="AW174" i="23"/>
  <c r="AV174" i="23"/>
  <c r="AU174" i="23"/>
  <c r="AK203" i="12"/>
  <c r="BB457" i="22"/>
  <c r="AZ457" i="22"/>
  <c r="W457" i="22"/>
  <c r="BA457" i="22"/>
  <c r="AY457" i="22"/>
  <c r="AX457" i="22"/>
  <c r="BC457" i="22" s="1"/>
  <c r="AC72" i="16"/>
  <c r="AC120" i="16" s="1"/>
  <c r="X33" i="27"/>
  <c r="X35" i="27" s="1"/>
  <c r="BC162" i="23"/>
  <c r="AZ477" i="22"/>
  <c r="W477" i="22"/>
  <c r="AY477" i="22"/>
  <c r="BB477" i="22"/>
  <c r="BA477" i="22"/>
  <c r="AX477" i="22"/>
  <c r="AA306" i="12"/>
  <c r="AA303" i="12"/>
  <c r="AA302" i="12"/>
  <c r="AA301" i="12"/>
  <c r="AA297" i="12"/>
  <c r="S461" i="9"/>
  <c r="T461" i="9" s="1"/>
  <c r="AN461" i="9"/>
  <c r="AF461" i="9" s="1"/>
  <c r="AG461" i="9" s="1"/>
  <c r="AH461" i="9" s="1"/>
  <c r="AK461" i="9" s="1"/>
  <c r="AL202" i="12"/>
  <c r="BC419" i="22"/>
  <c r="S495" i="9"/>
  <c r="T495" i="9" s="1"/>
  <c r="AN495" i="9"/>
  <c r="AF495" i="9" s="1"/>
  <c r="AG495" i="9" s="1"/>
  <c r="AH495" i="9" s="1"/>
  <c r="AK495" i="9" s="1"/>
  <c r="U214" i="12"/>
  <c r="U114" i="12"/>
  <c r="AM26" i="32"/>
  <c r="R463" i="9"/>
  <c r="BD429" i="22"/>
  <c r="X429" i="22"/>
  <c r="Y429" i="22" s="1"/>
  <c r="BC460" i="22"/>
  <c r="X403" i="22"/>
  <c r="Y403" i="22" s="1"/>
  <c r="BD403" i="22"/>
  <c r="K80" i="16"/>
  <c r="K81" i="16" s="1"/>
  <c r="K82" i="16" s="1"/>
  <c r="K83" i="16" s="1"/>
  <c r="K84" i="16" s="1"/>
  <c r="K85" i="16" s="1"/>
  <c r="K86" i="16" s="1"/>
  <c r="K87" i="16" s="1"/>
  <c r="K88" i="16" s="1"/>
  <c r="K89" i="16" s="1"/>
  <c r="K90" i="16" s="1"/>
  <c r="AO48" i="8"/>
  <c r="O33" i="19"/>
  <c r="BE26" i="12"/>
  <c r="U147" i="12"/>
  <c r="H74" i="13"/>
  <c r="V505" i="22"/>
  <c r="U505" i="22" s="1"/>
  <c r="U481" i="22"/>
  <c r="Z322" i="12"/>
  <c r="N42" i="19"/>
  <c r="N107" i="16"/>
  <c r="N108" i="16" s="1"/>
  <c r="N41" i="18"/>
  <c r="U291" i="12" s="1"/>
  <c r="N44" i="16"/>
  <c r="N7" i="16" s="1"/>
  <c r="AR25" i="16"/>
  <c r="AR26" i="16"/>
  <c r="BC194" i="23"/>
  <c r="AY222" i="22"/>
  <c r="BZ222" i="22" s="1"/>
  <c r="V501" i="22"/>
  <c r="U501" i="22" s="1"/>
  <c r="AW205" i="23"/>
  <c r="AV205" i="23"/>
  <c r="AY205" i="23"/>
  <c r="AX205" i="23"/>
  <c r="BC205" i="23" s="1"/>
  <c r="AU205" i="23"/>
  <c r="P205" i="23"/>
  <c r="P203" i="23"/>
  <c r="AY203" i="23"/>
  <c r="AX203" i="23"/>
  <c r="AW203" i="23"/>
  <c r="AV203" i="23"/>
  <c r="AU203" i="23"/>
  <c r="AC9" i="12"/>
  <c r="AM77" i="12"/>
  <c r="AO11" i="28"/>
  <c r="U174" i="12"/>
  <c r="AD31" i="27"/>
  <c r="O232" i="23" s="1"/>
  <c r="AD15" i="27"/>
  <c r="T106" i="16"/>
  <c r="U480" i="22"/>
  <c r="AZ472" i="22"/>
  <c r="W472" i="22"/>
  <c r="AX472" i="22"/>
  <c r="BB472" i="22"/>
  <c r="BA472" i="22"/>
  <c r="AY472" i="22"/>
  <c r="X206" i="22"/>
  <c r="Y206" i="22" s="1"/>
  <c r="BD206" i="22"/>
  <c r="AX496" i="22"/>
  <c r="W496" i="22"/>
  <c r="BB496" i="22"/>
  <c r="BA496" i="22"/>
  <c r="AZ496" i="22"/>
  <c r="AY496" i="22"/>
  <c r="X407" i="22"/>
  <c r="Y407" i="22" s="1"/>
  <c r="BD407" i="22"/>
  <c r="AG101" i="8"/>
  <c r="O32" i="19"/>
  <c r="AZ438" i="22"/>
  <c r="AY438" i="22"/>
  <c r="W438" i="22"/>
  <c r="BB438" i="22"/>
  <c r="BA438" i="22"/>
  <c r="AX438" i="22"/>
  <c r="BC438" i="22" s="1"/>
  <c r="AH103" i="12"/>
  <c r="BY402" i="22"/>
  <c r="BC402" i="22"/>
  <c r="AD67" i="16"/>
  <c r="AD115" i="16" s="1"/>
  <c r="BC453" i="22"/>
  <c r="AC15" i="27"/>
  <c r="AC31" i="27"/>
  <c r="O220" i="23" s="1"/>
  <c r="S106" i="16"/>
  <c r="AB118" i="16"/>
  <c r="AE70" i="16"/>
  <c r="AE118" i="16" s="1"/>
  <c r="AD70" i="16"/>
  <c r="AD118" i="16" s="1"/>
  <c r="Q33" i="16"/>
  <c r="AH146" i="8"/>
  <c r="AH141" i="8"/>
  <c r="AH148" i="8"/>
  <c r="AH143" i="8"/>
  <c r="AH138" i="8"/>
  <c r="AH145" i="8"/>
  <c r="AH147" i="8"/>
  <c r="AH142" i="8"/>
  <c r="AH140" i="8"/>
  <c r="AH144" i="8"/>
  <c r="AH139" i="8"/>
  <c r="AT17" i="16"/>
  <c r="BB443" i="22"/>
  <c r="AZ443" i="22"/>
  <c r="AY443" i="22"/>
  <c r="W443" i="22"/>
  <c r="BA443" i="22"/>
  <c r="AX443" i="22"/>
  <c r="BC443" i="22" s="1"/>
  <c r="BD485" i="22"/>
  <c r="X485" i="22"/>
  <c r="Y485" i="22" s="1"/>
  <c r="AA23" i="12"/>
  <c r="Z319" i="12"/>
  <c r="AS23" i="16"/>
  <c r="AS24" i="16"/>
  <c r="AS22" i="16"/>
  <c r="AS21" i="16"/>
  <c r="AW161" i="23"/>
  <c r="AV161" i="23"/>
  <c r="AU161" i="23"/>
  <c r="P161" i="23"/>
  <c r="AY161" i="23"/>
  <c r="AX161" i="23"/>
  <c r="AQ163" i="8"/>
  <c r="T172" i="12"/>
  <c r="T167" i="12"/>
  <c r="T162" i="12"/>
  <c r="BC55" i="12"/>
  <c r="BB181" i="23"/>
  <c r="AZ181" i="23"/>
  <c r="BA181" i="23" s="1"/>
  <c r="X497" i="22"/>
  <c r="Y497" i="22" s="1"/>
  <c r="BD497" i="22"/>
  <c r="AZ17" i="28"/>
  <c r="BA15" i="28"/>
  <c r="BB440" i="22"/>
  <c r="BA440" i="22"/>
  <c r="AY440" i="22"/>
  <c r="AX440" i="22"/>
  <c r="AZ440" i="22"/>
  <c r="W440" i="22"/>
  <c r="AS26" i="16"/>
  <c r="AS25" i="16"/>
  <c r="AD112" i="16"/>
  <c r="Z42" i="13"/>
  <c r="AA6" i="13"/>
  <c r="BC427" i="22"/>
  <c r="BC428" i="22"/>
  <c r="Q40" i="18"/>
  <c r="X290" i="12" s="1"/>
  <c r="Q106" i="16"/>
  <c r="Q41" i="19"/>
  <c r="AQ160" i="8"/>
  <c r="V499" i="22"/>
  <c r="U499" i="22" s="1"/>
  <c r="U475" i="22"/>
  <c r="AZ184" i="23"/>
  <c r="BA184" i="23" s="1"/>
  <c r="BB184" i="23"/>
  <c r="P208" i="23"/>
  <c r="AW208" i="23"/>
  <c r="AY208" i="23"/>
  <c r="AU208" i="23"/>
  <c r="AX208" i="23"/>
  <c r="AV208" i="23"/>
  <c r="U58" i="12"/>
  <c r="U148" i="12" s="1"/>
  <c r="AY40" i="16"/>
  <c r="AY39" i="16"/>
  <c r="AC29" i="27"/>
  <c r="O218" i="23" s="1"/>
  <c r="AC13" i="27"/>
  <c r="S104" i="16"/>
  <c r="AF70" i="16"/>
  <c r="AF118" i="16" s="1"/>
  <c r="AX187" i="23"/>
  <c r="BC187" i="23" s="1"/>
  <c r="AW187" i="23"/>
  <c r="AV187" i="23"/>
  <c r="P187" i="23"/>
  <c r="AU187" i="23"/>
  <c r="AY187" i="23"/>
  <c r="AP160" i="8"/>
  <c r="AH80" i="8"/>
  <c r="AH75" i="8"/>
  <c r="AH82" i="8"/>
  <c r="AH77" i="8"/>
  <c r="AH81" i="8"/>
  <c r="AH74" i="8"/>
  <c r="AH85" i="8" s="1"/>
  <c r="AH78" i="8"/>
  <c r="AH83" i="8"/>
  <c r="AH79" i="8"/>
  <c r="AH84" i="8"/>
  <c r="AH76" i="8"/>
  <c r="AI81" i="12"/>
  <c r="AK70" i="12"/>
  <c r="BB190" i="23"/>
  <c r="AZ190" i="23"/>
  <c r="BA190" i="23" s="1"/>
  <c r="U59" i="12"/>
  <c r="U149" i="12" s="1"/>
  <c r="K27" i="16"/>
  <c r="AT18" i="16" s="1"/>
  <c r="AA22" i="12"/>
  <c r="Z318" i="12"/>
  <c r="AN462" i="9"/>
  <c r="AF462" i="9" s="1"/>
  <c r="AG462" i="9" s="1"/>
  <c r="AH462" i="9" s="1"/>
  <c r="AK462" i="9" s="1"/>
  <c r="S462" i="9"/>
  <c r="T462" i="9" s="1"/>
  <c r="P37" i="18"/>
  <c r="AL201" i="12"/>
  <c r="AL129" i="12"/>
  <c r="AO161" i="8"/>
  <c r="BC447" i="22"/>
  <c r="BB194" i="23"/>
  <c r="AZ194" i="23"/>
  <c r="BA194" i="23" s="1"/>
  <c r="BD454" i="22"/>
  <c r="X454" i="22"/>
  <c r="Y454" i="22" s="1"/>
  <c r="BB456" i="22"/>
  <c r="BA456" i="22"/>
  <c r="AZ456" i="22"/>
  <c r="W456" i="22"/>
  <c r="AY456" i="22"/>
  <c r="AX456" i="22"/>
  <c r="BC456" i="22" s="1"/>
  <c r="AX207" i="22"/>
  <c r="U464" i="22"/>
  <c r="BB182" i="23"/>
  <c r="AZ182" i="23"/>
  <c r="BA182" i="23" s="1"/>
  <c r="AD222" i="12"/>
  <c r="AD224" i="12"/>
  <c r="AD324" i="12" s="1"/>
  <c r="AD221" i="12"/>
  <c r="AD223" i="12"/>
  <c r="BB489" i="22"/>
  <c r="BA489" i="22"/>
  <c r="AZ489" i="22"/>
  <c r="W489" i="22"/>
  <c r="AY489" i="22"/>
  <c r="AX489" i="22"/>
  <c r="BC489" i="22" s="1"/>
  <c r="AZ195" i="23"/>
  <c r="BA195" i="23" s="1"/>
  <c r="BB195" i="23"/>
  <c r="AZ175" i="23"/>
  <c r="BA175" i="23" s="1"/>
  <c r="BB175" i="23"/>
  <c r="AU176" i="23"/>
  <c r="AY176" i="23"/>
  <c r="AX176" i="23"/>
  <c r="AW176" i="23"/>
  <c r="AV176" i="23"/>
  <c r="P176" i="23"/>
  <c r="AC14" i="27"/>
  <c r="AC30" i="27"/>
  <c r="O219" i="23" s="1"/>
  <c r="S105" i="16"/>
  <c r="Q103" i="16"/>
  <c r="Q37" i="18"/>
  <c r="X287" i="12" s="1"/>
  <c r="Q38" i="19"/>
  <c r="AI70" i="8"/>
  <c r="AJ8" i="8"/>
  <c r="AI17" i="8"/>
  <c r="AI150" i="8" s="1"/>
  <c r="AI7" i="8"/>
  <c r="AI86" i="8" s="1"/>
  <c r="BD421" i="22"/>
  <c r="X421" i="22"/>
  <c r="Y421" i="22" s="1"/>
  <c r="Z11" i="27"/>
  <c r="Z27" i="27"/>
  <c r="O180" i="23" s="1"/>
  <c r="P38" i="16"/>
  <c r="BF24" i="12"/>
  <c r="Y318" i="12"/>
  <c r="W33" i="12"/>
  <c r="AM181" i="12"/>
  <c r="AK189" i="12"/>
  <c r="AP10" i="28"/>
  <c r="AP12" i="28" s="1"/>
  <c r="V18" i="12"/>
  <c r="V16" i="12"/>
  <c r="AA30" i="12"/>
  <c r="BC433" i="22"/>
  <c r="AZ164" i="23"/>
  <c r="BA164" i="23" s="1"/>
  <c r="BB164" i="23"/>
  <c r="Z321" i="12"/>
  <c r="AC244" i="12"/>
  <c r="BB169" i="23"/>
  <c r="AZ169" i="23"/>
  <c r="BA169" i="23" s="1"/>
  <c r="AF211" i="12"/>
  <c r="AF225" i="12"/>
  <c r="AF4" i="12"/>
  <c r="AF105" i="12"/>
  <c r="X33" i="12"/>
  <c r="AZ431" i="22"/>
  <c r="W431" i="22"/>
  <c r="AY431" i="22"/>
  <c r="AX431" i="22"/>
  <c r="BA431" i="22"/>
  <c r="BB431" i="22"/>
  <c r="Z12" i="12"/>
  <c r="BB57" i="12"/>
  <c r="T144" i="12"/>
  <c r="T65" i="12"/>
  <c r="T155" i="12" s="1"/>
  <c r="AM73" i="12"/>
  <c r="AB12" i="12"/>
  <c r="X396" i="22"/>
  <c r="Y396" i="22" s="1"/>
  <c r="BD396" i="22"/>
  <c r="AC216" i="12"/>
  <c r="BC441" i="22"/>
  <c r="BC420" i="22"/>
  <c r="AY21" i="28"/>
  <c r="AX23" i="28"/>
  <c r="AK78" i="12"/>
  <c r="AJ133" i="12"/>
  <c r="AL43" i="12"/>
  <c r="AL133" i="12" s="1"/>
  <c r="AM43" i="12"/>
  <c r="AM133" i="12" s="1"/>
  <c r="AJ49" i="12"/>
  <c r="AJ139" i="12" s="1"/>
  <c r="Y38" i="13"/>
  <c r="Y37" i="13"/>
  <c r="Y31" i="13"/>
  <c r="Y40" i="13"/>
  <c r="Y39" i="13"/>
  <c r="Y36" i="13"/>
  <c r="Y35" i="13"/>
  <c r="Y34" i="13"/>
  <c r="Y33" i="13"/>
  <c r="Y32" i="13"/>
  <c r="Y41" i="13"/>
  <c r="Y30" i="13"/>
  <c r="AB11" i="27"/>
  <c r="AB27" i="27"/>
  <c r="O204" i="23" s="1"/>
  <c r="V507" i="22"/>
  <c r="U507" i="22" s="1"/>
  <c r="U483" i="22"/>
  <c r="AN22" i="32"/>
  <c r="R483" i="9" s="1"/>
  <c r="AQ34" i="8"/>
  <c r="AP22" i="32" s="1"/>
  <c r="R507" i="9" s="1"/>
  <c r="AK75" i="12"/>
  <c r="U470" i="22"/>
  <c r="AP22" i="8"/>
  <c r="AQ22" i="8" s="1"/>
  <c r="BB162" i="23"/>
  <c r="AZ162" i="23"/>
  <c r="BA162" i="23" s="1"/>
  <c r="AL187" i="12"/>
  <c r="AL189" i="12" s="1"/>
  <c r="U153" i="12"/>
  <c r="V508" i="22"/>
  <c r="U508" i="22" s="1"/>
  <c r="U484" i="22"/>
  <c r="V476" i="22"/>
  <c r="V488" i="22" s="1"/>
  <c r="U488" i="22" s="1"/>
  <c r="U452" i="22"/>
  <c r="R100" i="16"/>
  <c r="AA13" i="12"/>
  <c r="AA83" i="12"/>
  <c r="AX439" i="22"/>
  <c r="W439" i="22"/>
  <c r="BB439" i="22"/>
  <c r="AY439" i="22"/>
  <c r="BA439" i="22"/>
  <c r="AZ439" i="22"/>
  <c r="AH66" i="8"/>
  <c r="AH61" i="8"/>
  <c r="AH68" i="8"/>
  <c r="AH63" i="8"/>
  <c r="AH58" i="8"/>
  <c r="AH69" i="8" s="1"/>
  <c r="AH64" i="8"/>
  <c r="AH60" i="8"/>
  <c r="AH67" i="8"/>
  <c r="AH59" i="8"/>
  <c r="AH62" i="8"/>
  <c r="AH65" i="8"/>
  <c r="U54" i="12"/>
  <c r="BA207" i="22"/>
  <c r="AQ9" i="28"/>
  <c r="W156" i="12"/>
  <c r="W107" i="12"/>
  <c r="W66" i="12"/>
  <c r="W7" i="12"/>
  <c r="Y8" i="12"/>
  <c r="AA25" i="12"/>
  <c r="BB62" i="12"/>
  <c r="BB61" i="12"/>
  <c r="BB63" i="12"/>
  <c r="BB60" i="12"/>
  <c r="Z313" i="12"/>
  <c r="AC250" i="12"/>
  <c r="AC308" i="12"/>
  <c r="V479" i="22"/>
  <c r="U455" i="22"/>
  <c r="W302" i="12"/>
  <c r="BC54" i="12"/>
  <c r="Y32" i="27"/>
  <c r="Y16" i="27"/>
  <c r="Y17" i="27" s="1"/>
  <c r="O43" i="16"/>
  <c r="X323" i="12"/>
  <c r="BE25" i="12"/>
  <c r="V323" i="12"/>
  <c r="X307" i="12"/>
  <c r="AE105" i="12"/>
  <c r="AE211" i="12"/>
  <c r="AE225" i="12"/>
  <c r="AE4" i="12"/>
  <c r="AX8" i="28"/>
  <c r="AD34" i="12"/>
  <c r="AD6" i="12"/>
  <c r="BD398" i="22"/>
  <c r="X398" i="22"/>
  <c r="Y398" i="22" s="1"/>
  <c r="AN474" i="9"/>
  <c r="AF474" i="9" s="1"/>
  <c r="AG474" i="9" s="1"/>
  <c r="AH474" i="9" s="1"/>
  <c r="AK474" i="9" s="1"/>
  <c r="S474" i="9"/>
  <c r="T474" i="9" s="1"/>
  <c r="AD213" i="12"/>
  <c r="AD108" i="12"/>
  <c r="AD117" i="16"/>
  <c r="AE69" i="16"/>
  <c r="AE117" i="16" s="1"/>
  <c r="AX493" i="22"/>
  <c r="BB493" i="22"/>
  <c r="BA493" i="22"/>
  <c r="AZ493" i="22"/>
  <c r="AY493" i="22"/>
  <c r="W493" i="22"/>
  <c r="P33" i="18"/>
  <c r="W283" i="12" s="1"/>
  <c r="P99" i="16"/>
  <c r="Q35" i="16"/>
  <c r="R35" i="16" s="1"/>
  <c r="BD404" i="22"/>
  <c r="X404" i="22"/>
  <c r="Y404" i="22" s="1"/>
  <c r="BA65" i="12"/>
  <c r="BA64" i="12"/>
  <c r="AE64" i="16"/>
  <c r="AF64" i="16" s="1"/>
  <c r="AB28" i="12"/>
  <c r="V280" i="12"/>
  <c r="O31" i="19"/>
  <c r="AW29" i="28"/>
  <c r="AX27" i="28"/>
  <c r="BB156" i="23"/>
  <c r="AZ156" i="23"/>
  <c r="BA156" i="23" s="1"/>
  <c r="AW75" i="28"/>
  <c r="AV4" i="28"/>
  <c r="AV5" i="28" s="1"/>
  <c r="AV7" i="28" s="1"/>
  <c r="V487" i="22"/>
  <c r="U487" i="22" s="1"/>
  <c r="U463" i="22"/>
  <c r="AW193" i="23"/>
  <c r="AV193" i="23"/>
  <c r="AU193" i="23"/>
  <c r="AY193" i="23"/>
  <c r="AX193" i="23"/>
  <c r="BC193" i="23" s="1"/>
  <c r="P193" i="23"/>
  <c r="AO45" i="8"/>
  <c r="AP45" i="8" s="1"/>
  <c r="AP53" i="8" s="1"/>
  <c r="U55" i="12"/>
  <c r="U145" i="12" s="1"/>
  <c r="BC445" i="22"/>
  <c r="BC164" i="23"/>
  <c r="AK76" i="12"/>
  <c r="AZ444" i="22"/>
  <c r="W444" i="22"/>
  <c r="AY444" i="22"/>
  <c r="BA444" i="22"/>
  <c r="BB444" i="22"/>
  <c r="AX444" i="22"/>
  <c r="BC444" i="22" s="1"/>
  <c r="AC317" i="12"/>
  <c r="AC322" i="12"/>
  <c r="AV206" i="23"/>
  <c r="AU206" i="23"/>
  <c r="P206" i="23"/>
  <c r="AX206" i="23"/>
  <c r="BC206" i="23" s="1"/>
  <c r="AY206" i="23"/>
  <c r="AW206" i="23"/>
  <c r="AF67" i="16"/>
  <c r="AF115" i="16" s="1"/>
  <c r="AZ40" i="16"/>
  <c r="AZ39" i="16"/>
  <c r="BD391" i="22"/>
  <c r="X391" i="22"/>
  <c r="Y391" i="22" s="1"/>
  <c r="Q104" i="16"/>
  <c r="BC502" i="22"/>
  <c r="AW41" i="28"/>
  <c r="AX39" i="28"/>
  <c r="V285" i="12"/>
  <c r="O36" i="19"/>
  <c r="AA11" i="27"/>
  <c r="AA27" i="27"/>
  <c r="O192" i="23" s="1"/>
  <c r="AC12" i="27"/>
  <c r="AC28" i="27"/>
  <c r="O217" i="23" s="1"/>
  <c r="S103" i="16"/>
  <c r="P196" i="23"/>
  <c r="AY196" i="23"/>
  <c r="AX196" i="23"/>
  <c r="BC196" i="23" s="1"/>
  <c r="AW196" i="23"/>
  <c r="AV196" i="23"/>
  <c r="AU196" i="23"/>
  <c r="AO14" i="32"/>
  <c r="U56" i="12"/>
  <c r="U146" i="12" s="1"/>
  <c r="L11" i="16"/>
  <c r="L10" i="16" s="1"/>
  <c r="L8" i="16"/>
  <c r="AJ71" i="12"/>
  <c r="AA247" i="12"/>
  <c r="AA248" i="12" s="1"/>
  <c r="AA245" i="12"/>
  <c r="P202" i="23"/>
  <c r="AY202" i="23"/>
  <c r="AW202" i="23"/>
  <c r="AV202" i="23"/>
  <c r="AU202" i="23"/>
  <c r="AX202" i="23"/>
  <c r="BC202" i="23" s="1"/>
  <c r="AK202" i="12"/>
  <c r="AI205" i="12"/>
  <c r="AA316" i="12"/>
  <c r="AX47" i="28"/>
  <c r="AY45" i="28"/>
  <c r="AZ163" i="23"/>
  <c r="BA163" i="23" s="1"/>
  <c r="BB163" i="23"/>
  <c r="AA7" i="27"/>
  <c r="AA23" i="27"/>
  <c r="Q34" i="16"/>
  <c r="X314" i="12"/>
  <c r="Y24" i="12"/>
  <c r="Y314" i="12"/>
  <c r="X298" i="12"/>
  <c r="U150" i="12"/>
  <c r="BD55" i="12"/>
  <c r="X408" i="22"/>
  <c r="Y408" i="22" s="1"/>
  <c r="BD408" i="22"/>
  <c r="AN157" i="8"/>
  <c r="V54" i="12"/>
  <c r="V61" i="12"/>
  <c r="V151" i="12" s="1"/>
  <c r="V63" i="12"/>
  <c r="V56" i="12"/>
  <c r="V146" i="12" s="1"/>
  <c r="V60" i="12"/>
  <c r="V58" i="12"/>
  <c r="V148" i="12" s="1"/>
  <c r="V57" i="12"/>
  <c r="V62" i="12"/>
  <c r="V152" i="12" s="1"/>
  <c r="V55" i="12"/>
  <c r="V145" i="12" s="1"/>
  <c r="AA26" i="12"/>
  <c r="X19" i="13"/>
  <c r="X18" i="13"/>
  <c r="X25" i="13"/>
  <c r="X17" i="13"/>
  <c r="X24" i="13"/>
  <c r="X20" i="13"/>
  <c r="X15" i="13"/>
  <c r="X21" i="13"/>
  <c r="X23" i="13"/>
  <c r="X22" i="13"/>
  <c r="X16" i="13"/>
  <c r="X14" i="13"/>
  <c r="Z316" i="12"/>
  <c r="AX3" i="28"/>
  <c r="V492" i="22"/>
  <c r="U492" i="22" s="1"/>
  <c r="U468" i="22"/>
  <c r="BC414" i="22"/>
  <c r="AX42" i="16"/>
  <c r="AX41" i="16"/>
  <c r="X410" i="22"/>
  <c r="Y410" i="22" s="1"/>
  <c r="BD410" i="22"/>
  <c r="AZ151" i="23"/>
  <c r="BA151" i="23" s="1"/>
  <c r="BB151" i="23"/>
  <c r="Z14" i="12"/>
  <c r="Z84" i="12"/>
  <c r="R475" i="9"/>
  <c r="Z302" i="12"/>
  <c r="Z299" i="12"/>
  <c r="Z303" i="12"/>
  <c r="Z304" i="12"/>
  <c r="Z300" i="12"/>
  <c r="Z296" i="12"/>
  <c r="Z301" i="12"/>
  <c r="Z297" i="12"/>
  <c r="Z306" i="12"/>
  <c r="Z305" i="12"/>
  <c r="X424" i="22"/>
  <c r="Y424" i="22" s="1"/>
  <c r="BD424" i="22"/>
  <c r="BC448" i="22"/>
  <c r="AZ189" i="23"/>
  <c r="BA189" i="23" s="1"/>
  <c r="BB189" i="23"/>
  <c r="V495" i="22"/>
  <c r="U495" i="22" s="1"/>
  <c r="V462" i="22"/>
  <c r="AC9" i="27"/>
  <c r="AC25" i="27"/>
  <c r="O214" i="23" s="1"/>
  <c r="S100" i="16"/>
  <c r="W280" i="12"/>
  <c r="BD478" i="22"/>
  <c r="X478" i="22"/>
  <c r="Y478" i="22" s="1"/>
  <c r="W307" i="12"/>
  <c r="AJ81" i="12"/>
  <c r="AL70" i="12"/>
  <c r="U284" i="12"/>
  <c r="U292" i="12" s="1"/>
  <c r="N35" i="19"/>
  <c r="N43" i="19" s="1"/>
  <c r="U239" i="12" s="1"/>
  <c r="P34" i="18"/>
  <c r="X509" i="22"/>
  <c r="Y509" i="22" s="1"/>
  <c r="BD509" i="22"/>
  <c r="R101" i="16"/>
  <c r="R36" i="19"/>
  <c r="R35" i="18"/>
  <c r="Y285" i="12" s="1"/>
  <c r="AE67" i="16"/>
  <c r="AE115" i="16" s="1"/>
  <c r="AO18" i="32"/>
  <c r="R491" i="9" s="1"/>
  <c r="AQ30" i="8"/>
  <c r="AP18" i="32" s="1"/>
  <c r="R503" i="9" s="1"/>
  <c r="V215" i="12"/>
  <c r="V106" i="12"/>
  <c r="AA31" i="12"/>
  <c r="AA305" i="12" s="1"/>
  <c r="Z4" i="13"/>
  <c r="Y26" i="13"/>
  <c r="AY201" i="23"/>
  <c r="AX201" i="23"/>
  <c r="BC201" i="23" s="1"/>
  <c r="AW201" i="23"/>
  <c r="AV201" i="23"/>
  <c r="AU201" i="23"/>
  <c r="P201" i="23"/>
  <c r="AB253" i="12"/>
  <c r="AB254" i="12" s="1"/>
  <c r="AB251" i="12"/>
  <c r="BC150" i="23"/>
  <c r="BB458" i="22"/>
  <c r="BA458" i="22"/>
  <c r="AX458" i="22"/>
  <c r="AY458" i="22"/>
  <c r="W458" i="22"/>
  <c r="AZ458" i="22"/>
  <c r="BC169" i="23"/>
  <c r="AB22" i="27"/>
  <c r="O199" i="23" s="1"/>
  <c r="AB6" i="27"/>
  <c r="Y313" i="12"/>
  <c r="R30" i="18"/>
  <c r="R96" i="16"/>
  <c r="S473" i="9"/>
  <c r="T473" i="9" s="1"/>
  <c r="AN473" i="9"/>
  <c r="AF473" i="9" s="1"/>
  <c r="AG473" i="9" s="1"/>
  <c r="AH473" i="9" s="1"/>
  <c r="AK473" i="9" s="1"/>
  <c r="P38" i="18"/>
  <c r="Q38" i="18" s="1"/>
  <c r="BB221" i="22"/>
  <c r="CC221" i="22" s="1"/>
  <c r="Z253" i="12"/>
  <c r="Z254" i="12" s="1"/>
  <c r="Z251" i="12"/>
  <c r="BD459" i="22"/>
  <c r="X459" i="22"/>
  <c r="Y459" i="22" s="1"/>
  <c r="AD26" i="27"/>
  <c r="O227" i="23" s="1"/>
  <c r="AD10" i="27"/>
  <c r="T101" i="16"/>
  <c r="P186" i="23"/>
  <c r="AX186" i="23"/>
  <c r="AW186" i="23"/>
  <c r="AV186" i="23"/>
  <c r="AU186" i="23"/>
  <c r="AY186" i="23"/>
  <c r="BC195" i="23"/>
  <c r="V307" i="12"/>
  <c r="AX33" i="28"/>
  <c r="AW35" i="28"/>
  <c r="O102" i="16"/>
  <c r="O36" i="18"/>
  <c r="V286" i="12" s="1"/>
  <c r="AY32" i="16"/>
  <c r="AY38" i="16" s="1"/>
  <c r="O44" i="16"/>
  <c r="O7" i="16" s="1"/>
  <c r="X122" i="16"/>
  <c r="X75" i="16"/>
  <c r="X123" i="16" s="1"/>
  <c r="AL72" i="12"/>
  <c r="AA120" i="16"/>
  <c r="AJ205" i="12"/>
  <c r="W122" i="16"/>
  <c r="W124" i="16" s="1"/>
  <c r="W75" i="16"/>
  <c r="W123" i="16" s="1"/>
  <c r="AY149" i="23"/>
  <c r="AV149" i="23"/>
  <c r="AU149" i="23"/>
  <c r="P149" i="23"/>
  <c r="AX149" i="23"/>
  <c r="BC149" i="23" s="1"/>
  <c r="AW149" i="23"/>
  <c r="S164" i="12"/>
  <c r="T164" i="12" s="1"/>
  <c r="S169" i="12"/>
  <c r="T169" i="12" s="1"/>
  <c r="S163" i="12"/>
  <c r="T163" i="12" s="1"/>
  <c r="S168" i="12"/>
  <c r="T168" i="12" s="1"/>
  <c r="S170" i="12"/>
  <c r="T170" i="12" s="1"/>
  <c r="S165" i="12"/>
  <c r="T165" i="12" s="1"/>
  <c r="S171" i="12"/>
  <c r="T171" i="12" s="1"/>
  <c r="S166" i="12"/>
  <c r="T166" i="12" s="1"/>
  <c r="S172" i="12"/>
  <c r="S167" i="12"/>
  <c r="S162" i="12"/>
  <c r="S173" i="12" s="1"/>
  <c r="AB317" i="12"/>
  <c r="AM204" i="12"/>
  <c r="BB58" i="12"/>
  <c r="AD116" i="16"/>
  <c r="AF68" i="16"/>
  <c r="AF116" i="16" s="1"/>
  <c r="BB426" i="22"/>
  <c r="W426" i="22"/>
  <c r="AY426" i="22"/>
  <c r="BA426" i="22"/>
  <c r="AZ426" i="22"/>
  <c r="AX426" i="22"/>
  <c r="BC426" i="22" s="1"/>
  <c r="AG103" i="12"/>
  <c r="AA253" i="12"/>
  <c r="AA254" i="12" s="1"/>
  <c r="AA251" i="12"/>
  <c r="AA12" i="12"/>
  <c r="BC434" i="22"/>
  <c r="AD66" i="16"/>
  <c r="AD114" i="16" s="1"/>
  <c r="AM45" i="12"/>
  <c r="AM135" i="12" s="1"/>
  <c r="Y302" i="12"/>
  <c r="BC415" i="22"/>
  <c r="R39" i="18"/>
  <c r="Y289" i="12" s="1"/>
  <c r="R105" i="16"/>
  <c r="AB306" i="12"/>
  <c r="AB301" i="12"/>
  <c r="AB302" i="12"/>
  <c r="BB150" i="23"/>
  <c r="AZ150" i="23"/>
  <c r="BA150" i="23" s="1"/>
  <c r="V482" i="22"/>
  <c r="V494" i="22" s="1"/>
  <c r="U494" i="22" s="1"/>
  <c r="AO37" i="8"/>
  <c r="AN25" i="32" s="1"/>
  <c r="R486" i="9" s="1"/>
  <c r="P41" i="19"/>
  <c r="AF65" i="16"/>
  <c r="AF113" i="16" s="1"/>
  <c r="O198" i="23"/>
  <c r="BC151" i="23"/>
  <c r="AO36" i="8"/>
  <c r="X288" i="12" l="1"/>
  <c r="Q39" i="19"/>
  <c r="AZ488" i="22"/>
  <c r="W488" i="22"/>
  <c r="AY488" i="22"/>
  <c r="BB488" i="22"/>
  <c r="BA488" i="22"/>
  <c r="AX488" i="22"/>
  <c r="BC488" i="22" s="1"/>
  <c r="AT19" i="16"/>
  <c r="T173" i="12"/>
  <c r="R38" i="16"/>
  <c r="V65" i="12"/>
  <c r="V155" i="12" s="1"/>
  <c r="AZ494" i="22"/>
  <c r="W494" i="22"/>
  <c r="AX494" i="22"/>
  <c r="BB494" i="22"/>
  <c r="BA494" i="22"/>
  <c r="AY494" i="22"/>
  <c r="R99" i="16"/>
  <c r="AF28" i="27"/>
  <c r="O253" i="23" s="1"/>
  <c r="AF12" i="27"/>
  <c r="V103" i="16"/>
  <c r="U251" i="12"/>
  <c r="U254" i="12"/>
  <c r="AF112" i="16"/>
  <c r="AD5" i="27"/>
  <c r="AD21" i="27"/>
  <c r="T96" i="16"/>
  <c r="AA33" i="12"/>
  <c r="AA312" i="12"/>
  <c r="AB22" i="12"/>
  <c r="AY8" i="28"/>
  <c r="AE6" i="12"/>
  <c r="AE34" i="12"/>
  <c r="BD419" i="22"/>
  <c r="X419" i="22"/>
  <c r="Y419" i="22" s="1"/>
  <c r="O188" i="23"/>
  <c r="BB193" i="23"/>
  <c r="AZ193" i="23"/>
  <c r="BA193" i="23" s="1"/>
  <c r="AZ499" i="22"/>
  <c r="W499" i="22"/>
  <c r="AY499" i="22"/>
  <c r="BB499" i="22"/>
  <c r="BA499" i="22"/>
  <c r="AX499" i="22"/>
  <c r="BC499" i="22" s="1"/>
  <c r="AA17" i="27"/>
  <c r="AH211" i="12"/>
  <c r="AH225" i="12"/>
  <c r="AH4" i="12"/>
  <c r="AH105" i="12"/>
  <c r="AZ205" i="23"/>
  <c r="BA205" i="23" s="1"/>
  <c r="BB205" i="23"/>
  <c r="P239" i="23"/>
  <c r="AY239" i="23"/>
  <c r="AX239" i="23"/>
  <c r="BC239" i="23" s="1"/>
  <c r="AV239" i="23"/>
  <c r="AW239" i="23"/>
  <c r="AU239" i="23"/>
  <c r="AD24" i="27"/>
  <c r="O225" i="23" s="1"/>
  <c r="AD8" i="27"/>
  <c r="T99" i="16"/>
  <c r="AB25" i="12"/>
  <c r="BD489" i="22"/>
  <c r="X489" i="22"/>
  <c r="Y489" i="22" s="1"/>
  <c r="BB491" i="22"/>
  <c r="BA491" i="22"/>
  <c r="AX491" i="22"/>
  <c r="W491" i="22"/>
  <c r="AZ491" i="22"/>
  <c r="AY491" i="22"/>
  <c r="BD426" i="22"/>
  <c r="X426" i="22"/>
  <c r="Y426" i="22" s="1"/>
  <c r="O37" i="19"/>
  <c r="BB470" i="22"/>
  <c r="BA470" i="22"/>
  <c r="AY470" i="22"/>
  <c r="AX470" i="22"/>
  <c r="W470" i="22"/>
  <c r="AZ470" i="22"/>
  <c r="AX229" i="23"/>
  <c r="AY229" i="23"/>
  <c r="AU229" i="23"/>
  <c r="P229" i="23"/>
  <c r="AW229" i="23"/>
  <c r="AV229" i="23"/>
  <c r="AB299" i="12"/>
  <c r="V64" i="12"/>
  <c r="V154" i="12" s="1"/>
  <c r="AM202" i="12"/>
  <c r="AD29" i="27"/>
  <c r="O230" i="23" s="1"/>
  <c r="AD13" i="27"/>
  <c r="T104" i="16"/>
  <c r="AA320" i="12"/>
  <c r="AY37" i="16"/>
  <c r="Z39" i="13"/>
  <c r="Z36" i="13"/>
  <c r="Z38" i="13"/>
  <c r="Z37" i="13"/>
  <c r="Z35" i="13"/>
  <c r="Z34" i="13"/>
  <c r="Z33" i="13"/>
  <c r="Z32" i="13"/>
  <c r="Z30" i="13"/>
  <c r="Z41" i="13"/>
  <c r="Z31" i="13"/>
  <c r="Z40" i="13"/>
  <c r="Q97" i="16"/>
  <c r="Q31" i="18"/>
  <c r="Q32" i="19"/>
  <c r="AZ34" i="16"/>
  <c r="Q44" i="16"/>
  <c r="Q7" i="16" s="1"/>
  <c r="P232" i="23"/>
  <c r="AY232" i="23"/>
  <c r="AX232" i="23"/>
  <c r="BC232" i="23" s="1"/>
  <c r="AW232" i="23"/>
  <c r="AV232" i="23"/>
  <c r="AU232" i="23"/>
  <c r="Y280" i="12"/>
  <c r="AX29" i="28"/>
  <c r="AY27" i="28"/>
  <c r="O107" i="16"/>
  <c r="O108" i="16" s="1"/>
  <c r="O41" i="18"/>
  <c r="V291" i="12" s="1"/>
  <c r="AP11" i="28"/>
  <c r="V174" i="12"/>
  <c r="AD22" i="27"/>
  <c r="O223" i="23" s="1"/>
  <c r="AD6" i="27"/>
  <c r="T97" i="16"/>
  <c r="AB23" i="12"/>
  <c r="AY35" i="16"/>
  <c r="U169" i="12"/>
  <c r="U163" i="12"/>
  <c r="U173" i="12" s="1"/>
  <c r="U168" i="12"/>
  <c r="U162" i="12"/>
  <c r="U170" i="12"/>
  <c r="U165" i="12"/>
  <c r="U171" i="12"/>
  <c r="U166" i="12"/>
  <c r="U172" i="12"/>
  <c r="U167" i="12"/>
  <c r="U164" i="12"/>
  <c r="X471" i="22"/>
  <c r="Y471" i="22" s="1"/>
  <c r="BD471" i="22"/>
  <c r="AB304" i="12"/>
  <c r="Y15" i="13"/>
  <c r="Y19" i="13"/>
  <c r="Y18" i="13"/>
  <c r="Y25" i="13"/>
  <c r="Y17" i="13"/>
  <c r="Y16" i="13"/>
  <c r="Y24" i="13"/>
  <c r="Y21" i="13"/>
  <c r="Y23" i="13"/>
  <c r="Y22" i="13"/>
  <c r="Y20" i="13"/>
  <c r="Y14" i="13"/>
  <c r="BB202" i="23"/>
  <c r="AZ202" i="23"/>
  <c r="BA202" i="23" s="1"/>
  <c r="Q38" i="16"/>
  <c r="AF69" i="16"/>
  <c r="AF117" i="16" s="1"/>
  <c r="S507" i="9"/>
  <c r="T507" i="9" s="1"/>
  <c r="AN507" i="9"/>
  <c r="AF507" i="9" s="1"/>
  <c r="AG507" i="9" s="1"/>
  <c r="AH507" i="9" s="1"/>
  <c r="AK507" i="9" s="1"/>
  <c r="V17" i="12"/>
  <c r="AD250" i="12"/>
  <c r="AD308" i="12"/>
  <c r="AA321" i="12"/>
  <c r="K91" i="16"/>
  <c r="L80" i="16" s="1"/>
  <c r="L81" i="16" s="1"/>
  <c r="L82" i="16" s="1"/>
  <c r="L83" i="16" s="1"/>
  <c r="L84" i="16" s="1"/>
  <c r="L85" i="16" s="1"/>
  <c r="L86" i="16" s="1"/>
  <c r="L87" i="16" s="1"/>
  <c r="L88" i="16" s="1"/>
  <c r="L89" i="16" s="1"/>
  <c r="L90" i="16" s="1"/>
  <c r="L91" i="16" s="1"/>
  <c r="AF15" i="27"/>
  <c r="AF31" i="27"/>
  <c r="O256" i="23" s="1"/>
  <c r="V106" i="16"/>
  <c r="X416" i="22"/>
  <c r="Y416" i="22" s="1"/>
  <c r="BD416" i="22"/>
  <c r="Z8" i="12"/>
  <c r="AD11" i="27"/>
  <c r="AD27" i="27"/>
  <c r="O228" i="23" s="1"/>
  <c r="T102" i="16"/>
  <c r="X434" i="22"/>
  <c r="Y434" i="22" s="1"/>
  <c r="BD434" i="22"/>
  <c r="P244" i="23"/>
  <c r="AV244" i="23"/>
  <c r="AU244" i="23"/>
  <c r="AY244" i="23"/>
  <c r="AX244" i="23"/>
  <c r="BC244" i="23" s="1"/>
  <c r="AW244" i="23"/>
  <c r="W468" i="22"/>
  <c r="BB468" i="22"/>
  <c r="BA468" i="22"/>
  <c r="AZ468" i="22"/>
  <c r="AY468" i="22"/>
  <c r="AX468" i="22"/>
  <c r="BC468" i="22" s="1"/>
  <c r="BB168" i="23"/>
  <c r="AZ168" i="23"/>
  <c r="BA168" i="23" s="1"/>
  <c r="AX217" i="23"/>
  <c r="BC217" i="23" s="1"/>
  <c r="AW217" i="23"/>
  <c r="AV217" i="23"/>
  <c r="P217" i="23"/>
  <c r="AY217" i="23"/>
  <c r="AU217" i="23"/>
  <c r="AY33" i="28"/>
  <c r="AX35" i="28"/>
  <c r="V59" i="12"/>
  <c r="V149" i="12" s="1"/>
  <c r="BC493" i="22"/>
  <c r="AH90" i="8"/>
  <c r="AH91" i="8" s="1"/>
  <c r="AH92" i="8" s="1"/>
  <c r="AH93" i="8" s="1"/>
  <c r="AH94" i="8" s="1"/>
  <c r="AH95" i="8" s="1"/>
  <c r="AH96" i="8" s="1"/>
  <c r="AH97" i="8" s="1"/>
  <c r="AH98" i="8" s="1"/>
  <c r="AH99" i="8" s="1"/>
  <c r="AH100" i="8" s="1"/>
  <c r="AH101" i="8" s="1"/>
  <c r="L27" i="16"/>
  <c r="AU18" i="16" s="1"/>
  <c r="AA8" i="12"/>
  <c r="AM49" i="12"/>
  <c r="AM139" i="12" s="1"/>
  <c r="BB149" i="23"/>
  <c r="AZ149" i="23"/>
  <c r="BA149" i="23" s="1"/>
  <c r="R31" i="19"/>
  <c r="Z26" i="13"/>
  <c r="AA4" i="13"/>
  <c r="V144" i="12"/>
  <c r="BD57" i="12"/>
  <c r="AY192" i="23"/>
  <c r="AW192" i="23"/>
  <c r="AV192" i="23"/>
  <c r="AU192" i="23"/>
  <c r="AX192" i="23"/>
  <c r="P192" i="23"/>
  <c r="O173" i="23"/>
  <c r="Y33" i="27"/>
  <c r="Y35" i="27" s="1"/>
  <c r="BC439" i="22"/>
  <c r="S483" i="9"/>
  <c r="T483" i="9" s="1"/>
  <c r="AN483" i="9"/>
  <c r="AF483" i="9" s="1"/>
  <c r="AG483" i="9" s="1"/>
  <c r="AH483" i="9" s="1"/>
  <c r="AK483" i="9" s="1"/>
  <c r="AM78" i="12"/>
  <c r="AW219" i="23"/>
  <c r="AV219" i="23"/>
  <c r="P219" i="23"/>
  <c r="AY219" i="23"/>
  <c r="AX219" i="23"/>
  <c r="BC219" i="23" s="1"/>
  <c r="AU219" i="23"/>
  <c r="AD244" i="12"/>
  <c r="AL78" i="12"/>
  <c r="AO157" i="8"/>
  <c r="AA299" i="12"/>
  <c r="O210" i="23"/>
  <c r="AC30" i="12"/>
  <c r="AZ35" i="16"/>
  <c r="V506" i="22"/>
  <c r="U506" i="22" s="1"/>
  <c r="U482" i="22"/>
  <c r="R487" i="9"/>
  <c r="P34" i="19"/>
  <c r="AE29" i="27"/>
  <c r="O242" i="23" s="1"/>
  <c r="AE13" i="27"/>
  <c r="U104" i="16"/>
  <c r="AX87" i="12"/>
  <c r="P92" i="12"/>
  <c r="P93" i="12" s="1"/>
  <c r="P94" i="12" s="1"/>
  <c r="AD30" i="27"/>
  <c r="O231" i="23" s="1"/>
  <c r="AD14" i="27"/>
  <c r="T105" i="16"/>
  <c r="AB31" i="12"/>
  <c r="BC58" i="12"/>
  <c r="AZ483" i="22"/>
  <c r="W483" i="22"/>
  <c r="AX483" i="22"/>
  <c r="BB483" i="22"/>
  <c r="BA483" i="22"/>
  <c r="AY483" i="22"/>
  <c r="AM203" i="12"/>
  <c r="AB303" i="12"/>
  <c r="R33" i="16"/>
  <c r="V214" i="12"/>
  <c r="V114" i="12"/>
  <c r="S475" i="9"/>
  <c r="T475" i="9" s="1"/>
  <c r="AN475" i="9"/>
  <c r="AF475" i="9" s="1"/>
  <c r="AG475" i="9" s="1"/>
  <c r="AH475" i="9" s="1"/>
  <c r="AK475" i="9" s="1"/>
  <c r="O42" i="18"/>
  <c r="V238" i="12" s="1"/>
  <c r="AD216" i="12"/>
  <c r="CB207" i="22"/>
  <c r="N273" i="12"/>
  <c r="N289" i="12" s="1"/>
  <c r="AX507" i="22"/>
  <c r="W507" i="22"/>
  <c r="AZ507" i="22"/>
  <c r="AY507" i="22"/>
  <c r="BB507" i="22"/>
  <c r="BA507" i="22"/>
  <c r="BC431" i="22"/>
  <c r="X447" i="22"/>
  <c r="Y447" i="22" s="1"/>
  <c r="BD447" i="22"/>
  <c r="AA304" i="12"/>
  <c r="AZ174" i="23"/>
  <c r="BA174" i="23" s="1"/>
  <c r="BB174" i="23"/>
  <c r="AC31" i="12"/>
  <c r="AD321" i="12" s="1"/>
  <c r="BB207" i="23"/>
  <c r="AZ207" i="23"/>
  <c r="BA207" i="23" s="1"/>
  <c r="AR10" i="28"/>
  <c r="AR12" i="28" s="1"/>
  <c r="X18" i="12"/>
  <c r="X16" i="12"/>
  <c r="AW216" i="23"/>
  <c r="AV216" i="23"/>
  <c r="AX216" i="23"/>
  <c r="AU216" i="23"/>
  <c r="P216" i="23"/>
  <c r="AY216" i="23"/>
  <c r="Y122" i="16"/>
  <c r="Y75" i="16"/>
  <c r="Y123" i="16" s="1"/>
  <c r="AZ45" i="28"/>
  <c r="AY47" i="28"/>
  <c r="AN24" i="32"/>
  <c r="AP36" i="8"/>
  <c r="AZ186" i="23"/>
  <c r="BA186" i="23" s="1"/>
  <c r="BB186" i="23"/>
  <c r="U462" i="22"/>
  <c r="BB206" i="23"/>
  <c r="AZ206" i="23"/>
  <c r="BA206" i="23" s="1"/>
  <c r="AZ455" i="22"/>
  <c r="W455" i="22"/>
  <c r="AY455" i="22"/>
  <c r="BA455" i="22"/>
  <c r="BB455" i="22"/>
  <c r="AX455" i="22"/>
  <c r="AA313" i="12"/>
  <c r="AY23" i="28"/>
  <c r="AZ21" i="28"/>
  <c r="Z32" i="27"/>
  <c r="Z16" i="27"/>
  <c r="Z17" i="27" s="1"/>
  <c r="P43" i="16"/>
  <c r="BF25" i="12"/>
  <c r="BC208" i="23"/>
  <c r="AC12" i="12"/>
  <c r="BD460" i="22"/>
  <c r="X460" i="22"/>
  <c r="Y460" i="22" s="1"/>
  <c r="AA300" i="12"/>
  <c r="X54" i="12"/>
  <c r="X61" i="12"/>
  <c r="X151" i="12" s="1"/>
  <c r="BY207" i="22"/>
  <c r="BC207" i="22"/>
  <c r="AJ70" i="8"/>
  <c r="AK8" i="8"/>
  <c r="AJ17" i="8"/>
  <c r="AJ150" i="8" s="1"/>
  <c r="AJ7" i="8"/>
  <c r="AJ86" i="8" s="1"/>
  <c r="AI66" i="8"/>
  <c r="AI61" i="8"/>
  <c r="AI68" i="8"/>
  <c r="AI63" i="8"/>
  <c r="AI58" i="8"/>
  <c r="AI69" i="8" s="1"/>
  <c r="AI65" i="8"/>
  <c r="AI60" i="8"/>
  <c r="AI67" i="8"/>
  <c r="AI59" i="8"/>
  <c r="AI62" i="8"/>
  <c r="AI64" i="8"/>
  <c r="V150" i="12"/>
  <c r="BE55" i="12"/>
  <c r="V153" i="12"/>
  <c r="AU16" i="16"/>
  <c r="AU19" i="16" s="1"/>
  <c r="BB64" i="12"/>
  <c r="BB65" i="12"/>
  <c r="AY199" i="23"/>
  <c r="AX199" i="23"/>
  <c r="BC199" i="23" s="1"/>
  <c r="AW199" i="23"/>
  <c r="AU199" i="23"/>
  <c r="AV199" i="23"/>
  <c r="P199" i="23"/>
  <c r="AN503" i="9"/>
  <c r="AF503" i="9" s="1"/>
  <c r="AG503" i="9" s="1"/>
  <c r="AH503" i="9" s="1"/>
  <c r="AK503" i="9" s="1"/>
  <c r="S503" i="9"/>
  <c r="T503" i="9" s="1"/>
  <c r="AE66" i="16"/>
  <c r="AX41" i="28"/>
  <c r="AX6" i="28" s="1"/>
  <c r="AY39" i="28"/>
  <c r="AE27" i="27"/>
  <c r="O240" i="23" s="1"/>
  <c r="AE11" i="27"/>
  <c r="U102" i="16"/>
  <c r="V503" i="22"/>
  <c r="U503" i="22" s="1"/>
  <c r="U479" i="22"/>
  <c r="U144" i="12"/>
  <c r="BC57" i="12"/>
  <c r="U65" i="12"/>
  <c r="P204" i="23"/>
  <c r="AX204" i="23"/>
  <c r="AW204" i="23"/>
  <c r="AV204" i="23"/>
  <c r="AU204" i="23"/>
  <c r="AY204" i="23"/>
  <c r="BD420" i="22"/>
  <c r="X420" i="22"/>
  <c r="Y420" i="22" s="1"/>
  <c r="AL49" i="12"/>
  <c r="AL139" i="12" s="1"/>
  <c r="AZ208" i="23"/>
  <c r="BA208" i="23" s="1"/>
  <c r="BB208" i="23"/>
  <c r="BC440" i="22"/>
  <c r="AW220" i="23"/>
  <c r="AV220" i="23"/>
  <c r="P220" i="23"/>
  <c r="AY220" i="23"/>
  <c r="AX220" i="23"/>
  <c r="BC220" i="23" s="1"/>
  <c r="AU220" i="23"/>
  <c r="AA296" i="12"/>
  <c r="BC465" i="22"/>
  <c r="AF10" i="27"/>
  <c r="AF26" i="27"/>
  <c r="O251" i="23" s="1"/>
  <c r="V101" i="16"/>
  <c r="AY213" i="23"/>
  <c r="AX213" i="23"/>
  <c r="BC213" i="23" s="1"/>
  <c r="AW213" i="23"/>
  <c r="AV213" i="23"/>
  <c r="AU213" i="23"/>
  <c r="P213" i="23"/>
  <c r="X215" i="12"/>
  <c r="X106" i="12"/>
  <c r="R499" i="9"/>
  <c r="BD451" i="22"/>
  <c r="X451" i="22"/>
  <c r="Y451" i="22" s="1"/>
  <c r="BD428" i="22"/>
  <c r="X428" i="22"/>
  <c r="Y428" i="22" s="1"/>
  <c r="R40" i="18"/>
  <c r="AW214" i="23"/>
  <c r="AV214" i="23"/>
  <c r="AU214" i="23"/>
  <c r="AX214" i="23"/>
  <c r="AY214" i="23"/>
  <c r="P214" i="23"/>
  <c r="AB319" i="12"/>
  <c r="R40" i="19"/>
  <c r="AN491" i="9"/>
  <c r="AF491" i="9" s="1"/>
  <c r="AG491" i="9" s="1"/>
  <c r="AH491" i="9" s="1"/>
  <c r="AK491" i="9" s="1"/>
  <c r="S491" i="9"/>
  <c r="T491" i="9" s="1"/>
  <c r="W495" i="22"/>
  <c r="BB495" i="22"/>
  <c r="BA495" i="22"/>
  <c r="AZ495" i="22"/>
  <c r="AY495" i="22"/>
  <c r="AX495" i="22"/>
  <c r="BD445" i="22"/>
  <c r="X445" i="22"/>
  <c r="Y445" i="22" s="1"/>
  <c r="AE112" i="16"/>
  <c r="X441" i="22"/>
  <c r="Y441" i="22" s="1"/>
  <c r="BD441" i="22"/>
  <c r="BF31" i="12"/>
  <c r="BF30" i="12"/>
  <c r="BF28" i="12"/>
  <c r="BF29" i="12"/>
  <c r="BF26" i="12"/>
  <c r="BC176" i="23"/>
  <c r="BB203" i="23"/>
  <c r="AZ203" i="23"/>
  <c r="BA203" i="23" s="1"/>
  <c r="BC174" i="23"/>
  <c r="AC28" i="12"/>
  <c r="AC318" i="12" s="1"/>
  <c r="AY215" i="23"/>
  <c r="AX215" i="23"/>
  <c r="AW215" i="23"/>
  <c r="AV215" i="23"/>
  <c r="AU215" i="23"/>
  <c r="P215" i="23"/>
  <c r="BC207" i="23"/>
  <c r="R38" i="18"/>
  <c r="W284" i="12"/>
  <c r="P35" i="19"/>
  <c r="BB492" i="22"/>
  <c r="BA492" i="22"/>
  <c r="AZ492" i="22"/>
  <c r="AY492" i="22"/>
  <c r="AX492" i="22"/>
  <c r="BC492" i="22" s="1"/>
  <c r="W492" i="22"/>
  <c r="AQ10" i="28"/>
  <c r="AQ12" i="28" s="1"/>
  <c r="W16" i="12"/>
  <c r="W18" i="12"/>
  <c r="W17" i="12" s="1"/>
  <c r="X457" i="22"/>
  <c r="Y457" i="22" s="1"/>
  <c r="BD457" i="22"/>
  <c r="AU198" i="23"/>
  <c r="P198" i="23"/>
  <c r="AY198" i="23"/>
  <c r="AX198" i="23"/>
  <c r="BC198" i="23" s="1"/>
  <c r="AW198" i="23"/>
  <c r="AV198" i="23"/>
  <c r="BC186" i="23"/>
  <c r="X502" i="22"/>
  <c r="Y502" i="22" s="1"/>
  <c r="BD502" i="22"/>
  <c r="AC304" i="12"/>
  <c r="AC303" i="12"/>
  <c r="AC301" i="12"/>
  <c r="AC306" i="12"/>
  <c r="AC305" i="12"/>
  <c r="AA16" i="27"/>
  <c r="AA32" i="27"/>
  <c r="O197" i="23" s="1"/>
  <c r="Q43" i="16"/>
  <c r="P102" i="16"/>
  <c r="P36" i="18"/>
  <c r="W286" i="12" s="1"/>
  <c r="AZ32" i="16"/>
  <c r="BB464" i="22"/>
  <c r="AZ464" i="22"/>
  <c r="W464" i="22"/>
  <c r="AY464" i="22"/>
  <c r="AX464" i="22"/>
  <c r="BA464" i="22"/>
  <c r="AL205" i="12"/>
  <c r="AB315" i="12"/>
  <c r="BC496" i="22"/>
  <c r="AK205" i="12"/>
  <c r="X285" i="12"/>
  <c r="Q36" i="19"/>
  <c r="AE222" i="12"/>
  <c r="AE221" i="12"/>
  <c r="AE224" i="12"/>
  <c r="AE324" i="12" s="1"/>
  <c r="AE223" i="12"/>
  <c r="AM70" i="12"/>
  <c r="N28" i="16"/>
  <c r="N6" i="16"/>
  <c r="O5" i="16"/>
  <c r="M11" i="16"/>
  <c r="M10" i="16" s="1"/>
  <c r="M8" i="16"/>
  <c r="M24" i="16"/>
  <c r="M26" i="16"/>
  <c r="M18" i="16"/>
  <c r="M21" i="16"/>
  <c r="M22" i="16"/>
  <c r="M25" i="16"/>
  <c r="M19" i="16"/>
  <c r="M20" i="16"/>
  <c r="M16" i="16"/>
  <c r="M17" i="16"/>
  <c r="M23" i="16"/>
  <c r="AC25" i="12"/>
  <c r="AC299" i="12" s="1"/>
  <c r="BD415" i="22"/>
  <c r="X415" i="22"/>
  <c r="Y415" i="22" s="1"/>
  <c r="P44" i="16"/>
  <c r="P7" i="16" s="1"/>
  <c r="BC56" i="12"/>
  <c r="AO53" i="8"/>
  <c r="AC253" i="12"/>
  <c r="AC254" i="12" s="1"/>
  <c r="AC251" i="12"/>
  <c r="AX452" i="22"/>
  <c r="BB452" i="22"/>
  <c r="BA452" i="22"/>
  <c r="AZ452" i="22"/>
  <c r="AY452" i="22"/>
  <c r="W452" i="22"/>
  <c r="AY180" i="23"/>
  <c r="AW180" i="23"/>
  <c r="AV180" i="23"/>
  <c r="AU180" i="23"/>
  <c r="AX180" i="23"/>
  <c r="BC180" i="23" s="1"/>
  <c r="P180" i="23"/>
  <c r="AZ176" i="23"/>
  <c r="BA176" i="23" s="1"/>
  <c r="BB176" i="23"/>
  <c r="W287" i="12"/>
  <c r="P38" i="19"/>
  <c r="AT23" i="16"/>
  <c r="AT24" i="16"/>
  <c r="AT22" i="16"/>
  <c r="AT21" i="16"/>
  <c r="BD453" i="22"/>
  <c r="X453" i="22"/>
  <c r="Y453" i="22" s="1"/>
  <c r="AM201" i="12"/>
  <c r="S463" i="9"/>
  <c r="T463" i="9" s="1"/>
  <c r="AN463" i="9"/>
  <c r="AF463" i="9" s="1"/>
  <c r="AG463" i="9" s="1"/>
  <c r="AH463" i="9" s="1"/>
  <c r="AK463" i="9" s="1"/>
  <c r="BC477" i="22"/>
  <c r="Q34" i="18"/>
  <c r="W323" i="12"/>
  <c r="Q33" i="18"/>
  <c r="X283" i="12" s="1"/>
  <c r="Q99" i="16"/>
  <c r="AI80" i="8"/>
  <c r="AI75" i="8"/>
  <c r="AI85" i="8" s="1"/>
  <c r="AI82" i="8"/>
  <c r="AI77" i="8"/>
  <c r="AI84" i="8"/>
  <c r="AI81" i="8"/>
  <c r="AI74" i="8"/>
  <c r="AI79" i="8"/>
  <c r="AI78" i="8"/>
  <c r="AI83" i="8"/>
  <c r="AI76" i="8"/>
  <c r="AI146" i="8"/>
  <c r="AI141" i="8"/>
  <c r="AI148" i="8"/>
  <c r="AI143" i="8"/>
  <c r="AI138" i="8"/>
  <c r="AI140" i="8"/>
  <c r="AI145" i="8"/>
  <c r="AI147" i="8"/>
  <c r="AI142" i="8"/>
  <c r="AI144" i="8"/>
  <c r="AI139" i="8"/>
  <c r="AZ161" i="23"/>
  <c r="BA161" i="23" s="1"/>
  <c r="BB161" i="23"/>
  <c r="BC472" i="22"/>
  <c r="BE54" i="12"/>
  <c r="V147" i="12"/>
  <c r="X414" i="22"/>
  <c r="Y414" i="22" s="1"/>
  <c r="BD414" i="22"/>
  <c r="AS9" i="28"/>
  <c r="Y156" i="12"/>
  <c r="Y107" i="12"/>
  <c r="Y66" i="12"/>
  <c r="Y7" i="12"/>
  <c r="BD54" i="12"/>
  <c r="BB467" i="22"/>
  <c r="BA467" i="22"/>
  <c r="AZ467" i="22"/>
  <c r="W467" i="22"/>
  <c r="AY467" i="22"/>
  <c r="AX467" i="22"/>
  <c r="BC467" i="22" s="1"/>
  <c r="BB222" i="22"/>
  <c r="CC222" i="22" s="1"/>
  <c r="AE108" i="12"/>
  <c r="AE213" i="12"/>
  <c r="BB480" i="22"/>
  <c r="BA480" i="22"/>
  <c r="AX480" i="22"/>
  <c r="BC480" i="22" s="1"/>
  <c r="W480" i="22"/>
  <c r="AZ480" i="22"/>
  <c r="AY480" i="22"/>
  <c r="BE32" i="12"/>
  <c r="BE33" i="12"/>
  <c r="AE12" i="27"/>
  <c r="AE28" i="27"/>
  <c r="O241" i="23" s="1"/>
  <c r="U103" i="16"/>
  <c r="BB201" i="23"/>
  <c r="AZ201" i="23"/>
  <c r="BA201" i="23" s="1"/>
  <c r="V504" i="22"/>
  <c r="U504" i="22" s="1"/>
  <c r="AU17" i="16"/>
  <c r="BD443" i="22"/>
  <c r="X443" i="22"/>
  <c r="Y443" i="22" s="1"/>
  <c r="BD448" i="22"/>
  <c r="X448" i="22"/>
  <c r="Y448" i="22" s="1"/>
  <c r="AB23" i="27"/>
  <c r="O200" i="23" s="1"/>
  <c r="AB7" i="27"/>
  <c r="R34" i="16"/>
  <c r="Y33" i="12"/>
  <c r="AA24" i="12"/>
  <c r="Y298" i="12"/>
  <c r="Z24" i="12"/>
  <c r="AC319" i="12"/>
  <c r="AM187" i="12"/>
  <c r="AM189" i="12" s="1"/>
  <c r="AD9" i="12"/>
  <c r="V500" i="22"/>
  <c r="U500" i="22" s="1"/>
  <c r="U476" i="22"/>
  <c r="AF213" i="12"/>
  <c r="AF108" i="12"/>
  <c r="BB15" i="28"/>
  <c r="BA17" i="28"/>
  <c r="AD72" i="16"/>
  <c r="AD120" i="16" s="1"/>
  <c r="BC203" i="23"/>
  <c r="X422" i="22"/>
  <c r="Y422" i="22" s="1"/>
  <c r="BD422" i="22"/>
  <c r="BC469" i="22"/>
  <c r="N42" i="18"/>
  <c r="U238" i="12" s="1"/>
  <c r="AQ45" i="8"/>
  <c r="AQ53" i="8" s="1"/>
  <c r="P211" i="23"/>
  <c r="AY211" i="23"/>
  <c r="AX211" i="23"/>
  <c r="BC211" i="23" s="1"/>
  <c r="AW211" i="23"/>
  <c r="AV211" i="23"/>
  <c r="AU211" i="23"/>
  <c r="X124" i="16"/>
  <c r="BC446" i="22"/>
  <c r="BD456" i="22"/>
  <c r="X456" i="22"/>
  <c r="Y456" i="22" s="1"/>
  <c r="AX463" i="22"/>
  <c r="BB463" i="22"/>
  <c r="BA463" i="22"/>
  <c r="AZ463" i="22"/>
  <c r="AY463" i="22"/>
  <c r="W463" i="22"/>
  <c r="AC247" i="12"/>
  <c r="AC248" i="12" s="1"/>
  <c r="AC245" i="12"/>
  <c r="W288" i="12"/>
  <c r="P39" i="19"/>
  <c r="AG211" i="12"/>
  <c r="AG225" i="12"/>
  <c r="AG4" i="12"/>
  <c r="AG105" i="12"/>
  <c r="AZ220" i="22"/>
  <c r="CA220" i="22" s="1"/>
  <c r="AM76" i="12"/>
  <c r="BC458" i="22"/>
  <c r="AC315" i="12"/>
  <c r="AD32" i="12"/>
  <c r="AD29" i="12"/>
  <c r="AD319" i="12" s="1"/>
  <c r="AD27" i="12"/>
  <c r="AD317" i="12" s="1"/>
  <c r="AD31" i="12"/>
  <c r="AD25" i="12"/>
  <c r="AD315" i="12" s="1"/>
  <c r="AD30" i="12"/>
  <c r="AZ484" i="22"/>
  <c r="AY484" i="22"/>
  <c r="AX484" i="22"/>
  <c r="BB484" i="22"/>
  <c r="BA484" i="22"/>
  <c r="W484" i="22"/>
  <c r="AZ8" i="28"/>
  <c r="AF34" i="12"/>
  <c r="AF6" i="12"/>
  <c r="BC161" i="23"/>
  <c r="BB481" i="22"/>
  <c r="W481" i="22"/>
  <c r="BA481" i="22"/>
  <c r="AY481" i="22"/>
  <c r="AX481" i="22"/>
  <c r="AZ481" i="22"/>
  <c r="I80" i="13"/>
  <c r="I63" i="13"/>
  <c r="AZ450" i="22"/>
  <c r="W450" i="22"/>
  <c r="AX450" i="22"/>
  <c r="BB450" i="22"/>
  <c r="BA450" i="22"/>
  <c r="AY450" i="22"/>
  <c r="AI103" i="12"/>
  <c r="AL75" i="12"/>
  <c r="AM75" i="12" s="1"/>
  <c r="BB196" i="23"/>
  <c r="AZ196" i="23"/>
  <c r="BA196" i="23" s="1"/>
  <c r="X438" i="22"/>
  <c r="Y438" i="22" s="1"/>
  <c r="BD438" i="22"/>
  <c r="P32" i="19"/>
  <c r="W487" i="22"/>
  <c r="BB487" i="22"/>
  <c r="BA487" i="22"/>
  <c r="AZ487" i="22"/>
  <c r="AY487" i="22"/>
  <c r="AX487" i="22"/>
  <c r="BC487" i="22" s="1"/>
  <c r="AB13" i="12"/>
  <c r="AB83" i="12"/>
  <c r="BD444" i="22"/>
  <c r="X444" i="22"/>
  <c r="Y444" i="22" s="1"/>
  <c r="AX75" i="28"/>
  <c r="AW4" i="28"/>
  <c r="AW5" i="28" s="1"/>
  <c r="AW7" i="28" s="1"/>
  <c r="W59" i="12"/>
  <c r="W149" i="12" s="1"/>
  <c r="W61" i="12"/>
  <c r="W151" i="12" s="1"/>
  <c r="W54" i="12"/>
  <c r="W63" i="12"/>
  <c r="W56" i="12"/>
  <c r="W146" i="12" s="1"/>
  <c r="W60" i="12"/>
  <c r="W58" i="12"/>
  <c r="W148" i="12" s="1"/>
  <c r="W57" i="12"/>
  <c r="W62" i="12"/>
  <c r="W152" i="12" s="1"/>
  <c r="W55" i="12"/>
  <c r="W145" i="12" s="1"/>
  <c r="X427" i="22"/>
  <c r="Y427" i="22" s="1"/>
  <c r="BD427" i="22"/>
  <c r="BA501" i="22"/>
  <c r="AZ501" i="22"/>
  <c r="AY501" i="22"/>
  <c r="AX501" i="22"/>
  <c r="BB501" i="22"/>
  <c r="W501" i="22"/>
  <c r="AY3" i="28"/>
  <c r="W215" i="12"/>
  <c r="W106" i="12"/>
  <c r="BD433" i="22"/>
  <c r="X433" i="22"/>
  <c r="Y433" i="22" s="1"/>
  <c r="AA315" i="12"/>
  <c r="P218" i="23"/>
  <c r="AV218" i="23"/>
  <c r="AY218" i="23"/>
  <c r="AX218" i="23"/>
  <c r="AW218" i="23"/>
  <c r="AU218" i="23"/>
  <c r="AA42" i="13"/>
  <c r="AB6" i="13"/>
  <c r="AY223" i="22"/>
  <c r="BZ223" i="22" s="1"/>
  <c r="AY224" i="22"/>
  <c r="BZ224" i="22" s="1"/>
  <c r="AY225" i="22" s="1"/>
  <c r="BZ225" i="22" s="1"/>
  <c r="Z74" i="16"/>
  <c r="AA74" i="16" s="1"/>
  <c r="V292" i="12"/>
  <c r="AA14" i="12"/>
  <c r="AA84" i="12"/>
  <c r="R37" i="18"/>
  <c r="AN486" i="9"/>
  <c r="AF486" i="9" s="1"/>
  <c r="AG486" i="9" s="1"/>
  <c r="AH486" i="9" s="1"/>
  <c r="AK486" i="9" s="1"/>
  <c r="S486" i="9"/>
  <c r="T486" i="9" s="1"/>
  <c r="AY227" i="23"/>
  <c r="AX227" i="23"/>
  <c r="BC227" i="23" s="1"/>
  <c r="AW227" i="23"/>
  <c r="AV227" i="23"/>
  <c r="AU227" i="23"/>
  <c r="P227" i="23"/>
  <c r="AD25" i="27"/>
  <c r="O226" i="23" s="1"/>
  <c r="AD9" i="27"/>
  <c r="T100" i="16"/>
  <c r="AB26" i="12"/>
  <c r="Q32" i="18"/>
  <c r="X282" i="12" s="1"/>
  <c r="Q33" i="19"/>
  <c r="Q98" i="16"/>
  <c r="AK71" i="12"/>
  <c r="BB508" i="22"/>
  <c r="BA508" i="22"/>
  <c r="W508" i="22"/>
  <c r="AZ508" i="22"/>
  <c r="AY508" i="22"/>
  <c r="AX508" i="22"/>
  <c r="AF222" i="12"/>
  <c r="AF223" i="12"/>
  <c r="AF221" i="12"/>
  <c r="AF244" i="12" s="1"/>
  <c r="AF224" i="12"/>
  <c r="AF324" i="12" s="1"/>
  <c r="BB187" i="23"/>
  <c r="AZ187" i="23"/>
  <c r="BA187" i="23" s="1"/>
  <c r="BB475" i="22"/>
  <c r="AZ475" i="22"/>
  <c r="W475" i="22"/>
  <c r="AY475" i="22"/>
  <c r="AX475" i="22"/>
  <c r="BA475" i="22"/>
  <c r="BD402" i="22"/>
  <c r="X402" i="22"/>
  <c r="Y402" i="22" s="1"/>
  <c r="AZ505" i="22"/>
  <c r="W505" i="22"/>
  <c r="AX505" i="22"/>
  <c r="BB505" i="22"/>
  <c r="BA505" i="22"/>
  <c r="AY505" i="22"/>
  <c r="I3" i="13"/>
  <c r="I5" i="13" s="1"/>
  <c r="H9" i="13"/>
  <c r="H8" i="13" s="1"/>
  <c r="V474" i="22"/>
  <c r="V486" i="22" s="1"/>
  <c r="U486" i="22" s="1"/>
  <c r="AA318" i="12"/>
  <c r="AU25" i="16" l="1"/>
  <c r="AU26" i="16"/>
  <c r="AA122" i="16"/>
  <c r="AA75" i="16"/>
  <c r="AA123" i="16" s="1"/>
  <c r="BB486" i="22"/>
  <c r="AZ486" i="22"/>
  <c r="W486" i="22"/>
  <c r="AY486" i="22"/>
  <c r="AX486" i="22"/>
  <c r="BA486" i="22"/>
  <c r="AL103" i="12"/>
  <c r="AZ219" i="23"/>
  <c r="BA219" i="23" s="1"/>
  <c r="BB219" i="23"/>
  <c r="AH222" i="12"/>
  <c r="AH224" i="12"/>
  <c r="AH324" i="12" s="1"/>
  <c r="AH221" i="12"/>
  <c r="AH244" i="12" s="1"/>
  <c r="AH223" i="12"/>
  <c r="BC508" i="22"/>
  <c r="AY226" i="22"/>
  <c r="BZ226" i="22" s="1"/>
  <c r="AG14" i="27"/>
  <c r="AG30" i="27"/>
  <c r="O267" i="23" s="1"/>
  <c r="W105" i="16"/>
  <c r="BB17" i="28"/>
  <c r="BC15" i="28"/>
  <c r="Q34" i="19"/>
  <c r="O222" i="23"/>
  <c r="AE216" i="12"/>
  <c r="BA208" i="22"/>
  <c r="BC494" i="22"/>
  <c r="AD28" i="12"/>
  <c r="AV15" i="16"/>
  <c r="AF250" i="12"/>
  <c r="AF308" i="12"/>
  <c r="AZ213" i="23"/>
  <c r="BA213" i="23" s="1"/>
  <c r="BB213" i="23"/>
  <c r="BC481" i="22"/>
  <c r="BD467" i="22"/>
  <c r="X467" i="22"/>
  <c r="Y467" i="22" s="1"/>
  <c r="AB312" i="12"/>
  <c r="AK70" i="8"/>
  <c r="AL8" i="8"/>
  <c r="AK17" i="8"/>
  <c r="AK150" i="8" s="1"/>
  <c r="AK7" i="8"/>
  <c r="AK86" i="8" s="1"/>
  <c r="AG31" i="27"/>
  <c r="O268" i="23" s="1"/>
  <c r="AG15" i="27"/>
  <c r="W106" i="16"/>
  <c r="U155" i="12"/>
  <c r="BD56" i="12"/>
  <c r="R97" i="16"/>
  <c r="R31" i="18"/>
  <c r="R32" i="19" s="1"/>
  <c r="BC505" i="22"/>
  <c r="W147" i="12"/>
  <c r="BF54" i="12"/>
  <c r="AD12" i="12"/>
  <c r="BD58" i="12"/>
  <c r="BC214" i="23"/>
  <c r="AX208" i="22"/>
  <c r="Y307" i="12"/>
  <c r="AO24" i="32"/>
  <c r="AP37" i="8"/>
  <c r="AO25" i="32" s="1"/>
  <c r="R498" i="9" s="1"/>
  <c r="AI90" i="8"/>
  <c r="AI91" i="8" s="1"/>
  <c r="AI92" i="8" s="1"/>
  <c r="AI93" i="8" s="1"/>
  <c r="AI94" i="8" s="1"/>
  <c r="AI95" i="8" s="1"/>
  <c r="AI96" i="8" s="1"/>
  <c r="AI97" i="8" s="1"/>
  <c r="AI98" i="8" s="1"/>
  <c r="AI99" i="8" s="1"/>
  <c r="AI100" i="8" s="1"/>
  <c r="AI101" i="8" s="1"/>
  <c r="AD253" i="12"/>
  <c r="AD254" i="12" s="1"/>
  <c r="AD251" i="12"/>
  <c r="X144" i="12"/>
  <c r="AF245" i="12"/>
  <c r="AF247" i="12"/>
  <c r="AF248" i="12" s="1"/>
  <c r="I81" i="13"/>
  <c r="I64" i="13"/>
  <c r="AY42" i="16"/>
  <c r="AY41" i="16"/>
  <c r="AC321" i="12"/>
  <c r="BC218" i="23"/>
  <c r="AF9" i="12"/>
  <c r="X446" i="22"/>
  <c r="Y446" i="22" s="1"/>
  <c r="BD446" i="22"/>
  <c r="AS10" i="28"/>
  <c r="AS12" i="28" s="1"/>
  <c r="Y18" i="12"/>
  <c r="Y16" i="12"/>
  <c r="AM205" i="12"/>
  <c r="BB214" i="23"/>
  <c r="AZ214" i="23"/>
  <c r="BA214" i="23" s="1"/>
  <c r="X465" i="22"/>
  <c r="Y465" i="22" s="1"/>
  <c r="BD465" i="22"/>
  <c r="BE56" i="12"/>
  <c r="Y323" i="12"/>
  <c r="AQ36" i="8"/>
  <c r="W482" i="22"/>
  <c r="BB482" i="22"/>
  <c r="AZ482" i="22"/>
  <c r="AY482" i="22"/>
  <c r="AX482" i="22"/>
  <c r="BA482" i="22"/>
  <c r="AY173" i="23"/>
  <c r="AV173" i="23"/>
  <c r="AU173" i="23"/>
  <c r="AX173" i="23"/>
  <c r="BC173" i="23" s="1"/>
  <c r="AW173" i="23"/>
  <c r="P173" i="23"/>
  <c r="AE24" i="27"/>
  <c r="O237" i="23" s="1"/>
  <c r="AE8" i="27"/>
  <c r="U99" i="16"/>
  <c r="AT26" i="16"/>
  <c r="AT25" i="16"/>
  <c r="AF318" i="12"/>
  <c r="BC501" i="22"/>
  <c r="X17" i="12"/>
  <c r="BB8" i="28"/>
  <c r="AH34" i="12"/>
  <c r="AH6" i="12"/>
  <c r="AW230" i="23"/>
  <c r="AV230" i="23"/>
  <c r="AY230" i="23"/>
  <c r="AX230" i="23"/>
  <c r="BC230" i="23" s="1"/>
  <c r="P230" i="23"/>
  <c r="AU230" i="23"/>
  <c r="AU23" i="16"/>
  <c r="AU24" i="16"/>
  <c r="AU22" i="16"/>
  <c r="AU21" i="16"/>
  <c r="W504" i="22"/>
  <c r="BB504" i="22"/>
  <c r="BA504" i="22"/>
  <c r="AZ504" i="22"/>
  <c r="AY504" i="22"/>
  <c r="AX504" i="22"/>
  <c r="BC504" i="22" s="1"/>
  <c r="AD318" i="12"/>
  <c r="AM71" i="12"/>
  <c r="AM81" i="12" s="1"/>
  <c r="W65" i="12"/>
  <c r="W155" i="12" s="1"/>
  <c r="AF28" i="12"/>
  <c r="X458" i="22"/>
  <c r="Y458" i="22" s="1"/>
  <c r="BD458" i="22"/>
  <c r="AW241" i="23"/>
  <c r="AV241" i="23"/>
  <c r="P241" i="23"/>
  <c r="AY241" i="23"/>
  <c r="AX241" i="23"/>
  <c r="BC241" i="23" s="1"/>
  <c r="AU241" i="23"/>
  <c r="BC452" i="22"/>
  <c r="BB479" i="22"/>
  <c r="AZ479" i="22"/>
  <c r="AY479" i="22"/>
  <c r="AX479" i="22"/>
  <c r="W479" i="22"/>
  <c r="BA479" i="22"/>
  <c r="X55" i="12"/>
  <c r="BF57" i="12" s="1"/>
  <c r="R485" i="9"/>
  <c r="AN26" i="32"/>
  <c r="AX506" i="22"/>
  <c r="BB506" i="22"/>
  <c r="BA506" i="22"/>
  <c r="AZ506" i="22"/>
  <c r="AY506" i="22"/>
  <c r="W506" i="22"/>
  <c r="X493" i="22"/>
  <c r="Y493" i="22" s="1"/>
  <c r="BD493" i="22"/>
  <c r="AZ244" i="23"/>
  <c r="BA244" i="23" s="1"/>
  <c r="BB244" i="23"/>
  <c r="BB229" i="23"/>
  <c r="AZ229" i="23"/>
  <c r="BA229" i="23" s="1"/>
  <c r="BD488" i="22"/>
  <c r="X488" i="22"/>
  <c r="Y488" i="22" s="1"/>
  <c r="BB198" i="23"/>
  <c r="AZ198" i="23"/>
  <c r="BA198" i="23" s="1"/>
  <c r="Z122" i="16"/>
  <c r="Z124" i="16" s="1"/>
  <c r="Z75" i="16"/>
  <c r="Z123" i="16" s="1"/>
  <c r="AC302" i="12"/>
  <c r="AH213" i="12"/>
  <c r="AH108" i="12"/>
  <c r="AV16" i="16"/>
  <c r="BB199" i="23"/>
  <c r="AZ199" i="23"/>
  <c r="BA199" i="23" s="1"/>
  <c r="AE22" i="27"/>
  <c r="O235" i="23" s="1"/>
  <c r="AE6" i="27"/>
  <c r="U97" i="16"/>
  <c r="AB297" i="12"/>
  <c r="AC23" i="12"/>
  <c r="AF216" i="12"/>
  <c r="BF33" i="12"/>
  <c r="BF32" i="12"/>
  <c r="BG26" i="12"/>
  <c r="AD299" i="12"/>
  <c r="AD303" i="12"/>
  <c r="AD304" i="12"/>
  <c r="AD301" i="12"/>
  <c r="AD306" i="12"/>
  <c r="AD302" i="12"/>
  <c r="AD305" i="12"/>
  <c r="W150" i="12"/>
  <c r="BF55" i="12"/>
  <c r="AZ211" i="23"/>
  <c r="BA211" i="23" s="1"/>
  <c r="BB211" i="23"/>
  <c r="Y63" i="12"/>
  <c r="Y153" i="12" s="1"/>
  <c r="Y59" i="12"/>
  <c r="Y149" i="12" s="1"/>
  <c r="Y54" i="12"/>
  <c r="Y144" i="12" s="1"/>
  <c r="Y61" i="12"/>
  <c r="Y151" i="12" s="1"/>
  <c r="Y55" i="12"/>
  <c r="Y145" i="12" s="1"/>
  <c r="Y57" i="12"/>
  <c r="Y147" i="12" s="1"/>
  <c r="AZ37" i="16"/>
  <c r="AZ38" i="16"/>
  <c r="AB313" i="12"/>
  <c r="AZ220" i="23"/>
  <c r="BA220" i="23" s="1"/>
  <c r="BB220" i="23"/>
  <c r="BB503" i="22"/>
  <c r="W503" i="22"/>
  <c r="AZ503" i="22"/>
  <c r="AY503" i="22"/>
  <c r="AX503" i="22"/>
  <c r="BA503" i="22"/>
  <c r="X62" i="12"/>
  <c r="X152" i="12" s="1"/>
  <c r="P107" i="16"/>
  <c r="P108" i="16" s="1"/>
  <c r="P41" i="18"/>
  <c r="Q41" i="18" s="1"/>
  <c r="AB8" i="12"/>
  <c r="AC8" i="12" s="1"/>
  <c r="O42" i="19"/>
  <c r="O43" i="19" s="1"/>
  <c r="V239" i="12" s="1"/>
  <c r="P253" i="23"/>
  <c r="AY253" i="23"/>
  <c r="AX253" i="23"/>
  <c r="AW253" i="23"/>
  <c r="AV253" i="23"/>
  <c r="AU253" i="23"/>
  <c r="M80" i="16"/>
  <c r="M81" i="16" s="1"/>
  <c r="M82" i="16" s="1"/>
  <c r="M83" i="16" s="1"/>
  <c r="M84" i="16" s="1"/>
  <c r="M85" i="16" s="1"/>
  <c r="M86" i="16" s="1"/>
  <c r="M87" i="16" s="1"/>
  <c r="M88" i="16" s="1"/>
  <c r="M89" i="16" s="1"/>
  <c r="M90" i="16" s="1"/>
  <c r="AA32" i="13"/>
  <c r="AA36" i="13"/>
  <c r="AA38" i="13"/>
  <c r="AA37" i="13"/>
  <c r="AA35" i="13"/>
  <c r="AA34" i="13"/>
  <c r="AA33" i="13"/>
  <c r="AA31" i="13"/>
  <c r="AA39" i="13"/>
  <c r="AA40" i="13"/>
  <c r="AA30" i="13"/>
  <c r="AA41" i="13"/>
  <c r="Q108" i="16"/>
  <c r="BB218" i="23"/>
  <c r="AZ218" i="23"/>
  <c r="BA218" i="23" s="1"/>
  <c r="AD322" i="12"/>
  <c r="AC23" i="27"/>
  <c r="AC7" i="27"/>
  <c r="S98" i="16"/>
  <c r="AA298" i="12"/>
  <c r="Z314" i="12"/>
  <c r="AB298" i="12"/>
  <c r="Z298" i="12"/>
  <c r="Z33" i="12"/>
  <c r="Y215" i="12"/>
  <c r="Y106" i="12"/>
  <c r="O28" i="16"/>
  <c r="P5" i="16"/>
  <c r="O6" i="16"/>
  <c r="AL71" i="12"/>
  <c r="AL81" i="12" s="1"/>
  <c r="Y290" i="12"/>
  <c r="R41" i="19"/>
  <c r="X57" i="12"/>
  <c r="X147" i="12" s="1"/>
  <c r="BA45" i="28"/>
  <c r="AZ47" i="28"/>
  <c r="BD431" i="22"/>
  <c r="X431" i="22"/>
  <c r="Y431" i="22" s="1"/>
  <c r="AZ42" i="16"/>
  <c r="AZ41" i="16"/>
  <c r="BA35" i="16"/>
  <c r="BC192" i="23"/>
  <c r="AY29" i="28"/>
  <c r="AZ27" i="28"/>
  <c r="BC229" i="23"/>
  <c r="P225" i="23"/>
  <c r="AY225" i="23"/>
  <c r="AX225" i="23"/>
  <c r="BC225" i="23" s="1"/>
  <c r="AW225" i="23"/>
  <c r="AV225" i="23"/>
  <c r="AU225" i="23"/>
  <c r="AU200" i="23"/>
  <c r="AY200" i="23"/>
  <c r="P200" i="23"/>
  <c r="AX200" i="23"/>
  <c r="BC200" i="23" s="1"/>
  <c r="AW200" i="23"/>
  <c r="AV200" i="23"/>
  <c r="BB180" i="23"/>
  <c r="AZ180" i="23"/>
  <c r="BA180" i="23" s="1"/>
  <c r="AB74" i="16"/>
  <c r="AG28" i="27"/>
  <c r="O265" i="23" s="1"/>
  <c r="AG12" i="27"/>
  <c r="W103" i="16"/>
  <c r="M27" i="16"/>
  <c r="W153" i="12"/>
  <c r="AZ221" i="22"/>
  <c r="CA221" i="22" s="1"/>
  <c r="N11" i="16"/>
  <c r="N10" i="16" s="1"/>
  <c r="N8" i="16"/>
  <c r="Y288" i="12"/>
  <c r="R39" i="19"/>
  <c r="X58" i="12"/>
  <c r="X148" i="12" s="1"/>
  <c r="O185" i="23"/>
  <c r="Z33" i="27"/>
  <c r="Z35" i="27" s="1"/>
  <c r="AF29" i="27"/>
  <c r="O254" i="23" s="1"/>
  <c r="AF13" i="27"/>
  <c r="V104" i="16"/>
  <c r="AC320" i="12"/>
  <c r="AZ192" i="23"/>
  <c r="BA192" i="23" s="1"/>
  <c r="BB192" i="23"/>
  <c r="AY35" i="28"/>
  <c r="AZ33" i="28"/>
  <c r="Q102" i="16"/>
  <c r="Q36" i="18"/>
  <c r="X286" i="12" s="1"/>
  <c r="AC74" i="16"/>
  <c r="AA33" i="27"/>
  <c r="AA35" i="27" s="1"/>
  <c r="R33" i="18"/>
  <c r="Z18" i="13"/>
  <c r="Z25" i="13"/>
  <c r="Z17" i="13"/>
  <c r="Z24" i="13"/>
  <c r="Z15" i="13"/>
  <c r="Z21" i="13"/>
  <c r="Z22" i="13"/>
  <c r="Z20" i="13"/>
  <c r="Z23" i="13"/>
  <c r="Z16" i="13"/>
  <c r="Z14" i="13"/>
  <c r="Z19" i="13"/>
  <c r="P95" i="12"/>
  <c r="P96" i="12" s="1"/>
  <c r="P97" i="12" s="1"/>
  <c r="AX88" i="12"/>
  <c r="AB296" i="12"/>
  <c r="BA462" i="22"/>
  <c r="AZ462" i="22"/>
  <c r="AX462" i="22"/>
  <c r="BB462" i="22"/>
  <c r="AY462" i="22"/>
  <c r="W462" i="22"/>
  <c r="AJ103" i="12"/>
  <c r="BC491" i="22"/>
  <c r="AU223" i="23"/>
  <c r="AW223" i="23"/>
  <c r="AV223" i="23"/>
  <c r="AY223" i="23"/>
  <c r="P223" i="23"/>
  <c r="AX223" i="23"/>
  <c r="V163" i="12"/>
  <c r="V168" i="12"/>
  <c r="V162" i="12"/>
  <c r="V170" i="12"/>
  <c r="V165" i="12"/>
  <c r="V171" i="12"/>
  <c r="V166" i="12"/>
  <c r="V172" i="12"/>
  <c r="V167" i="12"/>
  <c r="V169" i="12"/>
  <c r="V164" i="12"/>
  <c r="V173" i="12" s="1"/>
  <c r="BC475" i="22"/>
  <c r="AE9" i="27"/>
  <c r="AE25" i="27"/>
  <c r="O238" i="23" s="1"/>
  <c r="U100" i="16"/>
  <c r="AB316" i="12"/>
  <c r="AC316" i="12"/>
  <c r="AB300" i="12"/>
  <c r="W144" i="12"/>
  <c r="BE57" i="12"/>
  <c r="AI105" i="12"/>
  <c r="AI211" i="12"/>
  <c r="AI225" i="12"/>
  <c r="AI4" i="12"/>
  <c r="AG213" i="12"/>
  <c r="AG108" i="12"/>
  <c r="AB24" i="12"/>
  <c r="AC24" i="12" s="1"/>
  <c r="BC63" i="12"/>
  <c r="BC62" i="12"/>
  <c r="BC61" i="12"/>
  <c r="BC60" i="12"/>
  <c r="N22" i="16"/>
  <c r="N20" i="16"/>
  <c r="N18" i="16"/>
  <c r="N17" i="16"/>
  <c r="N21" i="16"/>
  <c r="N25" i="16"/>
  <c r="N19" i="16"/>
  <c r="AW16" i="16" s="1"/>
  <c r="N16" i="16"/>
  <c r="AW15" i="16" s="1"/>
  <c r="N24" i="16"/>
  <c r="N27" i="16" s="1"/>
  <c r="N26" i="16"/>
  <c r="N23" i="16"/>
  <c r="P37" i="19"/>
  <c r="AX240" i="23"/>
  <c r="BC240" i="23" s="1"/>
  <c r="AW240" i="23"/>
  <c r="AU240" i="23"/>
  <c r="AY240" i="23"/>
  <c r="AV240" i="23"/>
  <c r="P240" i="23"/>
  <c r="X60" i="12"/>
  <c r="X150" i="12" s="1"/>
  <c r="BA21" i="28"/>
  <c r="AZ23" i="28"/>
  <c r="Y124" i="16"/>
  <c r="BC483" i="22"/>
  <c r="P210" i="23"/>
  <c r="AY210" i="23"/>
  <c r="AX210" i="23"/>
  <c r="BC210" i="23" s="1"/>
  <c r="AU210" i="23"/>
  <c r="AV210" i="23"/>
  <c r="AW210" i="23"/>
  <c r="BB217" i="23"/>
  <c r="AZ217" i="23"/>
  <c r="BA217" i="23" s="1"/>
  <c r="BB223" i="22"/>
  <c r="CC223" i="22" s="1"/>
  <c r="BB239" i="23"/>
  <c r="AZ239" i="23"/>
  <c r="BA239" i="23" s="1"/>
  <c r="AX188" i="23"/>
  <c r="BC188" i="23" s="1"/>
  <c r="AV188" i="23"/>
  <c r="AU188" i="23"/>
  <c r="AW188" i="23"/>
  <c r="P188" i="23"/>
  <c r="AY188" i="23"/>
  <c r="AG13" i="27"/>
  <c r="AG29" i="27"/>
  <c r="O266" i="23" s="1"/>
  <c r="W104" i="16"/>
  <c r="AG24" i="27"/>
  <c r="O261" i="23" s="1"/>
  <c r="AG8" i="27"/>
  <c r="W99" i="16"/>
  <c r="BB204" i="23"/>
  <c r="AZ204" i="23"/>
  <c r="BA204" i="23" s="1"/>
  <c r="V248" i="12"/>
  <c r="V245" i="12"/>
  <c r="T108" i="16"/>
  <c r="Y287" i="12"/>
  <c r="R38" i="19"/>
  <c r="AF14" i="27"/>
  <c r="AF30" i="27"/>
  <c r="O255" i="23" s="1"/>
  <c r="V105" i="16"/>
  <c r="X499" i="22"/>
  <c r="Y499" i="22" s="1"/>
  <c r="BD499" i="22"/>
  <c r="BB476" i="22"/>
  <c r="BA476" i="22"/>
  <c r="AZ476" i="22"/>
  <c r="AY476" i="22"/>
  <c r="AX476" i="22"/>
  <c r="W476" i="22"/>
  <c r="BC464" i="22"/>
  <c r="BB500" i="22"/>
  <c r="BA500" i="22"/>
  <c r="AZ500" i="22"/>
  <c r="W500" i="22"/>
  <c r="AY500" i="22"/>
  <c r="AX500" i="22"/>
  <c r="BC500" i="22" s="1"/>
  <c r="AX251" i="23"/>
  <c r="BC251" i="23" s="1"/>
  <c r="AW251" i="23"/>
  <c r="AU251" i="23"/>
  <c r="P251" i="23"/>
  <c r="AY251" i="23"/>
  <c r="AV251" i="23"/>
  <c r="BD207" i="22"/>
  <c r="X207" i="22"/>
  <c r="Y207" i="22" s="1"/>
  <c r="AN487" i="9"/>
  <c r="AF487" i="9" s="1"/>
  <c r="AG487" i="9" s="1"/>
  <c r="AH487" i="9" s="1"/>
  <c r="AK487" i="9" s="1"/>
  <c r="S487" i="9"/>
  <c r="T487" i="9" s="1"/>
  <c r="AD320" i="12"/>
  <c r="BC484" i="22"/>
  <c r="BA8" i="28"/>
  <c r="AG34" i="12"/>
  <c r="AG6" i="12"/>
  <c r="AA314" i="12"/>
  <c r="AP157" i="8"/>
  <c r="AQ157" i="8" s="1"/>
  <c r="X63" i="12"/>
  <c r="X153" i="12" s="1"/>
  <c r="AY6" i="28"/>
  <c r="AD74" i="16"/>
  <c r="AD122" i="16" s="1"/>
  <c r="BC470" i="22"/>
  <c r="AD16" i="27"/>
  <c r="AD32" i="27"/>
  <c r="O233" i="23" s="1"/>
  <c r="T107" i="16"/>
  <c r="AU9" i="28"/>
  <c r="AA156" i="12"/>
  <c r="AA107" i="12"/>
  <c r="AA66" i="12"/>
  <c r="AA7" i="12"/>
  <c r="X284" i="12"/>
  <c r="Q35" i="19"/>
  <c r="AC22" i="12"/>
  <c r="W214" i="12"/>
  <c r="W114" i="12"/>
  <c r="W64" i="12"/>
  <c r="W154" i="12" s="1"/>
  <c r="AG222" i="12"/>
  <c r="AG224" i="12"/>
  <c r="AG324" i="12" s="1"/>
  <c r="AG221" i="12"/>
  <c r="AG244" i="12" s="1"/>
  <c r="AG223" i="12"/>
  <c r="AD23" i="27"/>
  <c r="O224" i="23" s="1"/>
  <c r="AD7" i="27"/>
  <c r="AD17" i="27" s="1"/>
  <c r="T98" i="16"/>
  <c r="AK81" i="12"/>
  <c r="Q107" i="16"/>
  <c r="BB215" i="23"/>
  <c r="AZ215" i="23"/>
  <c r="BA215" i="23" s="1"/>
  <c r="AY41" i="28"/>
  <c r="AZ39" i="28"/>
  <c r="X56" i="12"/>
  <c r="X146" i="12" s="1"/>
  <c r="AC26" i="12"/>
  <c r="X214" i="12"/>
  <c r="X114" i="12"/>
  <c r="AF11" i="27"/>
  <c r="AF27" i="27"/>
  <c r="O252" i="23" s="1"/>
  <c r="V102" i="16"/>
  <c r="AE21" i="27"/>
  <c r="AE5" i="27"/>
  <c r="U96" i="16"/>
  <c r="AB33" i="12"/>
  <c r="AB14" i="12"/>
  <c r="AB84" i="12"/>
  <c r="BC463" i="22"/>
  <c r="AY226" i="23"/>
  <c r="AX226" i="23"/>
  <c r="AW226" i="23"/>
  <c r="AV226" i="23"/>
  <c r="AU226" i="23"/>
  <c r="P226" i="23"/>
  <c r="AB16" i="27"/>
  <c r="AB32" i="27"/>
  <c r="O209" i="23" s="1"/>
  <c r="R43" i="16"/>
  <c r="AA323" i="12"/>
  <c r="Z307" i="12"/>
  <c r="AA307" i="12"/>
  <c r="X480" i="22"/>
  <c r="Y480" i="22" s="1"/>
  <c r="BD480" i="22"/>
  <c r="AE308" i="12"/>
  <c r="AE250" i="12"/>
  <c r="P197" i="23"/>
  <c r="AY197" i="23"/>
  <c r="AX197" i="23"/>
  <c r="AW197" i="23"/>
  <c r="AV197" i="23"/>
  <c r="AU197" i="23"/>
  <c r="BC495" i="22"/>
  <c r="BD440" i="22"/>
  <c r="X440" i="22"/>
  <c r="Y440" i="22" s="1"/>
  <c r="BC455" i="22"/>
  <c r="BC65" i="12"/>
  <c r="BC64" i="12"/>
  <c r="P228" i="23"/>
  <c r="AY228" i="23"/>
  <c r="AX228" i="23"/>
  <c r="BC228" i="23" s="1"/>
  <c r="AW228" i="23"/>
  <c r="AV228" i="23"/>
  <c r="AU228" i="23"/>
  <c r="AE29" i="12"/>
  <c r="AE31" i="12"/>
  <c r="AE27" i="12"/>
  <c r="AE25" i="12"/>
  <c r="AF25" i="12" s="1"/>
  <c r="AE28" i="12"/>
  <c r="AE30" i="12"/>
  <c r="AE32" i="12"/>
  <c r="AF32" i="12" s="1"/>
  <c r="AR11" i="28"/>
  <c r="X174" i="12"/>
  <c r="V498" i="22"/>
  <c r="U498" i="22" s="1"/>
  <c r="U474" i="22"/>
  <c r="BD487" i="22"/>
  <c r="X487" i="22"/>
  <c r="Y487" i="22" s="1"/>
  <c r="BD496" i="22"/>
  <c r="X496" i="22"/>
  <c r="Y496" i="22" s="1"/>
  <c r="AV18" i="16"/>
  <c r="AV17" i="16"/>
  <c r="AJ141" i="8"/>
  <c r="AJ148" i="8"/>
  <c r="AJ143" i="8"/>
  <c r="AJ138" i="8"/>
  <c r="AJ145" i="8"/>
  <c r="AJ140" i="8"/>
  <c r="AJ142" i="8"/>
  <c r="AJ147" i="8"/>
  <c r="AJ146" i="8"/>
  <c r="AJ144" i="8"/>
  <c r="AJ139" i="8"/>
  <c r="AG10" i="27"/>
  <c r="AG26" i="27"/>
  <c r="O263" i="23" s="1"/>
  <c r="W101" i="16"/>
  <c r="X281" i="12"/>
  <c r="AC296" i="12"/>
  <c r="AJ61" i="8"/>
  <c r="AJ68" i="8"/>
  <c r="AJ63" i="8"/>
  <c r="AJ58" i="8"/>
  <c r="AJ69" i="8" s="1"/>
  <c r="AJ65" i="8"/>
  <c r="AJ60" i="8"/>
  <c r="AJ67" i="8"/>
  <c r="AJ66" i="8"/>
  <c r="AJ59" i="8"/>
  <c r="AJ62" i="8"/>
  <c r="AJ64" i="8"/>
  <c r="BD439" i="22"/>
  <c r="X439" i="22"/>
  <c r="Y439" i="22" s="1"/>
  <c r="AC83" i="12"/>
  <c r="AC13" i="12"/>
  <c r="BC450" i="22"/>
  <c r="U248" i="12"/>
  <c r="U240" i="12"/>
  <c r="U241" i="12" s="1"/>
  <c r="U245" i="12"/>
  <c r="R32" i="18"/>
  <c r="Y282" i="12" s="1"/>
  <c r="R98" i="16"/>
  <c r="BE58" i="12"/>
  <c r="AB33" i="27"/>
  <c r="AB35" i="27" s="1"/>
  <c r="AE320" i="12"/>
  <c r="AE317" i="12"/>
  <c r="AE315" i="12"/>
  <c r="AE318" i="12"/>
  <c r="AN499" i="9"/>
  <c r="AF499" i="9" s="1"/>
  <c r="AG499" i="9" s="1"/>
  <c r="AH499" i="9" s="1"/>
  <c r="AK499" i="9" s="1"/>
  <c r="S499" i="9"/>
  <c r="T499" i="9" s="1"/>
  <c r="BB216" i="23"/>
  <c r="AZ216" i="23"/>
  <c r="BA216" i="23" s="1"/>
  <c r="AE14" i="27"/>
  <c r="AE30" i="27"/>
  <c r="O243" i="23" s="1"/>
  <c r="U105" i="16"/>
  <c r="AB305" i="12"/>
  <c r="AB321" i="12"/>
  <c r="BB232" i="23"/>
  <c r="AZ232" i="23"/>
  <c r="BA232" i="23" s="1"/>
  <c r="AE9" i="12"/>
  <c r="AV231" i="23"/>
  <c r="AU231" i="23"/>
  <c r="P231" i="23"/>
  <c r="AY231" i="23"/>
  <c r="AX231" i="23"/>
  <c r="AW231" i="23"/>
  <c r="X468" i="22"/>
  <c r="Y468" i="22" s="1"/>
  <c r="BD468" i="22"/>
  <c r="AU256" i="23"/>
  <c r="AY256" i="23"/>
  <c r="P256" i="23"/>
  <c r="AV256" i="23"/>
  <c r="AX256" i="23"/>
  <c r="BC256" i="23" s="1"/>
  <c r="AW256" i="23"/>
  <c r="AQ11" i="28"/>
  <c r="W174" i="12"/>
  <c r="AJ80" i="8"/>
  <c r="AJ75" i="8"/>
  <c r="AJ85" i="8" s="1"/>
  <c r="AJ79" i="8"/>
  <c r="AJ82" i="8"/>
  <c r="AJ77" i="8"/>
  <c r="AJ84" i="8"/>
  <c r="AJ81" i="8"/>
  <c r="AJ74" i="8"/>
  <c r="AJ78" i="8"/>
  <c r="AJ76" i="8"/>
  <c r="AJ83" i="8"/>
  <c r="R102" i="16"/>
  <c r="AC6" i="13"/>
  <c r="AB42" i="13"/>
  <c r="BD492" i="22"/>
  <c r="X492" i="22"/>
  <c r="Y492" i="22" s="1"/>
  <c r="BC204" i="23"/>
  <c r="P242" i="23"/>
  <c r="AV242" i="23"/>
  <c r="AY242" i="23"/>
  <c r="AX242" i="23"/>
  <c r="BC242" i="23" s="1"/>
  <c r="AW242" i="23"/>
  <c r="AU242" i="23"/>
  <c r="X477" i="22"/>
  <c r="Y477" i="22" s="1"/>
  <c r="BD477" i="22"/>
  <c r="BB227" i="23"/>
  <c r="AZ227" i="23"/>
  <c r="BA227" i="23" s="1"/>
  <c r="AZ3" i="28"/>
  <c r="AY75" i="28"/>
  <c r="AX4" i="28"/>
  <c r="AX5" i="28" s="1"/>
  <c r="AX7" i="28" s="1"/>
  <c r="X469" i="22"/>
  <c r="Y469" i="22" s="1"/>
  <c r="BD469" i="22"/>
  <c r="AB17" i="27"/>
  <c r="BD472" i="22"/>
  <c r="X472" i="22"/>
  <c r="Y472" i="22" s="1"/>
  <c r="AF24" i="27"/>
  <c r="O249" i="23" s="1"/>
  <c r="AF8" i="27"/>
  <c r="V99" i="16"/>
  <c r="AE244" i="12"/>
  <c r="R34" i="18"/>
  <c r="BC215" i="23"/>
  <c r="AE114" i="16"/>
  <c r="AF66" i="16"/>
  <c r="X59" i="12"/>
  <c r="X149" i="12" s="1"/>
  <c r="BC216" i="23"/>
  <c r="BC507" i="22"/>
  <c r="AD247" i="12"/>
  <c r="AD248" i="12" s="1"/>
  <c r="AD245" i="12"/>
  <c r="AB4" i="13"/>
  <c r="AA26" i="13"/>
  <c r="AT9" i="28"/>
  <c r="Z156" i="12"/>
  <c r="Z107" i="12"/>
  <c r="Z66" i="12"/>
  <c r="Z7" i="12"/>
  <c r="AE72" i="16"/>
  <c r="AE120" i="16" s="1"/>
  <c r="V251" i="12" l="1"/>
  <c r="V254" i="12"/>
  <c r="V240" i="12"/>
  <c r="V241" i="12" s="1"/>
  <c r="AI31" i="27"/>
  <c r="O292" i="23" s="1"/>
  <c r="AI15" i="27"/>
  <c r="Y106" i="16"/>
  <c r="AF322" i="12"/>
  <c r="AF23" i="27"/>
  <c r="O248" i="23" s="1"/>
  <c r="AF7" i="27"/>
  <c r="V98" i="16"/>
  <c r="AI24" i="27"/>
  <c r="O285" i="23" s="1"/>
  <c r="AI8" i="27"/>
  <c r="Y99" i="16"/>
  <c r="AF315" i="12"/>
  <c r="AF317" i="12"/>
  <c r="AW9" i="28"/>
  <c r="AC156" i="12"/>
  <c r="AC66" i="12"/>
  <c r="AC107" i="12"/>
  <c r="AC7" i="12"/>
  <c r="X291" i="12"/>
  <c r="X292" i="12" s="1"/>
  <c r="Q42" i="19"/>
  <c r="Q43" i="19" s="1"/>
  <c r="X239" i="12" s="1"/>
  <c r="AE12" i="12"/>
  <c r="P222" i="23"/>
  <c r="AV222" i="23"/>
  <c r="AY222" i="23"/>
  <c r="AX222" i="23"/>
  <c r="BC222" i="23" s="1"/>
  <c r="AU222" i="23"/>
  <c r="AW222" i="23"/>
  <c r="AG308" i="12"/>
  <c r="AG250" i="12"/>
  <c r="BY208" i="22"/>
  <c r="BC208" i="22"/>
  <c r="AH30" i="27"/>
  <c r="O279" i="23" s="1"/>
  <c r="AH14" i="27"/>
  <c r="X105" i="16"/>
  <c r="AK68" i="8"/>
  <c r="AK63" i="8"/>
  <c r="AK58" i="8"/>
  <c r="AK65" i="8"/>
  <c r="AK60" i="8"/>
  <c r="AK67" i="8"/>
  <c r="AK66" i="8"/>
  <c r="AK59" i="8"/>
  <c r="AK61" i="8"/>
  <c r="AK69" i="8" s="1"/>
  <c r="AK62" i="8"/>
  <c r="AK64" i="8"/>
  <c r="X491" i="22"/>
  <c r="Y491" i="22" s="1"/>
  <c r="BD491" i="22"/>
  <c r="BC482" i="22"/>
  <c r="X464" i="22"/>
  <c r="Y464" i="22" s="1"/>
  <c r="BD464" i="22"/>
  <c r="AC122" i="16"/>
  <c r="AC124" i="16" s="1"/>
  <c r="AC75" i="16"/>
  <c r="AC123" i="16" s="1"/>
  <c r="AF25" i="27"/>
  <c r="O250" i="23" s="1"/>
  <c r="AF9" i="27"/>
  <c r="V100" i="16"/>
  <c r="AD26" i="12"/>
  <c r="AD316" i="12" s="1"/>
  <c r="AC300" i="12"/>
  <c r="AF21" i="27"/>
  <c r="AF5" i="27"/>
  <c r="V96" i="16"/>
  <c r="AC33" i="12"/>
  <c r="AC312" i="12"/>
  <c r="AD22" i="12"/>
  <c r="AD296" i="12" s="1"/>
  <c r="AG9" i="12"/>
  <c r="P261" i="23"/>
  <c r="AW261" i="23"/>
  <c r="AV261" i="23"/>
  <c r="AY261" i="23"/>
  <c r="AX261" i="23"/>
  <c r="AU261" i="23"/>
  <c r="BF56" i="12"/>
  <c r="BF58" i="12" s="1"/>
  <c r="AC32" i="27"/>
  <c r="O221" i="23" s="1"/>
  <c r="AC16" i="27"/>
  <c r="S107" i="16"/>
  <c r="AB323" i="12"/>
  <c r="AB307" i="12"/>
  <c r="AY235" i="23"/>
  <c r="AX235" i="23"/>
  <c r="BC235" i="23" s="1"/>
  <c r="AW235" i="23"/>
  <c r="AV235" i="23"/>
  <c r="AU235" i="23"/>
  <c r="P235" i="23"/>
  <c r="Z323" i="12"/>
  <c r="Z59" i="12"/>
  <c r="Z149" i="12" s="1"/>
  <c r="Z63" i="12"/>
  <c r="Z153" i="12" s="1"/>
  <c r="Z58" i="12"/>
  <c r="Z148" i="12" s="1"/>
  <c r="Z54" i="12"/>
  <c r="Z144" i="12" s="1"/>
  <c r="Z61" i="12"/>
  <c r="Z151" i="12" s="1"/>
  <c r="Z55" i="12"/>
  <c r="Z145" i="12" s="1"/>
  <c r="Z57" i="12"/>
  <c r="Z147" i="12" s="1"/>
  <c r="AC42" i="13"/>
  <c r="AD6" i="13"/>
  <c r="Q42" i="18"/>
  <c r="X238" i="12" s="1"/>
  <c r="AG25" i="12"/>
  <c r="AH25" i="12" s="1"/>
  <c r="AG29" i="12"/>
  <c r="AG30" i="12"/>
  <c r="AG28" i="12"/>
  <c r="AG32" i="12"/>
  <c r="AH32" i="12" s="1"/>
  <c r="AG27" i="12"/>
  <c r="AH27" i="12" s="1"/>
  <c r="BC476" i="22"/>
  <c r="BC462" i="22"/>
  <c r="AF27" i="12"/>
  <c r="BB224" i="22"/>
  <c r="CC224" i="22" s="1"/>
  <c r="I82" i="13"/>
  <c r="I65" i="13"/>
  <c r="AD8" i="12"/>
  <c r="AE16" i="27"/>
  <c r="AE32" i="27"/>
  <c r="O245" i="23" s="1"/>
  <c r="U107" i="16"/>
  <c r="U108" i="16" s="1"/>
  <c r="BB228" i="23"/>
  <c r="AZ228" i="23"/>
  <c r="BA228" i="23" s="1"/>
  <c r="BD15" i="28"/>
  <c r="BC17" i="28"/>
  <c r="AE75" i="16"/>
  <c r="AE123" i="16" s="1"/>
  <c r="Z215" i="12"/>
  <c r="Z106" i="12"/>
  <c r="R36" i="18"/>
  <c r="X64" i="12"/>
  <c r="AX474" i="22"/>
  <c r="BB474" i="22"/>
  <c r="BA474" i="22"/>
  <c r="AZ474" i="22"/>
  <c r="AY474" i="22"/>
  <c r="W474" i="22"/>
  <c r="AK103" i="12"/>
  <c r="P266" i="23"/>
  <c r="AV266" i="23"/>
  <c r="AU266" i="23"/>
  <c r="AX266" i="23"/>
  <c r="AW266" i="23"/>
  <c r="AY266" i="23"/>
  <c r="BA23" i="28"/>
  <c r="BB21" i="28"/>
  <c r="Q37" i="19"/>
  <c r="BA27" i="28"/>
  <c r="AZ29" i="28"/>
  <c r="AZ6" i="28" s="1"/>
  <c r="AP24" i="32"/>
  <c r="AQ37" i="8"/>
  <c r="AP25" i="32" s="1"/>
  <c r="R510" i="9" s="1"/>
  <c r="AF299" i="12"/>
  <c r="AF306" i="12"/>
  <c r="AF301" i="12"/>
  <c r="AF302" i="12"/>
  <c r="BD508" i="22"/>
  <c r="X508" i="22"/>
  <c r="Y508" i="22" s="1"/>
  <c r="Y58" i="12"/>
  <c r="Y148" i="12" s="1"/>
  <c r="Y283" i="12"/>
  <c r="R34" i="19"/>
  <c r="Y214" i="12"/>
  <c r="Y114" i="12"/>
  <c r="R41" i="18"/>
  <c r="Y291" i="12" s="1"/>
  <c r="R42" i="19"/>
  <c r="R107" i="16"/>
  <c r="AB34" i="13"/>
  <c r="AB33" i="13"/>
  <c r="AB32" i="13"/>
  <c r="AB31" i="13"/>
  <c r="AB30" i="13"/>
  <c r="AB36" i="13"/>
  <c r="AB39" i="13"/>
  <c r="AB40" i="13"/>
  <c r="AB37" i="13"/>
  <c r="AB38" i="13"/>
  <c r="AB41" i="13"/>
  <c r="AB35" i="13"/>
  <c r="AD24" i="12"/>
  <c r="BB256" i="23"/>
  <c r="AZ256" i="23"/>
  <c r="BA256" i="23" s="1"/>
  <c r="AD23" i="12"/>
  <c r="BA498" i="22"/>
  <c r="AZ498" i="22"/>
  <c r="AY498" i="22"/>
  <c r="AX498" i="22"/>
  <c r="BC498" i="22" s="1"/>
  <c r="W498" i="22"/>
  <c r="BB498" i="22"/>
  <c r="AM103" i="12"/>
  <c r="BB226" i="23"/>
  <c r="AZ226" i="23"/>
  <c r="BA226" i="23" s="1"/>
  <c r="BA39" i="28"/>
  <c r="AZ41" i="28"/>
  <c r="BD484" i="22"/>
  <c r="X484" i="22"/>
  <c r="Y484" i="22" s="1"/>
  <c r="AZ35" i="28"/>
  <c r="BA33" i="28"/>
  <c r="BD505" i="22"/>
  <c r="X505" i="22"/>
  <c r="Y505" i="22" s="1"/>
  <c r="AF253" i="12"/>
  <c r="AF254" i="12" s="1"/>
  <c r="AF251" i="12"/>
  <c r="AH308" i="12"/>
  <c r="AH250" i="12"/>
  <c r="AK80" i="8"/>
  <c r="AK75" i="8"/>
  <c r="AK82" i="8"/>
  <c r="AK77" i="8"/>
  <c r="AK84" i="8"/>
  <c r="AK79" i="8"/>
  <c r="AK81" i="8"/>
  <c r="AK74" i="8"/>
  <c r="AK85" i="8" s="1"/>
  <c r="AK78" i="8"/>
  <c r="AK76" i="8"/>
  <c r="AK83" i="8"/>
  <c r="X452" i="22"/>
  <c r="Y452" i="22" s="1"/>
  <c r="BD452" i="22"/>
  <c r="AF12" i="12"/>
  <c r="BB223" i="23"/>
  <c r="AZ223" i="23"/>
  <c r="BA223" i="23" s="1"/>
  <c r="BE64" i="12"/>
  <c r="BE65" i="12"/>
  <c r="BD481" i="22"/>
  <c r="X481" i="22"/>
  <c r="Y481" i="22" s="1"/>
  <c r="AD83" i="12"/>
  <c r="AD14" i="12" s="1"/>
  <c r="AD13" i="12"/>
  <c r="BD450" i="22"/>
  <c r="X450" i="22"/>
  <c r="Y450" i="22" s="1"/>
  <c r="AW263" i="23"/>
  <c r="AV263" i="23"/>
  <c r="AX263" i="23"/>
  <c r="AU263" i="23"/>
  <c r="AY263" i="23"/>
  <c r="P263" i="23"/>
  <c r="X171" i="12"/>
  <c r="X172" i="12"/>
  <c r="X170" i="12"/>
  <c r="X165" i="12"/>
  <c r="X169" i="12"/>
  <c r="X164" i="12"/>
  <c r="X455" i="22"/>
  <c r="Y455" i="22" s="1"/>
  <c r="BD455" i="22"/>
  <c r="AU10" i="28"/>
  <c r="AU12" i="28" s="1"/>
  <c r="AA18" i="12"/>
  <c r="AA16" i="12"/>
  <c r="M91" i="16"/>
  <c r="N80" i="16" s="1"/>
  <c r="N81" i="16" s="1"/>
  <c r="N82" i="16" s="1"/>
  <c r="N83" i="16" s="1"/>
  <c r="N84" i="16" s="1"/>
  <c r="N85" i="16" s="1"/>
  <c r="N86" i="16" s="1"/>
  <c r="N87" i="16" s="1"/>
  <c r="N88" i="16" s="1"/>
  <c r="N89" i="16" s="1"/>
  <c r="N90" i="16" s="1"/>
  <c r="N91" i="16" s="1"/>
  <c r="AH216" i="12"/>
  <c r="BC506" i="22"/>
  <c r="AF30" i="12"/>
  <c r="BE63" i="12"/>
  <c r="BE61" i="12"/>
  <c r="BE60" i="12"/>
  <c r="BE62" i="12"/>
  <c r="R44" i="16"/>
  <c r="R7" i="16" s="1"/>
  <c r="AV19" i="16"/>
  <c r="AH245" i="12"/>
  <c r="AH247" i="12"/>
  <c r="AH248" i="12" s="1"/>
  <c r="BD501" i="22"/>
  <c r="X501" i="22"/>
  <c r="Y501" i="22" s="1"/>
  <c r="AF321" i="12"/>
  <c r="AA20" i="13"/>
  <c r="AA18" i="13"/>
  <c r="AA25" i="13"/>
  <c r="AA17" i="13"/>
  <c r="AA24" i="13"/>
  <c r="AA16" i="13"/>
  <c r="AA23" i="13"/>
  <c r="AA15" i="13"/>
  <c r="AA21" i="13"/>
  <c r="AA22" i="13"/>
  <c r="AA14" i="13"/>
  <c r="AA19" i="13"/>
  <c r="AY4" i="28"/>
  <c r="AY5" i="28" s="1"/>
  <c r="AY7" i="28" s="1"/>
  <c r="AZ75" i="28"/>
  <c r="AE7" i="27"/>
  <c r="AE23" i="27"/>
  <c r="O236" i="23" s="1"/>
  <c r="U98" i="16"/>
  <c r="AC298" i="12"/>
  <c r="AY265" i="23"/>
  <c r="AX265" i="23"/>
  <c r="BC265" i="23" s="1"/>
  <c r="AW265" i="23"/>
  <c r="AV265" i="23"/>
  <c r="P265" i="23"/>
  <c r="AU265" i="23"/>
  <c r="BB253" i="23"/>
  <c r="AZ253" i="23"/>
  <c r="BA253" i="23" s="1"/>
  <c r="AD298" i="12"/>
  <c r="BB230" i="23"/>
  <c r="AZ230" i="23"/>
  <c r="BA230" i="23" s="1"/>
  <c r="AG11" i="27"/>
  <c r="AG27" i="27"/>
  <c r="O264" i="23" s="1"/>
  <c r="W102" i="16"/>
  <c r="AD312" i="12"/>
  <c r="W163" i="12"/>
  <c r="X163" i="12" s="1"/>
  <c r="W168" i="12"/>
  <c r="X168" i="12" s="1"/>
  <c r="W162" i="12"/>
  <c r="X162" i="12" s="1"/>
  <c r="W167" i="12"/>
  <c r="X167" i="12" s="1"/>
  <c r="W170" i="12"/>
  <c r="W165" i="12"/>
  <c r="W171" i="12"/>
  <c r="W166" i="12"/>
  <c r="X166" i="12" s="1"/>
  <c r="W172" i="12"/>
  <c r="W169" i="12"/>
  <c r="W164" i="12"/>
  <c r="AV23" i="16"/>
  <c r="AV24" i="16"/>
  <c r="AV22" i="16"/>
  <c r="AV21" i="16"/>
  <c r="AZ222" i="22"/>
  <c r="CA222" i="22" s="1"/>
  <c r="AC4" i="13"/>
  <c r="AB26" i="13"/>
  <c r="BA3" i="28"/>
  <c r="AC14" i="12"/>
  <c r="AC84" i="12"/>
  <c r="BC226" i="23"/>
  <c r="AA55" i="12"/>
  <c r="AA145" i="12" s="1"/>
  <c r="AA54" i="12"/>
  <c r="AA144" i="12" s="1"/>
  <c r="AA61" i="12"/>
  <c r="AA151" i="12" s="1"/>
  <c r="AA57" i="12"/>
  <c r="AA147" i="12" s="1"/>
  <c r="AG216" i="12"/>
  <c r="Q86" i="12"/>
  <c r="Q87" i="12" s="1"/>
  <c r="Q88" i="12" s="1"/>
  <c r="AX89" i="12"/>
  <c r="AX90" i="12" s="1"/>
  <c r="AB314" i="12"/>
  <c r="S485" i="9"/>
  <c r="T485" i="9" s="1"/>
  <c r="AN485" i="9"/>
  <c r="AF485" i="9" s="1"/>
  <c r="AG485" i="9" s="1"/>
  <c r="AH485" i="9" s="1"/>
  <c r="AK485" i="9" s="1"/>
  <c r="Y281" i="12"/>
  <c r="BD494" i="22"/>
  <c r="X494" i="22"/>
  <c r="Y494" i="22" s="1"/>
  <c r="AZ173" i="23"/>
  <c r="BA173" i="23" s="1"/>
  <c r="BB173" i="23"/>
  <c r="X504" i="22"/>
  <c r="Y504" i="22" s="1"/>
  <c r="BD504" i="22"/>
  <c r="AC313" i="12"/>
  <c r="O22" i="16"/>
  <c r="O26" i="16"/>
  <c r="O18" i="16"/>
  <c r="O16" i="16"/>
  <c r="O17" i="16"/>
  <c r="O21" i="16"/>
  <c r="O25" i="16"/>
  <c r="O19" i="16"/>
  <c r="O20" i="16"/>
  <c r="O23" i="16"/>
  <c r="O24" i="16"/>
  <c r="O27" i="16" s="1"/>
  <c r="AZ223" i="22"/>
  <c r="CA223" i="22" s="1"/>
  <c r="BD495" i="22"/>
  <c r="X495" i="22"/>
  <c r="Y495" i="22" s="1"/>
  <c r="AA215" i="12"/>
  <c r="AA106" i="12"/>
  <c r="AZ188" i="23"/>
  <c r="BA188" i="23" s="1"/>
  <c r="BB188" i="23"/>
  <c r="BB240" i="23"/>
  <c r="AZ240" i="23"/>
  <c r="BA240" i="23" s="1"/>
  <c r="S108" i="16"/>
  <c r="X145" i="12"/>
  <c r="X65" i="12"/>
  <c r="X155" i="12" s="1"/>
  <c r="R108" i="16"/>
  <c r="AY227" i="22"/>
  <c r="BZ227" i="22" s="1"/>
  <c r="BC486" i="22"/>
  <c r="BD500" i="22"/>
  <c r="X500" i="22"/>
  <c r="Y500" i="22" s="1"/>
  <c r="AL70" i="8"/>
  <c r="AM8" i="8"/>
  <c r="AL17" i="8"/>
  <c r="AL150" i="8" s="1"/>
  <c r="AL7" i="8"/>
  <c r="AL86" i="8" s="1"/>
  <c r="O234" i="23"/>
  <c r="AH12" i="27"/>
  <c r="AH28" i="27"/>
  <c r="O277" i="23" s="1"/>
  <c r="X103" i="16"/>
  <c r="O8" i="16"/>
  <c r="O11" i="16"/>
  <c r="O10" i="16" s="1"/>
  <c r="AW252" i="23"/>
  <c r="AV252" i="23"/>
  <c r="AY252" i="23"/>
  <c r="AX252" i="23"/>
  <c r="BC252" i="23" s="1"/>
  <c r="AU252" i="23"/>
  <c r="P252" i="23"/>
  <c r="BC503" i="22"/>
  <c r="P249" i="23"/>
  <c r="AW249" i="23"/>
  <c r="AY249" i="23"/>
  <c r="AX249" i="23"/>
  <c r="BC249" i="23" s="1"/>
  <c r="AV249" i="23"/>
  <c r="AU249" i="23"/>
  <c r="AJ211" i="12"/>
  <c r="AJ225" i="12"/>
  <c r="AJ4" i="12"/>
  <c r="AJ105" i="12"/>
  <c r="AY243" i="23"/>
  <c r="P243" i="23"/>
  <c r="AX243" i="23"/>
  <c r="AV243" i="23"/>
  <c r="AU243" i="23"/>
  <c r="AW243" i="23"/>
  <c r="AF72" i="16"/>
  <c r="AF120" i="16" s="1"/>
  <c r="BD475" i="22"/>
  <c r="X475" i="22"/>
  <c r="Y475" i="22" s="1"/>
  <c r="AU267" i="23"/>
  <c r="P267" i="23"/>
  <c r="AY267" i="23"/>
  <c r="AX267" i="23"/>
  <c r="BC267" i="23" s="1"/>
  <c r="AV267" i="23"/>
  <c r="AW267" i="23"/>
  <c r="AT10" i="28"/>
  <c r="AT12" i="28" s="1"/>
  <c r="Z18" i="12"/>
  <c r="Z16" i="12"/>
  <c r="AU209" i="23"/>
  <c r="P209" i="23"/>
  <c r="AY209" i="23"/>
  <c r="AX209" i="23"/>
  <c r="BC209" i="23" s="1"/>
  <c r="AW209" i="23"/>
  <c r="AV209" i="23"/>
  <c r="BC231" i="23"/>
  <c r="AZ197" i="23"/>
  <c r="BA197" i="23" s="1"/>
  <c r="BB197" i="23"/>
  <c r="BC8" i="28"/>
  <c r="AI34" i="12"/>
  <c r="AI6" i="12"/>
  <c r="AB122" i="16"/>
  <c r="AB75" i="16"/>
  <c r="AB123" i="16" s="1"/>
  <c r="AB124" i="16" s="1"/>
  <c r="AC17" i="27"/>
  <c r="BC253" i="23"/>
  <c r="Y62" i="12"/>
  <c r="Y152" i="12" s="1"/>
  <c r="AD300" i="12"/>
  <c r="AJ90" i="8"/>
  <c r="AJ91" i="8" s="1"/>
  <c r="AJ92" i="8" s="1"/>
  <c r="AJ93" i="8" s="1"/>
  <c r="AJ94" i="8" s="1"/>
  <c r="AJ95" i="8" s="1"/>
  <c r="AJ96" i="8" s="1"/>
  <c r="AJ97" i="8" s="1"/>
  <c r="AJ98" i="8" s="1"/>
  <c r="AJ99" i="8" s="1"/>
  <c r="AJ100" i="8" s="1"/>
  <c r="AJ101" i="8" s="1"/>
  <c r="AK90" i="8" s="1"/>
  <c r="AK91" i="8" s="1"/>
  <c r="AK92" i="8" s="1"/>
  <c r="BD63" i="12"/>
  <c r="BD62" i="12"/>
  <c r="BD61" i="12"/>
  <c r="BD60" i="12"/>
  <c r="W291" i="12"/>
  <c r="W292" i="12" s="1"/>
  <c r="P42" i="18"/>
  <c r="W238" i="12" s="1"/>
  <c r="AE253" i="12"/>
  <c r="AE254" i="12" s="1"/>
  <c r="AE251" i="12"/>
  <c r="AK148" i="8"/>
  <c r="AK143" i="8"/>
  <c r="AK138" i="8"/>
  <c r="AK145" i="8"/>
  <c r="AK140" i="8"/>
  <c r="AK147" i="8"/>
  <c r="AK146" i="8"/>
  <c r="AK141" i="8"/>
  <c r="AK142" i="8"/>
  <c r="AK144" i="8"/>
  <c r="AK139" i="8"/>
  <c r="AE17" i="27"/>
  <c r="AW19" i="16"/>
  <c r="AE247" i="12"/>
  <c r="AE248" i="12" s="1"/>
  <c r="AE245" i="12"/>
  <c r="AG245" i="12"/>
  <c r="AG247" i="12"/>
  <c r="AG248" i="12" s="1"/>
  <c r="AW18" i="16"/>
  <c r="AZ225" i="23"/>
  <c r="BA225" i="23" s="1"/>
  <c r="BB225" i="23"/>
  <c r="P238" i="23"/>
  <c r="AY238" i="23"/>
  <c r="AX238" i="23"/>
  <c r="BC238" i="23" s="1"/>
  <c r="AW238" i="23"/>
  <c r="AV238" i="23"/>
  <c r="AU238" i="23"/>
  <c r="R33" i="19"/>
  <c r="BD483" i="22"/>
  <c r="X483" i="22"/>
  <c r="Y483" i="22" s="1"/>
  <c r="X507" i="22"/>
  <c r="Y507" i="22" s="1"/>
  <c r="BD507" i="22"/>
  <c r="AE319" i="12"/>
  <c r="AD75" i="16"/>
  <c r="AD123" i="16" s="1"/>
  <c r="AD124" i="16" s="1"/>
  <c r="AH31" i="27"/>
  <c r="O280" i="23" s="1"/>
  <c r="AH15" i="27"/>
  <c r="X106" i="16"/>
  <c r="BD463" i="22"/>
  <c r="X463" i="22"/>
  <c r="Y463" i="22" s="1"/>
  <c r="P255" i="23"/>
  <c r="AV255" i="23"/>
  <c r="AU255" i="23"/>
  <c r="AX255" i="23"/>
  <c r="AY255" i="23"/>
  <c r="AW255" i="23"/>
  <c r="AI222" i="12"/>
  <c r="AI224" i="12"/>
  <c r="AI324" i="12" s="1"/>
  <c r="AI221" i="12"/>
  <c r="AI223" i="12"/>
  <c r="O212" i="23"/>
  <c r="AC33" i="27"/>
  <c r="AI11" i="27"/>
  <c r="AI27" i="27"/>
  <c r="O288" i="23" s="1"/>
  <c r="Y102" i="16"/>
  <c r="AN498" i="9"/>
  <c r="AF498" i="9" s="1"/>
  <c r="AG498" i="9" s="1"/>
  <c r="AH498" i="9" s="1"/>
  <c r="AK498" i="9" s="1"/>
  <c r="S498" i="9"/>
  <c r="T498" i="9" s="1"/>
  <c r="AA124" i="16"/>
  <c r="AX224" i="23"/>
  <c r="BC224" i="23" s="1"/>
  <c r="AW224" i="23"/>
  <c r="AV224" i="23"/>
  <c r="AU224" i="23"/>
  <c r="AY224" i="23"/>
  <c r="P224" i="23"/>
  <c r="AG319" i="12"/>
  <c r="AG315" i="12"/>
  <c r="AD297" i="12"/>
  <c r="AE322" i="12"/>
  <c r="AH29" i="27"/>
  <c r="O278" i="23" s="1"/>
  <c r="AH13" i="27"/>
  <c r="X104" i="16"/>
  <c r="AY254" i="23"/>
  <c r="P254" i="23"/>
  <c r="AV254" i="23"/>
  <c r="AX254" i="23"/>
  <c r="AW254" i="23"/>
  <c r="AU254" i="23"/>
  <c r="Y60" i="12"/>
  <c r="Y150" i="12" s="1"/>
  <c r="AE74" i="16"/>
  <c r="AE122" i="16" s="1"/>
  <c r="AE124" i="16" s="1"/>
  <c r="BC479" i="22"/>
  <c r="AY237" i="23"/>
  <c r="AX237" i="23"/>
  <c r="BC237" i="23" s="1"/>
  <c r="P237" i="23"/>
  <c r="AU237" i="23"/>
  <c r="AW237" i="23"/>
  <c r="AV237" i="23"/>
  <c r="AS11" i="28"/>
  <c r="Y174" i="12"/>
  <c r="R497" i="9"/>
  <c r="AO26" i="32"/>
  <c r="CB208" i="22"/>
  <c r="N274" i="12"/>
  <c r="N290" i="12" s="1"/>
  <c r="AF74" i="16"/>
  <c r="AF122" i="16" s="1"/>
  <c r="BB242" i="23"/>
  <c r="AZ242" i="23"/>
  <c r="BA242" i="23" s="1"/>
  <c r="BB241" i="23"/>
  <c r="AZ241" i="23"/>
  <c r="BA241" i="23" s="1"/>
  <c r="BB210" i="23"/>
  <c r="AZ210" i="23"/>
  <c r="BA210" i="23" s="1"/>
  <c r="BD64" i="12"/>
  <c r="BD65" i="12"/>
  <c r="AW17" i="16"/>
  <c r="BB231" i="23"/>
  <c r="AZ231" i="23"/>
  <c r="BA231" i="23" s="1"/>
  <c r="AH11" i="27"/>
  <c r="AH27" i="27"/>
  <c r="O276" i="23" s="1"/>
  <c r="X102" i="16"/>
  <c r="BC197" i="23"/>
  <c r="AC314" i="12"/>
  <c r="AI213" i="12"/>
  <c r="AI108" i="12"/>
  <c r="BB45" i="28"/>
  <c r="BA47" i="28"/>
  <c r="Y56" i="12"/>
  <c r="AF31" i="12"/>
  <c r="AH9" i="12"/>
  <c r="Y17" i="12"/>
  <c r="Y284" i="12"/>
  <c r="R35" i="19"/>
  <c r="AH26" i="27"/>
  <c r="O275" i="23" s="1"/>
  <c r="AH10" i="27"/>
  <c r="X101" i="16"/>
  <c r="AE303" i="12"/>
  <c r="AE304" i="12"/>
  <c r="AE299" i="12"/>
  <c r="AE302" i="12"/>
  <c r="AE301" i="12"/>
  <c r="AE306" i="12"/>
  <c r="AE305" i="12"/>
  <c r="BD470" i="22"/>
  <c r="X470" i="22"/>
  <c r="Y470" i="22" s="1"/>
  <c r="P42" i="19"/>
  <c r="P43" i="19" s="1"/>
  <c r="W239" i="12" s="1"/>
  <c r="AD33" i="27"/>
  <c r="BB200" i="23"/>
  <c r="AZ200" i="23"/>
  <c r="BA200" i="23" s="1"/>
  <c r="AF22" i="27"/>
  <c r="O247" i="23" s="1"/>
  <c r="AF6" i="27"/>
  <c r="V97" i="16"/>
  <c r="AC297" i="12"/>
  <c r="P28" i="16"/>
  <c r="P6" i="16"/>
  <c r="Q5" i="16"/>
  <c r="AF114" i="16"/>
  <c r="AF75" i="16"/>
  <c r="AF123" i="16" s="1"/>
  <c r="AE321" i="12"/>
  <c r="AH24" i="27"/>
  <c r="O273" i="23" s="1"/>
  <c r="AH8" i="27"/>
  <c r="X99" i="16"/>
  <c r="P233" i="23"/>
  <c r="AV233" i="23"/>
  <c r="AU233" i="23"/>
  <c r="AX233" i="23"/>
  <c r="AW233" i="23"/>
  <c r="AY233" i="23"/>
  <c r="BB251" i="23"/>
  <c r="AZ251" i="23"/>
  <c r="BA251" i="23" s="1"/>
  <c r="BC223" i="23"/>
  <c r="P185" i="23"/>
  <c r="AY185" i="23"/>
  <c r="AX185" i="23"/>
  <c r="BC185" i="23" s="1"/>
  <c r="AW185" i="23"/>
  <c r="AU185" i="23"/>
  <c r="AV185" i="23"/>
  <c r="AV9" i="28"/>
  <c r="AB156" i="12"/>
  <c r="AB66" i="12"/>
  <c r="AB107" i="12"/>
  <c r="AB7" i="12"/>
  <c r="AF29" i="12"/>
  <c r="AH29" i="12" s="1"/>
  <c r="P268" i="23"/>
  <c r="AY268" i="23"/>
  <c r="AX268" i="23"/>
  <c r="BC268" i="23" s="1"/>
  <c r="AW268" i="23"/>
  <c r="AV268" i="23"/>
  <c r="AU268" i="23"/>
  <c r="AL211" i="12"/>
  <c r="AL225" i="12"/>
  <c r="AL4" i="12"/>
  <c r="AL105" i="12"/>
  <c r="AK15" i="27" l="1"/>
  <c r="AK31" i="27"/>
  <c r="O316" i="23" s="1"/>
  <c r="AA106" i="16"/>
  <c r="AK8" i="27"/>
  <c r="AK24" i="27"/>
  <c r="O309" i="23" s="1"/>
  <c r="AA99" i="16"/>
  <c r="AH315" i="12"/>
  <c r="BG58" i="12"/>
  <c r="BF64" i="12"/>
  <c r="BF65" i="12"/>
  <c r="AK28" i="27"/>
  <c r="O313" i="23" s="1"/>
  <c r="AK12" i="27"/>
  <c r="AA103" i="16"/>
  <c r="AA56" i="12"/>
  <c r="AA146" i="12" s="1"/>
  <c r="X251" i="12"/>
  <c r="X254" i="12"/>
  <c r="X173" i="12"/>
  <c r="AK10" i="27"/>
  <c r="AK26" i="27"/>
  <c r="O311" i="23" s="1"/>
  <c r="AA101" i="16"/>
  <c r="AU11" i="28"/>
  <c r="AA174" i="12"/>
  <c r="BB249" i="23"/>
  <c r="AZ249" i="23"/>
  <c r="BA249" i="23" s="1"/>
  <c r="Q89" i="12"/>
  <c r="Q90" i="12" s="1"/>
  <c r="Q91" i="12" s="1"/>
  <c r="AY86" i="12"/>
  <c r="AJ29" i="27"/>
  <c r="O302" i="23" s="1"/>
  <c r="AJ13" i="27"/>
  <c r="Z104" i="16"/>
  <c r="AJ28" i="27"/>
  <c r="O301" i="23" s="1"/>
  <c r="AJ12" i="27"/>
  <c r="Z103" i="16"/>
  <c r="AW24" i="16"/>
  <c r="AW22" i="16"/>
  <c r="AW23" i="16"/>
  <c r="AW21" i="16"/>
  <c r="AA62" i="12"/>
  <c r="AA152" i="12" s="1"/>
  <c r="AE24" i="12"/>
  <c r="BD479" i="22"/>
  <c r="X479" i="22"/>
  <c r="Y479" i="22" s="1"/>
  <c r="AI250" i="12"/>
  <c r="AI308" i="12"/>
  <c r="AX15" i="16"/>
  <c r="AD314" i="12"/>
  <c r="BC266" i="23"/>
  <c r="O246" i="23"/>
  <c r="P247" i="23"/>
  <c r="AY247" i="23"/>
  <c r="AW247" i="23"/>
  <c r="AU247" i="23"/>
  <c r="AV247" i="23"/>
  <c r="AX247" i="23"/>
  <c r="BC247" i="23" s="1"/>
  <c r="AI29" i="12"/>
  <c r="AI319" i="12" s="1"/>
  <c r="AI25" i="12"/>
  <c r="AI27" i="12"/>
  <c r="AI32" i="12"/>
  <c r="AI322" i="12" s="1"/>
  <c r="AH319" i="12"/>
  <c r="AF305" i="12"/>
  <c r="AZ266" i="23"/>
  <c r="BA266" i="23" s="1"/>
  <c r="BB266" i="23"/>
  <c r="AU245" i="23"/>
  <c r="P245" i="23"/>
  <c r="AY245" i="23"/>
  <c r="AX245" i="23"/>
  <c r="BC245" i="23" s="1"/>
  <c r="AW245" i="23"/>
  <c r="AV245" i="23"/>
  <c r="BB268" i="23"/>
  <c r="AZ268" i="23"/>
  <c r="BA268" i="23" s="1"/>
  <c r="BB3" i="28"/>
  <c r="AL68" i="8"/>
  <c r="AL63" i="8"/>
  <c r="AL58" i="8"/>
  <c r="AL69" i="8" s="1"/>
  <c r="AL65" i="8"/>
  <c r="AL60" i="8"/>
  <c r="AL67" i="8"/>
  <c r="AL66" i="8"/>
  <c r="AL59" i="8"/>
  <c r="AL61" i="8"/>
  <c r="AL64" i="8"/>
  <c r="AL62" i="8"/>
  <c r="AJ15" i="27"/>
  <c r="AJ31" i="27"/>
  <c r="O304" i="23" s="1"/>
  <c r="Z106" i="16"/>
  <c r="AW276" i="23"/>
  <c r="AV276" i="23"/>
  <c r="P276" i="23"/>
  <c r="AX276" i="23"/>
  <c r="BC276" i="23" s="1"/>
  <c r="AU276" i="23"/>
  <c r="AY276" i="23"/>
  <c r="AJ27" i="27"/>
  <c r="O300" i="23" s="1"/>
  <c r="AJ11" i="27"/>
  <c r="Z102" i="16"/>
  <c r="AG6" i="27"/>
  <c r="AG22" i="27"/>
  <c r="O259" i="23" s="1"/>
  <c r="W97" i="16"/>
  <c r="AD313" i="12"/>
  <c r="AF16" i="27"/>
  <c r="AF32" i="27"/>
  <c r="O257" i="23" s="1"/>
  <c r="V107" i="16"/>
  <c r="V108" i="16" s="1"/>
  <c r="AH303" i="12"/>
  <c r="AH299" i="12"/>
  <c r="AH306" i="12"/>
  <c r="AH301" i="12"/>
  <c r="BB267" i="23"/>
  <c r="AZ267" i="23"/>
  <c r="BA267" i="23" s="1"/>
  <c r="AW275" i="23"/>
  <c r="AV275" i="23"/>
  <c r="AY275" i="23"/>
  <c r="AX275" i="23"/>
  <c r="AU275" i="23"/>
  <c r="P275" i="23"/>
  <c r="BB238" i="23"/>
  <c r="AZ238" i="23"/>
  <c r="BA238" i="23" s="1"/>
  <c r="AI9" i="12"/>
  <c r="BB252" i="23"/>
  <c r="AZ252" i="23"/>
  <c r="BA252" i="23" s="1"/>
  <c r="AF297" i="12"/>
  <c r="AI244" i="12"/>
  <c r="AD307" i="12"/>
  <c r="AI317" i="12"/>
  <c r="AI315" i="12"/>
  <c r="AV25" i="16"/>
  <c r="AV26" i="16"/>
  <c r="AG31" i="12"/>
  <c r="AY248" i="23"/>
  <c r="AX248" i="23"/>
  <c r="BC248" i="23" s="1"/>
  <c r="AW248" i="23"/>
  <c r="AV248" i="23"/>
  <c r="AU248" i="23"/>
  <c r="P248" i="23"/>
  <c r="AX273" i="23"/>
  <c r="AW273" i="23"/>
  <c r="AU273" i="23"/>
  <c r="AY273" i="23"/>
  <c r="AV273" i="23"/>
  <c r="P273" i="23"/>
  <c r="R509" i="9"/>
  <c r="AP26" i="32"/>
  <c r="X498" i="22"/>
  <c r="Y498" i="22" s="1"/>
  <c r="BD498" i="22"/>
  <c r="BD17" i="28"/>
  <c r="BE15" i="28"/>
  <c r="AG322" i="12"/>
  <c r="AX17" i="16"/>
  <c r="AH322" i="12"/>
  <c r="P236" i="23"/>
  <c r="AY236" i="23"/>
  <c r="AX236" i="23"/>
  <c r="BC236" i="23" s="1"/>
  <c r="AW236" i="23"/>
  <c r="AV236" i="23"/>
  <c r="AU236" i="23"/>
  <c r="BA35" i="28"/>
  <c r="BA6" i="28" s="1"/>
  <c r="BB33" i="28"/>
  <c r="AX9" i="28"/>
  <c r="AD66" i="12"/>
  <c r="AD107" i="12"/>
  <c r="AD156" i="12"/>
  <c r="AD7" i="12"/>
  <c r="X248" i="12"/>
  <c r="X240" i="12"/>
  <c r="X241" i="12" s="1"/>
  <c r="X245" i="12"/>
  <c r="AG25" i="27"/>
  <c r="O262" i="23" s="1"/>
  <c r="AG9" i="27"/>
  <c r="W100" i="16"/>
  <c r="AE26" i="12"/>
  <c r="AE316" i="12"/>
  <c r="AF23" i="12"/>
  <c r="Y168" i="12"/>
  <c r="Y162" i="12"/>
  <c r="Y173" i="12" s="1"/>
  <c r="Y167" i="12"/>
  <c r="Y172" i="12"/>
  <c r="Y171" i="12"/>
  <c r="Y166" i="12"/>
  <c r="Y170" i="12"/>
  <c r="Y165" i="12"/>
  <c r="Y169" i="12"/>
  <c r="Y164" i="12"/>
  <c r="Y163" i="12"/>
  <c r="Z214" i="12"/>
  <c r="Z114" i="12"/>
  <c r="AG12" i="12"/>
  <c r="BB23" i="28"/>
  <c r="BC21" i="28"/>
  <c r="AF17" i="27"/>
  <c r="AH12" i="12"/>
  <c r="BB254" i="23"/>
  <c r="AZ254" i="23"/>
  <c r="BA254" i="23" s="1"/>
  <c r="AK211" i="12"/>
  <c r="AK225" i="12"/>
  <c r="AK4" i="12"/>
  <c r="AK105" i="12"/>
  <c r="AE6" i="13"/>
  <c r="AD42" i="13"/>
  <c r="AF319" i="12"/>
  <c r="AF320" i="12"/>
  <c r="P278" i="23"/>
  <c r="AX278" i="23"/>
  <c r="AW278" i="23"/>
  <c r="AV278" i="23"/>
  <c r="AU278" i="23"/>
  <c r="AY278" i="23"/>
  <c r="W173" i="12"/>
  <c r="W251" i="12"/>
  <c r="W254" i="12"/>
  <c r="AG320" i="12"/>
  <c r="AE22" i="12"/>
  <c r="BB243" i="23"/>
  <c r="AZ243" i="23"/>
  <c r="BA243" i="23" s="1"/>
  <c r="AZ4" i="28"/>
  <c r="AZ5" i="28" s="1"/>
  <c r="AZ7" i="28" s="1"/>
  <c r="BA75" i="28"/>
  <c r="AC37" i="13"/>
  <c r="AC36" i="13"/>
  <c r="AC41" i="13"/>
  <c r="AC30" i="13"/>
  <c r="AC34" i="13"/>
  <c r="AC33" i="13"/>
  <c r="AC32" i="13"/>
  <c r="AC31" i="13"/>
  <c r="AC39" i="13"/>
  <c r="AC40" i="13"/>
  <c r="AC38" i="13"/>
  <c r="AC35" i="13"/>
  <c r="AC307" i="12"/>
  <c r="AB63" i="12"/>
  <c r="AB153" i="12" s="1"/>
  <c r="AB57" i="12"/>
  <c r="AB147" i="12" s="1"/>
  <c r="AB54" i="12"/>
  <c r="AB144" i="12" s="1"/>
  <c r="AB61" i="12"/>
  <c r="AB151" i="12" s="1"/>
  <c r="AB55" i="12"/>
  <c r="AB145" i="12" s="1"/>
  <c r="AF124" i="16"/>
  <c r="AD4" i="13"/>
  <c r="AC26" i="13"/>
  <c r="BD503" i="22"/>
  <c r="X503" i="22"/>
  <c r="Y503" i="22" s="1"/>
  <c r="AJ8" i="27"/>
  <c r="AJ24" i="27"/>
  <c r="O297" i="23" s="1"/>
  <c r="Z99" i="16"/>
  <c r="AG23" i="27"/>
  <c r="O260" i="23" s="1"/>
  <c r="AG7" i="27"/>
  <c r="W98" i="16"/>
  <c r="AG317" i="12"/>
  <c r="AI14" i="27"/>
  <c r="AI30" i="27"/>
  <c r="O291" i="23" s="1"/>
  <c r="Y105" i="16"/>
  <c r="BC254" i="23"/>
  <c r="BC255" i="23"/>
  <c r="AA58" i="12"/>
  <c r="AA148" i="12" s="1"/>
  <c r="AH317" i="12"/>
  <c r="AE83" i="12"/>
  <c r="AE14" i="12" s="1"/>
  <c r="AE13" i="12"/>
  <c r="P250" i="23"/>
  <c r="AX250" i="23"/>
  <c r="BC250" i="23" s="1"/>
  <c r="AW250" i="23"/>
  <c r="AV250" i="23"/>
  <c r="AY250" i="23"/>
  <c r="AU250" i="23"/>
  <c r="P279" i="23"/>
  <c r="AY279" i="23"/>
  <c r="AX279" i="23"/>
  <c r="BC279" i="23" s="1"/>
  <c r="AW279" i="23"/>
  <c r="AV279" i="23"/>
  <c r="AU279" i="23"/>
  <c r="AE8" i="12"/>
  <c r="Y286" i="12"/>
  <c r="Y292" i="12" s="1"/>
  <c r="R37" i="19"/>
  <c r="R43" i="19" s="1"/>
  <c r="Y239" i="12" s="1"/>
  <c r="BB237" i="23"/>
  <c r="AZ237" i="23"/>
  <c r="BA237" i="23" s="1"/>
  <c r="X486" i="22"/>
  <c r="Y486" i="22" s="1"/>
  <c r="BD486" i="22"/>
  <c r="AH28" i="12"/>
  <c r="AI28" i="12" s="1"/>
  <c r="BC233" i="23"/>
  <c r="Y146" i="12"/>
  <c r="AZ255" i="23"/>
  <c r="BA255" i="23" s="1"/>
  <c r="BB255" i="23"/>
  <c r="BC243" i="23"/>
  <c r="AA63" i="12"/>
  <c r="AA153" i="12" s="1"/>
  <c r="I83" i="13"/>
  <c r="I66" i="13"/>
  <c r="AW221" i="23"/>
  <c r="AV221" i="23"/>
  <c r="P221" i="23"/>
  <c r="AY221" i="23"/>
  <c r="AX221" i="23"/>
  <c r="BC221" i="23" s="1"/>
  <c r="AU221" i="23"/>
  <c r="X208" i="22"/>
  <c r="Y208" i="22" s="1"/>
  <c r="BD208" i="22"/>
  <c r="AU280" i="23"/>
  <c r="AW280" i="23"/>
  <c r="AV280" i="23"/>
  <c r="AY280" i="23"/>
  <c r="AX280" i="23"/>
  <c r="BC280" i="23" s="1"/>
  <c r="P280" i="23"/>
  <c r="AN8" i="8"/>
  <c r="AM70" i="8"/>
  <c r="AM17" i="8"/>
  <c r="AM150" i="8" s="1"/>
  <c r="AM7" i="8"/>
  <c r="AM86" i="8" s="1"/>
  <c r="P288" i="23"/>
  <c r="AX288" i="23"/>
  <c r="AY288" i="23"/>
  <c r="AW288" i="23"/>
  <c r="AV288" i="23"/>
  <c r="AU288" i="23"/>
  <c r="BB265" i="23"/>
  <c r="AZ265" i="23"/>
  <c r="BA265" i="23" s="1"/>
  <c r="AZ233" i="23"/>
  <c r="BA233" i="23" s="1"/>
  <c r="BB233" i="23"/>
  <c r="BB224" i="23"/>
  <c r="AZ224" i="23"/>
  <c r="BA224" i="23" s="1"/>
  <c r="W240" i="12"/>
  <c r="W241" i="12" s="1"/>
  <c r="W248" i="12"/>
  <c r="W245" i="12"/>
  <c r="P277" i="23"/>
  <c r="AY277" i="23"/>
  <c r="AX277" i="23"/>
  <c r="BC277" i="23" s="1"/>
  <c r="AW277" i="23"/>
  <c r="AV277" i="23"/>
  <c r="AU277" i="23"/>
  <c r="AI29" i="27"/>
  <c r="O290" i="23" s="1"/>
  <c r="AI13" i="27"/>
  <c r="Y104" i="16"/>
  <c r="BB39" i="28"/>
  <c r="BA41" i="28"/>
  <c r="BB225" i="22"/>
  <c r="CC225" i="22" s="1"/>
  <c r="Z62" i="12"/>
  <c r="Z152" i="12" s="1"/>
  <c r="BF62" i="12"/>
  <c r="BF61" i="12"/>
  <c r="BF60" i="12"/>
  <c r="BF63" i="12"/>
  <c r="AX209" i="22"/>
  <c r="AL148" i="8"/>
  <c r="AL143" i="8"/>
  <c r="AL138" i="8"/>
  <c r="AL145" i="8"/>
  <c r="AL140" i="8"/>
  <c r="AL147" i="8"/>
  <c r="AL146" i="8"/>
  <c r="AL141" i="8"/>
  <c r="AL142" i="8"/>
  <c r="AL139" i="8"/>
  <c r="AL144" i="8"/>
  <c r="Z17" i="12"/>
  <c r="BB185" i="23"/>
  <c r="AZ185" i="23"/>
  <c r="BA185" i="23" s="1"/>
  <c r="AX16" i="16"/>
  <c r="AH253" i="12"/>
  <c r="AH254" i="12" s="1"/>
  <c r="AH251" i="12"/>
  <c r="AL213" i="12"/>
  <c r="AL108" i="12"/>
  <c r="AI12" i="27"/>
  <c r="AI28" i="27"/>
  <c r="O289" i="23" s="1"/>
  <c r="Y103" i="16"/>
  <c r="BB47" i="28"/>
  <c r="BC45" i="28"/>
  <c r="AA214" i="12"/>
  <c r="AA114" i="12"/>
  <c r="AA59" i="12"/>
  <c r="AA149" i="12" s="1"/>
  <c r="AX264" i="23"/>
  <c r="AW264" i="23"/>
  <c r="AU264" i="23"/>
  <c r="AY264" i="23"/>
  <c r="AV264" i="23"/>
  <c r="P264" i="23"/>
  <c r="BD506" i="22"/>
  <c r="X506" i="22"/>
  <c r="Y506" i="22" s="1"/>
  <c r="AF304" i="12"/>
  <c r="AI26" i="27"/>
  <c r="O287" i="23" s="1"/>
  <c r="AI10" i="27"/>
  <c r="Y101" i="16"/>
  <c r="AZ261" i="23"/>
  <c r="BA261" i="23" s="1"/>
  <c r="BB261" i="23"/>
  <c r="AG253" i="12"/>
  <c r="AG254" i="12" s="1"/>
  <c r="AG251" i="12"/>
  <c r="AW10" i="28"/>
  <c r="AW12" i="28" s="1"/>
  <c r="AC18" i="12"/>
  <c r="AC16" i="12"/>
  <c r="P292" i="23"/>
  <c r="AW292" i="23"/>
  <c r="AX292" i="23"/>
  <c r="BC292" i="23" s="1"/>
  <c r="AV292" i="23"/>
  <c r="AU292" i="23"/>
  <c r="AY292" i="23"/>
  <c r="S497" i="9"/>
  <c r="T497" i="9" s="1"/>
  <c r="AN497" i="9"/>
  <c r="AF497" i="9" s="1"/>
  <c r="AG497" i="9" s="1"/>
  <c r="AH497" i="9" s="1"/>
  <c r="AK497" i="9" s="1"/>
  <c r="AJ10" i="27"/>
  <c r="AJ26" i="27"/>
  <c r="O299" i="23" s="1"/>
  <c r="Z101" i="16"/>
  <c r="AK93" i="8"/>
  <c r="AK94" i="8" s="1"/>
  <c r="AK95" i="8" s="1"/>
  <c r="AK96" i="8" s="1"/>
  <c r="AK97" i="8" s="1"/>
  <c r="AK98" i="8" s="1"/>
  <c r="AK99" i="8" s="1"/>
  <c r="AK100" i="8" s="1"/>
  <c r="AK101" i="8" s="1"/>
  <c r="BB27" i="28"/>
  <c r="BA29" i="28"/>
  <c r="AG21" i="27"/>
  <c r="AG5" i="27"/>
  <c r="W96" i="16"/>
  <c r="AD33" i="12"/>
  <c r="P11" i="16"/>
  <c r="P10" i="16" s="1"/>
  <c r="P8" i="16"/>
  <c r="BF8" i="28"/>
  <c r="AL34" i="12"/>
  <c r="AL6" i="12"/>
  <c r="AV10" i="28"/>
  <c r="AV12" i="28" s="1"/>
  <c r="AB18" i="12"/>
  <c r="AB16" i="12"/>
  <c r="AE298" i="12"/>
  <c r="AC323" i="12"/>
  <c r="AJ213" i="12"/>
  <c r="AJ108" i="12"/>
  <c r="AU234" i="23"/>
  <c r="AY234" i="23"/>
  <c r="AX234" i="23"/>
  <c r="BC234" i="23" s="1"/>
  <c r="AW234" i="23"/>
  <c r="AV234" i="23"/>
  <c r="P234" i="23"/>
  <c r="BB263" i="23"/>
  <c r="AZ263" i="23"/>
  <c r="BA263" i="23" s="1"/>
  <c r="BC474" i="22"/>
  <c r="BD462" i="22"/>
  <c r="X462" i="22"/>
  <c r="Y462" i="22" s="1"/>
  <c r="Z60" i="12"/>
  <c r="Z150" i="12" s="1"/>
  <c r="BC261" i="23"/>
  <c r="AG301" i="12"/>
  <c r="AG303" i="12"/>
  <c r="AG299" i="12"/>
  <c r="AG304" i="12"/>
  <c r="AG306" i="12"/>
  <c r="AG302" i="12"/>
  <c r="AC215" i="12"/>
  <c r="AC106" i="12"/>
  <c r="AW25" i="16"/>
  <c r="AW26" i="16"/>
  <c r="AB18" i="13"/>
  <c r="AB25" i="13"/>
  <c r="AB17" i="13"/>
  <c r="AB24" i="13"/>
  <c r="AB16" i="13"/>
  <c r="AB15" i="13"/>
  <c r="AB21" i="13"/>
  <c r="AB22" i="13"/>
  <c r="AB20" i="13"/>
  <c r="AB23" i="13"/>
  <c r="AB14" i="13"/>
  <c r="AB19" i="13"/>
  <c r="R5" i="16"/>
  <c r="Q6" i="16"/>
  <c r="Q28" i="16"/>
  <c r="AX18" i="16"/>
  <c r="AY212" i="23"/>
  <c r="AX212" i="23"/>
  <c r="BC212" i="23" s="1"/>
  <c r="AU212" i="23"/>
  <c r="P212" i="23"/>
  <c r="AW212" i="23"/>
  <c r="AV212" i="23"/>
  <c r="AY228" i="22"/>
  <c r="BZ228" i="22" s="1"/>
  <c r="BB235" i="23"/>
  <c r="AZ235" i="23"/>
  <c r="BA235" i="23" s="1"/>
  <c r="AH30" i="12"/>
  <c r="AH320" i="12" s="1"/>
  <c r="AL224" i="12"/>
  <c r="AL324" i="12" s="1"/>
  <c r="AL221" i="12"/>
  <c r="AL244" i="12" s="1"/>
  <c r="AL223" i="12"/>
  <c r="AL222" i="12"/>
  <c r="AI216" i="12"/>
  <c r="BA209" i="22"/>
  <c r="BD8" i="28"/>
  <c r="AJ34" i="12"/>
  <c r="AJ6" i="12"/>
  <c r="AE33" i="27"/>
  <c r="R42" i="18"/>
  <c r="Y238" i="12" s="1"/>
  <c r="AE23" i="12"/>
  <c r="AG23" i="12" s="1"/>
  <c r="BC263" i="23"/>
  <c r="AM211" i="12"/>
  <c r="AM225" i="12"/>
  <c r="AM4" i="12"/>
  <c r="AM105" i="12"/>
  <c r="AF303" i="12"/>
  <c r="Z56" i="12"/>
  <c r="AB56" i="12" s="1"/>
  <c r="X482" i="22"/>
  <c r="Y482" i="22" s="1"/>
  <c r="BD482" i="22"/>
  <c r="AC57" i="12"/>
  <c r="AC147" i="12" s="1"/>
  <c r="AC54" i="12"/>
  <c r="AC144" i="12" s="1"/>
  <c r="AC61" i="12"/>
  <c r="AC151" i="12" s="1"/>
  <c r="AC55" i="12"/>
  <c r="AC145" i="12" s="1"/>
  <c r="AT11" i="28"/>
  <c r="Z174" i="12"/>
  <c r="AA17" i="12"/>
  <c r="AG318" i="12"/>
  <c r="AV285" i="23"/>
  <c r="AU285" i="23"/>
  <c r="AX285" i="23"/>
  <c r="AW285" i="23"/>
  <c r="P285" i="23"/>
  <c r="AY285" i="23"/>
  <c r="P22" i="16"/>
  <c r="P24" i="16"/>
  <c r="P20" i="16"/>
  <c r="P17" i="16"/>
  <c r="P26" i="16"/>
  <c r="P16" i="16"/>
  <c r="P27" i="16" s="1"/>
  <c r="P21" i="16"/>
  <c r="P25" i="16"/>
  <c r="P19" i="16"/>
  <c r="AY16" i="16" s="1"/>
  <c r="P18" i="16"/>
  <c r="P23" i="16"/>
  <c r="AZ224" i="22"/>
  <c r="CA224" i="22" s="1"/>
  <c r="AB215" i="12"/>
  <c r="AB106" i="12"/>
  <c r="BB209" i="23"/>
  <c r="AZ209" i="23"/>
  <c r="BA209" i="23" s="1"/>
  <c r="AJ224" i="12"/>
  <c r="AJ324" i="12" s="1"/>
  <c r="AJ221" i="12"/>
  <c r="AJ244" i="12" s="1"/>
  <c r="AJ223" i="12"/>
  <c r="AJ222" i="12"/>
  <c r="AL75" i="8"/>
  <c r="AL82" i="8"/>
  <c r="AL77" i="8"/>
  <c r="AL84" i="8"/>
  <c r="AL79" i="8"/>
  <c r="AL74" i="8"/>
  <c r="AL78" i="8"/>
  <c r="AL80" i="8"/>
  <c r="AL81" i="8"/>
  <c r="AL76" i="8"/>
  <c r="AL85" i="8" s="1"/>
  <c r="AL83" i="8"/>
  <c r="O80" i="16"/>
  <c r="O81" i="16" s="1"/>
  <c r="O82" i="16" s="1"/>
  <c r="O83" i="16" s="1"/>
  <c r="O84" i="16" s="1"/>
  <c r="O85" i="16" s="1"/>
  <c r="O86" i="16" s="1"/>
  <c r="O87" i="16" s="1"/>
  <c r="O88" i="16" s="1"/>
  <c r="O89" i="16" s="1"/>
  <c r="O90" i="16" s="1"/>
  <c r="O91" i="16" s="1"/>
  <c r="P80" i="16" s="1"/>
  <c r="P81" i="16" s="1"/>
  <c r="P82" i="16" s="1"/>
  <c r="P83" i="16" s="1"/>
  <c r="P84" i="16" s="1"/>
  <c r="P85" i="16" s="1"/>
  <c r="P86" i="16" s="1"/>
  <c r="P87" i="16" s="1"/>
  <c r="P88" i="16" s="1"/>
  <c r="P89" i="16" s="1"/>
  <c r="P90" i="16" s="1"/>
  <c r="S510" i="9"/>
  <c r="T510" i="9" s="1"/>
  <c r="AN510" i="9"/>
  <c r="AF510" i="9" s="1"/>
  <c r="AG510" i="9" s="1"/>
  <c r="AH510" i="9" s="1"/>
  <c r="AK510" i="9" s="1"/>
  <c r="X154" i="12"/>
  <c r="Y64" i="12"/>
  <c r="BD476" i="22"/>
  <c r="X476" i="22"/>
  <c r="Y476" i="22" s="1"/>
  <c r="AZ222" i="23"/>
  <c r="BA222" i="23" s="1"/>
  <c r="BB222" i="23"/>
  <c r="Y251" i="12" l="1"/>
  <c r="Y254" i="12"/>
  <c r="AB146" i="12"/>
  <c r="AL11" i="27"/>
  <c r="AL27" i="27"/>
  <c r="O324" i="23" s="1"/>
  <c r="AB102" i="16"/>
  <c r="AJ22" i="27"/>
  <c r="O295" i="23" s="1"/>
  <c r="AJ6" i="27"/>
  <c r="Z97" i="16"/>
  <c r="AZ285" i="23"/>
  <c r="BA285" i="23" s="1"/>
  <c r="BB285" i="23"/>
  <c r="AB214" i="12"/>
  <c r="AB114" i="12"/>
  <c r="AW11" i="28"/>
  <c r="AC174" i="12"/>
  <c r="AM82" i="8"/>
  <c r="AM77" i="8"/>
  <c r="AM84" i="8"/>
  <c r="AM79" i="8"/>
  <c r="AM74" i="8"/>
  <c r="AM85" i="8" s="1"/>
  <c r="AM78" i="8"/>
  <c r="AM80" i="8"/>
  <c r="AM75" i="8"/>
  <c r="AM83" i="8"/>
  <c r="AM76" i="8"/>
  <c r="AM81" i="8"/>
  <c r="Y248" i="12"/>
  <c r="Y240" i="12"/>
  <c r="Y241" i="12" s="1"/>
  <c r="Y245" i="12"/>
  <c r="AM148" i="8"/>
  <c r="AM143" i="8"/>
  <c r="AM138" i="8"/>
  <c r="AM145" i="8"/>
  <c r="AM140" i="8"/>
  <c r="AM142" i="8"/>
  <c r="AM147" i="8"/>
  <c r="AM141" i="8"/>
  <c r="AM146" i="8"/>
  <c r="AM144" i="8"/>
  <c r="AM139" i="8"/>
  <c r="AL216" i="12"/>
  <c r="AM68" i="8"/>
  <c r="AM63" i="8"/>
  <c r="AM58" i="8"/>
  <c r="AM65" i="8"/>
  <c r="AM60" i="8"/>
  <c r="AM67" i="8"/>
  <c r="AM66" i="8"/>
  <c r="AM59" i="8"/>
  <c r="AM69" i="8" s="1"/>
  <c r="AM61" i="8"/>
  <c r="AM62" i="8"/>
  <c r="AM64" i="8"/>
  <c r="AZ250" i="23"/>
  <c r="BA250" i="23" s="1"/>
  <c r="BB250" i="23"/>
  <c r="BC23" i="28"/>
  <c r="BD21" i="28"/>
  <c r="AH25" i="27"/>
  <c r="O274" i="23" s="1"/>
  <c r="AH9" i="27"/>
  <c r="X100" i="16"/>
  <c r="AE300" i="12"/>
  <c r="AF26" i="12"/>
  <c r="AX22" i="16"/>
  <c r="AX24" i="16"/>
  <c r="AX23" i="16"/>
  <c r="AX21" i="16"/>
  <c r="P246" i="23"/>
  <c r="AX246" i="23"/>
  <c r="AW246" i="23"/>
  <c r="AV246" i="23"/>
  <c r="AU246" i="23"/>
  <c r="AY246" i="23"/>
  <c r="AY18" i="16"/>
  <c r="AJ9" i="12"/>
  <c r="AO8" i="8"/>
  <c r="AN70" i="8"/>
  <c r="AN17" i="8"/>
  <c r="AN150" i="8" s="1"/>
  <c r="AN7" i="8"/>
  <c r="AN86" i="8" s="1"/>
  <c r="BB278" i="23"/>
  <c r="AZ278" i="23"/>
  <c r="BA278" i="23" s="1"/>
  <c r="BB6" i="28"/>
  <c r="AX257" i="23"/>
  <c r="BC257" i="23" s="1"/>
  <c r="AU257" i="23"/>
  <c r="P257" i="23"/>
  <c r="AY257" i="23"/>
  <c r="AW257" i="23"/>
  <c r="AV257" i="23"/>
  <c r="AF33" i="27"/>
  <c r="AZ236" i="23"/>
  <c r="BA236" i="23" s="1"/>
  <c r="BB236" i="23"/>
  <c r="AB59" i="12"/>
  <c r="AB149" i="12" s="1"/>
  <c r="BB277" i="23"/>
  <c r="AZ277" i="23"/>
  <c r="BA277" i="23" s="1"/>
  <c r="I84" i="13"/>
  <c r="I67" i="13"/>
  <c r="AC25" i="13"/>
  <c r="AC14" i="13"/>
  <c r="AC17" i="13"/>
  <c r="AC24" i="13"/>
  <c r="AC16" i="13"/>
  <c r="AC23" i="13"/>
  <c r="AC15" i="13"/>
  <c r="AC21" i="13"/>
  <c r="AC18" i="13"/>
  <c r="AC22" i="13"/>
  <c r="AC20" i="13"/>
  <c r="AC19" i="13"/>
  <c r="AX262" i="23"/>
  <c r="AW262" i="23"/>
  <c r="AU262" i="23"/>
  <c r="AY262" i="23"/>
  <c r="P262" i="23"/>
  <c r="AV262" i="23"/>
  <c r="AI320" i="12"/>
  <c r="BC275" i="23"/>
  <c r="AF313" i="12"/>
  <c r="AH5" i="27"/>
  <c r="AH21" i="27"/>
  <c r="X96" i="16"/>
  <c r="AE33" i="12"/>
  <c r="AG22" i="12"/>
  <c r="AG312" i="12" s="1"/>
  <c r="AF22" i="12"/>
  <c r="AE296" i="12"/>
  <c r="AY9" i="28"/>
  <c r="AE107" i="12"/>
  <c r="AE66" i="12"/>
  <c r="AE156" i="12"/>
  <c r="AE7" i="12"/>
  <c r="AG8" i="12"/>
  <c r="P290" i="23"/>
  <c r="AV290" i="23"/>
  <c r="AU290" i="23"/>
  <c r="AX290" i="23"/>
  <c r="AW290" i="23"/>
  <c r="AY290" i="23"/>
  <c r="Z162" i="12"/>
  <c r="Z173" i="12" s="1"/>
  <c r="Z167" i="12"/>
  <c r="Z172" i="12"/>
  <c r="Z171" i="12"/>
  <c r="Z166" i="12"/>
  <c r="Z169" i="12"/>
  <c r="Z164" i="12"/>
  <c r="Z170" i="12"/>
  <c r="Z165" i="12"/>
  <c r="AA165" i="12" s="1"/>
  <c r="Z163" i="12"/>
  <c r="Z168" i="12"/>
  <c r="AA168" i="12" s="1"/>
  <c r="AG32" i="27"/>
  <c r="O269" i="23" s="1"/>
  <c r="AG16" i="27"/>
  <c r="AG17" i="27" s="1"/>
  <c r="W107" i="16"/>
  <c r="W108" i="16" s="1"/>
  <c r="AE307" i="12"/>
  <c r="AU302" i="23"/>
  <c r="AY302" i="23"/>
  <c r="P302" i="23"/>
  <c r="AX302" i="23"/>
  <c r="AV302" i="23"/>
  <c r="AW302" i="23"/>
  <c r="BB29" i="28"/>
  <c r="BC27" i="28"/>
  <c r="AW287" i="23"/>
  <c r="AV287" i="23"/>
  <c r="AU287" i="23"/>
  <c r="P287" i="23"/>
  <c r="AY287" i="23"/>
  <c r="AX287" i="23"/>
  <c r="BC287" i="23" s="1"/>
  <c r="Y65" i="12"/>
  <c r="Y155" i="12" s="1"/>
  <c r="AE4" i="13"/>
  <c r="AD26" i="13"/>
  <c r="BC278" i="23"/>
  <c r="AE313" i="12"/>
  <c r="Q92" i="12"/>
  <c r="Q93" i="12" s="1"/>
  <c r="Q94" i="12" s="1"/>
  <c r="AY87" i="12"/>
  <c r="AH304" i="12"/>
  <c r="AC56" i="12"/>
  <c r="AC146" i="12" s="1"/>
  <c r="AG305" i="12"/>
  <c r="AL90" i="8"/>
  <c r="AL91" i="8" s="1"/>
  <c r="AL92" i="8" s="1"/>
  <c r="AL93" i="8" s="1"/>
  <c r="AL94" i="8" s="1"/>
  <c r="AL95" i="8" s="1"/>
  <c r="AL96" i="8" s="1"/>
  <c r="AL97" i="8" s="1"/>
  <c r="AL98" i="8" s="1"/>
  <c r="AL99" i="8" s="1"/>
  <c r="AL100" i="8" s="1"/>
  <c r="AL101" i="8" s="1"/>
  <c r="AM90" i="8" s="1"/>
  <c r="AX19" i="16"/>
  <c r="AL28" i="27"/>
  <c r="O325" i="23" s="1"/>
  <c r="AL12" i="27"/>
  <c r="AB103" i="16"/>
  <c r="AC17" i="12"/>
  <c r="BC288" i="23"/>
  <c r="AI22" i="27"/>
  <c r="O283" i="23" s="1"/>
  <c r="AI6" i="27"/>
  <c r="Y97" i="16"/>
  <c r="AU313" i="23"/>
  <c r="P313" i="23"/>
  <c r="AY313" i="23"/>
  <c r="AX313" i="23"/>
  <c r="AW313" i="23"/>
  <c r="AV313" i="23"/>
  <c r="AJ29" i="12"/>
  <c r="AJ27" i="12"/>
  <c r="AJ32" i="12"/>
  <c r="AJ25" i="12"/>
  <c r="AJ28" i="12"/>
  <c r="BC209" i="22"/>
  <c r="BY209" i="22"/>
  <c r="AI30" i="12"/>
  <c r="AW309" i="23"/>
  <c r="AV309" i="23"/>
  <c r="AY309" i="23"/>
  <c r="AX309" i="23"/>
  <c r="BC309" i="23" s="1"/>
  <c r="AU309" i="23"/>
  <c r="P309" i="23"/>
  <c r="AJ322" i="12"/>
  <c r="AJ319" i="12"/>
  <c r="AJ318" i="12"/>
  <c r="AJ315" i="12"/>
  <c r="AJ317" i="12"/>
  <c r="AZ247" i="23"/>
  <c r="BA247" i="23" s="1"/>
  <c r="BB247" i="23"/>
  <c r="AW260" i="23"/>
  <c r="AV260" i="23"/>
  <c r="AY260" i="23"/>
  <c r="AX260" i="23"/>
  <c r="BC260" i="23" s="1"/>
  <c r="AU260" i="23"/>
  <c r="P260" i="23"/>
  <c r="AF312" i="12"/>
  <c r="AC214" i="12"/>
  <c r="AC114" i="12"/>
  <c r="BE17" i="28"/>
  <c r="BF15" i="28"/>
  <c r="CB209" i="22"/>
  <c r="N275" i="12"/>
  <c r="Q24" i="16"/>
  <c r="Q18" i="16"/>
  <c r="Q16" i="16"/>
  <c r="AZ15" i="16" s="1"/>
  <c r="Q17" i="16"/>
  <c r="Q25" i="16"/>
  <c r="Q19" i="16"/>
  <c r="Q22" i="16"/>
  <c r="AZ17" i="16" s="1"/>
  <c r="Q20" i="16"/>
  <c r="Q23" i="16"/>
  <c r="Q26" i="16"/>
  <c r="Q21" i="16"/>
  <c r="Q27" i="16" s="1"/>
  <c r="AZ234" i="23"/>
  <c r="BA234" i="23" s="1"/>
  <c r="BB234" i="23"/>
  <c r="AW299" i="23"/>
  <c r="AV299" i="23"/>
  <c r="AU299" i="23"/>
  <c r="AY299" i="23"/>
  <c r="AX299" i="23"/>
  <c r="BC299" i="23" s="1"/>
  <c r="P299" i="23"/>
  <c r="AZ280" i="23"/>
  <c r="BA280" i="23" s="1"/>
  <c r="BB280" i="23"/>
  <c r="AH31" i="12"/>
  <c r="AX10" i="28"/>
  <c r="AX12" i="28" s="1"/>
  <c r="AD18" i="12"/>
  <c r="AD17" i="12" s="1"/>
  <c r="AD16" i="12"/>
  <c r="AN509" i="9"/>
  <c r="AF509" i="9" s="1"/>
  <c r="AG509" i="9" s="1"/>
  <c r="AH509" i="9" s="1"/>
  <c r="AK509" i="9" s="1"/>
  <c r="S509" i="9"/>
  <c r="T509" i="9" s="1"/>
  <c r="AY259" i="23"/>
  <c r="AX259" i="23"/>
  <c r="AU259" i="23"/>
  <c r="P259" i="23"/>
  <c r="AW259" i="23"/>
  <c r="AV259" i="23"/>
  <c r="AI301" i="12"/>
  <c r="AI303" i="12"/>
  <c r="AI299" i="12"/>
  <c r="AI306" i="12"/>
  <c r="AI302" i="12"/>
  <c r="AA162" i="12"/>
  <c r="AA167" i="12"/>
  <c r="AA172" i="12"/>
  <c r="AA166" i="12"/>
  <c r="AA169" i="12"/>
  <c r="AA164" i="12"/>
  <c r="AA170" i="12"/>
  <c r="AA163" i="12"/>
  <c r="AA171" i="12"/>
  <c r="AM213" i="12"/>
  <c r="AM108" i="12"/>
  <c r="AZ279" i="23"/>
  <c r="BA279" i="23" s="1"/>
  <c r="BB279" i="23"/>
  <c r="X474" i="22"/>
  <c r="Y474" i="22" s="1"/>
  <c r="BD474" i="22"/>
  <c r="Q8" i="16"/>
  <c r="Q11" i="16"/>
  <c r="Q10" i="16" s="1"/>
  <c r="AJ216" i="12"/>
  <c r="AK11" i="27"/>
  <c r="AK27" i="27"/>
  <c r="O312" i="23" s="1"/>
  <c r="AA102" i="16"/>
  <c r="AB60" i="12"/>
  <c r="AB150" i="12" s="1"/>
  <c r="AD33" i="13"/>
  <c r="AD32" i="13"/>
  <c r="AD31" i="13"/>
  <c r="AD30" i="13"/>
  <c r="AD39" i="13"/>
  <c r="AD34" i="13"/>
  <c r="AD37" i="13"/>
  <c r="AD40" i="13"/>
  <c r="AD38" i="13"/>
  <c r="AD36" i="13"/>
  <c r="AD41" i="13"/>
  <c r="AD35" i="13"/>
  <c r="AI318" i="12"/>
  <c r="AL15" i="27"/>
  <c r="AL31" i="27"/>
  <c r="O328" i="23" s="1"/>
  <c r="AB106" i="16"/>
  <c r="AI253" i="12"/>
  <c r="AI254" i="12" s="1"/>
  <c r="AI251" i="12"/>
  <c r="AL9" i="12"/>
  <c r="BB248" i="23"/>
  <c r="AZ248" i="23"/>
  <c r="BA248" i="23" s="1"/>
  <c r="AV289" i="23"/>
  <c r="AU289" i="23"/>
  <c r="P289" i="23"/>
  <c r="AY289" i="23"/>
  <c r="AX289" i="23"/>
  <c r="AW289" i="23"/>
  <c r="BB245" i="23"/>
  <c r="AZ245" i="23"/>
  <c r="BA245" i="23" s="1"/>
  <c r="AE323" i="12"/>
  <c r="AC63" i="12"/>
  <c r="AC153" i="12" s="1"/>
  <c r="BB275" i="23"/>
  <c r="AZ275" i="23"/>
  <c r="BA275" i="23" s="1"/>
  <c r="R6" i="16"/>
  <c r="R28" i="16"/>
  <c r="AD323" i="12"/>
  <c r="BB75" i="28"/>
  <c r="BA4" i="28"/>
  <c r="BA5" i="28" s="1"/>
  <c r="BA7" i="28" s="1"/>
  <c r="AF6" i="13"/>
  <c r="AF42" i="13" s="1"/>
  <c r="AE42" i="13"/>
  <c r="AM224" i="12"/>
  <c r="AM324" i="12" s="1"/>
  <c r="AM221" i="12"/>
  <c r="AM223" i="12"/>
  <c r="AM222" i="12"/>
  <c r="AI12" i="12"/>
  <c r="AX297" i="23"/>
  <c r="AW297" i="23"/>
  <c r="P297" i="23"/>
  <c r="AY297" i="23"/>
  <c r="AV297" i="23"/>
  <c r="AU297" i="23"/>
  <c r="BB212" i="23"/>
  <c r="AZ212" i="23"/>
  <c r="BA212" i="23" s="1"/>
  <c r="AF8" i="12"/>
  <c r="AF83" i="12"/>
  <c r="AF14" i="12" s="1"/>
  <c r="AF13" i="12"/>
  <c r="AD215" i="12"/>
  <c r="AD106" i="12"/>
  <c r="P311" i="23"/>
  <c r="AY311" i="23"/>
  <c r="AX311" i="23"/>
  <c r="BC311" i="23" s="1"/>
  <c r="AW311" i="23"/>
  <c r="AV311" i="23"/>
  <c r="AU311" i="23"/>
  <c r="AH318" i="12"/>
  <c r="AK29" i="27"/>
  <c r="O314" i="23" s="1"/>
  <c r="AK13" i="27"/>
  <c r="AA104" i="16"/>
  <c r="AB64" i="12"/>
  <c r="AB154" i="12" s="1"/>
  <c r="P91" i="16"/>
  <c r="Q80" i="16" s="1"/>
  <c r="Q81" i="16" s="1"/>
  <c r="Q82" i="16" s="1"/>
  <c r="Q83" i="16" s="1"/>
  <c r="AE312" i="12"/>
  <c r="AH6" i="27"/>
  <c r="AH22" i="27"/>
  <c r="O271" i="23" s="1"/>
  <c r="X97" i="16"/>
  <c r="AH23" i="12"/>
  <c r="AH297" i="12" s="1"/>
  <c r="AE297" i="12"/>
  <c r="AG313" i="12"/>
  <c r="P301" i="23"/>
  <c r="AV301" i="23"/>
  <c r="AU301" i="23"/>
  <c r="AY301" i="23"/>
  <c r="AW301" i="23"/>
  <c r="AX301" i="23"/>
  <c r="O258" i="23"/>
  <c r="BB226" i="22"/>
  <c r="CC226" i="22" s="1"/>
  <c r="BB264" i="23"/>
  <c r="AZ264" i="23"/>
  <c r="BA264" i="23" s="1"/>
  <c r="AA60" i="12"/>
  <c r="AA150" i="12" s="1"/>
  <c r="AK213" i="12"/>
  <c r="AK108" i="12"/>
  <c r="AD63" i="12"/>
  <c r="AD153" i="12" s="1"/>
  <c r="AD57" i="12"/>
  <c r="AD147" i="12" s="1"/>
  <c r="AD54" i="12"/>
  <c r="AD144" i="12" s="1"/>
  <c r="AD56" i="12"/>
  <c r="AD146" i="12" s="1"/>
  <c r="AD61" i="12"/>
  <c r="AD151" i="12" s="1"/>
  <c r="AD55" i="12"/>
  <c r="AD145" i="12" s="1"/>
  <c r="BB273" i="23"/>
  <c r="AZ273" i="23"/>
  <c r="BA273" i="23" s="1"/>
  <c r="AY300" i="23"/>
  <c r="AU300" i="23"/>
  <c r="P300" i="23"/>
  <c r="AV300" i="23"/>
  <c r="AX300" i="23"/>
  <c r="BC300" i="23" s="1"/>
  <c r="AW300" i="23"/>
  <c r="AH23" i="27"/>
  <c r="O272" i="23" s="1"/>
  <c r="AH7" i="27"/>
  <c r="X98" i="16"/>
  <c r="AE314" i="12"/>
  <c r="AF24" i="12"/>
  <c r="AG24" i="12"/>
  <c r="AG314" i="12"/>
  <c r="AH24" i="12"/>
  <c r="BC39" i="28"/>
  <c r="BB41" i="28"/>
  <c r="BG8" i="28"/>
  <c r="AM34" i="12"/>
  <c r="AM6" i="12"/>
  <c r="BD45" i="28"/>
  <c r="BC47" i="28"/>
  <c r="AJ14" i="27"/>
  <c r="AJ30" i="27"/>
  <c r="O303" i="23" s="1"/>
  <c r="Z105" i="16"/>
  <c r="AY15" i="16"/>
  <c r="AY17" i="16"/>
  <c r="AJ308" i="12"/>
  <c r="AJ250" i="12"/>
  <c r="Z146" i="12"/>
  <c r="Z65" i="12"/>
  <c r="Z155" i="12" s="1"/>
  <c r="AL308" i="12"/>
  <c r="AL250" i="12"/>
  <c r="AV11" i="28"/>
  <c r="AB174" i="12"/>
  <c r="BB292" i="23"/>
  <c r="AZ292" i="23"/>
  <c r="BA292" i="23" s="1"/>
  <c r="AF296" i="12"/>
  <c r="AB62" i="12"/>
  <c r="AB152" i="12" s="1"/>
  <c r="BE8" i="28"/>
  <c r="AK34" i="12"/>
  <c r="AK6" i="12"/>
  <c r="BC3" i="28"/>
  <c r="AL26" i="27"/>
  <c r="O323" i="23" s="1"/>
  <c r="AL10" i="27"/>
  <c r="AB101" i="16"/>
  <c r="AZ225" i="22"/>
  <c r="CA225" i="22" s="1"/>
  <c r="AY229" i="22"/>
  <c r="BZ229" i="22" s="1"/>
  <c r="AY316" i="23"/>
  <c r="AX316" i="23"/>
  <c r="BC316" i="23" s="1"/>
  <c r="AW316" i="23"/>
  <c r="AV316" i="23"/>
  <c r="AU316" i="23"/>
  <c r="P316" i="23"/>
  <c r="AZ288" i="23"/>
  <c r="BA288" i="23" s="1"/>
  <c r="BB288" i="23"/>
  <c r="Y154" i="12"/>
  <c r="Z64" i="12"/>
  <c r="Z154" i="12" s="1"/>
  <c r="AA64" i="12"/>
  <c r="AA154" i="12" s="1"/>
  <c r="AI245" i="12"/>
  <c r="AI247" i="12"/>
  <c r="AI248" i="12" s="1"/>
  <c r="P304" i="23"/>
  <c r="AY304" i="23"/>
  <c r="AV304" i="23"/>
  <c r="AU304" i="23"/>
  <c r="AX304" i="23"/>
  <c r="BC304" i="23" s="1"/>
  <c r="AW304" i="23"/>
  <c r="AJ245" i="12"/>
  <c r="AJ247" i="12"/>
  <c r="AJ248" i="12" s="1"/>
  <c r="BC285" i="23"/>
  <c r="AL245" i="12"/>
  <c r="AL247" i="12"/>
  <c r="AL248" i="12" s="1"/>
  <c r="AG297" i="12"/>
  <c r="AB17" i="12"/>
  <c r="BC264" i="23"/>
  <c r="BB221" i="23"/>
  <c r="AZ221" i="23"/>
  <c r="BA221" i="23" s="1"/>
  <c r="AU291" i="23"/>
  <c r="P291" i="23"/>
  <c r="AV291" i="23"/>
  <c r="AW291" i="23"/>
  <c r="AY291" i="23"/>
  <c r="AX291" i="23"/>
  <c r="AB58" i="12"/>
  <c r="AB65" i="12" s="1"/>
  <c r="AB155" i="12" s="1"/>
  <c r="AK224" i="12"/>
  <c r="AK324" i="12" s="1"/>
  <c r="AK221" i="12"/>
  <c r="AK223" i="12"/>
  <c r="AK222" i="12"/>
  <c r="BB35" i="28"/>
  <c r="BC33" i="28"/>
  <c r="BC273" i="23"/>
  <c r="AG321" i="12"/>
  <c r="AH302" i="12"/>
  <c r="BB276" i="23"/>
  <c r="AZ276" i="23"/>
  <c r="BA276" i="23" s="1"/>
  <c r="AL24" i="27"/>
  <c r="O321" i="23" s="1"/>
  <c r="AL8" i="27"/>
  <c r="AB99" i="16"/>
  <c r="AA173" i="12" l="1"/>
  <c r="BB291" i="23"/>
  <c r="AZ291" i="23"/>
  <c r="BA291" i="23" s="1"/>
  <c r="AZ227" i="22"/>
  <c r="CA227" i="22" s="1"/>
  <c r="I85" i="13"/>
  <c r="I68" i="13"/>
  <c r="AJ12" i="12"/>
  <c r="AD60" i="12"/>
  <c r="AD150" i="12" s="1"/>
  <c r="AB167" i="12"/>
  <c r="AC167" i="12" s="1"/>
  <c r="AB172" i="12"/>
  <c r="AC172" i="12" s="1"/>
  <c r="AB166" i="12"/>
  <c r="AC166" i="12" s="1"/>
  <c r="AB162" i="12"/>
  <c r="AB173" i="12" s="1"/>
  <c r="AB169" i="12"/>
  <c r="AB164" i="12"/>
  <c r="AB170" i="12"/>
  <c r="AB165" i="12"/>
  <c r="AB163" i="12"/>
  <c r="AB171" i="12"/>
  <c r="AB168" i="12"/>
  <c r="BC41" i="28"/>
  <c r="BD39" i="28"/>
  <c r="AZ301" i="23"/>
  <c r="BA301" i="23" s="1"/>
  <c r="BB301" i="23"/>
  <c r="BB297" i="23"/>
  <c r="AZ297" i="23"/>
  <c r="BA297" i="23" s="1"/>
  <c r="R24" i="16"/>
  <c r="R26" i="16"/>
  <c r="R17" i="16"/>
  <c r="R25" i="16"/>
  <c r="R20" i="16"/>
  <c r="R19" i="16"/>
  <c r="R27" i="16" s="1"/>
  <c r="R22" i="16"/>
  <c r="R16" i="16"/>
  <c r="R23" i="16"/>
  <c r="R18" i="16"/>
  <c r="R21" i="16"/>
  <c r="BB309" i="23"/>
  <c r="AZ309" i="23"/>
  <c r="BA309" i="23" s="1"/>
  <c r="BC313" i="23"/>
  <c r="BA9" i="28"/>
  <c r="AG66" i="12"/>
  <c r="AG156" i="12"/>
  <c r="AG107" i="12"/>
  <c r="AG7" i="12"/>
  <c r="AK23" i="27"/>
  <c r="O308" i="23" s="1"/>
  <c r="AK7" i="27"/>
  <c r="AA98" i="16"/>
  <c r="AY10" i="28"/>
  <c r="AY12" i="28" s="1"/>
  <c r="AE16" i="12"/>
  <c r="AE18" i="12"/>
  <c r="AE17" i="12" s="1"/>
  <c r="BB246" i="23"/>
  <c r="AZ246" i="23"/>
  <c r="BA246" i="23" s="1"/>
  <c r="AY321" i="23"/>
  <c r="AV321" i="23"/>
  <c r="AU321" i="23"/>
  <c r="AX321" i="23"/>
  <c r="P321" i="23"/>
  <c r="AW321" i="23"/>
  <c r="AF4" i="13"/>
  <c r="AF26" i="13" s="1"/>
  <c r="AE26" i="13"/>
  <c r="P269" i="23"/>
  <c r="AY269" i="23"/>
  <c r="AW269" i="23"/>
  <c r="AV269" i="23"/>
  <c r="AX269" i="23"/>
  <c r="AU269" i="23"/>
  <c r="AL253" i="12"/>
  <c r="AL254" i="12" s="1"/>
  <c r="AL251" i="12"/>
  <c r="AJ23" i="27"/>
  <c r="O296" i="23" s="1"/>
  <c r="AJ7" i="27"/>
  <c r="Z98" i="16"/>
  <c r="AI314" i="12"/>
  <c r="BB313" i="23"/>
  <c r="AZ313" i="23"/>
  <c r="BA313" i="23" s="1"/>
  <c r="BB262" i="23"/>
  <c r="AZ262" i="23"/>
  <c r="BA262" i="23" s="1"/>
  <c r="R8" i="16"/>
  <c r="R11" i="16"/>
  <c r="R10" i="16" s="1"/>
  <c r="BB316" i="23"/>
  <c r="AZ316" i="23"/>
  <c r="BA316" i="23" s="1"/>
  <c r="AI23" i="27"/>
  <c r="O284" i="23" s="1"/>
  <c r="AI7" i="27"/>
  <c r="Y98" i="16"/>
  <c r="AH314" i="12"/>
  <c r="AH298" i="12"/>
  <c r="AF298" i="12"/>
  <c r="AI24" i="12"/>
  <c r="AG298" i="12"/>
  <c r="AF314" i="12"/>
  <c r="AZ259" i="23"/>
  <c r="BA259" i="23" s="1"/>
  <c r="BB259" i="23"/>
  <c r="AH313" i="12"/>
  <c r="AE63" i="12"/>
  <c r="AE153" i="12" s="1"/>
  <c r="AE57" i="12"/>
  <c r="AE147" i="12" s="1"/>
  <c r="AE61" i="12"/>
  <c r="AE151" i="12" s="1"/>
  <c r="AE56" i="12"/>
  <c r="AE146" i="12" s="1"/>
  <c r="AE55" i="12"/>
  <c r="AE145" i="12" s="1"/>
  <c r="AE54" i="12"/>
  <c r="AE144" i="12" s="1"/>
  <c r="BC246" i="23"/>
  <c r="BB260" i="23"/>
  <c r="AZ260" i="23"/>
  <c r="BA260" i="23" s="1"/>
  <c r="AK6" i="27"/>
  <c r="AK22" i="27"/>
  <c r="O307" i="23" s="1"/>
  <c r="AA97" i="16"/>
  <c r="P314" i="23"/>
  <c r="AY314" i="23"/>
  <c r="AU314" i="23"/>
  <c r="AX314" i="23"/>
  <c r="BC314" i="23" s="1"/>
  <c r="AW314" i="23"/>
  <c r="AV314" i="23"/>
  <c r="BC297" i="23"/>
  <c r="BC259" i="23"/>
  <c r="AL29" i="27"/>
  <c r="O326" i="23" s="1"/>
  <c r="AL13" i="27"/>
  <c r="AB104" i="16"/>
  <c r="AE215" i="12"/>
  <c r="AE106" i="12"/>
  <c r="BC262" i="23"/>
  <c r="AI313" i="12"/>
  <c r="AJ253" i="12"/>
  <c r="AJ254" i="12" s="1"/>
  <c r="AJ251" i="12"/>
  <c r="AV271" i="23"/>
  <c r="P271" i="23"/>
  <c r="AY271" i="23"/>
  <c r="AW271" i="23"/>
  <c r="AU271" i="23"/>
  <c r="AX271" i="23"/>
  <c r="BB311" i="23"/>
  <c r="AZ311" i="23"/>
  <c r="BA311" i="23" s="1"/>
  <c r="AZ16" i="16"/>
  <c r="AZ19" i="16" s="1"/>
  <c r="X209" i="22"/>
  <c r="Y209" i="22" s="1"/>
  <c r="BD209" i="22"/>
  <c r="AY283" i="23"/>
  <c r="AX283" i="23"/>
  <c r="P283" i="23"/>
  <c r="AW283" i="23"/>
  <c r="AV283" i="23"/>
  <c r="AU283" i="23"/>
  <c r="BB287" i="23"/>
  <c r="AZ287" i="23"/>
  <c r="BA287" i="23" s="1"/>
  <c r="AK216" i="12"/>
  <c r="BC35" i="28"/>
  <c r="BC6" i="28" s="1"/>
  <c r="BD33" i="28"/>
  <c r="AJ301" i="12"/>
  <c r="AJ303" i="12"/>
  <c r="AJ299" i="12"/>
  <c r="AJ306" i="12"/>
  <c r="AJ302" i="12"/>
  <c r="AJ298" i="12"/>
  <c r="AJ304" i="12"/>
  <c r="AJ305" i="12"/>
  <c r="P272" i="23"/>
  <c r="AV272" i="23"/>
  <c r="AY272" i="23"/>
  <c r="AX272" i="23"/>
  <c r="BC272" i="23" s="1"/>
  <c r="AW272" i="23"/>
  <c r="AU272" i="23"/>
  <c r="AZ18" i="16"/>
  <c r="AY295" i="23"/>
  <c r="AX295" i="23"/>
  <c r="BC295" i="23" s="1"/>
  <c r="P295" i="23"/>
  <c r="AW295" i="23"/>
  <c r="AV295" i="23"/>
  <c r="AU295" i="23"/>
  <c r="BC289" i="23"/>
  <c r="AX11" i="28"/>
  <c r="AD174" i="12"/>
  <c r="AM11" i="27"/>
  <c r="AM27" i="27"/>
  <c r="O336" i="23" s="1"/>
  <c r="AC102" i="16"/>
  <c r="AI21" i="27"/>
  <c r="AI5" i="27"/>
  <c r="Y96" i="16"/>
  <c r="AF33" i="12"/>
  <c r="AH312" i="12"/>
  <c r="AG296" i="12"/>
  <c r="AH296" i="12"/>
  <c r="AI22" i="12"/>
  <c r="BB257" i="23"/>
  <c r="AZ257" i="23"/>
  <c r="BA257" i="23" s="1"/>
  <c r="AC64" i="12"/>
  <c r="AC154" i="12" s="1"/>
  <c r="AJ30" i="12"/>
  <c r="BD27" i="28"/>
  <c r="BC29" i="28"/>
  <c r="AJ21" i="27"/>
  <c r="AJ5" i="27"/>
  <c r="Z96" i="16"/>
  <c r="AI25" i="27"/>
  <c r="O286" i="23" s="1"/>
  <c r="AI9" i="27"/>
  <c r="Y100" i="16"/>
  <c r="AF316" i="12"/>
  <c r="AF300" i="12"/>
  <c r="P312" i="23"/>
  <c r="AV312" i="23"/>
  <c r="AU312" i="23"/>
  <c r="AY312" i="23"/>
  <c r="AX312" i="23"/>
  <c r="BC312" i="23" s="1"/>
  <c r="AW312" i="23"/>
  <c r="AX210" i="22"/>
  <c r="AY22" i="16"/>
  <c r="AY23" i="16"/>
  <c r="AY21" i="16"/>
  <c r="AY24" i="16"/>
  <c r="AK308" i="12"/>
  <c r="AK250" i="12"/>
  <c r="AH8" i="12"/>
  <c r="AH22" i="12"/>
  <c r="AI296" i="12" s="1"/>
  <c r="AU324" i="23"/>
  <c r="AX324" i="23"/>
  <c r="AW324" i="23"/>
  <c r="AY324" i="23"/>
  <c r="AV324" i="23"/>
  <c r="P324" i="23"/>
  <c r="AK244" i="12"/>
  <c r="AM308" i="12"/>
  <c r="AM250" i="12"/>
  <c r="BB289" i="23"/>
  <c r="AZ289" i="23"/>
  <c r="BA289" i="23" s="1"/>
  <c r="AK30" i="27"/>
  <c r="O315" i="23" s="1"/>
  <c r="AK14" i="27"/>
  <c r="AA105" i="16"/>
  <c r="AV325" i="23"/>
  <c r="AU325" i="23"/>
  <c r="AX325" i="23"/>
  <c r="AW325" i="23"/>
  <c r="AY325" i="23"/>
  <c r="P325" i="23"/>
  <c r="AC60" i="12"/>
  <c r="AC150" i="12" s="1"/>
  <c r="AH16" i="27"/>
  <c r="AH17" i="27" s="1"/>
  <c r="AH32" i="27"/>
  <c r="O281" i="23" s="1"/>
  <c r="X107" i="16"/>
  <c r="X108" i="16" s="1"/>
  <c r="AG316" i="12"/>
  <c r="AD25" i="13"/>
  <c r="AD17" i="13"/>
  <c r="AD24" i="13"/>
  <c r="AD16" i="13"/>
  <c r="AD23" i="13"/>
  <c r="AD15" i="13"/>
  <c r="AD22" i="13"/>
  <c r="AD21" i="13"/>
  <c r="AD18" i="13"/>
  <c r="AD20" i="13"/>
  <c r="AD19" i="13"/>
  <c r="AD14" i="13"/>
  <c r="AZ22" i="16"/>
  <c r="AZ24" i="16"/>
  <c r="AZ23" i="16"/>
  <c r="AZ21" i="16"/>
  <c r="AY230" i="22"/>
  <c r="BZ230" i="22" s="1"/>
  <c r="AY231" i="22"/>
  <c r="BZ231" i="22" s="1"/>
  <c r="AY328" i="23"/>
  <c r="AW328" i="23"/>
  <c r="AV328" i="23"/>
  <c r="AX328" i="23"/>
  <c r="AU328" i="23"/>
  <c r="P328" i="23"/>
  <c r="P323" i="23"/>
  <c r="AV323" i="23"/>
  <c r="AU323" i="23"/>
  <c r="AX323" i="23"/>
  <c r="BC323" i="23" s="1"/>
  <c r="AW323" i="23"/>
  <c r="AY323" i="23"/>
  <c r="AX303" i="23"/>
  <c r="AW303" i="23"/>
  <c r="P303" i="23"/>
  <c r="AY303" i="23"/>
  <c r="AV303" i="23"/>
  <c r="AU303" i="23"/>
  <c r="BB300" i="23"/>
  <c r="AZ300" i="23"/>
  <c r="BA300" i="23" s="1"/>
  <c r="BB227" i="22"/>
  <c r="CC227" i="22" s="1"/>
  <c r="AH305" i="12"/>
  <c r="AM244" i="12"/>
  <c r="AC62" i="12"/>
  <c r="AI304" i="12"/>
  <c r="N291" i="12"/>
  <c r="N292" i="12" s="1"/>
  <c r="N276" i="12"/>
  <c r="AJ320" i="12"/>
  <c r="AJ24" i="12"/>
  <c r="AX25" i="16"/>
  <c r="AX26" i="16"/>
  <c r="AZ304" i="23"/>
  <c r="BA304" i="23" s="1"/>
  <c r="BB304" i="23"/>
  <c r="BD3" i="28"/>
  <c r="BA210" i="22"/>
  <c r="AM24" i="27"/>
  <c r="O333" i="23" s="1"/>
  <c r="AM8" i="27"/>
  <c r="AC99" i="16"/>
  <c r="AM91" i="8"/>
  <c r="AM92" i="8" s="1"/>
  <c r="AM93" i="8" s="1"/>
  <c r="AM94" i="8" s="1"/>
  <c r="AM95" i="8" s="1"/>
  <c r="AM96" i="8" s="1"/>
  <c r="AM97" i="8" s="1"/>
  <c r="AM98" i="8" s="1"/>
  <c r="AM99" i="8" s="1"/>
  <c r="AM100" i="8" s="1"/>
  <c r="AM101" i="8" s="1"/>
  <c r="O270" i="23"/>
  <c r="AN82" i="8"/>
  <c r="AN77" i="8"/>
  <c r="AN84" i="8"/>
  <c r="AN79" i="8"/>
  <c r="AN74" i="8"/>
  <c r="AN81" i="8"/>
  <c r="AN78" i="8"/>
  <c r="AN80" i="8"/>
  <c r="AN75" i="8"/>
  <c r="AN85" i="8" s="1"/>
  <c r="AN76" i="8"/>
  <c r="AN83" i="8"/>
  <c r="AG26" i="12"/>
  <c r="AG33" i="12" s="1"/>
  <c r="AK317" i="12"/>
  <c r="AK314" i="12"/>
  <c r="AK318" i="12"/>
  <c r="AK322" i="12"/>
  <c r="AB148" i="12"/>
  <c r="AC58" i="12"/>
  <c r="AI298" i="12"/>
  <c r="BC291" i="23"/>
  <c r="AD214" i="12"/>
  <c r="AD114" i="12"/>
  <c r="AI23" i="12"/>
  <c r="AC59" i="12"/>
  <c r="AM31" i="27"/>
  <c r="O340" i="23" s="1"/>
  <c r="AM15" i="27"/>
  <c r="AC106" i="16"/>
  <c r="BC302" i="23"/>
  <c r="AN143" i="8"/>
  <c r="AN138" i="8"/>
  <c r="AN145" i="8"/>
  <c r="AN140" i="8"/>
  <c r="AN147" i="8"/>
  <c r="AN142" i="8"/>
  <c r="AN141" i="8"/>
  <c r="AN148" i="8"/>
  <c r="AN139" i="8"/>
  <c r="AN146" i="8"/>
  <c r="AN144" i="8"/>
  <c r="AN63" i="8"/>
  <c r="AN58" i="8"/>
  <c r="AN65" i="8"/>
  <c r="AN60" i="8"/>
  <c r="AN67" i="8"/>
  <c r="AN62" i="8"/>
  <c r="AN66" i="8"/>
  <c r="AN59" i="8"/>
  <c r="AN69" i="8" s="1"/>
  <c r="AN68" i="8"/>
  <c r="AN61" i="8"/>
  <c r="AN64" i="8"/>
  <c r="AY19" i="16"/>
  <c r="Q84" i="16"/>
  <c r="Q85" i="16" s="1"/>
  <c r="Q86" i="16" s="1"/>
  <c r="Q87" i="16" s="1"/>
  <c r="Q88" i="16" s="1"/>
  <c r="Q89" i="16" s="1"/>
  <c r="Q90" i="16" s="1"/>
  <c r="Q91" i="16" s="1"/>
  <c r="R80" i="16" s="1"/>
  <c r="R81" i="16" s="1"/>
  <c r="R82" i="16" s="1"/>
  <c r="AK9" i="12"/>
  <c r="AE31" i="13"/>
  <c r="AE41" i="13"/>
  <c r="AE35" i="13"/>
  <c r="AE33" i="13"/>
  <c r="AE32" i="13"/>
  <c r="AE30" i="13"/>
  <c r="AE39" i="13"/>
  <c r="AE34" i="13"/>
  <c r="AE37" i="13"/>
  <c r="AE40" i="13"/>
  <c r="AE36" i="13"/>
  <c r="AE38" i="13"/>
  <c r="AK27" i="12"/>
  <c r="AK25" i="12"/>
  <c r="AK29" i="12"/>
  <c r="AK24" i="12"/>
  <c r="AK28" i="12"/>
  <c r="AM318" i="12" s="1"/>
  <c r="AK30" i="12"/>
  <c r="AK32" i="12"/>
  <c r="BE45" i="28"/>
  <c r="BD47" i="28"/>
  <c r="P258" i="23"/>
  <c r="AY258" i="23"/>
  <c r="AW258" i="23"/>
  <c r="AV258" i="23"/>
  <c r="AX258" i="23"/>
  <c r="AU258" i="23"/>
  <c r="AF32" i="13"/>
  <c r="AF31" i="13"/>
  <c r="AF30" i="13"/>
  <c r="AF39" i="13"/>
  <c r="AF34" i="13"/>
  <c r="AF37" i="13"/>
  <c r="AF40" i="13"/>
  <c r="AF38" i="13"/>
  <c r="AF35" i="13"/>
  <c r="AF36" i="13"/>
  <c r="AF41" i="13"/>
  <c r="AF33" i="13"/>
  <c r="AL12" i="12"/>
  <c r="AA65" i="12"/>
  <c r="AA155" i="12" s="1"/>
  <c r="AP8" i="8"/>
  <c r="AO70" i="8"/>
  <c r="AO17" i="8"/>
  <c r="AO150" i="8" s="1"/>
  <c r="AO7" i="8"/>
  <c r="AO86" i="8" s="1"/>
  <c r="AW274" i="23"/>
  <c r="AV274" i="23"/>
  <c r="P274" i="23"/>
  <c r="AY274" i="23"/>
  <c r="AX274" i="23"/>
  <c r="AU274" i="23"/>
  <c r="AZ226" i="22"/>
  <c r="CA226" i="22" s="1"/>
  <c r="AM10" i="27"/>
  <c r="AM26" i="27"/>
  <c r="O335" i="23" s="1"/>
  <c r="AC101" i="16"/>
  <c r="AG33" i="27"/>
  <c r="AL28" i="12"/>
  <c r="AG83" i="12"/>
  <c r="AG14" i="12" s="1"/>
  <c r="AG13" i="12"/>
  <c r="BB299" i="23"/>
  <c r="AZ299" i="23"/>
  <c r="BA299" i="23" s="1"/>
  <c r="AJ314" i="12"/>
  <c r="AJ31" i="12"/>
  <c r="AZ302" i="23"/>
  <c r="BA302" i="23" s="1"/>
  <c r="BB302" i="23"/>
  <c r="BC290" i="23"/>
  <c r="AH321" i="12"/>
  <c r="BE21" i="28"/>
  <c r="BD23" i="28"/>
  <c r="AI31" i="12"/>
  <c r="BF17" i="28"/>
  <c r="BG15" i="28"/>
  <c r="BG17" i="28" s="1"/>
  <c r="AM9" i="12"/>
  <c r="AM28" i="12"/>
  <c r="BC301" i="23"/>
  <c r="AZ9" i="28"/>
  <c r="AF66" i="12"/>
  <c r="AF156" i="12"/>
  <c r="AF107" i="12"/>
  <c r="AF7" i="12"/>
  <c r="BC75" i="28"/>
  <c r="BB4" i="28"/>
  <c r="BB5" i="28" s="1"/>
  <c r="BB7" i="28" s="1"/>
  <c r="AM216" i="12"/>
  <c r="AJ321" i="12"/>
  <c r="AM28" i="27"/>
  <c r="O337" i="23" s="1"/>
  <c r="AM12" i="27"/>
  <c r="AC103" i="16"/>
  <c r="Q95" i="12"/>
  <c r="Q96" i="12" s="1"/>
  <c r="Q97" i="12" s="1"/>
  <c r="AY88" i="12"/>
  <c r="AZ290" i="23"/>
  <c r="BA290" i="23" s="1"/>
  <c r="BB290" i="23"/>
  <c r="AC171" i="12"/>
  <c r="AC170" i="12"/>
  <c r="AC165" i="12"/>
  <c r="AC169" i="12"/>
  <c r="AC164" i="12"/>
  <c r="AC168" i="12"/>
  <c r="AC163" i="12"/>
  <c r="AJ313" i="12" l="1"/>
  <c r="AZ25" i="16"/>
  <c r="BA19" i="16"/>
  <c r="AZ26" i="16"/>
  <c r="AJ32" i="27"/>
  <c r="O305" i="23" s="1"/>
  <c r="AJ16" i="27"/>
  <c r="Z107" i="16"/>
  <c r="Z108" i="16" s="1"/>
  <c r="AG323" i="12"/>
  <c r="AG307" i="12"/>
  <c r="P337" i="23"/>
  <c r="AY337" i="23"/>
  <c r="AX337" i="23"/>
  <c r="BC337" i="23" s="1"/>
  <c r="AW337" i="23"/>
  <c r="AV337" i="23"/>
  <c r="AU337" i="23"/>
  <c r="AY281" i="23"/>
  <c r="AX281" i="23"/>
  <c r="BC281" i="23" s="1"/>
  <c r="AV281" i="23"/>
  <c r="AU281" i="23"/>
  <c r="P281" i="23"/>
  <c r="AW281" i="23"/>
  <c r="BC324" i="23"/>
  <c r="P296" i="23"/>
  <c r="AY296" i="23"/>
  <c r="AX296" i="23"/>
  <c r="AW296" i="23"/>
  <c r="AV296" i="23"/>
  <c r="AU296" i="23"/>
  <c r="AN28" i="27"/>
  <c r="O349" i="23" s="1"/>
  <c r="AN12" i="27"/>
  <c r="AD103" i="16"/>
  <c r="AL29" i="12"/>
  <c r="AL303" i="12" s="1"/>
  <c r="AL319" i="12"/>
  <c r="Y108" i="16"/>
  <c r="BC325" i="23"/>
  <c r="AK253" i="12"/>
  <c r="AK254" i="12" s="1"/>
  <c r="AK251" i="12"/>
  <c r="AL302" i="12"/>
  <c r="AZ269" i="23"/>
  <c r="BA269" i="23" s="1"/>
  <c r="BB269" i="23"/>
  <c r="I86" i="13"/>
  <c r="AN31" i="27"/>
  <c r="O352" i="23" s="1"/>
  <c r="AN15" i="27"/>
  <c r="AD106" i="16"/>
  <c r="AL32" i="12"/>
  <c r="AL322" i="12"/>
  <c r="AY284" i="23"/>
  <c r="AX284" i="23"/>
  <c r="BC284" i="23" s="1"/>
  <c r="AW284" i="23"/>
  <c r="AV284" i="23"/>
  <c r="AU284" i="23"/>
  <c r="P284" i="23"/>
  <c r="BB9" i="28"/>
  <c r="AH66" i="12"/>
  <c r="AH156" i="12"/>
  <c r="AH107" i="12"/>
  <c r="AH7" i="12"/>
  <c r="AX308" i="23"/>
  <c r="AW308" i="23"/>
  <c r="AY308" i="23"/>
  <c r="P308" i="23"/>
  <c r="AU308" i="23"/>
  <c r="AV308" i="23"/>
  <c r="AZ10" i="28"/>
  <c r="AZ12" i="28" s="1"/>
  <c r="AF18" i="12"/>
  <c r="AF16" i="12"/>
  <c r="BB274" i="23"/>
  <c r="AZ274" i="23"/>
  <c r="BA274" i="23" s="1"/>
  <c r="AN8" i="27"/>
  <c r="AN24" i="27"/>
  <c r="O345" i="23" s="1"/>
  <c r="AD99" i="16"/>
  <c r="AC162" i="12"/>
  <c r="AC173" i="12" s="1"/>
  <c r="BC274" i="23"/>
  <c r="AN26" i="27"/>
  <c r="O347" i="23" s="1"/>
  <c r="AN10" i="27"/>
  <c r="AD101" i="16"/>
  <c r="BC303" i="23"/>
  <c r="BB325" i="23"/>
  <c r="AZ325" i="23"/>
  <c r="BA325" i="23" s="1"/>
  <c r="AK304" i="12"/>
  <c r="AK298" i="12"/>
  <c r="AK303" i="12"/>
  <c r="AK299" i="12"/>
  <c r="AK306" i="12"/>
  <c r="AK302" i="12"/>
  <c r="AK296" i="12"/>
  <c r="AK301" i="12"/>
  <c r="AI33" i="27"/>
  <c r="O282" i="23"/>
  <c r="BC283" i="23"/>
  <c r="P326" i="23"/>
  <c r="AY326" i="23"/>
  <c r="AX326" i="23"/>
  <c r="BC326" i="23" s="1"/>
  <c r="AW326" i="23"/>
  <c r="AV326" i="23"/>
  <c r="AU326" i="23"/>
  <c r="BC269" i="23"/>
  <c r="BA10" i="28"/>
  <c r="BA12" i="28" s="1"/>
  <c r="AG18" i="12"/>
  <c r="AG17" i="12" s="1"/>
  <c r="AG16" i="12"/>
  <c r="I69" i="13"/>
  <c r="BB228" i="22"/>
  <c r="CC228" i="22" s="1"/>
  <c r="BB229" i="22"/>
  <c r="CC229" i="22" s="1"/>
  <c r="BB231" i="22" s="1"/>
  <c r="CC231" i="22" s="1"/>
  <c r="BB230" i="22"/>
  <c r="CC230" i="22" s="1"/>
  <c r="AN29" i="27"/>
  <c r="O350" i="23" s="1"/>
  <c r="AN13" i="27"/>
  <c r="AD104" i="16"/>
  <c r="BB303" i="23"/>
  <c r="AZ303" i="23"/>
  <c r="BA303" i="23" s="1"/>
  <c r="AE214" i="12"/>
  <c r="AE114" i="12"/>
  <c r="AI16" i="27"/>
  <c r="AI17" i="27" s="1"/>
  <c r="AI32" i="27"/>
  <c r="O293" i="23" s="1"/>
  <c r="Y107" i="16"/>
  <c r="AF323" i="12"/>
  <c r="AG215" i="12"/>
  <c r="AG106" i="12"/>
  <c r="AL14" i="27"/>
  <c r="AL30" i="27"/>
  <c r="O327" i="23" s="1"/>
  <c r="AB105" i="16"/>
  <c r="AI321" i="12"/>
  <c r="AI305" i="12"/>
  <c r="AK31" i="12"/>
  <c r="AL31" i="12" s="1"/>
  <c r="AJ23" i="12"/>
  <c r="AI312" i="12"/>
  <c r="AY336" i="23"/>
  <c r="AX336" i="23"/>
  <c r="AW336" i="23"/>
  <c r="P336" i="23"/>
  <c r="AV336" i="23"/>
  <c r="AU336" i="23"/>
  <c r="BE39" i="28"/>
  <c r="BD41" i="28"/>
  <c r="AK12" i="12"/>
  <c r="R83" i="16"/>
  <c r="R84" i="16" s="1"/>
  <c r="R85" i="16" s="1"/>
  <c r="R86" i="16" s="1"/>
  <c r="R87" i="16" s="1"/>
  <c r="R88" i="16" s="1"/>
  <c r="R89" i="16" s="1"/>
  <c r="R90" i="16" s="1"/>
  <c r="R91" i="16" s="1"/>
  <c r="S80" i="16" s="1"/>
  <c r="S81" i="16" s="1"/>
  <c r="S82" i="16" s="1"/>
  <c r="S83" i="16" s="1"/>
  <c r="S84" i="16" s="1"/>
  <c r="S85" i="16" s="1"/>
  <c r="S86" i="16" s="1"/>
  <c r="S87" i="16" s="1"/>
  <c r="S88" i="16" s="1"/>
  <c r="S89" i="16" s="1"/>
  <c r="S90" i="16" s="1"/>
  <c r="S91" i="16" s="1"/>
  <c r="T80" i="16" s="1"/>
  <c r="T81" i="16" s="1"/>
  <c r="T82" i="16" s="1"/>
  <c r="T83" i="16" s="1"/>
  <c r="T84" i="16" s="1"/>
  <c r="T85" i="16" s="1"/>
  <c r="T86" i="16" s="1"/>
  <c r="T87" i="16" s="1"/>
  <c r="T88" i="16" s="1"/>
  <c r="T89" i="16" s="1"/>
  <c r="T90" i="16" s="1"/>
  <c r="T91" i="16" s="1"/>
  <c r="U80" i="16" s="1"/>
  <c r="U81" i="16" s="1"/>
  <c r="U82" i="16" s="1"/>
  <c r="U83" i="16" s="1"/>
  <c r="U84" i="16" s="1"/>
  <c r="U85" i="16" s="1"/>
  <c r="U86" i="16" s="1"/>
  <c r="U87" i="16" s="1"/>
  <c r="U88" i="16" s="1"/>
  <c r="U89" i="16" s="1"/>
  <c r="U90" i="16" s="1"/>
  <c r="U91" i="16" s="1"/>
  <c r="V80" i="16" s="1"/>
  <c r="V81" i="16" s="1"/>
  <c r="V82" i="16" s="1"/>
  <c r="V83" i="16" s="1"/>
  <c r="V84" i="16" s="1"/>
  <c r="V85" i="16" s="1"/>
  <c r="V86" i="16" s="1"/>
  <c r="V87" i="16" s="1"/>
  <c r="V88" i="16" s="1"/>
  <c r="V89" i="16" s="1"/>
  <c r="V90" i="16" s="1"/>
  <c r="V91" i="16" s="1"/>
  <c r="W80" i="16" s="1"/>
  <c r="W81" i="16" s="1"/>
  <c r="W82" i="16" s="1"/>
  <c r="W83" i="16" s="1"/>
  <c r="W84" i="16" s="1"/>
  <c r="W85" i="16" s="1"/>
  <c r="W86" i="16" s="1"/>
  <c r="W87" i="16" s="1"/>
  <c r="W88" i="16" s="1"/>
  <c r="W89" i="16" s="1"/>
  <c r="W90" i="16" s="1"/>
  <c r="W91" i="16" s="1"/>
  <c r="X80" i="16" s="1"/>
  <c r="X81" i="16" s="1"/>
  <c r="X82" i="16" s="1"/>
  <c r="X83" i="16" s="1"/>
  <c r="X84" i="16" s="1"/>
  <c r="X85" i="16" s="1"/>
  <c r="X86" i="16" s="1"/>
  <c r="X87" i="16" s="1"/>
  <c r="X88" i="16" s="1"/>
  <c r="X89" i="16" s="1"/>
  <c r="X90" i="16" s="1"/>
  <c r="X91" i="16" s="1"/>
  <c r="Y80" i="16" s="1"/>
  <c r="Y81" i="16" s="1"/>
  <c r="Y82" i="16" s="1"/>
  <c r="Y83" i="16" s="1"/>
  <c r="Y84" i="16" s="1"/>
  <c r="Y85" i="16" s="1"/>
  <c r="Y86" i="16" s="1"/>
  <c r="Y87" i="16" s="1"/>
  <c r="Y88" i="16" s="1"/>
  <c r="Y89" i="16" s="1"/>
  <c r="Y90" i="16" s="1"/>
  <c r="Y91" i="16" s="1"/>
  <c r="Z80" i="16" s="1"/>
  <c r="Z81" i="16" s="1"/>
  <c r="Z82" i="16" s="1"/>
  <c r="Z83" i="16" s="1"/>
  <c r="Z84" i="16" s="1"/>
  <c r="Z85" i="16" s="1"/>
  <c r="Z86" i="16" s="1"/>
  <c r="Z87" i="16" s="1"/>
  <c r="Z88" i="16" s="1"/>
  <c r="Z89" i="16" s="1"/>
  <c r="Z90" i="16" s="1"/>
  <c r="Z91" i="16" s="1"/>
  <c r="AA80" i="16" s="1"/>
  <c r="AA81" i="16" s="1"/>
  <c r="AA82" i="16" s="1"/>
  <c r="AA83" i="16" s="1"/>
  <c r="AA84" i="16" s="1"/>
  <c r="AA85" i="16" s="1"/>
  <c r="AA86" i="16" s="1"/>
  <c r="AA87" i="16" s="1"/>
  <c r="AA88" i="16" s="1"/>
  <c r="AA89" i="16" s="1"/>
  <c r="AA90" i="16" s="1"/>
  <c r="AA91" i="16" s="1"/>
  <c r="AB80" i="16" s="1"/>
  <c r="AB81" i="16" s="1"/>
  <c r="AB82" i="16" s="1"/>
  <c r="AB83" i="16" s="1"/>
  <c r="AB84" i="16" s="1"/>
  <c r="AB85" i="16" s="1"/>
  <c r="AB86" i="16" s="1"/>
  <c r="AB87" i="16" s="1"/>
  <c r="AB88" i="16" s="1"/>
  <c r="AB89" i="16" s="1"/>
  <c r="AB90" i="16" s="1"/>
  <c r="AB91" i="16" s="1"/>
  <c r="AC80" i="16" s="1"/>
  <c r="AC81" i="16" s="1"/>
  <c r="AC82" i="16" s="1"/>
  <c r="AC83" i="16" s="1"/>
  <c r="AC84" i="16" s="1"/>
  <c r="AC85" i="16" s="1"/>
  <c r="AC86" i="16" s="1"/>
  <c r="AC87" i="16" s="1"/>
  <c r="AC88" i="16" s="1"/>
  <c r="AC89" i="16" s="1"/>
  <c r="AC90" i="16" s="1"/>
  <c r="AC91" i="16" s="1"/>
  <c r="AD80" i="16" s="1"/>
  <c r="AD81" i="16" s="1"/>
  <c r="AD82" i="16" s="1"/>
  <c r="AD83" i="16" s="1"/>
  <c r="AD84" i="16" s="1"/>
  <c r="AD85" i="16" s="1"/>
  <c r="AD86" i="16" s="1"/>
  <c r="AD87" i="16" s="1"/>
  <c r="AD88" i="16" s="1"/>
  <c r="AD89" i="16" s="1"/>
  <c r="AD90" i="16" s="1"/>
  <c r="AD91" i="16" s="1"/>
  <c r="AE80" i="16" s="1"/>
  <c r="AE81" i="16" s="1"/>
  <c r="AE82" i="16" s="1"/>
  <c r="AE83" i="16" s="1"/>
  <c r="AE84" i="16" s="1"/>
  <c r="AE85" i="16" s="1"/>
  <c r="AE86" i="16" s="1"/>
  <c r="AE87" i="16" s="1"/>
  <c r="AE88" i="16" s="1"/>
  <c r="AE89" i="16" s="1"/>
  <c r="AE90" i="16" s="1"/>
  <c r="AE91" i="16" s="1"/>
  <c r="AF80" i="16" s="1"/>
  <c r="AF81" i="16" s="1"/>
  <c r="AF82" i="16" s="1"/>
  <c r="AF83" i="16" s="1"/>
  <c r="AF84" i="16" s="1"/>
  <c r="AF85" i="16" s="1"/>
  <c r="AF86" i="16" s="1"/>
  <c r="AF87" i="16" s="1"/>
  <c r="AF88" i="16" s="1"/>
  <c r="AF89" i="16" s="1"/>
  <c r="AF90" i="16" s="1"/>
  <c r="AF91" i="16" s="1"/>
  <c r="BB283" i="23"/>
  <c r="AZ283" i="23"/>
  <c r="BA283" i="23" s="1"/>
  <c r="AG57" i="12"/>
  <c r="AG147" i="12" s="1"/>
  <c r="AG56" i="12"/>
  <c r="AG146" i="12" s="1"/>
  <c r="AG55" i="12"/>
  <c r="AG145" i="12" s="1"/>
  <c r="AD64" i="12"/>
  <c r="AD154" i="12" s="1"/>
  <c r="AK245" i="12"/>
  <c r="AK247" i="12"/>
  <c r="AK248" i="12" s="1"/>
  <c r="P333" i="23"/>
  <c r="AY333" i="23"/>
  <c r="AW333" i="23"/>
  <c r="AV333" i="23"/>
  <c r="AU333" i="23"/>
  <c r="AX333" i="23"/>
  <c r="BC333" i="23" s="1"/>
  <c r="AY11" i="28"/>
  <c r="AE174" i="12"/>
  <c r="AN27" i="27"/>
  <c r="O348" i="23" s="1"/>
  <c r="AN11" i="27"/>
  <c r="AD102" i="16"/>
  <c r="AL318" i="12"/>
  <c r="O264" i="12"/>
  <c r="CB210" i="22"/>
  <c r="AH83" i="12"/>
  <c r="AH14" i="12" s="1"/>
  <c r="AH13" i="12"/>
  <c r="AL30" i="12"/>
  <c r="AX286" i="23"/>
  <c r="AW286" i="23"/>
  <c r="AV286" i="23"/>
  <c r="AY286" i="23"/>
  <c r="P286" i="23"/>
  <c r="AU286" i="23"/>
  <c r="BF21" i="28"/>
  <c r="BE23" i="28"/>
  <c r="AZ258" i="23"/>
  <c r="BA258" i="23" s="1"/>
  <c r="BB258" i="23"/>
  <c r="P340" i="23"/>
  <c r="AY340" i="23"/>
  <c r="AX340" i="23"/>
  <c r="BC340" i="23" s="1"/>
  <c r="AW340" i="23"/>
  <c r="AV340" i="23"/>
  <c r="AU340" i="23"/>
  <c r="AZ323" i="23"/>
  <c r="BA323" i="23" s="1"/>
  <c r="BB323" i="23"/>
  <c r="AD172" i="12"/>
  <c r="AD166" i="12"/>
  <c r="AD171" i="12"/>
  <c r="AD167" i="12"/>
  <c r="AD168" i="12"/>
  <c r="AD163" i="12"/>
  <c r="AD169" i="12"/>
  <c r="AD164" i="12"/>
  <c r="AD170" i="12"/>
  <c r="AD165" i="12"/>
  <c r="AE64" i="12"/>
  <c r="AE154" i="12" s="1"/>
  <c r="BE47" i="28"/>
  <c r="BF45" i="28"/>
  <c r="AJ25" i="27"/>
  <c r="O298" i="23" s="1"/>
  <c r="AJ9" i="27"/>
  <c r="Z100" i="16"/>
  <c r="AH26" i="12"/>
  <c r="AH316" i="12" s="1"/>
  <c r="AG300" i="12"/>
  <c r="BB324" i="23"/>
  <c r="AZ324" i="23"/>
  <c r="BA324" i="23" s="1"/>
  <c r="AM12" i="12"/>
  <c r="AN7" i="27"/>
  <c r="AN23" i="27"/>
  <c r="O344" i="23" s="1"/>
  <c r="AD98" i="16"/>
  <c r="BC4" i="28"/>
  <c r="BC5" i="28" s="1"/>
  <c r="BC7" i="28" s="1"/>
  <c r="BD75" i="28"/>
  <c r="AF215" i="12"/>
  <c r="AF106" i="12"/>
  <c r="AF63" i="12"/>
  <c r="AF153" i="12" s="1"/>
  <c r="AF61" i="12"/>
  <c r="AF151" i="12" s="1"/>
  <c r="AF56" i="12"/>
  <c r="AF146" i="12" s="1"/>
  <c r="AF55" i="12"/>
  <c r="AF145" i="12" s="1"/>
  <c r="AF57" i="12"/>
  <c r="AF147" i="12" s="1"/>
  <c r="AF54" i="12"/>
  <c r="AF144" i="12" s="1"/>
  <c r="AC148" i="12"/>
  <c r="AD58" i="12"/>
  <c r="AE58" i="12" s="1"/>
  <c r="AO82" i="8"/>
  <c r="AO77" i="8"/>
  <c r="AO84" i="8"/>
  <c r="AO79" i="8"/>
  <c r="AO74" i="8"/>
  <c r="AO81" i="8"/>
  <c r="AO78" i="8"/>
  <c r="AO83" i="8"/>
  <c r="AO80" i="8"/>
  <c r="AO75" i="8"/>
  <c r="AO85" i="8" s="1"/>
  <c r="AO76" i="8"/>
  <c r="BC258" i="23"/>
  <c r="AC149" i="12"/>
  <c r="AD59" i="12"/>
  <c r="AM7" i="27"/>
  <c r="AM23" i="27"/>
  <c r="O332" i="23" s="1"/>
  <c r="AC98" i="16"/>
  <c r="P315" i="23"/>
  <c r="AY315" i="23"/>
  <c r="AX315" i="23"/>
  <c r="AW315" i="23"/>
  <c r="AV315" i="23"/>
  <c r="AU315" i="23"/>
  <c r="AJ17" i="27"/>
  <c r="AL317" i="12"/>
  <c r="AL301" i="12"/>
  <c r="AE19" i="13"/>
  <c r="AE25" i="13"/>
  <c r="AE17" i="13"/>
  <c r="AE24" i="13"/>
  <c r="AE16" i="13"/>
  <c r="AE23" i="13"/>
  <c r="AE15" i="13"/>
  <c r="AE14" i="13"/>
  <c r="AE21" i="13"/>
  <c r="AE18" i="13"/>
  <c r="AE22" i="13"/>
  <c r="AE20" i="13"/>
  <c r="R86" i="12"/>
  <c r="R87" i="12" s="1"/>
  <c r="R88" i="12" s="1"/>
  <c r="AY89" i="12"/>
  <c r="AZ312" i="23"/>
  <c r="BA312" i="23" s="1"/>
  <c r="BB312" i="23"/>
  <c r="AL21" i="27"/>
  <c r="AL5" i="27"/>
  <c r="AB96" i="16"/>
  <c r="AL22" i="12"/>
  <c r="AJ8" i="12"/>
  <c r="AO138" i="8"/>
  <c r="AO145" i="8"/>
  <c r="AO140" i="8"/>
  <c r="AO147" i="8"/>
  <c r="AO142" i="8"/>
  <c r="AO148" i="8"/>
  <c r="AO144" i="8"/>
  <c r="AO143" i="8"/>
  <c r="AO139" i="8"/>
  <c r="AO141" i="8"/>
  <c r="AO146" i="8"/>
  <c r="AL22" i="27"/>
  <c r="O319" i="23" s="1"/>
  <c r="AL6" i="27"/>
  <c r="AB97" i="16"/>
  <c r="AK315" i="12"/>
  <c r="O294" i="23"/>
  <c r="BB314" i="23"/>
  <c r="AZ314" i="23"/>
  <c r="BA314" i="23" s="1"/>
  <c r="AF24" i="13"/>
  <c r="AF16" i="13"/>
  <c r="AF23" i="13"/>
  <c r="AF15" i="13"/>
  <c r="AF22" i="13"/>
  <c r="AF18" i="13"/>
  <c r="AF20" i="13"/>
  <c r="AF25" i="13"/>
  <c r="AF19" i="13"/>
  <c r="AF17" i="13"/>
  <c r="AF14" i="13"/>
  <c r="AF21" i="13"/>
  <c r="AK21" i="27"/>
  <c r="AK5" i="27"/>
  <c r="AA96" i="16"/>
  <c r="AH33" i="12"/>
  <c r="AJ22" i="12"/>
  <c r="AJ312" i="12"/>
  <c r="AE60" i="12"/>
  <c r="AE150" i="12" s="1"/>
  <c r="BE3" i="28"/>
  <c r="AO58" i="8"/>
  <c r="AO69" i="8" s="1"/>
  <c r="AO65" i="8"/>
  <c r="AO60" i="8"/>
  <c r="AO67" i="8"/>
  <c r="AO62" i="8"/>
  <c r="AO59" i="8"/>
  <c r="AO68" i="8"/>
  <c r="AO61" i="8"/>
  <c r="AO66" i="8"/>
  <c r="AO63" i="8"/>
  <c r="AO64" i="8"/>
  <c r="AI297" i="12"/>
  <c r="BB295" i="23"/>
  <c r="AZ295" i="23"/>
  <c r="BA295" i="23" s="1"/>
  <c r="AZ228" i="22"/>
  <c r="CA228" i="22" s="1"/>
  <c r="AY270" i="23"/>
  <c r="AX270" i="23"/>
  <c r="BC270" i="23" s="1"/>
  <c r="P270" i="23"/>
  <c r="AW270" i="23"/>
  <c r="AV270" i="23"/>
  <c r="AU270" i="23"/>
  <c r="BY210" i="22"/>
  <c r="BC210" i="22"/>
  <c r="BE27" i="28"/>
  <c r="BD29" i="28"/>
  <c r="BD6" i="28" s="1"/>
  <c r="AJ297" i="12"/>
  <c r="BC271" i="23"/>
  <c r="AC65" i="12"/>
  <c r="AC155" i="12" s="1"/>
  <c r="AY232" i="22"/>
  <c r="BZ232" i="22" s="1"/>
  <c r="AO11" i="27"/>
  <c r="AO27" i="27"/>
  <c r="O360" i="23" s="1"/>
  <c r="AE102" i="16"/>
  <c r="AK22" i="12"/>
  <c r="AM320" i="12"/>
  <c r="AU335" i="23"/>
  <c r="P335" i="23"/>
  <c r="AY335" i="23"/>
  <c r="AX335" i="23"/>
  <c r="BC335" i="23" s="1"/>
  <c r="AW335" i="23"/>
  <c r="AV335" i="23"/>
  <c r="AY25" i="16"/>
  <c r="AY26" i="16"/>
  <c r="AF307" i="12"/>
  <c r="AK320" i="12"/>
  <c r="AH33" i="27"/>
  <c r="AZ328" i="23"/>
  <c r="BA328" i="23" s="1"/>
  <c r="BB328" i="23"/>
  <c r="AM253" i="12"/>
  <c r="AM254" i="12" s="1"/>
  <c r="AM251" i="12"/>
  <c r="AM29" i="27"/>
  <c r="O338" i="23" s="1"/>
  <c r="AM13" i="27"/>
  <c r="AC104" i="16"/>
  <c r="AL320" i="12"/>
  <c r="BB271" i="23"/>
  <c r="AZ271" i="23"/>
  <c r="BA271" i="23" s="1"/>
  <c r="BC321" i="23"/>
  <c r="AL27" i="12"/>
  <c r="AM245" i="12"/>
  <c r="AM247" i="12"/>
  <c r="AM248" i="12" s="1"/>
  <c r="AP11" i="27"/>
  <c r="AP27" i="27"/>
  <c r="O372" i="23" s="1"/>
  <c r="AF102" i="16"/>
  <c r="AZ272" i="23"/>
  <c r="BA272" i="23" s="1"/>
  <c r="BB272" i="23"/>
  <c r="AM30" i="12"/>
  <c r="AQ8" i="8"/>
  <c r="AP70" i="8"/>
  <c r="AP17" i="8"/>
  <c r="AP150" i="8" s="1"/>
  <c r="AP7" i="8"/>
  <c r="AP86" i="8" s="1"/>
  <c r="AM30" i="27"/>
  <c r="O339" i="23" s="1"/>
  <c r="AM14" i="27"/>
  <c r="AC105" i="16"/>
  <c r="AY90" i="12"/>
  <c r="AK319" i="12"/>
  <c r="AN90" i="8"/>
  <c r="AN91" i="8" s="1"/>
  <c r="AN92" i="8" s="1"/>
  <c r="AN93" i="8" s="1"/>
  <c r="AN94" i="8" s="1"/>
  <c r="AN95" i="8" s="1"/>
  <c r="AN96" i="8" s="1"/>
  <c r="AN97" i="8" s="1"/>
  <c r="AN98" i="8" s="1"/>
  <c r="AN99" i="8" s="1"/>
  <c r="AN100" i="8" s="1"/>
  <c r="AN101" i="8" s="1"/>
  <c r="AC152" i="12"/>
  <c r="AD62" i="12"/>
  <c r="BC328" i="23"/>
  <c r="AM302" i="12"/>
  <c r="AM304" i="12"/>
  <c r="BE33" i="28"/>
  <c r="BD35" i="28"/>
  <c r="P307" i="23"/>
  <c r="AY307" i="23"/>
  <c r="AX307" i="23"/>
  <c r="AW307" i="23"/>
  <c r="AV307" i="23"/>
  <c r="AU307" i="23"/>
  <c r="AL23" i="27"/>
  <c r="O320" i="23" s="1"/>
  <c r="AL7" i="27"/>
  <c r="AB98" i="16"/>
  <c r="AL24" i="12"/>
  <c r="AZ321" i="23"/>
  <c r="BA321" i="23" s="1"/>
  <c r="BB321" i="23"/>
  <c r="AL25" i="12"/>
  <c r="AI8" i="12"/>
  <c r="AE148" i="12" l="1"/>
  <c r="AF58" i="12"/>
  <c r="AO14" i="27"/>
  <c r="AO30" i="27"/>
  <c r="O363" i="23" s="1"/>
  <c r="AE105" i="16"/>
  <c r="BD9" i="28"/>
  <c r="AJ66" i="12"/>
  <c r="AJ156" i="12"/>
  <c r="AJ107" i="12"/>
  <c r="AJ7" i="12"/>
  <c r="AO24" i="27"/>
  <c r="O357" i="23" s="1"/>
  <c r="AO8" i="27"/>
  <c r="AE99" i="16"/>
  <c r="AM25" i="12"/>
  <c r="AL315" i="12"/>
  <c r="AL299" i="12"/>
  <c r="AM315" i="12"/>
  <c r="P348" i="23"/>
  <c r="AY348" i="23"/>
  <c r="AX348" i="23"/>
  <c r="AV348" i="23"/>
  <c r="AW348" i="23"/>
  <c r="AU348" i="23"/>
  <c r="P350" i="23"/>
  <c r="AU350" i="23"/>
  <c r="AY350" i="23"/>
  <c r="AX350" i="23"/>
  <c r="BC350" i="23" s="1"/>
  <c r="AW350" i="23"/>
  <c r="AV350" i="23"/>
  <c r="X210" i="22"/>
  <c r="Y210" i="22" s="1"/>
  <c r="BD210" i="22"/>
  <c r="BD4" i="28"/>
  <c r="BD5" i="28" s="1"/>
  <c r="BD7" i="28" s="1"/>
  <c r="BE75" i="28"/>
  <c r="AW320" i="23"/>
  <c r="AV320" i="23"/>
  <c r="AX320" i="23"/>
  <c r="AU320" i="23"/>
  <c r="P320" i="23"/>
  <c r="AY320" i="23"/>
  <c r="BB234" i="22"/>
  <c r="CC234" i="22" s="1"/>
  <c r="AO26" i="27"/>
  <c r="O359" i="23" s="1"/>
  <c r="AO10" i="27"/>
  <c r="AE101" i="16"/>
  <c r="AM27" i="12"/>
  <c r="AM317" i="12"/>
  <c r="AY294" i="23"/>
  <c r="AX294" i="23"/>
  <c r="P294" i="23"/>
  <c r="AV294" i="23"/>
  <c r="AU294" i="23"/>
  <c r="AW294" i="23"/>
  <c r="BB333" i="23"/>
  <c r="AZ333" i="23"/>
  <c r="BA333" i="23" s="1"/>
  <c r="AF17" i="12"/>
  <c r="AO31" i="27"/>
  <c r="O364" i="23" s="1"/>
  <c r="AO15" i="27"/>
  <c r="AE106" i="16"/>
  <c r="BC307" i="23"/>
  <c r="AM21" i="27"/>
  <c r="AM5" i="27"/>
  <c r="AC96" i="16"/>
  <c r="AL312" i="12"/>
  <c r="AM22" i="12"/>
  <c r="AL296" i="12"/>
  <c r="BC315" i="23"/>
  <c r="BA11" i="28"/>
  <c r="AG174" i="12"/>
  <c r="BC296" i="23"/>
  <c r="AY305" i="23"/>
  <c r="AX305" i="23"/>
  <c r="BC305" i="23" s="1"/>
  <c r="AU305" i="23"/>
  <c r="AW305" i="23"/>
  <c r="AV305" i="23"/>
  <c r="P305" i="23"/>
  <c r="BF27" i="28"/>
  <c r="BE29" i="28"/>
  <c r="BE6" i="28" s="1"/>
  <c r="AG61" i="12"/>
  <c r="AG151" i="12" s="1"/>
  <c r="AX372" i="23"/>
  <c r="AW372" i="23"/>
  <c r="AY372" i="23"/>
  <c r="AV372" i="23"/>
  <c r="AU372" i="23"/>
  <c r="P372" i="23"/>
  <c r="AE172" i="12"/>
  <c r="AE166" i="12"/>
  <c r="AE171" i="12"/>
  <c r="AE165" i="12"/>
  <c r="AE167" i="12"/>
  <c r="AE168" i="12"/>
  <c r="AE163" i="12"/>
  <c r="AE169" i="12"/>
  <c r="AE164" i="12"/>
  <c r="AE170" i="12"/>
  <c r="BF3" i="28"/>
  <c r="AK312" i="12"/>
  <c r="BF47" i="28"/>
  <c r="BG45" i="28"/>
  <c r="BG47" i="28" s="1"/>
  <c r="P345" i="23"/>
  <c r="AV345" i="23"/>
  <c r="AU345" i="23"/>
  <c r="AW345" i="23"/>
  <c r="AY345" i="23"/>
  <c r="AX345" i="23"/>
  <c r="BC345" i="23" s="1"/>
  <c r="AY327" i="23"/>
  <c r="AX327" i="23"/>
  <c r="BC327" i="23" s="1"/>
  <c r="P327" i="23"/>
  <c r="AW327" i="23"/>
  <c r="AV327" i="23"/>
  <c r="AU327" i="23"/>
  <c r="AK32" i="27"/>
  <c r="O317" i="23" s="1"/>
  <c r="AK16" i="27"/>
  <c r="AA107" i="16"/>
  <c r="BC286" i="23"/>
  <c r="BF39" i="28"/>
  <c r="BE41" i="28"/>
  <c r="AH307" i="12"/>
  <c r="AK305" i="12"/>
  <c r="BB308" i="23"/>
  <c r="AZ308" i="23"/>
  <c r="BA308" i="23" s="1"/>
  <c r="AX352" i="23"/>
  <c r="BC352" i="23" s="1"/>
  <c r="AW352" i="23"/>
  <c r="AV352" i="23"/>
  <c r="P352" i="23"/>
  <c r="AY352" i="23"/>
  <c r="AU352" i="23"/>
  <c r="AL305" i="12"/>
  <c r="AI83" i="12"/>
  <c r="AI14" i="12" s="1"/>
  <c r="AI13" i="12"/>
  <c r="AZ315" i="23"/>
  <c r="BA315" i="23" s="1"/>
  <c r="BB315" i="23"/>
  <c r="AX319" i="23"/>
  <c r="AW319" i="23"/>
  <c r="AV319" i="23"/>
  <c r="AU319" i="23"/>
  <c r="AY319" i="23"/>
  <c r="P319" i="23"/>
  <c r="R89" i="12"/>
  <c r="R90" i="12" s="1"/>
  <c r="R91" i="12" s="1"/>
  <c r="AZ86" i="12"/>
  <c r="AF64" i="12"/>
  <c r="AF154" i="12" s="1"/>
  <c r="AO13" i="27"/>
  <c r="AO29" i="27"/>
  <c r="O362" i="23" s="1"/>
  <c r="AE104" i="16"/>
  <c r="AH323" i="12"/>
  <c r="I87" i="13"/>
  <c r="I71" i="13" s="1"/>
  <c r="AO23" i="27"/>
  <c r="O356" i="23" s="1"/>
  <c r="AO7" i="27"/>
  <c r="AE98" i="16"/>
  <c r="AM24" i="12"/>
  <c r="BG21" i="28"/>
  <c r="BG23" i="28" s="1"/>
  <c r="BF23" i="28"/>
  <c r="BB286" i="23"/>
  <c r="AZ286" i="23"/>
  <c r="BA286" i="23" s="1"/>
  <c r="AZ296" i="23"/>
  <c r="BA296" i="23" s="1"/>
  <c r="BB296" i="23"/>
  <c r="AJ33" i="27"/>
  <c r="BF33" i="28"/>
  <c r="BE35" i="28"/>
  <c r="AK33" i="27"/>
  <c r="O306" i="23"/>
  <c r="AL314" i="12"/>
  <c r="AZ229" i="22"/>
  <c r="CA229" i="22" s="1"/>
  <c r="BB336" i="23"/>
  <c r="AZ336" i="23"/>
  <c r="BA336" i="23" s="1"/>
  <c r="AL306" i="12"/>
  <c r="I70" i="13"/>
  <c r="P282" i="23"/>
  <c r="AY282" i="23"/>
  <c r="AX282" i="23"/>
  <c r="AW282" i="23"/>
  <c r="AV282" i="23"/>
  <c r="AU282" i="23"/>
  <c r="AN30" i="27"/>
  <c r="O351" i="23" s="1"/>
  <c r="AN14" i="27"/>
  <c r="AD105" i="16"/>
  <c r="AK321" i="12"/>
  <c r="AM31" i="12"/>
  <c r="AM321" i="12"/>
  <c r="AO5" i="27"/>
  <c r="AO21" i="27"/>
  <c r="AE96" i="16"/>
  <c r="AY349" i="23"/>
  <c r="AX349" i="23"/>
  <c r="P349" i="23"/>
  <c r="AU349" i="23"/>
  <c r="AW349" i="23"/>
  <c r="AV349" i="23"/>
  <c r="AO90" i="8"/>
  <c r="AO91" i="8" s="1"/>
  <c r="AO92" i="8" s="1"/>
  <c r="AO93" i="8" s="1"/>
  <c r="AO94" i="8" s="1"/>
  <c r="AO95" i="8" s="1"/>
  <c r="AO96" i="8" s="1"/>
  <c r="AO97" i="8" s="1"/>
  <c r="AO98" i="8" s="1"/>
  <c r="AO99" i="8" s="1"/>
  <c r="AO100" i="8" s="1"/>
  <c r="AO101" i="8" s="1"/>
  <c r="AP90" i="8" s="1"/>
  <c r="AP91" i="8" s="1"/>
  <c r="AP92" i="8" s="1"/>
  <c r="AP93" i="8" s="1"/>
  <c r="AP94" i="8" s="1"/>
  <c r="AP95" i="8" s="1"/>
  <c r="AP96" i="8" s="1"/>
  <c r="AP97" i="8" s="1"/>
  <c r="AP98" i="8" s="1"/>
  <c r="AP99" i="8" s="1"/>
  <c r="AP100" i="8" s="1"/>
  <c r="AZ11" i="28"/>
  <c r="AF174" i="12"/>
  <c r="AL321" i="12"/>
  <c r="AN21" i="27"/>
  <c r="AN5" i="27"/>
  <c r="AD96" i="16"/>
  <c r="AM312" i="12"/>
  <c r="AM299" i="12"/>
  <c r="AP77" i="8"/>
  <c r="AP84" i="8"/>
  <c r="AP79" i="8"/>
  <c r="AP74" i="8"/>
  <c r="AP85" i="8" s="1"/>
  <c r="AP81" i="8"/>
  <c r="AP76" i="8"/>
  <c r="AP78" i="8"/>
  <c r="AP82" i="8"/>
  <c r="AP83" i="8"/>
  <c r="AP75" i="8"/>
  <c r="AP80" i="8"/>
  <c r="AZ230" i="22"/>
  <c r="CA230" i="22" s="1"/>
  <c r="P293" i="23"/>
  <c r="AY293" i="23"/>
  <c r="AU293" i="23"/>
  <c r="AX293" i="23"/>
  <c r="BC293" i="23" s="1"/>
  <c r="AW293" i="23"/>
  <c r="AV293" i="23"/>
  <c r="AZ326" i="23"/>
  <c r="BA326" i="23" s="1"/>
  <c r="BB326" i="23"/>
  <c r="AF214" i="12"/>
  <c r="AF114" i="12"/>
  <c r="AX211" i="22"/>
  <c r="AD152" i="12"/>
  <c r="AE62" i="12"/>
  <c r="AG214" i="12"/>
  <c r="AG114" i="12"/>
  <c r="AM301" i="12"/>
  <c r="AP145" i="8"/>
  <c r="AP140" i="8"/>
  <c r="AP147" i="8"/>
  <c r="AP142" i="8"/>
  <c r="AP148" i="8"/>
  <c r="AP143" i="8"/>
  <c r="AP144" i="8"/>
  <c r="AP138" i="8"/>
  <c r="AP146" i="8"/>
  <c r="AP139" i="8"/>
  <c r="AP141" i="8"/>
  <c r="AY360" i="23"/>
  <c r="AX360" i="23"/>
  <c r="BC360" i="23" s="1"/>
  <c r="P360" i="23"/>
  <c r="AW360" i="23"/>
  <c r="AV360" i="23"/>
  <c r="AU360" i="23"/>
  <c r="P332" i="23"/>
  <c r="AX332" i="23"/>
  <c r="AW332" i="23"/>
  <c r="AU332" i="23"/>
  <c r="AY332" i="23"/>
  <c r="AV332" i="23"/>
  <c r="BC308" i="23"/>
  <c r="BB281" i="23"/>
  <c r="AZ281" i="23"/>
  <c r="BA281" i="23" s="1"/>
  <c r="AG54" i="12"/>
  <c r="O318" i="23"/>
  <c r="AD148" i="12"/>
  <c r="AD65" i="12"/>
  <c r="AD155" i="12" s="1"/>
  <c r="AD162" i="12"/>
  <c r="AD173" i="12" s="1"/>
  <c r="AY339" i="23"/>
  <c r="AX339" i="23"/>
  <c r="BC339" i="23" s="1"/>
  <c r="AW339" i="23"/>
  <c r="AV339" i="23"/>
  <c r="AU339" i="23"/>
  <c r="P339" i="23"/>
  <c r="AD149" i="12"/>
  <c r="AE59" i="12"/>
  <c r="AF62" i="12"/>
  <c r="AF152" i="12" s="1"/>
  <c r="AK9" i="27"/>
  <c r="AK17" i="27" s="1"/>
  <c r="AK25" i="27"/>
  <c r="O310" i="23" s="1"/>
  <c r="AA100" i="16"/>
  <c r="AA108" i="16" s="1"/>
  <c r="AI26" i="12"/>
  <c r="AJ26" i="12" s="1"/>
  <c r="AG60" i="12"/>
  <c r="AG150" i="12" s="1"/>
  <c r="BC336" i="23"/>
  <c r="AJ296" i="12"/>
  <c r="BB284" i="23"/>
  <c r="AZ284" i="23"/>
  <c r="BA284" i="23" s="1"/>
  <c r="BB270" i="23"/>
  <c r="AZ270" i="23"/>
  <c r="BA270" i="23" s="1"/>
  <c r="BB232" i="22"/>
  <c r="CC232" i="22" s="1"/>
  <c r="BB235" i="22" s="1"/>
  <c r="CC235" i="22" s="1"/>
  <c r="AZ307" i="23"/>
  <c r="BA307" i="23" s="1"/>
  <c r="BB307" i="23"/>
  <c r="BB335" i="23"/>
  <c r="AZ335" i="23"/>
  <c r="BA335" i="23" s="1"/>
  <c r="AY338" i="23"/>
  <c r="AX338" i="23"/>
  <c r="BC338" i="23" s="1"/>
  <c r="P338" i="23"/>
  <c r="AW338" i="23"/>
  <c r="AV338" i="23"/>
  <c r="AU338" i="23"/>
  <c r="AQ70" i="8"/>
  <c r="AQ17" i="8"/>
  <c r="AQ150" i="8" s="1"/>
  <c r="AQ7" i="8"/>
  <c r="AQ86" i="8" s="1"/>
  <c r="AZ340" i="23"/>
  <c r="BA340" i="23" s="1"/>
  <c r="BB340" i="23"/>
  <c r="BA211" i="22"/>
  <c r="AH300" i="12"/>
  <c r="BB10" i="28"/>
  <c r="BB12" i="28" s="1"/>
  <c r="AH18" i="12"/>
  <c r="AH16" i="12"/>
  <c r="AL304" i="12"/>
  <c r="AW298" i="23"/>
  <c r="AV298" i="23"/>
  <c r="P298" i="23"/>
  <c r="AY298" i="23"/>
  <c r="AX298" i="23"/>
  <c r="BC298" i="23" s="1"/>
  <c r="AU298" i="23"/>
  <c r="AH63" i="12"/>
  <c r="AH153" i="12" s="1"/>
  <c r="AH58" i="12"/>
  <c r="AH148" i="12" s="1"/>
  <c r="AH57" i="12"/>
  <c r="AH147" i="12" s="1"/>
  <c r="AH61" i="12"/>
  <c r="AH151" i="12" s="1"/>
  <c r="AH56" i="12"/>
  <c r="AH146" i="12" s="1"/>
  <c r="AH60" i="12"/>
  <c r="AH150" i="12" s="1"/>
  <c r="AH55" i="12"/>
  <c r="AH145" i="12" s="1"/>
  <c r="AP29" i="27"/>
  <c r="O374" i="23" s="1"/>
  <c r="AP13" i="27"/>
  <c r="AF104" i="16"/>
  <c r="AF60" i="12"/>
  <c r="AF150" i="12" s="1"/>
  <c r="O280" i="12"/>
  <c r="AG58" i="12"/>
  <c r="AG148" i="12" s="1"/>
  <c r="P347" i="23"/>
  <c r="AY347" i="23"/>
  <c r="AX347" i="23"/>
  <c r="BC347" i="23" s="1"/>
  <c r="AW347" i="23"/>
  <c r="AV347" i="23"/>
  <c r="AU347" i="23"/>
  <c r="AH215" i="12"/>
  <c r="AH106" i="12"/>
  <c r="AZ337" i="23"/>
  <c r="BA337" i="23" s="1"/>
  <c r="BB337" i="23"/>
  <c r="AL298" i="12"/>
  <c r="AO28" i="27"/>
  <c r="O361" i="23" s="1"/>
  <c r="AO12" i="27"/>
  <c r="AE103" i="16"/>
  <c r="AM29" i="12"/>
  <c r="AM319" i="12" s="1"/>
  <c r="BB233" i="22"/>
  <c r="CC233" i="22" s="1"/>
  <c r="P344" i="23"/>
  <c r="AX344" i="23"/>
  <c r="AY344" i="23"/>
  <c r="AW344" i="23"/>
  <c r="AV344" i="23"/>
  <c r="AU344" i="23"/>
  <c r="AP65" i="8"/>
  <c r="AP60" i="8"/>
  <c r="AP67" i="8"/>
  <c r="AP62" i="8"/>
  <c r="AP58" i="8"/>
  <c r="AP69" i="8" s="1"/>
  <c r="AP59" i="8"/>
  <c r="AP68" i="8"/>
  <c r="AP61" i="8"/>
  <c r="AP64" i="8"/>
  <c r="AP63" i="8"/>
  <c r="AP66" i="8"/>
  <c r="AY233" i="22"/>
  <c r="BZ233" i="22" s="1"/>
  <c r="AM32" i="12"/>
  <c r="AM322" i="12" s="1"/>
  <c r="AM296" i="12"/>
  <c r="BC9" i="28"/>
  <c r="AI156" i="12"/>
  <c r="AI66" i="12"/>
  <c r="AI107" i="12"/>
  <c r="AI7" i="12"/>
  <c r="AK8" i="12"/>
  <c r="AG63" i="12"/>
  <c r="AG153" i="12" s="1"/>
  <c r="AM6" i="27"/>
  <c r="AM22" i="27"/>
  <c r="O331" i="23" s="1"/>
  <c r="AC97" i="16"/>
  <c r="AK313" i="12"/>
  <c r="AK23" i="12"/>
  <c r="AM25" i="27" l="1"/>
  <c r="O334" i="23" s="1"/>
  <c r="AM9" i="27"/>
  <c r="AC100" i="16"/>
  <c r="AK26" i="12"/>
  <c r="AJ33" i="12"/>
  <c r="AU306" i="23"/>
  <c r="P306" i="23"/>
  <c r="AV306" i="23"/>
  <c r="AY306" i="23"/>
  <c r="AX306" i="23"/>
  <c r="BC306" i="23" s="1"/>
  <c r="AW306" i="23"/>
  <c r="AI215" i="12"/>
  <c r="AI106" i="12"/>
  <c r="AQ65" i="8"/>
  <c r="AQ60" i="8"/>
  <c r="AQ67" i="8"/>
  <c r="AQ62" i="8"/>
  <c r="AQ59" i="8"/>
  <c r="AQ61" i="8"/>
  <c r="AQ68" i="8"/>
  <c r="AQ66" i="8"/>
  <c r="AQ58" i="8"/>
  <c r="AQ69" i="8" s="1"/>
  <c r="AQ63" i="8"/>
  <c r="AQ64" i="8"/>
  <c r="AG144" i="12"/>
  <c r="BB298" i="23"/>
  <c r="AZ298" i="23"/>
  <c r="BA298" i="23" s="1"/>
  <c r="BC372" i="23"/>
  <c r="O342" i="23"/>
  <c r="BC319" i="23"/>
  <c r="BF29" i="28"/>
  <c r="BF6" i="28" s="1"/>
  <c r="BG27" i="28"/>
  <c r="BG29" i="28" s="1"/>
  <c r="BG6" i="28" s="1"/>
  <c r="AJ83" i="12"/>
  <c r="AJ14" i="12" s="1"/>
  <c r="AJ13" i="12"/>
  <c r="BD10" i="28"/>
  <c r="BD12" i="28" s="1"/>
  <c r="AJ16" i="12"/>
  <c r="AJ18" i="12"/>
  <c r="AJ17" i="12" s="1"/>
  <c r="BB320" i="23"/>
  <c r="AZ320" i="23"/>
  <c r="BA320" i="23" s="1"/>
  <c r="AP24" i="27"/>
  <c r="O369" i="23" s="1"/>
  <c r="AP8" i="27"/>
  <c r="AF99" i="16"/>
  <c r="AX364" i="23"/>
  <c r="AW364" i="23"/>
  <c r="AY364" i="23"/>
  <c r="AV364" i="23"/>
  <c r="AU364" i="23"/>
  <c r="P364" i="23"/>
  <c r="AP15" i="27"/>
  <c r="AP31" i="27"/>
  <c r="O376" i="23" s="1"/>
  <c r="AF106" i="16"/>
  <c r="AM306" i="12"/>
  <c r="AE149" i="12"/>
  <c r="AF59" i="12"/>
  <c r="AF149" i="12" s="1"/>
  <c r="AG64" i="12"/>
  <c r="AG154" i="12" s="1"/>
  <c r="AF166" i="12"/>
  <c r="AF171" i="12"/>
  <c r="AF165" i="12"/>
  <c r="AG165" i="12" s="1"/>
  <c r="AF172" i="12"/>
  <c r="AF167" i="12"/>
  <c r="AF168" i="12"/>
  <c r="AF163" i="12"/>
  <c r="AG163" i="12" s="1"/>
  <c r="AF169" i="12"/>
  <c r="AG169" i="12" s="1"/>
  <c r="AF164" i="12"/>
  <c r="AG164" i="12" s="1"/>
  <c r="AF170" i="12"/>
  <c r="AG170" i="12" s="1"/>
  <c r="AJ215" i="12"/>
  <c r="AJ106" i="12"/>
  <c r="AP30" i="27"/>
  <c r="O375" i="23" s="1"/>
  <c r="AP14" i="27"/>
  <c r="AF105" i="16"/>
  <c r="BF75" i="28"/>
  <c r="BE4" i="28"/>
  <c r="BE5" i="28" s="1"/>
  <c r="BE7" i="28" s="1"/>
  <c r="AN22" i="27"/>
  <c r="O343" i="23" s="1"/>
  <c r="AN6" i="27"/>
  <c r="AD97" i="16"/>
  <c r="AK297" i="12"/>
  <c r="AL23" i="12"/>
  <c r="AY234" i="22"/>
  <c r="BZ234" i="22" s="1"/>
  <c r="AZ231" i="22"/>
  <c r="CA231" i="22" s="1"/>
  <c r="BC282" i="23"/>
  <c r="AP7" i="27"/>
  <c r="AP23" i="27"/>
  <c r="O368" i="23" s="1"/>
  <c r="AF98" i="16"/>
  <c r="AM314" i="12"/>
  <c r="AP101" i="8"/>
  <c r="AQ90" i="8" s="1"/>
  <c r="AQ91" i="8" s="1"/>
  <c r="P317" i="23"/>
  <c r="AY317" i="23"/>
  <c r="AX317" i="23"/>
  <c r="BC317" i="23" s="1"/>
  <c r="AW317" i="23"/>
  <c r="AV317" i="23"/>
  <c r="AU317" i="23"/>
  <c r="BB305" i="23"/>
  <c r="AZ305" i="23"/>
  <c r="BA305" i="23" s="1"/>
  <c r="BB294" i="23"/>
  <c r="AZ294" i="23"/>
  <c r="BA294" i="23" s="1"/>
  <c r="AJ63" i="12"/>
  <c r="AJ153" i="12" s="1"/>
  <c r="AJ58" i="12"/>
  <c r="AJ148" i="12" s="1"/>
  <c r="AJ57" i="12"/>
  <c r="AJ147" i="12" s="1"/>
  <c r="AJ64" i="12"/>
  <c r="AJ154" i="12" s="1"/>
  <c r="BE9" i="28"/>
  <c r="AK66" i="12"/>
  <c r="AK156" i="12"/>
  <c r="AK107" i="12"/>
  <c r="AL8" i="12"/>
  <c r="AK7" i="12"/>
  <c r="BC10" i="28"/>
  <c r="BC12" i="28" s="1"/>
  <c r="AI16" i="12"/>
  <c r="AI18" i="12"/>
  <c r="R92" i="12"/>
  <c r="R93" i="12" s="1"/>
  <c r="R94" i="12" s="1"/>
  <c r="AZ87" i="12"/>
  <c r="AL9" i="27"/>
  <c r="AL25" i="27"/>
  <c r="AB100" i="16"/>
  <c r="AL26" i="12"/>
  <c r="AL316" i="12" s="1"/>
  <c r="AK316" i="12"/>
  <c r="AI316" i="12"/>
  <c r="AK300" i="12"/>
  <c r="AI33" i="12"/>
  <c r="AU357" i="23"/>
  <c r="AY357" i="23"/>
  <c r="AX357" i="23"/>
  <c r="BC357" i="23" s="1"/>
  <c r="AW357" i="23"/>
  <c r="AV357" i="23"/>
  <c r="P357" i="23"/>
  <c r="AH17" i="12"/>
  <c r="AM305" i="12"/>
  <c r="BB327" i="23"/>
  <c r="AZ327" i="23"/>
  <c r="BA327" i="23" s="1"/>
  <c r="AH214" i="12"/>
  <c r="AH114" i="12"/>
  <c r="AZ345" i="23"/>
  <c r="BA345" i="23" s="1"/>
  <c r="BB345" i="23"/>
  <c r="BB344" i="23"/>
  <c r="AZ344" i="23"/>
  <c r="BA344" i="23" s="1"/>
  <c r="P374" i="23"/>
  <c r="AY374" i="23"/>
  <c r="AU374" i="23"/>
  <c r="AX374" i="23"/>
  <c r="BC374" i="23" s="1"/>
  <c r="AW374" i="23"/>
  <c r="AV374" i="23"/>
  <c r="BC332" i="23"/>
  <c r="P356" i="23"/>
  <c r="AV356" i="23"/>
  <c r="AU356" i="23"/>
  <c r="AY356" i="23"/>
  <c r="AW356" i="23"/>
  <c r="AX356" i="23"/>
  <c r="BB347" i="23"/>
  <c r="AZ347" i="23"/>
  <c r="BA347" i="23" s="1"/>
  <c r="BG3" i="28"/>
  <c r="BC344" i="23"/>
  <c r="BB282" i="23"/>
  <c r="AZ282" i="23"/>
  <c r="BA282" i="23" s="1"/>
  <c r="BB332" i="23"/>
  <c r="AZ332" i="23"/>
  <c r="BA332" i="23" s="1"/>
  <c r="AI300" i="12"/>
  <c r="AZ339" i="23"/>
  <c r="BA339" i="23" s="1"/>
  <c r="BB339" i="23"/>
  <c r="AE152" i="12"/>
  <c r="AG62" i="12"/>
  <c r="AZ349" i="23"/>
  <c r="BA349" i="23" s="1"/>
  <c r="BB349" i="23"/>
  <c r="BC294" i="23"/>
  <c r="BB350" i="23"/>
  <c r="AZ350" i="23"/>
  <c r="BA350" i="23" s="1"/>
  <c r="P363" i="23"/>
  <c r="AX363" i="23"/>
  <c r="BC363" i="23" s="1"/>
  <c r="AU363" i="23"/>
  <c r="AY363" i="23"/>
  <c r="AW363" i="23"/>
  <c r="AV363" i="23"/>
  <c r="AY318" i="23"/>
  <c r="AX318" i="23"/>
  <c r="BC318" i="23" s="1"/>
  <c r="AW318" i="23"/>
  <c r="AV318" i="23"/>
  <c r="AU318" i="23"/>
  <c r="P318" i="23"/>
  <c r="AJ300" i="12"/>
  <c r="BC320" i="23"/>
  <c r="AZ293" i="23"/>
  <c r="BA293" i="23" s="1"/>
  <c r="BB293" i="23"/>
  <c r="AP12" i="27"/>
  <c r="AP28" i="27"/>
  <c r="O373" i="23" s="1"/>
  <c r="AF103" i="16"/>
  <c r="AM303" i="12"/>
  <c r="AM23" i="12"/>
  <c r="AM297" i="12" s="1"/>
  <c r="P361" i="23"/>
  <c r="AY361" i="23"/>
  <c r="AX361" i="23"/>
  <c r="AV361" i="23"/>
  <c r="AW361" i="23"/>
  <c r="AU361" i="23"/>
  <c r="AH64" i="12"/>
  <c r="AH154" i="12" s="1"/>
  <c r="AW331" i="23"/>
  <c r="AV331" i="23"/>
  <c r="P331" i="23"/>
  <c r="AY331" i="23"/>
  <c r="AX331" i="23"/>
  <c r="BC331" i="23" s="1"/>
  <c r="AU331" i="23"/>
  <c r="BB236" i="22"/>
  <c r="CC236" i="22" s="1"/>
  <c r="AH54" i="12"/>
  <c r="AI54" i="12" s="1"/>
  <c r="BB352" i="23"/>
  <c r="AZ352" i="23"/>
  <c r="BA352" i="23" s="1"/>
  <c r="AE162" i="12"/>
  <c r="AE173" i="12" s="1"/>
  <c r="AG166" i="12"/>
  <c r="AG171" i="12"/>
  <c r="AG172" i="12"/>
  <c r="AG167" i="12"/>
  <c r="AG168" i="12"/>
  <c r="P359" i="23"/>
  <c r="AY359" i="23"/>
  <c r="AX359" i="23"/>
  <c r="BC359" i="23" s="1"/>
  <c r="AV359" i="23"/>
  <c r="AW359" i="23"/>
  <c r="AU359" i="23"/>
  <c r="AQ145" i="8"/>
  <c r="AQ144" i="8"/>
  <c r="AQ140" i="8"/>
  <c r="AQ147" i="8"/>
  <c r="AQ142" i="8"/>
  <c r="AQ148" i="8"/>
  <c r="AQ143" i="8"/>
  <c r="AQ138" i="8"/>
  <c r="AQ139" i="8"/>
  <c r="AQ146" i="8"/>
  <c r="AQ141" i="8"/>
  <c r="AJ316" i="12"/>
  <c r="BB319" i="23"/>
  <c r="AZ319" i="23"/>
  <c r="BA319" i="23" s="1"/>
  <c r="BB11" i="28"/>
  <c r="AH174" i="12"/>
  <c r="AL313" i="12"/>
  <c r="BB360" i="23"/>
  <c r="AZ360" i="23"/>
  <c r="BA360" i="23" s="1"/>
  <c r="BC349" i="23"/>
  <c r="I88" i="13"/>
  <c r="I72" i="13"/>
  <c r="AZ348" i="23"/>
  <c r="BA348" i="23" s="1"/>
  <c r="BB348" i="23"/>
  <c r="AF148" i="12"/>
  <c r="AF65" i="12"/>
  <c r="AF155" i="12" s="1"/>
  <c r="BB372" i="23"/>
  <c r="AZ372" i="23"/>
  <c r="BA372" i="23" s="1"/>
  <c r="O330" i="23"/>
  <c r="P310" i="23"/>
  <c r="AV310" i="23"/>
  <c r="AY310" i="23"/>
  <c r="AX310" i="23"/>
  <c r="BC310" i="23" s="1"/>
  <c r="AW310" i="23"/>
  <c r="AU310" i="23"/>
  <c r="P351" i="23"/>
  <c r="AY351" i="23"/>
  <c r="AW351" i="23"/>
  <c r="AV351" i="23"/>
  <c r="AX351" i="23"/>
  <c r="BC351" i="23" s="1"/>
  <c r="AU351" i="23"/>
  <c r="AP26" i="27"/>
  <c r="O371" i="23" s="1"/>
  <c r="AP10" i="27"/>
  <c r="AF101" i="16"/>
  <c r="AE65" i="12"/>
  <c r="AE155" i="12" s="1"/>
  <c r="O354" i="23"/>
  <c r="AQ84" i="8"/>
  <c r="AQ79" i="8"/>
  <c r="AQ74" i="8"/>
  <c r="AQ85" i="8" s="1"/>
  <c r="AQ81" i="8"/>
  <c r="AQ76" i="8"/>
  <c r="AQ77" i="8"/>
  <c r="AQ78" i="8"/>
  <c r="AQ82" i="8"/>
  <c r="AQ83" i="8"/>
  <c r="AQ75" i="8"/>
  <c r="AQ80" i="8"/>
  <c r="BF35" i="28"/>
  <c r="BG33" i="28"/>
  <c r="BG35" i="28" s="1"/>
  <c r="AI57" i="12"/>
  <c r="AI147" i="12" s="1"/>
  <c r="AI60" i="12"/>
  <c r="AI150" i="12" s="1"/>
  <c r="AI55" i="12"/>
  <c r="AI145" i="12" s="1"/>
  <c r="AI63" i="12"/>
  <c r="AI153" i="12" s="1"/>
  <c r="AI58" i="12"/>
  <c r="AI148" i="12" s="1"/>
  <c r="AI61" i="12"/>
  <c r="AI151" i="12" s="1"/>
  <c r="AI56" i="12"/>
  <c r="AI146" i="12" s="1"/>
  <c r="AI64" i="12"/>
  <c r="AI154" i="12" s="1"/>
  <c r="AZ338" i="23"/>
  <c r="BA338" i="23" s="1"/>
  <c r="BB338" i="23"/>
  <c r="BF41" i="28"/>
  <c r="BG39" i="28"/>
  <c r="BG41" i="28" s="1"/>
  <c r="CB211" i="22"/>
  <c r="O265" i="12"/>
  <c r="AM298" i="12"/>
  <c r="BY211" i="22"/>
  <c r="BC211" i="22"/>
  <c r="P362" i="23"/>
  <c r="AY362" i="23"/>
  <c r="AX362" i="23"/>
  <c r="BC362" i="23" s="1"/>
  <c r="AW362" i="23"/>
  <c r="AV362" i="23"/>
  <c r="AU362" i="23"/>
  <c r="AP21" i="27"/>
  <c r="AP5" i="27"/>
  <c r="AF96" i="16"/>
  <c r="BC348" i="23"/>
  <c r="AI144" i="12" l="1"/>
  <c r="AJ54" i="12"/>
  <c r="AX375" i="23"/>
  <c r="AW375" i="23"/>
  <c r="P375" i="23"/>
  <c r="AY375" i="23"/>
  <c r="AV375" i="23"/>
  <c r="AU375" i="23"/>
  <c r="X211" i="22"/>
  <c r="Y211" i="22" s="1"/>
  <c r="BD211" i="22"/>
  <c r="AZ331" i="23"/>
  <c r="BA331" i="23" s="1"/>
  <c r="BB331" i="23"/>
  <c r="AH171" i="12"/>
  <c r="AH165" i="12"/>
  <c r="AH170" i="12"/>
  <c r="AH172" i="12"/>
  <c r="AH167" i="12"/>
  <c r="AH168" i="12"/>
  <c r="AH163" i="12"/>
  <c r="AH169" i="12"/>
  <c r="AH164" i="12"/>
  <c r="AH166" i="12"/>
  <c r="BB318" i="23"/>
  <c r="AZ318" i="23"/>
  <c r="BA318" i="23" s="1"/>
  <c r="O322" i="23"/>
  <c r="AZ310" i="23"/>
  <c r="BA310" i="23" s="1"/>
  <c r="BB310" i="23"/>
  <c r="AJ60" i="12"/>
  <c r="AJ150" i="12" s="1"/>
  <c r="BC364" i="23"/>
  <c r="BB306" i="23"/>
  <c r="AZ306" i="23"/>
  <c r="BA306" i="23" s="1"/>
  <c r="I89" i="13"/>
  <c r="I73" i="13"/>
  <c r="I74" i="13" s="1"/>
  <c r="AJ56" i="12"/>
  <c r="AJ146" i="12" s="1"/>
  <c r="AY235" i="22"/>
  <c r="BZ235" i="22" s="1"/>
  <c r="AM16" i="27"/>
  <c r="AM17" i="27" s="1"/>
  <c r="AM32" i="27"/>
  <c r="AC107" i="16"/>
  <c r="AC108" i="16" s="1"/>
  <c r="R95" i="12"/>
  <c r="R96" i="12" s="1"/>
  <c r="R97" i="12" s="1"/>
  <c r="AZ88" i="12"/>
  <c r="AJ61" i="12"/>
  <c r="AJ151" i="12" s="1"/>
  <c r="AF162" i="12"/>
  <c r="AF173" i="12" s="1"/>
  <c r="AN25" i="27"/>
  <c r="AN9" i="27"/>
  <c r="AD100" i="16"/>
  <c r="AM316" i="12"/>
  <c r="AM300" i="12"/>
  <c r="AK33" i="12"/>
  <c r="AK323" i="12" s="1"/>
  <c r="BB357" i="23"/>
  <c r="AZ357" i="23"/>
  <c r="BA357" i="23" s="1"/>
  <c r="AJ55" i="12"/>
  <c r="AJ145" i="12" s="1"/>
  <c r="BB237" i="22"/>
  <c r="CC237" i="22" s="1"/>
  <c r="BB361" i="23"/>
  <c r="AZ361" i="23"/>
  <c r="BA361" i="23" s="1"/>
  <c r="AI17" i="12"/>
  <c r="AO6" i="27"/>
  <c r="AO22" i="27"/>
  <c r="AE97" i="16"/>
  <c r="AL33" i="12"/>
  <c r="AL297" i="12"/>
  <c r="P369" i="23"/>
  <c r="AY369" i="23"/>
  <c r="AW369" i="23"/>
  <c r="AU369" i="23"/>
  <c r="AX369" i="23"/>
  <c r="BC369" i="23" s="1"/>
  <c r="AV369" i="23"/>
  <c r="AM26" i="12"/>
  <c r="AG152" i="12"/>
  <c r="AH62" i="12"/>
  <c r="AH152" i="12" s="1"/>
  <c r="BG5" i="28"/>
  <c r="BG7" i="28" s="1"/>
  <c r="AL300" i="12"/>
  <c r="AX212" i="22"/>
  <c r="BB374" i="23"/>
  <c r="AZ374" i="23"/>
  <c r="BA374" i="23" s="1"/>
  <c r="AZ232" i="22"/>
  <c r="CA232" i="22" s="1"/>
  <c r="BA212" i="22"/>
  <c r="AQ92" i="8"/>
  <c r="AQ93" i="8" s="1"/>
  <c r="AQ94" i="8" s="1"/>
  <c r="AQ95" i="8" s="1"/>
  <c r="AQ96" i="8" s="1"/>
  <c r="AQ97" i="8" s="1"/>
  <c r="AQ98" i="8" s="1"/>
  <c r="AQ99" i="8" s="1"/>
  <c r="AQ100" i="8" s="1"/>
  <c r="AQ101" i="8" s="1"/>
  <c r="O281" i="12"/>
  <c r="AX330" i="23"/>
  <c r="AW330" i="23"/>
  <c r="P330" i="23"/>
  <c r="AV330" i="23"/>
  <c r="AY330" i="23"/>
  <c r="AU330" i="23"/>
  <c r="AG162" i="12"/>
  <c r="AG173" i="12" s="1"/>
  <c r="BC361" i="23"/>
  <c r="BE10" i="28"/>
  <c r="BE12" i="28" s="1"/>
  <c r="AK16" i="12"/>
  <c r="AK18" i="12"/>
  <c r="AM313" i="12"/>
  <c r="AL32" i="27"/>
  <c r="O329" i="23" s="1"/>
  <c r="AL16" i="27"/>
  <c r="AL17" i="27" s="1"/>
  <c r="AB107" i="16"/>
  <c r="AI323" i="12"/>
  <c r="AI307" i="12"/>
  <c r="AJ323" i="12"/>
  <c r="AJ307" i="12"/>
  <c r="AW342" i="23"/>
  <c r="AV342" i="23"/>
  <c r="P342" i="23"/>
  <c r="AY342" i="23"/>
  <c r="AX342" i="23"/>
  <c r="BC342" i="23" s="1"/>
  <c r="AU342" i="23"/>
  <c r="AZ359" i="23"/>
  <c r="BA359" i="23" s="1"/>
  <c r="BB359" i="23"/>
  <c r="BB364" i="23"/>
  <c r="AZ364" i="23"/>
  <c r="BA364" i="23" s="1"/>
  <c r="BB363" i="23"/>
  <c r="AZ363" i="23"/>
  <c r="BA363" i="23" s="1"/>
  <c r="BC356" i="23"/>
  <c r="AZ317" i="23"/>
  <c r="BA317" i="23" s="1"/>
  <c r="BB317" i="23"/>
  <c r="AV368" i="23"/>
  <c r="AU368" i="23"/>
  <c r="AY368" i="23"/>
  <c r="AX368" i="23"/>
  <c r="AW368" i="23"/>
  <c r="P368" i="23"/>
  <c r="AX354" i="23"/>
  <c r="AW354" i="23"/>
  <c r="AV354" i="23"/>
  <c r="AU354" i="23"/>
  <c r="P354" i="23"/>
  <c r="AY354" i="23"/>
  <c r="P334" i="23"/>
  <c r="AV334" i="23"/>
  <c r="AU334" i="23"/>
  <c r="AY334" i="23"/>
  <c r="AX334" i="23"/>
  <c r="AW334" i="23"/>
  <c r="AY373" i="23"/>
  <c r="AX373" i="23"/>
  <c r="AW373" i="23"/>
  <c r="AV373" i="23"/>
  <c r="AU373" i="23"/>
  <c r="P373" i="23"/>
  <c r="AI114" i="12"/>
  <c r="AI214" i="12"/>
  <c r="BB351" i="23"/>
  <c r="AZ351" i="23"/>
  <c r="BA351" i="23" s="1"/>
  <c r="AH144" i="12"/>
  <c r="AK215" i="12"/>
  <c r="AK106" i="12"/>
  <c r="P343" i="23"/>
  <c r="AY343" i="23"/>
  <c r="AX343" i="23"/>
  <c r="BC343" i="23" s="1"/>
  <c r="AW343" i="23"/>
  <c r="AV343" i="23"/>
  <c r="AU343" i="23"/>
  <c r="AG59" i="12"/>
  <c r="BD11" i="28"/>
  <c r="AJ174" i="12"/>
  <c r="P371" i="23"/>
  <c r="AY371" i="23"/>
  <c r="AU371" i="23"/>
  <c r="AV371" i="23"/>
  <c r="AX371" i="23"/>
  <c r="AW371" i="23"/>
  <c r="AJ114" i="12"/>
  <c r="AJ214" i="12"/>
  <c r="O366" i="23"/>
  <c r="BB362" i="23"/>
  <c r="AZ362" i="23"/>
  <c r="BA362" i="23" s="1"/>
  <c r="AP22" i="27"/>
  <c r="O367" i="23" s="1"/>
  <c r="AP6" i="27"/>
  <c r="AF97" i="16"/>
  <c r="AZ356" i="23"/>
  <c r="BA356" i="23" s="1"/>
  <c r="BB356" i="23"/>
  <c r="AK83" i="12"/>
  <c r="AK14" i="12" s="1"/>
  <c r="AK13" i="12"/>
  <c r="AY376" i="23"/>
  <c r="AX376" i="23"/>
  <c r="AW376" i="23"/>
  <c r="AV376" i="23"/>
  <c r="AU376" i="23"/>
  <c r="P376" i="23"/>
  <c r="AO9" i="27"/>
  <c r="AO25" i="27"/>
  <c r="O358" i="23" s="1"/>
  <c r="AE100" i="16"/>
  <c r="AB108" i="16"/>
  <c r="BC11" i="28"/>
  <c r="AI174" i="12"/>
  <c r="BF9" i="28"/>
  <c r="AL107" i="12"/>
  <c r="AL66" i="12"/>
  <c r="AL156" i="12"/>
  <c r="AL7" i="12"/>
  <c r="AM8" i="12"/>
  <c r="AK57" i="12"/>
  <c r="AK147" i="12" s="1"/>
  <c r="AK61" i="12"/>
  <c r="AK151" i="12" s="1"/>
  <c r="AK60" i="12"/>
  <c r="AK150" i="12" s="1"/>
  <c r="AK54" i="12"/>
  <c r="AK144" i="12" s="1"/>
  <c r="AK64" i="12"/>
  <c r="AK154" i="12" s="1"/>
  <c r="AK63" i="12"/>
  <c r="AK153" i="12" s="1"/>
  <c r="AK58" i="12"/>
  <c r="AK148" i="12" s="1"/>
  <c r="BG75" i="28"/>
  <c r="BG4" i="28" s="1"/>
  <c r="BF4" i="28"/>
  <c r="BF5" i="28" s="1"/>
  <c r="BF7" i="28" s="1"/>
  <c r="AL61" i="12" l="1"/>
  <c r="AL151" i="12" s="1"/>
  <c r="AL54" i="12"/>
  <c r="AL144" i="12" s="1"/>
  <c r="AL58" i="12"/>
  <c r="AL148" i="12" s="1"/>
  <c r="AL60" i="12"/>
  <c r="AL150" i="12" s="1"/>
  <c r="AL57" i="12"/>
  <c r="AL147" i="12" s="1"/>
  <c r="AL64" i="12"/>
  <c r="AL154" i="12" s="1"/>
  <c r="AL63" i="12"/>
  <c r="AL153" i="12" s="1"/>
  <c r="AL83" i="12"/>
  <c r="AL14" i="12" s="1"/>
  <c r="AL13" i="12"/>
  <c r="BC368" i="23"/>
  <c r="AY236" i="22"/>
  <c r="BZ236" i="22" s="1"/>
  <c r="AK307" i="12"/>
  <c r="O346" i="23"/>
  <c r="BB238" i="22"/>
  <c r="CC238" i="22" s="1"/>
  <c r="BB239" i="22"/>
  <c r="CC239" i="22" s="1"/>
  <c r="AY367" i="23"/>
  <c r="AX367" i="23"/>
  <c r="AW367" i="23"/>
  <c r="AV367" i="23"/>
  <c r="AU367" i="23"/>
  <c r="P367" i="23"/>
  <c r="AV366" i="23"/>
  <c r="AU366" i="23"/>
  <c r="AY366" i="23"/>
  <c r="AX366" i="23"/>
  <c r="BC366" i="23" s="1"/>
  <c r="AW366" i="23"/>
  <c r="P366" i="23"/>
  <c r="AY358" i="23"/>
  <c r="AX358" i="23"/>
  <c r="AW358" i="23"/>
  <c r="AV358" i="23"/>
  <c r="AU358" i="23"/>
  <c r="P358" i="23"/>
  <c r="BC371" i="23"/>
  <c r="BB368" i="23"/>
  <c r="AZ368" i="23"/>
  <c r="BA368" i="23" s="1"/>
  <c r="BB369" i="23"/>
  <c r="AZ369" i="23"/>
  <c r="BA369" i="23" s="1"/>
  <c r="BB375" i="23"/>
  <c r="AZ375" i="23"/>
  <c r="BA375" i="23" s="1"/>
  <c r="BG9" i="28"/>
  <c r="AM107" i="12"/>
  <c r="AM66" i="12"/>
  <c r="AM156" i="12"/>
  <c r="AM7" i="12"/>
  <c r="I10" i="13"/>
  <c r="J78" i="13"/>
  <c r="J79" i="13" s="1"/>
  <c r="BB373" i="23"/>
  <c r="AZ373" i="23"/>
  <c r="BA373" i="23" s="1"/>
  <c r="AI171" i="12"/>
  <c r="AI165" i="12"/>
  <c r="AI170" i="12"/>
  <c r="AI164" i="12"/>
  <c r="AI172" i="12"/>
  <c r="AI167" i="12"/>
  <c r="AI168" i="12"/>
  <c r="AJ168" i="12" s="1"/>
  <c r="AI163" i="12"/>
  <c r="AI169" i="12"/>
  <c r="AJ169" i="12" s="1"/>
  <c r="AI166" i="12"/>
  <c r="AZ371" i="23"/>
  <c r="BA371" i="23" s="1"/>
  <c r="BB371" i="23"/>
  <c r="AI62" i="12"/>
  <c r="AL33" i="27"/>
  <c r="BB330" i="23"/>
  <c r="AZ330" i="23"/>
  <c r="BA330" i="23" s="1"/>
  <c r="AN32" i="27"/>
  <c r="O353" i="23" s="1"/>
  <c r="AN16" i="27"/>
  <c r="AN17" i="27" s="1"/>
  <c r="AD107" i="16"/>
  <c r="AD108" i="16"/>
  <c r="AZ376" i="23"/>
  <c r="BA376" i="23" s="1"/>
  <c r="BB376" i="23"/>
  <c r="CB212" i="22"/>
  <c r="O266" i="12"/>
  <c r="AX322" i="23"/>
  <c r="AW322" i="23"/>
  <c r="AV322" i="23"/>
  <c r="AU322" i="23"/>
  <c r="AY322" i="23"/>
  <c r="P322" i="23"/>
  <c r="AK114" i="12"/>
  <c r="AK214" i="12"/>
  <c r="AM83" i="12"/>
  <c r="AM14" i="12" s="1"/>
  <c r="AM13" i="12"/>
  <c r="BC373" i="23"/>
  <c r="S86" i="12"/>
  <c r="S87" i="12" s="1"/>
  <c r="S88" i="12" s="1"/>
  <c r="AZ89" i="12"/>
  <c r="AZ90" i="12" s="1"/>
  <c r="P329" i="23"/>
  <c r="AY329" i="23"/>
  <c r="AX329" i="23"/>
  <c r="AW329" i="23"/>
  <c r="AV329" i="23"/>
  <c r="AU329" i="23"/>
  <c r="AZ233" i="22"/>
  <c r="CA233" i="22" s="1"/>
  <c r="AO32" i="27"/>
  <c r="O365" i="23" s="1"/>
  <c r="AO16" i="27"/>
  <c r="AE107" i="16"/>
  <c r="AL307" i="12"/>
  <c r="BC375" i="23"/>
  <c r="BB342" i="23"/>
  <c r="AZ342" i="23"/>
  <c r="BA342" i="23" s="1"/>
  <c r="BC330" i="23"/>
  <c r="BC376" i="23"/>
  <c r="AE108" i="16"/>
  <c r="AL323" i="12"/>
  <c r="AJ144" i="12"/>
  <c r="BB354" i="23"/>
  <c r="AZ354" i="23"/>
  <c r="BA354" i="23" s="1"/>
  <c r="AP9" i="27"/>
  <c r="AP25" i="27"/>
  <c r="O370" i="23" s="1"/>
  <c r="AF100" i="16"/>
  <c r="AM33" i="12"/>
  <c r="AG149" i="12"/>
  <c r="AG65" i="12"/>
  <c r="AG155" i="12" s="1"/>
  <c r="AH59" i="12"/>
  <c r="BC334" i="23"/>
  <c r="AK17" i="12"/>
  <c r="O355" i="23"/>
  <c r="AO33" i="27"/>
  <c r="BF10" i="28"/>
  <c r="BF12" i="28" s="1"/>
  <c r="AL16" i="12"/>
  <c r="AL18" i="12"/>
  <c r="AL17" i="12" s="1"/>
  <c r="AH162" i="12"/>
  <c r="AH173" i="12" s="1"/>
  <c r="AL215" i="12"/>
  <c r="AL106" i="12"/>
  <c r="AJ165" i="12"/>
  <c r="AJ170" i="12"/>
  <c r="AJ164" i="12"/>
  <c r="AJ172" i="12"/>
  <c r="AJ167" i="12"/>
  <c r="AJ163" i="12"/>
  <c r="AJ171" i="12"/>
  <c r="AJ166" i="12"/>
  <c r="AK56" i="12"/>
  <c r="AK146" i="12" s="1"/>
  <c r="BE11" i="28"/>
  <c r="AK174" i="12"/>
  <c r="AO17" i="27"/>
  <c r="O341" i="23"/>
  <c r="AM33" i="27"/>
  <c r="BC212" i="22"/>
  <c r="BY212" i="22"/>
  <c r="BC354" i="23"/>
  <c r="AK55" i="12"/>
  <c r="AK145" i="12" s="1"/>
  <c r="BB343" i="23"/>
  <c r="AZ343" i="23"/>
  <c r="BA343" i="23" s="1"/>
  <c r="AZ334" i="23"/>
  <c r="BA334" i="23" s="1"/>
  <c r="BB334" i="23"/>
  <c r="BB367" i="23" l="1"/>
  <c r="AZ367" i="23"/>
  <c r="BA367" i="23" s="1"/>
  <c r="AH149" i="12"/>
  <c r="AH65" i="12"/>
  <c r="AH155" i="12" s="1"/>
  <c r="AY365" i="23"/>
  <c r="AU365" i="23"/>
  <c r="AV365" i="23"/>
  <c r="P365" i="23"/>
  <c r="AX365" i="23"/>
  <c r="BC365" i="23" s="1"/>
  <c r="AW365" i="23"/>
  <c r="BC322" i="23"/>
  <c r="AL55" i="12"/>
  <c r="AM55" i="12" s="1"/>
  <c r="AY237" i="22"/>
  <c r="BZ237" i="22" s="1"/>
  <c r="J3" i="13"/>
  <c r="J5" i="13" s="1"/>
  <c r="I9" i="13"/>
  <c r="I8" i="13" s="1"/>
  <c r="BG10" i="28"/>
  <c r="BG12" i="28" s="1"/>
  <c r="AM18" i="12"/>
  <c r="AM16" i="12"/>
  <c r="AM60" i="12"/>
  <c r="AM150" i="12" s="1"/>
  <c r="AM54" i="12"/>
  <c r="AM144" i="12" s="1"/>
  <c r="AM58" i="12"/>
  <c r="AM148" i="12" s="1"/>
  <c r="AM56" i="12"/>
  <c r="AM146" i="12" s="1"/>
  <c r="AM57" i="12"/>
  <c r="AM147" i="12" s="1"/>
  <c r="AM64" i="12"/>
  <c r="AM154" i="12" s="1"/>
  <c r="AM61" i="12"/>
  <c r="AM151" i="12" s="1"/>
  <c r="AM63" i="12"/>
  <c r="AM153" i="12" s="1"/>
  <c r="AP16" i="27"/>
  <c r="AP17" i="27" s="1"/>
  <c r="AP32" i="27"/>
  <c r="AF107" i="16"/>
  <c r="AF108" i="16" s="1"/>
  <c r="AZ234" i="22"/>
  <c r="CA234" i="22" s="1"/>
  <c r="AI162" i="12"/>
  <c r="AI173" i="12" s="1"/>
  <c r="BC367" i="23"/>
  <c r="O282" i="12"/>
  <c r="J80" i="13"/>
  <c r="J63" i="13"/>
  <c r="BB322" i="23"/>
  <c r="AZ322" i="23"/>
  <c r="BA322" i="23" s="1"/>
  <c r="AY370" i="23"/>
  <c r="AX370" i="23"/>
  <c r="BC370" i="23" s="1"/>
  <c r="AW370" i="23"/>
  <c r="AU370" i="23"/>
  <c r="P370" i="23"/>
  <c r="AV370" i="23"/>
  <c r="BA213" i="22"/>
  <c r="S89" i="12"/>
  <c r="S90" i="12" s="1"/>
  <c r="S91" i="12" s="1"/>
  <c r="BA86" i="12"/>
  <c r="BF11" i="28"/>
  <c r="AL174" i="12"/>
  <c r="J62" i="13"/>
  <c r="BB329" i="23"/>
  <c r="AZ329" i="23"/>
  <c r="BA329" i="23" s="1"/>
  <c r="X212" i="22"/>
  <c r="Y212" i="22" s="1"/>
  <c r="BD212" i="22"/>
  <c r="AX341" i="23"/>
  <c r="BC341" i="23" s="1"/>
  <c r="AW341" i="23"/>
  <c r="AY341" i="23"/>
  <c r="AV341" i="23"/>
  <c r="AU341" i="23"/>
  <c r="P341" i="23"/>
  <c r="AK165" i="12"/>
  <c r="AK170" i="12"/>
  <c r="AK164" i="12"/>
  <c r="AK169" i="12"/>
  <c r="AK168" i="12"/>
  <c r="AK163" i="12"/>
  <c r="AK172" i="12"/>
  <c r="AK167" i="12"/>
  <c r="AK171" i="12"/>
  <c r="AK166" i="12"/>
  <c r="AM215" i="12"/>
  <c r="AM106" i="12"/>
  <c r="BB240" i="22"/>
  <c r="CC240" i="22" s="1"/>
  <c r="AL56" i="12"/>
  <c r="AL146" i="12" s="1"/>
  <c r="P355" i="23"/>
  <c r="AX355" i="23"/>
  <c r="AW355" i="23"/>
  <c r="AV355" i="23"/>
  <c r="AU355" i="23"/>
  <c r="AY355" i="23"/>
  <c r="AI59" i="12"/>
  <c r="BB358" i="23"/>
  <c r="AZ358" i="23"/>
  <c r="BA358" i="23" s="1"/>
  <c r="AW353" i="23"/>
  <c r="AV353" i="23"/>
  <c r="AX353" i="23"/>
  <c r="BC353" i="23" s="1"/>
  <c r="AU353" i="23"/>
  <c r="AY353" i="23"/>
  <c r="P353" i="23"/>
  <c r="BC329" i="23"/>
  <c r="AM307" i="12"/>
  <c r="AN33" i="27"/>
  <c r="AI152" i="12"/>
  <c r="AJ62" i="12"/>
  <c r="AJ152" i="12" s="1"/>
  <c r="AK62" i="12"/>
  <c r="AK152" i="12" s="1"/>
  <c r="AL114" i="12"/>
  <c r="AL214" i="12"/>
  <c r="AU346" i="23"/>
  <c r="P346" i="23"/>
  <c r="AY346" i="23"/>
  <c r="AX346" i="23"/>
  <c r="BC346" i="23" s="1"/>
  <c r="AW346" i="23"/>
  <c r="AV346" i="23"/>
  <c r="AZ366" i="23"/>
  <c r="BA366" i="23" s="1"/>
  <c r="BB366" i="23"/>
  <c r="AM323" i="12"/>
  <c r="AX213" i="22"/>
  <c r="BC358" i="23"/>
  <c r="AM145" i="12" l="1"/>
  <c r="AJ162" i="12"/>
  <c r="AJ173" i="12" s="1"/>
  <c r="BB346" i="23"/>
  <c r="AZ346" i="23"/>
  <c r="BA346" i="23" s="1"/>
  <c r="BB341" i="23"/>
  <c r="AZ341" i="23"/>
  <c r="BA341" i="23" s="1"/>
  <c r="AZ365" i="23"/>
  <c r="BA365" i="23" s="1"/>
  <c r="BB365" i="23"/>
  <c r="BB353" i="23"/>
  <c r="AZ353" i="23"/>
  <c r="BA353" i="23" s="1"/>
  <c r="BB370" i="23"/>
  <c r="AZ370" i="23"/>
  <c r="BA370" i="23" s="1"/>
  <c r="BC355" i="23"/>
  <c r="AM62" i="12"/>
  <c r="AM152" i="12" s="1"/>
  <c r="S92" i="12"/>
  <c r="S93" i="12" s="1"/>
  <c r="S94" i="12" s="1"/>
  <c r="BA87" i="12"/>
  <c r="AI149" i="12"/>
  <c r="AI65" i="12"/>
  <c r="AI155" i="12" s="1"/>
  <c r="CB213" i="22"/>
  <c r="O267" i="12"/>
  <c r="BB355" i="23"/>
  <c r="AZ355" i="23"/>
  <c r="BA355" i="23" s="1"/>
  <c r="BB241" i="22"/>
  <c r="CC241" i="22" s="1"/>
  <c r="AL62" i="12"/>
  <c r="AL152" i="12" s="1"/>
  <c r="O377" i="23"/>
  <c r="AP33" i="27"/>
  <c r="AM114" i="12"/>
  <c r="AM214" i="12"/>
  <c r="J81" i="13"/>
  <c r="J64" i="13"/>
  <c r="AJ59" i="12"/>
  <c r="AY238" i="22"/>
  <c r="BZ238" i="22" s="1"/>
  <c r="BG11" i="28"/>
  <c r="AM174" i="12"/>
  <c r="AZ235" i="22"/>
  <c r="CA235" i="22" s="1"/>
  <c r="AM17" i="12"/>
  <c r="AL145" i="12"/>
  <c r="BC213" i="22"/>
  <c r="BY213" i="22"/>
  <c r="AK162" i="12"/>
  <c r="AK173" i="12" s="1"/>
  <c r="AL170" i="12"/>
  <c r="AL164" i="12"/>
  <c r="AL169" i="12"/>
  <c r="AL168" i="12"/>
  <c r="AL163" i="12"/>
  <c r="AL172" i="12"/>
  <c r="AL167" i="12"/>
  <c r="AL162" i="12"/>
  <c r="AL173" i="12" s="1"/>
  <c r="AL171" i="12"/>
  <c r="AL166" i="12"/>
  <c r="AL165" i="12"/>
  <c r="X213" i="22" l="1"/>
  <c r="Y213" i="22" s="1"/>
  <c r="BD213" i="22"/>
  <c r="AW377" i="23"/>
  <c r="AV377" i="23"/>
  <c r="AU377" i="23"/>
  <c r="AY377" i="23"/>
  <c r="AX377" i="23"/>
  <c r="BC377" i="23" s="1"/>
  <c r="P377" i="23"/>
  <c r="S95" i="12"/>
  <c r="S96" i="12" s="1"/>
  <c r="S97" i="12" s="1"/>
  <c r="BA88" i="12"/>
  <c r="AJ149" i="12"/>
  <c r="AJ65" i="12"/>
  <c r="AJ155" i="12" s="1"/>
  <c r="AY239" i="22"/>
  <c r="BZ239" i="22" s="1"/>
  <c r="J82" i="13"/>
  <c r="J65" i="13"/>
  <c r="BB242" i="22"/>
  <c r="CC242" i="22" s="1"/>
  <c r="BB243" i="22"/>
  <c r="CC243" i="22" s="1"/>
  <c r="AX214" i="22"/>
  <c r="AM170" i="12"/>
  <c r="AM164" i="12"/>
  <c r="AM169" i="12"/>
  <c r="AM163" i="12"/>
  <c r="AM168" i="12"/>
  <c r="AM171" i="12"/>
  <c r="AM166" i="12"/>
  <c r="AM165" i="12"/>
  <c r="AM172" i="12"/>
  <c r="AM162" i="12"/>
  <c r="AM173" i="12" s="1"/>
  <c r="AM167" i="12"/>
  <c r="O283" i="12"/>
  <c r="BA214" i="22"/>
  <c r="AZ236" i="22"/>
  <c r="CA236" i="22" s="1"/>
  <c r="AK59" i="12"/>
  <c r="AY240" i="22" l="1"/>
  <c r="BZ240" i="22" s="1"/>
  <c r="AZ377" i="23"/>
  <c r="BA377" i="23" s="1"/>
  <c r="BB377" i="23"/>
  <c r="BY214" i="22"/>
  <c r="BC214" i="22"/>
  <c r="AK149" i="12"/>
  <c r="AK65" i="12"/>
  <c r="AK155" i="12" s="1"/>
  <c r="J83" i="13"/>
  <c r="J66" i="13"/>
  <c r="AL59" i="12"/>
  <c r="CB214" i="22"/>
  <c r="O268" i="12"/>
  <c r="T86" i="12"/>
  <c r="T87" i="12" s="1"/>
  <c r="T88" i="12" s="1"/>
  <c r="BA89" i="12"/>
  <c r="BA90" i="12" s="1"/>
  <c r="AZ237" i="22"/>
  <c r="CA237" i="22" s="1"/>
  <c r="BB244" i="22"/>
  <c r="CC244" i="22" s="1"/>
  <c r="BD214" i="22" l="1"/>
  <c r="X214" i="22"/>
  <c r="Y214" i="22" s="1"/>
  <c r="AX215" i="22"/>
  <c r="AY241" i="22"/>
  <c r="BZ241" i="22" s="1"/>
  <c r="BB246" i="22"/>
  <c r="CC246" i="22" s="1"/>
  <c r="T89" i="12"/>
  <c r="T90" i="12" s="1"/>
  <c r="T91" i="12" s="1"/>
  <c r="BB86" i="12"/>
  <c r="O284" i="12"/>
  <c r="AL149" i="12"/>
  <c r="AL65" i="12"/>
  <c r="AL155" i="12" s="1"/>
  <c r="AM59" i="12"/>
  <c r="J84" i="13"/>
  <c r="J67" i="13"/>
  <c r="AZ238" i="22"/>
  <c r="CA238" i="22" s="1"/>
  <c r="BA215" i="22"/>
  <c r="BB245" i="22"/>
  <c r="CC245" i="22" s="1"/>
  <c r="BB247" i="22" l="1"/>
  <c r="CC247" i="22" s="1"/>
  <c r="AY242" i="22"/>
  <c r="BZ242" i="22" s="1"/>
  <c r="J85" i="13"/>
  <c r="J68" i="13"/>
  <c r="BB248" i="22"/>
  <c r="CC248" i="22" s="1"/>
  <c r="CB215" i="22"/>
  <c r="O269" i="12"/>
  <c r="O285" i="12" s="1"/>
  <c r="AM149" i="12"/>
  <c r="AM65" i="12"/>
  <c r="AM155" i="12" s="1"/>
  <c r="BY215" i="22"/>
  <c r="BC215" i="22"/>
  <c r="T92" i="12"/>
  <c r="T93" i="12" s="1"/>
  <c r="T94" i="12" s="1"/>
  <c r="BB87" i="12"/>
  <c r="AZ239" i="22"/>
  <c r="CA239" i="22" s="1"/>
  <c r="BB249" i="22" l="1"/>
  <c r="CC249" i="22" s="1"/>
  <c r="BD215" i="22"/>
  <c r="X215" i="22"/>
  <c r="Y215" i="22" s="1"/>
  <c r="BA216" i="22"/>
  <c r="J86" i="13"/>
  <c r="J70" i="13" s="1"/>
  <c r="T95" i="12"/>
  <c r="T96" i="12" s="1"/>
  <c r="T97" i="12" s="1"/>
  <c r="BB88" i="12"/>
  <c r="J69" i="13"/>
  <c r="AY243" i="22"/>
  <c r="BZ243" i="22" s="1"/>
  <c r="AZ240" i="22"/>
  <c r="CA240" i="22" s="1"/>
  <c r="AX216" i="22"/>
  <c r="BB250" i="22"/>
  <c r="CC250" i="22" s="1"/>
  <c r="AZ241" i="22" l="1"/>
  <c r="CA241" i="22" s="1"/>
  <c r="CB216" i="22"/>
  <c r="O270" i="12"/>
  <c r="O286" i="12" s="1"/>
  <c r="AY244" i="22"/>
  <c r="BZ244" i="22" s="1"/>
  <c r="AY245" i="22" s="1"/>
  <c r="BZ245" i="22" s="1"/>
  <c r="BY216" i="22"/>
  <c r="BC216" i="22"/>
  <c r="U86" i="12"/>
  <c r="U87" i="12" s="1"/>
  <c r="U88" i="12" s="1"/>
  <c r="BB89" i="12"/>
  <c r="BB90" i="12" s="1"/>
  <c r="BB251" i="22"/>
  <c r="CC251" i="22" s="1"/>
  <c r="BB252" i="22" s="1"/>
  <c r="CC252" i="22" s="1"/>
  <c r="J87" i="13"/>
  <c r="AY246" i="22" l="1"/>
  <c r="BZ246" i="22" s="1"/>
  <c r="J88" i="13"/>
  <c r="BD216" i="22"/>
  <c r="X216" i="22"/>
  <c r="Y216" i="22" s="1"/>
  <c r="BC86" i="12"/>
  <c r="U89" i="12"/>
  <c r="U90" i="12" s="1"/>
  <c r="U91" i="12" s="1"/>
  <c r="AX217" i="22"/>
  <c r="BB253" i="22"/>
  <c r="CC253" i="22" s="1"/>
  <c r="AZ242" i="22"/>
  <c r="CA242" i="22" s="1"/>
  <c r="BA217" i="22"/>
  <c r="AY247" i="22"/>
  <c r="BZ247" i="22" s="1"/>
  <c r="J71" i="13"/>
  <c r="AY248" i="22"/>
  <c r="BZ248" i="22" s="1"/>
  <c r="BY217" i="22" l="1"/>
  <c r="BC217" i="22"/>
  <c r="AZ243" i="22"/>
  <c r="CA243" i="22" s="1"/>
  <c r="AZ244" i="22"/>
  <c r="CA244" i="22" s="1"/>
  <c r="AY249" i="22"/>
  <c r="BZ249" i="22" s="1"/>
  <c r="J89" i="13"/>
  <c r="J73" i="13" s="1"/>
  <c r="J74" i="13" s="1"/>
  <c r="U92" i="12"/>
  <c r="U93" i="12" s="1"/>
  <c r="U94" i="12" s="1"/>
  <c r="BC87" i="12"/>
  <c r="J72" i="13"/>
  <c r="CB217" i="22"/>
  <c r="O271" i="12"/>
  <c r="O287" i="12" s="1"/>
  <c r="BB254" i="22"/>
  <c r="CC254" i="22" s="1"/>
  <c r="BA218" i="22" l="1"/>
  <c r="J10" i="13"/>
  <c r="K78" i="13"/>
  <c r="K79" i="13" s="1"/>
  <c r="BC88" i="12"/>
  <c r="U95" i="12"/>
  <c r="U96" i="12" s="1"/>
  <c r="U97" i="12" s="1"/>
  <c r="X217" i="22"/>
  <c r="Y217" i="22" s="1"/>
  <c r="BD217" i="22"/>
  <c r="BB255" i="22"/>
  <c r="CC255" i="22" s="1"/>
  <c r="AX218" i="22"/>
  <c r="AZ245" i="22"/>
  <c r="CA245" i="22" s="1"/>
  <c r="AY250" i="22"/>
  <c r="BZ250" i="22" s="1"/>
  <c r="AY251" i="22" s="1"/>
  <c r="BZ251" i="22" s="1"/>
  <c r="BY218" i="22" l="1"/>
  <c r="BC218" i="22"/>
  <c r="K80" i="13"/>
  <c r="K63" i="13"/>
  <c r="V86" i="12"/>
  <c r="V87" i="12" s="1"/>
  <c r="V88" i="12" s="1"/>
  <c r="BC89" i="12"/>
  <c r="BC90" i="12" s="1"/>
  <c r="K3" i="13"/>
  <c r="K5" i="13" s="1"/>
  <c r="J9" i="13"/>
  <c r="J8" i="13" s="1"/>
  <c r="K62" i="13"/>
  <c r="AZ246" i="22"/>
  <c r="CA246" i="22" s="1"/>
  <c r="CB218" i="22"/>
  <c r="O272" i="12"/>
  <c r="O288" i="12" s="1"/>
  <c r="BB257" i="22"/>
  <c r="CC257" i="22" s="1"/>
  <c r="BB256" i="22"/>
  <c r="CC256" i="22" s="1"/>
  <c r="AY252" i="22"/>
  <c r="BZ252" i="22" s="1"/>
  <c r="AZ248" i="22" l="1"/>
  <c r="CA248" i="22" s="1"/>
  <c r="AZ249" i="22" s="1"/>
  <c r="CA249" i="22" s="1"/>
  <c r="BB259" i="22"/>
  <c r="CC259" i="22" s="1"/>
  <c r="BD86" i="12"/>
  <c r="V89" i="12"/>
  <c r="V90" i="12" s="1"/>
  <c r="V91" i="12" s="1"/>
  <c r="BA219" i="22"/>
  <c r="K81" i="13"/>
  <c r="K64" i="13"/>
  <c r="AY253" i="22"/>
  <c r="BZ253" i="22" s="1"/>
  <c r="BB258" i="22"/>
  <c r="CC258" i="22" s="1"/>
  <c r="AZ247" i="22"/>
  <c r="CA247" i="22" s="1"/>
  <c r="X218" i="22"/>
  <c r="Y218" i="22" s="1"/>
  <c r="BD218" i="22"/>
  <c r="AX219" i="22"/>
  <c r="AZ250" i="22" l="1"/>
  <c r="CA250" i="22" s="1"/>
  <c r="V92" i="12"/>
  <c r="V93" i="12" s="1"/>
  <c r="V94" i="12" s="1"/>
  <c r="BD87" i="12"/>
  <c r="K82" i="13"/>
  <c r="K65" i="13"/>
  <c r="BB261" i="22"/>
  <c r="CC261" i="22" s="1"/>
  <c r="AY254" i="22"/>
  <c r="BZ254" i="22" s="1"/>
  <c r="BY219" i="22"/>
  <c r="BC219" i="22"/>
  <c r="AZ251" i="22"/>
  <c r="CA251" i="22" s="1"/>
  <c r="AZ252" i="22" s="1"/>
  <c r="CA252" i="22" s="1"/>
  <c r="CB219" i="22"/>
  <c r="O273" i="12"/>
  <c r="O289" i="12" s="1"/>
  <c r="BB260" i="22"/>
  <c r="CC260" i="22" s="1"/>
  <c r="AZ254" i="22" l="1"/>
  <c r="CA254" i="22" s="1"/>
  <c r="BA220" i="22"/>
  <c r="AY255" i="22"/>
  <c r="BZ255" i="22" s="1"/>
  <c r="AX220" i="22"/>
  <c r="BB262" i="22"/>
  <c r="CC262" i="22" s="1"/>
  <c r="AZ255" i="22"/>
  <c r="CA255" i="22" s="1"/>
  <c r="AZ256" i="22" s="1"/>
  <c r="CA256" i="22" s="1"/>
  <c r="AZ253" i="22"/>
  <c r="CA253" i="22" s="1"/>
  <c r="V95" i="12"/>
  <c r="V96" i="12" s="1"/>
  <c r="V97" i="12" s="1"/>
  <c r="BD88" i="12"/>
  <c r="X219" i="22"/>
  <c r="Y219" i="22" s="1"/>
  <c r="BD219" i="22"/>
  <c r="K83" i="13"/>
  <c r="K66" i="13"/>
  <c r="BY220" i="22" l="1"/>
  <c r="BC220" i="22"/>
  <c r="CB220" i="22"/>
  <c r="O274" i="12"/>
  <c r="O290" i="12" s="1"/>
  <c r="K84" i="13"/>
  <c r="K67" i="13"/>
  <c r="BD89" i="12"/>
  <c r="BD90" i="12" s="1"/>
  <c r="W86" i="12"/>
  <c r="W87" i="12" s="1"/>
  <c r="W88" i="12" s="1"/>
  <c r="BB263" i="22"/>
  <c r="CC263" i="22" s="1"/>
  <c r="AZ257" i="22"/>
  <c r="CA257" i="22" s="1"/>
  <c r="AY256" i="22"/>
  <c r="BZ256" i="22" s="1"/>
  <c r="BE86" i="12" l="1"/>
  <c r="W89" i="12"/>
  <c r="W90" i="12" s="1"/>
  <c r="W91" i="12" s="1"/>
  <c r="K85" i="13"/>
  <c r="K68" i="13"/>
  <c r="BB266" i="22"/>
  <c r="CC266" i="22" s="1"/>
  <c r="BB267" i="22" s="1"/>
  <c r="CC267" i="22" s="1"/>
  <c r="BA221" i="22"/>
  <c r="AX221" i="22"/>
  <c r="AY257" i="22"/>
  <c r="BZ257" i="22" s="1"/>
  <c r="X220" i="22"/>
  <c r="Y220" i="22" s="1"/>
  <c r="BD220" i="22"/>
  <c r="BB264" i="22"/>
  <c r="CC264" i="22" s="1"/>
  <c r="BB265" i="22" s="1"/>
  <c r="CC265" i="22" s="1"/>
  <c r="AZ258" i="22"/>
  <c r="CA258" i="22" s="1"/>
  <c r="AY258" i="22" l="1"/>
  <c r="BZ258" i="22" s="1"/>
  <c r="BB268" i="22"/>
  <c r="CC268" i="22" s="1"/>
  <c r="BB269" i="22"/>
  <c r="CC269" i="22" s="1"/>
  <c r="BC221" i="22"/>
  <c r="BY221" i="22"/>
  <c r="CB221" i="22"/>
  <c r="O275" i="12"/>
  <c r="AZ259" i="22"/>
  <c r="CA259" i="22" s="1"/>
  <c r="W92" i="12"/>
  <c r="W93" i="12" s="1"/>
  <c r="W94" i="12" s="1"/>
  <c r="BE87" i="12"/>
  <c r="K86" i="13"/>
  <c r="K69" i="13"/>
  <c r="BE88" i="12" l="1"/>
  <c r="W95" i="12"/>
  <c r="W96" i="12" s="1"/>
  <c r="W97" i="12" s="1"/>
  <c r="BD221" i="22"/>
  <c r="X221" i="22"/>
  <c r="Y221" i="22" s="1"/>
  <c r="K71" i="13"/>
  <c r="K87" i="13"/>
  <c r="AZ260" i="22"/>
  <c r="CA260" i="22" s="1"/>
  <c r="AX222" i="22"/>
  <c r="K70" i="13"/>
  <c r="O291" i="12"/>
  <c r="O292" i="12" s="1"/>
  <c r="O276" i="12"/>
  <c r="BA222" i="22"/>
  <c r="AY259" i="22"/>
  <c r="BZ259" i="22" s="1"/>
  <c r="CB222" i="22" l="1"/>
  <c r="P264" i="12"/>
  <c r="AZ261" i="22"/>
  <c r="CA261" i="22" s="1"/>
  <c r="K88" i="13"/>
  <c r="AY260" i="22"/>
  <c r="BZ260" i="22" s="1"/>
  <c r="BC222" i="22"/>
  <c r="BY222" i="22"/>
  <c r="X86" i="12"/>
  <c r="X87" i="12" s="1"/>
  <c r="X88" i="12" s="1"/>
  <c r="X89" i="12" s="1"/>
  <c r="X90" i="12" s="1"/>
  <c r="X91" i="12" s="1"/>
  <c r="X92" i="12" s="1"/>
  <c r="X93" i="12" s="1"/>
  <c r="X94" i="12" s="1"/>
  <c r="X95" i="12" s="1"/>
  <c r="X96" i="12" s="1"/>
  <c r="X97" i="12" s="1"/>
  <c r="Y86" i="12" s="1"/>
  <c r="Y87" i="12" s="1"/>
  <c r="Y88" i="12" s="1"/>
  <c r="Y89" i="12" s="1"/>
  <c r="Y90" i="12" s="1"/>
  <c r="Y91" i="12" s="1"/>
  <c r="Y92" i="12" s="1"/>
  <c r="Y93" i="12" s="1"/>
  <c r="Y94" i="12" s="1"/>
  <c r="Y95" i="12" s="1"/>
  <c r="Y96" i="12" s="1"/>
  <c r="Y97" i="12" s="1"/>
  <c r="Z86" i="12" s="1"/>
  <c r="Z87" i="12" s="1"/>
  <c r="Z88" i="12" s="1"/>
  <c r="Z89" i="12" s="1"/>
  <c r="Z90" i="12" s="1"/>
  <c r="Z91" i="12" s="1"/>
  <c r="Z92" i="12" s="1"/>
  <c r="Z93" i="12" s="1"/>
  <c r="Z94" i="12" s="1"/>
  <c r="Z95" i="12" s="1"/>
  <c r="Z96" i="12" s="1"/>
  <c r="Z97" i="12" s="1"/>
  <c r="AA86" i="12" s="1"/>
  <c r="AA87" i="12" s="1"/>
  <c r="AA88" i="12" s="1"/>
  <c r="AA89" i="12" s="1"/>
  <c r="AA90" i="12" s="1"/>
  <c r="AA91" i="12" s="1"/>
  <c r="AA92" i="12" s="1"/>
  <c r="AA93" i="12" s="1"/>
  <c r="AA94" i="12" s="1"/>
  <c r="AA95" i="12" s="1"/>
  <c r="AA96" i="12" s="1"/>
  <c r="AA97" i="12" s="1"/>
  <c r="AB86" i="12" s="1"/>
  <c r="AB87" i="12" s="1"/>
  <c r="AB88" i="12" s="1"/>
  <c r="AB89" i="12" s="1"/>
  <c r="AB90" i="12" s="1"/>
  <c r="AB91" i="12" s="1"/>
  <c r="AB92" i="12" s="1"/>
  <c r="AB93" i="12" s="1"/>
  <c r="AB94" i="12" s="1"/>
  <c r="AB95" i="12" s="1"/>
  <c r="AB96" i="12" s="1"/>
  <c r="AB97" i="12" s="1"/>
  <c r="AC86" i="12" s="1"/>
  <c r="AC87" i="12" s="1"/>
  <c r="AC88" i="12" s="1"/>
  <c r="AC89" i="12" s="1"/>
  <c r="AC90" i="12" s="1"/>
  <c r="AC91" i="12" s="1"/>
  <c r="AC92" i="12" s="1"/>
  <c r="AC93" i="12" s="1"/>
  <c r="AC94" i="12" s="1"/>
  <c r="AC95" i="12" s="1"/>
  <c r="AC96" i="12" s="1"/>
  <c r="AC97" i="12" s="1"/>
  <c r="AD86" i="12" s="1"/>
  <c r="AD87" i="12" s="1"/>
  <c r="AD88" i="12" s="1"/>
  <c r="AD89" i="12" s="1"/>
  <c r="AD90" i="12" s="1"/>
  <c r="AD91" i="12" s="1"/>
  <c r="AD92" i="12" s="1"/>
  <c r="AD93" i="12" s="1"/>
  <c r="AD94" i="12" s="1"/>
  <c r="AD95" i="12" s="1"/>
  <c r="AD96" i="12" s="1"/>
  <c r="AD97" i="12" s="1"/>
  <c r="AE86" i="12" s="1"/>
  <c r="AE87" i="12" s="1"/>
  <c r="AE88" i="12" s="1"/>
  <c r="AE89" i="12" s="1"/>
  <c r="AE90" i="12" s="1"/>
  <c r="AE91" i="12" s="1"/>
  <c r="AE92" i="12" s="1"/>
  <c r="AE93" i="12" s="1"/>
  <c r="AE94" i="12" s="1"/>
  <c r="AE95" i="12" s="1"/>
  <c r="AE96" i="12" s="1"/>
  <c r="AE97" i="12" s="1"/>
  <c r="AF86" i="12" s="1"/>
  <c r="AF87" i="12" s="1"/>
  <c r="AF88" i="12" s="1"/>
  <c r="AF89" i="12" s="1"/>
  <c r="AF90" i="12" s="1"/>
  <c r="AF91" i="12" s="1"/>
  <c r="AF92" i="12" s="1"/>
  <c r="AF93" i="12" s="1"/>
  <c r="AF94" i="12" s="1"/>
  <c r="AF95" i="12" s="1"/>
  <c r="AF96" i="12" s="1"/>
  <c r="AF97" i="12" s="1"/>
  <c r="AG86" i="12" s="1"/>
  <c r="AG87" i="12" s="1"/>
  <c r="AG88" i="12" s="1"/>
  <c r="AG89" i="12" s="1"/>
  <c r="AG90" i="12" s="1"/>
  <c r="AG91" i="12" s="1"/>
  <c r="AG92" i="12" s="1"/>
  <c r="AG93" i="12" s="1"/>
  <c r="AG94" i="12" s="1"/>
  <c r="AG95" i="12" s="1"/>
  <c r="AG96" i="12" s="1"/>
  <c r="AG97" i="12" s="1"/>
  <c r="AH86" i="12" s="1"/>
  <c r="AH87" i="12" s="1"/>
  <c r="AH88" i="12" s="1"/>
  <c r="AH89" i="12" s="1"/>
  <c r="AH90" i="12" s="1"/>
  <c r="AH91" i="12" s="1"/>
  <c r="AH92" i="12" s="1"/>
  <c r="AH93" i="12" s="1"/>
  <c r="AH94" i="12" s="1"/>
  <c r="AH95" i="12" s="1"/>
  <c r="AH96" i="12" s="1"/>
  <c r="AH97" i="12" s="1"/>
  <c r="AI86" i="12" s="1"/>
  <c r="AI87" i="12" s="1"/>
  <c r="AI88" i="12" s="1"/>
  <c r="AI89" i="12" s="1"/>
  <c r="AI90" i="12" s="1"/>
  <c r="AI91" i="12" s="1"/>
  <c r="AI92" i="12" s="1"/>
  <c r="AI93" i="12" s="1"/>
  <c r="AI94" i="12" s="1"/>
  <c r="AI95" i="12" s="1"/>
  <c r="AI96" i="12" s="1"/>
  <c r="AI97" i="12" s="1"/>
  <c r="AJ86" i="12" s="1"/>
  <c r="AJ87" i="12" s="1"/>
  <c r="AJ88" i="12" s="1"/>
  <c r="AJ89" i="12" s="1"/>
  <c r="AJ90" i="12" s="1"/>
  <c r="AJ91" i="12" s="1"/>
  <c r="AJ92" i="12" s="1"/>
  <c r="AJ93" i="12" s="1"/>
  <c r="AJ94" i="12" s="1"/>
  <c r="AJ95" i="12" s="1"/>
  <c r="AJ96" i="12" s="1"/>
  <c r="AJ97" i="12" s="1"/>
  <c r="AK86" i="12" s="1"/>
  <c r="AK87" i="12" s="1"/>
  <c r="AK88" i="12" s="1"/>
  <c r="AK89" i="12" s="1"/>
  <c r="AK90" i="12" s="1"/>
  <c r="AK91" i="12" s="1"/>
  <c r="AK92" i="12" s="1"/>
  <c r="AK93" i="12" s="1"/>
  <c r="AK94" i="12" s="1"/>
  <c r="AK95" i="12" s="1"/>
  <c r="AK96" i="12" s="1"/>
  <c r="AK97" i="12" s="1"/>
  <c r="AL86" i="12" s="1"/>
  <c r="AL87" i="12" s="1"/>
  <c r="AL88" i="12" s="1"/>
  <c r="AL89" i="12" s="1"/>
  <c r="AL90" i="12" s="1"/>
  <c r="AL91" i="12" s="1"/>
  <c r="AL92" i="12" s="1"/>
  <c r="AL93" i="12" s="1"/>
  <c r="AL94" i="12" s="1"/>
  <c r="AL95" i="12" s="1"/>
  <c r="AL96" i="12" s="1"/>
  <c r="AL97" i="12" s="1"/>
  <c r="AM86" i="12" s="1"/>
  <c r="AM87" i="12" s="1"/>
  <c r="AM88" i="12" s="1"/>
  <c r="AM89" i="12" s="1"/>
  <c r="AM90" i="12" s="1"/>
  <c r="AM91" i="12" s="1"/>
  <c r="AM92" i="12" s="1"/>
  <c r="AM93" i="12" s="1"/>
  <c r="AM94" i="12" s="1"/>
  <c r="AM95" i="12" s="1"/>
  <c r="AM96" i="12" s="1"/>
  <c r="AM97" i="12" s="1"/>
  <c r="BE89" i="12"/>
  <c r="BE90" i="12" s="1"/>
  <c r="X222" i="22" l="1"/>
  <c r="Y222" i="22" s="1"/>
  <c r="BD222" i="22"/>
  <c r="K73" i="13"/>
  <c r="K89" i="13"/>
  <c r="AZ262" i="22"/>
  <c r="CA262" i="22" s="1"/>
  <c r="K72" i="13"/>
  <c r="BA223" i="22"/>
  <c r="AX223" i="22"/>
  <c r="AY261" i="22"/>
  <c r="BZ261" i="22" s="1"/>
  <c r="AY262" i="22" s="1"/>
  <c r="BZ262" i="22" s="1"/>
  <c r="P280" i="12"/>
  <c r="AY263" i="22" l="1"/>
  <c r="BZ263" i="22" s="1"/>
  <c r="AZ263" i="22"/>
  <c r="CA263" i="22" s="1"/>
  <c r="BY223" i="22"/>
  <c r="BC223" i="22"/>
  <c r="K74" i="13"/>
  <c r="AY264" i="22"/>
  <c r="BZ264" i="22" s="1"/>
  <c r="CB223" i="22"/>
  <c r="P265" i="12"/>
  <c r="AY265" i="22"/>
  <c r="BZ265" i="22" s="1"/>
  <c r="K10" i="13"/>
  <c r="L78" i="13"/>
  <c r="L79" i="13" s="1"/>
  <c r="L3" i="13" l="1"/>
  <c r="L5" i="13" s="1"/>
  <c r="K9" i="13"/>
  <c r="K8" i="13" s="1"/>
  <c r="AY266" i="22"/>
  <c r="BZ266" i="22" s="1"/>
  <c r="L62" i="13"/>
  <c r="AX224" i="22"/>
  <c r="L80" i="13"/>
  <c r="L63" i="13"/>
  <c r="P281" i="12"/>
  <c r="BA224" i="22"/>
  <c r="AY267" i="22"/>
  <c r="BZ267" i="22" s="1"/>
  <c r="X223" i="22"/>
  <c r="Y223" i="22" s="1"/>
  <c r="BD223" i="22"/>
  <c r="AZ264" i="22"/>
  <c r="CA264" i="22" s="1"/>
  <c r="CB224" i="22" l="1"/>
  <c r="P266" i="12"/>
  <c r="L81" i="13"/>
  <c r="L64" i="13"/>
  <c r="BY224" i="22"/>
  <c r="BC224" i="22"/>
  <c r="AY268" i="22"/>
  <c r="BZ268" i="22" s="1"/>
  <c r="AZ265" i="22"/>
  <c r="CA265" i="22" s="1"/>
  <c r="AZ266" i="22" l="1"/>
  <c r="CA266" i="22" s="1"/>
  <c r="BD224" i="22"/>
  <c r="X224" i="22"/>
  <c r="Y224" i="22" s="1"/>
  <c r="BA225" i="22"/>
  <c r="L82" i="13"/>
  <c r="L65" i="13"/>
  <c r="AY269" i="22"/>
  <c r="BZ269" i="22" s="1"/>
  <c r="AX225" i="22"/>
  <c r="P282" i="12"/>
  <c r="BY225" i="22" l="1"/>
  <c r="BC225" i="22"/>
  <c r="AY270" i="22"/>
  <c r="BZ270" i="22" s="1"/>
  <c r="L83" i="13"/>
  <c r="L66" i="13"/>
  <c r="AZ267" i="22"/>
  <c r="CA267" i="22" s="1"/>
  <c r="AZ269" i="22" s="1"/>
  <c r="CA269" i="22" s="1"/>
  <c r="CB225" i="22"/>
  <c r="P267" i="12"/>
  <c r="AZ268" i="22"/>
  <c r="CA268" i="22" s="1"/>
  <c r="L84" i="13" l="1"/>
  <c r="L67" i="13"/>
  <c r="BA226" i="22"/>
  <c r="BD225" i="22"/>
  <c r="X225" i="22"/>
  <c r="Y225" i="22" s="1"/>
  <c r="P283" i="12"/>
  <c r="AY271" i="22"/>
  <c r="BZ271" i="22" s="1"/>
  <c r="AX226" i="22"/>
  <c r="BY226" i="22" l="1"/>
  <c r="BC226" i="22"/>
  <c r="CB226" i="22"/>
  <c r="P268" i="12"/>
  <c r="L85" i="13"/>
  <c r="L68" i="13"/>
  <c r="AY272" i="22"/>
  <c r="BZ272" i="22" s="1"/>
  <c r="AY273" i="22" s="1"/>
  <c r="BZ273" i="22" s="1"/>
  <c r="AY274" i="22" l="1"/>
  <c r="BZ274" i="22" s="1"/>
  <c r="AY275" i="22" s="1"/>
  <c r="L86" i="13"/>
  <c r="L70" i="13"/>
  <c r="P284" i="12"/>
  <c r="X226" i="22"/>
  <c r="Y226" i="22" s="1"/>
  <c r="BD226" i="22"/>
  <c r="L69" i="13"/>
  <c r="BA227" i="22"/>
  <c r="AX227" i="22"/>
  <c r="CB227" i="22" l="1"/>
  <c r="P269" i="12"/>
  <c r="P285" i="12" s="1"/>
  <c r="BY227" i="22"/>
  <c r="BC227" i="22"/>
  <c r="BZ275" i="22"/>
  <c r="AY276" i="22" s="1"/>
  <c r="BC275" i="22"/>
  <c r="L87" i="13"/>
  <c r="L71" i="13"/>
  <c r="BD275" i="22" l="1"/>
  <c r="X275" i="22"/>
  <c r="Y275" i="22" s="1"/>
  <c r="L88" i="13"/>
  <c r="BZ276" i="22"/>
  <c r="BC276" i="22"/>
  <c r="X227" i="22"/>
  <c r="Y227" i="22" s="1"/>
  <c r="BD227" i="22"/>
  <c r="AX228" i="22"/>
  <c r="BA228" i="22"/>
  <c r="CB228" i="22" l="1"/>
  <c r="P270" i="12"/>
  <c r="P286" i="12" s="1"/>
  <c r="BC228" i="22"/>
  <c r="BY228" i="22"/>
  <c r="L89" i="13"/>
  <c r="BD276" i="22"/>
  <c r="X276" i="22"/>
  <c r="Y276" i="22" s="1"/>
  <c r="L72" i="13"/>
  <c r="L10" i="13" l="1"/>
  <c r="M78" i="13"/>
  <c r="M79" i="13" s="1"/>
  <c r="AX229" i="22"/>
  <c r="BD228" i="22"/>
  <c r="X228" i="22"/>
  <c r="Y228" i="22" s="1"/>
  <c r="L73" i="13"/>
  <c r="L74" i="13" s="1"/>
  <c r="BA229" i="22"/>
  <c r="CB229" i="22" l="1"/>
  <c r="P271" i="12"/>
  <c r="P287" i="12" s="1"/>
  <c r="BY229" i="22"/>
  <c r="BC229" i="22"/>
  <c r="M62" i="13"/>
  <c r="M80" i="13"/>
  <c r="M63" i="13"/>
  <c r="M3" i="13"/>
  <c r="M5" i="13" s="1"/>
  <c r="L9" i="13"/>
  <c r="L8" i="13" s="1"/>
  <c r="AX230" i="22" l="1"/>
  <c r="M81" i="13"/>
  <c r="M64" i="13"/>
  <c r="X229" i="22"/>
  <c r="Y229" i="22" s="1"/>
  <c r="BD229" i="22"/>
  <c r="BA230" i="22"/>
  <c r="M82" i="13" l="1"/>
  <c r="M65" i="13"/>
  <c r="CB230" i="22"/>
  <c r="P272" i="12"/>
  <c r="P288" i="12" s="1"/>
  <c r="BY230" i="22"/>
  <c r="BC230" i="22"/>
  <c r="X230" i="22" l="1"/>
  <c r="Y230" i="22" s="1"/>
  <c r="BD230" i="22"/>
  <c r="AX231" i="22"/>
  <c r="BA231" i="22"/>
  <c r="M83" i="13"/>
  <c r="M66" i="13"/>
  <c r="M84" i="13" l="1"/>
  <c r="M67" i="13"/>
  <c r="CB231" i="22"/>
  <c r="P273" i="12"/>
  <c r="P289" i="12" s="1"/>
  <c r="BC231" i="22"/>
  <c r="BY231" i="22"/>
  <c r="AX232" i="22" l="1"/>
  <c r="BD231" i="22"/>
  <c r="X231" i="22"/>
  <c r="Y231" i="22" s="1"/>
  <c r="BA232" i="22"/>
  <c r="M69" i="13"/>
  <c r="M85" i="13"/>
  <c r="M68" i="13"/>
  <c r="BY232" i="22" l="1"/>
  <c r="BC232" i="22"/>
  <c r="M86" i="13"/>
  <c r="M70" i="13"/>
  <c r="CB232" i="22"/>
  <c r="P274" i="12"/>
  <c r="P290" i="12" s="1"/>
  <c r="X232" i="22" l="1"/>
  <c r="Y232" i="22" s="1"/>
  <c r="BD232" i="22"/>
  <c r="BA233" i="22"/>
  <c r="M87" i="13"/>
  <c r="M71" i="13"/>
  <c r="AX233" i="22"/>
  <c r="BY233" i="22" l="1"/>
  <c r="BC233" i="22"/>
  <c r="M88" i="13"/>
  <c r="CB233" i="22"/>
  <c r="P275" i="12"/>
  <c r="P291" i="12" l="1"/>
  <c r="P292" i="12" s="1"/>
  <c r="P276" i="12"/>
  <c r="BA234" i="22"/>
  <c r="M89" i="13"/>
  <c r="M72" i="13"/>
  <c r="BD233" i="22"/>
  <c r="X233" i="22"/>
  <c r="Y233" i="22" s="1"/>
  <c r="AX234" i="22"/>
  <c r="N78" i="13" l="1"/>
  <c r="N79" i="13" s="1"/>
  <c r="M10" i="13"/>
  <c r="N62" i="13"/>
  <c r="M73" i="13"/>
  <c r="M74" i="13" s="1"/>
  <c r="BY234" i="22"/>
  <c r="BC234" i="22"/>
  <c r="CB234" i="22"/>
  <c r="Q264" i="12"/>
  <c r="BA235" i="22" l="1"/>
  <c r="X234" i="22"/>
  <c r="Y234" i="22" s="1"/>
  <c r="BD234" i="22"/>
  <c r="N3" i="13"/>
  <c r="N5" i="13" s="1"/>
  <c r="M9" i="13"/>
  <c r="M8" i="13" s="1"/>
  <c r="Q280" i="12"/>
  <c r="AX235" i="22"/>
  <c r="N80" i="13"/>
  <c r="N63" i="13"/>
  <c r="N81" i="13" l="1"/>
  <c r="N64" i="13"/>
  <c r="CB235" i="22"/>
  <c r="Q265" i="12"/>
  <c r="BY235" i="22"/>
  <c r="BC235" i="22"/>
  <c r="Q281" i="12" l="1"/>
  <c r="X235" i="22"/>
  <c r="Y235" i="22" s="1"/>
  <c r="BD235" i="22"/>
  <c r="BA236" i="22"/>
  <c r="N82" i="13"/>
  <c r="N65" i="13"/>
  <c r="AX236" i="22"/>
  <c r="BY236" i="22" l="1"/>
  <c r="BC236" i="22"/>
  <c r="N83" i="13"/>
  <c r="N66" i="13"/>
  <c r="CB236" i="22"/>
  <c r="Q266" i="12"/>
  <c r="BA237" i="22" l="1"/>
  <c r="Q282" i="12"/>
  <c r="N84" i="13"/>
  <c r="N67" i="13"/>
  <c r="BD236" i="22"/>
  <c r="X236" i="22"/>
  <c r="Y236" i="22" s="1"/>
  <c r="AX237" i="22"/>
  <c r="BY237" i="22" l="1"/>
  <c r="BC237" i="22"/>
  <c r="CB237" i="22"/>
  <c r="Q267" i="12"/>
  <c r="N69" i="13"/>
  <c r="N85" i="13"/>
  <c r="N68" i="13"/>
  <c r="Q283" i="12" l="1"/>
  <c r="BD237" i="22"/>
  <c r="X237" i="22"/>
  <c r="Y237" i="22" s="1"/>
  <c r="AX238" i="22"/>
  <c r="N86" i="13"/>
  <c r="N70" i="13"/>
  <c r="BA238" i="22"/>
  <c r="BC238" i="22" l="1"/>
  <c r="BY238" i="22"/>
  <c r="CB238" i="22"/>
  <c r="Q268" i="12"/>
  <c r="N87" i="13"/>
  <c r="N71" i="13" s="1"/>
  <c r="N88" i="13" l="1"/>
  <c r="Q284" i="12"/>
  <c r="BA239" i="22"/>
  <c r="AX239" i="22"/>
  <c r="BD238" i="22"/>
  <c r="X238" i="22"/>
  <c r="Y238" i="22" s="1"/>
  <c r="BY239" i="22" l="1"/>
  <c r="BC239" i="22"/>
  <c r="CB239" i="22"/>
  <c r="Q269" i="12"/>
  <c r="Q285" i="12" s="1"/>
  <c r="N89" i="13"/>
  <c r="N72" i="13"/>
  <c r="N10" i="13" l="1"/>
  <c r="O62" i="13"/>
  <c r="O78" i="13"/>
  <c r="O79" i="13" s="1"/>
  <c r="N73" i="13"/>
  <c r="N74" i="13" s="1"/>
  <c r="BA240" i="22"/>
  <c r="X239" i="22"/>
  <c r="Y239" i="22" s="1"/>
  <c r="BD239" i="22"/>
  <c r="AX240" i="22"/>
  <c r="CB240" i="22" l="1"/>
  <c r="Q270" i="12"/>
  <c r="Q286" i="12" s="1"/>
  <c r="BY240" i="22"/>
  <c r="BC240" i="22"/>
  <c r="O80" i="13"/>
  <c r="O63" i="13"/>
  <c r="O3" i="13"/>
  <c r="O5" i="13" s="1"/>
  <c r="N9" i="13"/>
  <c r="N8" i="13" s="1"/>
  <c r="X240" i="22" l="1"/>
  <c r="Y240" i="22" s="1"/>
  <c r="BD240" i="22"/>
  <c r="O81" i="13"/>
  <c r="O64" i="13"/>
  <c r="AX241" i="22"/>
  <c r="BA241" i="22"/>
  <c r="CB241" i="22" l="1"/>
  <c r="Q271" i="12"/>
  <c r="Q287" i="12" s="1"/>
  <c r="BY241" i="22"/>
  <c r="BC241" i="22"/>
  <c r="O82" i="13"/>
  <c r="O65" i="13"/>
  <c r="O83" i="13" l="1"/>
  <c r="O66" i="13"/>
  <c r="BD241" i="22"/>
  <c r="X241" i="22"/>
  <c r="Y241" i="22" s="1"/>
  <c r="AX242" i="22"/>
  <c r="BA242" i="22"/>
  <c r="CB242" i="22" l="1"/>
  <c r="Q272" i="12"/>
  <c r="Q288" i="12" s="1"/>
  <c r="BY242" i="22"/>
  <c r="BC242" i="22"/>
  <c r="O84" i="13"/>
  <c r="O67" i="13"/>
  <c r="O85" i="13" l="1"/>
  <c r="O68" i="13"/>
  <c r="X242" i="22"/>
  <c r="Y242" i="22" s="1"/>
  <c r="BD242" i="22"/>
  <c r="AX243" i="22"/>
  <c r="BA243" i="22"/>
  <c r="CB243" i="22" l="1"/>
  <c r="Q273" i="12"/>
  <c r="Q289" i="12" s="1"/>
  <c r="BC243" i="22"/>
  <c r="BY243" i="22"/>
  <c r="O86" i="13"/>
  <c r="O70" i="13"/>
  <c r="O69" i="13"/>
  <c r="AX244" i="22" l="1"/>
  <c r="BD243" i="22"/>
  <c r="X243" i="22"/>
  <c r="Y243" i="22" s="1"/>
  <c r="O87" i="13"/>
  <c r="O71" i="13"/>
  <c r="BA244" i="22"/>
  <c r="CB244" i="22" l="1"/>
  <c r="Q274" i="12"/>
  <c r="Q290" i="12" s="1"/>
  <c r="BC244" i="22"/>
  <c r="BY244" i="22"/>
  <c r="O88" i="13"/>
  <c r="O89" i="13" l="1"/>
  <c r="AX245" i="22"/>
  <c r="X244" i="22"/>
  <c r="Y244" i="22" s="1"/>
  <c r="BD244" i="22"/>
  <c r="O72" i="13"/>
  <c r="BA245" i="22"/>
  <c r="CB245" i="22" l="1"/>
  <c r="Q275" i="12"/>
  <c r="BC245" i="22"/>
  <c r="BY245" i="22"/>
  <c r="P62" i="13"/>
  <c r="P78" i="13"/>
  <c r="P79" i="13" s="1"/>
  <c r="O10" i="13"/>
  <c r="O73" i="13"/>
  <c r="O74" i="13" s="1"/>
  <c r="P3" i="13" l="1"/>
  <c r="P5" i="13" s="1"/>
  <c r="O9" i="13"/>
  <c r="O8" i="13" s="1"/>
  <c r="X245" i="22"/>
  <c r="Y245" i="22" s="1"/>
  <c r="BD245" i="22"/>
  <c r="P80" i="13"/>
  <c r="P63" i="13"/>
  <c r="AX246" i="22"/>
  <c r="Q291" i="12"/>
  <c r="Q292" i="12" s="1"/>
  <c r="Q276" i="12"/>
  <c r="BA246" i="22"/>
  <c r="CB246" i="22" l="1"/>
  <c r="R264" i="12"/>
  <c r="P81" i="13"/>
  <c r="P64" i="13"/>
  <c r="BY246" i="22"/>
  <c r="BC246" i="22"/>
  <c r="R280" i="12" l="1"/>
  <c r="BD246" i="22"/>
  <c r="X246" i="22"/>
  <c r="Y246" i="22" s="1"/>
  <c r="AX247" i="22"/>
  <c r="P82" i="13"/>
  <c r="P65" i="13"/>
  <c r="BA247" i="22"/>
  <c r="P83" i="13" l="1"/>
  <c r="P66" i="13"/>
  <c r="CB247" i="22"/>
  <c r="R265" i="12"/>
  <c r="BY247" i="22"/>
  <c r="BC247" i="22"/>
  <c r="AX248" i="22" l="1"/>
  <c r="X247" i="22"/>
  <c r="Y247" i="22" s="1"/>
  <c r="BD247" i="22"/>
  <c r="R281" i="12"/>
  <c r="BA248" i="22"/>
  <c r="P84" i="13"/>
  <c r="P67" i="13"/>
  <c r="P85" i="13" l="1"/>
  <c r="P68" i="13"/>
  <c r="BC248" i="22"/>
  <c r="BY248" i="22"/>
  <c r="CB248" i="22"/>
  <c r="R266" i="12"/>
  <c r="AX249" i="22" l="1"/>
  <c r="P86" i="13"/>
  <c r="P70" i="13"/>
  <c r="R282" i="12"/>
  <c r="BA249" i="22"/>
  <c r="X248" i="22"/>
  <c r="Y248" i="22" s="1"/>
  <c r="BD248" i="22"/>
  <c r="P69" i="13"/>
  <c r="CB249" i="22" l="1"/>
  <c r="R267" i="12"/>
  <c r="BY249" i="22"/>
  <c r="BC249" i="22"/>
  <c r="P87" i="13"/>
  <c r="P88" i="13" l="1"/>
  <c r="P72" i="13"/>
  <c r="AX250" i="22"/>
  <c r="R283" i="12"/>
  <c r="P71" i="13"/>
  <c r="BD249" i="22"/>
  <c r="X249" i="22"/>
  <c r="Y249" i="22" s="1"/>
  <c r="BA250" i="22"/>
  <c r="CB250" i="22" l="1"/>
  <c r="R268" i="12"/>
  <c r="BC250" i="22"/>
  <c r="BY250" i="22"/>
  <c r="P89" i="13"/>
  <c r="Q78" i="13" l="1"/>
  <c r="Q79" i="13" s="1"/>
  <c r="P10" i="13"/>
  <c r="Q62" i="13"/>
  <c r="R284" i="12"/>
  <c r="P73" i="13"/>
  <c r="P74" i="13" s="1"/>
  <c r="AX251" i="22"/>
  <c r="X250" i="22"/>
  <c r="Y250" i="22" s="1"/>
  <c r="BD250" i="22"/>
  <c r="BA251" i="22"/>
  <c r="CB251" i="22" l="1"/>
  <c r="R269" i="12"/>
  <c r="R285" i="12" s="1"/>
  <c r="BY251" i="22"/>
  <c r="BC251" i="22"/>
  <c r="Q3" i="13"/>
  <c r="Q5" i="13" s="1"/>
  <c r="P9" i="13"/>
  <c r="P8" i="13" s="1"/>
  <c r="Q80" i="13"/>
  <c r="Q63" i="13"/>
  <c r="X251" i="22" l="1"/>
  <c r="Y251" i="22" s="1"/>
  <c r="BD251" i="22"/>
  <c r="AX252" i="22"/>
  <c r="Q81" i="13"/>
  <c r="Q64" i="13"/>
  <c r="BA252" i="22"/>
  <c r="CB252" i="22" l="1"/>
  <c r="R270" i="12"/>
  <c r="R286" i="12" s="1"/>
  <c r="Q82" i="13"/>
  <c r="Q65" i="13"/>
  <c r="BY252" i="22"/>
  <c r="BC252" i="22"/>
  <c r="AX253" i="22" l="1"/>
  <c r="Q83" i="13"/>
  <c r="Q66" i="13"/>
  <c r="BA253" i="22"/>
  <c r="X252" i="22"/>
  <c r="Y252" i="22" s="1"/>
  <c r="BD252" i="22"/>
  <c r="CB253" i="22" l="1"/>
  <c r="R271" i="12"/>
  <c r="R287" i="12" s="1"/>
  <c r="Q84" i="13"/>
  <c r="Q67" i="13"/>
  <c r="BC253" i="22"/>
  <c r="BY253" i="22"/>
  <c r="AX254" i="22" l="1"/>
  <c r="BD253" i="22"/>
  <c r="X253" i="22"/>
  <c r="Y253" i="22" s="1"/>
  <c r="Q85" i="13"/>
  <c r="Q69" i="13"/>
  <c r="Q68" i="13"/>
  <c r="BA254" i="22"/>
  <c r="CB254" i="22" l="1"/>
  <c r="R272" i="12"/>
  <c r="R288" i="12" s="1"/>
  <c r="Q86" i="13"/>
  <c r="Q70" i="13"/>
  <c r="BY254" i="22"/>
  <c r="BC254" i="22"/>
  <c r="X254" i="22" l="1"/>
  <c r="Y254" i="22" s="1"/>
  <c r="BD254" i="22"/>
  <c r="AX255" i="22"/>
  <c r="Q87" i="13"/>
  <c r="Q71" i="13" s="1"/>
  <c r="BA255" i="22"/>
  <c r="CB255" i="22" l="1"/>
  <c r="R273" i="12"/>
  <c r="R289" i="12" s="1"/>
  <c r="Q88" i="13"/>
  <c r="Q72" i="13"/>
  <c r="BC255" i="22"/>
  <c r="BY255" i="22"/>
  <c r="AX256" i="22" l="1"/>
  <c r="BD255" i="22"/>
  <c r="X255" i="22"/>
  <c r="Y255" i="22" s="1"/>
  <c r="Q89" i="13"/>
  <c r="Q73" i="13" s="1"/>
  <c r="Q74" i="13" s="1"/>
  <c r="BA256" i="22"/>
  <c r="CB256" i="22" l="1"/>
  <c r="R274" i="12"/>
  <c r="R290" i="12" s="1"/>
  <c r="R78" i="13"/>
  <c r="R79" i="13" s="1"/>
  <c r="Q10" i="13"/>
  <c r="BY256" i="22"/>
  <c r="BC256" i="22"/>
  <c r="R80" i="13" l="1"/>
  <c r="R63" i="13"/>
  <c r="X256" i="22"/>
  <c r="Y256" i="22" s="1"/>
  <c r="BD256" i="22"/>
  <c r="R3" i="13"/>
  <c r="R5" i="13" s="1"/>
  <c r="Q9" i="13"/>
  <c r="Q8" i="13" s="1"/>
  <c r="AX257" i="22"/>
  <c r="R62" i="13"/>
  <c r="BA257" i="22"/>
  <c r="CB257" i="22" l="1"/>
  <c r="R275" i="12"/>
  <c r="BC257" i="22"/>
  <c r="BY257" i="22"/>
  <c r="R81" i="13"/>
  <c r="R64" i="13"/>
  <c r="R82" i="13" l="1"/>
  <c r="R65" i="13"/>
  <c r="X257" i="22"/>
  <c r="Y257" i="22" s="1"/>
  <c r="BD257" i="22"/>
  <c r="BA258" i="22"/>
  <c r="AX258" i="22"/>
  <c r="R291" i="12"/>
  <c r="R292" i="12" s="1"/>
  <c r="R276" i="12"/>
  <c r="BY258" i="22" l="1"/>
  <c r="BC258" i="22"/>
  <c r="CB258" i="22"/>
  <c r="S264" i="12"/>
  <c r="R83" i="13"/>
  <c r="R66" i="13"/>
  <c r="BA259" i="22" l="1"/>
  <c r="R84" i="13"/>
  <c r="R67" i="13"/>
  <c r="BD258" i="22"/>
  <c r="X258" i="22"/>
  <c r="Y258" i="22" s="1"/>
  <c r="S280" i="12"/>
  <c r="AX259" i="22"/>
  <c r="BY259" i="22" l="1"/>
  <c r="BC259" i="22"/>
  <c r="R85" i="13"/>
  <c r="R69" i="13" s="1"/>
  <c r="R68" i="13"/>
  <c r="CB259" i="22"/>
  <c r="S265" i="12"/>
  <c r="S281" i="12" l="1"/>
  <c r="BA260" i="22"/>
  <c r="BD259" i="22"/>
  <c r="X259" i="22"/>
  <c r="Y259" i="22" s="1"/>
  <c r="R86" i="13"/>
  <c r="AX260" i="22"/>
  <c r="R87" i="13" l="1"/>
  <c r="R71" i="13" s="1"/>
  <c r="R70" i="13"/>
  <c r="BC260" i="22"/>
  <c r="BY260" i="22"/>
  <c r="CB260" i="22"/>
  <c r="S266" i="12"/>
  <c r="BA261" i="22" l="1"/>
  <c r="AX261" i="22"/>
  <c r="S282" i="12"/>
  <c r="X260" i="22"/>
  <c r="Y260" i="22" s="1"/>
  <c r="BD260" i="22"/>
  <c r="R88" i="13"/>
  <c r="R72" i="13"/>
  <c r="BY261" i="22" l="1"/>
  <c r="BC261" i="22"/>
  <c r="CB261" i="22"/>
  <c r="S267" i="12"/>
  <c r="R89" i="13"/>
  <c r="S78" i="13" l="1"/>
  <c r="S79" i="13" s="1"/>
  <c r="R10" i="13"/>
  <c r="S62" i="13"/>
  <c r="BA262" i="22"/>
  <c r="R73" i="13"/>
  <c r="R74" i="13" s="1"/>
  <c r="AX262" i="22"/>
  <c r="S283" i="12"/>
  <c r="X261" i="22"/>
  <c r="Y261" i="22" s="1"/>
  <c r="BD261" i="22"/>
  <c r="BY262" i="22" l="1"/>
  <c r="BC262" i="22"/>
  <c r="CB262" i="22"/>
  <c r="S268" i="12"/>
  <c r="S3" i="13"/>
  <c r="S5" i="13" s="1"/>
  <c r="R9" i="13"/>
  <c r="R8" i="13" s="1"/>
  <c r="S80" i="13"/>
  <c r="S63" i="13"/>
  <c r="BA263" i="22" l="1"/>
  <c r="S81" i="13"/>
  <c r="S64" i="13"/>
  <c r="S284" i="12"/>
  <c r="AX263" i="22"/>
  <c r="X262" i="22"/>
  <c r="Y262" i="22" s="1"/>
  <c r="BD262" i="22"/>
  <c r="S82" i="13" l="1"/>
  <c r="S65" i="13"/>
  <c r="BY263" i="22"/>
  <c r="BC263" i="22"/>
  <c r="CB263" i="22"/>
  <c r="S269" i="12"/>
  <c r="S285" i="12" s="1"/>
  <c r="BA264" i="22" l="1"/>
  <c r="BD263" i="22"/>
  <c r="X263" i="22"/>
  <c r="Y263" i="22" s="1"/>
  <c r="AX264" i="22"/>
  <c r="S83" i="13"/>
  <c r="S66" i="13"/>
  <c r="S84" i="13" l="1"/>
  <c r="S67" i="13"/>
  <c r="CB264" i="22"/>
  <c r="S270" i="12"/>
  <c r="S286" i="12" s="1"/>
  <c r="BY264" i="22"/>
  <c r="BC264" i="22"/>
  <c r="AX265" i="22" l="1"/>
  <c r="X264" i="22"/>
  <c r="Y264" i="22" s="1"/>
  <c r="BD264" i="22"/>
  <c r="BA265" i="22"/>
  <c r="S69" i="13"/>
  <c r="S85" i="13"/>
  <c r="S68" i="13"/>
  <c r="S86" i="13" l="1"/>
  <c r="S70" i="13"/>
  <c r="CB265" i="22"/>
  <c r="S271" i="12"/>
  <c r="S287" i="12" s="1"/>
  <c r="BC265" i="22"/>
  <c r="BY265" i="22"/>
  <c r="AX266" i="22" l="1"/>
  <c r="BD265" i="22"/>
  <c r="X265" i="22"/>
  <c r="Y265" i="22" s="1"/>
  <c r="BA266" i="22"/>
  <c r="S71" i="13"/>
  <c r="S87" i="13"/>
  <c r="CB266" i="22" l="1"/>
  <c r="S272" i="12"/>
  <c r="S288" i="12" s="1"/>
  <c r="S88" i="13"/>
  <c r="S72" i="13"/>
  <c r="BC266" i="22"/>
  <c r="BY266" i="22"/>
  <c r="AX267" i="22" l="1"/>
  <c r="BD266" i="22"/>
  <c r="X266" i="22"/>
  <c r="Y266" i="22" s="1"/>
  <c r="S89" i="13"/>
  <c r="S73" i="13"/>
  <c r="S74" i="13" s="1"/>
  <c r="BA267" i="22"/>
  <c r="CB267" i="22" l="1"/>
  <c r="BA268" i="22" s="1"/>
  <c r="S273" i="12"/>
  <c r="S289" i="12" s="1"/>
  <c r="BY267" i="22"/>
  <c r="BC267" i="22"/>
  <c r="T78" i="13"/>
  <c r="T79" i="13" s="1"/>
  <c r="S10" i="13"/>
  <c r="T80" i="13" l="1"/>
  <c r="T63" i="13"/>
  <c r="T62" i="13"/>
  <c r="AX268" i="22"/>
  <c r="T3" i="13"/>
  <c r="T5" i="13" s="1"/>
  <c r="S9" i="13"/>
  <c r="S8" i="13" s="1"/>
  <c r="X267" i="22"/>
  <c r="Y267" i="22" s="1"/>
  <c r="BD267" i="22"/>
  <c r="CB268" i="22"/>
  <c r="BA269" i="22" s="1"/>
  <c r="S274" i="12"/>
  <c r="S290" i="12" s="1"/>
  <c r="BY268" i="22" l="1"/>
  <c r="BC268" i="22"/>
  <c r="CB269" i="22"/>
  <c r="S275" i="12"/>
  <c r="T81" i="13"/>
  <c r="T64" i="13"/>
  <c r="T82" i="13" l="1"/>
  <c r="T65" i="13"/>
  <c r="S291" i="12"/>
  <c r="S292" i="12" s="1"/>
  <c r="S276" i="12"/>
  <c r="BD268" i="22"/>
  <c r="X268" i="22"/>
  <c r="Y268" i="22" s="1"/>
  <c r="AX269" i="22"/>
  <c r="BY269" i="22" l="1"/>
  <c r="BC269" i="22"/>
  <c r="T83" i="13"/>
  <c r="T66" i="13"/>
  <c r="T84" i="13" l="1"/>
  <c r="T67" i="13"/>
  <c r="BD269" i="22"/>
  <c r="X269" i="22"/>
  <c r="Y269" i="22" s="1"/>
  <c r="AX270" i="22"/>
  <c r="BC270" i="22" l="1"/>
  <c r="BY270" i="22"/>
  <c r="T85" i="13"/>
  <c r="T68" i="13"/>
  <c r="T86" i="13" l="1"/>
  <c r="T70" i="13"/>
  <c r="T69" i="13"/>
  <c r="AX271" i="22"/>
  <c r="BD270" i="22"/>
  <c r="X270" i="22"/>
  <c r="Y270" i="22" s="1"/>
  <c r="BY271" i="22" l="1"/>
  <c r="BC271" i="22"/>
  <c r="T87" i="13"/>
  <c r="T71" i="13"/>
  <c r="BD271" i="22" l="1"/>
  <c r="X271" i="22"/>
  <c r="Y271" i="22" s="1"/>
  <c r="T88" i="13"/>
  <c r="AX272" i="22"/>
  <c r="T89" i="13" l="1"/>
  <c r="BC272" i="22"/>
  <c r="BY272" i="22"/>
  <c r="AX273" i="22" s="1"/>
  <c r="T72" i="13"/>
  <c r="BY273" i="22" l="1"/>
  <c r="AX274" i="22" s="1"/>
  <c r="BC273" i="22"/>
  <c r="U78" i="13"/>
  <c r="U79" i="13" s="1"/>
  <c r="T10" i="13"/>
  <c r="U62" i="13"/>
  <c r="X272" i="22"/>
  <c r="Y272" i="22" s="1"/>
  <c r="BD272" i="22"/>
  <c r="T73" i="13"/>
  <c r="T74" i="13" s="1"/>
  <c r="U80" i="13" l="1"/>
  <c r="U63" i="13"/>
  <c r="X273" i="22"/>
  <c r="Y273" i="22" s="1"/>
  <c r="BD273" i="22"/>
  <c r="U3" i="13"/>
  <c r="U5" i="13" s="1"/>
  <c r="T9" i="13"/>
  <c r="T8" i="13" s="1"/>
  <c r="BY274" i="22"/>
  <c r="BC274" i="22"/>
  <c r="X274" i="22" l="1"/>
  <c r="Y274" i="22" s="1"/>
  <c r="BD274" i="22"/>
  <c r="U81" i="13"/>
  <c r="U64" i="13"/>
  <c r="U82" i="13" l="1"/>
  <c r="U65" i="13"/>
  <c r="U83" i="13" l="1"/>
  <c r="U66" i="13"/>
  <c r="U84" i="13" l="1"/>
  <c r="U67" i="13"/>
  <c r="U85" i="13" l="1"/>
  <c r="U69" i="13"/>
  <c r="U68" i="13"/>
  <c r="U86" i="13" l="1"/>
  <c r="U70" i="13"/>
  <c r="U87" i="13" l="1"/>
  <c r="U71" i="13"/>
  <c r="U88" i="13" l="1"/>
  <c r="U89" i="13" l="1"/>
  <c r="U73" i="13"/>
  <c r="U74" i="13" s="1"/>
  <c r="U72" i="13"/>
  <c r="V78" i="13" l="1"/>
  <c r="V79" i="13" s="1"/>
  <c r="V62" i="13"/>
  <c r="U10" i="13"/>
  <c r="V3" i="13" l="1"/>
  <c r="V5" i="13" s="1"/>
  <c r="U9" i="13"/>
  <c r="U8" i="13" s="1"/>
  <c r="V80" i="13"/>
  <c r="V63" i="13"/>
  <c r="V81" i="13" l="1"/>
  <c r="V64" i="13"/>
  <c r="V82" i="13" l="1"/>
  <c r="V65" i="13"/>
  <c r="V83" i="13" l="1"/>
  <c r="V66" i="13"/>
  <c r="V84" i="13" l="1"/>
  <c r="V67" i="13"/>
  <c r="V85" i="13" l="1"/>
  <c r="V69" i="13"/>
  <c r="V68" i="13"/>
  <c r="V86" i="13" l="1"/>
  <c r="V87" i="13" l="1"/>
  <c r="V70" i="13"/>
  <c r="V88" i="13" l="1"/>
  <c r="V71" i="13"/>
  <c r="V89" i="13" l="1"/>
  <c r="V72" i="13"/>
  <c r="W78" i="13" l="1"/>
  <c r="W79" i="13" s="1"/>
  <c r="V10" i="13"/>
  <c r="W62" i="13"/>
  <c r="V73" i="13"/>
  <c r="V74" i="13" s="1"/>
  <c r="W3" i="13" l="1"/>
  <c r="W5" i="13" s="1"/>
  <c r="V9" i="13"/>
  <c r="V8" i="13" s="1"/>
  <c r="W80" i="13"/>
  <c r="W63" i="13"/>
  <c r="W81" i="13" l="1"/>
  <c r="W64" i="13"/>
  <c r="W82" i="13" l="1"/>
  <c r="W65" i="13"/>
  <c r="W83" i="13" l="1"/>
  <c r="W66" i="13"/>
  <c r="W84" i="13" l="1"/>
  <c r="W67" i="13"/>
  <c r="W85" i="13" l="1"/>
  <c r="W69" i="13"/>
  <c r="W68" i="13"/>
  <c r="W86" i="13" l="1"/>
  <c r="W87" i="13" l="1"/>
  <c r="W70" i="13"/>
  <c r="W88" i="13" l="1"/>
  <c r="W71" i="13"/>
  <c r="W89" i="13" l="1"/>
  <c r="W73" i="13"/>
  <c r="W72" i="13"/>
  <c r="W74" i="13" l="1"/>
  <c r="X78" i="13"/>
  <c r="X79" i="13" s="1"/>
  <c r="W10" i="13"/>
  <c r="X62" i="13"/>
  <c r="X3" i="13" l="1"/>
  <c r="X5" i="13" s="1"/>
  <c r="W9" i="13"/>
  <c r="W8" i="13" s="1"/>
  <c r="X80" i="13"/>
  <c r="X63" i="13"/>
  <c r="X81" i="13" l="1"/>
  <c r="X64" i="13"/>
  <c r="X82" i="13" l="1"/>
  <c r="X65" i="13"/>
  <c r="X83" i="13" l="1"/>
  <c r="X66" i="13"/>
  <c r="X84" i="13" l="1"/>
  <c r="X67" i="13"/>
  <c r="X85" i="13" l="1"/>
  <c r="X69" i="13"/>
  <c r="X68" i="13"/>
  <c r="X86" i="13" l="1"/>
  <c r="X87" i="13" l="1"/>
  <c r="X70" i="13"/>
  <c r="X88" i="13" l="1"/>
  <c r="X71" i="13"/>
  <c r="X89" i="13" l="1"/>
  <c r="X72" i="13"/>
  <c r="Y78" i="13" l="1"/>
  <c r="Y79" i="13" s="1"/>
  <c r="X10" i="13"/>
  <c r="Y62" i="13"/>
  <c r="X73" i="13"/>
  <c r="X74" i="13" s="1"/>
  <c r="Y3" i="13" l="1"/>
  <c r="Y5" i="13" s="1"/>
  <c r="X9" i="13"/>
  <c r="X8" i="13" s="1"/>
  <c r="Y80" i="13"/>
  <c r="Y63" i="13"/>
  <c r="Y81" i="13" l="1"/>
  <c r="Y64" i="13"/>
  <c r="Y82" i="13" l="1"/>
  <c r="Y65" i="13"/>
  <c r="Y83" i="13" l="1"/>
  <c r="Y66" i="13"/>
  <c r="Y84" i="13" l="1"/>
  <c r="Y67" i="13"/>
  <c r="Y85" i="13" l="1"/>
  <c r="Y69" i="13"/>
  <c r="Y68" i="13"/>
  <c r="Y86" i="13" l="1"/>
  <c r="Y87" i="13" l="1"/>
  <c r="Y70" i="13"/>
  <c r="Y88" i="13" l="1"/>
  <c r="Y72" i="13"/>
  <c r="Y71" i="13"/>
  <c r="Y89" i="13" l="1"/>
  <c r="Y10" i="13" l="1"/>
  <c r="Z78" i="13"/>
  <c r="Z79" i="13" s="1"/>
  <c r="Y73" i="13"/>
  <c r="Y74" i="13" s="1"/>
  <c r="Z80" i="13" l="1"/>
  <c r="Z63" i="13"/>
  <c r="Z62" i="13"/>
  <c r="Z3" i="13"/>
  <c r="Z5" i="13" s="1"/>
  <c r="Y9" i="13"/>
  <c r="Y8" i="13" s="1"/>
  <c r="Z81" i="13" l="1"/>
  <c r="Z64" i="13"/>
  <c r="Z82" i="13" l="1"/>
  <c r="Z65" i="13"/>
  <c r="Z83" i="13" l="1"/>
  <c r="Z66" i="13"/>
  <c r="Z84" i="13" l="1"/>
  <c r="Z67" i="13"/>
  <c r="Z85" i="13" l="1"/>
  <c r="Z69" i="13"/>
  <c r="Z68" i="13"/>
  <c r="Z86" i="13" l="1"/>
  <c r="Z87" i="13" l="1"/>
  <c r="Z70" i="13"/>
  <c r="Z88" i="13" l="1"/>
  <c r="Z71" i="13"/>
  <c r="Z89" i="13" l="1"/>
  <c r="Z72" i="13"/>
  <c r="AA78" i="13" l="1"/>
  <c r="AA79" i="13" s="1"/>
  <c r="Z10" i="13"/>
  <c r="AA62" i="13"/>
  <c r="Z73" i="13"/>
  <c r="Z74" i="13" s="1"/>
  <c r="AA3" i="13" l="1"/>
  <c r="AA5" i="13" s="1"/>
  <c r="Z9" i="13"/>
  <c r="Z8" i="13" s="1"/>
  <c r="AA80" i="13"/>
  <c r="AA63" i="13"/>
  <c r="AA81" i="13" l="1"/>
  <c r="AA64" i="13"/>
  <c r="AA82" i="13" l="1"/>
  <c r="AA65" i="13"/>
  <c r="AA83" i="13" l="1"/>
  <c r="AA66" i="13"/>
  <c r="AA84" i="13" l="1"/>
  <c r="AA67" i="13"/>
  <c r="AA85" i="13" l="1"/>
  <c r="AA69" i="13"/>
  <c r="AA68" i="13"/>
  <c r="AA86" i="13" l="1"/>
  <c r="AA87" i="13" l="1"/>
  <c r="AA70" i="13"/>
  <c r="AA88" i="13" l="1"/>
  <c r="AA72" i="13"/>
  <c r="AA71" i="13"/>
  <c r="AA89" i="13" l="1"/>
  <c r="AA73" i="13"/>
  <c r="AA74" i="13" s="1"/>
  <c r="AA10" i="13" l="1"/>
  <c r="AB78" i="13"/>
  <c r="AB79" i="13" s="1"/>
  <c r="AB80" i="13" l="1"/>
  <c r="AB63" i="13"/>
  <c r="AB62" i="13"/>
  <c r="AB3" i="13"/>
  <c r="AB5" i="13" s="1"/>
  <c r="AA9" i="13"/>
  <c r="AA8" i="13" s="1"/>
  <c r="AB81" i="13" l="1"/>
  <c r="AB64" i="13"/>
  <c r="AB82" i="13" l="1"/>
  <c r="AB65" i="13"/>
  <c r="AB83" i="13" l="1"/>
  <c r="AB66" i="13"/>
  <c r="AB84" i="13" l="1"/>
  <c r="AB67" i="13"/>
  <c r="AB85" i="13" l="1"/>
  <c r="AB69" i="13"/>
  <c r="AB68" i="13"/>
  <c r="AB86" i="13" l="1"/>
  <c r="AB87" i="13" l="1"/>
  <c r="AB70" i="13"/>
  <c r="AB88" i="13" l="1"/>
  <c r="AB72" i="13"/>
  <c r="AB71" i="13"/>
  <c r="AB89" i="13" l="1"/>
  <c r="AB10" i="13" l="1"/>
  <c r="AC78" i="13"/>
  <c r="AC79" i="13" s="1"/>
  <c r="AB73" i="13"/>
  <c r="AB74" i="13" s="1"/>
  <c r="AC80" i="13" l="1"/>
  <c r="AC63" i="13"/>
  <c r="AC62" i="13"/>
  <c r="AC3" i="13"/>
  <c r="AC5" i="13" s="1"/>
  <c r="AB9" i="13"/>
  <c r="AB8" i="13" s="1"/>
  <c r="AC81" i="13" l="1"/>
  <c r="AC64" i="13"/>
  <c r="AC82" i="13" l="1"/>
  <c r="AC65" i="13"/>
  <c r="AC83" i="13" l="1"/>
  <c r="AC66" i="13"/>
  <c r="AC84" i="13" l="1"/>
  <c r="AC67" i="13"/>
  <c r="AC85" i="13" l="1"/>
  <c r="AC69" i="13"/>
  <c r="AC68" i="13"/>
  <c r="AC86" i="13" l="1"/>
  <c r="AC87" i="13" l="1"/>
  <c r="AC71" i="13"/>
  <c r="AC70" i="13"/>
  <c r="AC88" i="13" l="1"/>
  <c r="AC72" i="13"/>
  <c r="AC89" i="13" l="1"/>
  <c r="AC10" i="13" l="1"/>
  <c r="AD78" i="13"/>
  <c r="AD79" i="13" s="1"/>
  <c r="AC73" i="13"/>
  <c r="AC74" i="13" s="1"/>
  <c r="AD80" i="13" l="1"/>
  <c r="AD63" i="13"/>
  <c r="AD62" i="13"/>
  <c r="AD3" i="13"/>
  <c r="AD5" i="13" s="1"/>
  <c r="AC9" i="13"/>
  <c r="AC8" i="13" s="1"/>
  <c r="AD81" i="13" l="1"/>
  <c r="AD64" i="13"/>
  <c r="AD82" i="13" l="1"/>
  <c r="AD65" i="13"/>
  <c r="AD83" i="13" l="1"/>
  <c r="AD66" i="13"/>
  <c r="AD84" i="13" l="1"/>
  <c r="AD67" i="13"/>
  <c r="AD85" i="13" l="1"/>
  <c r="AD69" i="13"/>
  <c r="AD68" i="13"/>
  <c r="AD86" i="13" l="1"/>
  <c r="AD87" i="13" l="1"/>
  <c r="AD70" i="13"/>
  <c r="AD88" i="13" l="1"/>
  <c r="AD71" i="13"/>
  <c r="AD89" i="13" l="1"/>
  <c r="AD72" i="13"/>
  <c r="AE78" i="13" l="1"/>
  <c r="AE79" i="13" s="1"/>
  <c r="AD10" i="13"/>
  <c r="AD73" i="13"/>
  <c r="AD74" i="13" s="1"/>
  <c r="AE3" i="13" l="1"/>
  <c r="AE5" i="13" s="1"/>
  <c r="AD9" i="13"/>
  <c r="AD8" i="13" s="1"/>
  <c r="AE80" i="13"/>
  <c r="AE63" i="13"/>
  <c r="AE62" i="13"/>
  <c r="AE81" i="13" l="1"/>
  <c r="AE64" i="13"/>
  <c r="AE82" i="13" l="1"/>
  <c r="AE65" i="13"/>
  <c r="AE83" i="13" l="1"/>
  <c r="AE66" i="13"/>
  <c r="AE84" i="13" l="1"/>
  <c r="AE67" i="13"/>
  <c r="AE85" i="13" l="1"/>
  <c r="AE69" i="13"/>
  <c r="AE68" i="13"/>
  <c r="AE86" i="13" l="1"/>
  <c r="AE87" i="13" l="1"/>
  <c r="AE71" i="13"/>
  <c r="AE70" i="13"/>
  <c r="AE88" i="13" l="1"/>
  <c r="AE72" i="13"/>
  <c r="AE89" i="13" l="1"/>
  <c r="AF78" i="13" l="1"/>
  <c r="AF79" i="13" s="1"/>
  <c r="AE10" i="13"/>
  <c r="AE73" i="13"/>
  <c r="AE74" i="13" s="1"/>
  <c r="AF3" i="13" l="1"/>
  <c r="AF5" i="13" s="1"/>
  <c r="AE9" i="13"/>
  <c r="AE8" i="13" s="1"/>
  <c r="AF80" i="13"/>
  <c r="AF63" i="13"/>
  <c r="AF62" i="13"/>
  <c r="AF81" i="13" l="1"/>
  <c r="AF64" i="13"/>
  <c r="AF82" i="13" l="1"/>
  <c r="AF65" i="13"/>
  <c r="AF83" i="13" l="1"/>
  <c r="AF66" i="13"/>
  <c r="AF84" i="13" l="1"/>
  <c r="AF67" i="13"/>
  <c r="AF85" i="13" l="1"/>
  <c r="AF68" i="13"/>
  <c r="AF86" i="13" l="1"/>
  <c r="AF69" i="13"/>
  <c r="AF87" i="13" l="1"/>
  <c r="AF71" i="13"/>
  <c r="AF70" i="13"/>
  <c r="AF88" i="13" l="1"/>
  <c r="AF89" i="13" l="1"/>
  <c r="AF10" i="13" s="1"/>
  <c r="AF9" i="13" s="1"/>
  <c r="AF8" i="13" s="1"/>
  <c r="AF72" i="13"/>
  <c r="AF73" i="13" l="1"/>
  <c r="AF74" i="13" s="1"/>
</calcChain>
</file>

<file path=xl/sharedStrings.xml><?xml version="1.0" encoding="utf-8"?>
<sst xmlns="http://schemas.openxmlformats.org/spreadsheetml/2006/main" count="3600" uniqueCount="1112">
  <si>
    <t>Statistics Canada Renewable Fuel Plant Statistics, Supply and Disposition</t>
  </si>
  <si>
    <t>** Use ending stocks data as preliminary estimate for current month and replace with beginning stocks data from subsequent report.</t>
  </si>
  <si>
    <t>Adjusted Report</t>
  </si>
  <si>
    <t>Production</t>
  </si>
  <si>
    <t>Shipments</t>
  </si>
  <si>
    <t>Losses and Adjustments</t>
  </si>
  <si>
    <t>Ending Stocks</t>
  </si>
  <si>
    <t>Trade</t>
  </si>
  <si>
    <t>Feedstock Receipts</t>
  </si>
  <si>
    <t>Feedstock Used in Production</t>
  </si>
  <si>
    <t>Co-Product Production</t>
  </si>
  <si>
    <t>Co-Product Shipments</t>
  </si>
  <si>
    <t>Feedstock/Co-Products Ending Stocks</t>
  </si>
  <si>
    <t>Loss/Adjustments</t>
  </si>
  <si>
    <t>Renewable fuels</t>
  </si>
  <si>
    <t>Fuel ethanol</t>
  </si>
  <si>
    <t>Renewable fuels except fuel ethanol</t>
  </si>
  <si>
    <t>Renewable fuels, total</t>
  </si>
  <si>
    <t>Ethanol Imports</t>
  </si>
  <si>
    <t>Ethanol Exports</t>
  </si>
  <si>
    <t>Biodiesel Imports</t>
  </si>
  <si>
    <t>Biodiesel Exports</t>
  </si>
  <si>
    <t>Cereal Grains</t>
  </si>
  <si>
    <t>Vegetable Oils</t>
  </si>
  <si>
    <t>Other Renewable Feedstocks</t>
  </si>
  <si>
    <t>Other Renewable Feedstock</t>
  </si>
  <si>
    <t>Renewable fuel plant co-products, total</t>
  </si>
  <si>
    <t>Distillers grains</t>
  </si>
  <si>
    <t>Renewable fuel plant co-products except distillers grains</t>
  </si>
  <si>
    <t>Other co-products</t>
  </si>
  <si>
    <t>Renewable fuel plant co-products</t>
  </si>
  <si>
    <t>Cereal grains</t>
  </si>
  <si>
    <t>Vegetable oils</t>
  </si>
  <si>
    <t>Other renewable fuel plant feedstocks</t>
  </si>
  <si>
    <t>Distillers grains, total</t>
  </si>
  <si>
    <t>eth_can_bsto</t>
  </si>
  <si>
    <t>eth_can_prod</t>
  </si>
  <si>
    <t>eth_can_impo</t>
  </si>
  <si>
    <t>Yukon</t>
  </si>
  <si>
    <t>British Columbia*</t>
  </si>
  <si>
    <t>Northwest Terrirories</t>
  </si>
  <si>
    <r>
      <t>Alberta</t>
    </r>
    <r>
      <rPr>
        <vertAlign val="superscript"/>
        <sz val="10"/>
        <color theme="1"/>
        <rFont val="Arial Narrow"/>
        <family val="2"/>
      </rPr>
      <t>1</t>
    </r>
    <r>
      <rPr>
        <sz val="10"/>
        <color theme="1"/>
        <rFont val="Arial Narrow"/>
        <family val="2"/>
      </rPr>
      <t xml:space="preserve"> </t>
    </r>
  </si>
  <si>
    <t>Nunavut</t>
  </si>
  <si>
    <r>
      <t>Saskatchewan</t>
    </r>
    <r>
      <rPr>
        <vertAlign val="superscript"/>
        <sz val="10"/>
        <color theme="1"/>
        <rFont val="Arial Narrow"/>
        <family val="2"/>
      </rPr>
      <t>2</t>
    </r>
  </si>
  <si>
    <t>Manitoba</t>
  </si>
  <si>
    <t>Ontario</t>
  </si>
  <si>
    <t>Quebec</t>
  </si>
  <si>
    <t>Newfoundland and Labrador</t>
  </si>
  <si>
    <t>New Brunswick</t>
  </si>
  <si>
    <t>Price Edward Island</t>
  </si>
  <si>
    <t>Nova Scotia</t>
  </si>
  <si>
    <r>
      <t>Canada</t>
    </r>
    <r>
      <rPr>
        <vertAlign val="superscript"/>
        <sz val="10"/>
        <color theme="1"/>
        <rFont val="Arial Narrow"/>
        <family val="2"/>
      </rPr>
      <t>3</t>
    </r>
  </si>
  <si>
    <t>* - LCFS program started in 2013</t>
  </si>
  <si>
    <t>1 - Started April 1, 2011</t>
  </si>
  <si>
    <t>2 - Started July 1, 2012</t>
  </si>
  <si>
    <t>3 - Started on July 1, 2011</t>
  </si>
  <si>
    <t>Canadian Biofuel Mandates</t>
  </si>
  <si>
    <t>Alberta</t>
  </si>
  <si>
    <t>Saskatchewan</t>
  </si>
  <si>
    <t>British Columbia</t>
  </si>
  <si>
    <t>Ethanol</t>
  </si>
  <si>
    <t>Biomass-Based Diesel</t>
  </si>
  <si>
    <t>Start Date</t>
  </si>
  <si>
    <t>Starting in Dec 2012, 2% for Quebec, New Brunswick, Nova Scotia, and Prince Edward Island (heating oils sold in Newfoundland and Labrador are exempt) - In 2010, 5% ethanol blend</t>
  </si>
  <si>
    <t xml:space="preserve">Monthly </t>
  </si>
  <si>
    <t>Quarterly</t>
  </si>
  <si>
    <t>Annual</t>
  </si>
  <si>
    <t xml:space="preserve">Time Period </t>
  </si>
  <si>
    <t>Transfers
(Number)</t>
  </si>
  <si>
    <t>Total Volume
(Credits - MTs)</t>
  </si>
  <si>
    <t>Average Price
($ per Credit)</t>
  </si>
  <si>
    <t>Price Range
($ per Credit)</t>
  </si>
  <si>
    <t>Category A- Date of Agreement Within 6 Months Before CTP</t>
  </si>
  <si>
    <t>Category B -Date of Agreement Between 6 months to a year before CTP</t>
  </si>
  <si>
    <t>Category C- Date of Agreement Reached 1 year+ before CTP</t>
  </si>
  <si>
    <t>Category D- Transfer Reported with Zero/Net Zero</t>
  </si>
  <si>
    <t>Total Value ($)</t>
  </si>
  <si>
    <t>Min</t>
  </si>
  <si>
    <t>Max</t>
  </si>
  <si>
    <t>Transfers (Number)</t>
  </si>
  <si>
    <t>Volume (Credits)</t>
  </si>
  <si>
    <t>Average $</t>
  </si>
  <si>
    <t>-</t>
  </si>
  <si>
    <t>Q4 2015</t>
  </si>
  <si>
    <t>Q1 2016</t>
  </si>
  <si>
    <t>Q2 2016</t>
  </si>
  <si>
    <t>Q3 2016</t>
  </si>
  <si>
    <t>Q4 2016</t>
  </si>
  <si>
    <t>Q1 2017</t>
  </si>
  <si>
    <t>Q2 2017</t>
  </si>
  <si>
    <t>Q3 2017</t>
  </si>
  <si>
    <t>Q4 2017</t>
  </si>
  <si>
    <t>Q1 2018</t>
  </si>
  <si>
    <t>All Years</t>
  </si>
  <si>
    <t>Q2 2018</t>
  </si>
  <si>
    <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</si>
  <si>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</si>
  <si>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</si>
  <si>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</si>
  <si>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</si>
  <si>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</si>
  <si>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</si>
  <si>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</si>
  <si>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</si>
  <si>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</si>
  <si>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</si>
  <si>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</si>
  <si>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</si>
  <si>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</si>
  <si>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</si>
  <si>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</si>
  <si>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</si>
  <si>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</si>
  <si>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</si>
  <si>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</si>
  <si>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</si>
  <si>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</si>
  <si>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</si>
  <si>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CANADA - RENEWABLE FUEL SUPPLY AND DEMAND</t>
  </si>
  <si>
    <t>(cubic meters)</t>
  </si>
  <si>
    <t>Beginning Stocks</t>
  </si>
  <si>
    <t>Imports</t>
  </si>
  <si>
    <t xml:space="preserve">  Total Supply</t>
  </si>
  <si>
    <t>Exports</t>
  </si>
  <si>
    <t>Losses and adjustments</t>
  </si>
  <si>
    <t>Residual</t>
  </si>
  <si>
    <t xml:space="preserve">  Total Use</t>
  </si>
  <si>
    <t>Ending stocks</t>
  </si>
  <si>
    <t>PRODUCTION</t>
  </si>
  <si>
    <t>January</t>
  </si>
  <si>
    <t>February</t>
  </si>
  <si>
    <t>March</t>
  </si>
  <si>
    <t>April</t>
  </si>
  <si>
    <t>May</t>
  </si>
  <si>
    <t>June</t>
  </si>
  <si>
    <t>July</t>
  </si>
  <si>
    <t>August</t>
  </si>
  <si>
    <t>September</t>
  </si>
  <si>
    <t>October</t>
  </si>
  <si>
    <t>November</t>
  </si>
  <si>
    <t>December</t>
  </si>
  <si>
    <t xml:space="preserve">  Total</t>
  </si>
  <si>
    <t>IMPORTS</t>
  </si>
  <si>
    <t>EXPORTS</t>
  </si>
  <si>
    <t>SHIPMENTS</t>
  </si>
  <si>
    <t>LOSSES AND ADJUSTMENTS</t>
  </si>
  <si>
    <t>RESIDUAL USE</t>
  </si>
  <si>
    <t>END-OF-MONTH STOCKS</t>
  </si>
  <si>
    <t>Domestic Use</t>
  </si>
  <si>
    <t>No</t>
  </si>
  <si>
    <t>Gasolien Conumption (bil gal/yr)</t>
  </si>
  <si>
    <t>Implied Blending Rate</t>
  </si>
  <si>
    <t>Gasoline Sales Growth</t>
  </si>
  <si>
    <t>Production vs. Imports</t>
  </si>
  <si>
    <t>Production in mgy</t>
  </si>
  <si>
    <r>
      <t>IMPORTS (HS codes - 220710, 220720, divide lpa by 1,000 to get meters</t>
    </r>
    <r>
      <rPr>
        <b/>
        <vertAlign val="superscript"/>
        <sz val="8"/>
        <color theme="1"/>
        <rFont val="Avenir Next LT Pro Demi"/>
        <family val="2"/>
      </rPr>
      <t>3</t>
    </r>
    <r>
      <rPr>
        <b/>
        <sz val="8"/>
        <color theme="1"/>
        <rFont val="Avenir Next LT Pro Demi"/>
        <family val="2"/>
      </rPr>
      <t>)</t>
    </r>
  </si>
  <si>
    <t>DOMESTIC USE</t>
  </si>
  <si>
    <t>FUEL USE</t>
  </si>
  <si>
    <t>GASOLINE USE</t>
  </si>
  <si>
    <t>Co-Op Ethanol Complex</t>
  </si>
  <si>
    <t>Enerkem Alberta Biofuels LP</t>
  </si>
  <si>
    <t>Greenfield Global</t>
  </si>
  <si>
    <t>Husky Energy (Cenovus)</t>
  </si>
  <si>
    <t>IGCP Ethanol Inc</t>
  </si>
  <si>
    <t>Kawartha Ethanol Inc</t>
  </si>
  <si>
    <t>North West Pure Alcohol &amp; Sprirts</t>
  </si>
  <si>
    <t>Permolex Ltd.</t>
  </si>
  <si>
    <t>Pound-Maker Agventures Ltd.</t>
  </si>
  <si>
    <t>Suncor</t>
  </si>
  <si>
    <t>Total Capacity</t>
  </si>
  <si>
    <t>Monthly Production</t>
  </si>
  <si>
    <t>Capacity Utilization</t>
  </si>
  <si>
    <t>SK</t>
  </si>
  <si>
    <t>AB</t>
  </si>
  <si>
    <t>Chatham, ON</t>
  </si>
  <si>
    <t>Johnston, ON</t>
  </si>
  <si>
    <t>Tiverton, ON</t>
  </si>
  <si>
    <t>Varennes. QC</t>
  </si>
  <si>
    <t>Lloydminster, AB</t>
  </si>
  <si>
    <t>Minnedosa, MB</t>
  </si>
  <si>
    <t>ON</t>
  </si>
  <si>
    <t>St. Clair, ON</t>
  </si>
  <si>
    <t>cubic meters</t>
  </si>
  <si>
    <t>million gallons</t>
  </si>
  <si>
    <t>DDG Production</t>
  </si>
  <si>
    <t>Cereal Grain Use</t>
  </si>
  <si>
    <t>Corn Use</t>
  </si>
  <si>
    <t>Implied DG Yield</t>
  </si>
  <si>
    <t>Implied DCO Production</t>
  </si>
  <si>
    <t xml:space="preserve">DCO Limit </t>
  </si>
  <si>
    <t>DCO Yield (lbs/bu)</t>
  </si>
  <si>
    <t>Ethanol Production</t>
  </si>
  <si>
    <t>Ethanol Yield</t>
  </si>
  <si>
    <t>Other Grains</t>
  </si>
  <si>
    <t>Other</t>
  </si>
  <si>
    <t>Corn</t>
  </si>
  <si>
    <t>(change red to Fuel Ethanol Sheet)</t>
  </si>
  <si>
    <t>Total</t>
  </si>
  <si>
    <t>(tonnes)</t>
  </si>
  <si>
    <t>(mbu)</t>
  </si>
  <si>
    <t>(mlbs)</t>
  </si>
  <si>
    <t>(lb/bu)</t>
  </si>
  <si>
    <t>gal/bu.</t>
  </si>
  <si>
    <t>bu/gal</t>
  </si>
  <si>
    <t>tonnes/gal</t>
  </si>
  <si>
    <t>tonnes per cubic meter</t>
  </si>
  <si>
    <t>CANADA - RENEWABLE FUEL (ex. ETHANOL) SUPPLY AND DEMAND</t>
  </si>
  <si>
    <t>mmg</t>
  </si>
  <si>
    <t>.87 tonnes per cubic meters</t>
  </si>
  <si>
    <t>Stocks to Use</t>
  </si>
  <si>
    <t>Net Trade From Diesel Sales Tab</t>
  </si>
  <si>
    <t>Required for Mandate</t>
  </si>
  <si>
    <t>NONSENSE</t>
  </si>
  <si>
    <t>Q1</t>
  </si>
  <si>
    <t>Q2</t>
  </si>
  <si>
    <t>Q3</t>
  </si>
  <si>
    <t>Q4</t>
  </si>
  <si>
    <t xml:space="preserve">Total  </t>
  </si>
  <si>
    <t>Mo-Mo Change</t>
  </si>
  <si>
    <t>Yr-Yr Change</t>
  </si>
  <si>
    <t>HS Codes:</t>
  </si>
  <si>
    <t>Required to meet mandate</t>
  </si>
  <si>
    <t xml:space="preserve">Average  </t>
  </si>
  <si>
    <t>CANADA - RENEWABLE FUEL SUPPLY AND DEMAND (million gallons)</t>
  </si>
  <si>
    <t>CANADA DIESEL USE AND BLENDING RATE (million gallons)</t>
  </si>
  <si>
    <t>Diesel Use (million liters)</t>
  </si>
  <si>
    <t>Blending Rate</t>
  </si>
  <si>
    <t>EV Fleet Rate</t>
  </si>
  <si>
    <t>Feedstock Use</t>
  </si>
  <si>
    <t>U.S. gallon per cubic meter</t>
  </si>
  <si>
    <t>tonnes</t>
  </si>
  <si>
    <t>liters per gallon</t>
  </si>
  <si>
    <t>gallons per tonne</t>
  </si>
  <si>
    <t>000 gallons</t>
  </si>
  <si>
    <t xml:space="preserve">HS Codes - </t>
  </si>
  <si>
    <t>BIODIESEL IMPORTS (tonnes)</t>
  </si>
  <si>
    <t>BIODIESEL EXPORTS (tonnes)</t>
  </si>
  <si>
    <t>MISC DATA</t>
  </si>
  <si>
    <t>USDA ATTACHÉ CANADIAN BIOMASS-BASED DIESEL SUPPLY AND DEMAND (million liters)</t>
  </si>
  <si>
    <t>FEEDSTOCK USE (000 tonnes)</t>
  </si>
  <si>
    <t>Canola Oil</t>
  </si>
  <si>
    <t>Soybean Oil</t>
  </si>
  <si>
    <t>Used Cooking Oil</t>
  </si>
  <si>
    <t>Animal Fats</t>
  </si>
  <si>
    <t>FEEDSTOCK MIX</t>
  </si>
  <si>
    <t>Average Yield</t>
  </si>
  <si>
    <t>Renewable Diesel</t>
  </si>
  <si>
    <t>Biofuel Feedstock Use</t>
  </si>
  <si>
    <t xml:space="preserve">  VO Feedstocks</t>
  </si>
  <si>
    <t xml:space="preserve">  Other Feedstocks</t>
  </si>
  <si>
    <t xml:space="preserve">  VO Percent</t>
  </si>
  <si>
    <t xml:space="preserve">  Other Percent</t>
  </si>
  <si>
    <t xml:space="preserve">  Percent</t>
  </si>
  <si>
    <t xml:space="preserve">  Total Volume</t>
  </si>
  <si>
    <t>CANADIAN MONTHLY FEEDSTOCK USE</t>
  </si>
  <si>
    <t>CANOLA OIL (000 tonnes)</t>
  </si>
  <si>
    <t>SOYBEAN OIL (000 tonnes)</t>
  </si>
  <si>
    <t>USED COOKING OIL (000 tonnes)</t>
  </si>
  <si>
    <t>ANIMAL FATS (000 tonnes)</t>
  </si>
  <si>
    <t>CANADA - RENEWABLE FUEL FEEDSTOCK SUPPLY AND DEMAND</t>
  </si>
  <si>
    <t>Receipts</t>
  </si>
  <si>
    <t>Inputs</t>
  </si>
  <si>
    <t>RECEIPTS</t>
  </si>
  <si>
    <t>INPUTS</t>
  </si>
  <si>
    <t>CANADA - RENEWABLE FUEL EXCLUDING ETHANOL</t>
  </si>
  <si>
    <t>VEGETABLE OIL FEEDSTOCK SUPPLY AND DEMAND</t>
  </si>
  <si>
    <t>FEEDSTOCK SUPPLY AND DEMAND</t>
  </si>
  <si>
    <t>Total Supply</t>
  </si>
  <si>
    <t>Adjustments</t>
  </si>
  <si>
    <t xml:space="preserve">  Losses and adjustments</t>
  </si>
  <si>
    <t xml:space="preserve">  Residual</t>
  </si>
  <si>
    <t>Total Use</t>
  </si>
  <si>
    <t>IMPLIED YIELD (lbs/gal)</t>
  </si>
  <si>
    <t>3-Yr Avg.</t>
  </si>
  <si>
    <t>3-Yr Min.</t>
  </si>
  <si>
    <t>3-Yr. Max</t>
  </si>
  <si>
    <t>Jan</t>
  </si>
  <si>
    <t>Feb</t>
  </si>
  <si>
    <t>Mar</t>
  </si>
  <si>
    <t>Apr</t>
  </si>
  <si>
    <t>Jun</t>
  </si>
  <si>
    <t>Jul</t>
  </si>
  <si>
    <t>Aug</t>
  </si>
  <si>
    <t>Sep</t>
  </si>
  <si>
    <t>Oct</t>
  </si>
  <si>
    <t>Nov</t>
  </si>
  <si>
    <t>Dec</t>
  </si>
  <si>
    <t xml:space="preserve">  Average</t>
  </si>
  <si>
    <t xml:space="preserve">  Avg</t>
  </si>
  <si>
    <t>FEEDSTOCK ADJUSTMENT (tonnes)</t>
  </si>
  <si>
    <t>Biomass-Based Diesel Use</t>
  </si>
  <si>
    <t>Non-Biofuel Use</t>
  </si>
  <si>
    <t>OTHER FEEDSTOCK SUPPLY AND DEMAND</t>
  </si>
  <si>
    <t xml:space="preserve">ADM </t>
  </si>
  <si>
    <t>BIOX CORP</t>
  </si>
  <si>
    <t>CANARY BIOFUELS</t>
  </si>
  <si>
    <t>CONSOLIDATED BIOFUELS</t>
  </si>
  <si>
    <t>COWICHAN BIODIESEL CO-OP</t>
  </si>
  <si>
    <t>DRAIN BROTHERS</t>
  </si>
  <si>
    <t>DARLING / ROTHSAY</t>
  </si>
  <si>
    <t>INNOLTEK</t>
  </si>
  <si>
    <t>METHES ENERGIES INTL LTD</t>
  </si>
  <si>
    <t>MILLIGAN BIOFUELS</t>
  </si>
  <si>
    <t>NOROXEL ENERGY INC</t>
  </si>
  <si>
    <t>VERBIO DIESEL CANADA CORP</t>
  </si>
  <si>
    <t>WORLD ENERGY</t>
  </si>
  <si>
    <t>BD Capacity</t>
  </si>
  <si>
    <t>RD Capacity</t>
  </si>
  <si>
    <t>RD Percent</t>
  </si>
  <si>
    <t>Renewable Fuel Production ex. Ethanol</t>
  </si>
  <si>
    <t>Implied Monthly Production</t>
  </si>
  <si>
    <t>RD Percent of Total Capacity</t>
  </si>
  <si>
    <t>POTENTIAL FEEDSTOCK DEMAND</t>
  </si>
  <si>
    <t>FEEDSTOCK MIX BY FOGS AND VO</t>
  </si>
  <si>
    <t>FEEDSTOCK DEMAND (tonnes per month)</t>
  </si>
  <si>
    <t>REPORTED</t>
  </si>
  <si>
    <t>DIFFERENCE BETWEEN IMPLIED AND REPORTED</t>
  </si>
  <si>
    <t>Canada</t>
  </si>
  <si>
    <t>Location</t>
  </si>
  <si>
    <t>Lloydmiinster, AB</t>
  </si>
  <si>
    <t>Sombra, ON</t>
  </si>
  <si>
    <t>Lethbridge, AB</t>
  </si>
  <si>
    <t>Delta, BC</t>
  </si>
  <si>
    <t xml:space="preserve">Duncan, </t>
  </si>
  <si>
    <t>Havelock, ON</t>
  </si>
  <si>
    <t>St. Catherine, QC</t>
  </si>
  <si>
    <t>Saint-Jean-sur-Richelieu, QC</t>
  </si>
  <si>
    <t>Thetford Mines, QC</t>
  </si>
  <si>
    <t>Mississauga, ON</t>
  </si>
  <si>
    <t>Foam Lake</t>
  </si>
  <si>
    <t>Springfield, ON</t>
  </si>
  <si>
    <t>Welland, ON</t>
  </si>
  <si>
    <t>Hamilton, ON</t>
  </si>
  <si>
    <t>mmgpy</t>
  </si>
  <si>
    <t>TALLOW</t>
  </si>
  <si>
    <t>UCO</t>
  </si>
  <si>
    <t>CORN OIL</t>
  </si>
  <si>
    <t>CANOLA OIL</t>
  </si>
  <si>
    <t>SOYBEAN OIL</t>
  </si>
  <si>
    <t>TOTAL</t>
  </si>
  <si>
    <t>FOG</t>
  </si>
  <si>
    <t>VO</t>
  </si>
  <si>
    <t>Tallow</t>
  </si>
  <si>
    <t>Corn Oil</t>
  </si>
  <si>
    <t>IMPLIED YIELD</t>
  </si>
  <si>
    <t>Copy these columns to BJ and BK and then drag down columns AX-BB</t>
  </si>
  <si>
    <t>Quebec - Petroleum Products Act</t>
  </si>
  <si>
    <t>MMg/Yr</t>
  </si>
  <si>
    <t>liters</t>
  </si>
  <si>
    <t>Feedstock</t>
  </si>
  <si>
    <t>FOGs</t>
  </si>
  <si>
    <t>Tallow / UCO</t>
  </si>
  <si>
    <t>Canola/Soy Oil</t>
  </si>
  <si>
    <t>Q4 2013</t>
  </si>
  <si>
    <t>Conversion Rate (lbs/gal)</t>
  </si>
  <si>
    <t>COVENANT ENERGY LTD.</t>
  </si>
  <si>
    <t>IMPERIAL OIL / EXXONMOBIL</t>
  </si>
  <si>
    <t>FORGE / SHELL</t>
  </si>
  <si>
    <t>FEDERATED CO-OPERATIVES LIMITED</t>
  </si>
  <si>
    <t>TIDEWATER MIDSTREAM</t>
  </si>
  <si>
    <t>Parkland</t>
  </si>
  <si>
    <t>FID</t>
  </si>
  <si>
    <t>CIELO</t>
  </si>
  <si>
    <t>TOTAL CAPACITY</t>
  </si>
  <si>
    <t>CAPACITY UTILIZATION</t>
  </si>
  <si>
    <t>FEEDSTOCK DEMAND (tonnes per month, yield in lbs/gal)</t>
  </si>
  <si>
    <t>Estevan, SK</t>
  </si>
  <si>
    <t>Edmonton, SK</t>
  </si>
  <si>
    <t>Regina, BC</t>
  </si>
  <si>
    <t>Prince George, BC</t>
  </si>
  <si>
    <t>Aldersyde, AB</t>
  </si>
  <si>
    <t>Fort Saskatchewan, AB</t>
  </si>
  <si>
    <t>CORN OIIL</t>
  </si>
  <si>
    <t>Canola/Soybean Oil</t>
  </si>
  <si>
    <t>Wood Waste</t>
  </si>
  <si>
    <t>Wood Waste - Plastic Waste</t>
  </si>
  <si>
    <t>Waste</t>
  </si>
  <si>
    <t>2023?</t>
  </si>
  <si>
    <t>2026?</t>
  </si>
  <si>
    <t>CANADIAN BIOMASS-BASED DIESEL PRODUCTION (million gallons)</t>
  </si>
  <si>
    <t>BIODIESEL PRODUCTION</t>
  </si>
  <si>
    <t>RENEWABLE DIESEL PRODUCTION</t>
  </si>
  <si>
    <t>CANADA NET SALES OF DIESEL OIL (million gallons)</t>
  </si>
  <si>
    <t>Canada Total</t>
  </si>
  <si>
    <t xml:space="preserve">  Excluded Volumes</t>
  </si>
  <si>
    <t>Total Volume Subject to Mandate</t>
  </si>
  <si>
    <t>Additional Provincial Volumes Required</t>
  </si>
  <si>
    <t>Total Volume Required to Meet Mandates</t>
  </si>
  <si>
    <t>Biomass-Based Diesel Production</t>
  </si>
  <si>
    <t>Net Trade</t>
  </si>
  <si>
    <t>Consumption</t>
  </si>
  <si>
    <t>Implied Blend Rate</t>
  </si>
  <si>
    <t>Diesel Sales</t>
  </si>
  <si>
    <t xml:space="preserve">  Mandate</t>
  </si>
  <si>
    <t xml:space="preserve">  Required Volume</t>
  </si>
  <si>
    <t>Prince Edward Island</t>
  </si>
  <si>
    <t>Northwest Territories</t>
  </si>
  <si>
    <t>Operational HVO Biorefineries</t>
  </si>
  <si>
    <t>Owner</t>
  </si>
  <si>
    <t>Technology</t>
  </si>
  <si>
    <t>Capacity (Mtons/Year)</t>
  </si>
  <si>
    <t>Gallons Per Year</t>
  </si>
  <si>
    <t>Probability</t>
  </si>
  <si>
    <t>Status</t>
  </si>
  <si>
    <t>REG</t>
  </si>
  <si>
    <t>Geismar, Louisiana (USA)</t>
  </si>
  <si>
    <t>BioSynfining</t>
  </si>
  <si>
    <t>Diamond Green Diesel</t>
  </si>
  <si>
    <t>Norco, Louisiana (USA)</t>
  </si>
  <si>
    <t>Ecofining</t>
  </si>
  <si>
    <t>World Energy</t>
  </si>
  <si>
    <t>Paramount, California</t>
  </si>
  <si>
    <t>Ecofining -Revamp of a petro refinery</t>
  </si>
  <si>
    <t>Early 2016</t>
  </si>
  <si>
    <t>Sinclair</t>
  </si>
  <si>
    <t>Casper, WY US</t>
  </si>
  <si>
    <t>Expanded to 115 mmgy and adding pre-treatment</t>
  </si>
  <si>
    <t>pre-treat expected complete mid 2022</t>
  </si>
  <si>
    <t>Jaxon Energy LLC</t>
  </si>
  <si>
    <t>Jackson MS, US</t>
  </si>
  <si>
    <t>Marathon - Dickinson</t>
  </si>
  <si>
    <t>Dickinson, North Dakota (USA)</t>
  </si>
  <si>
    <t>Hydroflex - revamp of existing unit</t>
  </si>
  <si>
    <t>late 2020</t>
  </si>
  <si>
    <t>80/20 sbo/DCO feedstock mix</t>
  </si>
  <si>
    <t>East Kansas Agri-Energy</t>
  </si>
  <si>
    <t>Garnett, Kansas</t>
  </si>
  <si>
    <t>Distillers Corn Oil</t>
  </si>
  <si>
    <t>Co-Processing HVO Biorefineries</t>
  </si>
  <si>
    <t>BP</t>
  </si>
  <si>
    <t>US Washington State, Cherry Point</t>
  </si>
  <si>
    <t>Kern Oil</t>
  </si>
  <si>
    <t>Bakersfield, CA</t>
  </si>
  <si>
    <t>Chevron</t>
  </si>
  <si>
    <t>El Segundo, CA</t>
  </si>
  <si>
    <t>Year end 2021 - see under construction/planned</t>
  </si>
  <si>
    <t>HVO Biorefineries Under Construction or Planned</t>
  </si>
  <si>
    <t>Ryze Renewables</t>
  </si>
  <si>
    <t>Las Vegas, Nevada (USA)</t>
  </si>
  <si>
    <t>revamping of an existing unit</t>
  </si>
  <si>
    <t>Undetermined</t>
  </si>
  <si>
    <t>NEXT Renewable Fuels</t>
  </si>
  <si>
    <t>Port Westward Industrial Park Oregon (USA)</t>
  </si>
  <si>
    <t>Planned 2022</t>
  </si>
  <si>
    <t>Global Clean Energy</t>
  </si>
  <si>
    <t>Bakersfield, CA USA</t>
  </si>
  <si>
    <t>HydroFlex process technology</t>
  </si>
  <si>
    <t>proprietary camelina, waste fats, UCO, SBO, DCO</t>
  </si>
  <si>
    <t>Emerald Biofuel</t>
  </si>
  <si>
    <t>Port Arthur, TX</t>
  </si>
  <si>
    <t>TBA</t>
  </si>
  <si>
    <t>ReadiFuels</t>
  </si>
  <si>
    <t>Hull, IA</t>
  </si>
  <si>
    <t>ISOCONVERSION</t>
  </si>
  <si>
    <t>Late 2020/2021</t>
  </si>
  <si>
    <t>Yellow grease, brown grease, animal fats, non-food energy crop oils, and algal oil</t>
  </si>
  <si>
    <t>HollyFrontier</t>
  </si>
  <si>
    <t>Artesia, New Mexico USA</t>
  </si>
  <si>
    <t>Cheyenne, WY USA</t>
  </si>
  <si>
    <t>Fulcrum Bioenergy</t>
  </si>
  <si>
    <t>Sierra, Nevada USA</t>
  </si>
  <si>
    <t>Municipal Solid Waste</t>
  </si>
  <si>
    <t>Gary, Indiana</t>
  </si>
  <si>
    <t>2022/2023</t>
  </si>
  <si>
    <t>CVR Refining</t>
  </si>
  <si>
    <t>Wynnewood, OK</t>
  </si>
  <si>
    <t>6/30/21, Delayed until July, Aug 3 - Delayed to "September time frame"</t>
  </si>
  <si>
    <t>Marathon Petroleum</t>
  </si>
  <si>
    <t>Martinez, CA</t>
  </si>
  <si>
    <t>75% phase1 50% P2</t>
  </si>
  <si>
    <t>Q2 2021 - not yet disclosing feedstoc mix</t>
  </si>
  <si>
    <t>Seaboard Energy</t>
  </si>
  <si>
    <t>Hugoton, Kansas</t>
  </si>
  <si>
    <t xml:space="preserve"> Haldor Topsoe’s HydroFlex tech</t>
  </si>
  <si>
    <t>Q1 2022 maybe Q4 2021</t>
  </si>
  <si>
    <t>Phillips 66</t>
  </si>
  <si>
    <t>San Francisco, CA - Rodeo Jr</t>
  </si>
  <si>
    <t>Soybean oil</t>
  </si>
  <si>
    <t>San Francisco, CA - Rodeo Refinery</t>
  </si>
  <si>
    <t>8k bpd q2'22, 50+k q1'24</t>
  </si>
  <si>
    <t>80% to be harder to process -UCO, Tallow, etc</t>
  </si>
  <si>
    <t>Exp Start Q2/Q3 2023</t>
  </si>
  <si>
    <t>LanzaJet/(backed by Suncor/Mitsui)</t>
  </si>
  <si>
    <t>Demonstration Plant  - Soperton, Georgia</t>
  </si>
  <si>
    <t>Exp Start Early 2022</t>
  </si>
  <si>
    <t>Coffeyville, KS</t>
  </si>
  <si>
    <t>Grön Fuels/Fidelis Infrastructure</t>
  </si>
  <si>
    <t>Port of Greater Baton rouge, LA</t>
  </si>
  <si>
    <t>Final invest decision exp 2021; 1st phase 2024? 60k bpd</t>
  </si>
  <si>
    <t>Soy, Canola, Tallow, UCO, DCO</t>
  </si>
  <si>
    <t>Red Rock Biofuels</t>
  </si>
  <si>
    <t>Lakeview, OR - USA</t>
  </si>
  <si>
    <t>Gasification, Fischer-Tropsch</t>
  </si>
  <si>
    <t>Woody Biomass-Slash, Pre Commercial Trimmings</t>
  </si>
  <si>
    <t>PBF Energy</t>
  </si>
  <si>
    <t>Chalamette, LA - USA</t>
  </si>
  <si>
    <t>4/29/21 Investment Decision expected in coming months</t>
  </si>
  <si>
    <t>Supposedly "any RD feedstock"</t>
  </si>
  <si>
    <t>Northwest Advanced Biofuels</t>
  </si>
  <si>
    <t>WA State</t>
  </si>
  <si>
    <t>Calumet Specialty Products</t>
  </si>
  <si>
    <t>Great Falls, MT</t>
  </si>
  <si>
    <t>El Segundo, CA - This will move to Co-processing at year end</t>
  </si>
  <si>
    <t>Cargill/Loves - Heartwell Renewables</t>
  </si>
  <si>
    <t>Hastings, Nebraska</t>
  </si>
  <si>
    <t>Tallow 70%</t>
  </si>
  <si>
    <t>Strategic Biofuel</t>
  </si>
  <si>
    <t>Port of Columbia in Caldwell Parish, Louisiana</t>
  </si>
  <si>
    <t>Q1 2025</t>
  </si>
  <si>
    <t>Pine Trees</t>
  </si>
  <si>
    <t>Vertex</t>
  </si>
  <si>
    <t xml:space="preserve">Mobile, Alabama - old Shell Refinery Transaction </t>
  </si>
  <si>
    <t xml:space="preserve">10kbpd end of 2022 </t>
  </si>
  <si>
    <t>Animal Tallow and Veg Oils</t>
  </si>
  <si>
    <t>SAFuels X - AIC Energy</t>
  </si>
  <si>
    <t xml:space="preserve">Williams County/Buford Township North Dakota </t>
  </si>
  <si>
    <t>Attempted Bakken Biofuel Refinery 2018</t>
  </si>
  <si>
    <t>Permitting stage (suspicious)</t>
  </si>
  <si>
    <t>Soybean oil, Canola Oil</t>
  </si>
  <si>
    <t>Aemetis Carbon Zero 1 Plant</t>
  </si>
  <si>
    <t>Rvierbank, CA - former US Army Ammo Plant</t>
  </si>
  <si>
    <t xml:space="preserve">Axens Vegan® Renewable Hydroprocessing </t>
  </si>
  <si>
    <t>Five-Year Plan</t>
  </si>
  <si>
    <t>Converts Renewable biomass to ren Hydro</t>
  </si>
  <si>
    <t>Slate/Starwood</t>
  </si>
  <si>
    <t>Douglas, Wyoming</t>
  </si>
  <si>
    <t>Planning Stage</t>
  </si>
  <si>
    <t>Unknown</t>
  </si>
  <si>
    <t>HVO Biorefineries Expansions</t>
  </si>
  <si>
    <t>Completed Q3 2021, in process of starting up (Started 10/17/21)</t>
  </si>
  <si>
    <t>Alt-Air Paramount CA</t>
  </si>
  <si>
    <t>Under Construction. 2022 expected completion</t>
  </si>
  <si>
    <t>REG - Geismar</t>
  </si>
  <si>
    <t>construction to begin mid/late 2021 and be fully operational in 2024</t>
  </si>
  <si>
    <t>Annunced 10/4/21 - Completion in 2022 (Q4?)</t>
  </si>
  <si>
    <t>Total Opertional</t>
  </si>
  <si>
    <t>Total Co-processing</t>
  </si>
  <si>
    <t>Total Under Construction/Planned</t>
  </si>
  <si>
    <t>Total Expansion</t>
  </si>
  <si>
    <t>Grand Total</t>
  </si>
  <si>
    <t>75%/50%</t>
  </si>
  <si>
    <t>El Segunda, CA</t>
  </si>
  <si>
    <t>Slate Press Release</t>
  </si>
  <si>
    <t>Diamond Green LA</t>
  </si>
  <si>
    <t>Originally found on Diesel Markets Spreadsheet</t>
  </si>
  <si>
    <t>Diamond Green Diesel - St. Charles Norco</t>
  </si>
  <si>
    <t>Q2 2021 - DGD 2 on budget and scheduled to be operational mid Q4 2021</t>
  </si>
  <si>
    <t>Diamond Green - Expansion</t>
  </si>
  <si>
    <t>REG Expansion</t>
  </si>
  <si>
    <t>Paramount-Alt Air - World Energy</t>
  </si>
  <si>
    <t>tech tallow</t>
  </si>
  <si>
    <t>Paramount Expansion</t>
  </si>
  <si>
    <t>According to HF Q2 2021 earinings - Sin recently expanded to 10,000 barrels per day and is adding pretreatment</t>
  </si>
  <si>
    <t>From Ryan:</t>
  </si>
  <si>
    <t>I’m hearing Marathon may be quietly offering RBD back into the market to offload some of their position. I’m hearing anywhere from Jan to mid-Feb on their fireup. No word on the corn oil yet, Beatrice has a lot of storage but not sure that they had bought that much to begin with. Varying rumors on what the plant issues are – delays in putting the catalyst in to “they haven’t even figured out how to run RBD through there yet, how are they going to use corn oil”</t>
  </si>
  <si>
    <t>Jaxon</t>
  </si>
  <si>
    <t>Marathon Dickinson ND</t>
  </si>
  <si>
    <t>Late 2020/2021 startup</t>
  </si>
  <si>
    <t> will process refined soy oil and other organically derived feedstocks, by December 2020</t>
  </si>
  <si>
    <t>https://www.marathonpetroleum.com/Operations/Refining/Dickinson-Refinery/</t>
  </si>
  <si>
    <t>Cielo - Aldersyde, Alberta Cananda</t>
  </si>
  <si>
    <t>East Kansas Agri-Energy LLC</t>
  </si>
  <si>
    <t>Rumored Domestic Production</t>
  </si>
  <si>
    <t>Likely to Open on time?</t>
  </si>
  <si>
    <t>Ryze (P66) Las Vegas NV</t>
  </si>
  <si>
    <t>Maybe - Chris Dancy said 2021 via call.</t>
  </si>
  <si>
    <t>Multi</t>
  </si>
  <si>
    <t>Out</t>
  </si>
  <si>
    <t>Ryze (P66) Reno, NV</t>
  </si>
  <si>
    <t>Next Fuels Portland OR (Neste) (BP/Shell)</t>
  </si>
  <si>
    <t>Assorted</t>
  </si>
  <si>
    <r>
      <t>Feedstock will include white and brown grease, several types of animal tallow and a variety of vegetable oils. </t>
    </r>
    <r>
      <rPr>
        <i/>
        <sz val="11"/>
        <color theme="1"/>
        <rFont val="Lato"/>
        <family val="2"/>
      </rPr>
      <t>NEXT will NOT use virgin palm oil</t>
    </r>
    <r>
      <rPr>
        <sz val="11"/>
        <color theme="1"/>
        <rFont val="Lato"/>
        <family val="2"/>
      </rPr>
      <t>. These feedstocks will be sourced from locations around the world and delivered to Port Westward by ship. NEXThas entered into a feedstock supply agreement designed to help keep the feedstock’s life cycle carbon intensity (CI), which includes transport, as low as possible. To the extent that NEXT could periodically source lower-CI feedstock outside of this agreement, NEXT has the right to do so.</t>
    </r>
  </si>
  <si>
    <t>https://nextrenewables.com/faq</t>
  </si>
  <si>
    <t>ReadiFuels IA (Chevron)</t>
  </si>
  <si>
    <t>DCO - Initially</t>
  </si>
  <si>
    <t>HollyFrontier - New Mexico - Artesia</t>
  </si>
  <si>
    <t>Fulcrum Seirra Nevada</t>
  </si>
  <si>
    <t>MSW</t>
  </si>
  <si>
    <t>Fulcrum Gary Indiana</t>
  </si>
  <si>
    <t>HollyFrontier - Cheyenne Refinery</t>
  </si>
  <si>
    <t>CVR Wynnewood</t>
  </si>
  <si>
    <t>SBO</t>
  </si>
  <si>
    <t>David lamp CEO - the main part of this project really is installing the facilities to be able to bring in bean oil and take out renewable diesel to California. - we're also keeping the complexity down here by going after Washington refined soybean oil</t>
  </si>
  <si>
    <t>CVR Coffeyville, KS</t>
  </si>
  <si>
    <t>Seaboard - Houghton KS</t>
  </si>
  <si>
    <t>Marathon - Martinez Phase One</t>
  </si>
  <si>
    <t>17bpd 2nd half of '22; 48k bpd by end '23</t>
  </si>
  <si>
    <t>Marathon - Martinez Phase two</t>
  </si>
  <si>
    <t>Global Clean Energy Holdings - Bakersfield CA</t>
  </si>
  <si>
    <t> GCEH will immediately commence retooling the refinery to produce renewable diesel from organic feedstocks such as vegetable oils. The facility, when repurposed as a renewable fuels refinery, will vertically integrate to produce renewable diesel from various feedstocks, including GCEH’s patented proprietary fallow land crop varieties of camelina. Traditionally, grown in rotation with wheat, camelina is cultivated as an alternative to fallow so as not to displace or compete with food crops. The balance of feedstock will be provided from various non-petroleum renewable feedstocks, such as used cooking oil, soybean oil, distillers’ corn oil, and others.</t>
  </si>
  <si>
    <t>Veg Oil - also UCO, DCO and others</t>
  </si>
  <si>
    <t>P66 - Rodeo Refinery SF</t>
  </si>
  <si>
    <t>Operational 2024 https://karmaimpact.com/phillips-66-seeks-to-convert-oil-refinery-into-worlds-largest-biofuels-facility/</t>
  </si>
  <si>
    <t>The Rodeo plant is well suited for conversion because of its dock and rail access for receiving the tallows, vegetable oils and used cooking oils that will feed into plant, Nik Weinberg-Lynn, manager of renewable energy projects at Phillips 66, said by phone. The facility has two hydrocrackers that are important to the conversion process as well a plentiful supply of hydrogen.</t>
  </si>
  <si>
    <t>https://www.herald-dispatch.com/business/massive-refiners-are-turning-into-biofuel-plants-in-the-west/article_d866ef72-1bd9-5d6d-ae59-a5899364c00d.html</t>
  </si>
  <si>
    <t>P66 - Rodeo Jr.</t>
  </si>
  <si>
    <t>Red Rock Biofuel</t>
  </si>
  <si>
    <t>LanzaJet, Inc - Suncor/Mitui</t>
  </si>
  <si>
    <t>Emerald One</t>
  </si>
  <si>
    <t>Diamond Green Diesel - Port Arthur</t>
  </si>
  <si>
    <t>Q2 2021 - operational H! 2023 - will bring total DGD capacity to 1.2 bgy and 50 mgy naphtha</t>
  </si>
  <si>
    <t>Cielo - 5 MOU's Canada</t>
  </si>
  <si>
    <t>Forge/Shell Ventures Sombra Ontario Canada</t>
  </si>
  <si>
    <t>Cargill/Loves - Hastings Nebraska</t>
  </si>
  <si>
    <t>Strategic Biofuels Louisiana</t>
  </si>
  <si>
    <t>PBF - Charlemette, La</t>
  </si>
  <si>
    <t>Q2 2021 - Awaiting final investment decision - plan is to develop 20k barrel per day RD Facility with pre - treatment unit</t>
  </si>
  <si>
    <t>Vertex - Alabama refinery previously owned by Shell</t>
  </si>
  <si>
    <t>SAFuels X - AIC Energy Corp</t>
  </si>
  <si>
    <t>Email from Calumet</t>
  </si>
  <si>
    <t>Calumet</t>
  </si>
  <si>
    <t>9800 bpd feedstock Soy, DCO, UCO, Tallow, Canola</t>
  </si>
  <si>
    <t>In 2022 we’ll start up at 5500 bpd, and ramp to 12000 bpd.  In 2024 we’ll expand beyond that.</t>
  </si>
  <si>
    <t>Northwest Advance Biofuels</t>
  </si>
  <si>
    <t>The RD yield from feedstock is over 90%.</t>
  </si>
  <si>
    <t>Slate/Starwood - Douglas, Wyo</t>
  </si>
  <si>
    <t>Aemetis Carbon Zero 1</t>
  </si>
  <si>
    <t>Co-Processing - Domestic</t>
  </si>
  <si>
    <t>BP Cherry Point</t>
  </si>
  <si>
    <t>Parkland - Burnaby Canada</t>
  </si>
  <si>
    <t>Chevron - El Segundo, CA</t>
  </si>
  <si>
    <t>Supposedly 10k bpd at end of 2021</t>
  </si>
  <si>
    <t>Total of just RD</t>
  </si>
  <si>
    <t>Total of Totals</t>
  </si>
  <si>
    <t>70% US plus 70% Neste Singapore</t>
  </si>
  <si>
    <t>Refiner Interest</t>
  </si>
  <si>
    <t>Chevron - co-processing in CA somewhere - El Sagundo</t>
  </si>
  <si>
    <t>estimate</t>
  </si>
  <si>
    <t>Cherry Point - exp</t>
  </si>
  <si>
    <t>Percentage Increase</t>
  </si>
  <si>
    <t>From 2020</t>
  </si>
  <si>
    <t>Foreign RD</t>
  </si>
  <si>
    <t>Neste Singapore</t>
  </si>
  <si>
    <t>Neste Denmark/Rotterdam</t>
  </si>
  <si>
    <t>EU</t>
  </si>
  <si>
    <t>Neste Finland 1</t>
  </si>
  <si>
    <t>Neste Finland 2</t>
  </si>
  <si>
    <t>Preem (Co-Pro exp to RD)</t>
  </si>
  <si>
    <t>UPM Finland (Lappeenranta)</t>
  </si>
  <si>
    <t>ENI Venice (Porto Marghera)</t>
  </si>
  <si>
    <t>ENI (Sicily Gela Expansion)</t>
  </si>
  <si>
    <t>China Sinopec</t>
  </si>
  <si>
    <t>Total La Mede - France</t>
  </si>
  <si>
    <t>Phillips 66 - Lincolnshire, UK</t>
  </si>
  <si>
    <t>Cepsa (Co-processing)</t>
  </si>
  <si>
    <t>Repsol (Co-processing)</t>
  </si>
  <si>
    <t>Galp (Co-processing)</t>
  </si>
  <si>
    <t>Saras (Co-pro) currently 100K MT, expand w/o CAPEX to 150, ex 250 small capex</t>
  </si>
  <si>
    <t>Rumored  Production - Foreign</t>
  </si>
  <si>
    <t>Total Grandpuits - France</t>
  </si>
  <si>
    <t>UPM FEL-3 (Decision to grow by 5x - open ended)</t>
  </si>
  <si>
    <t>Extracte Lur - Capparroso Spain</t>
  </si>
  <si>
    <t>ST1</t>
  </si>
  <si>
    <t>ECB Group (Omega Green Project)</t>
  </si>
  <si>
    <t>KLM, SkyNRG &amp; SHV (DSL-01 Project)</t>
  </si>
  <si>
    <t>Repsol</t>
  </si>
  <si>
    <t>Colabitoil</t>
  </si>
  <si>
    <t>Fintoil Oy</t>
  </si>
  <si>
    <t>Haltman Carless - Speyer Germany</t>
  </si>
  <si>
    <t>AgbioEn - Katunga Austrailia</t>
  </si>
  <si>
    <t>Co-Processing - Foreign (Co-pro combined with current above)</t>
  </si>
  <si>
    <t>UK</t>
  </si>
  <si>
    <t>Estimated EU Nameplate HVO Capacity 2019 USDA Gain</t>
  </si>
  <si>
    <t>5,000 million liters</t>
  </si>
  <si>
    <t>Gallons</t>
  </si>
  <si>
    <t>USDA estimates 60% capacity</t>
  </si>
  <si>
    <t>Combined Capacity (Domestic &amp; Foreign)</t>
  </si>
  <si>
    <t>US RD plus Singapore</t>
  </si>
  <si>
    <t>Existing</t>
  </si>
  <si>
    <t>Under Construction/Planned</t>
  </si>
  <si>
    <t>Co-processing</t>
  </si>
  <si>
    <t>Total Existing</t>
  </si>
  <si>
    <t>Total Planned</t>
  </si>
  <si>
    <t>Total Domestic if 30% is exported</t>
  </si>
  <si>
    <t>Neste Imports on a declining basis</t>
  </si>
  <si>
    <t>Total Including Neste Imports and Accounting for Export</t>
  </si>
  <si>
    <t>east kansas rd plant 2016</t>
  </si>
  <si>
    <t>Neste port westword OR</t>
  </si>
  <si>
    <t>1 cubic meter = 264.172 US gallons</t>
  </si>
  <si>
    <t xml:space="preserve">gallons </t>
  </si>
  <si>
    <t>Convert Barrels to Gallons</t>
  </si>
  <si>
    <t>Convert MT to Gallons</t>
  </si>
  <si>
    <t>Nameplate Capacity</t>
  </si>
  <si>
    <t>1 liter equals</t>
  </si>
  <si>
    <t>1 barrel</t>
  </si>
  <si>
    <t>42 gallons</t>
  </si>
  <si>
    <t>Gal to MT</t>
  </si>
  <si>
    <t>gallons per MT</t>
  </si>
  <si>
    <t xml:space="preserve">Biodiesel </t>
  </si>
  <si>
    <t>300 Gallons</t>
  </si>
  <si>
    <t>DGD</t>
  </si>
  <si>
    <t>PBF 17,500bd</t>
  </si>
  <si>
    <t>RD</t>
  </si>
  <si>
    <t>340 Gallons</t>
  </si>
  <si>
    <t>ULSD</t>
  </si>
  <si>
    <t>315 Gallons</t>
  </si>
  <si>
    <t>Refiniery Address</t>
  </si>
  <si>
    <t>ECB 20,000</t>
  </si>
  <si>
    <t>c</t>
  </si>
  <si>
    <t>Cielo</t>
  </si>
  <si>
    <t>Aldersyde, Alberta Canada</t>
  </si>
  <si>
    <t>Thermo-catalytic depolymerization TCD</t>
  </si>
  <si>
    <t>Began Late 2020</t>
  </si>
  <si>
    <t>Municipal Solid Waste, Plastic, Tires, Wood</t>
  </si>
  <si>
    <t>Grön 1st ph</t>
  </si>
  <si>
    <t>x</t>
  </si>
  <si>
    <t>36187 Louisiana 30 W, Geismar, LA 70734</t>
  </si>
  <si>
    <t>Domestic</t>
  </si>
  <si>
    <t>14891 E Airline Hwy, Norco, LA 70079</t>
  </si>
  <si>
    <t>14700 Downey Ave, Paramount, CA 90723</t>
  </si>
  <si>
    <t>5700 East, Highway 20-26, Casper, WY 82609</t>
  </si>
  <si>
    <t>455 Industrial Dr, Jackson, Mississippi 39209, US</t>
  </si>
  <si>
    <t>Reached full capacity in Q2 of '21</t>
  </si>
  <si>
    <t>64 10th Ave E, Dickinson, ND 58601</t>
  </si>
  <si>
    <t>Neste</t>
  </si>
  <si>
    <t>Kilpilahti, Porvoo (Finland) - Two Plants</t>
  </si>
  <si>
    <t>Nexbtl</t>
  </si>
  <si>
    <t>1 - 2007, 2-2009</t>
  </si>
  <si>
    <t>Porvoon refinery P.O. Box  310 06101 Porvoo FINLAND</t>
  </si>
  <si>
    <t>Export</t>
  </si>
  <si>
    <t>Tuas Industrial Area Singapore (Singapore)</t>
  </si>
  <si>
    <t>Tuas South Lane Singapore 637301</t>
  </si>
  <si>
    <t>Rotterdam (The Netherlands)</t>
  </si>
  <si>
    <t>Antarcticaweg 185, 3199 KA Maasvlakte Rotterdam, Netherlands</t>
  </si>
  <si>
    <t>ENI</t>
  </si>
  <si>
    <t>Porto Marghera, Venice (Italy)</t>
  </si>
  <si>
    <t xml:space="preserve"> Via dei Petroli 4, 30175 Porto Marghera, Venezia</t>
  </si>
  <si>
    <t>UPM Biofuels</t>
  </si>
  <si>
    <t>Lappeenranta (Finland)</t>
  </si>
  <si>
    <t>UPM BioVerno</t>
  </si>
  <si>
    <t>Wood pulp, tall oil</t>
  </si>
  <si>
    <t>Puuportintie 188, 53200 Lappeenranta, Finland</t>
  </si>
  <si>
    <t>La Mède (France)</t>
  </si>
  <si>
    <t>Vegan - Revamp of a petro refinery</t>
  </si>
  <si>
    <t>HVO</t>
  </si>
  <si>
    <t>Total Raffinage France Plateforme de La Mède BP 90020, 13220 Châteauneuf-les-Martigues, France</t>
  </si>
  <si>
    <t>first in the U.K. to convert waste oil into road fuel</t>
  </si>
  <si>
    <t>Gela (Italy)</t>
  </si>
  <si>
    <t>vegetable oil, frying oil, fats, algae and waste</t>
  </si>
  <si>
    <t>Eni Spa Divisione Refining &amp; Marketing, SS115, 285, 93012 Gela CL, Italy</t>
  </si>
  <si>
    <t>Import</t>
  </si>
  <si>
    <t>Sinopec</t>
  </si>
  <si>
    <t>Ningbo City, China</t>
  </si>
  <si>
    <t>Zhenhai District, Ningbo City, 315207 Zhejiang Province</t>
  </si>
  <si>
    <t>operational</t>
  </si>
  <si>
    <t>Co-pro</t>
  </si>
  <si>
    <t>planned</t>
  </si>
  <si>
    <t>Total Domestic</t>
  </si>
  <si>
    <t>Expansion</t>
  </si>
  <si>
    <t>Operational Plants Co-processing HVO</t>
  </si>
  <si>
    <t>Gunvor</t>
  </si>
  <si>
    <t>rotterdam refinery</t>
  </si>
  <si>
    <t>Fuel Heading to LCFS States</t>
  </si>
  <si>
    <t>California</t>
  </si>
  <si>
    <t>4519 Grandview Rd, Blaine, WA 98230</t>
  </si>
  <si>
    <t>Oregon</t>
  </si>
  <si>
    <t>7724 E Panama Ln #9210, Bakersfield, CA 93307</t>
  </si>
  <si>
    <t>Canada, Burnaby</t>
  </si>
  <si>
    <t>Burnaby, BC V5C 1L7, Canada</t>
  </si>
  <si>
    <t>DGD &amp; REG data from Quarterly Reports</t>
  </si>
  <si>
    <t>Preem</t>
  </si>
  <si>
    <t>Gothenburg (Sweden)</t>
  </si>
  <si>
    <t>Raffinaderivägen 25, 418 79 Göteborg, Sweden</t>
  </si>
  <si>
    <t>GPD thru 9/30</t>
  </si>
  <si>
    <t>Cepsa (several refineries)</t>
  </si>
  <si>
    <t>Spain (La Rabida) (Huelva &amp; Algeciras per another source)</t>
  </si>
  <si>
    <t>Calle Transversal A, 48, 21810 Palos de la Frontera, Huelva, Spain</t>
  </si>
  <si>
    <t xml:space="preserve">DGD </t>
  </si>
  <si>
    <t>Repsol (several refineries)</t>
  </si>
  <si>
    <t>Spain (Bilbao and Cartegena) (Plus, La Caruña, Tarragona add source)</t>
  </si>
  <si>
    <t>HVO, biojet</t>
  </si>
  <si>
    <t>Camí les Hortes, 2, 43140 La Pobla de Mafumet, Tarragona, Spain</t>
  </si>
  <si>
    <t>Galp</t>
  </si>
  <si>
    <t>Sines (Portugal)</t>
  </si>
  <si>
    <t>Sines, Portugal</t>
  </si>
  <si>
    <t>Saras</t>
  </si>
  <si>
    <t>Sarroch Sardinia, Italy</t>
  </si>
  <si>
    <t>SS 195, km 19,500, 09018 Sarroch CA, Italy</t>
  </si>
  <si>
    <t>DGD is Producing over Nameplate Capacity</t>
  </si>
  <si>
    <t>Humber Refinery - South Killingholme, North Lincolnshire, UK</t>
  </si>
  <si>
    <t>Humber, we're making about 1,000 barrels a day of renewable diesel, going about 4,000 to 5,000 barrels a day here shortly.</t>
  </si>
  <si>
    <t>Humber Refinery, Eastfield Rd, South Killingholme, Immingham DN40 3DW, UK</t>
  </si>
  <si>
    <t>1k bpd Since 2018, 3k begin 1/2021, 5k by 2024</t>
  </si>
  <si>
    <t>Third Party Sales</t>
  </si>
  <si>
    <t>HVO Biorefineries Under Construction and/or Planned</t>
  </si>
  <si>
    <t>Renewable U/Cielo Waste</t>
  </si>
  <si>
    <t>Nova Scotia, Alberta, Calgary</t>
  </si>
  <si>
    <t>TBA - Summer 2022 to 2023 per Webinar, Dunbar first</t>
  </si>
  <si>
    <t>466 Ave E, Aldersyde AB, T0L 0A0</t>
  </si>
  <si>
    <t>Pleasant St, Dartmouth, NS B2W 1B4, Canada</t>
  </si>
  <si>
    <t>Reno, Nevada (USA)</t>
  </si>
  <si>
    <t>No longer moving forward</t>
  </si>
  <si>
    <t>Peru Dr, Sparks, NV 89437</t>
  </si>
  <si>
    <t>Peru Dr, Sparks, NV 89438</t>
  </si>
  <si>
    <t>100 E St, Columbia City, OR 97018</t>
  </si>
  <si>
    <t>Phillips 66/REG</t>
  </si>
  <si>
    <t>Adjacent to Phillips 66 Ferndale Washington State (USA)</t>
  </si>
  <si>
    <t>Abandoned</t>
  </si>
  <si>
    <t>3901 Unick Rd, Ferndale, WA 98248</t>
  </si>
  <si>
    <t>100 W Broadway # 650, Long Beach, CA 90802</t>
  </si>
  <si>
    <t>2555 Savannah Ave, Port Arthur, TX 77640</t>
  </si>
  <si>
    <t>Sioux County, IA</t>
  </si>
  <si>
    <t>1602 W Main St, Artesia, NM 88210</t>
  </si>
  <si>
    <t>300 Morrie Ave, Cheyenne, WY 82007</t>
  </si>
  <si>
    <t>350 Saddle Court, Sparks, NV 89434</t>
  </si>
  <si>
    <t>Gary Indiana</t>
  </si>
  <si>
    <t>No set Date for Construction, spoke w/Karen says it is something they want to do but will focus on it after NV plant opens</t>
  </si>
  <si>
    <t>906 S Powell Ave, Wynnewood, OK 73098</t>
  </si>
  <si>
    <t>Phase 1 to come on without pretreatment - sbo</t>
  </si>
  <si>
    <t>17,000 bpd 2nd half 2022; 48K bpd Q1 2024</t>
  </si>
  <si>
    <t>150 Solano Way, Pacheco, CA 94553</t>
  </si>
  <si>
    <t>Expected Completion 12/31/2021 animal fats and veg oils</t>
  </si>
  <si>
    <t>Abengoa Bioenergy Biomass, Hugoton, KS 67951</t>
  </si>
  <si>
    <t>1290 San Pablo Ave, Rodeo, CA 94572</t>
  </si>
  <si>
    <t>1291 San Pablo Ave, Rodeo, CA 94572</t>
  </si>
  <si>
    <t>FORGE Hydrocarbons</t>
  </si>
  <si>
    <t>Sombra Ontario Canada</t>
  </si>
  <si>
    <t xml:space="preserve"> Lipid-to-Hydrocarbon (LTH) technology </t>
  </si>
  <si>
    <t>TBA 2022?</t>
  </si>
  <si>
    <t>Renwable Jet, RD, Naphtha</t>
  </si>
  <si>
    <t>Sombra, ON N0P 2H0, Canada</t>
  </si>
  <si>
    <t>1801 S Gulfway Dr, Port Arthur, TX 77640</t>
  </si>
  <si>
    <t>535 Commerce Dr, Soperton, GA 30457</t>
  </si>
  <si>
    <t>808 E New St, Coffeyville, KS 67337</t>
  </si>
  <si>
    <t>Carbon capture down the road if exp/construction</t>
  </si>
  <si>
    <t>90 mmgy SAF</t>
  </si>
  <si>
    <t>Port of Greater Baton Rouge</t>
  </si>
  <si>
    <t>18281 Kadmas Rd Lakeview, OR 97630</t>
  </si>
  <si>
    <t>RD unit to be built between 10/1/21 and 12/31/23</t>
  </si>
  <si>
    <t>need to add to map</t>
  </si>
  <si>
    <t>500 W St Bernard Hwy, Chalmette, LA 70043</t>
  </si>
  <si>
    <t>Q3 or Q4 of 2022</t>
  </si>
  <si>
    <t>9800 bpd feedstocks - soy tallow, Uco, DCO, Canola</t>
  </si>
  <si>
    <t>De-bottleneck will allow 18k bpd beginning in 7/24</t>
  </si>
  <si>
    <t>Year end 2021</t>
  </si>
  <si>
    <t>Extracte Lur</t>
  </si>
  <si>
    <t>Caparroso (Navarre, Spain)</t>
  </si>
  <si>
    <t>Under Construction - 30 months from start 2024?</t>
  </si>
  <si>
    <t>Calle del Barrio de la Estacion, s/n, 31380, Navarra, Spain</t>
  </si>
  <si>
    <t>ST1 (SCA and ST1 JV)</t>
  </si>
  <si>
    <t>UOP Ecofining</t>
  </si>
  <si>
    <t>Expected Operational Q2 2023</t>
  </si>
  <si>
    <t>Tall Oil &amp; wide range of other</t>
  </si>
  <si>
    <t>Bensinvägen 10, 418 34 Göteborg, Sweden</t>
  </si>
  <si>
    <t>Villeta, The Central Department on the bank of Paraguay River (Paraguay)</t>
  </si>
  <si>
    <t xml:space="preserve">Planned 2024 - Full Capacity by second half </t>
  </si>
  <si>
    <t>Soybean Oil, Animal Fats, Uco</t>
  </si>
  <si>
    <t>Tv. Honório Pôrto, Passo Fundo - RS, 99042-800, Brazil</t>
  </si>
  <si>
    <t>Delfzijl (Netherlands)</t>
  </si>
  <si>
    <t xml:space="preserve">Hydroflex  </t>
  </si>
  <si>
    <t>Feedstock - UCO Plant will run on sustainably Hydrogen</t>
  </si>
  <si>
    <t>Oosterhorn 4, 9936 HD Farmsum, Netherlands</t>
  </si>
  <si>
    <t>Cartagena Refinery (Murcia, Spain)</t>
  </si>
  <si>
    <t>Planned 2023</t>
  </si>
  <si>
    <t>Will Produce RD, Biojet, bionaphtha, biopropane</t>
  </si>
  <si>
    <t>600k MT by 2030</t>
  </si>
  <si>
    <t>Carretera Cartagena-Escombreras, 0 S N, 30350 Escombreras, Spain</t>
  </si>
  <si>
    <t>Norsundet, Sweeden</t>
  </si>
  <si>
    <t>Fabriksvägen 53, 817 30 Norrsundet, Sweden</t>
  </si>
  <si>
    <t>Germany</t>
  </si>
  <si>
    <t>Planned 2024</t>
  </si>
  <si>
    <t>Meldorfer Str. 43, 25770 Hemmingstedt, Germany</t>
  </si>
  <si>
    <t>Grandpuits(France)</t>
  </si>
  <si>
    <t>170k t/y biojet, 120k t/y biodiesel, 50K t/y Naphtha</t>
  </si>
  <si>
    <t>Zone d'activité Total, D619, 77720 Grandpuits-Bailly-Carrois, France</t>
  </si>
  <si>
    <t>Hamina Kotka, Finland</t>
  </si>
  <si>
    <t>Tall Oil</t>
  </si>
  <si>
    <t>Merituulentie 424, 48310 Kotka, Finland</t>
  </si>
  <si>
    <t>UPM</t>
  </si>
  <si>
    <t>Not yet approved</t>
  </si>
  <si>
    <t>Could start construction 2023</t>
  </si>
  <si>
    <t>Waste Fats and Oils</t>
  </si>
  <si>
    <t>X</t>
  </si>
  <si>
    <t>Haltermann Carless</t>
  </si>
  <si>
    <t>Speyer, Germany</t>
  </si>
  <si>
    <t>Gevo's Low Carbon Alcohol to Jet (ATJ)</t>
  </si>
  <si>
    <t>Projected - end of 2024</t>
  </si>
  <si>
    <t>SAF</t>
  </si>
  <si>
    <t>AgBioEn</t>
  </si>
  <si>
    <t>Katunga, Austrailia</t>
  </si>
  <si>
    <t>Projected - end of 2023</t>
  </si>
  <si>
    <t>Shell</t>
  </si>
  <si>
    <t>Rotterdam, Netherlands</t>
  </si>
  <si>
    <t>Projected - 2024</t>
  </si>
  <si>
    <t>UCO, FOG, etc…</t>
  </si>
  <si>
    <t>Could include CCS - SAF may be over 50% of the 820</t>
  </si>
  <si>
    <t>83% RD, 17% Renewable naphtha</t>
  </si>
  <si>
    <t>expected to close Q4 2021</t>
  </si>
  <si>
    <t>Increasing to 14K bpd by 2023 (end?)</t>
  </si>
  <si>
    <t>Land Use Application</t>
  </si>
  <si>
    <t>for SAFuels X can be found on 6/15/21 email from Planning and Zoning</t>
  </si>
  <si>
    <t>If approved, construction Q2 2022; operation end 2022</t>
  </si>
  <si>
    <t>Joh Melk (indian Descent Turtle Mountain Chippewa) and Wife Reneee Liu-Melk (Chinese Descent) have been accused of running a front company for China National Petroleum Co.</t>
  </si>
  <si>
    <t>conversion of ultra-low carbon intensity, non-edible vegetable and other non-edible oils along with renewable cellulosic hydrogen</t>
  </si>
  <si>
    <t>Feedstock is also waste wood and dairy for renewable hydrogen</t>
  </si>
  <si>
    <t>HVO biorefinery expansions</t>
  </si>
  <si>
    <t>Eliminating bottlenecks of the existing biorefineries</t>
  </si>
  <si>
    <t>0.3+0.2</t>
  </si>
  <si>
    <t>Under Construction - 1st stage 2020; 2nd stage 2022</t>
  </si>
  <si>
    <t>HydroFlex renewable fuel technology</t>
  </si>
  <si>
    <t>Under Construction. 2020 - 2024</t>
  </si>
  <si>
    <t>RD, Renewable Jet</t>
  </si>
  <si>
    <t>Under Construction. 2021</t>
  </si>
  <si>
    <t>Tuas Industrial Area, Singapore (Singapore)</t>
  </si>
  <si>
    <t>Under Construction. 2022 "4.5MT/a by 2022 global"</t>
  </si>
  <si>
    <t>1st 1/2 2022</t>
  </si>
  <si>
    <t>Since 2018, 3k begin 1/2021, 5k begin 2024</t>
  </si>
  <si>
    <t>Waste Oil, UCO</t>
  </si>
  <si>
    <t>SunPine is owned by Kiram, Preem, Sveaskog, Södra and Lawter.  Since owned by Preem, not included (maybe erroneously) in capacities</t>
  </si>
  <si>
    <t>Worldwide</t>
  </si>
  <si>
    <t>Million Metric Tons</t>
  </si>
  <si>
    <t>Check</t>
  </si>
  <si>
    <t>Total current HVO Production</t>
  </si>
  <si>
    <t>HVO Under Construction or Planned</t>
  </si>
  <si>
    <t>Total Possible</t>
  </si>
  <si>
    <t>European</t>
  </si>
  <si>
    <t>Percent of World Total</t>
  </si>
  <si>
    <t>North American</t>
  </si>
  <si>
    <t>Asian/Austrailian</t>
  </si>
  <si>
    <t>South American</t>
  </si>
  <si>
    <t>Cellulosic Plants D5</t>
  </si>
  <si>
    <t>Products</t>
  </si>
  <si>
    <t>Shell, Enekem, Suncor, others</t>
  </si>
  <si>
    <t>VarennesQuebec, Cananda</t>
  </si>
  <si>
    <t>Enerkem</t>
  </si>
  <si>
    <t>Under Construction. First phase 2023</t>
  </si>
  <si>
    <t>Biomethanol, Cellulosic Ethanol</t>
  </si>
  <si>
    <t>Enerkem &amp; City of Edmonton</t>
  </si>
  <si>
    <t>Edmonton Canada</t>
  </si>
  <si>
    <t>In Operation since 2015, ISCC cert. in 2016</t>
  </si>
  <si>
    <t>first-ever waste-to-biofuel facility to sell its ethanol under the U.S. Renewable Fuel Standard after receiving registration approval from the U.S. Environmental Protection Agency (EPA) in 2017</t>
  </si>
  <si>
    <t>Nouryon, Air Liquide, the Port of Rotterdam  Enerkem and Shell</t>
  </si>
  <si>
    <t>Rotterdam, The Netherlands</t>
  </si>
  <si>
    <t>Pending final Decision</t>
  </si>
  <si>
    <t>Methanol (DME can be used as diesel, for fuel cells, LPG)</t>
  </si>
  <si>
    <t>Enerkem &amp; Suez</t>
  </si>
  <si>
    <t>Tarragona Spain</t>
  </si>
  <si>
    <t>Methanol</t>
  </si>
  <si>
    <t>Carbon Recycling International (CRI)</t>
  </si>
  <si>
    <t>Reykjanes, Iceland</t>
  </si>
  <si>
    <t>Emissions to Liquids (ETL)</t>
  </si>
  <si>
    <t xml:space="preserve">In Operation since April 2012, ISCC cert. </t>
  </si>
  <si>
    <t>CRI shareholder Geely Tech., Shuncheng group, Shunju, Shunfeng and MFE Shanghai</t>
  </si>
  <si>
    <t>Anyang city, Henan Province, China</t>
  </si>
  <si>
    <t>ETL</t>
  </si>
  <si>
    <t>construction on site is expected to start in early 2021</t>
  </si>
  <si>
    <t>BIOMCN  OCI NV</t>
  </si>
  <si>
    <t>Delfzijl, The Netherlands</t>
  </si>
  <si>
    <t>Speculative - St. Joseph Biofuel</t>
  </si>
  <si>
    <t>Newton, IL - USA</t>
  </si>
  <si>
    <t>Start-up? Financing &amp; Groundbreaking slated Q4 2020</t>
  </si>
  <si>
    <t>Waste Fats and Greases</t>
  </si>
  <si>
    <t>COMMERCIAL PRODUCTION OF HVO/HEFA - Global about 3.5 million MT</t>
  </si>
  <si>
    <t>REFERENCES</t>
  </si>
  <si>
    <t>Operational HVO Refineries</t>
  </si>
  <si>
    <t>Neste website: Production.</t>
  </si>
  <si>
    <t>Rotterdam Biorefinery. BioRefineries Blog. 19/8/2015.</t>
  </si>
  <si>
    <t>Neste announces 1,400 M€ investment in Singapore to extend its production capacity. BioRefineries Blog. 12/12/2018.</t>
  </si>
  <si>
    <t>REG website: Geismar.</t>
  </si>
  <si>
    <t>Diamond Green Diesel to expand HVO capacity in Norco using technology from Honeywell UOP. BioRefineries Blog. 20/3/2017.</t>
  </si>
  <si>
    <t xml:space="preserve"> ENI Venice &amp; ENI Gela Biorefinery. </t>
  </si>
  <si>
    <t>UPM Biofuels website: UPM Lappeenranta Biorefinery.</t>
  </si>
  <si>
    <t xml:space="preserve">UPM Lappeenranta Biorefinery. </t>
  </si>
  <si>
    <t>UPM Earnings Call Transcripts</t>
  </si>
  <si>
    <t>Commercial-scale biorefinery starts to produce renewable fuels with Honeywell UOP Technology in California. BioRefineries Blog. 12/3/2016.</t>
  </si>
  <si>
    <t>World Energy press release: World Energy announces purchase of Southern California assets from Delek (20/3/2018).</t>
  </si>
  <si>
    <t>Total ready to start-up its HVO biorefinery in La Mède. BioRefineries Blog. 5/6/2019.</t>
  </si>
  <si>
    <t>SAF La Méde and Oudalle facilities plus Grandpuits in 2024</t>
  </si>
  <si>
    <t>A. Total La Mede Capacity per Total.</t>
  </si>
  <si>
    <t>B. Capacity</t>
  </si>
  <si>
    <t>Galp website: Biofuels.</t>
  </si>
  <si>
    <t>China Sinopec only Referenc I've found so far</t>
  </si>
  <si>
    <t>Phillips 66 - Humber Refinery UK started op in 2018 at 1k bpd, 3k as of 1/2021</t>
  </si>
  <si>
    <t>Cielo - Aldersyde Facility</t>
  </si>
  <si>
    <t>Cielo - webinar</t>
  </si>
  <si>
    <t>https://www.cielows.com/aldersyde/</t>
  </si>
  <si>
    <t>Cielo Delivers first significan sale</t>
  </si>
  <si>
    <t>Operational Refineries Co-Processing</t>
  </si>
  <si>
    <t>Preem renewable transportation fuels production. Presentation, Petter Holland (Preem CEO).</t>
  </si>
  <si>
    <t>Preem Note 5 page 21(48) pushes Capacity to 320,000 m3 in 2019</t>
  </si>
  <si>
    <t>Cepsa - Spain Capacity page 20</t>
  </si>
  <si>
    <t>A. Source #2</t>
  </si>
  <si>
    <t>Cepsa - La Rabida Refinery 278K MT</t>
  </si>
  <si>
    <t>Repsol - Spain Capacity Page 20</t>
  </si>
  <si>
    <t>Repso - Capacity much higher here 380K MT per year. P4 search HVO</t>
  </si>
  <si>
    <t>Preem Gothensburg Capacity Page 20</t>
  </si>
  <si>
    <t>A. Preem Expansion</t>
  </si>
  <si>
    <t>B. Also Preem Expansion</t>
  </si>
  <si>
    <t>Kern Oil - Bakersfield CA</t>
  </si>
  <si>
    <t>Parkland, BC - Capacity p32 Sustainability Reporting Data</t>
  </si>
  <si>
    <t>Parkland Considering Expansion</t>
  </si>
  <si>
    <t>Suncor Considering Montreal RD Plant</t>
  </si>
  <si>
    <t>A. Produces 390 million liters of HDRD and 290 of biodiesel (same link)</t>
  </si>
  <si>
    <t>BP Cherry Point - unable to confirm co-processing capacity</t>
  </si>
  <si>
    <t>Saras Sarrdoch Refinery, Italy.  100Kt exp to 150 then 250 maybe…</t>
  </si>
  <si>
    <t>HVO biorefineries under construction and planned</t>
  </si>
  <si>
    <t>Ryze - 2 plants; capacity 11,000 bpd</t>
  </si>
  <si>
    <t>Ryze Exits Reno Project</t>
  </si>
  <si>
    <t>Ryze - Capacity breakout</t>
  </si>
  <si>
    <t>Extracte Lur will retrofit a former biodiesel plant to produce renewable diesel in Spain. BioRefineries Blog. 8/4/2019.</t>
  </si>
  <si>
    <t>A. Extracte Lur Caparroso Spain Capacity</t>
  </si>
  <si>
    <t>Andeavor to transform the Dickinson Refinery into a renewable diesel biorefinery. BioRefineries Blog. 3/9/2018.</t>
  </si>
  <si>
    <t>Andeavor Dickinson Refinery Capacity</t>
  </si>
  <si>
    <t>Capacity - 12,000 bpd initial feedstock slate - 10,000 bbd SBO; 2,000 bbd DCO - Q4 2020 earnins call - feedstock info from Q3 report</t>
  </si>
  <si>
    <t>Next Renewable Fuel (BP/Shell)</t>
  </si>
  <si>
    <t>Expects to be full capacity by end of Q1</t>
  </si>
  <si>
    <t>A</t>
  </si>
  <si>
    <t>B</t>
  </si>
  <si>
    <t>P66/REG Refinery JV Abandoned</t>
  </si>
  <si>
    <t>ST1 Gothenburg (Sweden)</t>
  </si>
  <si>
    <t>St1 to build a biorefinery to produce renewable diesel and jet fuel in Sweden. BioRefineries Blog. 26/9/2019.</t>
  </si>
  <si>
    <t>23 ECB Group will build a renewable diesel biorefinery in Paraguay. BioRefineries Blog. 27/2/2019.</t>
  </si>
  <si>
    <t>BP Off Take</t>
  </si>
  <si>
    <t>Shell Off Take</t>
  </si>
  <si>
    <t>ECB Paraguay</t>
  </si>
  <si>
    <t>KLM, SkyNRG and SHV to build the first European dedicated biorefinery for sustainable aviation fuel. BioRefineries Blog. 29/5/2019.</t>
  </si>
  <si>
    <t>KLM, SkyNRG and SHV  sustainable aviation fuel</t>
  </si>
  <si>
    <t>DSL-01 Netherlands refinery - planning only</t>
  </si>
  <si>
    <t>25 Repsol intends to build a plant to produce 2G biofuels in its Cartagena complex. BioRefineries Blog. 20/5/2019.</t>
  </si>
  <si>
    <t>b</t>
  </si>
  <si>
    <t>Colabitoil Sweden Facility</t>
  </si>
  <si>
    <t>Colabitoil Press release mentions projected operational date for Sweden Facility</t>
  </si>
  <si>
    <t>Colabitoil Press Release Germancy Planned Facility, Includes capacity 2 billion liters, time frame 2024, type of fuel SAF renewable gas</t>
  </si>
  <si>
    <t>Germany Traslated</t>
  </si>
  <si>
    <t>Total Granputis, France.  170K MT SAF, 120K MT RD, 50K MT Renewable Naphtha</t>
  </si>
  <si>
    <t>Grandputis Additional article</t>
  </si>
  <si>
    <t>Bakersfield, CA. Global Green Energy - Capaceity &amp; 105 mmgy offtake agreement w/exxon</t>
  </si>
  <si>
    <t>Exxon Agreement</t>
  </si>
  <si>
    <t>Start up could be as early as Nov 2021 - 18 to 20 months from 5/4/20 8K filing.</t>
  </si>
  <si>
    <t>GCEH Capacity</t>
  </si>
  <si>
    <t>Exxon Expands Agreement</t>
  </si>
  <si>
    <t>agreement doubled from 2.5 million barrels of offtake to 5 million</t>
  </si>
  <si>
    <t>Cielo - Aldersyde facility, Alberta Canada</t>
  </si>
  <si>
    <t>Cielo Waste/Renewable U - converting garbage to HDRD - 4,000 liters per hour, 24 hours per day, 341 days per year</t>
  </si>
  <si>
    <t>14.a - additional source</t>
  </si>
  <si>
    <t>Facilities - Aldersyde (operational) 1,000 liters per hour; 4 projected for Alberta and 1 for NS - each expectd to prcess 4,000 l per hour 341 days per year</t>
  </si>
  <si>
    <t>Emerald One Press Release</t>
  </si>
  <si>
    <t>ReadiFuels, IA - Press Release</t>
  </si>
  <si>
    <t>36 million gallons per year plant</t>
  </si>
  <si>
    <t>HollyFrontier - Artesia, NM Capacity</t>
  </si>
  <si>
    <t>HollyFrontier - Artesia, NM Press Release</t>
  </si>
  <si>
    <t>HollyFrontier - Cheyene, WY -Press Release</t>
  </si>
  <si>
    <t>Fulcrum Bioenergy MSW to RD - Sierra, NV</t>
  </si>
  <si>
    <t>Fulcrum - Gary, In Press Release</t>
  </si>
  <si>
    <t>CVR Refining - Q2 2020 earnings call transcript</t>
  </si>
  <si>
    <t>CVR Confirms Construction Wynwood OK</t>
  </si>
  <si>
    <t>Marathon Petroleum - Q2 Earnings Call Transcript</t>
  </si>
  <si>
    <t>Marathon Q3</t>
  </si>
  <si>
    <t>Seaboard Energy Hugoton, KS may be far-reaching to become reality</t>
  </si>
  <si>
    <t>Purchased Plant Capacity</t>
  </si>
  <si>
    <t>Phillips 66 Rodeo Q3 2020 Earnings Call - 9,000 bbd soy lead in until Rodeo is running in 2024 (search 9,000)</t>
  </si>
  <si>
    <t>P66 Reconfirms Rodeo Intentions in 2021 Capital Program Release 12/14</t>
  </si>
  <si>
    <t>Feedstocks - (from Q3 call) Feedstocks; for that, our premise is to be about 80% of the harder-to-process feedstock.  Rodeo Jr to run on soybean oil</t>
  </si>
  <si>
    <t>120mgy RD by mid-2021</t>
  </si>
  <si>
    <t>P66 Capital Allocation for RD</t>
  </si>
  <si>
    <t>The 2021 Refining Budget of 521 million includes pre-construction engineering and design costs related to the company's plans to reconfigure its San Francisco Refinery in Rodeo CA</t>
  </si>
  <si>
    <t>Forge/Biox/Shell Ventures - Somba Ontario renewable diesel</t>
  </si>
  <si>
    <t>Video</t>
  </si>
  <si>
    <t>Fintoil</t>
  </si>
  <si>
    <t>Fintoil same but different source</t>
  </si>
  <si>
    <t>Best Source - Fintoil</t>
  </si>
  <si>
    <t>UPM - Possible New Facility</t>
  </si>
  <si>
    <t>basic enegineeering decision (FEL-3) to be made in next few months (today 10/28/20) - "FEL-3  takes minimum 12 months</t>
  </si>
  <si>
    <t>CVR Refining - Q3 2020 earnings call transcript - Coffeyville</t>
  </si>
  <si>
    <t>Feedstock - DCO, SBO</t>
  </si>
  <si>
    <t>LanzaJet - SAF Soperton GA, backed by Suncor and Mitsui+'[Book2 temp of rd capacity.xlsx]RD Capacity'!$C$36:$M$208</t>
  </si>
  <si>
    <t>Grön Fuels</t>
  </si>
  <si>
    <t>Investment Decision</t>
  </si>
  <si>
    <t>Grön Fuels #2</t>
  </si>
  <si>
    <t>Shell to purchase SAF and Cellulosic RD</t>
  </si>
  <si>
    <t>Vacate Training Facility</t>
  </si>
  <si>
    <t>Phone #'s - Corporate - 970.223.6766, Lake Oswego 503.305.9195, Lakeview Plant 541.631.6200</t>
  </si>
  <si>
    <t>Latest</t>
  </si>
  <si>
    <t>Diamond Green Port Arthur Facility - Currently in Engineering Review</t>
  </si>
  <si>
    <t>Investment Decision Expected 2021</t>
  </si>
  <si>
    <t>Called all three on 3/30/21</t>
  </si>
  <si>
    <t>Halmann Carless/GEVO</t>
  </si>
  <si>
    <t>Cargill/Loves</t>
  </si>
  <si>
    <t>Strategic Biofuels</t>
  </si>
  <si>
    <t>AgBioEN - Katunga Austrailia</t>
  </si>
  <si>
    <t>HVO biorefineries Expansion</t>
  </si>
  <si>
    <t>Preem Gothenburg Sweden Expansion 1.08 million meters3, p26.</t>
  </si>
  <si>
    <t>Preem press release</t>
  </si>
  <si>
    <t>ENI Porto Marghera 2021 Expansion</t>
  </si>
  <si>
    <t>Diamond Green #2 to 675 mmgy - St Charles</t>
  </si>
  <si>
    <t xml:space="preserve">2nd source </t>
  </si>
  <si>
    <t>Neste - Singapore Expansion</t>
  </si>
  <si>
    <t>Alt-Air Expansion</t>
  </si>
  <si>
    <t>Jet fuel to expand from 35mmgy to 275 mmgy</t>
  </si>
  <si>
    <t>Brendan Marusa World Energy = There are some minor increases between now and when the full expansion project will be on line. That said the big production increase and project complete date is Q4 2023. We will have a 25 % increase in Mid 2022 and also have our front -end unit schedule to be online then which will allow us to run a broader range of feedstocks then we are currently.</t>
  </si>
  <si>
    <t>REG Expansion to 340</t>
  </si>
  <si>
    <t>REG Geismar Expansion to 340 mmgy</t>
  </si>
  <si>
    <t>Phillips 66 - Humber Refinery UK Expansion</t>
  </si>
  <si>
    <t>PBF Energy Chalmette</t>
  </si>
  <si>
    <t>Interesting - About 18,250 b/d of RD was shipped from the US Midwest and USGC to the USWC from January through November 2020, by rail and tanker, according to the Energy Information Administration.</t>
  </si>
  <si>
    <t>PBF - Earnings Call 2/11</t>
  </si>
  <si>
    <t>links maybe not being used</t>
  </si>
  <si>
    <t>15 Is HVO the Holy Grail of the world biodiesel market? Greenea Team, 2014.</t>
  </si>
  <si>
    <t>16 New players join the HVO game. Greenea Team, 2017.</t>
  </si>
  <si>
    <t>27 COWI press release: Preem takes next step towards supplying green fuel (28/6/2019).</t>
  </si>
  <si>
    <t>28 Diamond Green Diesel to expand again its capacity of renewable diesel using Honeywell UOP’s Ecofining technology. BioRefineries Blog. 5/10/2019.</t>
  </si>
  <si>
    <t>Notes for future</t>
  </si>
  <si>
    <t>Spain produced 425,000t of domestic HVO in 2019, up from 375,000t in 2018,</t>
  </si>
  <si>
    <t>Spain HVO Production can be found here - Last publish date 3/18/20</t>
  </si>
  <si>
    <t>Royal Decree 1085/2015, of December 4, on the promotion of biofuels, reviews the objectives of sale or consumption of biofuels establishing a single global objective of sales or minimum consumption</t>
  </si>
  <si>
    <t>Spain, Industry sources peg current HVO domestic capacity at 945 m liters per year</t>
  </si>
  <si>
    <t>Minimum Mandatory Biofuel Targets</t>
  </si>
  <si>
    <t>Spain Alternative Fuel Consumption (HVO) &amp; Feedstocks</t>
  </si>
  <si>
    <t>There are ten refineries in Spain, belonging to three groups:</t>
  </si>
  <si>
    <t>Repsol, which operates the refineries of Bilbao, A Coruña, Puertollano, Cartagena, and two located in Tarragona. </t>
  </si>
  <si>
    <t>Cepsa, which owns the refineries of Huelva, Algeciras and Tenerife. </t>
  </si>
  <si>
    <t>BP Oil Spain, which operates the refinery of Castellón.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</si>
</sst>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409]mmm\-yy;@"/>
    <numFmt numFmtId="165" formatCode="_-* #,##0.00_-;\-* #,##0.00_-;_-* &quot;-&quot;??_-;_-@_-"/>
    <numFmt numFmtId="166" formatCode="_-* #,##0_-;\-* #,##0_-;_-* &quot;-&quot;??_-;_-@_-"/>
    <numFmt numFmtId="167" formatCode="_-&quot;$&quot;* #,##0.00_-;\-&quot;$&quot;* #,##0.00_-;_-&quot;$&quot;* &quot;-&quot;??_-;_-@_-"/>
    <numFmt numFmtId="168" formatCode="&quot;$&quot;#,##0.00"/>
    <numFmt numFmtId="169" formatCode="_-* #,##0.0_-;\-* #,##0.0_-;_-* &quot;-&quot;??_-;_-@_-"/>
    <numFmt numFmtId="170" formatCode="#,##0.000_);[Red]\(#,##0.000\)"/>
    <numFmt numFmtId="171" formatCode="0.0%"/>
    <numFmt numFmtId="172" formatCode="#,##0.0_);[Red]\(#,##0.0\)"/>
    <numFmt numFmtId="173" formatCode="#,##0.0000_);[Red]\(#,##0.0000\)"/>
    <numFmt numFmtId="174" formatCode="0_);[Red]\(0\)"/>
    <numFmt numFmtId="175" formatCode="#,##0.0000000000000_);[Red]\(#,##0.0000000000000\)"/>
    <numFmt numFmtId="176" formatCode="0.0"/>
    <numFmt numFmtId="177" formatCode="_(* #,##0_);_(* \(#,##0\);_(* &quot;-&quot;??_);_(@_)"/>
    <numFmt numFmtId="178" formatCode="_(* #,##0.0_);_(* \(#,##0.0\);_(* &quot;-&quot;??_);_(@_)"/>
    <numFmt numFmtId="179" formatCode="0.000"/>
  </numFmts>
  <fonts count="68">
    <font>
      <sz val="10"/>
      <color theme="1"/>
      <name val="Arial Narrow"/>
      <family val="2"/>
    </font>
    <font>
      <sz val="11"/>
      <color theme="1"/>
      <name val="Aptos Narrow"/>
      <family val="2"/>
      <scheme val="minor"/>
    </font>
    <font>
      <u/>
      <sz val="10"/>
      <color theme="10"/>
      <name val="Arial Narrow"/>
      <family val="2"/>
    </font>
    <font>
      <u/>
      <sz val="14"/>
      <color theme="10"/>
      <name val="Arial Narrow"/>
      <family val="2"/>
    </font>
    <font>
      <sz val="10"/>
      <color theme="1"/>
      <name val="Arial Narrow"/>
      <family val="2"/>
    </font>
    <font>
      <sz val="14"/>
      <color theme="1"/>
      <name val="Arial Narrow"/>
      <family val="2"/>
    </font>
    <font>
      <sz val="8"/>
      <color theme="1"/>
      <name val="Avenir Next LT Pro Demi"/>
      <family val="2"/>
    </font>
    <font>
      <vertAlign val="superscript"/>
      <sz val="10"/>
      <color theme="1"/>
      <name val="Arial Narrow"/>
      <family val="2"/>
    </font>
    <font>
      <b/>
      <sz val="16"/>
      <color theme="0"/>
      <name val="Arial Narrow"/>
      <family val="2"/>
    </font>
    <font>
      <b/>
      <sz val="10"/>
      <color theme="1"/>
      <name val="Arial Narrow"/>
      <family val="2"/>
    </font>
    <font>
      <b/>
      <sz val="14"/>
      <color theme="1"/>
      <name val="Arial"/>
      <family val="2"/>
    </font>
    <font>
      <b/>
      <sz val="14"/>
      <color theme="1"/>
      <name val="Arial Narrow"/>
      <family val="2"/>
    </font>
    <font>
      <sz val="12"/>
      <color theme="1"/>
      <name val="Arial Narrow"/>
      <family val="2"/>
    </font>
    <font>
      <b/>
      <sz val="22"/>
      <color theme="1"/>
      <name val="Aptos Narrow"/>
      <family val="2"/>
      <scheme val="minor"/>
    </font>
    <font>
      <b/>
      <sz val="10"/>
      <color theme="1"/>
      <name val="Aptos Narrow"/>
      <family val="2"/>
      <scheme val="minor"/>
    </font>
    <font>
      <b/>
      <sz val="8"/>
      <color theme="1"/>
      <name val="Aptos Narrow"/>
      <family val="2"/>
      <scheme val="minor"/>
    </font>
    <font>
      <sz val="10"/>
      <color theme="1"/>
      <name val="Aptos Display"/>
      <family val="2"/>
    </font>
    <font>
      <sz val="9"/>
      <color theme="1"/>
      <name val="Aptos Display"/>
      <family val="2"/>
    </font>
    <font>
      <sz val="10"/>
      <color rgb="FF000000"/>
      <name val="Aptos Display"/>
      <family val="2"/>
    </font>
    <font>
      <b/>
      <sz val="8"/>
      <color theme="0"/>
      <name val="Avenir Next LT Pro Demi"/>
      <family val="2"/>
    </font>
    <font>
      <sz val="8"/>
      <color theme="0"/>
      <name val="Avenir Next LT Pro Demi"/>
      <family val="2"/>
    </font>
    <font>
      <b/>
      <sz val="8"/>
      <color theme="1"/>
      <name val="Avenir Next LT Pro Demi"/>
      <family val="2"/>
    </font>
    <font>
      <b/>
      <sz val="8"/>
      <color rgb="FF6F0791"/>
      <name val="Avenir Next LT Pro Demi"/>
      <family val="2"/>
    </font>
    <font>
      <sz val="8"/>
      <color rgb="FF6F0791"/>
      <name val="Avenir Next LT Pro Demi"/>
      <family val="2"/>
    </font>
    <font>
      <sz val="8"/>
      <color theme="0" tint="-0.499984740745262"/>
      <name val="Avenir Next LT Pro Demi"/>
      <family val="2"/>
    </font>
    <font>
      <b/>
      <vertAlign val="superscript"/>
      <sz val="8"/>
      <color theme="1"/>
      <name val="Avenir Next LT Pro Demi"/>
      <family val="2"/>
    </font>
    <font>
      <sz val="10"/>
      <color rgb="FFFF0000"/>
      <name val="Arial Narrow"/>
      <family val="2"/>
    </font>
    <font>
      <b/>
      <sz val="8"/>
      <color theme="9" tint="-0.249977111117893"/>
      <name val="Avenir Next LT Pro Demi"/>
      <family val="2"/>
    </font>
    <font>
      <b/>
      <sz val="8"/>
      <color rgb="FFFF0000"/>
      <name val="Avenir Next LT Pro Demi"/>
      <family val="2"/>
    </font>
    <font>
      <b/>
      <sz val="16"/>
      <color rgb="FFFFFFFF"/>
      <name val="Arial"/>
      <family val="2"/>
    </font>
    <font>
      <sz val="10"/>
      <color theme="1"/>
      <name val="Arial"/>
      <family val="2"/>
    </font>
    <font>
      <b/>
      <sz val="12"/>
      <color theme="1"/>
      <name val="Arial"/>
      <family val="2"/>
    </font>
    <font>
      <b/>
      <sz val="10"/>
      <color theme="1"/>
      <name val="Arial"/>
      <family val="2"/>
    </font>
    <font>
      <b/>
      <sz val="14"/>
      <color rgb="FFFFFFFF"/>
      <name val="Arial"/>
      <family val="2"/>
    </font>
    <font>
      <b/>
      <sz val="11"/>
      <color theme="1"/>
      <name val="Arial"/>
      <family val="2"/>
    </font>
    <font>
      <sz val="12"/>
      <color theme="1"/>
      <name val="Arial"/>
      <family val="2"/>
    </font>
    <font>
      <b/>
      <sz val="10"/>
      <color theme="4" tint="-0.249977111117893"/>
      <name val="Arial"/>
      <family val="2"/>
    </font>
    <font>
      <sz val="10"/>
      <color theme="4" tint="-0.249977111117893"/>
      <name val="Arial"/>
      <family val="2"/>
    </font>
    <font>
      <sz val="12"/>
      <color theme="1"/>
      <name val="Aptos Narrow"/>
      <family val="2"/>
      <scheme val="minor"/>
    </font>
    <font>
      <sz val="16"/>
      <color theme="1"/>
      <name val="Aptos Narrow"/>
      <family val="2"/>
      <scheme val="minor"/>
    </font>
    <font>
      <sz val="14"/>
      <color theme="1"/>
      <name val="Aptos Narrow"/>
      <family val="2"/>
      <scheme val="minor"/>
    </font>
    <font>
      <u/>
      <sz val="12"/>
      <color theme="10"/>
      <name val="Aptos Narrow"/>
      <family val="2"/>
      <scheme val="minor"/>
    </font>
    <font>
      <sz val="12"/>
      <color rgb="FFFF0000"/>
      <name val="Aptos Narrow"/>
      <family val="2"/>
      <scheme val="minor"/>
    </font>
    <font>
      <b/>
      <sz val="14"/>
      <color theme="1"/>
      <name val="Aptos Narrow"/>
      <family val="2"/>
      <scheme val="minor"/>
    </font>
    <font>
      <b/>
      <sz val="14"/>
      <color rgb="FF000000"/>
      <name val="Calibri"/>
      <family val="2"/>
    </font>
    <font>
      <sz val="14"/>
      <color rgb="FF000000"/>
      <name val="Calibri"/>
      <family val="2"/>
    </font>
    <font>
      <sz val="14"/>
      <name val="Arial"/>
      <family val="2"/>
    </font>
    <font>
      <sz val="10"/>
      <color rgb="FF000000"/>
      <name val="Arial"/>
      <family val="2"/>
    </font>
    <font>
      <sz val="11"/>
      <color theme="1"/>
      <name val="Lato"/>
      <family val="2"/>
    </font>
    <font>
      <i/>
      <sz val="11"/>
      <color theme="1"/>
      <name val="Lato"/>
      <family val="2"/>
    </font>
    <font>
      <sz val="11"/>
      <color rgb="FF000000"/>
      <name val="Times New Roman"/>
      <family val="1"/>
    </font>
    <font>
      <sz val="11"/>
      <color rgb="FF444444"/>
      <name val="Helvetica Neue"/>
      <family val="2"/>
    </font>
    <font>
      <sz val="11"/>
      <color rgb="FF000000"/>
      <name val="Aptos Narrow"/>
      <family val="2"/>
      <scheme val="minor"/>
    </font>
    <font>
      <sz val="11"/>
      <color rgb="FF000000"/>
      <name val="Arial"/>
      <family val="2"/>
    </font>
    <font>
      <sz val="14"/>
      <color rgb="FF000000"/>
      <name val="Times New Roman"/>
      <family val="2"/>
    </font>
    <font>
      <sz val="12"/>
      <color rgb="FFFF0000"/>
      <name val="Calibri (Body)"/>
    </font>
    <font>
      <sz val="9"/>
      <color rgb="FF1C1D20"/>
      <name val="Helvetica Neue"/>
      <family val="2"/>
    </font>
    <font>
      <sz val="11"/>
      <color rgb="FF3C4043"/>
      <name val="Arial"/>
      <family val="2"/>
    </font>
    <font>
      <sz val="12"/>
      <color theme="10"/>
      <name val="Aptos Narrow"/>
      <family val="2"/>
      <scheme val="minor"/>
    </font>
    <font>
      <sz val="10"/>
      <color rgb="FF202124"/>
      <name val="Arial"/>
      <family val="2"/>
    </font>
    <font>
      <sz val="11"/>
      <color rgb="FF202124"/>
      <name val="Arial"/>
      <family val="2"/>
    </font>
    <font>
      <sz val="11"/>
      <color rgb="FF4B4B4B"/>
      <name val="Helvetica Neue"/>
      <family val="2"/>
    </font>
    <font>
      <i/>
      <sz val="11"/>
      <color rgb="FFFF0000"/>
      <name val="Helvetica"/>
      <family val="2"/>
    </font>
    <font>
      <b/>
      <u/>
      <sz val="10"/>
      <color rgb="FF757575"/>
      <name val="Inherit"/>
    </font>
    <font>
      <b/>
      <u/>
      <sz val="12"/>
      <color theme="1"/>
      <name val="Inherit"/>
    </font>
    <font>
      <sz val="12"/>
      <color rgb="FF3D3D3D"/>
      <name val="Arial"/>
      <family val="2"/>
    </font>
    <font>
      <sz val="12"/>
      <color rgb="FF3D3D3D"/>
      <name val="Inherit"/>
    </font>
    <font>
      <sz val="10"/>
      <color theme="0"/>
      <name val="Arial Narrow"/>
      <family val="2"/>
    </font>
  </fonts>
  <fills count="19">
    <fill>
      <patternFill patternType="none"/>
    </fill>
    <fill>
      <patternFill patternType="gray125"/>
    </fill>
    <fill>
      <patternFill patternType="solid">
        <fgColor rgb="FF8C8C8C"/>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ECECEC"/>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00000"/>
        <bgColor indexed="64"/>
      </patternFill>
    </fill>
    <fill>
      <patternFill patternType="solid">
        <fgColor theme="8" tint="0.79998168889431442"/>
        <bgColor indexed="64"/>
      </patternFill>
    </fill>
    <fill>
      <patternFill patternType="solid">
        <fgColor rgb="FFEAEFF7"/>
        <bgColor indexed="64"/>
      </patternFill>
    </fill>
    <fill>
      <patternFill patternType="solid">
        <fgColor rgb="FFFFC000"/>
        <bgColor rgb="FFA1D1CC"/>
      </patternFill>
    </fill>
    <fill>
      <patternFill patternType="solid">
        <fgColor theme="5"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FFC000"/>
        <bgColor indexed="64"/>
      </patternFill>
    </fill>
  </fills>
  <borders count="64">
    <border>
      <left/>
      <right/>
      <top/>
      <bottom/>
      <diagonal/>
    </border>
    <border>
      <left/>
      <right/>
      <top/>
      <bottom style="medium">
        <color rgb="FF6F0791"/>
      </bottom>
      <diagonal/>
    </border>
    <border>
      <left/>
      <right style="thin">
        <color rgb="FF8C8C8C"/>
      </right>
      <top/>
      <bottom style="medium">
        <color rgb="FF6F0791"/>
      </bottom>
      <diagonal/>
    </border>
    <border>
      <left style="thin">
        <color rgb="FF8C8C8C"/>
      </left>
      <right style="thin">
        <color rgb="FF8C8C8C"/>
      </right>
      <top/>
      <bottom style="medium">
        <color rgb="FF6F0791"/>
      </bottom>
      <diagonal/>
    </border>
    <border>
      <left style="thin">
        <color rgb="FF8C8C8C"/>
      </left>
      <right/>
      <top/>
      <bottom style="medium">
        <color rgb="FF6F0791"/>
      </bottom>
      <diagonal/>
    </border>
    <border>
      <left/>
      <right style="thin">
        <color rgb="FF8C8C8C"/>
      </right>
      <top/>
      <bottom/>
      <diagonal/>
    </border>
    <border>
      <left style="thin">
        <color rgb="FF8C8C8C"/>
      </left>
      <right style="thin">
        <color rgb="FF8C8C8C"/>
      </right>
      <top/>
      <bottom/>
      <diagonal/>
    </border>
    <border>
      <left style="thin">
        <color rgb="FF8C8C8C"/>
      </left>
      <right/>
      <top/>
      <bottom/>
      <diagonal/>
    </border>
    <border>
      <left/>
      <right/>
      <top style="medium">
        <color rgb="FF6F079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top style="thin">
        <color rgb="FF6F0791"/>
      </top>
      <bottom style="thick">
        <color rgb="FF6F0791"/>
      </bottom>
      <diagonal/>
    </border>
    <border>
      <left/>
      <right/>
      <top style="medium">
        <color rgb="FF6F0791"/>
      </top>
      <bottom style="medium">
        <color rgb="FF6F0791"/>
      </bottom>
      <diagonal/>
    </border>
    <border>
      <left/>
      <right/>
      <top style="medium">
        <color rgb="FF6F0791"/>
      </top>
      <bottom style="thick">
        <color rgb="FF323232"/>
      </bottom>
      <diagonal/>
    </border>
    <border>
      <left/>
      <right/>
      <top style="medium">
        <color rgb="FF323232"/>
      </top>
      <bottom/>
      <diagonal/>
    </border>
    <border>
      <left/>
      <right/>
      <top style="thick">
        <color rgb="FF323232"/>
      </top>
      <bottom/>
      <diagonal/>
    </border>
    <border>
      <left/>
      <right/>
      <top style="medium">
        <color rgb="FF323232"/>
      </top>
      <bottom style="medium">
        <color rgb="FF323232"/>
      </bottom>
      <diagonal/>
    </border>
    <border>
      <left/>
      <right/>
      <top style="medium">
        <color rgb="FF8C8C8C"/>
      </top>
      <bottom style="medium">
        <color rgb="FF8C8C8C"/>
      </bottom>
      <diagonal/>
    </border>
    <border>
      <left/>
      <right/>
      <top style="medium">
        <color rgb="FF8C8C8C"/>
      </top>
      <bottom/>
      <diagonal/>
    </border>
    <border>
      <left style="medium">
        <color rgb="FF6F0791"/>
      </left>
      <right/>
      <top/>
      <bottom style="medium">
        <color rgb="FF6F0791"/>
      </bottom>
      <diagonal/>
    </border>
    <border>
      <left/>
      <right style="medium">
        <color rgb="FF6F0791"/>
      </right>
      <top/>
      <bottom style="medium">
        <color rgb="FF6F0791"/>
      </bottom>
      <diagonal/>
    </border>
    <border>
      <left style="medium">
        <color rgb="FF6F0791"/>
      </left>
      <right/>
      <top style="medium">
        <color rgb="FF6F0791"/>
      </top>
      <bottom/>
      <diagonal/>
    </border>
    <border>
      <left/>
      <right style="medium">
        <color rgb="FF6F0791"/>
      </right>
      <top style="medium">
        <color rgb="FF6F0791"/>
      </top>
      <bottom/>
      <diagonal/>
    </border>
    <border>
      <left style="medium">
        <color rgb="FF6F0791"/>
      </left>
      <right/>
      <top/>
      <bottom/>
      <diagonal/>
    </border>
    <border>
      <left/>
      <right style="medium">
        <color rgb="FF6F0791"/>
      </right>
      <top/>
      <bottom/>
      <diagonal/>
    </border>
    <border>
      <left/>
      <right/>
      <top style="medium">
        <color rgb="FF6F0791"/>
      </top>
      <bottom style="thin">
        <color rgb="FF6F0791"/>
      </bottom>
      <diagonal/>
    </border>
    <border>
      <left/>
      <right/>
      <top style="thin">
        <color rgb="FF6F0791"/>
      </top>
      <bottom style="thin">
        <color rgb="FF6F0791"/>
      </bottom>
      <diagonal/>
    </border>
    <border>
      <left/>
      <right/>
      <top style="thin">
        <color rgb="FF6F0791"/>
      </top>
      <bottom style="medium">
        <color rgb="FF8C8C8C"/>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theme="4"/>
      </bottom>
      <diagonal/>
    </border>
    <border>
      <left style="medium">
        <color rgb="FF5B9BD5"/>
      </left>
      <right style="medium">
        <color rgb="FF5B9BD5"/>
      </right>
      <top style="thick">
        <color rgb="FF5B9BD5"/>
      </top>
      <bottom style="medium">
        <color rgb="FF5B9BD5"/>
      </bottom>
      <diagonal/>
    </border>
    <border>
      <left style="medium">
        <color rgb="FF5B9BD5"/>
      </left>
      <right style="medium">
        <color rgb="FF5B9BD5"/>
      </right>
      <top style="medium">
        <color rgb="FF5B9BD5"/>
      </top>
      <bottom style="medium">
        <color rgb="FF5B9BD5"/>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1">
    <xf numFmtId="0" fontId="0" fillId="0" borderId="0"/>
    <xf numFmtId="9" fontId="4" fillId="0" borderId="0" applyFont="0" applyFill="0" applyBorder="0" applyAlignment="0" applyProtection="0"/>
    <xf numFmtId="0" fontId="2" fillId="0" borderId="0" applyNumberFormat="0" applyFill="0" applyBorder="0" applyAlignment="0" applyProtection="0"/>
    <xf numFmtId="0" fontId="4" fillId="0" borderId="0"/>
    <xf numFmtId="0" fontId="1" fillId="0" borderId="0"/>
    <xf numFmtId="165" fontId="1" fillId="0" borderId="0" applyFont="0" applyFill="0" applyBorder="0" applyAlignment="0" applyProtection="0"/>
    <xf numFmtId="167" fontId="1" fillId="0" borderId="0" applyFont="0" applyFill="0" applyBorder="0" applyAlignment="0" applyProtection="0"/>
    <xf numFmtId="0" fontId="38" fillId="0" borderId="0"/>
    <xf numFmtId="43" fontId="38" fillId="0" borderId="0" applyFont="0" applyFill="0" applyBorder="0" applyAlignment="0" applyProtection="0"/>
    <xf numFmtId="9" fontId="38" fillId="0" borderId="0" applyFont="0" applyFill="0" applyBorder="0" applyAlignment="0" applyProtection="0"/>
    <xf numFmtId="0" fontId="41" fillId="0" borderId="0" applyNumberFormat="0" applyFill="0" applyBorder="0" applyAlignment="0" applyProtection="0"/>
  </cellStyleXfs>
  <cellXfs count="604">
    <xf numFmtId="0" fontId="0" fillId="0" borderId="0" xfId="0"/>
    <xf numFmtId="0" fontId="3" fillId="0" borderId="0" xfId="2" applyFont="1"/>
    <xf numFmtId="0" fontId="5" fillId="0" borderId="0" xfId="0" applyFont="1"/>
    <xf numFmtId="0" fontId="4" fillId="0" borderId="0" xfId="3"/>
    <xf numFmtId="0" fontId="2" fillId="0" borderId="0" xfId="2"/>
    <xf numFmtId="164" fontId="6" fillId="0" borderId="0" xfId="0" applyNumberFormat="1" applyFont="1" applyAlignment="1">
      <alignment horizontal="left"/>
    </xf>
    <xf numFmtId="164" fontId="6" fillId="0" borderId="0" xfId="0" applyNumberFormat="1" applyFont="1" applyAlignment="1">
      <alignment horizontal="left" vertical="center"/>
    </xf>
    <xf numFmtId="38" fontId="6" fillId="0" borderId="0" xfId="0" applyNumberFormat="1" applyFont="1" applyAlignment="1">
      <alignment horizontal="left" vertical="center"/>
    </xf>
    <xf numFmtId="164" fontId="6" fillId="0" borderId="0" xfId="0" applyNumberFormat="1" applyFont="1" applyAlignment="1">
      <alignment horizontal="left" vertical="center"/>
    </xf>
    <xf numFmtId="38" fontId="6" fillId="0" borderId="0" xfId="0" applyNumberFormat="1" applyFont="1" applyAlignment="1">
      <alignment horizontal="left"/>
    </xf>
    <xf numFmtId="38" fontId="6" fillId="0" borderId="0" xfId="0" applyNumberFormat="1" applyFont="1" applyAlignment="1">
      <alignment horizontal="left" vertical="center"/>
    </xf>
    <xf numFmtId="164" fontId="6" fillId="0" borderId="0" xfId="0" applyNumberFormat="1" applyFont="1"/>
    <xf numFmtId="164" fontId="6" fillId="0" borderId="0" xfId="0" applyNumberFormat="1" applyFont="1" applyAlignment="1">
      <alignment horizontal="right" vertical="center" wrapText="1"/>
    </xf>
    <xf numFmtId="38" fontId="6" fillId="0" borderId="0" xfId="0" applyNumberFormat="1" applyFont="1"/>
    <xf numFmtId="38" fontId="6" fillId="0" borderId="0" xfId="0" applyNumberFormat="1" applyFont="1" applyAlignment="1">
      <alignment horizontal="right" vertical="center"/>
    </xf>
    <xf numFmtId="164" fontId="6" fillId="0" borderId="0" xfId="0" applyNumberFormat="1" applyFont="1" applyAlignment="1">
      <alignment horizontal="right" vertical="center"/>
    </xf>
    <xf numFmtId="0" fontId="0" fillId="0" borderId="0" xfId="0" applyAlignment="1">
      <alignment horizontal="right" vertical="center"/>
    </xf>
    <xf numFmtId="9" fontId="0" fillId="0" borderId="0" xfId="0" applyNumberFormat="1"/>
    <xf numFmtId="0" fontId="8" fillId="2" borderId="0" xfId="0" applyFont="1" applyFill="1"/>
    <xf numFmtId="0" fontId="0" fillId="2" borderId="0" xfId="0" applyFill="1"/>
    <xf numFmtId="0" fontId="9" fillId="2" borderId="0" xfId="0" applyFont="1" applyFill="1"/>
    <xf numFmtId="0" fontId="0" fillId="3" borderId="0" xfId="0" applyFill="1"/>
    <xf numFmtId="0" fontId="0" fillId="3" borderId="1" xfId="0" applyFill="1" applyBorder="1"/>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1" fillId="3" borderId="0" xfId="0" applyFont="1" applyFill="1" applyAlignment="1">
      <alignment horizontal="right"/>
    </xf>
    <xf numFmtId="9" fontId="10" fillId="3" borderId="5" xfId="0" applyNumberFormat="1" applyFont="1" applyFill="1" applyBorder="1" applyAlignment="1">
      <alignment horizontal="center"/>
    </xf>
    <xf numFmtId="9" fontId="10" fillId="3" borderId="6" xfId="0" applyNumberFormat="1" applyFont="1" applyFill="1" applyBorder="1" applyAlignment="1">
      <alignment horizontal="center"/>
    </xf>
    <xf numFmtId="9" fontId="10" fillId="3" borderId="7" xfId="0" applyNumberFormat="1" applyFont="1" applyFill="1" applyBorder="1" applyAlignment="1">
      <alignment horizontal="center"/>
    </xf>
    <xf numFmtId="164" fontId="11" fillId="3" borderId="2" xfId="0" applyNumberFormat="1" applyFont="1" applyFill="1" applyBorder="1" applyAlignment="1">
      <alignment horizontal="center"/>
    </xf>
    <xf numFmtId="164" fontId="10" fillId="3" borderId="3" xfId="0" applyNumberFormat="1" applyFont="1" applyFill="1" applyBorder="1" applyAlignment="1">
      <alignment horizontal="center"/>
    </xf>
    <xf numFmtId="164" fontId="11" fillId="3" borderId="3" xfId="0" applyNumberFormat="1" applyFont="1" applyFill="1" applyBorder="1" applyAlignment="1">
      <alignment horizontal="center"/>
    </xf>
    <xf numFmtId="164" fontId="10" fillId="3" borderId="4" xfId="0" applyNumberFormat="1" applyFont="1" applyFill="1" applyBorder="1" applyAlignment="1">
      <alignment horizontal="center"/>
    </xf>
    <xf numFmtId="0" fontId="12" fillId="3" borderId="8" xfId="0" applyFont="1" applyFill="1" applyBorder="1"/>
    <xf numFmtId="0" fontId="0" fillId="3" borderId="8" xfId="0" applyFill="1" applyBorder="1"/>
    <xf numFmtId="0" fontId="13" fillId="4" borderId="9" xfId="4" applyFont="1" applyFill="1" applyBorder="1" applyAlignment="1">
      <alignment horizontal="center" vertical="center" wrapText="1"/>
    </xf>
    <xf numFmtId="0" fontId="13" fillId="4" borderId="10" xfId="4" applyFont="1" applyFill="1" applyBorder="1" applyAlignment="1">
      <alignment horizontal="center" vertical="center" wrapText="1"/>
    </xf>
    <xf numFmtId="0" fontId="13" fillId="4" borderId="11" xfId="4" applyFont="1" applyFill="1" applyBorder="1" applyAlignment="1">
      <alignment horizontal="center" vertical="center" wrapText="1"/>
    </xf>
    <xf numFmtId="0" fontId="13" fillId="4" borderId="12" xfId="4" applyFont="1" applyFill="1" applyBorder="1" applyAlignment="1">
      <alignment horizontal="center" vertical="center" wrapText="1"/>
    </xf>
    <xf numFmtId="0" fontId="13" fillId="4" borderId="13" xfId="4" applyFont="1" applyFill="1" applyBorder="1" applyAlignment="1">
      <alignment horizontal="center" vertical="center" wrapText="1"/>
    </xf>
    <xf numFmtId="0" fontId="1" fillId="0" borderId="0" xfId="4" applyAlignment="1">
      <alignment wrapText="1"/>
    </xf>
    <xf numFmtId="0" fontId="14" fillId="5" borderId="12" xfId="4" applyFont="1" applyFill="1" applyBorder="1" applyAlignment="1">
      <alignment horizontal="center" vertical="center" wrapText="1"/>
    </xf>
    <xf numFmtId="166" fontId="14" fillId="5" borderId="12" xfId="5" applyNumberFormat="1" applyFont="1" applyFill="1" applyBorder="1" applyAlignment="1">
      <alignment horizontal="center" vertical="center" wrapText="1"/>
    </xf>
    <xf numFmtId="167" fontId="14" fillId="5" borderId="12" xfId="6" applyFont="1" applyFill="1" applyBorder="1" applyAlignment="1">
      <alignment horizontal="center" vertical="center" wrapText="1"/>
    </xf>
    <xf numFmtId="167" fontId="14" fillId="5" borderId="13" xfId="6" applyFont="1" applyFill="1" applyBorder="1" applyAlignment="1">
      <alignment horizontal="center" vertical="center" wrapText="1"/>
    </xf>
    <xf numFmtId="167" fontId="14" fillId="5" borderId="14" xfId="6" applyFont="1" applyFill="1" applyBorder="1" applyAlignment="1">
      <alignment horizontal="center" vertical="center" wrapText="1"/>
    </xf>
    <xf numFmtId="168" fontId="15" fillId="5" borderId="13" xfId="4" applyNumberFormat="1" applyFont="1" applyFill="1" applyBorder="1" applyAlignment="1">
      <alignment horizontal="center" vertical="center" wrapText="1"/>
    </xf>
    <xf numFmtId="168" fontId="15" fillId="5" borderId="15" xfId="4" applyNumberFormat="1" applyFont="1" applyFill="1" applyBorder="1" applyAlignment="1">
      <alignment horizontal="center" vertical="center" wrapText="1"/>
    </xf>
    <xf numFmtId="168" fontId="15" fillId="5" borderId="14" xfId="4" applyNumberFormat="1" applyFont="1" applyFill="1" applyBorder="1" applyAlignment="1">
      <alignment horizontal="center" vertical="center" wrapText="1"/>
    </xf>
    <xf numFmtId="168" fontId="15" fillId="5" borderId="13" xfId="4" applyNumberFormat="1" applyFont="1" applyFill="1" applyBorder="1" applyAlignment="1">
      <alignment horizontal="center" wrapText="1"/>
    </xf>
    <xf numFmtId="168" fontId="15" fillId="5" borderId="15" xfId="4" applyNumberFormat="1" applyFont="1" applyFill="1" applyBorder="1" applyAlignment="1">
      <alignment horizontal="center" wrapText="1"/>
    </xf>
    <xf numFmtId="168" fontId="15" fillId="5" borderId="14" xfId="4" applyNumberFormat="1" applyFont="1" applyFill="1" applyBorder="1" applyAlignment="1">
      <alignment horizontal="center" wrapText="1"/>
    </xf>
    <xf numFmtId="169" fontId="15" fillId="5" borderId="12" xfId="5" applyNumberFormat="1" applyFont="1" applyFill="1" applyBorder="1" applyAlignment="1">
      <alignment horizontal="center" vertical="center" wrapText="1"/>
    </xf>
    <xf numFmtId="0" fontId="13" fillId="4" borderId="16" xfId="4" applyFont="1" applyFill="1" applyBorder="1" applyAlignment="1">
      <alignment horizontal="center" vertical="center" wrapText="1"/>
    </xf>
    <xf numFmtId="0" fontId="13" fillId="4" borderId="16" xfId="4" applyFont="1" applyFill="1" applyBorder="1" applyAlignment="1">
      <alignment horizontal="center" vertical="center" wrapText="1"/>
    </xf>
    <xf numFmtId="0" fontId="14" fillId="5" borderId="16" xfId="4" applyFont="1" applyFill="1" applyBorder="1" applyAlignment="1">
      <alignment horizontal="center" vertical="center" wrapText="1"/>
    </xf>
    <xf numFmtId="166" fontId="14" fillId="5" borderId="16" xfId="5" applyNumberFormat="1" applyFont="1" applyFill="1" applyBorder="1" applyAlignment="1">
      <alignment horizontal="center" vertical="center" wrapText="1"/>
    </xf>
    <xf numFmtId="167" fontId="14" fillId="5" borderId="16" xfId="6" applyFont="1" applyFill="1" applyBorder="1" applyAlignment="1">
      <alignment horizontal="center" vertical="center" wrapText="1"/>
    </xf>
    <xf numFmtId="167" fontId="14" fillId="5" borderId="17" xfId="6" applyFont="1" applyFill="1" applyBorder="1" applyAlignment="1">
      <alignment horizontal="center" vertical="center" wrapText="1"/>
    </xf>
    <xf numFmtId="167" fontId="14" fillId="5" borderId="18" xfId="6" applyFont="1" applyFill="1" applyBorder="1" applyAlignment="1">
      <alignment horizontal="center" vertical="center" wrapText="1"/>
    </xf>
    <xf numFmtId="168" fontId="15" fillId="5" borderId="17" xfId="4" applyNumberFormat="1" applyFont="1" applyFill="1" applyBorder="1" applyAlignment="1">
      <alignment horizontal="center" vertical="center" wrapText="1"/>
    </xf>
    <xf numFmtId="168" fontId="15" fillId="5" borderId="19" xfId="4" applyNumberFormat="1" applyFont="1" applyFill="1" applyBorder="1" applyAlignment="1">
      <alignment horizontal="center" vertical="center" wrapText="1"/>
    </xf>
    <xf numFmtId="168" fontId="15" fillId="5" borderId="18" xfId="4" applyNumberFormat="1" applyFont="1" applyFill="1" applyBorder="1" applyAlignment="1">
      <alignment horizontal="center" vertical="center" wrapText="1"/>
    </xf>
    <xf numFmtId="168" fontId="15" fillId="5" borderId="17" xfId="4" applyNumberFormat="1" applyFont="1" applyFill="1" applyBorder="1" applyAlignment="1">
      <alignment horizontal="center" wrapText="1"/>
    </xf>
    <xf numFmtId="168" fontId="15" fillId="5" borderId="19" xfId="4" applyNumberFormat="1" applyFont="1" applyFill="1" applyBorder="1" applyAlignment="1">
      <alignment horizontal="center" wrapText="1"/>
    </xf>
    <xf numFmtId="168" fontId="15" fillId="5" borderId="18" xfId="4" applyNumberFormat="1" applyFont="1" applyFill="1" applyBorder="1" applyAlignment="1">
      <alignment horizontal="center" wrapText="1"/>
    </xf>
    <xf numFmtId="169" fontId="15" fillId="5" borderId="20" xfId="5" applyNumberFormat="1" applyFont="1" applyFill="1" applyBorder="1" applyAlignment="1">
      <alignment horizontal="center" vertical="center" wrapText="1"/>
    </xf>
    <xf numFmtId="0" fontId="14" fillId="5" borderId="21" xfId="4" applyFont="1" applyFill="1" applyBorder="1" applyAlignment="1">
      <alignment horizontal="center" vertical="center" wrapText="1"/>
    </xf>
    <xf numFmtId="166" fontId="14" fillId="5" borderId="21" xfId="5" applyNumberFormat="1" applyFont="1" applyFill="1" applyBorder="1" applyAlignment="1">
      <alignment horizontal="center" vertical="center" wrapText="1"/>
    </xf>
    <xf numFmtId="167" fontId="14" fillId="5" borderId="21" xfId="6" applyFont="1" applyFill="1" applyBorder="1" applyAlignment="1">
      <alignment horizontal="center" vertical="center" wrapText="1"/>
    </xf>
    <xf numFmtId="167" fontId="14" fillId="5" borderId="22" xfId="6" applyFont="1" applyFill="1" applyBorder="1" applyAlignment="1">
      <alignment horizontal="center" vertical="center" wrapText="1"/>
    </xf>
    <xf numFmtId="167" fontId="14" fillId="5" borderId="23" xfId="6" applyFont="1" applyFill="1" applyBorder="1" applyAlignment="1">
      <alignment horizontal="center" vertical="center" wrapText="1"/>
    </xf>
    <xf numFmtId="166" fontId="15" fillId="5" borderId="24" xfId="5" applyNumberFormat="1" applyFont="1" applyFill="1" applyBorder="1" applyAlignment="1">
      <alignment horizontal="center" vertical="center" wrapText="1"/>
    </xf>
    <xf numFmtId="166" fontId="15" fillId="5" borderId="25" xfId="5" applyNumberFormat="1" applyFont="1" applyFill="1" applyBorder="1" applyAlignment="1">
      <alignment horizontal="center" vertical="center" wrapText="1"/>
    </xf>
    <xf numFmtId="167" fontId="15" fillId="5" borderId="26" xfId="6" applyFont="1" applyFill="1" applyBorder="1" applyAlignment="1">
      <alignment horizontal="center" vertical="center" wrapText="1"/>
    </xf>
    <xf numFmtId="167" fontId="15" fillId="5" borderId="27" xfId="6" applyFont="1" applyFill="1" applyBorder="1" applyAlignment="1">
      <alignment horizontal="center" vertical="center" wrapText="1"/>
    </xf>
    <xf numFmtId="169" fontId="15" fillId="5" borderId="24" xfId="5" applyNumberFormat="1" applyFont="1" applyFill="1" applyBorder="1" applyAlignment="1">
      <alignment horizontal="center" vertical="center" wrapText="1"/>
    </xf>
    <xf numFmtId="0" fontId="13" fillId="4" borderId="21" xfId="4" applyFont="1" applyFill="1" applyBorder="1" applyAlignment="1">
      <alignment horizontal="center" vertical="center" wrapText="1"/>
    </xf>
    <xf numFmtId="0" fontId="13" fillId="4" borderId="21" xfId="4" applyFont="1" applyFill="1" applyBorder="1" applyAlignment="1">
      <alignment horizontal="center" vertical="center" wrapText="1"/>
    </xf>
    <xf numFmtId="164" fontId="16" fillId="0" borderId="0" xfId="4" applyNumberFormat="1" applyFont="1" applyAlignment="1">
      <alignment wrapText="1"/>
    </xf>
    <xf numFmtId="166" fontId="16" fillId="0" borderId="0" xfId="5" applyNumberFormat="1" applyFont="1" applyAlignment="1">
      <alignment wrapText="1"/>
    </xf>
    <xf numFmtId="167" fontId="16" fillId="0" borderId="0" xfId="6" applyFont="1" applyAlignment="1">
      <alignment wrapText="1"/>
    </xf>
    <xf numFmtId="169" fontId="16" fillId="0" borderId="0" xfId="5" applyNumberFormat="1" applyFont="1" applyAlignment="1">
      <alignment wrapText="1"/>
    </xf>
    <xf numFmtId="0" fontId="16" fillId="0" borderId="0" xfId="4" applyFont="1" applyAlignment="1">
      <alignment wrapText="1"/>
    </xf>
    <xf numFmtId="14" fontId="16" fillId="0" borderId="0" xfId="4" applyNumberFormat="1" applyFont="1" applyAlignment="1">
      <alignment wrapText="1"/>
    </xf>
    <xf numFmtId="38" fontId="17" fillId="0" borderId="0" xfId="4" applyNumberFormat="1" applyFont="1" applyAlignment="1">
      <alignment wrapText="1"/>
    </xf>
    <xf numFmtId="38" fontId="16" fillId="0" borderId="0" xfId="5" applyNumberFormat="1" applyFont="1" applyAlignment="1">
      <alignment horizontal="center" wrapText="1"/>
    </xf>
    <xf numFmtId="0" fontId="16" fillId="0" borderId="0" xfId="5" applyNumberFormat="1" applyFont="1" applyAlignment="1">
      <alignment wrapText="1"/>
    </xf>
    <xf numFmtId="3" fontId="18" fillId="0" borderId="0" xfId="4" applyNumberFormat="1" applyFont="1" applyAlignment="1">
      <alignment horizontal="right" vertical="center"/>
    </xf>
    <xf numFmtId="166" fontId="16" fillId="0" borderId="0" xfId="5" applyNumberFormat="1" applyFont="1" applyBorder="1" applyAlignment="1">
      <alignment wrapText="1"/>
    </xf>
    <xf numFmtId="167" fontId="16" fillId="0" borderId="0" xfId="6" applyFont="1" applyBorder="1" applyAlignment="1">
      <alignment wrapText="1"/>
    </xf>
    <xf numFmtId="166" fontId="0" fillId="0" borderId="0" xfId="5" applyNumberFormat="1" applyFont="1" applyAlignment="1">
      <alignment wrapText="1"/>
    </xf>
    <xf numFmtId="167" fontId="0" fillId="0" borderId="0" xfId="6" applyFont="1" applyAlignment="1">
      <alignment wrapText="1"/>
    </xf>
    <xf numFmtId="169" fontId="0" fillId="0" borderId="0" xfId="5" applyNumberFormat="1" applyFont="1" applyAlignment="1">
      <alignment wrapText="1"/>
    </xf>
    <xf numFmtId="0" fontId="19" fillId="2" borderId="0" xfId="3" applyFont="1" applyFill="1" applyAlignment="1">
      <alignment horizontal="left" vertical="center"/>
    </xf>
    <xf numFmtId="0" fontId="20" fillId="2" borderId="0" xfId="0" applyFont="1" applyFill="1" applyAlignment="1">
      <alignment horizontal="left" vertical="center"/>
    </xf>
    <xf numFmtId="0" fontId="6" fillId="0" borderId="0" xfId="0" applyFont="1" applyAlignment="1">
      <alignment horizontal="left" vertical="center"/>
    </xf>
    <xf numFmtId="0" fontId="6" fillId="0" borderId="28" xfId="0" applyFont="1" applyBorder="1" applyAlignment="1">
      <alignment horizontal="left" vertical="center"/>
    </xf>
    <xf numFmtId="0" fontId="21" fillId="0" borderId="28" xfId="0" applyFont="1" applyBorder="1" applyAlignment="1">
      <alignment horizontal="left" vertical="center"/>
    </xf>
    <xf numFmtId="0" fontId="6" fillId="0" borderId="0" xfId="3" applyFont="1" applyAlignment="1">
      <alignment horizontal="left" vertical="center"/>
    </xf>
    <xf numFmtId="38" fontId="6" fillId="0" borderId="0" xfId="3" applyNumberFormat="1" applyFont="1" applyAlignment="1">
      <alignment horizontal="left" vertical="center"/>
    </xf>
    <xf numFmtId="38" fontId="22" fillId="0" borderId="0" xfId="0" applyNumberFormat="1" applyFont="1" applyAlignment="1">
      <alignment horizontal="left" vertical="center"/>
    </xf>
    <xf numFmtId="0" fontId="6" fillId="0" borderId="8" xfId="3" applyFont="1" applyBorder="1" applyAlignment="1">
      <alignment horizontal="left" vertical="center"/>
    </xf>
    <xf numFmtId="38" fontId="6" fillId="0" borderId="8" xfId="0" applyNumberFormat="1" applyFont="1" applyBorder="1" applyAlignment="1">
      <alignment horizontal="left" vertical="center"/>
    </xf>
    <xf numFmtId="0" fontId="6" fillId="0" borderId="8" xfId="0" applyFont="1" applyBorder="1" applyAlignment="1">
      <alignment horizontal="left" vertical="center"/>
    </xf>
    <xf numFmtId="0" fontId="21" fillId="0" borderId="0" xfId="0" applyFont="1" applyAlignment="1">
      <alignment horizontal="left" vertical="center"/>
    </xf>
    <xf numFmtId="0" fontId="6" fillId="0" borderId="29" xfId="0" applyFont="1" applyBorder="1" applyAlignment="1">
      <alignment horizontal="left" vertical="center"/>
    </xf>
    <xf numFmtId="0" fontId="21" fillId="0" borderId="29" xfId="0" applyFont="1" applyBorder="1" applyAlignment="1">
      <alignment horizontal="left" vertical="center"/>
    </xf>
    <xf numFmtId="38" fontId="23" fillId="0" borderId="0" xfId="0" applyNumberFormat="1" applyFont="1" applyAlignment="1">
      <alignment horizontal="left" vertical="center"/>
    </xf>
    <xf numFmtId="0" fontId="19" fillId="2" borderId="0" xfId="3" applyFont="1" applyFill="1"/>
    <xf numFmtId="0" fontId="20" fillId="2" borderId="0" xfId="0" applyFont="1" applyFill="1"/>
    <xf numFmtId="0" fontId="6" fillId="0" borderId="0" xfId="0" applyFont="1"/>
    <xf numFmtId="0" fontId="6" fillId="0" borderId="30" xfId="0" applyFont="1" applyBorder="1" applyAlignment="1">
      <alignment horizontal="right"/>
    </xf>
    <xf numFmtId="0" fontId="21" fillId="0" borderId="30" xfId="0" applyFont="1" applyBorder="1" applyAlignment="1">
      <alignment horizontal="center"/>
    </xf>
    <xf numFmtId="0" fontId="6" fillId="0" borderId="0" xfId="3" applyFont="1"/>
    <xf numFmtId="38" fontId="6" fillId="0" borderId="0" xfId="3" applyNumberFormat="1" applyFont="1"/>
    <xf numFmtId="38" fontId="21" fillId="0" borderId="0" xfId="0" applyNumberFormat="1" applyFont="1"/>
    <xf numFmtId="38" fontId="22" fillId="0" borderId="0" xfId="0" applyNumberFormat="1" applyFont="1"/>
    <xf numFmtId="0" fontId="6" fillId="0" borderId="19" xfId="3" applyFont="1" applyBorder="1"/>
    <xf numFmtId="38" fontId="6" fillId="0" borderId="19" xfId="3" applyNumberFormat="1" applyFont="1" applyBorder="1"/>
    <xf numFmtId="38" fontId="22" fillId="0" borderId="19" xfId="0" applyNumberFormat="1" applyFont="1" applyBorder="1"/>
    <xf numFmtId="38" fontId="23" fillId="0" borderId="0" xfId="0" applyNumberFormat="1" applyFont="1"/>
    <xf numFmtId="0" fontId="6" fillId="0" borderId="31" xfId="3" applyFont="1" applyBorder="1"/>
    <xf numFmtId="38" fontId="6" fillId="0" borderId="31" xfId="3" applyNumberFormat="1" applyFont="1" applyBorder="1"/>
    <xf numFmtId="10" fontId="6" fillId="0" borderId="31" xfId="1" applyNumberFormat="1" applyFont="1" applyBorder="1"/>
    <xf numFmtId="170" fontId="6" fillId="0" borderId="0" xfId="3" applyNumberFormat="1" applyFont="1"/>
    <xf numFmtId="170" fontId="6" fillId="0" borderId="0" xfId="0" applyNumberFormat="1" applyFont="1"/>
    <xf numFmtId="171" fontId="6" fillId="0" borderId="0" xfId="1" applyNumberFormat="1" applyFont="1"/>
    <xf numFmtId="0" fontId="6" fillId="0" borderId="32" xfId="3" applyFont="1" applyBorder="1"/>
    <xf numFmtId="38" fontId="6" fillId="0" borderId="32" xfId="0" applyNumberFormat="1" applyFont="1" applyBorder="1"/>
    <xf numFmtId="0" fontId="6" fillId="0" borderId="32" xfId="0" applyFont="1" applyBorder="1"/>
    <xf numFmtId="171" fontId="6" fillId="0" borderId="0" xfId="1" applyNumberFormat="1" applyFont="1" applyBorder="1"/>
    <xf numFmtId="9" fontId="6" fillId="0" borderId="0" xfId="1" applyFont="1" applyBorder="1"/>
    <xf numFmtId="172" fontId="6" fillId="0" borderId="0" xfId="1" applyNumberFormat="1" applyFont="1" applyBorder="1"/>
    <xf numFmtId="172" fontId="24" fillId="0" borderId="0" xfId="1" applyNumberFormat="1" applyFont="1" applyBorder="1"/>
    <xf numFmtId="171" fontId="6" fillId="0" borderId="0" xfId="1" applyNumberFormat="1" applyFont="1" applyFill="1" applyBorder="1"/>
    <xf numFmtId="0" fontId="21" fillId="0" borderId="0" xfId="0" applyFont="1"/>
    <xf numFmtId="0" fontId="6" fillId="0" borderId="33" xfId="0" applyFont="1" applyBorder="1"/>
    <xf numFmtId="0" fontId="21" fillId="0" borderId="33" xfId="0" applyFont="1" applyBorder="1" applyAlignment="1">
      <alignment horizontal="center"/>
    </xf>
    <xf numFmtId="0" fontId="6" fillId="0" borderId="31" xfId="0" applyFont="1" applyBorder="1"/>
    <xf numFmtId="0" fontId="6" fillId="0" borderId="34" xfId="0" applyFont="1" applyBorder="1"/>
    <xf numFmtId="0" fontId="6" fillId="0" borderId="35" xfId="0" applyFont="1" applyBorder="1"/>
    <xf numFmtId="0" fontId="21" fillId="0" borderId="31" xfId="0" applyFont="1" applyBorder="1"/>
    <xf numFmtId="38" fontId="6" fillId="0" borderId="31" xfId="0" applyNumberFormat="1" applyFont="1" applyBorder="1"/>
    <xf numFmtId="38" fontId="22" fillId="0" borderId="31" xfId="0" applyNumberFormat="1" applyFont="1" applyBorder="1"/>
    <xf numFmtId="38" fontId="0" fillId="0" borderId="0" xfId="0" applyNumberFormat="1" applyAlignment="1">
      <alignment horizontal="center" vertical="center" wrapText="1"/>
    </xf>
    <xf numFmtId="38" fontId="0" fillId="0" borderId="0" xfId="0" applyNumberFormat="1" applyAlignment="1">
      <alignment horizontal="center"/>
    </xf>
    <xf numFmtId="38" fontId="0" fillId="0" borderId="0" xfId="0" applyNumberFormat="1" applyAlignment="1">
      <alignment horizontal="center" vertical="center"/>
    </xf>
    <xf numFmtId="38" fontId="0" fillId="0" borderId="0" xfId="0" applyNumberFormat="1" applyAlignment="1">
      <alignment horizont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9" fontId="0" fillId="0" borderId="0" xfId="1" applyFont="1" applyAlignment="1">
      <alignment horizontal="center"/>
    </xf>
    <xf numFmtId="0" fontId="0" fillId="0" borderId="0" xfId="0" applyAlignment="1">
      <alignment horizontal="center"/>
    </xf>
    <xf numFmtId="164" fontId="0" fillId="0" borderId="0" xfId="0" applyNumberFormat="1"/>
    <xf numFmtId="172" fontId="0" fillId="0" borderId="0" xfId="0" applyNumberFormat="1" applyAlignment="1">
      <alignment horizontal="center"/>
    </xf>
    <xf numFmtId="171" fontId="0" fillId="0" borderId="0" xfId="0" applyNumberFormat="1"/>
    <xf numFmtId="170" fontId="0" fillId="0" borderId="0" xfId="0" applyNumberFormat="1" applyAlignment="1">
      <alignment horizontal="center"/>
    </xf>
    <xf numFmtId="2" fontId="0" fillId="0" borderId="0" xfId="0" applyNumberFormat="1" applyAlignment="1">
      <alignment horizontal="center"/>
    </xf>
    <xf numFmtId="38" fontId="9" fillId="0" borderId="0" xfId="0" applyNumberFormat="1" applyFont="1" applyAlignment="1">
      <alignment horizontal="center"/>
    </xf>
    <xf numFmtId="170" fontId="9" fillId="0" borderId="0" xfId="0" applyNumberFormat="1" applyFont="1" applyAlignment="1">
      <alignment horizontal="center"/>
    </xf>
    <xf numFmtId="38" fontId="26" fillId="0" borderId="0" xfId="0" applyNumberFormat="1" applyFont="1" applyAlignment="1">
      <alignment horizontal="center"/>
    </xf>
    <xf numFmtId="0" fontId="9" fillId="0" borderId="0" xfId="0" applyFont="1"/>
    <xf numFmtId="172" fontId="0" fillId="0" borderId="0" xfId="0" applyNumberFormat="1"/>
    <xf numFmtId="173" fontId="0" fillId="0" borderId="0" xfId="0" applyNumberFormat="1"/>
    <xf numFmtId="40" fontId="0" fillId="0" borderId="0" xfId="0" applyNumberFormat="1"/>
    <xf numFmtId="0" fontId="6" fillId="0" borderId="28" xfId="0" applyFont="1" applyBorder="1" applyAlignment="1">
      <alignment horizontal="right"/>
    </xf>
    <xf numFmtId="0" fontId="21" fillId="0" borderId="28" xfId="0" applyFont="1" applyBorder="1" applyAlignment="1">
      <alignment horizontal="center"/>
    </xf>
    <xf numFmtId="38" fontId="27" fillId="0" borderId="0" xfId="0" applyNumberFormat="1" applyFont="1"/>
    <xf numFmtId="0" fontId="6" fillId="0" borderId="35" xfId="3" applyFont="1" applyBorder="1"/>
    <xf numFmtId="38" fontId="6" fillId="0" borderId="35" xfId="0" applyNumberFormat="1" applyFont="1" applyBorder="1"/>
    <xf numFmtId="38" fontId="21" fillId="0" borderId="35" xfId="0" applyNumberFormat="1" applyFont="1" applyBorder="1"/>
    <xf numFmtId="0" fontId="6" fillId="3" borderId="0" xfId="0" applyFont="1" applyFill="1"/>
    <xf numFmtId="0" fontId="22" fillId="3" borderId="0" xfId="0" applyFont="1" applyFill="1"/>
    <xf numFmtId="0" fontId="6" fillId="0" borderId="29" xfId="0" applyFont="1" applyBorder="1"/>
    <xf numFmtId="0" fontId="21" fillId="0" borderId="29" xfId="0" applyFont="1" applyBorder="1" applyAlignment="1">
      <alignment horizontal="center"/>
    </xf>
    <xf numFmtId="0" fontId="21" fillId="3" borderId="0" xfId="0" applyFont="1" applyFill="1" applyAlignment="1">
      <alignment horizontal="center" vertical="center"/>
    </xf>
    <xf numFmtId="0" fontId="6" fillId="6" borderId="0" xfId="0" applyFont="1" applyFill="1" applyAlignment="1">
      <alignment horizontal="right"/>
    </xf>
    <xf numFmtId="38" fontId="6" fillId="6" borderId="0" xfId="0" applyNumberFormat="1" applyFont="1" applyFill="1" applyAlignment="1">
      <alignment horizontal="center"/>
    </xf>
    <xf numFmtId="0" fontId="6" fillId="3" borderId="0" xfId="0" applyFont="1" applyFill="1" applyAlignment="1">
      <alignment horizontal="right"/>
    </xf>
    <xf numFmtId="38" fontId="6" fillId="6" borderId="0" xfId="0" applyNumberFormat="1" applyFont="1" applyFill="1" applyAlignment="1">
      <alignment horizontal="right"/>
    </xf>
    <xf numFmtId="38" fontId="21" fillId="6" borderId="0" xfId="0" applyNumberFormat="1" applyFont="1" applyFill="1" applyAlignment="1">
      <alignment horizontal="center"/>
    </xf>
    <xf numFmtId="38" fontId="21" fillId="6" borderId="36" xfId="0" applyNumberFormat="1" applyFont="1" applyFill="1" applyBorder="1" applyAlignment="1">
      <alignment horizontal="center"/>
    </xf>
    <xf numFmtId="38" fontId="21" fillId="6" borderId="1" xfId="0" applyNumberFormat="1" applyFont="1" applyFill="1" applyBorder="1" applyAlignment="1">
      <alignment horizontal="center"/>
    </xf>
    <xf numFmtId="38" fontId="21" fillId="6" borderId="37" xfId="0" applyNumberFormat="1" applyFont="1" applyFill="1" applyBorder="1" applyAlignment="1">
      <alignment horizontal="center"/>
    </xf>
    <xf numFmtId="171" fontId="21" fillId="6" borderId="0" xfId="1" applyNumberFormat="1" applyFont="1" applyFill="1" applyBorder="1" applyAlignment="1">
      <alignment horizontal="center"/>
    </xf>
    <xf numFmtId="0" fontId="22" fillId="3" borderId="0" xfId="0" applyFont="1" applyFill="1" applyAlignment="1">
      <alignment horizontal="center" vertical="center" wrapText="1"/>
    </xf>
    <xf numFmtId="171" fontId="6" fillId="3" borderId="0" xfId="1" applyNumberFormat="1" applyFont="1" applyFill="1"/>
    <xf numFmtId="171" fontId="21" fillId="3" borderId="0" xfId="1" applyNumberFormat="1" applyFont="1" applyFill="1"/>
    <xf numFmtId="38" fontId="6" fillId="3" borderId="0" xfId="0" applyNumberFormat="1" applyFont="1" applyFill="1"/>
    <xf numFmtId="38" fontId="21" fillId="3" borderId="0" xfId="0" applyNumberFormat="1" applyFont="1" applyFill="1"/>
    <xf numFmtId="0" fontId="22" fillId="6" borderId="0" xfId="0" applyFont="1" applyFill="1" applyAlignment="1">
      <alignment horizontal="center" wrapText="1"/>
    </xf>
    <xf numFmtId="171" fontId="6" fillId="6" borderId="0" xfId="1" applyNumberFormat="1" applyFont="1" applyFill="1"/>
    <xf numFmtId="171" fontId="21" fillId="6" borderId="0" xfId="1" applyNumberFormat="1" applyFont="1" applyFill="1"/>
    <xf numFmtId="38" fontId="6" fillId="6" borderId="0" xfId="0" applyNumberFormat="1" applyFont="1" applyFill="1"/>
    <xf numFmtId="38" fontId="21" fillId="6" borderId="0" xfId="0" applyNumberFormat="1" applyFont="1" applyFill="1"/>
    <xf numFmtId="0" fontId="22" fillId="3" borderId="0" xfId="0" applyFont="1" applyFill="1" applyAlignment="1">
      <alignment horizontal="center" wrapText="1"/>
    </xf>
    <xf numFmtId="0" fontId="6" fillId="0" borderId="8" xfId="0" applyFont="1" applyBorder="1"/>
    <xf numFmtId="171" fontId="6" fillId="0" borderId="8" xfId="1" applyNumberFormat="1" applyFont="1" applyBorder="1"/>
    <xf numFmtId="0" fontId="21" fillId="3" borderId="38" xfId="0" applyFont="1" applyFill="1" applyBorder="1" applyAlignment="1">
      <alignment horizontal="center" vertical="center"/>
    </xf>
    <xf numFmtId="0" fontId="21" fillId="3" borderId="8" xfId="0" applyFont="1" applyFill="1" applyBorder="1" applyAlignment="1">
      <alignment horizontal="center" vertical="center"/>
    </xf>
    <xf numFmtId="0" fontId="21" fillId="3" borderId="39" xfId="0" applyFont="1" applyFill="1" applyBorder="1" applyAlignment="1">
      <alignment horizontal="center" vertical="center"/>
    </xf>
    <xf numFmtId="38" fontId="21" fillId="6" borderId="40" xfId="0" applyNumberFormat="1" applyFont="1" applyFill="1" applyBorder="1" applyAlignment="1">
      <alignment horizontal="center"/>
    </xf>
    <xf numFmtId="38" fontId="21" fillId="6" borderId="41" xfId="0" applyNumberFormat="1" applyFont="1" applyFill="1" applyBorder="1" applyAlignment="1">
      <alignment horizontal="center"/>
    </xf>
    <xf numFmtId="38" fontId="21" fillId="3" borderId="40" xfId="0" applyNumberFormat="1" applyFont="1" applyFill="1" applyBorder="1" applyAlignment="1">
      <alignment horizontal="center"/>
    </xf>
    <xf numFmtId="38" fontId="21" fillId="3" borderId="0" xfId="0" applyNumberFormat="1" applyFont="1" applyFill="1" applyAlignment="1">
      <alignment horizontal="center"/>
    </xf>
    <xf numFmtId="38" fontId="21" fillId="3" borderId="41" xfId="0" applyNumberFormat="1" applyFont="1" applyFill="1" applyBorder="1" applyAlignment="1">
      <alignment horizontal="center"/>
    </xf>
    <xf numFmtId="38" fontId="21" fillId="0" borderId="40" xfId="0" applyNumberFormat="1" applyFont="1" applyBorder="1" applyAlignment="1">
      <alignment horizontal="center"/>
    </xf>
    <xf numFmtId="38" fontId="21" fillId="0" borderId="0" xfId="0" applyNumberFormat="1" applyFont="1" applyAlignment="1">
      <alignment horizontal="center"/>
    </xf>
    <xf numFmtId="38" fontId="21" fillId="0" borderId="41" xfId="0" applyNumberFormat="1" applyFont="1" applyBorder="1" applyAlignment="1">
      <alignment horizontal="center"/>
    </xf>
    <xf numFmtId="38" fontId="6" fillId="0" borderId="8" xfId="0" applyNumberFormat="1" applyFont="1" applyBorder="1"/>
    <xf numFmtId="0" fontId="21" fillId="3" borderId="0" xfId="0" applyFont="1" applyFill="1"/>
    <xf numFmtId="0" fontId="21" fillId="3" borderId="38" xfId="0" applyFont="1" applyFill="1" applyBorder="1"/>
    <xf numFmtId="0" fontId="21" fillId="3" borderId="8" xfId="0" applyFont="1" applyFill="1" applyBorder="1"/>
    <xf numFmtId="0" fontId="21" fillId="3" borderId="39" xfId="0" applyFont="1" applyFill="1" applyBorder="1"/>
    <xf numFmtId="38" fontId="6" fillId="7" borderId="0" xfId="0" applyNumberFormat="1" applyFont="1" applyFill="1" applyAlignment="1">
      <alignment horizontal="right"/>
    </xf>
    <xf numFmtId="38" fontId="6" fillId="7" borderId="0" xfId="0" applyNumberFormat="1" applyFont="1" applyFill="1"/>
    <xf numFmtId="38" fontId="21" fillId="7" borderId="40" xfId="0" applyNumberFormat="1" applyFont="1" applyFill="1" applyBorder="1"/>
    <xf numFmtId="38" fontId="21" fillId="7" borderId="0" xfId="0" applyNumberFormat="1" applyFont="1" applyFill="1"/>
    <xf numFmtId="38" fontId="21" fillId="7" borderId="41" xfId="0" applyNumberFormat="1" applyFont="1" applyFill="1" applyBorder="1"/>
    <xf numFmtId="38" fontId="6" fillId="3" borderId="0" xfId="0" applyNumberFormat="1" applyFont="1" applyFill="1" applyAlignment="1">
      <alignment horizontal="right"/>
    </xf>
    <xf numFmtId="38" fontId="21" fillId="3" borderId="40" xfId="0" applyNumberFormat="1" applyFont="1" applyFill="1" applyBorder="1"/>
    <xf numFmtId="38" fontId="21" fillId="3" borderId="41" xfId="0" applyNumberFormat="1" applyFont="1" applyFill="1" applyBorder="1"/>
    <xf numFmtId="38" fontId="21" fillId="6" borderId="36" xfId="0" applyNumberFormat="1" applyFont="1" applyFill="1" applyBorder="1"/>
    <xf numFmtId="38" fontId="21" fillId="6" borderId="1" xfId="0" applyNumberFormat="1" applyFont="1" applyFill="1" applyBorder="1"/>
    <xf numFmtId="38" fontId="21" fillId="6" borderId="37" xfId="0" applyNumberFormat="1" applyFont="1" applyFill="1" applyBorder="1"/>
    <xf numFmtId="0" fontId="6" fillId="0" borderId="42" xfId="0" applyFont="1" applyBorder="1" applyAlignment="1">
      <alignment horizontal="right"/>
    </xf>
    <xf numFmtId="0" fontId="21" fillId="0" borderId="42" xfId="0" applyFont="1" applyBorder="1" applyAlignment="1">
      <alignment horizontal="center"/>
    </xf>
    <xf numFmtId="0" fontId="21" fillId="0" borderId="0" xfId="3" applyFont="1"/>
    <xf numFmtId="172" fontId="27" fillId="0" borderId="0" xfId="0" applyNumberFormat="1" applyFont="1"/>
    <xf numFmtId="172" fontId="6" fillId="0" borderId="0" xfId="0" applyNumberFormat="1" applyFont="1"/>
    <xf numFmtId="172" fontId="21" fillId="0" borderId="0" xfId="0" applyNumberFormat="1" applyFont="1"/>
    <xf numFmtId="172" fontId="22" fillId="0" borderId="0" xfId="0" applyNumberFormat="1" applyFont="1"/>
    <xf numFmtId="3" fontId="6" fillId="0" borderId="0" xfId="0" applyNumberFormat="1" applyFont="1"/>
    <xf numFmtId="3" fontId="23" fillId="0" borderId="0" xfId="0" applyNumberFormat="1" applyFont="1"/>
    <xf numFmtId="9" fontId="6" fillId="0" borderId="0" xfId="1" applyFont="1"/>
    <xf numFmtId="10" fontId="6" fillId="0" borderId="0" xfId="0" applyNumberFormat="1" applyFont="1"/>
    <xf numFmtId="171" fontId="6" fillId="0" borderId="0" xfId="0" applyNumberFormat="1" applyFont="1"/>
    <xf numFmtId="16" fontId="6" fillId="0" borderId="0" xfId="0" applyNumberFormat="1" applyFont="1"/>
    <xf numFmtId="174" fontId="6" fillId="0" borderId="0" xfId="0" applyNumberFormat="1" applyFont="1"/>
    <xf numFmtId="2" fontId="6" fillId="0" borderId="0" xfId="0" applyNumberFormat="1" applyFont="1"/>
    <xf numFmtId="0" fontId="21" fillId="0" borderId="29" xfId="0" applyFont="1" applyBorder="1" applyAlignment="1">
      <alignment horizontal="center" vertical="center"/>
    </xf>
    <xf numFmtId="0" fontId="27" fillId="0" borderId="0" xfId="0" applyFont="1"/>
    <xf numFmtId="9" fontId="6" fillId="0" borderId="0" xfId="0" applyNumberFormat="1" applyFont="1"/>
    <xf numFmtId="9" fontId="23" fillId="0" borderId="0" xfId="0" applyNumberFormat="1" applyFont="1"/>
    <xf numFmtId="9" fontId="23" fillId="0" borderId="0" xfId="1" applyFont="1"/>
    <xf numFmtId="0" fontId="21" fillId="0" borderId="0" xfId="0" applyFont="1" applyAlignment="1">
      <alignment horizontal="center"/>
    </xf>
    <xf numFmtId="0" fontId="6" fillId="0" borderId="8" xfId="3" applyFont="1" applyBorder="1"/>
    <xf numFmtId="38" fontId="6" fillId="3" borderId="0" xfId="0" applyNumberFormat="1" applyFont="1" applyFill="1" applyAlignment="1">
      <alignment horizontal="center"/>
    </xf>
    <xf numFmtId="38" fontId="6" fillId="0" borderId="0" xfId="0" applyNumberFormat="1" applyFont="1" applyAlignment="1">
      <alignment horizontal="center"/>
    </xf>
    <xf numFmtId="40" fontId="6" fillId="0" borderId="0" xfId="0" applyNumberFormat="1" applyFont="1"/>
    <xf numFmtId="40" fontId="22" fillId="0" borderId="0" xfId="0" applyNumberFormat="1" applyFont="1"/>
    <xf numFmtId="40" fontId="21" fillId="0" borderId="0" xfId="0" applyNumberFormat="1" applyFont="1"/>
    <xf numFmtId="0" fontId="6" fillId="0" borderId="29" xfId="0" applyFont="1" applyBorder="1" applyAlignment="1">
      <alignment horizontal="right"/>
    </xf>
    <xf numFmtId="0" fontId="21" fillId="0" borderId="0" xfId="0" applyFont="1" applyAlignment="1">
      <alignment horizontal="center" vertical="center" wrapText="1"/>
    </xf>
    <xf numFmtId="0" fontId="6" fillId="0" borderId="0" xfId="0" applyFont="1" applyAlignment="1">
      <alignment horizontal="center" vertical="center"/>
    </xf>
    <xf numFmtId="0" fontId="21" fillId="0" borderId="0" xfId="0" applyFont="1" applyAlignment="1">
      <alignment horizontal="center" vertical="center" wrapText="1"/>
    </xf>
    <xf numFmtId="0" fontId="6" fillId="0" borderId="0" xfId="0" applyFont="1" applyAlignment="1">
      <alignment horizontal="right"/>
    </xf>
    <xf numFmtId="0" fontId="6" fillId="0" borderId="0" xfId="0" applyFont="1" applyAlignment="1">
      <alignment horizontal="center" vertical="center" wrapText="1"/>
    </xf>
    <xf numFmtId="0" fontId="28" fillId="8" borderId="0" xfId="0" applyFont="1" applyFill="1" applyAlignment="1">
      <alignment horizontal="center" vertical="center" wrapText="1"/>
    </xf>
    <xf numFmtId="0" fontId="6" fillId="0" borderId="0" xfId="0" applyFont="1" applyAlignment="1">
      <alignment horizontal="center" vertical="center" wrapText="1"/>
    </xf>
    <xf numFmtId="172" fontId="6" fillId="0" borderId="0" xfId="0" applyNumberFormat="1" applyFont="1" applyAlignment="1">
      <alignment horizontal="center"/>
    </xf>
    <xf numFmtId="0" fontId="6" fillId="0" borderId="0" xfId="0" applyFont="1" applyAlignment="1">
      <alignment horizontal="center"/>
    </xf>
    <xf numFmtId="0" fontId="6" fillId="0" borderId="0" xfId="0" applyFont="1" applyAlignment="1">
      <alignment horizontal="right" vertical="center"/>
    </xf>
    <xf numFmtId="17" fontId="6" fillId="0" borderId="0" xfId="0" applyNumberFormat="1" applyFont="1" applyAlignment="1">
      <alignment horizontal="center" vertical="center"/>
    </xf>
    <xf numFmtId="40" fontId="6" fillId="0" borderId="0" xfId="0" applyNumberFormat="1" applyFont="1" applyAlignment="1">
      <alignment horizontal="center" vertical="center"/>
    </xf>
    <xf numFmtId="38" fontId="6" fillId="0" borderId="0" xfId="0" applyNumberFormat="1" applyFont="1" applyAlignment="1">
      <alignment horizontal="center" vertical="center"/>
    </xf>
    <xf numFmtId="172" fontId="6" fillId="0" borderId="0" xfId="0" applyNumberFormat="1" applyFont="1" applyAlignment="1">
      <alignment horizontal="center" vertical="center"/>
    </xf>
    <xf numFmtId="40" fontId="6" fillId="0" borderId="0" xfId="0" applyNumberFormat="1" applyFont="1" applyAlignment="1">
      <alignment horizontal="center"/>
    </xf>
    <xf numFmtId="9" fontId="6" fillId="0" borderId="0" xfId="1" applyFont="1" applyAlignment="1">
      <alignment horizontal="center" vertical="center"/>
    </xf>
    <xf numFmtId="2" fontId="21" fillId="0" borderId="0" xfId="0" applyNumberFormat="1" applyFont="1"/>
    <xf numFmtId="2" fontId="6" fillId="0" borderId="0" xfId="0" applyNumberFormat="1" applyFont="1" applyAlignment="1">
      <alignment horizontal="center" vertical="center"/>
    </xf>
    <xf numFmtId="9" fontId="6" fillId="0" borderId="0" xfId="1" applyFont="1" applyAlignment="1">
      <alignment horizontal="center"/>
    </xf>
    <xf numFmtId="175" fontId="6" fillId="0" borderId="0" xfId="0" applyNumberFormat="1" applyFont="1" applyAlignment="1">
      <alignment horizontal="center" vertical="center"/>
    </xf>
    <xf numFmtId="164" fontId="6" fillId="6" borderId="0" xfId="0" applyNumberFormat="1" applyFont="1" applyFill="1"/>
    <xf numFmtId="38" fontId="6" fillId="6" borderId="0" xfId="0" applyNumberFormat="1" applyFont="1" applyFill="1" applyAlignment="1">
      <alignment horizontal="center" vertical="center"/>
    </xf>
    <xf numFmtId="172" fontId="6" fillId="6" borderId="0" xfId="0" applyNumberFormat="1" applyFont="1" applyFill="1" applyAlignment="1">
      <alignment horizontal="center" vertical="center"/>
    </xf>
    <xf numFmtId="0" fontId="6" fillId="6" borderId="0" xfId="0" applyFont="1" applyFill="1"/>
    <xf numFmtId="9" fontId="6" fillId="6" borderId="0" xfId="1" applyFont="1" applyFill="1"/>
    <xf numFmtId="9" fontId="6" fillId="6" borderId="0" xfId="1" applyFont="1" applyFill="1" applyAlignment="1">
      <alignment horizontal="center" vertical="center"/>
    </xf>
    <xf numFmtId="2" fontId="6" fillId="6" borderId="0" xfId="0" applyNumberFormat="1" applyFont="1" applyFill="1"/>
    <xf numFmtId="2" fontId="6" fillId="6" borderId="0" xfId="0" applyNumberFormat="1" applyFont="1" applyFill="1" applyAlignment="1">
      <alignment horizontal="center" vertical="center"/>
    </xf>
    <xf numFmtId="0" fontId="6" fillId="6" borderId="0" xfId="0" applyFont="1" applyFill="1" applyAlignment="1">
      <alignment horizontal="center" vertical="center"/>
    </xf>
    <xf numFmtId="40" fontId="6" fillId="6" borderId="0" xfId="0" applyNumberFormat="1" applyFont="1" applyFill="1" applyAlignment="1">
      <alignment horizontal="center"/>
    </xf>
    <xf numFmtId="40" fontId="6" fillId="6" borderId="0" xfId="0" applyNumberFormat="1" applyFont="1" applyFill="1"/>
    <xf numFmtId="170" fontId="6" fillId="0" borderId="0" xfId="0" applyNumberFormat="1" applyFont="1" applyAlignment="1">
      <alignment horizontal="center"/>
    </xf>
    <xf numFmtId="170" fontId="6" fillId="6" borderId="0" xfId="0" applyNumberFormat="1" applyFont="1" applyFill="1" applyAlignment="1">
      <alignment horizontal="center"/>
    </xf>
    <xf numFmtId="0" fontId="11" fillId="0" borderId="0" xfId="0" applyFont="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xf>
    <xf numFmtId="9" fontId="5" fillId="0" borderId="0" xfId="0" applyNumberFormat="1" applyFont="1" applyAlignment="1">
      <alignment horizontal="center"/>
    </xf>
    <xf numFmtId="164" fontId="5" fillId="0" borderId="0" xfId="0" applyNumberFormat="1" applyFont="1"/>
    <xf numFmtId="172" fontId="0" fillId="0" borderId="0" xfId="0" applyNumberFormat="1" applyAlignment="1">
      <alignment horizontal="center" vertical="center"/>
    </xf>
    <xf numFmtId="172" fontId="5" fillId="0" borderId="0" xfId="0" applyNumberFormat="1" applyFont="1" applyAlignment="1">
      <alignment horizontal="center" vertical="center"/>
    </xf>
    <xf numFmtId="164" fontId="5" fillId="6" borderId="0" xfId="0" applyNumberFormat="1" applyFont="1" applyFill="1"/>
    <xf numFmtId="172" fontId="5" fillId="6" borderId="0" xfId="0" applyNumberFormat="1" applyFont="1" applyFill="1" applyAlignment="1">
      <alignment horizontal="center" vertical="center"/>
    </xf>
    <xf numFmtId="0" fontId="0" fillId="6" borderId="0" xfId="0" applyFill="1"/>
    <xf numFmtId="38" fontId="5" fillId="0" borderId="0" xfId="0" applyNumberFormat="1" applyFont="1" applyAlignment="1">
      <alignment horizontal="center"/>
    </xf>
    <xf numFmtId="38" fontId="5" fillId="6" borderId="0" xfId="0" applyNumberFormat="1" applyFont="1" applyFill="1" applyAlignment="1">
      <alignment horizontal="center"/>
    </xf>
    <xf numFmtId="0" fontId="29" fillId="2" borderId="0" xfId="0" applyFont="1" applyFill="1"/>
    <xf numFmtId="0" fontId="30" fillId="2" borderId="0" xfId="0" applyFont="1" applyFill="1"/>
    <xf numFmtId="0" fontId="30" fillId="0" borderId="0" xfId="0" applyFont="1"/>
    <xf numFmtId="0" fontId="31" fillId="0" borderId="0" xfId="0" applyFont="1"/>
    <xf numFmtId="0" fontId="30" fillId="0" borderId="43" xfId="0" applyFont="1" applyBorder="1"/>
    <xf numFmtId="0" fontId="32" fillId="0" borderId="43" xfId="0" applyFont="1" applyBorder="1"/>
    <xf numFmtId="176" fontId="30" fillId="0" borderId="0" xfId="0" applyNumberFormat="1" applyFont="1"/>
    <xf numFmtId="176" fontId="32" fillId="0" borderId="0" xfId="0" applyNumberFormat="1" applyFont="1"/>
    <xf numFmtId="0" fontId="30" fillId="0" borderId="35" xfId="0" applyFont="1" applyBorder="1"/>
    <xf numFmtId="2" fontId="30" fillId="0" borderId="0" xfId="0" applyNumberFormat="1" applyFont="1"/>
    <xf numFmtId="0" fontId="33" fillId="2" borderId="0" xfId="0" applyFont="1" applyFill="1"/>
    <xf numFmtId="0" fontId="0" fillId="2" borderId="0" xfId="0" applyFill="1" applyAlignment="1">
      <alignment horizontal="right"/>
    </xf>
    <xf numFmtId="0" fontId="34" fillId="0" borderId="44" xfId="0" applyFont="1" applyBorder="1"/>
    <xf numFmtId="0" fontId="34" fillId="0" borderId="44" xfId="0" applyFont="1" applyBorder="1" applyAlignment="1">
      <alignment horizontal="center"/>
    </xf>
    <xf numFmtId="0" fontId="10" fillId="0" borderId="0" xfId="0" applyFont="1"/>
    <xf numFmtId="38" fontId="30" fillId="0" borderId="0" xfId="0" applyNumberFormat="1" applyFont="1" applyAlignment="1">
      <alignment horizontal="right"/>
    </xf>
    <xf numFmtId="38" fontId="32" fillId="0" borderId="0" xfId="0" applyNumberFormat="1" applyFont="1" applyAlignment="1">
      <alignment horizontal="right"/>
    </xf>
    <xf numFmtId="0" fontId="35" fillId="0" borderId="0" xfId="0" applyFont="1"/>
    <xf numFmtId="170" fontId="30" fillId="0" borderId="0" xfId="0" applyNumberFormat="1" applyFont="1" applyAlignment="1">
      <alignment horizontal="right"/>
    </xf>
    <xf numFmtId="170" fontId="35" fillId="0" borderId="0" xfId="0" applyNumberFormat="1" applyFont="1" applyAlignment="1">
      <alignment horizontal="right"/>
    </xf>
    <xf numFmtId="38" fontId="36" fillId="0" borderId="0" xfId="0" applyNumberFormat="1" applyFont="1" applyAlignment="1">
      <alignment horizontal="right"/>
    </xf>
    <xf numFmtId="38" fontId="37" fillId="0" borderId="0" xfId="0" applyNumberFormat="1" applyFont="1" applyAlignment="1">
      <alignment horizontal="right"/>
    </xf>
    <xf numFmtId="171" fontId="32" fillId="0" borderId="0" xfId="1" applyNumberFormat="1" applyFont="1" applyAlignment="1">
      <alignment horizontal="right"/>
    </xf>
    <xf numFmtId="171" fontId="30" fillId="0" borderId="0" xfId="1" applyNumberFormat="1" applyFont="1" applyAlignment="1">
      <alignment horizontal="right"/>
    </xf>
    <xf numFmtId="170" fontId="31" fillId="0" borderId="0" xfId="0" applyNumberFormat="1" applyFont="1" applyAlignment="1">
      <alignment horizontal="right"/>
    </xf>
    <xf numFmtId="0" fontId="0" fillId="0" borderId="34" xfId="0" applyBorder="1"/>
    <xf numFmtId="174" fontId="31" fillId="0" borderId="34" xfId="0" applyNumberFormat="1" applyFont="1" applyBorder="1" applyAlignment="1">
      <alignment horizontal="right"/>
    </xf>
    <xf numFmtId="9" fontId="35" fillId="0" borderId="0" xfId="1" applyFont="1" applyAlignment="1">
      <alignment horizontal="right"/>
    </xf>
    <xf numFmtId="9" fontId="30" fillId="0" borderId="0" xfId="1" applyFont="1" applyAlignment="1">
      <alignment horizontal="right"/>
    </xf>
    <xf numFmtId="10" fontId="30" fillId="0" borderId="0" xfId="1" applyNumberFormat="1" applyFont="1" applyAlignment="1">
      <alignment horizontal="right"/>
    </xf>
    <xf numFmtId="0" fontId="38" fillId="0" borderId="45" xfId="7" applyBorder="1"/>
    <xf numFmtId="0" fontId="39" fillId="0" borderId="45" xfId="7" applyFont="1" applyBorder="1" applyAlignment="1">
      <alignment horizontal="center" vertical="center"/>
    </xf>
    <xf numFmtId="0" fontId="39" fillId="0" borderId="46" xfId="7" applyFont="1" applyBorder="1" applyAlignment="1">
      <alignment horizontal="center" vertical="center"/>
    </xf>
    <xf numFmtId="0" fontId="39" fillId="0" borderId="47" xfId="7" applyFont="1" applyBorder="1"/>
    <xf numFmtId="0" fontId="38" fillId="0" borderId="47" xfId="7" applyBorder="1"/>
    <xf numFmtId="0" fontId="38" fillId="0" borderId="46" xfId="7" applyBorder="1"/>
    <xf numFmtId="0" fontId="38" fillId="3" borderId="0" xfId="7" applyFill="1"/>
    <xf numFmtId="0" fontId="38" fillId="0" borderId="48" xfId="7" applyBorder="1"/>
    <xf numFmtId="0" fontId="39" fillId="0" borderId="48" xfId="7" applyFont="1" applyBorder="1" applyAlignment="1">
      <alignment horizontal="center" vertical="center"/>
    </xf>
    <xf numFmtId="0" fontId="39" fillId="0" borderId="49" xfId="7" applyFont="1" applyBorder="1" applyAlignment="1">
      <alignment horizontal="center" vertical="center"/>
    </xf>
    <xf numFmtId="0" fontId="38" fillId="0" borderId="19" xfId="7" applyBorder="1"/>
    <xf numFmtId="0" fontId="38" fillId="0" borderId="49" xfId="7" applyBorder="1"/>
    <xf numFmtId="0" fontId="40" fillId="0" borderId="50" xfId="7" applyFont="1" applyBorder="1"/>
    <xf numFmtId="0" fontId="40" fillId="0" borderId="50" xfId="7" applyFont="1" applyBorder="1" applyAlignment="1">
      <alignment horizontal="center"/>
    </xf>
    <xf numFmtId="0" fontId="40" fillId="0" borderId="50" xfId="7" applyFont="1" applyBorder="1" applyAlignment="1">
      <alignment horizontal="center" wrapText="1"/>
    </xf>
    <xf numFmtId="177" fontId="40" fillId="0" borderId="50" xfId="8" applyNumberFormat="1" applyFont="1" applyFill="1" applyBorder="1" applyAlignment="1">
      <alignment horizontal="center"/>
    </xf>
    <xf numFmtId="0" fontId="40" fillId="0" borderId="46" xfId="7" applyFont="1" applyBorder="1" applyAlignment="1">
      <alignment horizontal="center"/>
    </xf>
    <xf numFmtId="0" fontId="40" fillId="3" borderId="50" xfId="7" applyFont="1" applyFill="1" applyBorder="1" applyAlignment="1">
      <alignment horizontal="center"/>
    </xf>
    <xf numFmtId="0" fontId="40" fillId="0" borderId="51" xfId="7" applyFont="1" applyBorder="1"/>
    <xf numFmtId="0" fontId="40" fillId="0" borderId="51" xfId="7" applyFont="1" applyBorder="1" applyAlignment="1">
      <alignment horizontal="center"/>
    </xf>
    <xf numFmtId="0" fontId="40" fillId="0" borderId="51" xfId="7" applyFont="1" applyBorder="1" applyAlignment="1">
      <alignment horizontal="center" wrapText="1"/>
    </xf>
    <xf numFmtId="177" fontId="40" fillId="0" borderId="51" xfId="8" applyNumberFormat="1" applyFont="1" applyFill="1" applyBorder="1" applyAlignment="1">
      <alignment horizontal="center"/>
    </xf>
    <xf numFmtId="0" fontId="40" fillId="0" borderId="49" xfId="7" applyFont="1" applyBorder="1" applyAlignment="1">
      <alignment horizontal="center"/>
    </xf>
    <xf numFmtId="0" fontId="40" fillId="3" borderId="51" xfId="7" applyFont="1" applyFill="1" applyBorder="1" applyAlignment="1">
      <alignment horizontal="center"/>
    </xf>
    <xf numFmtId="0" fontId="38" fillId="0" borderId="0" xfId="7"/>
    <xf numFmtId="0" fontId="38" fillId="0" borderId="0" xfId="7" applyAlignment="1">
      <alignment horizontal="center"/>
    </xf>
    <xf numFmtId="2" fontId="38" fillId="0" borderId="0" xfId="7" applyNumberFormat="1" applyAlignment="1">
      <alignment horizontal="center"/>
    </xf>
    <xf numFmtId="177" fontId="38" fillId="0" borderId="52" xfId="8" applyNumberFormat="1" applyFont="1" applyFill="1" applyBorder="1" applyAlignment="1">
      <alignment horizontal="center"/>
    </xf>
    <xf numFmtId="9" fontId="38" fillId="0" borderId="52" xfId="9" applyFont="1" applyFill="1" applyBorder="1" applyAlignment="1">
      <alignment horizontal="center"/>
    </xf>
    <xf numFmtId="177" fontId="38" fillId="0" borderId="0" xfId="7" applyNumberFormat="1"/>
    <xf numFmtId="0" fontId="39" fillId="3" borderId="0" xfId="7" applyFont="1" applyFill="1"/>
    <xf numFmtId="0" fontId="38" fillId="3" borderId="19" xfId="7" applyFill="1" applyBorder="1"/>
    <xf numFmtId="177" fontId="41" fillId="0" borderId="52" xfId="10" applyNumberFormat="1" applyFill="1" applyBorder="1" applyAlignment="1">
      <alignment horizontal="center"/>
    </xf>
    <xf numFmtId="0" fontId="42" fillId="9" borderId="0" xfId="7" applyFont="1" applyFill="1"/>
    <xf numFmtId="0" fontId="38" fillId="9" borderId="0" xfId="7" applyFill="1"/>
    <xf numFmtId="0" fontId="38" fillId="10" borderId="0" xfId="7" applyFill="1" applyAlignment="1">
      <alignment horizontal="center"/>
    </xf>
    <xf numFmtId="177" fontId="38" fillId="0" borderId="0" xfId="8" applyNumberFormat="1" applyFont="1" applyFill="1" applyBorder="1" applyAlignment="1">
      <alignment horizontal="center"/>
    </xf>
    <xf numFmtId="9" fontId="38" fillId="0" borderId="0" xfId="9" applyFont="1" applyFill="1" applyBorder="1" applyAlignment="1">
      <alignment horizontal="center"/>
    </xf>
    <xf numFmtId="177" fontId="38" fillId="3" borderId="0" xfId="7" applyNumberFormat="1" applyFill="1"/>
    <xf numFmtId="0" fontId="40" fillId="0" borderId="52" xfId="7" applyFont="1" applyBorder="1"/>
    <xf numFmtId="0" fontId="40" fillId="0" borderId="52" xfId="7" applyFont="1" applyBorder="1" applyAlignment="1">
      <alignment horizontal="center"/>
    </xf>
    <xf numFmtId="177" fontId="40" fillId="0" borderId="52" xfId="8" applyNumberFormat="1" applyFont="1" applyFill="1" applyBorder="1" applyAlignment="1">
      <alignment horizontal="center"/>
    </xf>
    <xf numFmtId="177" fontId="38" fillId="0" borderId="0" xfId="7" applyNumberFormat="1" applyAlignment="1">
      <alignment horizontal="center"/>
    </xf>
    <xf numFmtId="9" fontId="38" fillId="0" borderId="0" xfId="9" applyFont="1" applyAlignment="1">
      <alignment horizontal="center"/>
    </xf>
    <xf numFmtId="3" fontId="38" fillId="0" borderId="0" xfId="7" applyNumberFormat="1"/>
    <xf numFmtId="0" fontId="41" fillId="0" borderId="0" xfId="10"/>
    <xf numFmtId="0" fontId="38" fillId="0" borderId="0" xfId="7" applyAlignment="1">
      <alignment horizontal="right"/>
    </xf>
    <xf numFmtId="177" fontId="38" fillId="0" borderId="0" xfId="7" applyNumberFormat="1" applyAlignment="1">
      <alignment horizontal="right"/>
    </xf>
    <xf numFmtId="0" fontId="43" fillId="0" borderId="53" xfId="7" applyFont="1" applyBorder="1"/>
    <xf numFmtId="0" fontId="43" fillId="0" borderId="53" xfId="7" applyFont="1" applyBorder="1" applyAlignment="1">
      <alignment horizontal="center"/>
    </xf>
    <xf numFmtId="177" fontId="43" fillId="0" borderId="53" xfId="8" applyNumberFormat="1" applyFont="1" applyBorder="1" applyAlignment="1">
      <alignment horizontal="center"/>
    </xf>
    <xf numFmtId="9" fontId="38" fillId="0" borderId="0" xfId="7" applyNumberFormat="1"/>
    <xf numFmtId="0" fontId="44" fillId="11" borderId="54" xfId="7" applyFont="1" applyFill="1" applyBorder="1" applyAlignment="1">
      <alignment horizontal="left" vertical="center" wrapText="1" readingOrder="1"/>
    </xf>
    <xf numFmtId="3" fontId="45" fillId="11" borderId="54" xfId="7" applyNumberFormat="1" applyFont="1" applyFill="1" applyBorder="1" applyAlignment="1">
      <alignment horizontal="center" vertical="center" wrapText="1" readingOrder="1"/>
    </xf>
    <xf numFmtId="177" fontId="45" fillId="11" borderId="54" xfId="7" applyNumberFormat="1" applyFont="1" applyFill="1" applyBorder="1" applyAlignment="1">
      <alignment horizontal="center" vertical="center" wrapText="1" readingOrder="1"/>
    </xf>
    <xf numFmtId="9" fontId="45" fillId="11" borderId="54" xfId="9" applyFont="1" applyFill="1" applyBorder="1" applyAlignment="1">
      <alignment horizontal="center" vertical="center" wrapText="1" readingOrder="1"/>
    </xf>
    <xf numFmtId="0" fontId="44" fillId="0" borderId="55" xfId="7" applyFont="1" applyBorder="1" applyAlignment="1">
      <alignment horizontal="left" vertical="center" wrapText="1" readingOrder="1"/>
    </xf>
    <xf numFmtId="3" fontId="45" fillId="0" borderId="55" xfId="7" applyNumberFormat="1" applyFont="1" applyBorder="1" applyAlignment="1">
      <alignment horizontal="center" vertical="center" wrapText="1" readingOrder="1"/>
    </xf>
    <xf numFmtId="177" fontId="45" fillId="0" borderId="55" xfId="7" applyNumberFormat="1" applyFont="1" applyBorder="1" applyAlignment="1">
      <alignment horizontal="center" vertical="center" wrapText="1" readingOrder="1"/>
    </xf>
    <xf numFmtId="9" fontId="45" fillId="0" borderId="55" xfId="7" applyNumberFormat="1" applyFont="1" applyBorder="1" applyAlignment="1">
      <alignment horizontal="center" vertical="center" wrapText="1" readingOrder="1"/>
    </xf>
    <xf numFmtId="0" fontId="44" fillId="11" borderId="55" xfId="7" applyFont="1" applyFill="1" applyBorder="1" applyAlignment="1">
      <alignment horizontal="left" vertical="center" wrapText="1" readingOrder="1"/>
    </xf>
    <xf numFmtId="3" fontId="45" fillId="11" borderId="55" xfId="7" applyNumberFormat="1" applyFont="1" applyFill="1" applyBorder="1" applyAlignment="1">
      <alignment horizontal="center" vertical="center" wrapText="1" readingOrder="1"/>
    </xf>
    <xf numFmtId="177" fontId="45" fillId="11" borderId="55" xfId="7" applyNumberFormat="1" applyFont="1" applyFill="1" applyBorder="1" applyAlignment="1">
      <alignment horizontal="center" vertical="center" wrapText="1" readingOrder="1"/>
    </xf>
    <xf numFmtId="9" fontId="45" fillId="11" borderId="55" xfId="7" applyNumberFormat="1" applyFont="1" applyFill="1" applyBorder="1" applyAlignment="1">
      <alignment horizontal="center" vertical="center" wrapText="1" readingOrder="1"/>
    </xf>
    <xf numFmtId="0" fontId="45" fillId="0" borderId="55" xfId="7" applyFont="1" applyBorder="1" applyAlignment="1">
      <alignment horizontal="center" vertical="center" wrapText="1" readingOrder="1"/>
    </xf>
    <xf numFmtId="0" fontId="46" fillId="11" borderId="55" xfId="7" applyFont="1" applyFill="1" applyBorder="1" applyAlignment="1">
      <alignment vertical="top" wrapText="1"/>
    </xf>
    <xf numFmtId="0" fontId="46" fillId="11" borderId="55" xfId="7" applyFont="1" applyFill="1" applyBorder="1" applyAlignment="1">
      <alignment horizontal="center" vertical="top" wrapText="1"/>
    </xf>
    <xf numFmtId="0" fontId="46" fillId="0" borderId="55" xfId="7" applyFont="1" applyBorder="1" applyAlignment="1">
      <alignment vertical="top" wrapText="1"/>
    </xf>
    <xf numFmtId="0" fontId="46" fillId="0" borderId="55" xfId="7" applyFont="1" applyBorder="1" applyAlignment="1">
      <alignment horizontal="center" vertical="top" wrapText="1"/>
    </xf>
    <xf numFmtId="0" fontId="44" fillId="0" borderId="55" xfId="7" applyFont="1" applyBorder="1" applyAlignment="1">
      <alignment horizontal="right" vertical="center" wrapText="1" readingOrder="1"/>
    </xf>
    <xf numFmtId="9" fontId="38" fillId="3" borderId="0" xfId="9" applyFont="1" applyFill="1" applyBorder="1"/>
    <xf numFmtId="0" fontId="47" fillId="12" borderId="56" xfId="7" applyFont="1" applyFill="1" applyBorder="1" applyAlignment="1">
      <alignment vertical="center" wrapText="1" readingOrder="1"/>
    </xf>
    <xf numFmtId="9" fontId="47" fillId="12" borderId="56" xfId="9" applyFont="1" applyFill="1" applyBorder="1" applyAlignment="1">
      <alignment horizontal="center" vertical="center" wrapText="1" readingOrder="1"/>
    </xf>
    <xf numFmtId="0" fontId="47" fillId="12" borderId="57" xfId="7" applyFont="1" applyFill="1" applyBorder="1" applyAlignment="1">
      <alignment vertical="center" wrapText="1" readingOrder="1"/>
    </xf>
    <xf numFmtId="0" fontId="38" fillId="13" borderId="0" xfId="7" applyFill="1"/>
    <xf numFmtId="9" fontId="38" fillId="0" borderId="0" xfId="9" applyFont="1" applyFill="1" applyAlignment="1">
      <alignment horizontal="center"/>
    </xf>
    <xf numFmtId="177" fontId="38" fillId="0" borderId="0" xfId="8" applyNumberFormat="1" applyFont="1"/>
    <xf numFmtId="177" fontId="41" fillId="0" borderId="0" xfId="10" applyNumberFormat="1"/>
    <xf numFmtId="0" fontId="38" fillId="0" borderId="0" xfId="7" applyAlignment="1">
      <alignment horizontal="left" wrapText="1"/>
    </xf>
    <xf numFmtId="177" fontId="38" fillId="13" borderId="0" xfId="8" applyNumberFormat="1" applyFont="1" applyFill="1"/>
    <xf numFmtId="9" fontId="47" fillId="12" borderId="57" xfId="9" applyFont="1" applyFill="1" applyBorder="1" applyAlignment="1">
      <alignment horizontal="center" vertical="center" wrapText="1" readingOrder="1"/>
    </xf>
    <xf numFmtId="177" fontId="38" fillId="14" borderId="0" xfId="8" applyNumberFormat="1" applyFont="1" applyFill="1"/>
    <xf numFmtId="0" fontId="38" fillId="14" borderId="0" xfId="7" applyFill="1"/>
    <xf numFmtId="177" fontId="38" fillId="0" borderId="0" xfId="8" applyNumberFormat="1" applyFont="1" applyFill="1"/>
    <xf numFmtId="0" fontId="48" fillId="0" borderId="0" xfId="7" applyFont="1"/>
    <xf numFmtId="0" fontId="50" fillId="0" borderId="0" xfId="7" applyFont="1"/>
    <xf numFmtId="0" fontId="51" fillId="0" borderId="0" xfId="7" applyFont="1"/>
    <xf numFmtId="0" fontId="52" fillId="0" borderId="0" xfId="7" applyFont="1"/>
    <xf numFmtId="177" fontId="38" fillId="8" borderId="0" xfId="8" applyNumberFormat="1" applyFont="1" applyFill="1"/>
    <xf numFmtId="9" fontId="38" fillId="8" borderId="0" xfId="9" applyFont="1" applyFill="1" applyAlignment="1">
      <alignment horizontal="center"/>
    </xf>
    <xf numFmtId="10" fontId="38" fillId="0" borderId="0" xfId="9" applyNumberFormat="1" applyFont="1"/>
    <xf numFmtId="178" fontId="38" fillId="0" borderId="0" xfId="8" applyNumberFormat="1" applyFont="1"/>
    <xf numFmtId="9" fontId="38" fillId="0" borderId="0" xfId="9" applyFont="1"/>
    <xf numFmtId="1" fontId="38" fillId="0" borderId="0" xfId="8" applyNumberFormat="1" applyFont="1" applyAlignment="1">
      <alignment horizontal="center"/>
    </xf>
    <xf numFmtId="0" fontId="38" fillId="0" borderId="0" xfId="8" applyNumberFormat="1" applyFont="1" applyFill="1" applyAlignment="1">
      <alignment horizontal="center"/>
    </xf>
    <xf numFmtId="9" fontId="38" fillId="0" borderId="0" xfId="9" applyFont="1" applyFill="1"/>
    <xf numFmtId="43" fontId="38" fillId="0" borderId="0" xfId="7" applyNumberFormat="1"/>
    <xf numFmtId="0" fontId="43" fillId="0" borderId="0" xfId="7" applyFont="1"/>
    <xf numFmtId="0" fontId="38" fillId="0" borderId="0" xfId="8" applyNumberFormat="1" applyFont="1"/>
    <xf numFmtId="0" fontId="40" fillId="3" borderId="0" xfId="7" applyFont="1" applyFill="1" applyAlignment="1">
      <alignment horizontal="center"/>
    </xf>
    <xf numFmtId="0" fontId="40" fillId="0" borderId="0" xfId="7" applyFont="1" applyAlignment="1">
      <alignment horizontal="center"/>
    </xf>
    <xf numFmtId="0" fontId="38" fillId="10" borderId="50" xfId="7" applyFill="1" applyBorder="1"/>
    <xf numFmtId="0" fontId="38" fillId="0" borderId="50" xfId="7" applyBorder="1" applyAlignment="1">
      <alignment horizontal="left"/>
    </xf>
    <xf numFmtId="179" fontId="38" fillId="0" borderId="52" xfId="7" applyNumberFormat="1" applyBorder="1" applyAlignment="1">
      <alignment horizontal="center"/>
    </xf>
    <xf numFmtId="177" fontId="38" fillId="0" borderId="50" xfId="8" applyNumberFormat="1" applyFont="1" applyFill="1" applyBorder="1" applyAlignment="1">
      <alignment horizontal="center"/>
    </xf>
    <xf numFmtId="17" fontId="38" fillId="0" borderId="50" xfId="7" applyNumberFormat="1" applyBorder="1" applyAlignment="1">
      <alignment horizontal="left"/>
    </xf>
    <xf numFmtId="0" fontId="38" fillId="3" borderId="50" xfId="7" applyFill="1" applyBorder="1" applyAlignment="1">
      <alignment horizontal="left"/>
    </xf>
    <xf numFmtId="0" fontId="38" fillId="3" borderId="0" xfId="7" applyFill="1" applyAlignment="1">
      <alignment horizontal="center"/>
    </xf>
    <xf numFmtId="0" fontId="38" fillId="10" borderId="52" xfId="7" applyFill="1" applyBorder="1"/>
    <xf numFmtId="0" fontId="38" fillId="0" borderId="52" xfId="7" applyBorder="1" applyAlignment="1">
      <alignment horizontal="left"/>
    </xf>
    <xf numFmtId="2" fontId="38" fillId="0" borderId="52" xfId="7" applyNumberFormat="1" applyBorder="1" applyAlignment="1">
      <alignment horizontal="center"/>
    </xf>
    <xf numFmtId="0" fontId="38" fillId="3" borderId="52" xfId="7" applyFill="1" applyBorder="1" applyAlignment="1">
      <alignment horizontal="left"/>
    </xf>
    <xf numFmtId="17" fontId="41" fillId="0" borderId="52" xfId="10" applyNumberFormat="1" applyFill="1" applyBorder="1" applyAlignment="1">
      <alignment horizontal="left"/>
    </xf>
    <xf numFmtId="17" fontId="38" fillId="0" borderId="52" xfId="7" applyNumberFormat="1" applyBorder="1" applyAlignment="1">
      <alignment horizontal="left"/>
    </xf>
    <xf numFmtId="0" fontId="38" fillId="15" borderId="0" xfId="7" applyFill="1" applyAlignment="1">
      <alignment horizontal="center"/>
    </xf>
    <xf numFmtId="0" fontId="41" fillId="0" borderId="0" xfId="10" applyAlignment="1">
      <alignment horizontal="left"/>
    </xf>
    <xf numFmtId="0" fontId="42" fillId="0" borderId="0" xfId="7" applyFont="1" applyAlignment="1">
      <alignment horizontal="center"/>
    </xf>
    <xf numFmtId="0" fontId="38" fillId="0" borderId="52" xfId="7" applyBorder="1"/>
    <xf numFmtId="3" fontId="38" fillId="0" borderId="0" xfId="7" applyNumberFormat="1" applyAlignment="1">
      <alignment horizontal="center"/>
    </xf>
    <xf numFmtId="0" fontId="53" fillId="0" borderId="0" xfId="7" applyFont="1"/>
    <xf numFmtId="0" fontId="38" fillId="0" borderId="52" xfId="7" applyBorder="1" applyAlignment="1">
      <alignment horizontal="center"/>
    </xf>
    <xf numFmtId="43" fontId="40" fillId="0" borderId="0" xfId="7" applyNumberFormat="1" applyFont="1"/>
    <xf numFmtId="0" fontId="40" fillId="0" borderId="0" xfId="7" applyFont="1"/>
    <xf numFmtId="166" fontId="54" fillId="0" borderId="0" xfId="7" applyNumberFormat="1" applyFont="1"/>
    <xf numFmtId="0" fontId="38" fillId="0" borderId="51" xfId="7" applyBorder="1"/>
    <xf numFmtId="0" fontId="38" fillId="0" borderId="51" xfId="7" applyBorder="1" applyAlignment="1">
      <alignment horizontal="center"/>
    </xf>
    <xf numFmtId="0" fontId="38" fillId="0" borderId="51" xfId="7" applyBorder="1" applyAlignment="1">
      <alignment horizontal="left"/>
    </xf>
    <xf numFmtId="0" fontId="38" fillId="3" borderId="51" xfId="7" applyFill="1" applyBorder="1" applyAlignment="1">
      <alignment horizontal="left"/>
    </xf>
    <xf numFmtId="0" fontId="40" fillId="0" borderId="58" xfId="7" applyFont="1" applyBorder="1"/>
    <xf numFmtId="0" fontId="40" fillId="0" borderId="59" xfId="7" applyFont="1" applyBorder="1"/>
    <xf numFmtId="2" fontId="38" fillId="0" borderId="60" xfId="7" applyNumberFormat="1" applyBorder="1" applyAlignment="1">
      <alignment horizontal="center"/>
    </xf>
    <xf numFmtId="177" fontId="40" fillId="0" borderId="59" xfId="8" applyNumberFormat="1" applyFont="1" applyFill="1" applyBorder="1"/>
    <xf numFmtId="0" fontId="38" fillId="0" borderId="61" xfId="7" applyBorder="1"/>
    <xf numFmtId="0" fontId="40" fillId="3" borderId="59" xfId="7" applyFont="1" applyFill="1" applyBorder="1"/>
    <xf numFmtId="177" fontId="38" fillId="0" borderId="0" xfId="8" applyNumberFormat="1" applyFont="1" applyFill="1" applyBorder="1"/>
    <xf numFmtId="0" fontId="38" fillId="0" borderId="62" xfId="7" applyBorder="1"/>
    <xf numFmtId="0" fontId="39" fillId="0" borderId="45" xfId="7" applyFont="1" applyBorder="1"/>
    <xf numFmtId="177" fontId="38" fillId="0" borderId="47" xfId="8" applyNumberFormat="1" applyFont="1" applyFill="1" applyBorder="1"/>
    <xf numFmtId="0" fontId="38" fillId="0" borderId="63" xfId="7" applyBorder="1"/>
    <xf numFmtId="177" fontId="40" fillId="0" borderId="46" xfId="8" applyNumberFormat="1" applyFont="1" applyFill="1" applyBorder="1" applyAlignment="1">
      <alignment horizontal="center"/>
    </xf>
    <xf numFmtId="43" fontId="40" fillId="0" borderId="0" xfId="7" applyNumberFormat="1" applyFont="1" applyAlignment="1">
      <alignment horizontal="center"/>
    </xf>
    <xf numFmtId="177" fontId="40" fillId="0" borderId="0" xfId="7" applyNumberFormat="1" applyFont="1" applyAlignment="1">
      <alignment horizontal="center"/>
    </xf>
    <xf numFmtId="177" fontId="40" fillId="0" borderId="49" xfId="8" applyNumberFormat="1" applyFont="1" applyFill="1" applyBorder="1" applyAlignment="1">
      <alignment horizontal="center"/>
    </xf>
    <xf numFmtId="0" fontId="38" fillId="0" borderId="50" xfId="7" applyBorder="1"/>
    <xf numFmtId="0" fontId="41" fillId="0" borderId="52" xfId="10" applyBorder="1" applyAlignment="1">
      <alignment horizontal="left"/>
    </xf>
    <xf numFmtId="0" fontId="38" fillId="16" borderId="52" xfId="7" applyFill="1" applyBorder="1"/>
    <xf numFmtId="0" fontId="38" fillId="16" borderId="52" xfId="7" applyFill="1" applyBorder="1" applyAlignment="1">
      <alignment horizontal="left"/>
    </xf>
    <xf numFmtId="177" fontId="38" fillId="16" borderId="52" xfId="8" applyNumberFormat="1" applyFont="1" applyFill="1" applyBorder="1" applyAlignment="1">
      <alignment horizontal="center"/>
    </xf>
    <xf numFmtId="0" fontId="55" fillId="0" borderId="0" xfId="7" applyFont="1" applyAlignment="1">
      <alignment horizontal="center"/>
    </xf>
    <xf numFmtId="0" fontId="38" fillId="0" borderId="0" xfId="7" applyAlignment="1">
      <alignment horizontal="left"/>
    </xf>
    <xf numFmtId="0" fontId="56" fillId="0" borderId="0" xfId="7" applyFont="1" applyAlignment="1">
      <alignment horizontal="left"/>
    </xf>
    <xf numFmtId="43" fontId="38" fillId="0" borderId="0" xfId="7" applyNumberFormat="1" applyAlignment="1">
      <alignment horizontal="center"/>
    </xf>
    <xf numFmtId="177" fontId="38" fillId="0" borderId="51" xfId="8" applyNumberFormat="1" applyFont="1" applyFill="1" applyBorder="1" applyAlignment="1">
      <alignment horizontal="center"/>
    </xf>
    <xf numFmtId="177" fontId="40" fillId="0" borderId="60" xfId="8" applyNumberFormat="1" applyFont="1" applyFill="1" applyBorder="1"/>
    <xf numFmtId="177" fontId="40" fillId="0" borderId="61" xfId="8" applyNumberFormat="1" applyFont="1" applyFill="1" applyBorder="1"/>
    <xf numFmtId="177" fontId="40" fillId="0" borderId="0" xfId="7" applyNumberFormat="1" applyFont="1"/>
    <xf numFmtId="2" fontId="38" fillId="0" borderId="50" xfId="7" applyNumberFormat="1" applyBorder="1" applyAlignment="1">
      <alignment horizontal="center"/>
    </xf>
    <xf numFmtId="9" fontId="38" fillId="0" borderId="50" xfId="9" applyFont="1" applyFill="1" applyBorder="1" applyAlignment="1">
      <alignment horizontal="center"/>
    </xf>
    <xf numFmtId="0" fontId="38" fillId="8" borderId="52" xfId="7" applyFill="1" applyBorder="1" applyAlignment="1">
      <alignment horizontal="left"/>
    </xf>
    <xf numFmtId="0" fontId="38" fillId="15" borderId="52" xfId="7" applyFill="1" applyBorder="1" applyAlignment="1">
      <alignment horizontal="left"/>
    </xf>
    <xf numFmtId="0" fontId="57" fillId="0" borderId="0" xfId="7" applyFont="1"/>
    <xf numFmtId="177" fontId="58" fillId="0" borderId="52" xfId="10" applyNumberFormat="1" applyFont="1" applyFill="1" applyBorder="1" applyAlignment="1">
      <alignment horizontal="center"/>
    </xf>
    <xf numFmtId="9" fontId="58" fillId="0" borderId="52" xfId="9" applyFont="1" applyFill="1" applyBorder="1" applyAlignment="1">
      <alignment horizontal="center"/>
    </xf>
    <xf numFmtId="3" fontId="38" fillId="15" borderId="0" xfId="7" applyNumberFormat="1" applyFill="1"/>
    <xf numFmtId="9" fontId="41" fillId="0" borderId="52" xfId="10" applyNumberFormat="1" applyFill="1" applyBorder="1" applyAlignment="1">
      <alignment horizontal="center"/>
    </xf>
    <xf numFmtId="3" fontId="42" fillId="0" borderId="0" xfId="7" applyNumberFormat="1" applyFont="1"/>
    <xf numFmtId="0" fontId="41" fillId="0" borderId="52" xfId="10" applyFill="1" applyBorder="1" applyAlignment="1">
      <alignment horizontal="left"/>
    </xf>
    <xf numFmtId="0" fontId="41" fillId="3" borderId="52" xfId="10" applyFill="1" applyBorder="1" applyAlignment="1">
      <alignment horizontal="left"/>
    </xf>
    <xf numFmtId="43" fontId="38" fillId="0" borderId="0" xfId="7" applyNumberFormat="1" applyAlignment="1">
      <alignment horizontal="left"/>
    </xf>
    <xf numFmtId="9" fontId="41" fillId="0" borderId="52" xfId="9" applyFont="1" applyFill="1" applyBorder="1" applyAlignment="1">
      <alignment horizontal="center"/>
    </xf>
    <xf numFmtId="177" fontId="38" fillId="0" borderId="52" xfId="8" applyNumberFormat="1" applyFont="1" applyFill="1" applyBorder="1" applyAlignment="1">
      <alignment horizontal="left" vertical="center"/>
    </xf>
    <xf numFmtId="0" fontId="41" fillId="3" borderId="0" xfId="10" applyFill="1" applyBorder="1" applyAlignment="1">
      <alignment horizontal="center"/>
    </xf>
    <xf numFmtId="3" fontId="38" fillId="3" borderId="0" xfId="10" applyNumberFormat="1" applyFont="1" applyFill="1" applyBorder="1" applyAlignment="1">
      <alignment horizontal="center"/>
    </xf>
    <xf numFmtId="3" fontId="38" fillId="3" borderId="0" xfId="7" applyNumberFormat="1" applyFill="1" applyAlignment="1">
      <alignment horizontal="center"/>
    </xf>
    <xf numFmtId="0" fontId="41" fillId="0" borderId="0" xfId="10" applyFill="1" applyBorder="1" applyAlignment="1">
      <alignment horizontal="center"/>
    </xf>
    <xf numFmtId="3" fontId="38" fillId="8" borderId="0" xfId="7" applyNumberFormat="1" applyFill="1"/>
    <xf numFmtId="0" fontId="38" fillId="0" borderId="52" xfId="10" applyFont="1" applyFill="1" applyBorder="1" applyAlignment="1">
      <alignment horizontal="left"/>
    </xf>
    <xf numFmtId="0" fontId="38" fillId="3" borderId="0" xfId="10" applyFont="1" applyFill="1" applyBorder="1" applyAlignment="1">
      <alignment horizontal="center"/>
    </xf>
    <xf numFmtId="2" fontId="41" fillId="0" borderId="52" xfId="10" applyNumberFormat="1" applyFill="1" applyBorder="1" applyAlignment="1">
      <alignment horizontal="center"/>
    </xf>
    <xf numFmtId="0" fontId="38" fillId="17" borderId="52" xfId="7" applyFill="1" applyBorder="1"/>
    <xf numFmtId="0" fontId="38" fillId="17" borderId="52" xfId="7" applyFill="1" applyBorder="1" applyAlignment="1">
      <alignment horizontal="left"/>
    </xf>
    <xf numFmtId="0" fontId="38" fillId="17" borderId="0" xfId="7" applyFill="1" applyAlignment="1">
      <alignment horizontal="left"/>
    </xf>
    <xf numFmtId="2" fontId="38" fillId="17" borderId="52" xfId="7" applyNumberFormat="1" applyFill="1" applyBorder="1" applyAlignment="1">
      <alignment horizontal="center"/>
    </xf>
    <xf numFmtId="177" fontId="38" fillId="17" borderId="52" xfId="8" applyNumberFormat="1" applyFont="1" applyFill="1" applyBorder="1" applyAlignment="1">
      <alignment horizontal="center"/>
    </xf>
    <xf numFmtId="9" fontId="38" fillId="17" borderId="52" xfId="9" applyFont="1" applyFill="1" applyBorder="1" applyAlignment="1">
      <alignment horizontal="center"/>
    </xf>
    <xf numFmtId="3" fontId="41" fillId="0" borderId="0" xfId="10" applyNumberFormat="1" applyAlignment="1">
      <alignment horizontal="center"/>
    </xf>
    <xf numFmtId="0" fontId="41" fillId="10" borderId="52" xfId="10" applyFill="1" applyBorder="1" applyAlignment="1"/>
    <xf numFmtId="0" fontId="41" fillId="0" borderId="0" xfId="10" applyBorder="1" applyAlignment="1">
      <alignment horizontal="left"/>
    </xf>
    <xf numFmtId="0" fontId="41" fillId="0" borderId="0" xfId="10" applyFill="1" applyAlignment="1">
      <alignment horizontal="left"/>
    </xf>
    <xf numFmtId="0" fontId="41" fillId="0" borderId="0" xfId="10" applyBorder="1" applyAlignment="1">
      <alignment horizontal="center"/>
    </xf>
    <xf numFmtId="0" fontId="41" fillId="0" borderId="0" xfId="10" applyFill="1" applyBorder="1" applyAlignment="1">
      <alignment horizontal="left"/>
    </xf>
    <xf numFmtId="0" fontId="38" fillId="0" borderId="52" xfId="7" applyBorder="1" applyAlignment="1">
      <alignment horizontal="left" vertical="top"/>
    </xf>
    <xf numFmtId="0" fontId="38" fillId="0" borderId="60" xfId="7" applyBorder="1"/>
    <xf numFmtId="0" fontId="40" fillId="0" borderId="60" xfId="7" applyFont="1" applyBorder="1" applyAlignment="1">
      <alignment horizontal="right"/>
    </xf>
    <xf numFmtId="2" fontId="40" fillId="0" borderId="60" xfId="7" applyNumberFormat="1" applyFont="1" applyBorder="1" applyAlignment="1">
      <alignment horizontal="center"/>
    </xf>
    <xf numFmtId="177" fontId="40" fillId="0" borderId="60" xfId="8" applyNumberFormat="1" applyFont="1" applyFill="1" applyBorder="1" applyAlignment="1">
      <alignment horizontal="center"/>
    </xf>
    <xf numFmtId="0" fontId="40" fillId="3" borderId="60" xfId="7" applyFont="1" applyFill="1" applyBorder="1"/>
    <xf numFmtId="0" fontId="40" fillId="3" borderId="0" xfId="7" applyFont="1" applyFill="1"/>
    <xf numFmtId="0" fontId="39" fillId="0" borderId="47" xfId="7" applyFont="1" applyBorder="1" applyAlignment="1">
      <alignment horizontal="center" vertical="center" wrapText="1"/>
    </xf>
    <xf numFmtId="0" fontId="39" fillId="0" borderId="46" xfId="7" applyFont="1" applyBorder="1" applyAlignment="1">
      <alignment horizontal="center" vertical="center" wrapText="1"/>
    </xf>
    <xf numFmtId="0" fontId="39" fillId="0" borderId="19" xfId="7" applyFont="1" applyBorder="1" applyAlignment="1">
      <alignment horizontal="center" vertical="center" wrapText="1"/>
    </xf>
    <xf numFmtId="0" fontId="39" fillId="0" borderId="49" xfId="7" applyFont="1" applyBorder="1" applyAlignment="1">
      <alignment horizontal="center" vertical="center" wrapText="1"/>
    </xf>
    <xf numFmtId="0" fontId="39" fillId="0" borderId="19" xfId="7" applyFont="1" applyBorder="1" applyAlignment="1">
      <alignment wrapText="1"/>
    </xf>
    <xf numFmtId="177" fontId="38" fillId="0" borderId="19" xfId="8" applyNumberFormat="1" applyFont="1" applyFill="1" applyBorder="1"/>
    <xf numFmtId="0" fontId="38" fillId="0" borderId="50" xfId="7" applyBorder="1" applyAlignment="1">
      <alignment horizontal="center"/>
    </xf>
    <xf numFmtId="0" fontId="38" fillId="3" borderId="50" xfId="7" applyFill="1" applyBorder="1" applyAlignment="1">
      <alignment horizontal="center"/>
    </xf>
    <xf numFmtId="0" fontId="59" fillId="0" borderId="0" xfId="7" applyFont="1"/>
    <xf numFmtId="0" fontId="38" fillId="3" borderId="52" xfId="7" applyFill="1" applyBorder="1" applyAlignment="1">
      <alignment horizontal="center"/>
    </xf>
    <xf numFmtId="0" fontId="60" fillId="0" borderId="0" xfId="7" applyFont="1"/>
    <xf numFmtId="0" fontId="38" fillId="0" borderId="52" xfId="7" applyBorder="1" applyAlignment="1">
      <alignment horizontal="right"/>
    </xf>
    <xf numFmtId="177" fontId="38" fillId="0" borderId="52" xfId="8" applyNumberFormat="1" applyFont="1" applyFill="1" applyBorder="1"/>
    <xf numFmtId="0" fontId="38" fillId="16" borderId="52" xfId="7" applyFill="1" applyBorder="1" applyAlignment="1">
      <alignment horizontal="center"/>
    </xf>
    <xf numFmtId="0" fontId="41" fillId="0" borderId="52" xfId="10" applyFill="1" applyBorder="1" applyAlignment="1">
      <alignment horizontal="center"/>
    </xf>
    <xf numFmtId="0" fontId="61" fillId="0" borderId="0" xfId="7" applyFont="1"/>
    <xf numFmtId="177" fontId="38" fillId="0" borderId="51" xfId="8" applyNumberFormat="1" applyFont="1" applyFill="1" applyBorder="1"/>
    <xf numFmtId="0" fontId="38" fillId="3" borderId="51" xfId="7" applyFill="1" applyBorder="1"/>
    <xf numFmtId="0" fontId="38" fillId="0" borderId="58" xfId="7" applyBorder="1"/>
    <xf numFmtId="0" fontId="40" fillId="3" borderId="47" xfId="7" applyFont="1" applyFill="1" applyBorder="1"/>
    <xf numFmtId="0" fontId="62" fillId="0" borderId="19" xfId="7" applyFont="1" applyBorder="1"/>
    <xf numFmtId="0" fontId="62" fillId="3" borderId="0" xfId="7" applyFont="1" applyFill="1"/>
    <xf numFmtId="177" fontId="38" fillId="3" borderId="0" xfId="8" applyNumberFormat="1" applyFont="1" applyFill="1" applyBorder="1"/>
    <xf numFmtId="0" fontId="38" fillId="3" borderId="60" xfId="7" applyFill="1" applyBorder="1" applyAlignment="1">
      <alignment horizontal="center"/>
    </xf>
    <xf numFmtId="0" fontId="38" fillId="3" borderId="61" xfId="7" applyFill="1" applyBorder="1" applyAlignment="1">
      <alignment horizontal="center"/>
    </xf>
    <xf numFmtId="177" fontId="38" fillId="3" borderId="0" xfId="7" applyNumberFormat="1" applyFill="1" applyAlignment="1">
      <alignment horizontal="center"/>
    </xf>
    <xf numFmtId="0" fontId="38" fillId="18" borderId="0" xfId="7" applyFill="1" applyAlignment="1">
      <alignment horizontal="center"/>
    </xf>
    <xf numFmtId="2" fontId="38" fillId="3" borderId="50" xfId="7" applyNumberFormat="1" applyFill="1" applyBorder="1" applyAlignment="1">
      <alignment horizontal="center"/>
    </xf>
    <xf numFmtId="3" fontId="38" fillId="3" borderId="62" xfId="7" applyNumberFormat="1" applyFill="1" applyBorder="1" applyAlignment="1">
      <alignment horizontal="center"/>
    </xf>
    <xf numFmtId="4" fontId="38" fillId="18" borderId="0" xfId="7" applyNumberFormat="1" applyFill="1" applyAlignment="1">
      <alignment horizontal="center"/>
    </xf>
    <xf numFmtId="4" fontId="38" fillId="3" borderId="0" xfId="7" applyNumberFormat="1" applyFill="1" applyAlignment="1">
      <alignment horizontal="center"/>
    </xf>
    <xf numFmtId="4" fontId="38" fillId="0" borderId="0" xfId="7" applyNumberFormat="1" applyAlignment="1">
      <alignment horizontal="center"/>
    </xf>
    <xf numFmtId="0" fontId="38" fillId="3" borderId="52" xfId="7" applyFill="1" applyBorder="1"/>
    <xf numFmtId="2" fontId="38" fillId="3" borderId="52" xfId="7" applyNumberFormat="1" applyFill="1" applyBorder="1" applyAlignment="1">
      <alignment horizontal="center"/>
    </xf>
    <xf numFmtId="0" fontId="38" fillId="3" borderId="51" xfId="7" applyFill="1" applyBorder="1" applyAlignment="1">
      <alignment horizontal="center"/>
    </xf>
    <xf numFmtId="2" fontId="38" fillId="3" borderId="51" xfId="7" applyNumberFormat="1" applyFill="1" applyBorder="1" applyAlignment="1">
      <alignment horizontal="center"/>
    </xf>
    <xf numFmtId="3" fontId="38" fillId="3" borderId="49" xfId="7" applyNumberFormat="1" applyFill="1" applyBorder="1" applyAlignment="1">
      <alignment horizontal="center"/>
    </xf>
    <xf numFmtId="2" fontId="38" fillId="3" borderId="19" xfId="7" applyNumberFormat="1" applyFill="1" applyBorder="1" applyAlignment="1">
      <alignment horizontal="center"/>
    </xf>
    <xf numFmtId="4" fontId="38" fillId="3" borderId="0" xfId="7" applyNumberFormat="1" applyFill="1"/>
    <xf numFmtId="9" fontId="38" fillId="3" borderId="0" xfId="9" applyFont="1" applyFill="1" applyAlignment="1">
      <alignment horizontal="center"/>
    </xf>
    <xf numFmtId="0" fontId="38" fillId="0" borderId="0" xfId="7" quotePrefix="1"/>
    <xf numFmtId="177" fontId="38" fillId="3" borderId="0" xfId="8" applyNumberFormat="1" applyFont="1" applyFill="1"/>
    <xf numFmtId="177" fontId="38" fillId="3" borderId="0" xfId="8" applyNumberFormat="1" applyFont="1" applyFill="1" applyAlignment="1">
      <alignment horizontal="center"/>
    </xf>
    <xf numFmtId="2" fontId="38" fillId="3" borderId="0" xfId="7" applyNumberFormat="1" applyFill="1"/>
    <xf numFmtId="177" fontId="38" fillId="3" borderId="52" xfId="8" applyNumberFormat="1" applyFont="1" applyFill="1" applyBorder="1" applyAlignment="1">
      <alignment horizontal="center"/>
    </xf>
    <xf numFmtId="177" fontId="38" fillId="3" borderId="0" xfId="8" applyNumberFormat="1" applyFont="1" applyFill="1" applyBorder="1" applyAlignment="1">
      <alignment horizontal="center"/>
    </xf>
    <xf numFmtId="0" fontId="38" fillId="3" borderId="0" xfId="7" applyFill="1" applyAlignment="1">
      <alignment horizontal="left"/>
    </xf>
    <xf numFmtId="0" fontId="41" fillId="0" borderId="52" xfId="10" applyFill="1" applyBorder="1" applyAlignment="1"/>
    <xf numFmtId="17" fontId="38" fillId="0" borderId="52" xfId="7" applyNumberFormat="1" applyBorder="1" applyAlignment="1">
      <alignment horizontal="center"/>
    </xf>
    <xf numFmtId="2" fontId="38" fillId="0" borderId="0" xfId="7" applyNumberFormat="1"/>
    <xf numFmtId="0" fontId="63" fillId="0" borderId="0" xfId="7" applyFont="1"/>
    <xf numFmtId="0" fontId="64" fillId="0" borderId="0" xfId="7" applyFont="1"/>
    <xf numFmtId="0" fontId="41" fillId="0" borderId="0" xfId="10" applyAlignment="1">
      <alignment horizontal="left" indent="1"/>
    </xf>
    <xf numFmtId="0" fontId="38" fillId="0" borderId="0" xfId="7" applyAlignment="1">
      <alignment horizontal="left" indent="1"/>
    </xf>
    <xf numFmtId="0" fontId="41" fillId="3" borderId="0" xfId="10" applyFill="1" applyAlignment="1">
      <alignment horizontal="left" indent="1"/>
    </xf>
    <xf numFmtId="0" fontId="41" fillId="0" borderId="0" xfId="10" applyFill="1" applyAlignment="1">
      <alignment horizontal="left" indent="1"/>
    </xf>
    <xf numFmtId="0" fontId="38" fillId="3" borderId="0" xfId="7" applyFill="1" applyAlignment="1">
      <alignment horizontal="left" indent="1"/>
    </xf>
    <xf numFmtId="0" fontId="41" fillId="0" borderId="0" xfId="10" applyAlignment="1">
      <alignment horizontal="left" indent="2"/>
    </xf>
    <xf numFmtId="0" fontId="41" fillId="3" borderId="0" xfId="10" applyFill="1"/>
    <xf numFmtId="0" fontId="41" fillId="0" borderId="0" xfId="10" applyFill="1"/>
    <xf numFmtId="177" fontId="41" fillId="0" borderId="0" xfId="10" applyNumberFormat="1" applyFill="1"/>
    <xf numFmtId="177" fontId="41" fillId="3" borderId="0" xfId="10" applyNumberFormat="1" applyFill="1"/>
    <xf numFmtId="0" fontId="38" fillId="0" borderId="0" xfId="7" applyAlignment="1">
      <alignment horizontal="center" wrapText="1"/>
    </xf>
    <xf numFmtId="10" fontId="38" fillId="0" borderId="0" xfId="7" applyNumberFormat="1"/>
    <xf numFmtId="0" fontId="65" fillId="0" borderId="0" xfId="7" applyFont="1"/>
    <xf numFmtId="0" fontId="66" fillId="0" borderId="0" xfId="7" applyFont="1"/>
    <xf numFmtId="0" fontId="8" fillId="2" borderId="0" xfId="3" applyFont="1" applyFill="1"/>
    <xf numFmtId="0" fontId="67" fillId="2" borderId="0" xfId="0" applyFont="1" applyFill="1"/>
    <xf numFmtId="0" fontId="0" fillId="0" borderId="28" xfId="0" applyBorder="1" applyAlignment="1">
      <alignment horizontal="right"/>
    </xf>
    <xf numFmtId="0" fontId="9" fillId="0" borderId="28" xfId="0" applyFont="1" applyBorder="1" applyAlignment="1">
      <alignment horizontal="center"/>
    </xf>
    <xf numFmtId="38" fontId="0" fillId="0" borderId="0" xfId="0" applyNumberFormat="1"/>
    <xf numFmtId="0" fontId="0" fillId="0" borderId="29" xfId="0" applyBorder="1"/>
    <xf numFmtId="0" fontId="9" fillId="0" borderId="29" xfId="0" applyFont="1" applyBorder="1" applyAlignment="1">
      <alignment horizontal="center"/>
    </xf>
    <xf numFmtId="38" fontId="9" fillId="0" borderId="0" xfId="0" applyNumberFormat="1" applyFont="1"/>
    <xf numFmtId="0" fontId="0" fillId="0" borderId="8" xfId="0" applyBorder="1"/>
  </cellXfs>
  <cellStyles count="11">
    <cellStyle name="Comma 2" xfId="8" xr:uid="{76649DE3-7390-4337-96DD-65E5F99AD32F}"/>
    <cellStyle name="Comma 3" xfId="5" xr:uid="{2E52982D-5F91-4572-80D3-C7846A9AD039}"/>
    <cellStyle name="Currency 2" xfId="6" xr:uid="{786C98FE-6953-4165-BE26-4FED35DF2CE1}"/>
    <cellStyle name="Hyperlink" xfId="2" builtinId="8"/>
    <cellStyle name="Hyperlink 2" xfId="10" xr:uid="{3E4C509E-1108-456F-9113-1D6B5303C151}"/>
    <cellStyle name="Normal" xfId="0" builtinId="0"/>
    <cellStyle name="Normal 2" xfId="7" xr:uid="{293FE911-F1D6-42F3-B743-22E38B10D1F8}"/>
    <cellStyle name="Normal 3" xfId="3" xr:uid="{91A79FC5-541E-4C02-9753-91CD9D993752}"/>
    <cellStyle name="Normal 4" xfId="4" xr:uid="{843BC06C-8EE0-4E87-AB7B-5CB4E9D5F5CE}"/>
    <cellStyle name="Percent" xfId="1" builtinId="5"/>
    <cellStyle name="Percent 2" xfId="9" xr:uid="{467C8D6C-1A62-4409-859A-992A62B108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5.xml"/><Relationship Id="rId26" Type="http://schemas.openxmlformats.org/officeDocument/2006/relationships/chartsheet" Target="chartsheets/sheet6.xml"/><Relationship Id="rId39" Type="http://schemas.openxmlformats.org/officeDocument/2006/relationships/theme" Target="theme/theme1.xml"/><Relationship Id="rId21" Type="http://schemas.openxmlformats.org/officeDocument/2006/relationships/chartsheet" Target="chartsheets/sheet5.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6.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chartsheet" Target="chartsheets/sheet4.xml"/><Relationship Id="rId29" Type="http://schemas.openxmlformats.org/officeDocument/2006/relationships/worksheet" Target="worksheets/sheet23.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worksheet" Target="worksheets/sheet19.xml"/><Relationship Id="rId32" Type="http://schemas.openxmlformats.org/officeDocument/2006/relationships/worksheet" Target="worksheets/sheet26.xml"/><Relationship Id="rId37" Type="http://schemas.openxmlformats.org/officeDocument/2006/relationships/externalLink" Target="externalLinks/externalLink5.xml"/><Relationship Id="rId40" Type="http://schemas.openxmlformats.org/officeDocument/2006/relationships/styles" Target="styles.xml"/><Relationship Id="rId5" Type="http://schemas.openxmlformats.org/officeDocument/2006/relationships/chartsheet" Target="chartsheets/sheet1.xml"/><Relationship Id="rId15" Type="http://schemas.openxmlformats.org/officeDocument/2006/relationships/chartsheet" Target="chartsheets/sheet2.xml"/><Relationship Id="rId23" Type="http://schemas.openxmlformats.org/officeDocument/2006/relationships/worksheet" Target="worksheets/sheet18.xml"/><Relationship Id="rId28" Type="http://schemas.openxmlformats.org/officeDocument/2006/relationships/worksheet" Target="worksheets/sheet22.xml"/><Relationship Id="rId36" Type="http://schemas.openxmlformats.org/officeDocument/2006/relationships/externalLink" Target="externalLinks/externalLink4.xml"/><Relationship Id="rId10" Type="http://schemas.openxmlformats.org/officeDocument/2006/relationships/worksheet" Target="worksheets/sheet9.xml"/><Relationship Id="rId19" Type="http://schemas.openxmlformats.org/officeDocument/2006/relationships/worksheet" Target="worksheets/sheet16.xml"/><Relationship Id="rId31" Type="http://schemas.openxmlformats.org/officeDocument/2006/relationships/worksheet" Target="worksheets/sheet25.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17.xml"/><Relationship Id="rId27" Type="http://schemas.openxmlformats.org/officeDocument/2006/relationships/worksheet" Target="worksheets/sheet21.xml"/><Relationship Id="rId30" Type="http://schemas.openxmlformats.org/officeDocument/2006/relationships/worksheet" Target="worksheets/sheet24.xml"/><Relationship Id="rId35" Type="http://schemas.openxmlformats.org/officeDocument/2006/relationships/externalLink" Target="externalLinks/externalLink3.xml"/><Relationship Id="rId8" Type="http://schemas.openxmlformats.org/officeDocument/2006/relationships/worksheet" Target="worksheets/sheet7.xml"/><Relationship Id="rId3" Type="http://schemas.openxmlformats.org/officeDocument/2006/relationships/worksheet" Target="worksheets/sheet3.xml"/><Relationship Id="rId12" Type="http://schemas.openxmlformats.org/officeDocument/2006/relationships/worksheet" Target="worksheets/sheet11.xml"/><Relationship Id="rId17" Type="http://schemas.openxmlformats.org/officeDocument/2006/relationships/chartsheet" Target="chartsheets/sheet3.xml"/><Relationship Id="rId25" Type="http://schemas.openxmlformats.org/officeDocument/2006/relationships/worksheet" Target="worksheets/sheet20.xml"/><Relationship Id="rId33" Type="http://schemas.openxmlformats.org/officeDocument/2006/relationships/externalLink" Target="externalLinks/externalLink1.xml"/><Relationship Id="rId38"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British</a:t>
            </a:r>
            <a:r>
              <a:rPr lang="en-US" sz="2800" baseline="0"/>
              <a:t> Columbia Credit Volumes and Value</a:t>
            </a:r>
            <a:endParaRPr lang="en-US" sz="2800"/>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190863338836288"/>
          <c:y val="0.1016394461225584"/>
          <c:w val="0.75631198067398731"/>
          <c:h val="0.6509745390726257"/>
        </c:manualLayout>
      </c:layout>
      <c:areaChart>
        <c:grouping val="standard"/>
        <c:varyColors val="0"/>
        <c:ser>
          <c:idx val="0"/>
          <c:order val="0"/>
          <c:tx>
            <c:v>Credit Volume</c:v>
          </c:tx>
          <c:spPr>
            <a:solidFill>
              <a:srgbClr val="ECECEC"/>
            </a:solidFill>
            <a:ln>
              <a:solidFill>
                <a:srgbClr val="323232"/>
              </a:solidFill>
            </a:ln>
            <a:effectLst/>
          </c:spPr>
          <c:cat>
            <c:numRef>
              <c:f>'Credit Data'!$X$5:$X$36</c:f>
              <c:numCache>
                <c:formatCode>m/d/yyyy</c:formatCode>
                <c:ptCount val="32"/>
                <c:pt idx="0">
                  <c:v>42339</c:v>
                </c:pt>
                <c:pt idx="1">
                  <c:v>42430</c:v>
                </c:pt>
                <c:pt idx="2">
                  <c:v>42522</c:v>
                </c:pt>
                <c:pt idx="3">
                  <c:v>42614</c:v>
                </c:pt>
                <c:pt idx="4">
                  <c:v>42705</c:v>
                </c:pt>
                <c:pt idx="5">
                  <c:v>42795</c:v>
                </c:pt>
                <c:pt idx="6">
                  <c:v>42887</c:v>
                </c:pt>
                <c:pt idx="7">
                  <c:v>42979</c:v>
                </c:pt>
                <c:pt idx="8">
                  <c:v>43070</c:v>
                </c:pt>
                <c:pt idx="9">
                  <c:v>43160</c:v>
                </c:pt>
                <c:pt idx="10">
                  <c:v>43252</c:v>
                </c:pt>
                <c:pt idx="11">
                  <c:v>43344</c:v>
                </c:pt>
                <c:pt idx="12">
                  <c:v>43435</c:v>
                </c:pt>
                <c:pt idx="13">
                  <c:v>43525</c:v>
                </c:pt>
                <c:pt idx="14">
                  <c:v>43617</c:v>
                </c:pt>
                <c:pt idx="15">
                  <c:v>43709</c:v>
                </c:pt>
                <c:pt idx="16">
                  <c:v>43800</c:v>
                </c:pt>
                <c:pt idx="17">
                  <c:v>43891</c:v>
                </c:pt>
                <c:pt idx="18">
                  <c:v>43983</c:v>
                </c:pt>
                <c:pt idx="19">
                  <c:v>44075</c:v>
                </c:pt>
                <c:pt idx="20">
                  <c:v>44166</c:v>
                </c:pt>
                <c:pt idx="21">
                  <c:v>44256</c:v>
                </c:pt>
                <c:pt idx="22">
                  <c:v>44348</c:v>
                </c:pt>
                <c:pt idx="23">
                  <c:v>44440</c:v>
                </c:pt>
                <c:pt idx="24">
                  <c:v>44531</c:v>
                </c:pt>
                <c:pt idx="25">
                  <c:v>44621</c:v>
                </c:pt>
                <c:pt idx="26">
                  <c:v>44713</c:v>
                </c:pt>
                <c:pt idx="27">
                  <c:v>44805</c:v>
                </c:pt>
                <c:pt idx="28">
                  <c:v>44896</c:v>
                </c:pt>
                <c:pt idx="29">
                  <c:v>44986</c:v>
                </c:pt>
                <c:pt idx="30">
                  <c:v>45078</c:v>
                </c:pt>
                <c:pt idx="31">
                  <c:v>45170</c:v>
                </c:pt>
              </c:numCache>
            </c:numRef>
          </c:cat>
          <c:val>
            <c:numRef>
              <c:f>'Credit Data'!$T$5:$T$36</c:f>
              <c:numCache>
                <c:formatCode>_-* #,##0_-;\-* #,##0_-;_-* "-"??_-;_-@_-</c:formatCode>
                <c:ptCount val="32"/>
                <c:pt idx="0">
                  <c:v>14354</c:v>
                </c:pt>
                <c:pt idx="1">
                  <c:v>57000</c:v>
                </c:pt>
                <c:pt idx="2">
                  <c:v>18705</c:v>
                </c:pt>
                <c:pt idx="3">
                  <c:v>123000</c:v>
                </c:pt>
                <c:pt idx="4">
                  <c:v>0</c:v>
                </c:pt>
                <c:pt idx="5">
                  <c:v>382</c:v>
                </c:pt>
                <c:pt idx="6">
                  <c:v>3000</c:v>
                </c:pt>
                <c:pt idx="7">
                  <c:v>173059</c:v>
                </c:pt>
                <c:pt idx="8">
                  <c:v>63723</c:v>
                </c:pt>
                <c:pt idx="9">
                  <c:v>71092</c:v>
                </c:pt>
                <c:pt idx="10">
                  <c:v>2741</c:v>
                </c:pt>
                <c:pt idx="11">
                  <c:v>149571</c:v>
                </c:pt>
                <c:pt idx="12">
                  <c:v>211817</c:v>
                </c:pt>
                <c:pt idx="13">
                  <c:v>48475</c:v>
                </c:pt>
                <c:pt idx="14">
                  <c:v>9412</c:v>
                </c:pt>
                <c:pt idx="15">
                  <c:v>5500</c:v>
                </c:pt>
                <c:pt idx="16">
                  <c:v>200125</c:v>
                </c:pt>
                <c:pt idx="17">
                  <c:v>30233</c:v>
                </c:pt>
                <c:pt idx="18">
                  <c:v>41630</c:v>
                </c:pt>
                <c:pt idx="19">
                  <c:v>6762</c:v>
                </c:pt>
                <c:pt idx="20">
                  <c:v>24265</c:v>
                </c:pt>
                <c:pt idx="21">
                  <c:v>214263</c:v>
                </c:pt>
                <c:pt idx="22">
                  <c:v>44710</c:v>
                </c:pt>
                <c:pt idx="23">
                  <c:v>142529</c:v>
                </c:pt>
                <c:pt idx="24">
                  <c:v>150404</c:v>
                </c:pt>
                <c:pt idx="25">
                  <c:v>247755</c:v>
                </c:pt>
                <c:pt idx="26">
                  <c:v>28060</c:v>
                </c:pt>
                <c:pt idx="27">
                  <c:v>364882</c:v>
                </c:pt>
                <c:pt idx="28">
                  <c:v>307480</c:v>
                </c:pt>
                <c:pt idx="29">
                  <c:v>363881</c:v>
                </c:pt>
                <c:pt idx="30">
                  <c:v>222798</c:v>
                </c:pt>
                <c:pt idx="31">
                  <c:v>260066</c:v>
                </c:pt>
              </c:numCache>
            </c:numRef>
          </c:val>
          <c:extLst>
            <c:ext xmlns:c16="http://schemas.microsoft.com/office/drawing/2014/chart" uri="{C3380CC4-5D6E-409C-BE32-E72D297353CC}">
              <c16:uniqueId val="{00000000-6A7A-4458-A382-35BBC17B40E0}"/>
            </c:ext>
          </c:extLst>
        </c:ser>
        <c:dLbls>
          <c:showLegendKey val="0"/>
          <c:showVal val="0"/>
          <c:showCatName val="0"/>
          <c:showSerName val="0"/>
          <c:showPercent val="0"/>
          <c:showBubbleSize val="0"/>
        </c:dLbls>
        <c:axId val="802557599"/>
        <c:axId val="146694863"/>
      </c:areaChart>
      <c:lineChart>
        <c:grouping val="standard"/>
        <c:varyColors val="0"/>
        <c:ser>
          <c:idx val="2"/>
          <c:order val="1"/>
          <c:tx>
            <c:v>Total Value</c:v>
          </c:tx>
          <c:spPr>
            <a:ln w="15875" cap="rnd">
              <a:solidFill>
                <a:srgbClr val="6F0791"/>
              </a:solidFill>
              <a:round/>
            </a:ln>
            <a:effectLst/>
          </c:spPr>
          <c:marker>
            <c:symbol val="circle"/>
            <c:size val="9"/>
            <c:spPr>
              <a:solidFill>
                <a:schemeClr val="bg1"/>
              </a:solidFill>
              <a:ln w="15875">
                <a:solidFill>
                  <a:srgbClr val="6F0791"/>
                </a:solidFill>
              </a:ln>
              <a:effectLst/>
            </c:spPr>
          </c:marker>
          <c:dLbls>
            <c:numFmt formatCode="#,##0.0" sourceLinked="0"/>
            <c:spPr>
              <a:solidFill>
                <a:schemeClr val="bg1"/>
              </a:solidFill>
              <a:ln w="15875">
                <a:solidFill>
                  <a:srgbClr val="6F0791"/>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numRef>
              <c:f>'Credit Data'!$X$5:$X$36</c:f>
              <c:numCache>
                <c:formatCode>m/d/yyyy</c:formatCode>
                <c:ptCount val="32"/>
                <c:pt idx="0">
                  <c:v>42339</c:v>
                </c:pt>
                <c:pt idx="1">
                  <c:v>42430</c:v>
                </c:pt>
                <c:pt idx="2">
                  <c:v>42522</c:v>
                </c:pt>
                <c:pt idx="3">
                  <c:v>42614</c:v>
                </c:pt>
                <c:pt idx="4">
                  <c:v>42705</c:v>
                </c:pt>
                <c:pt idx="5">
                  <c:v>42795</c:v>
                </c:pt>
                <c:pt idx="6">
                  <c:v>42887</c:v>
                </c:pt>
                <c:pt idx="7">
                  <c:v>42979</c:v>
                </c:pt>
                <c:pt idx="8">
                  <c:v>43070</c:v>
                </c:pt>
                <c:pt idx="9">
                  <c:v>43160</c:v>
                </c:pt>
                <c:pt idx="10">
                  <c:v>43252</c:v>
                </c:pt>
                <c:pt idx="11">
                  <c:v>43344</c:v>
                </c:pt>
                <c:pt idx="12">
                  <c:v>43435</c:v>
                </c:pt>
                <c:pt idx="13">
                  <c:v>43525</c:v>
                </c:pt>
                <c:pt idx="14">
                  <c:v>43617</c:v>
                </c:pt>
                <c:pt idx="15">
                  <c:v>43709</c:v>
                </c:pt>
                <c:pt idx="16">
                  <c:v>43800</c:v>
                </c:pt>
                <c:pt idx="17">
                  <c:v>43891</c:v>
                </c:pt>
                <c:pt idx="18">
                  <c:v>43983</c:v>
                </c:pt>
                <c:pt idx="19">
                  <c:v>44075</c:v>
                </c:pt>
                <c:pt idx="20">
                  <c:v>44166</c:v>
                </c:pt>
                <c:pt idx="21">
                  <c:v>44256</c:v>
                </c:pt>
                <c:pt idx="22">
                  <c:v>44348</c:v>
                </c:pt>
                <c:pt idx="23">
                  <c:v>44440</c:v>
                </c:pt>
                <c:pt idx="24">
                  <c:v>44531</c:v>
                </c:pt>
                <c:pt idx="25">
                  <c:v>44621</c:v>
                </c:pt>
                <c:pt idx="26">
                  <c:v>44713</c:v>
                </c:pt>
                <c:pt idx="27">
                  <c:v>44805</c:v>
                </c:pt>
                <c:pt idx="28">
                  <c:v>44896</c:v>
                </c:pt>
                <c:pt idx="29">
                  <c:v>44986</c:v>
                </c:pt>
                <c:pt idx="30">
                  <c:v>45078</c:v>
                </c:pt>
                <c:pt idx="31">
                  <c:v>45170</c:v>
                </c:pt>
              </c:numCache>
            </c:numRef>
          </c:cat>
          <c:val>
            <c:numRef>
              <c:f>'Credit Data'!$Y$5:$Y$36</c:f>
              <c:numCache>
                <c:formatCode>#,##0_);[Red]\(#,##0\)</c:formatCode>
                <c:ptCount val="32"/>
                <c:pt idx="0">
                  <c:v>2439430</c:v>
                </c:pt>
                <c:pt idx="1">
                  <c:v>9315000</c:v>
                </c:pt>
                <c:pt idx="2">
                  <c:v>3199849.9999999995</c:v>
                </c:pt>
                <c:pt idx="3">
                  <c:v>21450000</c:v>
                </c:pt>
                <c:pt idx="4">
                  <c:v>0</c:v>
                </c:pt>
                <c:pt idx="5">
                  <c:v>22920</c:v>
                </c:pt>
                <c:pt idx="6">
                  <c:v>300000</c:v>
                </c:pt>
                <c:pt idx="7">
                  <c:v>28847676</c:v>
                </c:pt>
                <c:pt idx="8">
                  <c:v>10289425.74</c:v>
                </c:pt>
                <c:pt idx="9">
                  <c:v>11320250.300000001</c:v>
                </c:pt>
                <c:pt idx="10">
                  <c:v>466804</c:v>
                </c:pt>
                <c:pt idx="11">
                  <c:v>29908891.390000001</c:v>
                </c:pt>
                <c:pt idx="12">
                  <c:v>42498264.600000001</c:v>
                </c:pt>
                <c:pt idx="13">
                  <c:v>8650870</c:v>
                </c:pt>
                <c:pt idx="14">
                  <c:v>1762400</c:v>
                </c:pt>
                <c:pt idx="15">
                  <c:v>980000</c:v>
                </c:pt>
                <c:pt idx="16">
                  <c:v>59579013.530000001</c:v>
                </c:pt>
                <c:pt idx="17">
                  <c:v>7119555</c:v>
                </c:pt>
                <c:pt idx="18">
                  <c:v>8585551.6999999993</c:v>
                </c:pt>
                <c:pt idx="19">
                  <c:v>2282205</c:v>
                </c:pt>
                <c:pt idx="20">
                  <c:v>7780558.5700000003</c:v>
                </c:pt>
                <c:pt idx="21">
                  <c:v>88003213.920000017</c:v>
                </c:pt>
                <c:pt idx="22">
                  <c:v>18826760</c:v>
                </c:pt>
                <c:pt idx="23">
                  <c:v>67319561</c:v>
                </c:pt>
                <c:pt idx="24">
                  <c:v>72682849.200000003</c:v>
                </c:pt>
                <c:pt idx="25">
                  <c:v>115780821.48</c:v>
                </c:pt>
                <c:pt idx="26">
                  <c:v>11296685</c:v>
                </c:pt>
                <c:pt idx="27">
                  <c:v>163455120</c:v>
                </c:pt>
                <c:pt idx="28">
                  <c:v>136500949.87</c:v>
                </c:pt>
                <c:pt idx="29">
                  <c:v>163456130.16999999</c:v>
                </c:pt>
                <c:pt idx="30">
                  <c:v>104667719.75</c:v>
                </c:pt>
                <c:pt idx="31">
                  <c:v>126398154.82999998</c:v>
                </c:pt>
              </c:numCache>
            </c:numRef>
          </c:val>
          <c:smooth val="0"/>
          <c:extLst>
            <c:ext xmlns:c16="http://schemas.microsoft.com/office/drawing/2014/chart" uri="{C3380CC4-5D6E-409C-BE32-E72D297353CC}">
              <c16:uniqueId val="{00000001-6A7A-4458-A382-35BBC17B40E0}"/>
            </c:ext>
          </c:extLst>
        </c:ser>
        <c:dLbls>
          <c:showLegendKey val="0"/>
          <c:showVal val="0"/>
          <c:showCatName val="0"/>
          <c:showSerName val="0"/>
          <c:showPercent val="0"/>
          <c:showBubbleSize val="0"/>
        </c:dLbls>
        <c:marker val="1"/>
        <c:smooth val="0"/>
        <c:axId val="554887231"/>
        <c:axId val="829858479"/>
      </c:lineChart>
      <c:dateAx>
        <c:axId val="802557599"/>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6694863"/>
        <c:crosses val="autoZero"/>
        <c:auto val="1"/>
        <c:lblOffset val="100"/>
        <c:baseTimeUnit val="months"/>
      </c:dateAx>
      <c:valAx>
        <c:axId val="146694863"/>
        <c:scaling>
          <c:orientation val="minMax"/>
          <c:max val="500000"/>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Total</a:t>
                </a:r>
                <a:r>
                  <a:rPr lang="en-US" sz="1200" baseline="0"/>
                  <a:t> Volume of Credits Traded</a:t>
                </a:r>
              </a:p>
              <a:p>
                <a:pPr>
                  <a:defRPr sz="1200"/>
                </a:pPr>
                <a:r>
                  <a:rPr lang="en-US" sz="1200" baseline="0"/>
                  <a:t>(tonnes of CO</a:t>
                </a:r>
                <a:r>
                  <a:rPr lang="en-US" sz="1200" baseline="-25000"/>
                  <a:t>2</a:t>
                </a:r>
                <a:r>
                  <a:rPr lang="en-US" sz="1200" baseline="0"/>
                  <a:t> equivalent reduction)</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2557599"/>
        <c:crosses val="autoZero"/>
        <c:crossBetween val="between"/>
      </c:valAx>
      <c:valAx>
        <c:axId val="829858479"/>
        <c:scaling>
          <c:orientation val="minMax"/>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Total</a:t>
                </a:r>
                <a:r>
                  <a:rPr lang="en-US" sz="1200" baseline="0"/>
                  <a:t> Value of Credits Traded (C$/per tonne)</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4887231"/>
        <c:crosses val="max"/>
        <c:crossBetween val="between"/>
        <c:dispUnits>
          <c:builtInUnit val="millions"/>
        </c:dispUnits>
      </c:valAx>
      <c:dateAx>
        <c:axId val="554887231"/>
        <c:scaling>
          <c:orientation val="minMax"/>
        </c:scaling>
        <c:delete val="1"/>
        <c:axPos val="b"/>
        <c:numFmt formatCode="m/d/yyyy" sourceLinked="1"/>
        <c:majorTickMark val="out"/>
        <c:minorTickMark val="none"/>
        <c:tickLblPos val="nextTo"/>
        <c:crossAx val="829858479"/>
        <c:crosses val="autoZero"/>
        <c:auto val="1"/>
        <c:lblOffset val="100"/>
        <c:baseTimeUnit val="months"/>
      </c:dateAx>
      <c:spPr>
        <a:noFill/>
        <a:ln w="22225">
          <a:solidFill>
            <a:srgbClr val="8C8C8C"/>
          </a:solidFill>
        </a:ln>
        <a:effectLst/>
      </c:spPr>
    </c:plotArea>
    <c:legend>
      <c:legendPos val="b"/>
      <c:layout>
        <c:manualLayout>
          <c:xMode val="edge"/>
          <c:yMode val="edge"/>
          <c:x val="0.68926481293991604"/>
          <c:y val="0.94687998857018052"/>
          <c:w val="0.29715388011003102"/>
          <c:h val="5.0757402268439653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spc="0" baseline="0">
                <a:solidFill>
                  <a:srgbClr val="323232"/>
                </a:solidFill>
                <a:latin typeface="Arial" panose="020B0604020202020204" pitchFamily="34" charset="0"/>
                <a:ea typeface="+mn-ea"/>
                <a:cs typeface="Arial" panose="020B0604020202020204" pitchFamily="34" charset="0"/>
              </a:defRPr>
            </a:pPr>
            <a:r>
              <a:rPr lang="en-US" sz="3200"/>
              <a:t>Canada Biomass-Based Diesel Yield</a:t>
            </a:r>
          </a:p>
        </c:rich>
      </c:tx>
      <c:overlay val="0"/>
      <c:spPr>
        <a:noFill/>
        <a:ln>
          <a:noFill/>
        </a:ln>
        <a:effectLst/>
      </c:spPr>
      <c:txPr>
        <a:bodyPr rot="0" spcFirstLastPara="1" vertOverflow="ellipsis" vert="horz" wrap="square" anchor="ctr" anchorCtr="1"/>
        <a:lstStyle/>
        <a:p>
          <a:pPr>
            <a:defRPr sz="3200" b="1" i="0" u="none" strike="noStrike" kern="1200" spc="0" baseline="0">
              <a:solidFill>
                <a:srgbClr val="323232"/>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4939721275095054E-2"/>
          <c:y val="0.11715713079553713"/>
          <c:w val="0.88316362301289841"/>
          <c:h val="0.74571229306583575"/>
        </c:manualLayout>
      </c:layout>
      <c:areaChart>
        <c:grouping val="standard"/>
        <c:varyColors val="0"/>
        <c:ser>
          <c:idx val="2"/>
          <c:order val="1"/>
          <c:tx>
            <c:v>3-Year Range</c:v>
          </c:tx>
          <c:spPr>
            <a:solidFill>
              <a:srgbClr val="ECECEC"/>
            </a:solidFill>
            <a:ln>
              <a:solidFill>
                <a:srgbClr val="8C8C8C"/>
              </a:solidFill>
            </a:ln>
            <a:effectLst/>
          </c:spPr>
          <c:cat>
            <c:strRef>
              <c:f>'Total RD Feedstock'!$AI$96:$AI$107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RD Feedstock'!$AL$96:$AL$107</c:f>
              <c:numCache>
                <c:formatCode>#,##0.00_);[Red]\(#,##0.00\)</c:formatCode>
                <c:ptCount val="12"/>
                <c:pt idx="0">
                  <c:v>8.6328037555691957</c:v>
                </c:pt>
                <c:pt idx="1">
                  <c:v>8.3149133866662517</c:v>
                </c:pt>
                <c:pt idx="2">
                  <c:v>8.1581354240197737</c:v>
                </c:pt>
                <c:pt idx="3">
                  <c:v>8.3536828121155864</c:v>
                </c:pt>
                <c:pt idx="4">
                  <c:v>8.1360333083836718</c:v>
                </c:pt>
                <c:pt idx="5">
                  <c:v>8.307849734367565</c:v>
                </c:pt>
                <c:pt idx="6">
                  <c:v>8.7816781960053927</c:v>
                </c:pt>
                <c:pt idx="7">
                  <c:v>8.0267849123244961</c:v>
                </c:pt>
                <c:pt idx="8">
                  <c:v>8.7920874409979106</c:v>
                </c:pt>
                <c:pt idx="9">
                  <c:v>8.4431208568194958</c:v>
                </c:pt>
                <c:pt idx="10">
                  <c:v>8.1196590474248147</c:v>
                </c:pt>
                <c:pt idx="11">
                  <c:v>8.4673688623106145</c:v>
                </c:pt>
              </c:numCache>
            </c:numRef>
          </c:val>
          <c:extLst>
            <c:ext xmlns:c16="http://schemas.microsoft.com/office/drawing/2014/chart" uri="{C3380CC4-5D6E-409C-BE32-E72D297353CC}">
              <c16:uniqueId val="{00000000-6FB8-43EE-842B-46F312273477}"/>
            </c:ext>
          </c:extLst>
        </c:ser>
        <c:ser>
          <c:idx val="1"/>
          <c:order val="2"/>
          <c:spPr>
            <a:solidFill>
              <a:srgbClr val="FFFFFF"/>
            </a:solidFill>
            <a:ln>
              <a:solidFill>
                <a:srgbClr val="8C8C8C"/>
              </a:solidFill>
            </a:ln>
            <a:effectLst/>
          </c:spPr>
          <c:cat>
            <c:strRef>
              <c:f>'Total RD Feedstock'!$AI$96:$AI$107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RD Feedstock'!$AK$96:$AK$107</c:f>
              <c:numCache>
                <c:formatCode>#,##0.00_);[Red]\(#,##0.00\)</c:formatCode>
                <c:ptCount val="12"/>
                <c:pt idx="0">
                  <c:v>7.832643146085406</c:v>
                </c:pt>
                <c:pt idx="1">
                  <c:v>8.0640975607506107</c:v>
                </c:pt>
                <c:pt idx="2">
                  <c:v>7.9223346108205543</c:v>
                </c:pt>
                <c:pt idx="3">
                  <c:v>8.0233081676822167</c:v>
                </c:pt>
                <c:pt idx="4">
                  <c:v>8.0786203871905204</c:v>
                </c:pt>
                <c:pt idx="5">
                  <c:v>8.0609493135791705</c:v>
                </c:pt>
                <c:pt idx="6">
                  <c:v>8.1885636289135437</c:v>
                </c:pt>
                <c:pt idx="7">
                  <c:v>7.5621800698823023</c:v>
                </c:pt>
                <c:pt idx="8">
                  <c:v>8.0817516464487635</c:v>
                </c:pt>
                <c:pt idx="9">
                  <c:v>8.069033794499898</c:v>
                </c:pt>
                <c:pt idx="10">
                  <c:v>7.9515428659289453</c:v>
                </c:pt>
                <c:pt idx="11">
                  <c:v>8.0787699882190989</c:v>
                </c:pt>
              </c:numCache>
            </c:numRef>
          </c:val>
          <c:extLst>
            <c:ext xmlns:c16="http://schemas.microsoft.com/office/drawing/2014/chart" uri="{C3380CC4-5D6E-409C-BE32-E72D297353CC}">
              <c16:uniqueId val="{00000001-6FB8-43EE-842B-46F312273477}"/>
            </c:ext>
          </c:extLst>
        </c:ser>
        <c:dLbls>
          <c:showLegendKey val="0"/>
          <c:showVal val="0"/>
          <c:showCatName val="0"/>
          <c:showSerName val="0"/>
          <c:showPercent val="0"/>
          <c:showBubbleSize val="0"/>
        </c:dLbls>
        <c:axId val="132572191"/>
        <c:axId val="132572911"/>
      </c:areaChart>
      <c:lineChart>
        <c:grouping val="standard"/>
        <c:varyColors val="0"/>
        <c:ser>
          <c:idx val="0"/>
          <c:order val="0"/>
          <c:tx>
            <c:v>3-Year Average</c:v>
          </c:tx>
          <c:spPr>
            <a:ln w="28575" cap="rnd">
              <a:solidFill>
                <a:schemeClr val="tx1"/>
              </a:solidFill>
              <a:round/>
            </a:ln>
            <a:effectLst/>
          </c:spPr>
          <c:marker>
            <c:symbol val="none"/>
          </c:marker>
          <c:cat>
            <c:strRef>
              <c:f>'Total RD Feedstock'!$AI$96:$AI$107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RD Feedstock'!$AJ$96:$AJ$107</c:f>
              <c:numCache>
                <c:formatCode>#,##0.00_);[Red]\(#,##0.00\)</c:formatCode>
                <c:ptCount val="12"/>
                <c:pt idx="0">
                  <c:v>8.1389479279939145</c:v>
                </c:pt>
                <c:pt idx="1">
                  <c:v>8.2196499107079912</c:v>
                </c:pt>
                <c:pt idx="2">
                  <c:v>8.0185142427026292</c:v>
                </c:pt>
                <c:pt idx="3">
                  <c:v>8.1684373475527519</c:v>
                </c:pt>
                <c:pt idx="4">
                  <c:v>8.1116467645280821</c:v>
                </c:pt>
                <c:pt idx="5">
                  <c:v>8.2040393201503949</c:v>
                </c:pt>
                <c:pt idx="6">
                  <c:v>8.4251883696205674</c:v>
                </c:pt>
                <c:pt idx="7">
                  <c:v>7.8539542058194511</c:v>
                </c:pt>
                <c:pt idx="8">
                  <c:v>8.4493551440298535</c:v>
                </c:pt>
                <c:pt idx="9">
                  <c:v>8.2188100261811226</c:v>
                </c:pt>
                <c:pt idx="10">
                  <c:v>8.0334544542314408</c:v>
                </c:pt>
                <c:pt idx="11">
                  <c:v>8.2421968256859675</c:v>
                </c:pt>
              </c:numCache>
            </c:numRef>
          </c:val>
          <c:smooth val="0"/>
          <c:extLst>
            <c:ext xmlns:c16="http://schemas.microsoft.com/office/drawing/2014/chart" uri="{C3380CC4-5D6E-409C-BE32-E72D297353CC}">
              <c16:uniqueId val="{00000002-6FB8-43EE-842B-46F312273477}"/>
            </c:ext>
          </c:extLst>
        </c:ser>
        <c:ser>
          <c:idx val="3"/>
          <c:order val="3"/>
          <c:tx>
            <c:strRef>
              <c:f>'Total RD Feedstock'!$E$95</c:f>
              <c:strCache>
                <c:ptCount val="1"/>
                <c:pt idx="0">
                  <c:v>2023</c:v>
                </c:pt>
              </c:strCache>
            </c:strRef>
          </c:tx>
          <c:spPr>
            <a:ln w="22225" cap="rnd">
              <a:solidFill>
                <a:srgbClr val="323232"/>
              </a:solidFill>
              <a:round/>
            </a:ln>
            <a:effectLst/>
          </c:spPr>
          <c:marker>
            <c:symbol val="circle"/>
            <c:size val="7"/>
            <c:spPr>
              <a:solidFill>
                <a:srgbClr val="323232"/>
              </a:solidFill>
              <a:ln w="15875">
                <a:solidFill>
                  <a:srgbClr val="323232"/>
                </a:solidFill>
              </a:ln>
              <a:effectLst/>
            </c:spPr>
          </c:marker>
          <c:dPt>
            <c:idx val="1"/>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4-6FB8-43EE-842B-46F312273477}"/>
              </c:ext>
            </c:extLst>
          </c:dPt>
          <c:dPt>
            <c:idx val="2"/>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6-6FB8-43EE-842B-46F312273477}"/>
              </c:ext>
            </c:extLst>
          </c:dPt>
          <c:dPt>
            <c:idx val="3"/>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8-6FB8-43EE-842B-46F312273477}"/>
              </c:ext>
            </c:extLst>
          </c:dPt>
          <c:dPt>
            <c:idx val="4"/>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A-6FB8-43EE-842B-46F312273477}"/>
              </c:ext>
            </c:extLst>
          </c:dPt>
          <c:dPt>
            <c:idx val="5"/>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C-6FB8-43EE-842B-46F312273477}"/>
              </c:ext>
            </c:extLst>
          </c:dPt>
          <c:dPt>
            <c:idx val="6"/>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E-6FB8-43EE-842B-46F312273477}"/>
              </c:ext>
            </c:extLst>
          </c:dPt>
          <c:dPt>
            <c:idx val="7"/>
            <c:marker>
              <c:symbol val="circle"/>
              <c:size val="7"/>
              <c:spPr>
                <a:solidFill>
                  <a:srgbClr val="FFFFFF"/>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0-6FB8-43EE-842B-46F312273477}"/>
              </c:ext>
            </c:extLst>
          </c:dPt>
          <c:dPt>
            <c:idx val="8"/>
            <c:marker>
              <c:symbol val="circle"/>
              <c:size val="7"/>
              <c:spPr>
                <a:solidFill>
                  <a:srgbClr val="FFFFFF"/>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2-6FB8-43EE-842B-46F312273477}"/>
              </c:ext>
            </c:extLst>
          </c:dPt>
          <c:dPt>
            <c:idx val="9"/>
            <c:marker>
              <c:symbol val="circle"/>
              <c:size val="7"/>
              <c:spPr>
                <a:solidFill>
                  <a:srgbClr val="FFFFFF"/>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4-6FB8-43EE-842B-46F312273477}"/>
              </c:ext>
            </c:extLst>
          </c:dPt>
          <c:dPt>
            <c:idx val="10"/>
            <c:marker>
              <c:symbol val="circle"/>
              <c:size val="7"/>
              <c:spPr>
                <a:solidFill>
                  <a:srgbClr val="FFFFFF"/>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6-6FB8-43EE-842B-46F312273477}"/>
              </c:ext>
            </c:extLst>
          </c:dPt>
          <c:dPt>
            <c:idx val="11"/>
            <c:marker>
              <c:symbol val="circle"/>
              <c:size val="7"/>
              <c:spPr>
                <a:solidFill>
                  <a:srgbClr val="FFFFFF"/>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8-6FB8-43EE-842B-46F312273477}"/>
              </c:ext>
            </c:extLst>
          </c:dPt>
          <c:val>
            <c:numRef>
              <c:f>'Total RD Feedstock'!$E$96:$E$107</c:f>
              <c:numCache>
                <c:formatCode>#,##0.00_);[Red]\(#,##0.00\)</c:formatCode>
                <c:ptCount val="12"/>
                <c:pt idx="0">
                  <c:v>8.1947459833150802</c:v>
                </c:pt>
                <c:pt idx="1">
                  <c:v>8.1959387704782536</c:v>
                </c:pt>
                <c:pt idx="2">
                  <c:v>7.9882582861722442</c:v>
                </c:pt>
                <c:pt idx="3">
                  <c:v>7.9903389169687973</c:v>
                </c:pt>
                <c:pt idx="4">
                  <c:v>8.1669869629028504</c:v>
                </c:pt>
                <c:pt idx="5">
                  <c:v>8.2211536269048899</c:v>
                </c:pt>
                <c:pt idx="6">
                  <c:v>7.9262681543470652</c:v>
                </c:pt>
                <c:pt idx="7">
                  <c:v>7.9886892375306635</c:v>
                </c:pt>
                <c:pt idx="8">
                  <c:v>7.9921791962701461</c:v>
                </c:pt>
                <c:pt idx="9">
                  <c:v>8.3445810707095838</c:v>
                </c:pt>
                <c:pt idx="10">
                  <c:v>7.7274195842426128</c:v>
                </c:pt>
                <c:pt idx="11">
                  <c:v>8.3609757142596948</c:v>
                </c:pt>
              </c:numCache>
            </c:numRef>
          </c:val>
          <c:smooth val="0"/>
          <c:extLst>
            <c:ext xmlns:c16="http://schemas.microsoft.com/office/drawing/2014/chart" uri="{C3380CC4-5D6E-409C-BE32-E72D297353CC}">
              <c16:uniqueId val="{00000019-6FB8-43EE-842B-46F312273477}"/>
            </c:ext>
          </c:extLst>
        </c:ser>
        <c:ser>
          <c:idx val="4"/>
          <c:order val="4"/>
          <c:tx>
            <c:strRef>
              <c:f>'Total RD Feedstock'!$D$95</c:f>
              <c:strCache>
                <c:ptCount val="1"/>
                <c:pt idx="0">
                  <c:v>2022</c:v>
                </c:pt>
              </c:strCache>
            </c:strRef>
          </c:tx>
          <c:spPr>
            <a:ln w="22225" cap="rnd">
              <a:solidFill>
                <a:srgbClr val="6F0791"/>
              </a:solidFill>
              <a:round/>
            </a:ln>
            <a:effectLst/>
          </c:spPr>
          <c:marker>
            <c:symbol val="circle"/>
            <c:size val="7"/>
            <c:spPr>
              <a:solidFill>
                <a:srgbClr val="6F0791"/>
              </a:solidFill>
              <a:ln w="15875">
                <a:solidFill>
                  <a:srgbClr val="6F0791"/>
                </a:solidFill>
              </a:ln>
              <a:effectLst/>
            </c:spPr>
          </c:marker>
          <c:val>
            <c:numRef>
              <c:f>'Total RD Feedstock'!$D$96:$D$107</c:f>
              <c:numCache>
                <c:formatCode>#,##0.00_);[Red]\(#,##0.00\)</c:formatCode>
                <c:ptCount val="12"/>
                <c:pt idx="0">
                  <c:v>7.832643146085406</c:v>
                </c:pt>
                <c:pt idx="1">
                  <c:v>8.2799387847071078</c:v>
                </c:pt>
                <c:pt idx="2">
                  <c:v>7.975072693267558</c:v>
                </c:pt>
                <c:pt idx="3">
                  <c:v>8.1283210628604543</c:v>
                </c:pt>
                <c:pt idx="4">
                  <c:v>8.0786203871905204</c:v>
                </c:pt>
                <c:pt idx="5">
                  <c:v>8.243318912504451</c:v>
                </c:pt>
                <c:pt idx="6">
                  <c:v>8.3053232839427658</c:v>
                </c:pt>
                <c:pt idx="7">
                  <c:v>7.5621800698823023</c:v>
                </c:pt>
                <c:pt idx="8">
                  <c:v>8.4742263446428883</c:v>
                </c:pt>
                <c:pt idx="9">
                  <c:v>8.069033794499898</c:v>
                </c:pt>
                <c:pt idx="10">
                  <c:v>8.029161449340565</c:v>
                </c:pt>
                <c:pt idx="11">
                  <c:v>8.1804516265281908</c:v>
                </c:pt>
              </c:numCache>
            </c:numRef>
          </c:val>
          <c:smooth val="0"/>
          <c:extLst>
            <c:ext xmlns:c16="http://schemas.microsoft.com/office/drawing/2014/chart" uri="{C3380CC4-5D6E-409C-BE32-E72D297353CC}">
              <c16:uniqueId val="{0000001A-6FB8-43EE-842B-46F312273477}"/>
            </c:ext>
          </c:extLst>
        </c:ser>
        <c:dLbls>
          <c:showLegendKey val="0"/>
          <c:showVal val="0"/>
          <c:showCatName val="0"/>
          <c:showSerName val="0"/>
          <c:showPercent val="0"/>
          <c:showBubbleSize val="0"/>
        </c:dLbls>
        <c:marker val="1"/>
        <c:smooth val="0"/>
        <c:axId val="132572191"/>
        <c:axId val="132572911"/>
      </c:lineChart>
      <c:catAx>
        <c:axId val="132572191"/>
        <c:scaling>
          <c:orientation val="minMax"/>
        </c:scaling>
        <c:delete val="0"/>
        <c:axPos val="b"/>
        <c:numFmt formatCode="General" sourceLinked="1"/>
        <c:majorTickMark val="none"/>
        <c:minorTickMark val="none"/>
        <c:tickLblPos val="low"/>
        <c:spPr>
          <a:noFill/>
          <a:ln w="22225" cap="flat" cmpd="sng" algn="ctr">
            <a:solidFill>
              <a:srgbClr val="8C8C8C"/>
            </a:solidFill>
            <a:round/>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132572911"/>
        <c:crosses val="autoZero"/>
        <c:auto val="1"/>
        <c:lblAlgn val="ctr"/>
        <c:lblOffset val="100"/>
        <c:noMultiLvlLbl val="0"/>
      </c:catAx>
      <c:valAx>
        <c:axId val="132572911"/>
        <c:scaling>
          <c:orientation val="minMax"/>
          <c:max val="10"/>
          <c:min val="7"/>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r>
                  <a:rPr lang="en-US" sz="1200"/>
                  <a:t>pounds</a:t>
                </a:r>
                <a:r>
                  <a:rPr lang="en-US" sz="1200" baseline="0"/>
                  <a:t> per gallon</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132572191"/>
        <c:crosses val="autoZero"/>
        <c:crossBetween val="midCat"/>
      </c:valAx>
      <c:spPr>
        <a:noFill/>
        <a:ln w="22225">
          <a:solidFill>
            <a:srgbClr val="8C8C8C"/>
          </a:solidFill>
        </a:ln>
        <a:effectLst/>
      </c:spPr>
    </c:plotArea>
    <c:legend>
      <c:legendPos val="b"/>
      <c:legendEntry>
        <c:idx val="1"/>
        <c:delete val="1"/>
      </c:legendEntry>
      <c:layout>
        <c:manualLayout>
          <c:xMode val="edge"/>
          <c:yMode val="edge"/>
          <c:x val="0.42263922154663508"/>
          <c:y val="0.78633894727017128"/>
          <c:w val="0.52800865556873022"/>
          <c:h val="5.0729769644579994E-2"/>
        </c:manualLayout>
      </c:layout>
      <c:overlay val="0"/>
      <c:spPr>
        <a:solidFill>
          <a:srgbClr val="FFFFFF"/>
        </a:solidFill>
        <a:ln w="15875">
          <a:solidFill>
            <a:srgbClr val="8C8C8C"/>
          </a:solidFill>
        </a:ln>
        <a:effectLst/>
      </c:spPr>
      <c:txPr>
        <a:bodyPr rot="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noFill/>
      <a:round/>
    </a:ln>
    <a:effectLst/>
  </c:spPr>
  <c:txPr>
    <a:bodyPr/>
    <a:lstStyle/>
    <a:p>
      <a:pPr>
        <a:defRPr sz="1400" b="1">
          <a:solidFill>
            <a:srgbClr val="323232"/>
          </a:solidFill>
          <a:latin typeface="Arial" panose="020B0604020202020204" pitchFamily="34" charset="0"/>
          <a:cs typeface="Arial" panose="020B0604020202020204" pitchFamily="34" charset="0"/>
        </a:defRPr>
      </a:pPr>
      <a:endParaRPr lang="en-US"/>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rgbClr val="323232"/>
                </a:solidFill>
                <a:latin typeface="Arial" panose="020B0604020202020204" pitchFamily="34" charset="0"/>
                <a:ea typeface="+mn-ea"/>
                <a:cs typeface="Arial" panose="020B0604020202020204" pitchFamily="34" charset="0"/>
              </a:defRPr>
            </a:pPr>
            <a:r>
              <a:rPr lang="en-US"/>
              <a:t>Canada: Vegetable Oil Used in Biomass-Based Diesel Production</a:t>
            </a:r>
          </a:p>
        </c:rich>
      </c:tx>
      <c:overlay val="0"/>
      <c:spPr>
        <a:noFill/>
        <a:ln>
          <a:noFill/>
        </a:ln>
        <a:effectLst/>
      </c:spPr>
      <c:txPr>
        <a:bodyPr rot="0" spcFirstLastPara="1" vertOverflow="ellipsis" vert="horz" wrap="square" anchor="ctr" anchorCtr="1"/>
        <a:lstStyle/>
        <a:p>
          <a:pPr>
            <a:defRPr sz="1680" b="1" i="0" u="none" strike="noStrike" kern="1200" spc="0" baseline="0">
              <a:solidFill>
                <a:srgbClr val="323232"/>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1"/>
          <c:order val="1"/>
          <c:tx>
            <c:strRef>
              <c:f>'VO RD Feedstock'!$C$29</c:f>
              <c:strCache>
                <c:ptCount val="1"/>
                <c:pt idx="0">
                  <c:v>2021</c:v>
                </c:pt>
              </c:strCache>
            </c:strRef>
          </c:tx>
          <c:spPr>
            <a:ln w="22225" cap="rnd">
              <a:solidFill>
                <a:srgbClr val="8C8C8C"/>
              </a:solidFill>
              <a:round/>
            </a:ln>
            <a:effectLst/>
          </c:spPr>
          <c:marker>
            <c:symbol val="circle"/>
            <c:size val="7"/>
            <c:spPr>
              <a:solidFill>
                <a:srgbClr val="8C8C8C"/>
              </a:solidFill>
              <a:ln w="15875">
                <a:solidFill>
                  <a:srgbClr val="8C8C8C"/>
                </a:solidFill>
              </a:ln>
              <a:effectLst/>
            </c:spPr>
          </c:marker>
          <c:cat>
            <c:strRef>
              <c:f>'VO RD Feedstock'!$AH$30:$AH$41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'VO RD Feedstock'!$C$30:$C$41</c:f>
              <c:numCache>
                <c:formatCode>#,##0_);[Red]\(#,##0\)</c:formatCode>
                <c:ptCount val="12"/>
                <c:pt idx="0">
                  <c:v>22686</c:v>
                </c:pt>
                <c:pt idx="1">
                  <c:v>24930</c:v>
                </c:pt>
                <c:pt idx="2">
                  <c:v>28507</c:v>
                </c:pt>
                <c:pt idx="3">
                  <c:v>26132</c:v>
                </c:pt>
                <c:pt idx="4">
                  <c:v>20622</c:v>
                </c:pt>
                <c:pt idx="5">
                  <c:v>31139</c:v>
                </c:pt>
                <c:pt idx="6">
                  <c:v>29199</c:v>
                </c:pt>
                <c:pt idx="7">
                  <c:v>29104</c:v>
                </c:pt>
                <c:pt idx="8">
                  <c:v>30370</c:v>
                </c:pt>
                <c:pt idx="9">
                  <c:v>28965</c:v>
                </c:pt>
                <c:pt idx="10">
                  <c:v>31711</c:v>
                </c:pt>
                <c:pt idx="11">
                  <c:v>34853</c:v>
                </c:pt>
              </c:numCache>
            </c:numRef>
          </c:val>
          <c:smooth val="0"/>
          <c:extLst>
            <c:ext xmlns:c16="http://schemas.microsoft.com/office/drawing/2014/chart" uri="{C3380CC4-5D6E-409C-BE32-E72D297353CC}">
              <c16:uniqueId val="{00000000-4334-4123-92BE-D787CC09F035}"/>
            </c:ext>
          </c:extLst>
        </c:ser>
        <c:ser>
          <c:idx val="2"/>
          <c:order val="2"/>
          <c:tx>
            <c:strRef>
              <c:f>'VO RD Feedstock'!$D$29</c:f>
              <c:strCache>
                <c:ptCount val="1"/>
                <c:pt idx="0">
                  <c:v>2022</c:v>
                </c:pt>
              </c:strCache>
            </c:strRef>
          </c:tx>
          <c:spPr>
            <a:ln w="22225" cap="rnd">
              <a:solidFill>
                <a:srgbClr val="6F0791"/>
              </a:solidFill>
              <a:round/>
            </a:ln>
            <a:effectLst/>
          </c:spPr>
          <c:marker>
            <c:symbol val="circle"/>
            <c:size val="7"/>
            <c:spPr>
              <a:solidFill>
                <a:srgbClr val="6F0791"/>
              </a:solidFill>
              <a:ln w="15875">
                <a:solidFill>
                  <a:srgbClr val="6F0791"/>
                </a:solidFill>
              </a:ln>
              <a:effectLst/>
            </c:spPr>
          </c:marker>
          <c:cat>
            <c:strRef>
              <c:f>'VO RD Feedstock'!$AH$30:$AH$41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'VO RD Feedstock'!$D$30:$D$41</c:f>
              <c:numCache>
                <c:formatCode>#,##0_);[Red]\(#,##0\)</c:formatCode>
                <c:ptCount val="12"/>
                <c:pt idx="0">
                  <c:v>16557</c:v>
                </c:pt>
                <c:pt idx="1">
                  <c:v>18037</c:v>
                </c:pt>
                <c:pt idx="2">
                  <c:v>23614</c:v>
                </c:pt>
                <c:pt idx="3">
                  <c:v>22418</c:v>
                </c:pt>
                <c:pt idx="4">
                  <c:v>23515</c:v>
                </c:pt>
                <c:pt idx="5">
                  <c:v>24636</c:v>
                </c:pt>
                <c:pt idx="6">
                  <c:v>23772</c:v>
                </c:pt>
                <c:pt idx="7">
                  <c:v>22812</c:v>
                </c:pt>
                <c:pt idx="8">
                  <c:v>32909</c:v>
                </c:pt>
                <c:pt idx="9">
                  <c:v>35736</c:v>
                </c:pt>
                <c:pt idx="10">
                  <c:v>37856</c:v>
                </c:pt>
                <c:pt idx="11">
                  <c:v>33125</c:v>
                </c:pt>
              </c:numCache>
            </c:numRef>
          </c:val>
          <c:smooth val="0"/>
          <c:extLst>
            <c:ext xmlns:c16="http://schemas.microsoft.com/office/drawing/2014/chart" uri="{C3380CC4-5D6E-409C-BE32-E72D297353CC}">
              <c16:uniqueId val="{00000001-4334-4123-92BE-D787CC09F035}"/>
            </c:ext>
          </c:extLst>
        </c:ser>
        <c:ser>
          <c:idx val="4"/>
          <c:order val="3"/>
          <c:tx>
            <c:strRef>
              <c:f>'VO RD Feedstock'!$E$29</c:f>
              <c:strCache>
                <c:ptCount val="1"/>
                <c:pt idx="0">
                  <c:v>2023</c:v>
                </c:pt>
              </c:strCache>
            </c:strRef>
          </c:tx>
          <c:spPr>
            <a:ln w="22225" cap="rnd">
              <a:solidFill>
                <a:srgbClr val="323232"/>
              </a:solidFill>
              <a:round/>
            </a:ln>
            <a:effectLst/>
          </c:spPr>
          <c:marker>
            <c:symbol val="circle"/>
            <c:size val="7"/>
            <c:spPr>
              <a:solidFill>
                <a:srgbClr val="323232"/>
              </a:solidFill>
              <a:ln w="15875">
                <a:solidFill>
                  <a:srgbClr val="323232"/>
                </a:solidFill>
              </a:ln>
              <a:effectLst/>
            </c:spPr>
          </c:marker>
          <c:dPt>
            <c:idx val="1"/>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3-4334-4123-92BE-D787CC09F035}"/>
              </c:ext>
            </c:extLst>
          </c:dPt>
          <c:dPt>
            <c:idx val="2"/>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5-4334-4123-92BE-D787CC09F035}"/>
              </c:ext>
            </c:extLst>
          </c:dPt>
          <c:dPt>
            <c:idx val="3"/>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7-4334-4123-92BE-D787CC09F035}"/>
              </c:ext>
            </c:extLst>
          </c:dPt>
          <c:dPt>
            <c:idx val="4"/>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9-4334-4123-92BE-D787CC09F035}"/>
              </c:ext>
            </c:extLst>
          </c:dPt>
          <c:dPt>
            <c:idx val="5"/>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B-4334-4123-92BE-D787CC09F035}"/>
              </c:ext>
            </c:extLst>
          </c:dPt>
          <c:dPt>
            <c:idx val="6"/>
            <c:marker>
              <c:symbol val="circle"/>
              <c:size val="7"/>
              <c:spPr>
                <a:solidFill>
                  <a:srgbClr val="323232"/>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D-4334-4123-92BE-D787CC09F035}"/>
              </c:ext>
            </c:extLst>
          </c:dPt>
          <c:dPt>
            <c:idx val="7"/>
            <c:marker>
              <c:symbol val="circle"/>
              <c:size val="7"/>
              <c:spPr>
                <a:solidFill>
                  <a:schemeClr val="tx1"/>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0F-4334-4123-92BE-D787CC09F035}"/>
              </c:ext>
            </c:extLst>
          </c:dPt>
          <c:dPt>
            <c:idx val="8"/>
            <c:marker>
              <c:symbol val="circle"/>
              <c:size val="7"/>
              <c:spPr>
                <a:solidFill>
                  <a:schemeClr val="tx1"/>
                </a:solidFill>
                <a:ln w="15875">
                  <a:solidFill>
                    <a:srgbClr val="323232"/>
                  </a:solidFill>
                </a:ln>
                <a:effectLst/>
              </c:spPr>
            </c:marker>
            <c:bubble3D val="0"/>
            <c:spPr>
              <a:ln w="22225" cap="rnd">
                <a:solidFill>
                  <a:srgbClr val="323232"/>
                </a:solidFill>
                <a:prstDash val="solid"/>
                <a:round/>
              </a:ln>
              <a:effectLst/>
            </c:spPr>
            <c:extLst>
              <c:ext xmlns:c16="http://schemas.microsoft.com/office/drawing/2014/chart" uri="{C3380CC4-5D6E-409C-BE32-E72D297353CC}">
                <c16:uniqueId val="{00000011-4334-4123-92BE-D787CC09F035}"/>
              </c:ext>
            </c:extLst>
          </c:dPt>
          <c:dPt>
            <c:idx val="9"/>
            <c:marker>
              <c:symbol val="circle"/>
              <c:size val="7"/>
              <c:spPr>
                <a:solidFill>
                  <a:schemeClr val="bg1"/>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3-4334-4123-92BE-D787CC09F035}"/>
              </c:ext>
            </c:extLst>
          </c:dPt>
          <c:dPt>
            <c:idx val="10"/>
            <c:marker>
              <c:symbol val="circle"/>
              <c:size val="7"/>
              <c:spPr>
                <a:solidFill>
                  <a:schemeClr val="bg1"/>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5-4334-4123-92BE-D787CC09F035}"/>
              </c:ext>
            </c:extLst>
          </c:dPt>
          <c:dPt>
            <c:idx val="11"/>
            <c:marker>
              <c:symbol val="circle"/>
              <c:size val="7"/>
              <c:spPr>
                <a:solidFill>
                  <a:schemeClr val="bg1"/>
                </a:solidFill>
                <a:ln w="15875">
                  <a:solidFill>
                    <a:srgbClr val="323232"/>
                  </a:solidFill>
                </a:ln>
                <a:effectLst/>
              </c:spPr>
            </c:marker>
            <c:bubble3D val="0"/>
            <c:spPr>
              <a:ln w="22225" cap="rnd">
                <a:solidFill>
                  <a:srgbClr val="323232"/>
                </a:solidFill>
                <a:prstDash val="dash"/>
                <a:round/>
              </a:ln>
              <a:effectLst/>
            </c:spPr>
            <c:extLst>
              <c:ext xmlns:c16="http://schemas.microsoft.com/office/drawing/2014/chart" uri="{C3380CC4-5D6E-409C-BE32-E72D297353CC}">
                <c16:uniqueId val="{00000017-4334-4123-92BE-D787CC09F035}"/>
              </c:ext>
            </c:extLst>
          </c:dPt>
          <c:cat>
            <c:strRef>
              <c:f>'VO RD Feedstock'!$AH$30:$AH$41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'VO RD Feedstock'!$E$30:$E$41</c:f>
              <c:numCache>
                <c:formatCode>#,##0_);[Red]\(#,##0\)</c:formatCode>
                <c:ptCount val="12"/>
                <c:pt idx="0">
                  <c:v>32092</c:v>
                </c:pt>
                <c:pt idx="1">
                  <c:v>32696</c:v>
                </c:pt>
                <c:pt idx="2">
                  <c:v>36640</c:v>
                </c:pt>
                <c:pt idx="3">
                  <c:v>28823</c:v>
                </c:pt>
                <c:pt idx="4">
                  <c:v>36199</c:v>
                </c:pt>
                <c:pt idx="5">
                  <c:v>40330</c:v>
                </c:pt>
                <c:pt idx="6">
                  <c:v>37418</c:v>
                </c:pt>
                <c:pt idx="7">
                  <c:v>33076</c:v>
                </c:pt>
                <c:pt idx="8">
                  <c:v>30719</c:v>
                </c:pt>
                <c:pt idx="9">
                  <c:v>35754</c:v>
                </c:pt>
                <c:pt idx="10">
                  <c:v>43658</c:v>
                </c:pt>
                <c:pt idx="11">
                  <c:v>41402</c:v>
                </c:pt>
              </c:numCache>
            </c:numRef>
          </c:val>
          <c:smooth val="0"/>
          <c:extLst>
            <c:ext xmlns:c16="http://schemas.microsoft.com/office/drawing/2014/chart" uri="{C3380CC4-5D6E-409C-BE32-E72D297353CC}">
              <c16:uniqueId val="{00000018-4334-4123-92BE-D787CC09F035}"/>
            </c:ext>
          </c:extLst>
        </c:ser>
        <c:ser>
          <c:idx val="3"/>
          <c:order val="4"/>
          <c:tx>
            <c:strRef>
              <c:f>'VO RD Feedstock'!$AI$29</c:f>
              <c:strCache>
                <c:ptCount val="1"/>
                <c:pt idx="0">
                  <c:v>3-Yr Avg.</c:v>
                </c:pt>
              </c:strCache>
            </c:strRef>
          </c:tx>
          <c:spPr>
            <a:ln w="28575" cap="rnd">
              <a:solidFill>
                <a:schemeClr val="tx1"/>
              </a:solidFill>
              <a:round/>
            </a:ln>
            <a:effectLst/>
          </c:spPr>
          <c:marker>
            <c:symbol val="none"/>
          </c:marker>
          <c:cat>
            <c:strRef>
              <c:f>'VO RD Feedstock'!$AH$30:$AH$41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'VO RD Feedstock'!$AI$30:$AI$41</c:f>
              <c:numCache>
                <c:formatCode>#,##0_);[Red]\(#,##0\)</c:formatCode>
                <c:ptCount val="12"/>
                <c:pt idx="0">
                  <c:v>22215</c:v>
                </c:pt>
                <c:pt idx="1">
                  <c:v>22995.666666666668</c:v>
                </c:pt>
                <c:pt idx="2">
                  <c:v>24278.666666666668</c:v>
                </c:pt>
                <c:pt idx="3">
                  <c:v>25268.333333333332</c:v>
                </c:pt>
                <c:pt idx="4">
                  <c:v>24971.333333333332</c:v>
                </c:pt>
                <c:pt idx="5">
                  <c:v>27970.333333333332</c:v>
                </c:pt>
                <c:pt idx="6">
                  <c:v>29380</c:v>
                </c:pt>
                <c:pt idx="7">
                  <c:v>25157</c:v>
                </c:pt>
                <c:pt idx="8">
                  <c:v>29998</c:v>
                </c:pt>
                <c:pt idx="9">
                  <c:v>30423.333333333332</c:v>
                </c:pt>
                <c:pt idx="10">
                  <c:v>33220.333333333336</c:v>
                </c:pt>
                <c:pt idx="11">
                  <c:v>31646.666666666668</c:v>
                </c:pt>
              </c:numCache>
            </c:numRef>
          </c:val>
          <c:smooth val="0"/>
          <c:extLst>
            <c:ext xmlns:c16="http://schemas.microsoft.com/office/drawing/2014/chart" uri="{C3380CC4-5D6E-409C-BE32-E72D297353CC}">
              <c16:uniqueId val="{00000019-4334-4123-92BE-D787CC09F035}"/>
            </c:ext>
          </c:extLst>
        </c:ser>
        <c:dLbls>
          <c:showLegendKey val="0"/>
          <c:showVal val="0"/>
          <c:showCatName val="0"/>
          <c:showSerName val="0"/>
          <c:showPercent val="0"/>
          <c:showBubbleSize val="0"/>
        </c:dLbls>
        <c:marker val="1"/>
        <c:smooth val="0"/>
        <c:axId val="713342672"/>
        <c:axId val="713340152"/>
        <c:extLst>
          <c:ext xmlns:c15="http://schemas.microsoft.com/office/drawing/2012/chart" uri="{02D57815-91ED-43cb-92C2-25804820EDAC}">
            <c15:filteredLineSeries>
              <c15:ser>
                <c:idx val="0"/>
                <c:order val="0"/>
                <c:tx>
                  <c:strRef>
                    <c:extLst>
                      <c:ext uri="{02D57815-91ED-43cb-92C2-25804820EDAC}">
                        <c15:formulaRef>
                          <c15:sqref>'VO RD Feedstock'!$B$29</c15:sqref>
                        </c15:formulaRef>
                      </c:ext>
                    </c:extLst>
                    <c:strCache>
                      <c:ptCount val="1"/>
                      <c:pt idx="0">
                        <c:v>2020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'VO RD Feedstock'!$AH$30:$AH$41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'VO RD Feedstock'!$B$30:$B$41</c15:sqref>
                        </c15:formulaRef>
                      </c:ext>
                    </c:extLst>
                    <c:numCache>
                      <c:formatCode>#,##0_);[Red]\(#,##0\)</c:formatCode>
                      <c:ptCount val="12"/>
                      <c:pt idx="0">
                        <c:v>27402</c:v>
                      </c:pt>
                      <c:pt idx="1">
                        <c:v>26020</c:v>
                      </c:pt>
                      <c:pt idx="2">
                        <c:v>20715</c:v>
                      </c:pt>
                      <c:pt idx="3">
                        <c:v>27255</c:v>
                      </c:pt>
                      <c:pt idx="4">
                        <c:v>30777</c:v>
                      </c:pt>
                      <c:pt idx="5">
                        <c:v>28136</c:v>
                      </c:pt>
                      <c:pt idx="6">
                        <c:v>35169</c:v>
                      </c:pt>
                      <c:pt idx="7">
                        <c:v>23555</c:v>
                      </c:pt>
                      <c:pt idx="8">
                        <c:v>26715</c:v>
                      </c:pt>
                      <c:pt idx="9">
                        <c:v>26569</c:v>
                      </c:pt>
                      <c:pt idx="10">
                        <c:v>30094</c:v>
                      </c:pt>
                      <c:pt idx="11">
                        <c:v>26962</c:v>
                      </c:pt>
                    </c:numCache>
                  </c:numRef>
                </c:val>
                <c:smooth val="0"/>
                <c:extLst>
                  <c:ext xmlns:c16="http://schemas.microsoft.com/office/drawing/2014/chart" uri="{C3380CC4-5D6E-409C-BE32-E72D297353CC}">
                    <c16:uniqueId val="{0000001A-4334-4123-92BE-D787CC09F035}"/>
                  </c:ext>
                </c:extLst>
              </c15:ser>
            </c15:filteredLineSeries>
          </c:ext>
        </c:extLst>
      </c:lineChart>
      <c:catAx>
        <c:axId val="713342672"/>
        <c:scaling>
          <c:orientation val="minMax"/>
        </c:scaling>
        <c:delete val="0"/>
        <c:axPos val="b"/>
        <c:numFmt formatCode="General" sourceLinked="1"/>
        <c:majorTickMark val="none"/>
        <c:minorTickMark val="none"/>
        <c:tickLblPos val="nextTo"/>
        <c:spPr>
          <a:noFill/>
          <a:ln w="22225" cap="flat" cmpd="sng" algn="ctr">
            <a:solidFill>
              <a:schemeClr val="bg1">
                <a:lumMod val="65000"/>
              </a:schemeClr>
            </a:solidFill>
            <a:round/>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713340152"/>
        <c:crosses val="autoZero"/>
        <c:auto val="1"/>
        <c:lblAlgn val="ctr"/>
        <c:lblOffset val="100"/>
        <c:noMultiLvlLbl val="0"/>
      </c:catAx>
      <c:valAx>
        <c:axId val="713340152"/>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r>
                  <a:rPr lang="en-US"/>
                  <a:t>tonnes</a:t>
                </a:r>
                <a:r>
                  <a:rPr lang="en-US" baseline="0"/>
                  <a:t> per month</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713342672"/>
        <c:crosses val="autoZero"/>
        <c:crossBetween val="between"/>
      </c:valAx>
      <c:spPr>
        <a:noFill/>
        <a:ln w="22225">
          <a:solidFill>
            <a:srgbClr val="8C8C8C"/>
          </a:solidFill>
        </a:ln>
        <a:effectLst/>
      </c:spPr>
    </c:plotArea>
    <c:legend>
      <c:legendPos val="b"/>
      <c:layout>
        <c:manualLayout>
          <c:xMode val="edge"/>
          <c:yMode val="edge"/>
          <c:x val="0.5354177212656136"/>
          <c:y val="0.760364394894262"/>
          <c:w val="0.4027977840648409"/>
          <c:h val="5.0729769644579994E-2"/>
        </c:manualLayout>
      </c:layout>
      <c:overlay val="0"/>
      <c:spPr>
        <a:solidFill>
          <a:schemeClr val="bg1"/>
        </a:solidFill>
        <a:ln w="15875">
          <a:solidFill>
            <a:srgbClr val="8C8C8C"/>
          </a:solidFill>
        </a:ln>
        <a:effectLst/>
      </c:spPr>
      <c:txPr>
        <a:bodyPr rot="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b="1">
          <a:solidFill>
            <a:srgbClr val="323232"/>
          </a:solidFill>
          <a:latin typeface="Arial" panose="020B0604020202020204" pitchFamily="34" charset="0"/>
          <a:cs typeface="Arial" panose="020B0604020202020204" pitchFamily="34" charset="0"/>
        </a:defRPr>
      </a:pPr>
      <a:endParaRPr lang="en-US"/>
    </a:p>
  </c:txPr>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solidFill>
                  <a:sysClr val="windowText" lastClr="000000"/>
                </a:solidFill>
              </a:rPr>
              <a:t>Canada Biomass-Based</a:t>
            </a:r>
            <a:r>
              <a:rPr lang="en-US" sz="2800" baseline="0">
                <a:solidFill>
                  <a:sysClr val="windowText" lastClr="000000"/>
                </a:solidFill>
              </a:rPr>
              <a:t> Diesel Production </a:t>
            </a:r>
          </a:p>
          <a:p>
            <a:pPr>
              <a:defRPr sz="2800">
                <a:solidFill>
                  <a:sysClr val="windowText" lastClr="000000"/>
                </a:solidFill>
              </a:defRPr>
            </a:pPr>
            <a:r>
              <a:rPr lang="en-US" sz="2800" baseline="0">
                <a:solidFill>
                  <a:sysClr val="windowText" lastClr="000000"/>
                </a:solidFill>
              </a:rPr>
              <a:t>and Capacity Utilization</a:t>
            </a:r>
            <a:endParaRPr lang="en-US" sz="2800">
              <a:solidFill>
                <a:sysClr val="windowText" lastClr="000000"/>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2829779371747856E-2"/>
          <c:y val="0.17626120254211014"/>
          <c:w val="0.81537747949552442"/>
          <c:h val="0.64117193646789705"/>
        </c:manualLayout>
      </c:layout>
      <c:barChart>
        <c:barDir val="col"/>
        <c:grouping val="clustered"/>
        <c:varyColors val="0"/>
        <c:ser>
          <c:idx val="1"/>
          <c:order val="1"/>
          <c:tx>
            <c:v>Monthly Production</c:v>
          </c:tx>
          <c:spPr>
            <a:solidFill>
              <a:srgbClr val="ECECEC"/>
            </a:solidFill>
            <a:ln w="3175">
              <a:solidFill>
                <a:srgbClr val="8C8C8C"/>
              </a:solidFill>
            </a:ln>
            <a:effectLst/>
          </c:spPr>
          <c:invertIfNegative val="0"/>
          <c:dPt>
            <c:idx val="37"/>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1-02DE-4178-B882-3F129E41A449}"/>
              </c:ext>
            </c:extLst>
          </c:dPt>
          <c:dPt>
            <c:idx val="38"/>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3-02DE-4178-B882-3F129E41A449}"/>
              </c:ext>
            </c:extLst>
          </c:dPt>
          <c:dPt>
            <c:idx val="39"/>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5-02DE-4178-B882-3F129E41A449}"/>
              </c:ext>
            </c:extLst>
          </c:dPt>
          <c:dPt>
            <c:idx val="40"/>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7-02DE-4178-B882-3F129E41A449}"/>
              </c:ext>
            </c:extLst>
          </c:dPt>
          <c:dPt>
            <c:idx val="41"/>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9-02DE-4178-B882-3F129E41A449}"/>
              </c:ext>
            </c:extLst>
          </c:dPt>
          <c:dPt>
            <c:idx val="42"/>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B-02DE-4178-B882-3F129E41A449}"/>
              </c:ext>
            </c:extLst>
          </c:dPt>
          <c:dPt>
            <c:idx val="43"/>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D-02DE-4178-B882-3F129E41A449}"/>
              </c:ext>
            </c:extLst>
          </c:dPt>
          <c:dPt>
            <c:idx val="44"/>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0F-02DE-4178-B882-3F129E41A449}"/>
              </c:ext>
            </c:extLst>
          </c:dPt>
          <c:dPt>
            <c:idx val="45"/>
            <c:invertIfNegative val="0"/>
            <c:bubble3D val="0"/>
            <c:spPr>
              <a:solidFill>
                <a:srgbClr val="ECECEC"/>
              </a:solidFill>
              <a:ln w="3175">
                <a:solidFill>
                  <a:srgbClr val="8C8C8C"/>
                </a:solidFill>
              </a:ln>
              <a:effectLst/>
            </c:spPr>
            <c:extLst>
              <c:ext xmlns:c16="http://schemas.microsoft.com/office/drawing/2014/chart" uri="{C3380CC4-5D6E-409C-BE32-E72D297353CC}">
                <c16:uniqueId val="{00000011-02DE-4178-B882-3F129E41A449}"/>
              </c:ext>
            </c:extLst>
          </c:dPt>
          <c:val>
            <c:numRef>
              <c:f>'BD Plant List'!$W$138:$W$305</c:f>
              <c:numCache>
                <c:formatCode>#,##0_);[Red]\(#,##0\)</c:formatCode>
                <c:ptCount val="168"/>
                <c:pt idx="0">
                  <c:v>10.200477297299999</c:v>
                </c:pt>
                <c:pt idx="1">
                  <c:v>9.5064971905999993</c:v>
                </c:pt>
                <c:pt idx="2">
                  <c:v>8.5774039148999996</c:v>
                </c:pt>
                <c:pt idx="3">
                  <c:v>9.3165574506999995</c:v>
                </c:pt>
                <c:pt idx="4">
                  <c:v>10.687874821799999</c:v>
                </c:pt>
                <c:pt idx="5">
                  <c:v>9.9220399039</c:v>
                </c:pt>
                <c:pt idx="6">
                  <c:v>12.294569533999999</c:v>
                </c:pt>
                <c:pt idx="7">
                  <c:v>9.9133222245999999</c:v>
                </c:pt>
                <c:pt idx="8">
                  <c:v>9.4317364863000019</c:v>
                </c:pt>
                <c:pt idx="9">
                  <c:v>9.7912747144000019</c:v>
                </c:pt>
                <c:pt idx="10">
                  <c:v>11.592400092200002</c:v>
                </c:pt>
                <c:pt idx="11">
                  <c:v>9.7064754703000009</c:v>
                </c:pt>
                <c:pt idx="12">
                  <c:v>7.6171383313999996</c:v>
                </c:pt>
                <c:pt idx="13">
                  <c:v>8.1713713971999997</c:v>
                </c:pt>
                <c:pt idx="14">
                  <c:v>9.3828646478</c:v>
                </c:pt>
                <c:pt idx="15">
                  <c:v>9.3498431353000004</c:v>
                </c:pt>
                <c:pt idx="16">
                  <c:v>7.6290260758999997</c:v>
                </c:pt>
                <c:pt idx="17">
                  <c:v>10.8041105458</c:v>
                </c:pt>
                <c:pt idx="18">
                  <c:v>10.0084241806</c:v>
                </c:pt>
                <c:pt idx="19">
                  <c:v>9.8393540365999979</c:v>
                </c:pt>
                <c:pt idx="20">
                  <c:v>9.9172848060999996</c:v>
                </c:pt>
                <c:pt idx="21">
                  <c:v>9.3720335917000011</c:v>
                </c:pt>
                <c:pt idx="22">
                  <c:v>10.461743504199999</c:v>
                </c:pt>
                <c:pt idx="23">
                  <c:v>11.236824445599998</c:v>
                </c:pt>
                <c:pt idx="24">
                  <c:v>5.8516761870999998</c:v>
                </c:pt>
                <c:pt idx="25">
                  <c:v>5.6242240089999997</c:v>
                </c:pt>
                <c:pt idx="26">
                  <c:v>7.3640614595999994</c:v>
                </c:pt>
                <c:pt idx="27">
                  <c:v>7.2512599729000007</c:v>
                </c:pt>
                <c:pt idx="28">
                  <c:v>7.1812543664000001</c:v>
                </c:pt>
                <c:pt idx="29">
                  <c:v>7.4076498561000008</c:v>
                </c:pt>
                <c:pt idx="30">
                  <c:v>7.0961909502000005</c:v>
                </c:pt>
                <c:pt idx="31">
                  <c:v>7.4705228159000008</c:v>
                </c:pt>
                <c:pt idx="32">
                  <c:v>9.6689630321000006</c:v>
                </c:pt>
                <c:pt idx="33">
                  <c:v>11.0643200643</c:v>
                </c:pt>
                <c:pt idx="34">
                  <c:v>11.579455659300001</c:v>
                </c:pt>
                <c:pt idx="35">
                  <c:v>9.9706475703000006</c:v>
                </c:pt>
                <c:pt idx="36">
                  <c:v>9.6874550790999994</c:v>
                </c:pt>
                <c:pt idx="37">
                  <c:v>9.8237678827000003</c:v>
                </c:pt>
                <c:pt idx="38">
                  <c:v>11.315019387200001</c:v>
                </c:pt>
                <c:pt idx="39">
                  <c:v>9.1149941384000002</c:v>
                </c:pt>
                <c:pt idx="40">
                  <c:v>11.232333519899997</c:v>
                </c:pt>
                <c:pt idx="41">
                  <c:v>12.5804037462</c:v>
                </c:pt>
                <c:pt idx="42">
                  <c:v>12.192599103399999</c:v>
                </c:pt>
                <c:pt idx="43">
                  <c:v>10.988766843699999</c:v>
                </c:pt>
                <c:pt idx="44">
                  <c:v>10.111187127500001</c:v>
                </c:pt>
                <c:pt idx="45">
                  <c:v>10.7605221493</c:v>
                </c:pt>
                <c:pt idx="46">
                  <c:v>14.105733451600001</c:v>
                </c:pt>
                <c:pt idx="47">
                  <c:v>12.314646613599999</c:v>
                </c:pt>
                <c:pt idx="48">
                  <c:v>11.835966768400001</c:v>
                </c:pt>
                <c:pt idx="49">
                  <c:v>17.0361945569</c:v>
                </c:pt>
                <c:pt idx="50">
                  <c:v>29.250191600400001</c:v>
                </c:pt>
                <c:pt idx="51">
                  <c:v>24.407652835299999</c:v>
                </c:pt>
                <c:pt idx="52">
                  <c:v>26.1163179781</c:v>
                </c:pt>
                <c:pt idx="53">
                  <c:v>34.856187734500004</c:v>
                </c:pt>
                <c:pt idx="54">
                  <c:v>28.258753709099995</c:v>
                </c:pt>
                <c:pt idx="55">
                  <c:v>24.173332182600003</c:v>
                </c:pt>
                <c:pt idx="56">
                  <c:v>27.982429692500002</c:v>
                </c:pt>
                <c:pt idx="57">
                  <c:v>18.005970336000001</c:v>
                </c:pt>
                <c:pt idx="58">
                  <c:v>24.852782823800002</c:v>
                </c:pt>
                <c:pt idx="59">
                  <c:v>29.177280100800001</c:v>
                </c:pt>
                <c:pt idx="60">
                  <c:v>10.049370856099999</c:v>
                </c:pt>
                <c:pt idx="61">
                  <c:v>10.116206397399999</c:v>
                </c:pt>
                <c:pt idx="62">
                  <c:v>25.925747551932435</c:v>
                </c:pt>
                <c:pt idx="63">
                  <c:v>23.388149073126385</c:v>
                </c:pt>
                <c:pt idx="64">
                  <c:v>24.728514140271106</c:v>
                </c:pt>
                <c:pt idx="65">
                  <c:v>29.734899800911524</c:v>
                </c:pt>
                <c:pt idx="66">
                  <c:v>27.484292244973762</c:v>
                </c:pt>
                <c:pt idx="67">
                  <c:v>24.546922998564877</c:v>
                </c:pt>
                <c:pt idx="68">
                  <c:v>26.406595074275319</c:v>
                </c:pt>
                <c:pt idx="69">
                  <c:v>23.21258671574698</c:v>
                </c:pt>
                <c:pt idx="70">
                  <c:v>28.563028861245801</c:v>
                </c:pt>
                <c:pt idx="71">
                  <c:v>45.843686285451867</c:v>
                </c:pt>
                <c:pt idx="72">
                  <c:v>13.82486294154049</c:v>
                </c:pt>
                <c:pt idx="73">
                  <c:v>19.523440249560512</c:v>
                </c:pt>
                <c:pt idx="74">
                  <c:v>30.432641952092727</c:v>
                </c:pt>
                <c:pt idx="75">
                  <c:v>30.765387669836908</c:v>
                </c:pt>
                <c:pt idx="76">
                  <c:v>29.134991864131766</c:v>
                </c:pt>
                <c:pt idx="77">
                  <c:v>33.568759219762192</c:v>
                </c:pt>
                <c:pt idx="78">
                  <c:v>33.692454529529805</c:v>
                </c:pt>
                <c:pt idx="79">
                  <c:v>32.286936675182538</c:v>
                </c:pt>
                <c:pt idx="80">
                  <c:v>35.137552890179059</c:v>
                </c:pt>
                <c:pt idx="81">
                  <c:v>36.560917321536778</c:v>
                </c:pt>
                <c:pt idx="82">
                  <c:v>38.957849418617641</c:v>
                </c:pt>
                <c:pt idx="83">
                  <c:v>35.953381990346706</c:v>
                </c:pt>
                <c:pt idx="84">
                  <c:v>28.616294563247351</c:v>
                </c:pt>
                <c:pt idx="85">
                  <c:v>26.242465159910953</c:v>
                </c:pt>
                <c:pt idx="86">
                  <c:v>29.611584086876714</c:v>
                </c:pt>
                <c:pt idx="87">
                  <c:v>32.453288420835214</c:v>
                </c:pt>
                <c:pt idx="88">
                  <c:v>36.433300633838414</c:v>
                </c:pt>
                <c:pt idx="89">
                  <c:v>43.780673666448422</c:v>
                </c:pt>
                <c:pt idx="90">
                  <c:v>44.774972230714376</c:v>
                </c:pt>
                <c:pt idx="91">
                  <c:v>42.659443083838205</c:v>
                </c:pt>
                <c:pt idx="92">
                  <c:v>47.214246676667521</c:v>
                </c:pt>
                <c:pt idx="93">
                  <c:v>50.07094176422671</c:v>
                </c:pt>
                <c:pt idx="94">
                  <c:v>53.731327698451139</c:v>
                </c:pt>
                <c:pt idx="95">
                  <c:v>48.411738007399627</c:v>
                </c:pt>
                <c:pt idx="96">
                  <c:v>40.934065737310853</c:v>
                </c:pt>
                <c:pt idx="97">
                  <c:v>37.292886360297942</c:v>
                </c:pt>
                <c:pt idx="98">
                  <c:v>41.111938736698683</c:v>
                </c:pt>
                <c:pt idx="99">
                  <c:v>41.907703416447312</c:v>
                </c:pt>
                <c:pt idx="100">
                  <c:v>40.853639311553714</c:v>
                </c:pt>
                <c:pt idx="101">
                  <c:v>45.485861323332507</c:v>
                </c:pt>
                <c:pt idx="102">
                  <c:v>46.975480732475546</c:v>
                </c:pt>
                <c:pt idx="103">
                  <c:v>44.080539204843433</c:v>
                </c:pt>
                <c:pt idx="104">
                  <c:v>47.453725449484665</c:v>
                </c:pt>
                <c:pt idx="105">
                  <c:v>49.55359356698127</c:v>
                </c:pt>
                <c:pt idx="106">
                  <c:v>53.455726571471615</c:v>
                </c:pt>
                <c:pt idx="107">
                  <c:v>48.603557613987192</c:v>
                </c:pt>
                <c:pt idx="108">
                  <c:v>39.899906728328176</c:v>
                </c:pt>
                <c:pt idx="109">
                  <c:v>37.116698503342832</c:v>
                </c:pt>
                <c:pt idx="110">
                  <c:v>41.051295962655566</c:v>
                </c:pt>
                <c:pt idx="111">
                  <c:v>41.80924399910252</c:v>
                </c:pt>
                <c:pt idx="112">
                  <c:v>40.686264357164355</c:v>
                </c:pt>
                <c:pt idx="113">
                  <c:v>45.370466373060204</c:v>
                </c:pt>
                <c:pt idx="114">
                  <c:v>46.738923966553301</c:v>
                </c:pt>
                <c:pt idx="115">
                  <c:v>43.962045554860318</c:v>
                </c:pt>
                <c:pt idx="116">
                  <c:v>47.446488260138601</c:v>
                </c:pt>
                <c:pt idx="117">
                  <c:v>49.585325347864057</c:v>
                </c:pt>
                <c:pt idx="118">
                  <c:v>53.427600951063759</c:v>
                </c:pt>
                <c:pt idx="119">
                  <c:v>48.596497400006228</c:v>
                </c:pt>
                <c:pt idx="120">
                  <c:v>39.760957811852471</c:v>
                </c:pt>
                <c:pt idx="121">
                  <c:v>36.905273074996707</c:v>
                </c:pt>
                <c:pt idx="122">
                  <c:v>40.978524633803829</c:v>
                </c:pt>
                <c:pt idx="123">
                  <c:v>41.691092698288784</c:v>
                </c:pt>
                <c:pt idx="124">
                  <c:v>40.485414411897118</c:v>
                </c:pt>
                <c:pt idx="125">
                  <c:v>45.23199243273347</c:v>
                </c:pt>
                <c:pt idx="126">
                  <c:v>46.455055847446594</c:v>
                </c:pt>
                <c:pt idx="127">
                  <c:v>43.819853174880585</c:v>
                </c:pt>
                <c:pt idx="128">
                  <c:v>47.437803632923334</c:v>
                </c:pt>
                <c:pt idx="129">
                  <c:v>49.623403484923408</c:v>
                </c:pt>
                <c:pt idx="130">
                  <c:v>53.393850206574321</c:v>
                </c:pt>
                <c:pt idx="131">
                  <c:v>48.588025143229068</c:v>
                </c:pt>
                <c:pt idx="132">
                  <c:v>39.594219112081603</c:v>
                </c:pt>
                <c:pt idx="133">
                  <c:v>36.651562560981361</c:v>
                </c:pt>
                <c:pt idx="134">
                  <c:v>40.891199039181735</c:v>
                </c:pt>
                <c:pt idx="135">
                  <c:v>41.549311137312294</c:v>
                </c:pt>
                <c:pt idx="136">
                  <c:v>40.244394477576435</c:v>
                </c:pt>
                <c:pt idx="137">
                  <c:v>45.065823704341369</c:v>
                </c:pt>
                <c:pt idx="138">
                  <c:v>46.114414104518538</c:v>
                </c:pt>
                <c:pt idx="139">
                  <c:v>43.649222318904897</c:v>
                </c:pt>
                <c:pt idx="140">
                  <c:v>47.427382080264998</c:v>
                </c:pt>
                <c:pt idx="141">
                  <c:v>49.669097249394618</c:v>
                </c:pt>
                <c:pt idx="142">
                  <c:v>53.353349313187003</c:v>
                </c:pt>
                <c:pt idx="143">
                  <c:v>48.577858435096481</c:v>
                </c:pt>
                <c:pt idx="144">
                  <c:v>39.788490612965646</c:v>
                </c:pt>
                <c:pt idx="145">
                  <c:v>36.700998337919266</c:v>
                </c:pt>
                <c:pt idx="146">
                  <c:v>40.826824398084867</c:v>
                </c:pt>
                <c:pt idx="147">
                  <c:v>41.526435466644578</c:v>
                </c:pt>
                <c:pt idx="148">
                  <c:v>40.402124609639394</c:v>
                </c:pt>
                <c:pt idx="149">
                  <c:v>44.986963499983197</c:v>
                </c:pt>
                <c:pt idx="150">
                  <c:v>46.211769376341671</c:v>
                </c:pt>
                <c:pt idx="151">
                  <c:v>43.634220667465485</c:v>
                </c:pt>
                <c:pt idx="152">
                  <c:v>47.395929219895827</c:v>
                </c:pt>
                <c:pt idx="153">
                  <c:v>49.700472282678</c:v>
                </c:pt>
                <c:pt idx="154">
                  <c:v>53.472370948149553</c:v>
                </c:pt>
                <c:pt idx="155">
                  <c:v>48.555535319943722</c:v>
                </c:pt>
                <c:pt idx="156">
                  <c:v>39.995528000507754</c:v>
                </c:pt>
                <c:pt idx="157">
                  <c:v>36.933483767507617</c:v>
                </c:pt>
                <c:pt idx="158">
                  <c:v>40.97195655408494</c:v>
                </c:pt>
                <c:pt idx="159">
                  <c:v>41.696757343559099</c:v>
                </c:pt>
                <c:pt idx="160">
                  <c:v>40.534367433566196</c:v>
                </c:pt>
                <c:pt idx="161">
                  <c:v>45.228221466690144</c:v>
                </c:pt>
                <c:pt idx="162">
                  <c:v>46.49912880546713</c:v>
                </c:pt>
                <c:pt idx="163">
                  <c:v>43.829176184190942</c:v>
                </c:pt>
                <c:pt idx="164">
                  <c:v>47.432265728541488</c:v>
                </c:pt>
                <c:pt idx="165">
                  <c:v>49.626378386368266</c:v>
                </c:pt>
                <c:pt idx="166">
                  <c:v>53.42057959808924</c:v>
                </c:pt>
                <c:pt idx="167">
                  <c:v>48.584294782452531</c:v>
                </c:pt>
              </c:numCache>
            </c:numRef>
          </c:val>
          <c:extLst>
            <c:ext xmlns:c16="http://schemas.microsoft.com/office/drawing/2014/chart" uri="{C3380CC4-5D6E-409C-BE32-E72D297353CC}">
              <c16:uniqueId val="{00000012-02DE-4178-B882-3F129E41A449}"/>
            </c:ext>
          </c:extLst>
        </c:ser>
        <c:dLbls>
          <c:showLegendKey val="0"/>
          <c:showVal val="0"/>
          <c:showCatName val="0"/>
          <c:showSerName val="0"/>
          <c:showPercent val="0"/>
          <c:showBubbleSize val="0"/>
        </c:dLbls>
        <c:gapWidth val="25"/>
        <c:axId val="674546919"/>
        <c:axId val="674541999"/>
      </c:barChart>
      <c:lineChart>
        <c:grouping val="standard"/>
        <c:varyColors val="0"/>
        <c:ser>
          <c:idx val="0"/>
          <c:order val="0"/>
          <c:tx>
            <c:v>Capacity Utilization</c:v>
          </c:tx>
          <c:spPr>
            <a:ln w="22225" cap="rnd">
              <a:solidFill>
                <a:srgbClr val="6F0791"/>
              </a:solidFill>
              <a:prstDash val="solid"/>
              <a:round/>
            </a:ln>
            <a:effectLst/>
          </c:spPr>
          <c:marker>
            <c:symbol val="none"/>
          </c:marker>
          <c:dPt>
            <c:idx val="37"/>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14-02DE-4178-B882-3F129E41A449}"/>
              </c:ext>
            </c:extLst>
          </c:dPt>
          <c:dPt>
            <c:idx val="38"/>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16-02DE-4178-B882-3F129E41A449}"/>
              </c:ext>
            </c:extLst>
          </c:dPt>
          <c:dPt>
            <c:idx val="39"/>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18-02DE-4178-B882-3F129E41A449}"/>
              </c:ext>
            </c:extLst>
          </c:dPt>
          <c:dPt>
            <c:idx val="40"/>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1A-02DE-4178-B882-3F129E41A449}"/>
              </c:ext>
            </c:extLst>
          </c:dPt>
          <c:dPt>
            <c:idx val="41"/>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1C-02DE-4178-B882-3F129E41A449}"/>
              </c:ext>
            </c:extLst>
          </c:dPt>
          <c:dPt>
            <c:idx val="42"/>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1E-02DE-4178-B882-3F129E41A449}"/>
              </c:ext>
            </c:extLst>
          </c:dPt>
          <c:dPt>
            <c:idx val="43"/>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20-02DE-4178-B882-3F129E41A449}"/>
              </c:ext>
            </c:extLst>
          </c:dPt>
          <c:dPt>
            <c:idx val="44"/>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22-02DE-4178-B882-3F129E41A449}"/>
              </c:ext>
            </c:extLst>
          </c:dPt>
          <c:dPt>
            <c:idx val="45"/>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24-02DE-4178-B882-3F129E41A449}"/>
              </c:ext>
            </c:extLst>
          </c:dPt>
          <c:dPt>
            <c:idx val="46"/>
            <c:marker>
              <c:symbol val="none"/>
            </c:marker>
            <c:bubble3D val="0"/>
            <c:spPr>
              <a:ln w="22225" cap="rnd">
                <a:solidFill>
                  <a:srgbClr val="6F0791"/>
                </a:solidFill>
                <a:prstDash val="solid"/>
                <a:round/>
              </a:ln>
              <a:effectLst/>
            </c:spPr>
            <c:extLst>
              <c:ext xmlns:c16="http://schemas.microsoft.com/office/drawing/2014/chart" uri="{C3380CC4-5D6E-409C-BE32-E72D297353CC}">
                <c16:uniqueId val="{00000026-02DE-4178-B882-3F129E41A449}"/>
              </c:ext>
            </c:extLst>
          </c:dPt>
          <c:cat>
            <c:numRef>
              <c:f>'BD Plant List'!$A$138:$A$305</c:f>
              <c:numCache>
                <c:formatCode>[$-409]mmm\-yy;@</c:formatCode>
                <c:ptCount val="168"/>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pt idx="75">
                  <c:v>46113</c:v>
                </c:pt>
                <c:pt idx="76">
                  <c:v>46143</c:v>
                </c:pt>
                <c:pt idx="77">
                  <c:v>46174</c:v>
                </c:pt>
                <c:pt idx="78">
                  <c:v>46204</c:v>
                </c:pt>
                <c:pt idx="79">
                  <c:v>46235</c:v>
                </c:pt>
                <c:pt idx="80">
                  <c:v>46266</c:v>
                </c:pt>
                <c:pt idx="81">
                  <c:v>46296</c:v>
                </c:pt>
                <c:pt idx="82">
                  <c:v>46327</c:v>
                </c:pt>
                <c:pt idx="83">
                  <c:v>46357</c:v>
                </c:pt>
                <c:pt idx="84">
                  <c:v>46388</c:v>
                </c:pt>
                <c:pt idx="85">
                  <c:v>46419</c:v>
                </c:pt>
                <c:pt idx="86">
                  <c:v>46447</c:v>
                </c:pt>
                <c:pt idx="87">
                  <c:v>46478</c:v>
                </c:pt>
                <c:pt idx="88">
                  <c:v>46508</c:v>
                </c:pt>
                <c:pt idx="89">
                  <c:v>46539</c:v>
                </c:pt>
                <c:pt idx="90">
                  <c:v>46569</c:v>
                </c:pt>
                <c:pt idx="91">
                  <c:v>46600</c:v>
                </c:pt>
                <c:pt idx="92">
                  <c:v>46631</c:v>
                </c:pt>
                <c:pt idx="93">
                  <c:v>46661</c:v>
                </c:pt>
                <c:pt idx="94">
                  <c:v>46692</c:v>
                </c:pt>
                <c:pt idx="95">
                  <c:v>46722</c:v>
                </c:pt>
                <c:pt idx="96">
                  <c:v>46753</c:v>
                </c:pt>
                <c:pt idx="97">
                  <c:v>46784</c:v>
                </c:pt>
                <c:pt idx="98">
                  <c:v>46813</c:v>
                </c:pt>
                <c:pt idx="99">
                  <c:v>46844</c:v>
                </c:pt>
                <c:pt idx="100">
                  <c:v>46874</c:v>
                </c:pt>
                <c:pt idx="101">
                  <c:v>46905</c:v>
                </c:pt>
                <c:pt idx="102">
                  <c:v>46935</c:v>
                </c:pt>
                <c:pt idx="103">
                  <c:v>46966</c:v>
                </c:pt>
                <c:pt idx="104">
                  <c:v>46997</c:v>
                </c:pt>
                <c:pt idx="105">
                  <c:v>47027</c:v>
                </c:pt>
                <c:pt idx="106">
                  <c:v>47058</c:v>
                </c:pt>
                <c:pt idx="107">
                  <c:v>47088</c:v>
                </c:pt>
                <c:pt idx="108">
                  <c:v>47119</c:v>
                </c:pt>
                <c:pt idx="109">
                  <c:v>47150</c:v>
                </c:pt>
                <c:pt idx="110">
                  <c:v>47178</c:v>
                </c:pt>
                <c:pt idx="111">
                  <c:v>47209</c:v>
                </c:pt>
                <c:pt idx="112">
                  <c:v>47239</c:v>
                </c:pt>
                <c:pt idx="113">
                  <c:v>47270</c:v>
                </c:pt>
                <c:pt idx="114">
                  <c:v>47300</c:v>
                </c:pt>
                <c:pt idx="115">
                  <c:v>47331</c:v>
                </c:pt>
                <c:pt idx="116">
                  <c:v>47362</c:v>
                </c:pt>
                <c:pt idx="117">
                  <c:v>47392</c:v>
                </c:pt>
                <c:pt idx="118">
                  <c:v>47423</c:v>
                </c:pt>
                <c:pt idx="119">
                  <c:v>47453</c:v>
                </c:pt>
                <c:pt idx="120">
                  <c:v>47484</c:v>
                </c:pt>
                <c:pt idx="121">
                  <c:v>47515</c:v>
                </c:pt>
                <c:pt idx="122">
                  <c:v>47543</c:v>
                </c:pt>
                <c:pt idx="123">
                  <c:v>47574</c:v>
                </c:pt>
                <c:pt idx="124">
                  <c:v>47604</c:v>
                </c:pt>
                <c:pt idx="125">
                  <c:v>47635</c:v>
                </c:pt>
                <c:pt idx="126">
                  <c:v>47665</c:v>
                </c:pt>
                <c:pt idx="127">
                  <c:v>47696</c:v>
                </c:pt>
                <c:pt idx="128">
                  <c:v>47727</c:v>
                </c:pt>
                <c:pt idx="129">
                  <c:v>47757</c:v>
                </c:pt>
                <c:pt idx="130">
                  <c:v>47788</c:v>
                </c:pt>
                <c:pt idx="131">
                  <c:v>47818</c:v>
                </c:pt>
                <c:pt idx="132">
                  <c:v>47849</c:v>
                </c:pt>
                <c:pt idx="133">
                  <c:v>47880</c:v>
                </c:pt>
                <c:pt idx="134">
                  <c:v>47908</c:v>
                </c:pt>
                <c:pt idx="135">
                  <c:v>47939</c:v>
                </c:pt>
                <c:pt idx="136">
                  <c:v>47969</c:v>
                </c:pt>
                <c:pt idx="137">
                  <c:v>48000</c:v>
                </c:pt>
                <c:pt idx="138">
                  <c:v>48030</c:v>
                </c:pt>
                <c:pt idx="139">
                  <c:v>48061</c:v>
                </c:pt>
                <c:pt idx="140">
                  <c:v>48092</c:v>
                </c:pt>
                <c:pt idx="141">
                  <c:v>48122</c:v>
                </c:pt>
                <c:pt idx="142">
                  <c:v>48153</c:v>
                </c:pt>
                <c:pt idx="143">
                  <c:v>48183</c:v>
                </c:pt>
                <c:pt idx="144">
                  <c:v>48214</c:v>
                </c:pt>
                <c:pt idx="145">
                  <c:v>48245</c:v>
                </c:pt>
                <c:pt idx="146">
                  <c:v>48274</c:v>
                </c:pt>
                <c:pt idx="147">
                  <c:v>48305</c:v>
                </c:pt>
                <c:pt idx="148">
                  <c:v>48335</c:v>
                </c:pt>
                <c:pt idx="149">
                  <c:v>48366</c:v>
                </c:pt>
                <c:pt idx="150">
                  <c:v>48396</c:v>
                </c:pt>
                <c:pt idx="151">
                  <c:v>48427</c:v>
                </c:pt>
                <c:pt idx="152">
                  <c:v>48458</c:v>
                </c:pt>
                <c:pt idx="153">
                  <c:v>48488</c:v>
                </c:pt>
                <c:pt idx="154">
                  <c:v>48519</c:v>
                </c:pt>
                <c:pt idx="155">
                  <c:v>48549</c:v>
                </c:pt>
                <c:pt idx="156">
                  <c:v>48580</c:v>
                </c:pt>
                <c:pt idx="157">
                  <c:v>48611</c:v>
                </c:pt>
                <c:pt idx="158">
                  <c:v>48639</c:v>
                </c:pt>
                <c:pt idx="159">
                  <c:v>48670</c:v>
                </c:pt>
                <c:pt idx="160">
                  <c:v>48700</c:v>
                </c:pt>
                <c:pt idx="161">
                  <c:v>48731</c:v>
                </c:pt>
                <c:pt idx="162">
                  <c:v>48761</c:v>
                </c:pt>
                <c:pt idx="163">
                  <c:v>48792</c:v>
                </c:pt>
                <c:pt idx="164">
                  <c:v>48823</c:v>
                </c:pt>
                <c:pt idx="165">
                  <c:v>48853</c:v>
                </c:pt>
                <c:pt idx="166">
                  <c:v>48884</c:v>
                </c:pt>
                <c:pt idx="167">
                  <c:v>48914</c:v>
                </c:pt>
              </c:numCache>
            </c:numRef>
          </c:cat>
          <c:val>
            <c:numRef>
              <c:f>'BD Plant List'!$V$138:$V$305</c:f>
              <c:numCache>
                <c:formatCode>0%</c:formatCode>
                <c:ptCount val="168"/>
                <c:pt idx="0">
                  <c:v>0.71986627672255299</c:v>
                </c:pt>
                <c:pt idx="1">
                  <c:v>0.67089083557708007</c:v>
                </c:pt>
                <c:pt idx="2">
                  <c:v>0.60532302952126416</c:v>
                </c:pt>
                <c:pt idx="3">
                  <c:v>0.65748644190231986</c:v>
                </c:pt>
                <c:pt idx="4">
                  <c:v>0.75426280847489313</c:v>
                </c:pt>
                <c:pt idx="5">
                  <c:v>0.7002164423231132</c:v>
                </c:pt>
                <c:pt idx="6">
                  <c:v>0.86765018306445019</c:v>
                </c:pt>
                <c:pt idx="7">
                  <c:v>0.70507464412019327</c:v>
                </c:pt>
                <c:pt idx="8">
                  <c:v>0.67082236366847703</c:v>
                </c:pt>
                <c:pt idx="9">
                  <c:v>0.69639414298541946</c:v>
                </c:pt>
                <c:pt idx="10">
                  <c:v>0.82449729609556921</c:v>
                </c:pt>
                <c:pt idx="11">
                  <c:v>0.69036288570346604</c:v>
                </c:pt>
                <c:pt idx="12">
                  <c:v>0.5417609734200729</c:v>
                </c:pt>
                <c:pt idx="13">
                  <c:v>0.58118021883296433</c:v>
                </c:pt>
                <c:pt idx="14">
                  <c:v>0.66734640542186829</c:v>
                </c:pt>
                <c:pt idx="15">
                  <c:v>0.66499778498497053</c:v>
                </c:pt>
                <c:pt idx="16">
                  <c:v>0.54260647677735607</c:v>
                </c:pt>
                <c:pt idx="17">
                  <c:v>0.76843102902594651</c:v>
                </c:pt>
                <c:pt idx="18">
                  <c:v>0.71183867097845877</c:v>
                </c:pt>
                <c:pt idx="19">
                  <c:v>0.69981373434154237</c:v>
                </c:pt>
                <c:pt idx="20">
                  <c:v>0.70535647857262107</c:v>
                </c:pt>
                <c:pt idx="21">
                  <c:v>0.66657605791856578</c:v>
                </c:pt>
                <c:pt idx="22">
                  <c:v>0.68332919234703016</c:v>
                </c:pt>
                <c:pt idx="23">
                  <c:v>0.71450945838879232</c:v>
                </c:pt>
                <c:pt idx="24">
                  <c:v>0.39735343298438469</c:v>
                </c:pt>
                <c:pt idx="25">
                  <c:v>0.381908473127062</c:v>
                </c:pt>
                <c:pt idx="26">
                  <c:v>0.50005075607750027</c:v>
                </c:pt>
                <c:pt idx="27">
                  <c:v>0.49239106053850284</c:v>
                </c:pt>
                <c:pt idx="28">
                  <c:v>0.48763738532109224</c:v>
                </c:pt>
                <c:pt idx="29">
                  <c:v>0.50301059159022765</c:v>
                </c:pt>
                <c:pt idx="30">
                  <c:v>0.48186122147201221</c:v>
                </c:pt>
                <c:pt idx="31">
                  <c:v>0.50727993008737382</c:v>
                </c:pt>
                <c:pt idx="32">
                  <c:v>0.65656327031111306</c:v>
                </c:pt>
                <c:pt idx="33">
                  <c:v>0.75131388351248185</c:v>
                </c:pt>
                <c:pt idx="34">
                  <c:v>0.78629375775380506</c:v>
                </c:pt>
                <c:pt idx="35">
                  <c:v>0.6770489197385956</c:v>
                </c:pt>
                <c:pt idx="36">
                  <c:v>0.65781895810439128</c:v>
                </c:pt>
                <c:pt idx="37">
                  <c:v>0.54465984251236887</c:v>
                </c:pt>
                <c:pt idx="38">
                  <c:v>0.59090673034021091</c:v>
                </c:pt>
                <c:pt idx="39">
                  <c:v>0.6049584291419311</c:v>
                </c:pt>
                <c:pt idx="40">
                  <c:v>0.59483555685778045</c:v>
                </c:pt>
                <c:pt idx="41">
                  <c:v>0.65721935431309575</c:v>
                </c:pt>
                <c:pt idx="42">
                  <c:v>0.68711669183830704</c:v>
                </c:pt>
                <c:pt idx="43">
                  <c:v>0.63738943618303645</c:v>
                </c:pt>
                <c:pt idx="44">
                  <c:v>0.67758070418407035</c:v>
                </c:pt>
                <c:pt idx="45">
                  <c:v>0.70476136147215573</c:v>
                </c:pt>
                <c:pt idx="46">
                  <c:v>0.76470674873213484</c:v>
                </c:pt>
                <c:pt idx="47">
                  <c:v>0.69397375461028465</c:v>
                </c:pt>
                <c:pt idx="48">
                  <c:v>0.57919991030785045</c:v>
                </c:pt>
                <c:pt idx="49">
                  <c:v>0.54465984251236876</c:v>
                </c:pt>
                <c:pt idx="50">
                  <c:v>0.59090673034021091</c:v>
                </c:pt>
                <c:pt idx="51">
                  <c:v>0.60495842914193099</c:v>
                </c:pt>
                <c:pt idx="52">
                  <c:v>0.59483555685778045</c:v>
                </c:pt>
                <c:pt idx="53">
                  <c:v>0.65721935431309575</c:v>
                </c:pt>
                <c:pt idx="54">
                  <c:v>0.68711669183830704</c:v>
                </c:pt>
                <c:pt idx="55">
                  <c:v>0.63738943618303656</c:v>
                </c:pt>
                <c:pt idx="56">
                  <c:v>0.67758070418407035</c:v>
                </c:pt>
                <c:pt idx="57">
                  <c:v>0.70476136147215573</c:v>
                </c:pt>
                <c:pt idx="58">
                  <c:v>0.76470674873213484</c:v>
                </c:pt>
                <c:pt idx="59">
                  <c:v>0.69397375461028465</c:v>
                </c:pt>
                <c:pt idx="60">
                  <c:v>0.57919991030785045</c:v>
                </c:pt>
                <c:pt idx="61">
                  <c:v>0.54465984251236876</c:v>
                </c:pt>
                <c:pt idx="62">
                  <c:v>0.59090673034021091</c:v>
                </c:pt>
                <c:pt idx="63">
                  <c:v>0.6049584291419311</c:v>
                </c:pt>
                <c:pt idx="64">
                  <c:v>0.59483555685778045</c:v>
                </c:pt>
                <c:pt idx="65">
                  <c:v>0.65721935431309575</c:v>
                </c:pt>
                <c:pt idx="66">
                  <c:v>0.68711669183830704</c:v>
                </c:pt>
                <c:pt idx="67">
                  <c:v>0.63738943618303656</c:v>
                </c:pt>
                <c:pt idx="68">
                  <c:v>0.67758070418407035</c:v>
                </c:pt>
                <c:pt idx="69">
                  <c:v>0.70476136147215573</c:v>
                </c:pt>
                <c:pt idx="70">
                  <c:v>0.76470674873213496</c:v>
                </c:pt>
                <c:pt idx="71">
                  <c:v>0.69397375461028465</c:v>
                </c:pt>
                <c:pt idx="72">
                  <c:v>0.55106663702490999</c:v>
                </c:pt>
                <c:pt idx="73">
                  <c:v>0.51941364389942657</c:v>
                </c:pt>
                <c:pt idx="74">
                  <c:v>0.58802347050400017</c:v>
                </c:pt>
                <c:pt idx="75">
                  <c:v>0.59445282658985321</c:v>
                </c:pt>
                <c:pt idx="76">
                  <c:v>0.56295010653435784</c:v>
                </c:pt>
                <c:pt idx="77">
                  <c:v>0.6486199367110923</c:v>
                </c:pt>
                <c:pt idx="78">
                  <c:v>0.65100999359307843</c:v>
                </c:pt>
                <c:pt idx="79">
                  <c:v>0.62385239459560515</c:v>
                </c:pt>
                <c:pt idx="80">
                  <c:v>0.67893237228718906</c:v>
                </c:pt>
                <c:pt idx="81">
                  <c:v>0.70643480516950297</c:v>
                </c:pt>
                <c:pt idx="82">
                  <c:v>0.7527486392594479</c:v>
                </c:pt>
                <c:pt idx="83">
                  <c:v>0.6946959283916484</c:v>
                </c:pt>
                <c:pt idx="84">
                  <c:v>0.55292776974587743</c:v>
                </c:pt>
                <c:pt idx="85">
                  <c:v>0.50706032891271902</c:v>
                </c:pt>
                <c:pt idx="86">
                  <c:v>0.57215888352042654</c:v>
                </c:pt>
                <c:pt idx="87">
                  <c:v>0.58034383491082975</c:v>
                </c:pt>
                <c:pt idx="88">
                  <c:v>0.56701883248575835</c:v>
                </c:pt>
                <c:pt idx="89">
                  <c:v>0.62465771824812144</c:v>
                </c:pt>
                <c:pt idx="90">
                  <c:v>0.63884425811600232</c:v>
                </c:pt>
                <c:pt idx="91">
                  <c:v>0.60866012664641767</c:v>
                </c:pt>
                <c:pt idx="92">
                  <c:v>0.67364755103010265</c:v>
                </c:pt>
                <c:pt idx="93">
                  <c:v>0.71440655461969038</c:v>
                </c:pt>
                <c:pt idx="94">
                  <c:v>0.76663252864193154</c:v>
                </c:pt>
                <c:pt idx="95">
                  <c:v>0.69073322239221957</c:v>
                </c:pt>
                <c:pt idx="96">
                  <c:v>0.58404263709817594</c:v>
                </c:pt>
                <c:pt idx="97">
                  <c:v>0.53209070006985038</c:v>
                </c:pt>
                <c:pt idx="98">
                  <c:v>0.58658050900901182</c:v>
                </c:pt>
                <c:pt idx="99">
                  <c:v>0.59793438978529523</c:v>
                </c:pt>
                <c:pt idx="100">
                  <c:v>0.58289512191869153</c:v>
                </c:pt>
                <c:pt idx="101">
                  <c:v>0.64898714357970022</c:v>
                </c:pt>
                <c:pt idx="102">
                  <c:v>0.67024086544480033</c:v>
                </c:pt>
                <c:pt idx="103">
                  <c:v>0.62893616595822643</c:v>
                </c:pt>
                <c:pt idx="104">
                  <c:v>0.6770644071739006</c:v>
                </c:pt>
                <c:pt idx="105">
                  <c:v>0.70702508884113213</c:v>
                </c:pt>
                <c:pt idx="106">
                  <c:v>0.76270028281955682</c:v>
                </c:pt>
                <c:pt idx="107">
                  <c:v>0.69347008292294432</c:v>
                </c:pt>
                <c:pt idx="108">
                  <c:v>0.56928737289693276</c:v>
                </c:pt>
                <c:pt idx="109">
                  <c:v>0.52957687158134659</c:v>
                </c:pt>
                <c:pt idx="110">
                  <c:v>0.58571526474277202</c:v>
                </c:pt>
                <c:pt idx="111">
                  <c:v>0.59652958191396799</c:v>
                </c:pt>
                <c:pt idx="112">
                  <c:v>0.58050703493087374</c:v>
                </c:pt>
                <c:pt idx="113">
                  <c:v>0.64734070143302103</c:v>
                </c:pt>
                <c:pt idx="114">
                  <c:v>0.66686570016609914</c:v>
                </c:pt>
                <c:pt idx="115">
                  <c:v>0.6272455119132645</c:v>
                </c:pt>
                <c:pt idx="116">
                  <c:v>0.67696114777186667</c:v>
                </c:pt>
                <c:pt idx="117">
                  <c:v>0.70747783431492739</c:v>
                </c:pt>
                <c:pt idx="118">
                  <c:v>0.76229898963704124</c:v>
                </c:pt>
                <c:pt idx="119">
                  <c:v>0.69336934858547628</c:v>
                </c:pt>
                <c:pt idx="120">
                  <c:v>0.56730486541474934</c:v>
                </c:pt>
                <c:pt idx="121">
                  <c:v>0.52656027739514211</c:v>
                </c:pt>
                <c:pt idx="122">
                  <c:v>0.58467697162328436</c:v>
                </c:pt>
                <c:pt idx="123">
                  <c:v>0.59484381246837548</c:v>
                </c:pt>
                <c:pt idx="124">
                  <c:v>0.57764133054549238</c:v>
                </c:pt>
                <c:pt idx="125">
                  <c:v>0.64536497085700617</c:v>
                </c:pt>
                <c:pt idx="126">
                  <c:v>0.66281550183165749</c:v>
                </c:pt>
                <c:pt idx="127">
                  <c:v>0.62521672705931008</c:v>
                </c:pt>
                <c:pt idx="128">
                  <c:v>0.67683723648942595</c:v>
                </c:pt>
                <c:pt idx="129">
                  <c:v>0.70802112888348168</c:v>
                </c:pt>
                <c:pt idx="130">
                  <c:v>0.76181743781802247</c:v>
                </c:pt>
                <c:pt idx="131">
                  <c:v>0.6932484673805146</c:v>
                </c:pt>
                <c:pt idx="132">
                  <c:v>0.56492585643612903</c:v>
                </c:pt>
                <c:pt idx="133">
                  <c:v>0.52294036437169689</c:v>
                </c:pt>
                <c:pt idx="134">
                  <c:v>0.58343101987989898</c:v>
                </c:pt>
                <c:pt idx="135">
                  <c:v>0.59282088913366437</c:v>
                </c:pt>
                <c:pt idx="136">
                  <c:v>0.57420248528303475</c:v>
                </c:pt>
                <c:pt idx="137">
                  <c:v>0.64299409416578823</c:v>
                </c:pt>
                <c:pt idx="138">
                  <c:v>0.65795526383032743</c:v>
                </c:pt>
                <c:pt idx="139">
                  <c:v>0.62278218523456474</c:v>
                </c:pt>
                <c:pt idx="140">
                  <c:v>0.67668854295049696</c:v>
                </c:pt>
                <c:pt idx="141">
                  <c:v>0.70867308236574689</c:v>
                </c:pt>
                <c:pt idx="142">
                  <c:v>0.76123957563519995</c:v>
                </c:pt>
                <c:pt idx="143">
                  <c:v>0.69310340993456065</c:v>
                </c:pt>
                <c:pt idx="144">
                  <c:v>0.56769770031837297</c:v>
                </c:pt>
                <c:pt idx="145">
                  <c:v>0.52364570846615099</c:v>
                </c:pt>
                <c:pt idx="146">
                  <c:v>0.58251252975507872</c:v>
                </c:pt>
                <c:pt idx="147">
                  <c:v>0.59249450164242656</c:v>
                </c:pt>
                <c:pt idx="148">
                  <c:v>0.57645296103277022</c:v>
                </c:pt>
                <c:pt idx="149">
                  <c:v>0.64186892565672737</c:v>
                </c:pt>
                <c:pt idx="150">
                  <c:v>0.65934431787777736</c:v>
                </c:pt>
                <c:pt idx="151">
                  <c:v>0.62256814336235666</c:v>
                </c:pt>
                <c:pt idx="152">
                  <c:v>0.67623977708315863</c:v>
                </c:pt>
                <c:pt idx="153">
                  <c:v>0.70912073780499563</c:v>
                </c:pt>
                <c:pt idx="154">
                  <c:v>0.76293776291035031</c:v>
                </c:pt>
                <c:pt idx="155">
                  <c:v>0.69278490624314315</c:v>
                </c:pt>
                <c:pt idx="156">
                  <c:v>0.57065168643287212</c:v>
                </c:pt>
                <c:pt idx="157">
                  <c:v>0.5269627843768373</c:v>
                </c:pt>
                <c:pt idx="158">
                  <c:v>0.58458325900200925</c:v>
                </c:pt>
                <c:pt idx="159">
                  <c:v>0.59492463498874593</c:v>
                </c:pt>
                <c:pt idx="160">
                  <c:v>0.57833978674217246</c:v>
                </c:pt>
                <c:pt idx="161">
                  <c:v>0.6453111671384486</c:v>
                </c:pt>
                <c:pt idx="162">
                  <c:v>0.66344432983013235</c:v>
                </c:pt>
                <c:pt idx="163">
                  <c:v>0.62534974670554444</c:v>
                </c:pt>
                <c:pt idx="164">
                  <c:v>0.67675822229376981</c:v>
                </c:pt>
                <c:pt idx="165">
                  <c:v>0.7080635744420567</c:v>
                </c:pt>
                <c:pt idx="166">
                  <c:v>0.76219880976403409</c:v>
                </c:pt>
                <c:pt idx="167">
                  <c:v>0.69319524301332769</c:v>
                </c:pt>
              </c:numCache>
            </c:numRef>
          </c:val>
          <c:smooth val="0"/>
          <c:extLst>
            <c:ext xmlns:c16="http://schemas.microsoft.com/office/drawing/2014/chart" uri="{C3380CC4-5D6E-409C-BE32-E72D297353CC}">
              <c16:uniqueId val="{00000027-02DE-4178-B882-3F129E41A449}"/>
            </c:ext>
          </c:extLst>
        </c:ser>
        <c:dLbls>
          <c:showLegendKey val="0"/>
          <c:showVal val="0"/>
          <c:showCatName val="0"/>
          <c:showSerName val="0"/>
          <c:showPercent val="0"/>
          <c:showBubbleSize val="0"/>
        </c:dLbls>
        <c:marker val="1"/>
        <c:smooth val="0"/>
        <c:axId val="674388823"/>
        <c:axId val="674389807"/>
      </c:lineChart>
      <c:dateAx>
        <c:axId val="674388823"/>
        <c:scaling>
          <c:orientation val="minMax"/>
          <c:max val="48853"/>
        </c:scaling>
        <c:delete val="0"/>
        <c:axPos val="b"/>
        <c:numFmt formatCode="[$-409]mmm\-yy;@" sourceLinked="1"/>
        <c:majorTickMark val="none"/>
        <c:minorTickMark val="none"/>
        <c:tickLblPos val="nextTo"/>
        <c:spPr>
          <a:noFill/>
          <a:ln w="22225" cap="flat" cmpd="sng" algn="ctr">
            <a:solidFill>
              <a:srgbClr val="8C8C8C"/>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74389807"/>
        <c:crosses val="autoZero"/>
        <c:auto val="1"/>
        <c:lblOffset val="100"/>
        <c:baseTimeUnit val="months"/>
        <c:majorUnit val="12"/>
        <c:majorTimeUnit val="months"/>
      </c:dateAx>
      <c:valAx>
        <c:axId val="6743898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solidFill>
                      <a:sysClr val="windowText" lastClr="000000"/>
                    </a:solidFill>
                  </a:rPr>
                  <a:t>capacity</a:t>
                </a:r>
                <a:r>
                  <a:rPr lang="en-US" sz="1200" baseline="0">
                    <a:solidFill>
                      <a:sysClr val="windowText" lastClr="000000"/>
                    </a:solidFill>
                  </a:rPr>
                  <a:t> utilization</a:t>
                </a:r>
                <a:endParaRPr lang="en-US" sz="1200">
                  <a:solidFill>
                    <a:sysClr val="windowText" lastClr="000000"/>
                  </a:solidFill>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22225">
            <a:solidFill>
              <a:srgbClr val="8C8C8C"/>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74388823"/>
        <c:crosses val="autoZero"/>
        <c:crossBetween val="between"/>
      </c:valAx>
      <c:valAx>
        <c:axId val="674541999"/>
        <c:scaling>
          <c:orientation val="minMax"/>
        </c:scaling>
        <c:delete val="0"/>
        <c:axPos val="r"/>
        <c:title>
          <c:tx>
            <c:rich>
              <a:bodyPr rot="-540000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r>
                  <a:rPr lang="en-US" sz="1200"/>
                  <a:t>million</a:t>
                </a:r>
                <a:r>
                  <a:rPr lang="en-US" sz="1200" baseline="0"/>
                  <a:t> gallons</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title>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674546919"/>
        <c:crosses val="max"/>
        <c:crossBetween val="between"/>
      </c:valAx>
      <c:catAx>
        <c:axId val="674546919"/>
        <c:scaling>
          <c:orientation val="minMax"/>
        </c:scaling>
        <c:delete val="1"/>
        <c:axPos val="b"/>
        <c:majorTickMark val="out"/>
        <c:minorTickMark val="none"/>
        <c:tickLblPos val="nextTo"/>
        <c:crossAx val="674541999"/>
        <c:crosses val="autoZero"/>
        <c:auto val="1"/>
        <c:lblAlgn val="ctr"/>
        <c:lblOffset val="100"/>
        <c:noMultiLvlLbl val="0"/>
      </c:catAx>
      <c:spPr>
        <a:noFill/>
        <a:ln w="22225">
          <a:solidFill>
            <a:srgbClr val="8C8C8C"/>
          </a:solidFill>
        </a:ln>
        <a:effectLst/>
      </c:spPr>
    </c:plotArea>
    <c:legend>
      <c:legendPos val="t"/>
      <c:layout>
        <c:manualLayout>
          <c:xMode val="edge"/>
          <c:yMode val="edge"/>
          <c:x val="0.57704637936528447"/>
          <c:y val="0.94291131295614061"/>
          <c:w val="0.41658325079441516"/>
          <c:h val="5.0744374946180747E-2"/>
        </c:manualLayout>
      </c:layout>
      <c:overlay val="0"/>
      <c:spPr>
        <a:solidFill>
          <a:srgbClr val="FFFFFF"/>
        </a:solidFill>
        <a:ln w="15875">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solidFill>
    <a:ln w="9525" cap="flat" cmpd="sng" algn="ctr">
      <a:noFill/>
      <a:round/>
    </a:ln>
    <a:effectLst/>
  </c:spPr>
  <c:txPr>
    <a:bodyPr/>
    <a:lstStyle/>
    <a:p>
      <a:pPr>
        <a:defRPr sz="1400" b="1">
          <a:solidFill>
            <a:srgbClr val="323232"/>
          </a:solidFill>
          <a:latin typeface="Arial" panose="020B0604020202020204" pitchFamily="34" charset="0"/>
          <a:cs typeface="Arial" panose="020B0604020202020204" pitchFamily="34" charset="0"/>
        </a:defRPr>
      </a:pPr>
      <a:endParaRPr lang="en-US"/>
    </a:p>
  </c:txPr>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spc="0" baseline="0">
                <a:solidFill>
                  <a:srgbClr val="323232"/>
                </a:solidFill>
                <a:latin typeface="Arial" panose="020B0604020202020204" pitchFamily="34" charset="0"/>
                <a:ea typeface="+mn-ea"/>
                <a:cs typeface="Arial" panose="020B0604020202020204" pitchFamily="34" charset="0"/>
              </a:defRPr>
            </a:pPr>
            <a:r>
              <a:rPr lang="en-US" sz="3200"/>
              <a:t>Canada Biodiesel Feedstock Mix</a:t>
            </a:r>
          </a:p>
        </c:rich>
      </c:tx>
      <c:overlay val="0"/>
      <c:spPr>
        <a:noFill/>
        <a:ln>
          <a:noFill/>
        </a:ln>
        <a:effectLst/>
      </c:spPr>
      <c:txPr>
        <a:bodyPr rot="0" spcFirstLastPara="1" vertOverflow="ellipsis" vert="horz" wrap="square" anchor="ctr" anchorCtr="1"/>
        <a:lstStyle/>
        <a:p>
          <a:pPr>
            <a:defRPr sz="3200" b="1" i="0" u="none" strike="noStrike" kern="1200" spc="0" baseline="0">
              <a:solidFill>
                <a:srgbClr val="323232"/>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717523049297031E-2"/>
          <c:y val="0.15617789946751237"/>
          <c:w val="0.91256506030506246"/>
          <c:h val="0.66697388655721157"/>
        </c:manualLayout>
      </c:layout>
      <c:areaChart>
        <c:grouping val="percentStacked"/>
        <c:varyColors val="0"/>
        <c:ser>
          <c:idx val="0"/>
          <c:order val="0"/>
          <c:tx>
            <c:strRef>
              <c:f>'BD Plant List'!$AX$2</c:f>
              <c:strCache>
                <c:ptCount val="1"/>
                <c:pt idx="0">
                  <c:v>Tallow</c:v>
                </c:pt>
              </c:strCache>
            </c:strRef>
          </c:tx>
          <c:spPr>
            <a:solidFill>
              <a:srgbClr val="CF3C5E"/>
            </a:solidFill>
            <a:ln>
              <a:solidFill>
                <a:schemeClr val="tx1"/>
              </a:solidFill>
            </a:ln>
            <a:effectLst/>
          </c:spPr>
          <c:cat>
            <c:numRef>
              <c:f>'BD Plant List'!$A$138:$A$185</c:f>
              <c:numCache>
                <c:formatCode>[$-409]mmm\-yy;@</c:formatCode>
                <c:ptCount val="48"/>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numCache>
            </c:numRef>
          </c:cat>
          <c:val>
            <c:numRef>
              <c:f>'BD Plant List'!$AX$138:$AX$185</c:f>
              <c:numCache>
                <c:formatCode>#,##0_);[Red]\(#,##0\)</c:formatCode>
                <c:ptCount val="48"/>
                <c:pt idx="0">
                  <c:v>5316.2043982455825</c:v>
                </c:pt>
                <c:pt idx="1">
                  <c:v>4666.5804613783939</c:v>
                </c:pt>
                <c:pt idx="2">
                  <c:v>6021.6913864213857</c:v>
                </c:pt>
                <c:pt idx="3">
                  <c:v>4352.1348323628936</c:v>
                </c:pt>
                <c:pt idx="4">
                  <c:v>4487.4731525435573</c:v>
                </c:pt>
                <c:pt idx="5">
                  <c:v>6225.5627283105559</c:v>
                </c:pt>
                <c:pt idx="6">
                  <c:v>8818.2993983248143</c:v>
                </c:pt>
                <c:pt idx="7">
                  <c:v>8312.3736400166963</c:v>
                </c:pt>
                <c:pt idx="8">
                  <c:v>6562.5875519583788</c:v>
                </c:pt>
                <c:pt idx="9">
                  <c:v>6438.0265084016855</c:v>
                </c:pt>
                <c:pt idx="10">
                  <c:v>7738.2065440029837</c:v>
                </c:pt>
                <c:pt idx="11">
                  <c:v>5500.8529425941797</c:v>
                </c:pt>
                <c:pt idx="12">
                  <c:v>3588.5443500857009</c:v>
                </c:pt>
                <c:pt idx="13">
                  <c:v>4062.4694634275975</c:v>
                </c:pt>
                <c:pt idx="14">
                  <c:v>3589.7306457386217</c:v>
                </c:pt>
                <c:pt idx="15">
                  <c:v>4681.1226464258425</c:v>
                </c:pt>
                <c:pt idx="16">
                  <c:v>3980.6150633760558</c:v>
                </c:pt>
                <c:pt idx="17">
                  <c:v>5034.6387509962688</c:v>
                </c:pt>
                <c:pt idx="18">
                  <c:v>4561.8999333072934</c:v>
                </c:pt>
                <c:pt idx="19">
                  <c:v>3867.3238285221105</c:v>
                </c:pt>
                <c:pt idx="20">
                  <c:v>3186.9832715719785</c:v>
                </c:pt>
                <c:pt idx="21">
                  <c:v>2968.1117236080736</c:v>
                </c:pt>
                <c:pt idx="22">
                  <c:v>3807.6291690500457</c:v>
                </c:pt>
                <c:pt idx="23">
                  <c:v>3864.8841159961066</c:v>
                </c:pt>
                <c:pt idx="24">
                  <c:v>2652.8140940362155</c:v>
                </c:pt>
                <c:pt idx="25">
                  <c:v>1481.2979533427431</c:v>
                </c:pt>
                <c:pt idx="26">
                  <c:v>2258.825717234266</c:v>
                </c:pt>
                <c:pt idx="27">
                  <c:v>2086.7247102068932</c:v>
                </c:pt>
                <c:pt idx="28">
                  <c:v>1495.4348217771344</c:v>
                </c:pt>
                <c:pt idx="29">
                  <c:v>1673.0676468875297</c:v>
                </c:pt>
                <c:pt idx="30">
                  <c:v>1615.9055266962953</c:v>
                </c:pt>
                <c:pt idx="31">
                  <c:v>1811.9777454167663</c:v>
                </c:pt>
                <c:pt idx="32">
                  <c:v>2817.5393436195577</c:v>
                </c:pt>
                <c:pt idx="33">
                  <c:v>2355.3252104603284</c:v>
                </c:pt>
                <c:pt idx="34">
                  <c:v>2479.4837941015044</c:v>
                </c:pt>
                <c:pt idx="35">
                  <c:v>2234.8545055411678</c:v>
                </c:pt>
                <c:pt idx="36">
                  <c:v>2600.5691454743346</c:v>
                </c:pt>
                <c:pt idx="37">
                  <c:v>2063.9827914211332</c:v>
                </c:pt>
                <c:pt idx="38">
                  <c:v>2602.413084835342</c:v>
                </c:pt>
                <c:pt idx="39">
                  <c:v>2121.1449116123677</c:v>
                </c:pt>
                <c:pt idx="40">
                  <c:v>3363.9600409314662</c:v>
                </c:pt>
                <c:pt idx="41">
                  <c:v>3844.613567700771</c:v>
                </c:pt>
                <c:pt idx="42">
                  <c:v>3777.0024577971603</c:v>
                </c:pt>
                <c:pt idx="43">
                  <c:v>3800.9736694902585</c:v>
                </c:pt>
                <c:pt idx="44">
                  <c:v>3477.0549884065967</c:v>
                </c:pt>
                <c:pt idx="45">
                  <c:v>2705.6736890517655</c:v>
                </c:pt>
                <c:pt idx="46">
                  <c:v>2844.5837875810021</c:v>
                </c:pt>
                <c:pt idx="47">
                  <c:v>3288.3585271301558</c:v>
                </c:pt>
              </c:numCache>
            </c:numRef>
          </c:val>
          <c:extLst>
            <c:ext xmlns:c16="http://schemas.microsoft.com/office/drawing/2014/chart" uri="{C3380CC4-5D6E-409C-BE32-E72D297353CC}">
              <c16:uniqueId val="{00000000-F82C-424D-A6C2-8CC5B4B23B07}"/>
            </c:ext>
          </c:extLst>
        </c:ser>
        <c:ser>
          <c:idx val="1"/>
          <c:order val="1"/>
          <c:tx>
            <c:strRef>
              <c:f>'BD Plant List'!$AY$2</c:f>
              <c:strCache>
                <c:ptCount val="1"/>
                <c:pt idx="0">
                  <c:v>Used Cooking Oil</c:v>
                </c:pt>
              </c:strCache>
            </c:strRef>
          </c:tx>
          <c:spPr>
            <a:solidFill>
              <a:srgbClr val="CF883C"/>
            </a:solidFill>
            <a:ln>
              <a:solidFill>
                <a:schemeClr val="tx1"/>
              </a:solidFill>
            </a:ln>
            <a:effectLst/>
          </c:spPr>
          <c:cat>
            <c:numRef>
              <c:f>'BD Plant List'!$A$138:$A$185</c:f>
              <c:numCache>
                <c:formatCode>[$-409]mmm\-yy;@</c:formatCode>
                <c:ptCount val="48"/>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numCache>
            </c:numRef>
          </c:cat>
          <c:val>
            <c:numRef>
              <c:f>'BD Plant List'!$AY$138:$AY$185</c:f>
              <c:numCache>
                <c:formatCode>#,##0_);[Red]\(#,##0\)</c:formatCode>
                <c:ptCount val="48"/>
                <c:pt idx="0">
                  <c:v>3647.4708777788569</c:v>
                </c:pt>
                <c:pt idx="1">
                  <c:v>3201.7610792592436</c:v>
                </c:pt>
                <c:pt idx="2">
                  <c:v>4131.5085579087563</c:v>
                </c:pt>
                <c:pt idx="3">
                  <c:v>2986.0185704013456</c:v>
                </c:pt>
                <c:pt idx="4">
                  <c:v>3078.874778426265</c:v>
                </c:pt>
                <c:pt idx="5">
                  <c:v>4271.3855691462941</c:v>
                </c:pt>
                <c:pt idx="6">
                  <c:v>6050.2734352236876</c:v>
                </c:pt>
                <c:pt idx="7">
                  <c:v>5283.639611837857</c:v>
                </c:pt>
                <c:pt idx="8">
                  <c:v>4171.4134911783967</c:v>
                </c:pt>
                <c:pt idx="9">
                  <c:v>4092.2380724195873</c:v>
                </c:pt>
                <c:pt idx="10">
                  <c:v>4918.6786339401087</c:v>
                </c:pt>
                <c:pt idx="11">
                  <c:v>3496.5373027104529</c:v>
                </c:pt>
                <c:pt idx="12">
                  <c:v>2281.0061118609274</c:v>
                </c:pt>
                <c:pt idx="13">
                  <c:v>2582.2497289480148</c:v>
                </c:pt>
                <c:pt idx="14">
                  <c:v>2281.7601634681541</c:v>
                </c:pt>
                <c:pt idx="15">
                  <c:v>2975.4876421167664</c:v>
                </c:pt>
                <c:pt idx="16">
                  <c:v>2530.220168049369</c:v>
                </c:pt>
                <c:pt idx="17">
                  <c:v>3200.195021070339</c:v>
                </c:pt>
                <c:pt idx="18">
                  <c:v>2899.7054555904779</c:v>
                </c:pt>
                <c:pt idx="19">
                  <c:v>2458.2082395592142</c:v>
                </c:pt>
                <c:pt idx="20">
                  <c:v>2025.7596428146715</c:v>
                </c:pt>
                <c:pt idx="21">
                  <c:v>1886.6371212813356</c:v>
                </c:pt>
                <c:pt idx="22">
                  <c:v>2111.1003814319247</c:v>
                </c:pt>
                <c:pt idx="23">
                  <c:v>2074.9226489590064</c:v>
                </c:pt>
                <c:pt idx="24">
                  <c:v>1553.4870708544868</c:v>
                </c:pt>
                <c:pt idx="25">
                  <c:v>867.44759980521621</c:v>
                </c:pt>
                <c:pt idx="26">
                  <c:v>1322.7676055121035</c:v>
                </c:pt>
                <c:pt idx="27">
                  <c:v>1221.9853117588004</c:v>
                </c:pt>
                <c:pt idx="28">
                  <c:v>875.72614536352319</c:v>
                </c:pt>
                <c:pt idx="29">
                  <c:v>979.74786998746822</c:v>
                </c:pt>
                <c:pt idx="30">
                  <c:v>946.27375099083542</c:v>
                </c:pt>
                <c:pt idx="31">
                  <c:v>1061.0935785169202</c:v>
                </c:pt>
                <c:pt idx="32">
                  <c:v>1649.950123446934</c:v>
                </c:pt>
                <c:pt idx="33">
                  <c:v>1379.2776773666342</c:v>
                </c:pt>
                <c:pt idx="34">
                  <c:v>1451.9849035743744</c:v>
                </c:pt>
                <c:pt idx="35">
                  <c:v>1308.7300717393221</c:v>
                </c:pt>
                <c:pt idx="36">
                  <c:v>1522.8924459650912</c:v>
                </c:pt>
                <c:pt idx="37">
                  <c:v>1208.6676515128281</c:v>
                </c:pt>
                <c:pt idx="38">
                  <c:v>1523.9722562553052</c:v>
                </c:pt>
                <c:pt idx="39">
                  <c:v>1242.1417705094611</c:v>
                </c:pt>
                <c:pt idx="40">
                  <c:v>1969.9339061136716</c:v>
                </c:pt>
                <c:pt idx="41">
                  <c:v>2251.4044550961107</c:v>
                </c:pt>
                <c:pt idx="42">
                  <c:v>2211.8114111215991</c:v>
                </c:pt>
                <c:pt idx="43">
                  <c:v>2225.8489448943806</c:v>
                </c:pt>
                <c:pt idx="44">
                  <c:v>2036.1622705801278</c:v>
                </c:pt>
                <c:pt idx="45">
                  <c:v>1584.4416325072871</c:v>
                </c:pt>
                <c:pt idx="46">
                  <c:v>1665.7873410367388</c:v>
                </c:pt>
                <c:pt idx="47">
                  <c:v>1925.661684214899</c:v>
                </c:pt>
              </c:numCache>
            </c:numRef>
          </c:val>
          <c:extLst>
            <c:ext xmlns:c16="http://schemas.microsoft.com/office/drawing/2014/chart" uri="{C3380CC4-5D6E-409C-BE32-E72D297353CC}">
              <c16:uniqueId val="{00000001-F82C-424D-A6C2-8CC5B4B23B07}"/>
            </c:ext>
          </c:extLst>
        </c:ser>
        <c:ser>
          <c:idx val="2"/>
          <c:order val="2"/>
          <c:tx>
            <c:strRef>
              <c:f>'BD Plant List'!$AZ$2</c:f>
              <c:strCache>
                <c:ptCount val="1"/>
                <c:pt idx="0">
                  <c:v>Corn Oil</c:v>
                </c:pt>
              </c:strCache>
            </c:strRef>
          </c:tx>
          <c:spPr>
            <a:solidFill>
              <a:srgbClr val="9E42FF"/>
            </a:solidFill>
            <a:ln>
              <a:solidFill>
                <a:schemeClr val="tx1"/>
              </a:solidFill>
            </a:ln>
            <a:effectLst/>
          </c:spPr>
          <c:cat>
            <c:numRef>
              <c:f>'BD Plant List'!$A$138:$A$185</c:f>
              <c:numCache>
                <c:formatCode>[$-409]mmm\-yy;@</c:formatCode>
                <c:ptCount val="48"/>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numCache>
            </c:numRef>
          </c:cat>
          <c:val>
            <c:numRef>
              <c:f>'BD Plant List'!$AZ$138:$AZ$185</c:f>
              <c:numCache>
                <c:formatCode>#,##0_);[Red]\(#,##0\)</c:formatCode>
                <c:ptCount val="48"/>
                <c:pt idx="0">
                  <c:v>267.32472397556012</c:v>
                </c:pt>
                <c:pt idx="1">
                  <c:v>234.65845936236292</c:v>
                </c:pt>
                <c:pt idx="2">
                  <c:v>302.8000556698571</c:v>
                </c:pt>
                <c:pt idx="3">
                  <c:v>218.84659723576078</c:v>
                </c:pt>
                <c:pt idx="4">
                  <c:v>225.6520690301777</c:v>
                </c:pt>
                <c:pt idx="5">
                  <c:v>313.0517025431509</c:v>
                </c:pt>
                <c:pt idx="6">
                  <c:v>443.42716645149812</c:v>
                </c:pt>
                <c:pt idx="7">
                  <c:v>417.98674814544574</c:v>
                </c:pt>
                <c:pt idx="8">
                  <c:v>329.99895686322452</c:v>
                </c:pt>
                <c:pt idx="9">
                  <c:v>323.73541917872717</c:v>
                </c:pt>
                <c:pt idx="10">
                  <c:v>389.11482205690845</c:v>
                </c:pt>
                <c:pt idx="11">
                  <c:v>276.60975469536788</c:v>
                </c:pt>
                <c:pt idx="12">
                  <c:v>180.44953805337173</c:v>
                </c:pt>
                <c:pt idx="13">
                  <c:v>204.28080762438731</c:v>
                </c:pt>
                <c:pt idx="14">
                  <c:v>180.50919079322375</c:v>
                </c:pt>
                <c:pt idx="15">
                  <c:v>235.38971145739106</c:v>
                </c:pt>
                <c:pt idx="16">
                  <c:v>200.16476857457565</c:v>
                </c:pt>
                <c:pt idx="17">
                  <c:v>253.16622793339229</c:v>
                </c:pt>
                <c:pt idx="18">
                  <c:v>229.39461110222874</c:v>
                </c:pt>
                <c:pt idx="19">
                  <c:v>194.46793191867528</c:v>
                </c:pt>
                <c:pt idx="20">
                  <c:v>160.25708561334977</c:v>
                </c:pt>
                <c:pt idx="21">
                  <c:v>149.25115511059084</c:v>
                </c:pt>
                <c:pt idx="22">
                  <c:v>136.27044951802964</c:v>
                </c:pt>
                <c:pt idx="23">
                  <c:v>126.19323504488693</c:v>
                </c:pt>
                <c:pt idx="24">
                  <c:v>109.69883510929776</c:v>
                </c:pt>
                <c:pt idx="25">
                  <c:v>61.254446852040928</c:v>
                </c:pt>
                <c:pt idx="26">
                  <c:v>93.406677253630733</c:v>
                </c:pt>
                <c:pt idx="27">
                  <c:v>86.289978034306387</c:v>
                </c:pt>
                <c:pt idx="28">
                  <c:v>61.839032859342296</c:v>
                </c:pt>
                <c:pt idx="29">
                  <c:v>69.184483125001861</c:v>
                </c:pt>
                <c:pt idx="30">
                  <c:v>66.820722312869293</c:v>
                </c:pt>
                <c:pt idx="31">
                  <c:v>74.928676066313528</c:v>
                </c:pt>
                <c:pt idx="32">
                  <c:v>116.51053293350833</c:v>
                </c:pt>
                <c:pt idx="33">
                  <c:v>97.397112173037385</c:v>
                </c:pt>
                <c:pt idx="34">
                  <c:v>102.5313023241215</c:v>
                </c:pt>
                <c:pt idx="35">
                  <c:v>92.415422719510389</c:v>
                </c:pt>
                <c:pt idx="36">
                  <c:v>107.53840856057468</c:v>
                </c:pt>
                <c:pt idx="37">
                  <c:v>85.349557066038869</c:v>
                </c:pt>
                <c:pt idx="38">
                  <c:v>107.61465890935324</c:v>
                </c:pt>
                <c:pt idx="39">
                  <c:v>87.713317878171438</c:v>
                </c:pt>
                <c:pt idx="40">
                  <c:v>139.10605295486221</c:v>
                </c:pt>
                <c:pt idx="41">
                  <c:v>158.98197720311873</c:v>
                </c:pt>
                <c:pt idx="42">
                  <c:v>156.18613108124009</c:v>
                </c:pt>
                <c:pt idx="43">
                  <c:v>157.17738561536135</c:v>
                </c:pt>
                <c:pt idx="44">
                  <c:v>143.78274101327588</c:v>
                </c:pt>
                <c:pt idx="45">
                  <c:v>111.88467844094703</c:v>
                </c:pt>
                <c:pt idx="46">
                  <c:v>117.6288713822596</c:v>
                </c:pt>
                <c:pt idx="47">
                  <c:v>135.97978865494497</c:v>
                </c:pt>
              </c:numCache>
            </c:numRef>
          </c:val>
          <c:extLst>
            <c:ext xmlns:c16="http://schemas.microsoft.com/office/drawing/2014/chart" uri="{C3380CC4-5D6E-409C-BE32-E72D297353CC}">
              <c16:uniqueId val="{00000002-F82C-424D-A6C2-8CC5B4B23B07}"/>
            </c:ext>
          </c:extLst>
        </c:ser>
        <c:ser>
          <c:idx val="3"/>
          <c:order val="3"/>
          <c:tx>
            <c:strRef>
              <c:f>'BD Plant List'!$BA$2</c:f>
              <c:strCache>
                <c:ptCount val="1"/>
                <c:pt idx="0">
                  <c:v>Canola Oil</c:v>
                </c:pt>
              </c:strCache>
            </c:strRef>
          </c:tx>
          <c:spPr>
            <a:solidFill>
              <a:srgbClr val="63CF3C"/>
            </a:solidFill>
            <a:ln>
              <a:solidFill>
                <a:schemeClr val="tx1"/>
              </a:solidFill>
            </a:ln>
            <a:effectLst/>
          </c:spPr>
          <c:cat>
            <c:numRef>
              <c:f>'BD Plant List'!$A$138:$A$185</c:f>
              <c:numCache>
                <c:formatCode>[$-409]mmm\-yy;@</c:formatCode>
                <c:ptCount val="48"/>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numCache>
            </c:numRef>
          </c:cat>
          <c:val>
            <c:numRef>
              <c:f>'BD Plant List'!$BA$138:$BA$185</c:f>
              <c:numCache>
                <c:formatCode>#,##0_);[Red]\(#,##0\)</c:formatCode>
                <c:ptCount val="48"/>
                <c:pt idx="0">
                  <c:v>27439.979724378267</c:v>
                </c:pt>
                <c:pt idx="1">
                  <c:v>25544.55802600694</c:v>
                </c:pt>
                <c:pt idx="2">
                  <c:v>20490.753870080498</c:v>
                </c:pt>
                <c:pt idx="3">
                  <c:v>26919.302579093644</c:v>
                </c:pt>
                <c:pt idx="4">
                  <c:v>29775.672681191769</c:v>
                </c:pt>
                <c:pt idx="5">
                  <c:v>27322.312572901516</c:v>
                </c:pt>
                <c:pt idx="6">
                  <c:v>34540.211756404533</c:v>
                </c:pt>
                <c:pt idx="7">
                  <c:v>23151.992612646343</c:v>
                </c:pt>
                <c:pt idx="8">
                  <c:v>25876.967728928761</c:v>
                </c:pt>
                <c:pt idx="9">
                  <c:v>26384.897599470067</c:v>
                </c:pt>
                <c:pt idx="10">
                  <c:v>29153.99789755627</c:v>
                </c:pt>
                <c:pt idx="11">
                  <c:v>26848.702288207594</c:v>
                </c:pt>
                <c:pt idx="12">
                  <c:v>22013.56292210878</c:v>
                </c:pt>
                <c:pt idx="13">
                  <c:v>24813.060567659806</c:v>
                </c:pt>
                <c:pt idx="14">
                  <c:v>27532.152326368388</c:v>
                </c:pt>
                <c:pt idx="15">
                  <c:v>25633.788949210142</c:v>
                </c:pt>
                <c:pt idx="16">
                  <c:v>20352.494967095314</c:v>
                </c:pt>
                <c:pt idx="17">
                  <c:v>30466.967196117679</c:v>
                </c:pt>
                <c:pt idx="18">
                  <c:v>28455.839465460882</c:v>
                </c:pt>
                <c:pt idx="19">
                  <c:v>28640.184669441125</c:v>
                </c:pt>
                <c:pt idx="20">
                  <c:v>29737.430856961822</c:v>
                </c:pt>
                <c:pt idx="21">
                  <c:v>28922.585832985325</c:v>
                </c:pt>
                <c:pt idx="22">
                  <c:v>30745.446121279321</c:v>
                </c:pt>
                <c:pt idx="23">
                  <c:v>34261.732831242887</c:v>
                </c:pt>
                <c:pt idx="24">
                  <c:v>15509.511124231383</c:v>
                </c:pt>
                <c:pt idx="25">
                  <c:v>18201.147214262055</c:v>
                </c:pt>
                <c:pt idx="26">
                  <c:v>23302.998790374841</c:v>
                </c:pt>
                <c:pt idx="27">
                  <c:v>21949.826548392208</c:v>
                </c:pt>
                <c:pt idx="28">
                  <c:v>22515.609435076251</c:v>
                </c:pt>
                <c:pt idx="29">
                  <c:v>24106.077099203663</c:v>
                </c:pt>
                <c:pt idx="30">
                  <c:v>23325.551661074551</c:v>
                </c:pt>
                <c:pt idx="31">
                  <c:v>23221.612343936755</c:v>
                </c:pt>
                <c:pt idx="32">
                  <c:v>31915.253718877353</c:v>
                </c:pt>
                <c:pt idx="33">
                  <c:v>62025.29722218222</c:v>
                </c:pt>
                <c:pt idx="34">
                  <c:v>36835.701769796811</c:v>
                </c:pt>
                <c:pt idx="35">
                  <c:v>32579.092565125353</c:v>
                </c:pt>
                <c:pt idx="36">
                  <c:v>32902.677231686415</c:v>
                </c:pt>
                <c:pt idx="37">
                  <c:v>31508.321486686924</c:v>
                </c:pt>
                <c:pt idx="38">
                  <c:v>36250.307691199974</c:v>
                </c:pt>
                <c:pt idx="39">
                  <c:v>27721.400328326828</c:v>
                </c:pt>
                <c:pt idx="40">
                  <c:v>35375.648531889463</c:v>
                </c:pt>
                <c:pt idx="41">
                  <c:v>39513.610025488531</c:v>
                </c:pt>
                <c:pt idx="42">
                  <c:v>36618.998099160461</c:v>
                </c:pt>
                <c:pt idx="43">
                  <c:v>31855.439583543335</c:v>
                </c:pt>
                <c:pt idx="44">
                  <c:v>57830.463272036053</c:v>
                </c:pt>
                <c:pt idx="45">
                  <c:v>35338.387267255159</c:v>
                </c:pt>
                <c:pt idx="46">
                  <c:v>66359.37063490921</c:v>
                </c:pt>
                <c:pt idx="47">
                  <c:v>40662.825871578127</c:v>
                </c:pt>
              </c:numCache>
            </c:numRef>
          </c:val>
          <c:extLst>
            <c:ext xmlns:c16="http://schemas.microsoft.com/office/drawing/2014/chart" uri="{C3380CC4-5D6E-409C-BE32-E72D297353CC}">
              <c16:uniqueId val="{00000003-F82C-424D-A6C2-8CC5B4B23B07}"/>
            </c:ext>
          </c:extLst>
        </c:ser>
        <c:ser>
          <c:idx val="4"/>
          <c:order val="4"/>
          <c:tx>
            <c:strRef>
              <c:f>'BD Plant List'!$BB$2</c:f>
              <c:strCache>
                <c:ptCount val="1"/>
                <c:pt idx="0">
                  <c:v>Soybean Oil</c:v>
                </c:pt>
              </c:strCache>
            </c:strRef>
          </c:tx>
          <c:spPr>
            <a:solidFill>
              <a:srgbClr val="3C91CF"/>
            </a:solidFill>
            <a:ln>
              <a:solidFill>
                <a:schemeClr val="tx1"/>
              </a:solidFill>
            </a:ln>
            <a:effectLst/>
          </c:spPr>
          <c:cat>
            <c:numRef>
              <c:f>'BD Plant List'!$A$138:$A$185</c:f>
              <c:numCache>
                <c:formatCode>[$-409]mmm\-yy;@</c:formatCode>
                <c:ptCount val="48"/>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numCache>
            </c:numRef>
          </c:cat>
          <c:val>
            <c:numRef>
              <c:f>'BD Plant List'!$BB$138:$BB$185</c:f>
              <c:numCache>
                <c:formatCode>#,##0_);[Red]\(#,##0\)</c:formatCode>
                <c:ptCount val="48"/>
                <c:pt idx="0">
                  <c:v>544.02027562173316</c:v>
                </c:pt>
                <c:pt idx="1">
                  <c:v>506.44197399305995</c:v>
                </c:pt>
                <c:pt idx="2">
                  <c:v>406.24612991950198</c:v>
                </c:pt>
                <c:pt idx="3">
                  <c:v>533.69742090635555</c:v>
                </c:pt>
                <c:pt idx="4">
                  <c:v>590.32731880823121</c:v>
                </c:pt>
                <c:pt idx="5">
                  <c:v>541.68742709848448</c:v>
                </c:pt>
                <c:pt idx="6">
                  <c:v>684.78824359546707</c:v>
                </c:pt>
                <c:pt idx="7">
                  <c:v>459.00738735365667</c:v>
                </c:pt>
                <c:pt idx="8">
                  <c:v>513.03227107123894</c:v>
                </c:pt>
                <c:pt idx="9">
                  <c:v>523.10240052993322</c:v>
                </c:pt>
                <c:pt idx="10">
                  <c:v>578.00210244373011</c:v>
                </c:pt>
                <c:pt idx="11">
                  <c:v>532.29771179240561</c:v>
                </c:pt>
                <c:pt idx="12">
                  <c:v>436.43707789121981</c:v>
                </c:pt>
                <c:pt idx="13">
                  <c:v>491.93943234019389</c:v>
                </c:pt>
                <c:pt idx="14">
                  <c:v>545.84767363161154</c:v>
                </c:pt>
                <c:pt idx="15">
                  <c:v>508.21105078985784</c:v>
                </c:pt>
                <c:pt idx="16">
                  <c:v>403.50503290468623</c:v>
                </c:pt>
                <c:pt idx="17">
                  <c:v>604.03280388232088</c:v>
                </c:pt>
                <c:pt idx="18">
                  <c:v>564.16053453911809</c:v>
                </c:pt>
                <c:pt idx="19">
                  <c:v>567.81533055887485</c:v>
                </c:pt>
                <c:pt idx="20">
                  <c:v>589.56914303817757</c:v>
                </c:pt>
                <c:pt idx="21">
                  <c:v>573.4141670146746</c:v>
                </c:pt>
                <c:pt idx="22">
                  <c:v>609.55387872067877</c:v>
                </c:pt>
                <c:pt idx="23">
                  <c:v>679.26716875711281</c:v>
                </c:pt>
                <c:pt idx="24">
                  <c:v>307.48887576861671</c:v>
                </c:pt>
                <c:pt idx="25">
                  <c:v>360.85278573794494</c:v>
                </c:pt>
                <c:pt idx="26">
                  <c:v>462.00120962515939</c:v>
                </c:pt>
                <c:pt idx="27">
                  <c:v>435.17345160779223</c:v>
                </c:pt>
                <c:pt idx="28">
                  <c:v>446.39056492374948</c:v>
                </c:pt>
                <c:pt idx="29">
                  <c:v>477.92290079633676</c:v>
                </c:pt>
                <c:pt idx="30">
                  <c:v>462.44833892544921</c:v>
                </c:pt>
                <c:pt idx="31">
                  <c:v>460.38765606324523</c:v>
                </c:pt>
                <c:pt idx="32">
                  <c:v>632.74628112264691</c:v>
                </c:pt>
                <c:pt idx="33">
                  <c:v>1229.7027778177799</c:v>
                </c:pt>
                <c:pt idx="34">
                  <c:v>730.29823020318872</c:v>
                </c:pt>
                <c:pt idx="35">
                  <c:v>645.90743487464715</c:v>
                </c:pt>
                <c:pt idx="36">
                  <c:v>652.32276831358467</c:v>
                </c:pt>
                <c:pt idx="37">
                  <c:v>624.67851331307611</c:v>
                </c:pt>
                <c:pt idx="38">
                  <c:v>718.69230880002578</c:v>
                </c:pt>
                <c:pt idx="39">
                  <c:v>549.59967167317154</c:v>
                </c:pt>
                <c:pt idx="40">
                  <c:v>701.3514681105371</c:v>
                </c:pt>
                <c:pt idx="41">
                  <c:v>783.38997451146861</c:v>
                </c:pt>
                <c:pt idx="42">
                  <c:v>726.0019008395393</c:v>
                </c:pt>
                <c:pt idx="43">
                  <c:v>631.56041645666483</c:v>
                </c:pt>
                <c:pt idx="44">
                  <c:v>1146.5367279639468</c:v>
                </c:pt>
                <c:pt idx="45">
                  <c:v>700.6127327448412</c:v>
                </c:pt>
                <c:pt idx="46">
                  <c:v>1315.6293650907901</c:v>
                </c:pt>
                <c:pt idx="47">
                  <c:v>806.17412842187332</c:v>
                </c:pt>
              </c:numCache>
            </c:numRef>
          </c:val>
          <c:extLst>
            <c:ext xmlns:c16="http://schemas.microsoft.com/office/drawing/2014/chart" uri="{C3380CC4-5D6E-409C-BE32-E72D297353CC}">
              <c16:uniqueId val="{00000004-F82C-424D-A6C2-8CC5B4B23B07}"/>
            </c:ext>
          </c:extLst>
        </c:ser>
        <c:dLbls>
          <c:showLegendKey val="0"/>
          <c:showVal val="0"/>
          <c:showCatName val="0"/>
          <c:showSerName val="0"/>
          <c:showPercent val="0"/>
          <c:showBubbleSize val="0"/>
        </c:dLbls>
        <c:axId val="78444799"/>
        <c:axId val="78438319"/>
      </c:areaChart>
      <c:dateAx>
        <c:axId val="78444799"/>
        <c:scaling>
          <c:orientation val="minMax"/>
        </c:scaling>
        <c:delete val="0"/>
        <c:axPos val="b"/>
        <c:numFmt formatCode="[$-409]mmm\-yy;@" sourceLinked="1"/>
        <c:majorTickMark val="none"/>
        <c:minorTickMark val="none"/>
        <c:tickLblPos val="nextTo"/>
        <c:spPr>
          <a:noFill/>
          <a:ln w="22225" cap="flat" cmpd="sng" algn="ctr">
            <a:solidFill>
              <a:srgbClr val="8C8C8C"/>
            </a:solidFill>
            <a:round/>
          </a:ln>
          <a:effectLst/>
        </c:spPr>
        <c:txPr>
          <a:bodyPr rot="-5400000" spcFirstLastPara="1" vertOverflow="ellipsis"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78438319"/>
        <c:crosses val="autoZero"/>
        <c:auto val="1"/>
        <c:lblOffset val="100"/>
        <c:baseTimeUnit val="months"/>
      </c:dateAx>
      <c:valAx>
        <c:axId val="78438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22225">
            <a:solidFill>
              <a:srgbClr val="8C8C8C"/>
            </a:solidFill>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78444799"/>
        <c:crosses val="autoZero"/>
        <c:crossBetween val="midCat"/>
      </c:valAx>
      <c:spPr>
        <a:noFill/>
        <a:ln w="22225">
          <a:solidFill>
            <a:srgbClr val="8C8C8C"/>
          </a:solidFill>
        </a:ln>
        <a:effectLst/>
      </c:spPr>
    </c:plotArea>
    <c:legend>
      <c:legendPos val="b"/>
      <c:layout>
        <c:manualLayout>
          <c:xMode val="edge"/>
          <c:yMode val="edge"/>
          <c:x val="0.16742193948581749"/>
          <c:y val="9.9193970780208987E-2"/>
          <c:w val="0.66248012174263893"/>
          <c:h val="5.0729769644579994E-2"/>
        </c:manualLayout>
      </c:layout>
      <c:overlay val="0"/>
      <c:spPr>
        <a:solidFill>
          <a:schemeClr val="bg1"/>
        </a:solidFill>
        <a:ln w="15875">
          <a:solidFill>
            <a:srgbClr val="8C8C8C"/>
          </a:solidFill>
        </a:ln>
        <a:effectLst/>
      </c:spPr>
      <c:txPr>
        <a:bodyPr rot="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b="1">
          <a:solidFill>
            <a:srgbClr val="323232"/>
          </a:solidFill>
          <a:latin typeface="Arial" panose="020B0604020202020204" pitchFamily="34" charset="0"/>
          <a:cs typeface="Arial" panose="020B0604020202020204" pitchFamily="34" charset="0"/>
        </a:defRPr>
      </a:pPr>
      <a:endParaRPr lang="en-US"/>
    </a:p>
  </c:txPr>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323232"/>
                </a:solidFill>
                <a:latin typeface="Arial" panose="020B0604020202020204" pitchFamily="34" charset="0"/>
                <a:ea typeface="+mn-ea"/>
                <a:cs typeface="Arial" panose="020B0604020202020204" pitchFamily="34" charset="0"/>
              </a:defRPr>
            </a:pPr>
            <a:r>
              <a:rPr lang="en-US" sz="2800"/>
              <a:t>Canada Biomass-Based Diesel Production</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323232"/>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439637725727305E-2"/>
          <c:y val="0.12759539004012244"/>
          <c:w val="0.91088362254041932"/>
          <c:h val="0.73523455338526145"/>
        </c:manualLayout>
      </c:layout>
      <c:barChart>
        <c:barDir val="col"/>
        <c:grouping val="stacked"/>
        <c:varyColors val="0"/>
        <c:ser>
          <c:idx val="0"/>
          <c:order val="0"/>
          <c:tx>
            <c:v>Biodiesel</c:v>
          </c:tx>
          <c:spPr>
            <a:solidFill>
              <a:srgbClr val="ECECEC"/>
            </a:solidFill>
            <a:ln>
              <a:solidFill>
                <a:srgbClr val="323232"/>
              </a:solidFill>
            </a:ln>
            <a:effectLst/>
          </c:spPr>
          <c:invertIfNegative val="0"/>
          <c:dLbls>
            <c:numFmt formatCode="#,##0_);[Red]\(#,##0\)" sourceLinked="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'BBD Monthly Production'!$N$4:$Y$4</c:f>
              <c:numCache>
                <c:formatCode>General</c:formatCode>
                <c:ptCount val="12"/>
                <c:pt idx="0">
                  <c:v>2022</c:v>
                </c:pt>
                <c:pt idx="1">
                  <c:v>2023</c:v>
                </c:pt>
                <c:pt idx="2">
                  <c:v>2024</c:v>
                </c:pt>
                <c:pt idx="3">
                  <c:v>2025</c:v>
                </c:pt>
                <c:pt idx="4">
                  <c:v>2026</c:v>
                </c:pt>
                <c:pt idx="5">
                  <c:v>2027</c:v>
                </c:pt>
                <c:pt idx="6">
                  <c:v>2028</c:v>
                </c:pt>
                <c:pt idx="7">
                  <c:v>2029</c:v>
                </c:pt>
                <c:pt idx="8">
                  <c:v>2030</c:v>
                </c:pt>
                <c:pt idx="9">
                  <c:v>2031</c:v>
                </c:pt>
                <c:pt idx="10">
                  <c:v>2032</c:v>
                </c:pt>
                <c:pt idx="11">
                  <c:v>2033</c:v>
                </c:pt>
              </c:numCache>
            </c:numRef>
          </c:cat>
          <c:val>
            <c:numRef>
              <c:f>'BBD Monthly Production'!$N$17:$Y$17</c:f>
              <c:numCache>
                <c:formatCode>0.0</c:formatCode>
                <c:ptCount val="12"/>
                <c:pt idx="0">
                  <c:v>97.530225943199994</c:v>
                </c:pt>
                <c:pt idx="1">
                  <c:v>121.5756134062096</c:v>
                </c:pt>
                <c:pt idx="2">
                  <c:v>231.7065169209705</c:v>
                </c:pt>
                <c:pt idx="3">
                  <c:v>234.87493253662251</c:v>
                </c:pt>
                <c:pt idx="4">
                  <c:v>112.13187228484125</c:v>
                </c:pt>
                <c:pt idx="5">
                  <c:v>111.19553030466675</c:v>
                </c:pt>
                <c:pt idx="6">
                  <c:v>113.46364903743309</c:v>
                </c:pt>
                <c:pt idx="7">
                  <c:v>113.4636490374331</c:v>
                </c:pt>
                <c:pt idx="8">
                  <c:v>119.76718509506827</c:v>
                </c:pt>
                <c:pt idx="9">
                  <c:v>121.86836378094668</c:v>
                </c:pt>
                <c:pt idx="10">
                  <c:v>123.96954246682508</c:v>
                </c:pt>
                <c:pt idx="11">
                  <c:v>126.0707211527035</c:v>
                </c:pt>
              </c:numCache>
            </c:numRef>
          </c:val>
          <c:extLst>
            <c:ext xmlns:c16="http://schemas.microsoft.com/office/drawing/2014/chart" uri="{C3380CC4-5D6E-409C-BE32-E72D297353CC}">
              <c16:uniqueId val="{00000000-45FD-47BC-8C3A-15750B9ADBD6}"/>
            </c:ext>
          </c:extLst>
        </c:ser>
        <c:ser>
          <c:idx val="1"/>
          <c:order val="1"/>
          <c:tx>
            <c:v>Renewable Diesel</c:v>
          </c:tx>
          <c:spPr>
            <a:solidFill>
              <a:srgbClr val="6F0791"/>
            </a:solidFill>
            <a:ln>
              <a:solidFill>
                <a:srgbClr val="323232"/>
              </a:solidFill>
            </a:ln>
            <a:effectLst/>
          </c:spPr>
          <c:invertIfNegative val="0"/>
          <c:dLbls>
            <c:dLbl>
              <c:idx val="0"/>
              <c:layout>
                <c:manualLayout>
                  <c:x val="0"/>
                  <c:y val="-4.48780527723497E-2"/>
                </c:manualLayout>
              </c:layout>
              <c:numFmt formatCode="#,##0_);[Red]\(#,##0\)" sourceLinked="0"/>
              <c:spPr>
                <a:solidFill>
                  <a:schemeClr val="bg1"/>
                </a:solidFill>
                <a:ln w="15875">
                  <a:solidFill>
                    <a:srgbClr val="8C8C8C"/>
                  </a:solidFill>
                </a:ln>
                <a:effectLst/>
              </c:spPr>
              <c:txPr>
                <a:bodyPr rot="-5400000" spcFirstLastPara="1" vertOverflow="ellipsis" wrap="square" lIns="38100" tIns="19050" rIns="38100" bIns="19050" anchor="ctr" anchorCtr="1">
                  <a:spAutoFit/>
                </a:bodyPr>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FD-47BC-8C3A-15750B9ADBD6}"/>
                </c:ext>
              </c:extLst>
            </c:dLbl>
            <c:dLbl>
              <c:idx val="1"/>
              <c:layout>
                <c:manualLayout>
                  <c:x val="1.3381818365734122E-3"/>
                  <c:y val="-5.1964061104825869E-2"/>
                </c:manualLayout>
              </c:layout>
              <c:numFmt formatCode="#,##0_);[Red]\(#,##0\)" sourceLinked="0"/>
              <c:spPr>
                <a:solidFill>
                  <a:schemeClr val="bg1"/>
                </a:solidFill>
                <a:ln w="15875">
                  <a:solidFill>
                    <a:srgbClr val="8C8C8C"/>
                  </a:solidFill>
                </a:ln>
                <a:effectLst/>
              </c:spPr>
              <c:txPr>
                <a:bodyPr rot="-5400000" spcFirstLastPara="1" vertOverflow="ellipsis" wrap="square" lIns="38100" tIns="19050" rIns="38100" bIns="19050" anchor="ctr" anchorCtr="1">
                  <a:spAutoFit/>
                </a:bodyPr>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FD-47BC-8C3A-15750B9ADBD6}"/>
                </c:ext>
              </c:extLst>
            </c:dLbl>
            <c:numFmt formatCode="#,##0_);[Red]\(#,##0\)" sourceLinked="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cap="flat" cmpd="sng" algn="ctr">
                      <a:solidFill>
                        <a:srgbClr val="323232"/>
                      </a:solidFill>
                      <a:round/>
                    </a:ln>
                    <a:effectLst/>
                  </c:spPr>
                </c15:leaderLines>
              </c:ext>
            </c:extLst>
          </c:dLbls>
          <c:cat>
            <c:numRef>
              <c:f>'BBD Monthly Production'!$N$4:$Y$4</c:f>
              <c:numCache>
                <c:formatCode>General</c:formatCode>
                <c:ptCount val="12"/>
                <c:pt idx="0">
                  <c:v>2022</c:v>
                </c:pt>
                <c:pt idx="1">
                  <c:v>2023</c:v>
                </c:pt>
                <c:pt idx="2">
                  <c:v>2024</c:v>
                </c:pt>
                <c:pt idx="3">
                  <c:v>2025</c:v>
                </c:pt>
                <c:pt idx="4">
                  <c:v>2026</c:v>
                </c:pt>
                <c:pt idx="5">
                  <c:v>2027</c:v>
                </c:pt>
                <c:pt idx="6">
                  <c:v>2028</c:v>
                </c:pt>
                <c:pt idx="7">
                  <c:v>2029</c:v>
                </c:pt>
                <c:pt idx="8">
                  <c:v>2030</c:v>
                </c:pt>
                <c:pt idx="9">
                  <c:v>2031</c:v>
                </c:pt>
                <c:pt idx="10">
                  <c:v>2032</c:v>
                </c:pt>
                <c:pt idx="11">
                  <c:v>2033</c:v>
                </c:pt>
              </c:numCache>
            </c:numRef>
          </c:cat>
          <c:val>
            <c:numRef>
              <c:f>'BBD Monthly Production'!$N$33:$Y$33</c:f>
              <c:numCache>
                <c:formatCode>0.0</c:formatCode>
                <c:ptCount val="12"/>
                <c:pt idx="0">
                  <c:v>0</c:v>
                </c:pt>
                <c:pt idx="1">
                  <c:v>20.100022372917358</c:v>
                </c:pt>
                <c:pt idx="2">
                  <c:v>64.246543397429519</c:v>
                </c:pt>
                <c:pt idx="3">
                  <c:v>65.125067463377604</c:v>
                </c:pt>
                <c:pt idx="4">
                  <c:v>257.86812771515878</c:v>
                </c:pt>
                <c:pt idx="5">
                  <c:v>373.80446969533318</c:v>
                </c:pt>
                <c:pt idx="6">
                  <c:v>426.53635096256681</c:v>
                </c:pt>
                <c:pt idx="7">
                  <c:v>426.53635096256687</c:v>
                </c:pt>
                <c:pt idx="8">
                  <c:v>450.23281490493167</c:v>
                </c:pt>
                <c:pt idx="9">
                  <c:v>458.13163621905329</c:v>
                </c:pt>
                <c:pt idx="10">
                  <c:v>466.03045753317491</c:v>
                </c:pt>
                <c:pt idx="11">
                  <c:v>473.92927884729659</c:v>
                </c:pt>
              </c:numCache>
            </c:numRef>
          </c:val>
          <c:extLst>
            <c:ext xmlns:c16="http://schemas.microsoft.com/office/drawing/2014/chart" uri="{C3380CC4-5D6E-409C-BE32-E72D297353CC}">
              <c16:uniqueId val="{00000003-45FD-47BC-8C3A-15750B9ADBD6}"/>
            </c:ext>
          </c:extLst>
        </c:ser>
        <c:dLbls>
          <c:showLegendKey val="0"/>
          <c:showVal val="0"/>
          <c:showCatName val="0"/>
          <c:showSerName val="0"/>
          <c:showPercent val="0"/>
          <c:showBubbleSize val="0"/>
        </c:dLbls>
        <c:gapWidth val="25"/>
        <c:overlap val="100"/>
        <c:axId val="924108871"/>
        <c:axId val="924102967"/>
      </c:barChart>
      <c:catAx>
        <c:axId val="924108871"/>
        <c:scaling>
          <c:orientation val="minMax"/>
        </c:scaling>
        <c:delete val="0"/>
        <c:axPos val="b"/>
        <c:numFmt formatCode="General" sourceLinked="1"/>
        <c:majorTickMark val="none"/>
        <c:minorTickMark val="none"/>
        <c:tickLblPos val="nextTo"/>
        <c:spPr>
          <a:noFill/>
          <a:ln w="22225" cap="flat" cmpd="sng" algn="ctr">
            <a:solidFill>
              <a:srgbClr val="8C8C8C"/>
            </a:solidFill>
            <a:round/>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924102967"/>
        <c:crosses val="autoZero"/>
        <c:auto val="1"/>
        <c:lblAlgn val="ctr"/>
        <c:lblOffset val="100"/>
        <c:noMultiLvlLbl val="0"/>
      </c:catAx>
      <c:valAx>
        <c:axId val="92410296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r>
                  <a:rPr lang="en-US" sz="1200"/>
                  <a:t>million gallons per year</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w="22225">
            <a:solidFill>
              <a:srgbClr val="8C8C8C"/>
            </a:solidFill>
          </a:ln>
          <a:effectLst/>
        </c:spPr>
        <c:txPr>
          <a:bodyPr rot="-60000000" spcFirstLastPara="1" vertOverflow="ellipsis" vert="horz" wrap="square" anchor="ctr" anchorCtr="1"/>
          <a:lstStyle/>
          <a:p>
            <a:pPr>
              <a:defRPr sz="14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crossAx val="924108871"/>
        <c:crosses val="autoZero"/>
        <c:crossBetween val="between"/>
      </c:valAx>
      <c:spPr>
        <a:noFill/>
        <a:ln w="22225">
          <a:solidFill>
            <a:srgbClr val="8C8C8C"/>
          </a:solidFill>
        </a:ln>
        <a:effectLst/>
      </c:spPr>
    </c:plotArea>
    <c:legend>
      <c:legendPos val="b"/>
      <c:layout>
        <c:manualLayout>
          <c:xMode val="edge"/>
          <c:yMode val="edge"/>
          <c:x val="0.10230368530009359"/>
          <c:y val="0.22648277514124121"/>
          <c:w val="0.3109706991915801"/>
          <c:h val="7.2002399943609505E-2"/>
        </c:manualLayout>
      </c:layout>
      <c:overlay val="0"/>
      <c:spPr>
        <a:solidFill>
          <a:schemeClr val="bg1"/>
        </a:solidFill>
        <a:ln w="15875">
          <a:solidFill>
            <a:srgbClr val="8C8C8C"/>
          </a:solidFill>
        </a:ln>
        <a:effectLst/>
      </c:spPr>
      <c:txPr>
        <a:bodyPr rot="0" spcFirstLastPara="1" vertOverflow="ellipsis" vert="horz" wrap="square" anchor="ctr" anchorCtr="1"/>
        <a:lstStyle/>
        <a:p>
          <a:pPr>
            <a:defRPr sz="1200" b="1" i="0" u="none" strike="noStrike" kern="1200" baseline="0">
              <a:solidFill>
                <a:srgbClr val="32323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400" b="1">
          <a:solidFill>
            <a:srgbClr val="323232"/>
          </a:solidFill>
          <a:latin typeface="Arial" panose="020B0604020202020204" pitchFamily="34" charset="0"/>
          <a:cs typeface="Arial" panose="020B0604020202020204" pitchFamily="34" charset="0"/>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FE2500-D048-46AC-B95F-37DA9B615CB2}">
  <sheetPr/>
  <sheetViews>
    <sheetView workbookViewId="0"/>
  </sheetViews>
  <pageMargins left="0.25" right="0.25" top="1.25" bottom="1.25" header="0.3" footer="0.3"/>
  <pageSetup orientation="landscape" horizontalDpi="300" verticalDpi="300"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A04FE5-5A17-4CE4-9FA3-D0658923CB2D}">
  <sheetPr/>
  <sheetViews>
    <sheetView workbookViewId="0"/>
  </sheetViews>
  <pageMargins left="0.25" right="0.25" top="1.25" bottom="1.25" header="0.3" footer="0.3"/>
  <pageSetup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4D145AF-767E-4370-8780-3A687C08F9CF}">
  <sheetPr/>
  <sheetViews>
    <sheetView workbookViewId="0"/>
  </sheetViews>
  <pageMargins left="0.25" right="0.25" top="1.25" bottom="1.2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12FAA26-D8AC-467D-8463-92BF647B4AE0}">
  <sheetPr/>
  <sheetViews>
    <sheetView zoomScale="85" workbookViewId="0"/>
  </sheetViews>
  <pageMargins left="0.25" right="0.25" top="1.25" bottom="1.25" header="0.3" footer="0.3"/>
  <pageSetup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723FAB-6CCC-41D4-B002-7ABDA0B98EC0}">
  <sheetPr/>
  <sheetViews>
    <sheetView workbookViewId="0"/>
  </sheetViews>
  <pageMargins left="0.25" right="0.25" top="1.25" bottom="1.25" header="0.3" footer="0.3"/>
  <pageSetup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B910BE4-F439-40B2-87D3-7E1B93716C80}">
  <sheetPr/>
  <sheetViews>
    <sheetView workbookViewId="0"/>
  </sheetViews>
  <pageMargins left="0.25" right="0.25" top="1.25" bottom="1.2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2515F859-B30F-7A15-19F8-D5AB0D44FD1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0.95377</cdr:y>
    </cdr:from>
    <cdr:to>
      <cdr:x>0.34206</cdr:x>
      <cdr:y>1</cdr:y>
    </cdr:to>
    <cdr:sp macro="" textlink="">
      <cdr:nvSpPr>
        <cdr:cNvPr id="2" name="TextBox 1">
          <a:extLst xmlns:a="http://schemas.openxmlformats.org/drawingml/2006/main">
            <a:ext uri="{FF2B5EF4-FFF2-40B4-BE49-F238E27FC236}">
              <a16:creationId xmlns:a16="http://schemas.microsoft.com/office/drawing/2014/main" id="{336354B4-5AD1-705D-C7A4-C84F8E96ABFC}"/>
            </a:ext>
          </a:extLst>
        </cdr:cNvPr>
        <cdr:cNvSpPr txBox="1"/>
      </cdr:nvSpPr>
      <cdr:spPr>
        <a:xfrm xmlns:a="http://schemas.openxmlformats.org/drawingml/2006/main">
          <a:off x="0" y="5126934"/>
          <a:ext cx="3246783" cy="2484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British Columbian Government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FB6CD275-CCCA-82EF-B602-BD7A6CAF17F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0.95756</cdr:y>
    </cdr:from>
    <cdr:to>
      <cdr:x>0.36156</cdr:x>
      <cdr:y>1</cdr:y>
    </cdr:to>
    <cdr:sp macro="" textlink="">
      <cdr:nvSpPr>
        <cdr:cNvPr id="2" name="TextBox 1">
          <a:extLst xmlns:a="http://schemas.openxmlformats.org/drawingml/2006/main">
            <a:ext uri="{FF2B5EF4-FFF2-40B4-BE49-F238E27FC236}">
              <a16:creationId xmlns:a16="http://schemas.microsoft.com/office/drawing/2014/main" id="{9CF281F9-89AA-EABA-745A-59610DEFB7F8}"/>
            </a:ext>
          </a:extLst>
        </cdr:cNvPr>
        <cdr:cNvSpPr txBox="1"/>
      </cdr:nvSpPr>
      <cdr:spPr>
        <a:xfrm xmlns:a="http://schemas.openxmlformats.org/drawingml/2006/main">
          <a:off x="0" y="5150069"/>
          <a:ext cx="3431956" cy="2282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rgbClr val="323232"/>
              </a:solidFill>
              <a:latin typeface="Arial" panose="020B0604020202020204" pitchFamily="34" charset="0"/>
              <a:cs typeface="Arial" panose="020B0604020202020204" pitchFamily="34" charset="0"/>
            </a:rPr>
            <a:t>Source: Statistics Canada, Fastmarkets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47A304AF-D38C-F127-3299-F2F7C866FA3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0.95573</cdr:y>
    </cdr:from>
    <cdr:to>
      <cdr:x>0.34775</cdr:x>
      <cdr:y>1</cdr:y>
    </cdr:to>
    <cdr:sp macro="" textlink="">
      <cdr:nvSpPr>
        <cdr:cNvPr id="2" name="TextBox 1">
          <a:extLst xmlns:a="http://schemas.openxmlformats.org/drawingml/2006/main">
            <a:ext uri="{FF2B5EF4-FFF2-40B4-BE49-F238E27FC236}">
              <a16:creationId xmlns:a16="http://schemas.microsoft.com/office/drawing/2014/main" id="{A5798BB4-FC54-9977-FE2D-A380FCF588E5}"/>
            </a:ext>
          </a:extLst>
        </cdr:cNvPr>
        <cdr:cNvSpPr txBox="1"/>
      </cdr:nvSpPr>
      <cdr:spPr>
        <a:xfrm xmlns:a="http://schemas.openxmlformats.org/drawingml/2006/main">
          <a:off x="0" y="5140216"/>
          <a:ext cx="330090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rgbClr val="323232"/>
              </a:solidFill>
              <a:latin typeface="Arial" panose="020B0604020202020204" pitchFamily="34" charset="0"/>
              <a:cs typeface="Arial" panose="020B0604020202020204" pitchFamily="34" charset="0"/>
            </a:rPr>
            <a:t>Source: Statistics Canada, Fastmarkets</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502588" cy="5378824"/>
    <xdr:graphicFrame macro="">
      <xdr:nvGraphicFramePr>
        <xdr:cNvPr id="2" name="Chart 1">
          <a:extLst>
            <a:ext uri="{FF2B5EF4-FFF2-40B4-BE49-F238E27FC236}">
              <a16:creationId xmlns:a16="http://schemas.microsoft.com/office/drawing/2014/main" id="{C139A77E-6102-48CB-19F2-6F2102D93E1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0.02358</cdr:x>
      <cdr:y>0.83</cdr:y>
    </cdr:from>
    <cdr:to>
      <cdr:x>0.76769</cdr:x>
      <cdr:y>1</cdr:y>
    </cdr:to>
    <cdr:sp macro="" textlink="">
      <cdr:nvSpPr>
        <cdr:cNvPr id="2" name="TextBox 1">
          <a:extLst xmlns:a="http://schemas.openxmlformats.org/drawingml/2006/main">
            <a:ext uri="{FF2B5EF4-FFF2-40B4-BE49-F238E27FC236}">
              <a16:creationId xmlns:a16="http://schemas.microsoft.com/office/drawing/2014/main" id="{DAF8AD83-CC58-4424-91FB-D9B8A15633AB}"/>
            </a:ext>
          </a:extLst>
        </cdr:cNvPr>
        <cdr:cNvSpPr txBox="1"/>
      </cdr:nvSpPr>
      <cdr:spPr>
        <a:xfrm xmlns:a="http://schemas.openxmlformats.org/drawingml/2006/main">
          <a:off x="224117" y="4464424"/>
          <a:ext cx="7070911"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0.95625</cdr:y>
    </cdr:from>
    <cdr:to>
      <cdr:x>0.35024</cdr:x>
      <cdr:y>1</cdr:y>
    </cdr:to>
    <cdr:sp macro="" textlink="">
      <cdr:nvSpPr>
        <cdr:cNvPr id="3" name="TextBox 2">
          <a:extLst xmlns:a="http://schemas.openxmlformats.org/drawingml/2006/main">
            <a:ext uri="{FF2B5EF4-FFF2-40B4-BE49-F238E27FC236}">
              <a16:creationId xmlns:a16="http://schemas.microsoft.com/office/drawing/2014/main" id="{3CF2CA5A-F293-EB08-54DA-792C6A756DA8}"/>
            </a:ext>
          </a:extLst>
        </cdr:cNvPr>
        <cdr:cNvSpPr txBox="1"/>
      </cdr:nvSpPr>
      <cdr:spPr>
        <a:xfrm xmlns:a="http://schemas.openxmlformats.org/drawingml/2006/main">
          <a:off x="0" y="5143501"/>
          <a:ext cx="3328147" cy="2353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Statistics Canada, Fastmarkets</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2E58D6BD-F4B9-152B-9AB6-6EF809347A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0.95603</cdr:y>
    </cdr:from>
    <cdr:to>
      <cdr:x>0.34083</cdr:x>
      <cdr:y>1</cdr:y>
    </cdr:to>
    <cdr:sp macro="" textlink="">
      <cdr:nvSpPr>
        <cdr:cNvPr id="2" name="TextBox 1">
          <a:extLst xmlns:a="http://schemas.openxmlformats.org/drawingml/2006/main">
            <a:ext uri="{FF2B5EF4-FFF2-40B4-BE49-F238E27FC236}">
              <a16:creationId xmlns:a16="http://schemas.microsoft.com/office/drawing/2014/main" id="{5BB81665-35EB-1A91-A0E4-EB4578144719}"/>
            </a:ext>
          </a:extLst>
        </cdr:cNvPr>
        <cdr:cNvSpPr txBox="1"/>
      </cdr:nvSpPr>
      <cdr:spPr>
        <a:xfrm xmlns:a="http://schemas.openxmlformats.org/drawingml/2006/main">
          <a:off x="0" y="5141858"/>
          <a:ext cx="3235215" cy="2364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rgbClr val="323232"/>
              </a:solidFill>
              <a:latin typeface="Arial" panose="020B0604020202020204" pitchFamily="34" charset="0"/>
              <a:cs typeface="Arial" panose="020B0604020202020204" pitchFamily="34" charset="0"/>
            </a:rPr>
            <a:t>Source: Statistics</a:t>
          </a:r>
          <a:r>
            <a:rPr lang="en-US" sz="1200" b="1" baseline="0">
              <a:solidFill>
                <a:srgbClr val="323232"/>
              </a:solidFill>
              <a:latin typeface="Arial" panose="020B0604020202020204" pitchFamily="34" charset="0"/>
              <a:cs typeface="Arial" panose="020B0604020202020204" pitchFamily="34" charset="0"/>
            </a:rPr>
            <a:t> Canada, Fastmarkets</a:t>
          </a:r>
          <a:endParaRPr lang="en-US" sz="1200" b="1">
            <a:solidFill>
              <a:srgbClr val="323232"/>
            </a:solidFill>
            <a:latin typeface="Arial" panose="020B0604020202020204" pitchFamily="34" charset="0"/>
            <a:cs typeface="Arial" panose="020B0604020202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7C83C0CB-B8D8-5DA6-D49C-227FEFEBC10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FM%20Files\HOBO\Biofuel%20Model\canadabiofuel%20-%20HOBO.xlsx" TargetMode="External"/><Relationship Id="rId1" Type="http://schemas.openxmlformats.org/officeDocument/2006/relationships/externalLinkPath" Target="/Users/torem/Dropbox/FM%20Files/HOBO/Biofuel%20Model/canadabiofuel%20-%20HOB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Dropbox\FM%20Files\HOBO\Biofuel%20Model\macrodata%20-%20HOBO.xlsx" TargetMode="External"/><Relationship Id="rId1" Type="http://schemas.openxmlformats.org/officeDocument/2006/relationships/externalLinkPath" Target="/Users/torem/Dropbox/FM%20Files/HOBO/Biofuel%20Model/macrodata%20-%20HO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orem\Dropbox\FM%20Files\HOBO\Biofuel%20Model\wldrapbal%20-%20HOBO.xlsx" TargetMode="External"/><Relationship Id="rId1" Type="http://schemas.openxmlformats.org/officeDocument/2006/relationships/externalLinkPath" Target="/Users/torem/Dropbox/FM%20Files/HOBO/Biofuel%20Model/wldrapbal%20-%20HOBO.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torem\Dropbox\FM%20Files\HOBO\Biofuel%20Model\RD%20Feedstock%20Build%20Up%20-%20HOBO.xlsx" TargetMode="External"/><Relationship Id="rId1" Type="http://schemas.openxmlformats.org/officeDocument/2006/relationships/externalLinkPath" Target="/Users/torem/Dropbox/FM%20Files/HOBO/Biofuel%20Model/RD%20Feedstock%20Build%20Up%20-%20HOBO.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torem\Dropbox\FM%20Files\HOBO\Canada%20Diesel%20Sales%20and%20Provincial%20Level%20Mandates%20-%20HOBO.xlsx" TargetMode="External"/><Relationship Id="rId1" Type="http://schemas.openxmlformats.org/officeDocument/2006/relationships/externalLinkPath" Target="/Users/torem/Dropbox/FM%20Files/HOBO/Canada%20Diesel%20Sales%20and%20Provincial%20Level%20Mandates%20-%20HOBO.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SFP.IDIR.BCGOV\U161\LGRUNERT$\Profile\Desktop\Copy%20of%20D28529316F%20%20Credit%20Transfer%20Tracker(2).xlsx" TargetMode="External"/><Relationship Id="rId1" Type="http://schemas.openxmlformats.org/officeDocument/2006/relationships/externalLinkPath" Target="file:///\\SFP.IDIR.BCGOV\U161\LGRUNERT$\Profile\Desktop\Copy%20of%20D28529316F%20%20Credit%20Transfer%20Tracker(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urce Data"/>
      <sheetName val="Data"/>
      <sheetName val="Mandates"/>
      <sheetName val="Mandate Table"/>
      <sheetName val="BC Credit Value-Volume Chart"/>
      <sheetName val="Credit Data"/>
      <sheetName val="Total Biofuels"/>
      <sheetName val="Fuel Ethanol"/>
      <sheetName val="Ethanol Plant List"/>
      <sheetName val="Ethanol Feedstock Use"/>
      <sheetName val="Ethanol Conversion"/>
      <sheetName val="Renewable Fuel Ex Ethanol"/>
      <sheetName val="Total Feedstock"/>
      <sheetName val="Total Ethanol Feedstock"/>
      <sheetName val="BBD Yield Chart"/>
      <sheetName val="Total RD Feedstock"/>
      <sheetName val="VO RD Feedstock Chart"/>
      <sheetName val="VO RD Feedstock"/>
      <sheetName val="Other RD Feedstock"/>
      <sheetName val="Monthly Prod v Cap Utilization"/>
      <sheetName val="BD Feedstock Mix Chart"/>
      <sheetName val="BD Plant List"/>
      <sheetName val="RD Plant List"/>
      <sheetName val="BD Feedstock"/>
      <sheetName val="RD Feedstock"/>
      <sheetName val="BBD Stacked Annual Production"/>
      <sheetName val="BBD Monthly Production"/>
      <sheetName val="Annual Diesel Sales"/>
      <sheetName val="Bob List #1"/>
      <sheetName val="Bob List #2"/>
      <sheetName val="Bob List #3"/>
      <sheetName val="Ethanol"/>
    </sheetNames>
    <sheetDataSet>
      <sheetData sheetId="0"/>
      <sheetData sheetId="1"/>
      <sheetData sheetId="2"/>
      <sheetData sheetId="3"/>
      <sheetData sheetId="5">
        <row r="5">
          <cell r="T5">
            <v>14354</v>
          </cell>
          <cell r="X5">
            <v>42339</v>
          </cell>
          <cell r="Y5">
            <v>2439430</v>
          </cell>
        </row>
        <row r="6">
          <cell r="T6">
            <v>57000</v>
          </cell>
          <cell r="X6">
            <v>42430</v>
          </cell>
          <cell r="Y6">
            <v>9315000</v>
          </cell>
        </row>
        <row r="7">
          <cell r="T7">
            <v>18705</v>
          </cell>
          <cell r="X7">
            <v>42522</v>
          </cell>
          <cell r="Y7">
            <v>3199849.9999999995</v>
          </cell>
        </row>
        <row r="8">
          <cell r="T8">
            <v>123000</v>
          </cell>
          <cell r="X8">
            <v>42614</v>
          </cell>
          <cell r="Y8">
            <v>21450000</v>
          </cell>
        </row>
        <row r="9">
          <cell r="T9">
            <v>0</v>
          </cell>
          <cell r="X9">
            <v>42705</v>
          </cell>
          <cell r="Y9">
            <v>0</v>
          </cell>
        </row>
        <row r="10">
          <cell r="T10">
            <v>382</v>
          </cell>
          <cell r="X10">
            <v>42795</v>
          </cell>
          <cell r="Y10">
            <v>22920</v>
          </cell>
        </row>
        <row r="11">
          <cell r="T11">
            <v>3000</v>
          </cell>
          <cell r="X11">
            <v>42887</v>
          </cell>
          <cell r="Y11">
            <v>300000</v>
          </cell>
        </row>
        <row r="12">
          <cell r="T12">
            <v>173059</v>
          </cell>
          <cell r="X12">
            <v>42979</v>
          </cell>
          <cell r="Y12">
            <v>28847676</v>
          </cell>
        </row>
        <row r="13">
          <cell r="T13">
            <v>63723</v>
          </cell>
          <cell r="X13">
            <v>43070</v>
          </cell>
          <cell r="Y13">
            <v>10289425.74</v>
          </cell>
        </row>
        <row r="14">
          <cell r="T14">
            <v>71092</v>
          </cell>
          <cell r="X14">
            <v>43160</v>
          </cell>
          <cell r="Y14">
            <v>11320250.300000001</v>
          </cell>
        </row>
        <row r="15">
          <cell r="T15">
            <v>2741</v>
          </cell>
          <cell r="X15">
            <v>43252</v>
          </cell>
          <cell r="Y15">
            <v>466804</v>
          </cell>
        </row>
        <row r="16">
          <cell r="T16">
            <v>149571</v>
          </cell>
          <cell r="X16">
            <v>43344</v>
          </cell>
          <cell r="Y16">
            <v>29908891.390000001</v>
          </cell>
        </row>
        <row r="17">
          <cell r="T17">
            <v>211817</v>
          </cell>
          <cell r="X17">
            <v>43435</v>
          </cell>
          <cell r="Y17">
            <v>42498264.600000001</v>
          </cell>
        </row>
        <row r="18">
          <cell r="T18">
            <v>48475</v>
          </cell>
          <cell r="X18">
            <v>43525</v>
          </cell>
          <cell r="Y18">
            <v>8650870</v>
          </cell>
        </row>
        <row r="19">
          <cell r="T19">
            <v>9412</v>
          </cell>
          <cell r="X19">
            <v>43617</v>
          </cell>
          <cell r="Y19">
            <v>1762400</v>
          </cell>
        </row>
        <row r="20">
          <cell r="T20">
            <v>5500</v>
          </cell>
          <cell r="X20">
            <v>43709</v>
          </cell>
          <cell r="Y20">
            <v>980000</v>
          </cell>
        </row>
        <row r="21">
          <cell r="T21">
            <v>200125</v>
          </cell>
          <cell r="X21">
            <v>43800</v>
          </cell>
          <cell r="Y21">
            <v>59579013.530000001</v>
          </cell>
        </row>
        <row r="22">
          <cell r="T22">
            <v>30233</v>
          </cell>
          <cell r="X22">
            <v>43891</v>
          </cell>
          <cell r="Y22">
            <v>7119555</v>
          </cell>
        </row>
        <row r="23">
          <cell r="T23">
            <v>41630</v>
          </cell>
          <cell r="X23">
            <v>43983</v>
          </cell>
          <cell r="Y23">
            <v>8585551.6999999993</v>
          </cell>
        </row>
        <row r="24">
          <cell r="T24">
            <v>6762</v>
          </cell>
          <cell r="X24">
            <v>44075</v>
          </cell>
          <cell r="Y24">
            <v>2282205</v>
          </cell>
        </row>
        <row r="25">
          <cell r="T25">
            <v>24265</v>
          </cell>
          <cell r="X25">
            <v>44166</v>
          </cell>
          <cell r="Y25">
            <v>7780558.5700000003</v>
          </cell>
        </row>
        <row r="26">
          <cell r="T26">
            <v>214263</v>
          </cell>
          <cell r="X26">
            <v>44256</v>
          </cell>
          <cell r="Y26">
            <v>88003213.920000017</v>
          </cell>
        </row>
        <row r="27">
          <cell r="T27">
            <v>44710</v>
          </cell>
          <cell r="X27">
            <v>44348</v>
          </cell>
          <cell r="Y27">
            <v>18826760</v>
          </cell>
        </row>
        <row r="28">
          <cell r="T28">
            <v>142529</v>
          </cell>
          <cell r="X28">
            <v>44440</v>
          </cell>
          <cell r="Y28">
            <v>67319561</v>
          </cell>
        </row>
        <row r="29">
          <cell r="T29">
            <v>150404</v>
          </cell>
          <cell r="X29">
            <v>44531</v>
          </cell>
          <cell r="Y29">
            <v>72682849.200000003</v>
          </cell>
        </row>
        <row r="30">
          <cell r="T30">
            <v>247755</v>
          </cell>
          <cell r="X30">
            <v>44621</v>
          </cell>
          <cell r="Y30">
            <v>115780821.48</v>
          </cell>
        </row>
        <row r="31">
          <cell r="T31">
            <v>28060</v>
          </cell>
          <cell r="X31">
            <v>44713</v>
          </cell>
          <cell r="Y31">
            <v>11296685</v>
          </cell>
        </row>
        <row r="32">
          <cell r="T32">
            <v>364882</v>
          </cell>
          <cell r="X32">
            <v>44805</v>
          </cell>
          <cell r="Y32">
            <v>163455120</v>
          </cell>
        </row>
        <row r="33">
          <cell r="T33">
            <v>307480</v>
          </cell>
          <cell r="X33">
            <v>44896</v>
          </cell>
          <cell r="Y33">
            <v>136500949.87</v>
          </cell>
        </row>
        <row r="34">
          <cell r="T34">
            <v>363881</v>
          </cell>
          <cell r="X34">
            <v>44986</v>
          </cell>
          <cell r="Y34">
            <v>163456130.16999999</v>
          </cell>
        </row>
        <row r="35">
          <cell r="T35">
            <v>222798</v>
          </cell>
          <cell r="X35">
            <v>45078</v>
          </cell>
          <cell r="Y35">
            <v>104667719.75</v>
          </cell>
        </row>
        <row r="36">
          <cell r="T36">
            <v>260066</v>
          </cell>
          <cell r="X36">
            <v>45170</v>
          </cell>
          <cell r="Y36">
            <v>126398154.82999998</v>
          </cell>
        </row>
      </sheetData>
      <sheetData sheetId="6"/>
      <sheetData sheetId="7"/>
      <sheetData sheetId="8"/>
      <sheetData sheetId="9"/>
      <sheetData sheetId="10"/>
      <sheetData sheetId="11"/>
      <sheetData sheetId="12"/>
      <sheetData sheetId="13"/>
      <sheetData sheetId="15">
        <row r="95">
          <cell r="D95">
            <v>2022</v>
          </cell>
          <cell r="E95">
            <v>2023</v>
          </cell>
        </row>
        <row r="96">
          <cell r="D96">
            <v>7.832643146085406</v>
          </cell>
          <cell r="E96">
            <v>8.1947459833150802</v>
          </cell>
          <cell r="AI96" t="str">
            <v>Jan</v>
          </cell>
          <cell r="AJ96">
            <v>8.1389479279939145</v>
          </cell>
          <cell r="AK96">
            <v>7.832643146085406</v>
          </cell>
          <cell r="AL96">
            <v>8.6328037555691957</v>
          </cell>
        </row>
        <row r="97">
          <cell r="D97">
            <v>8.2799387847071078</v>
          </cell>
          <cell r="E97">
            <v>8.1959387704782536</v>
          </cell>
          <cell r="AI97" t="str">
            <v>Feb</v>
          </cell>
          <cell r="AJ97">
            <v>8.2196499107079912</v>
          </cell>
          <cell r="AK97">
            <v>8.0640975607506107</v>
          </cell>
          <cell r="AL97">
            <v>8.3149133866662517</v>
          </cell>
        </row>
        <row r="98">
          <cell r="D98">
            <v>7.975072693267558</v>
          </cell>
          <cell r="E98">
            <v>7.9882582861722442</v>
          </cell>
          <cell r="AI98" t="str">
            <v>Mar</v>
          </cell>
          <cell r="AJ98">
            <v>8.0185142427026292</v>
          </cell>
          <cell r="AK98">
            <v>7.9223346108205543</v>
          </cell>
          <cell r="AL98">
            <v>8.1581354240197737</v>
          </cell>
        </row>
        <row r="99">
          <cell r="D99">
            <v>8.1283210628604543</v>
          </cell>
          <cell r="E99">
            <v>7.9903389169687973</v>
          </cell>
          <cell r="AI99" t="str">
            <v>Apr</v>
          </cell>
          <cell r="AJ99">
            <v>8.1684373475527519</v>
          </cell>
          <cell r="AK99">
            <v>8.0233081676822167</v>
          </cell>
          <cell r="AL99">
            <v>8.3536828121155864</v>
          </cell>
        </row>
        <row r="100">
          <cell r="D100">
            <v>8.0786203871905204</v>
          </cell>
          <cell r="E100">
            <v>8.1669869629028504</v>
          </cell>
          <cell r="AI100" t="str">
            <v>May</v>
          </cell>
          <cell r="AJ100">
            <v>8.1116467645280821</v>
          </cell>
          <cell r="AK100">
            <v>8.0786203871905204</v>
          </cell>
          <cell r="AL100">
            <v>8.1360333083836718</v>
          </cell>
        </row>
        <row r="101">
          <cell r="D101">
            <v>8.243318912504451</v>
          </cell>
          <cell r="E101">
            <v>8.2211536269048899</v>
          </cell>
          <cell r="AI101" t="str">
            <v>Jun</v>
          </cell>
          <cell r="AJ101">
            <v>8.2040393201503949</v>
          </cell>
          <cell r="AK101">
            <v>8.0609493135791705</v>
          </cell>
          <cell r="AL101">
            <v>8.307849734367565</v>
          </cell>
        </row>
        <row r="102">
          <cell r="D102">
            <v>8.3053232839427658</v>
          </cell>
          <cell r="E102">
            <v>7.9262681543470652</v>
          </cell>
          <cell r="AI102" t="str">
            <v>Jul</v>
          </cell>
          <cell r="AJ102">
            <v>8.4251883696205674</v>
          </cell>
          <cell r="AK102">
            <v>8.1885636289135437</v>
          </cell>
          <cell r="AL102">
            <v>8.7816781960053927</v>
          </cell>
        </row>
        <row r="103">
          <cell r="D103">
            <v>7.5621800698823023</v>
          </cell>
          <cell r="E103">
            <v>7.9886892375306635</v>
          </cell>
          <cell r="AI103" t="str">
            <v>Aug</v>
          </cell>
          <cell r="AJ103">
            <v>7.8539542058194511</v>
          </cell>
          <cell r="AK103">
            <v>7.5621800698823023</v>
          </cell>
          <cell r="AL103">
            <v>8.0267849123244961</v>
          </cell>
        </row>
        <row r="104">
          <cell r="D104">
            <v>8.4742263446428883</v>
          </cell>
          <cell r="E104">
            <v>7.9921791962701461</v>
          </cell>
          <cell r="AI104" t="str">
            <v>Sep</v>
          </cell>
          <cell r="AJ104">
            <v>8.4493551440298535</v>
          </cell>
          <cell r="AK104">
            <v>8.0817516464487635</v>
          </cell>
          <cell r="AL104">
            <v>8.7920874409979106</v>
          </cell>
        </row>
        <row r="105">
          <cell r="D105">
            <v>8.069033794499898</v>
          </cell>
          <cell r="E105">
            <v>8.3445810707095838</v>
          </cell>
          <cell r="AI105" t="str">
            <v>Oct</v>
          </cell>
          <cell r="AJ105">
            <v>8.2188100261811226</v>
          </cell>
          <cell r="AK105">
            <v>8.069033794499898</v>
          </cell>
          <cell r="AL105">
            <v>8.4431208568194958</v>
          </cell>
        </row>
        <row r="106">
          <cell r="D106">
            <v>8.029161449340565</v>
          </cell>
          <cell r="E106">
            <v>7.7274195842426128</v>
          </cell>
          <cell r="AI106" t="str">
            <v>Nov</v>
          </cell>
          <cell r="AJ106">
            <v>8.0334544542314408</v>
          </cell>
          <cell r="AK106">
            <v>7.9515428659289453</v>
          </cell>
          <cell r="AL106">
            <v>8.1196590474248147</v>
          </cell>
        </row>
        <row r="107">
          <cell r="D107">
            <v>8.1804516265281908</v>
          </cell>
          <cell r="E107">
            <v>8.3609757142596948</v>
          </cell>
          <cell r="AI107" t="str">
            <v>Dec</v>
          </cell>
          <cell r="AJ107">
            <v>8.2421968256859675</v>
          </cell>
          <cell r="AK107">
            <v>8.0787699882190989</v>
          </cell>
          <cell r="AL107">
            <v>8.4673688623106145</v>
          </cell>
        </row>
      </sheetData>
      <sheetData sheetId="17">
        <row r="29">
          <cell r="B29">
            <v>2020</v>
          </cell>
          <cell r="C29">
            <v>2021</v>
          </cell>
          <cell r="D29">
            <v>2022</v>
          </cell>
          <cell r="E29">
            <v>2023</v>
          </cell>
          <cell r="AI29" t="str">
            <v>3-Yr Avg.</v>
          </cell>
        </row>
        <row r="30">
          <cell r="B30">
            <v>27402</v>
          </cell>
          <cell r="C30">
            <v>22686</v>
          </cell>
          <cell r="D30">
            <v>16557</v>
          </cell>
          <cell r="E30">
            <v>32092</v>
          </cell>
          <cell r="AH30" t="str">
            <v>Jan</v>
          </cell>
          <cell r="AI30">
            <v>22215</v>
          </cell>
        </row>
        <row r="31">
          <cell r="B31">
            <v>26020</v>
          </cell>
          <cell r="C31">
            <v>24930</v>
          </cell>
          <cell r="D31">
            <v>18037</v>
          </cell>
          <cell r="E31">
            <v>32696</v>
          </cell>
          <cell r="AH31" t="str">
            <v>Feb</v>
          </cell>
          <cell r="AI31">
            <v>22995.666666666668</v>
          </cell>
        </row>
        <row r="32">
          <cell r="B32">
            <v>20715</v>
          </cell>
          <cell r="C32">
            <v>28507</v>
          </cell>
          <cell r="D32">
            <v>23614</v>
          </cell>
          <cell r="E32">
            <v>36640</v>
          </cell>
          <cell r="AH32" t="str">
            <v>Mar</v>
          </cell>
          <cell r="AI32">
            <v>24278.666666666668</v>
          </cell>
        </row>
        <row r="33">
          <cell r="B33">
            <v>27255</v>
          </cell>
          <cell r="C33">
            <v>26132</v>
          </cell>
          <cell r="D33">
            <v>22418</v>
          </cell>
          <cell r="E33">
            <v>28823</v>
          </cell>
          <cell r="AH33" t="str">
            <v>Apr</v>
          </cell>
          <cell r="AI33">
            <v>25268.333333333332</v>
          </cell>
        </row>
        <row r="34">
          <cell r="B34">
            <v>30777</v>
          </cell>
          <cell r="C34">
            <v>20622</v>
          </cell>
          <cell r="D34">
            <v>23515</v>
          </cell>
          <cell r="E34">
            <v>36199</v>
          </cell>
          <cell r="AH34" t="str">
            <v>May</v>
          </cell>
          <cell r="AI34">
            <v>24971.333333333332</v>
          </cell>
        </row>
        <row r="35">
          <cell r="B35">
            <v>28136</v>
          </cell>
          <cell r="C35">
            <v>31139</v>
          </cell>
          <cell r="D35">
            <v>24636</v>
          </cell>
          <cell r="E35">
            <v>40330</v>
          </cell>
          <cell r="AH35" t="str">
            <v>Jun</v>
          </cell>
          <cell r="AI35">
            <v>27970.333333333332</v>
          </cell>
        </row>
        <row r="36">
          <cell r="B36">
            <v>35169</v>
          </cell>
          <cell r="C36">
            <v>29199</v>
          </cell>
          <cell r="D36">
            <v>23772</v>
          </cell>
          <cell r="E36">
            <v>37418</v>
          </cell>
          <cell r="AH36" t="str">
            <v>Jul</v>
          </cell>
          <cell r="AI36">
            <v>29380</v>
          </cell>
        </row>
        <row r="37">
          <cell r="B37">
            <v>23555</v>
          </cell>
          <cell r="C37">
            <v>29104</v>
          </cell>
          <cell r="D37">
            <v>22812</v>
          </cell>
          <cell r="E37">
            <v>33076</v>
          </cell>
          <cell r="AH37" t="str">
            <v>Aug</v>
          </cell>
          <cell r="AI37">
            <v>25157</v>
          </cell>
        </row>
        <row r="38">
          <cell r="B38">
            <v>26715</v>
          </cell>
          <cell r="C38">
            <v>30370</v>
          </cell>
          <cell r="D38">
            <v>32909</v>
          </cell>
          <cell r="E38">
            <v>30719</v>
          </cell>
          <cell r="AH38" t="str">
            <v>Sep</v>
          </cell>
          <cell r="AI38">
            <v>29998</v>
          </cell>
        </row>
        <row r="39">
          <cell r="B39">
            <v>26569</v>
          </cell>
          <cell r="C39">
            <v>28965</v>
          </cell>
          <cell r="D39">
            <v>35736</v>
          </cell>
          <cell r="E39">
            <v>35754</v>
          </cell>
          <cell r="AH39" t="str">
            <v>Oct</v>
          </cell>
          <cell r="AI39">
            <v>30423.333333333332</v>
          </cell>
        </row>
        <row r="40">
          <cell r="B40">
            <v>30094</v>
          </cell>
          <cell r="C40">
            <v>31711</v>
          </cell>
          <cell r="D40">
            <v>37856</v>
          </cell>
          <cell r="E40">
            <v>43658</v>
          </cell>
          <cell r="AH40" t="str">
            <v>Nov</v>
          </cell>
          <cell r="AI40">
            <v>33220.333333333336</v>
          </cell>
        </row>
        <row r="41">
          <cell r="B41">
            <v>26962</v>
          </cell>
          <cell r="C41">
            <v>34853</v>
          </cell>
          <cell r="D41">
            <v>33125</v>
          </cell>
          <cell r="E41">
            <v>41402</v>
          </cell>
          <cell r="AH41" t="str">
            <v>Dec</v>
          </cell>
          <cell r="AI41">
            <v>31646.666666666668</v>
          </cell>
        </row>
      </sheetData>
      <sheetData sheetId="18"/>
      <sheetData sheetId="21">
        <row r="2">
          <cell r="AX2" t="str">
            <v>Tallow</v>
          </cell>
          <cell r="AY2" t="str">
            <v>Used Cooking Oil</v>
          </cell>
          <cell r="AZ2" t="str">
            <v>Corn Oil</v>
          </cell>
          <cell r="BA2" t="str">
            <v>Canola Oil</v>
          </cell>
          <cell r="BB2" t="str">
            <v>Soybean Oil</v>
          </cell>
        </row>
        <row r="138">
          <cell r="A138">
            <v>43831</v>
          </cell>
          <cell r="V138">
            <v>0.71986627672255299</v>
          </cell>
          <cell r="W138">
            <v>10.200477297299999</v>
          </cell>
          <cell r="AX138">
            <v>5316.2043982455825</v>
          </cell>
          <cell r="AY138">
            <v>3647.4708777788569</v>
          </cell>
          <cell r="AZ138">
            <v>267.32472397556012</v>
          </cell>
          <cell r="BA138">
            <v>27439.979724378267</v>
          </cell>
          <cell r="BB138">
            <v>544.02027562173316</v>
          </cell>
        </row>
        <row r="139">
          <cell r="A139">
            <v>43862</v>
          </cell>
          <cell r="V139">
            <v>0.67089083557708007</v>
          </cell>
          <cell r="W139">
            <v>9.5064971905999993</v>
          </cell>
          <cell r="AX139">
            <v>4666.5804613783939</v>
          </cell>
          <cell r="AY139">
            <v>3201.7610792592436</v>
          </cell>
          <cell r="AZ139">
            <v>234.65845936236292</v>
          </cell>
          <cell r="BA139">
            <v>25544.55802600694</v>
          </cell>
          <cell r="BB139">
            <v>506.44197399305995</v>
          </cell>
        </row>
        <row r="140">
          <cell r="A140">
            <v>43891</v>
          </cell>
          <cell r="V140">
            <v>0.60532302952126416</v>
          </cell>
          <cell r="W140">
            <v>8.5774039148999996</v>
          </cell>
          <cell r="AX140">
            <v>6021.6913864213857</v>
          </cell>
          <cell r="AY140">
            <v>4131.5085579087563</v>
          </cell>
          <cell r="AZ140">
            <v>302.8000556698571</v>
          </cell>
          <cell r="BA140">
            <v>20490.753870080498</v>
          </cell>
          <cell r="BB140">
            <v>406.24612991950198</v>
          </cell>
        </row>
        <row r="141">
          <cell r="A141">
            <v>43922</v>
          </cell>
          <cell r="V141">
            <v>0.65748644190231986</v>
          </cell>
          <cell r="W141">
            <v>9.3165574506999995</v>
          </cell>
          <cell r="AX141">
            <v>4352.1348323628936</v>
          </cell>
          <cell r="AY141">
            <v>2986.0185704013456</v>
          </cell>
          <cell r="AZ141">
            <v>218.84659723576078</v>
          </cell>
          <cell r="BA141">
            <v>26919.302579093644</v>
          </cell>
          <cell r="BB141">
            <v>533.69742090635555</v>
          </cell>
        </row>
        <row r="142">
          <cell r="A142">
            <v>43952</v>
          </cell>
          <cell r="V142">
            <v>0.75426280847489313</v>
          </cell>
          <cell r="W142">
            <v>10.687874821799999</v>
          </cell>
          <cell r="AX142">
            <v>4487.4731525435573</v>
          </cell>
          <cell r="AY142">
            <v>3078.874778426265</v>
          </cell>
          <cell r="AZ142">
            <v>225.6520690301777</v>
          </cell>
          <cell r="BA142">
            <v>29775.672681191769</v>
          </cell>
          <cell r="BB142">
            <v>590.32731880823121</v>
          </cell>
        </row>
        <row r="143">
          <cell r="A143">
            <v>43983</v>
          </cell>
          <cell r="V143">
            <v>0.7002164423231132</v>
          </cell>
          <cell r="W143">
            <v>9.9220399039</v>
          </cell>
          <cell r="AX143">
            <v>6225.5627283105559</v>
          </cell>
          <cell r="AY143">
            <v>4271.3855691462941</v>
          </cell>
          <cell r="AZ143">
            <v>313.0517025431509</v>
          </cell>
          <cell r="BA143">
            <v>27322.312572901516</v>
          </cell>
          <cell r="BB143">
            <v>541.68742709848448</v>
          </cell>
        </row>
        <row r="144">
          <cell r="A144">
            <v>44013</v>
          </cell>
          <cell r="V144">
            <v>0.86765018306445019</v>
          </cell>
          <cell r="W144">
            <v>12.294569533999999</v>
          </cell>
          <cell r="AX144">
            <v>8818.2993983248143</v>
          </cell>
          <cell r="AY144">
            <v>6050.2734352236876</v>
          </cell>
          <cell r="AZ144">
            <v>443.42716645149812</v>
          </cell>
          <cell r="BA144">
            <v>34540.211756404533</v>
          </cell>
          <cell r="BB144">
            <v>684.78824359546707</v>
          </cell>
        </row>
        <row r="145">
          <cell r="A145">
            <v>44044</v>
          </cell>
          <cell r="V145">
            <v>0.70507464412019327</v>
          </cell>
          <cell r="W145">
            <v>9.9133222245999999</v>
          </cell>
          <cell r="AX145">
            <v>8312.3736400166963</v>
          </cell>
          <cell r="AY145">
            <v>5283.639611837857</v>
          </cell>
          <cell r="AZ145">
            <v>417.98674814544574</v>
          </cell>
          <cell r="BA145">
            <v>23151.992612646343</v>
          </cell>
          <cell r="BB145">
            <v>459.00738735365667</v>
          </cell>
        </row>
        <row r="146">
          <cell r="A146">
            <v>44075</v>
          </cell>
          <cell r="V146">
            <v>0.67082236366847703</v>
          </cell>
          <cell r="W146">
            <v>9.4317364863000019</v>
          </cell>
          <cell r="AX146">
            <v>6562.5875519583788</v>
          </cell>
          <cell r="AY146">
            <v>4171.4134911783967</v>
          </cell>
          <cell r="AZ146">
            <v>329.99895686322452</v>
          </cell>
          <cell r="BA146">
            <v>25876.967728928761</v>
          </cell>
          <cell r="BB146">
            <v>513.03227107123894</v>
          </cell>
        </row>
        <row r="147">
          <cell r="A147">
            <v>44105</v>
          </cell>
          <cell r="V147">
            <v>0.69639414298541946</v>
          </cell>
          <cell r="W147">
            <v>9.7912747144000019</v>
          </cell>
          <cell r="AX147">
            <v>6438.0265084016855</v>
          </cell>
          <cell r="AY147">
            <v>4092.2380724195873</v>
          </cell>
          <cell r="AZ147">
            <v>323.73541917872717</v>
          </cell>
          <cell r="BA147">
            <v>26384.897599470067</v>
          </cell>
          <cell r="BB147">
            <v>523.10240052993322</v>
          </cell>
        </row>
        <row r="148">
          <cell r="A148">
            <v>44136</v>
          </cell>
          <cell r="V148">
            <v>0.82449729609556921</v>
          </cell>
          <cell r="W148">
            <v>11.592400092200002</v>
          </cell>
          <cell r="AX148">
            <v>7738.2065440029837</v>
          </cell>
          <cell r="AY148">
            <v>4918.6786339401087</v>
          </cell>
          <cell r="AZ148">
            <v>389.11482205690845</v>
          </cell>
          <cell r="BA148">
            <v>29153.99789755627</v>
          </cell>
          <cell r="BB148">
            <v>578.00210244373011</v>
          </cell>
        </row>
        <row r="149">
          <cell r="A149">
            <v>44166</v>
          </cell>
          <cell r="V149">
            <v>0.69036288570346604</v>
          </cell>
          <cell r="W149">
            <v>9.7064754703000009</v>
          </cell>
          <cell r="AX149">
            <v>5500.8529425941797</v>
          </cell>
          <cell r="AY149">
            <v>3496.5373027104529</v>
          </cell>
          <cell r="AZ149">
            <v>276.60975469536788</v>
          </cell>
          <cell r="BA149">
            <v>26848.702288207594</v>
          </cell>
          <cell r="BB149">
            <v>532.29771179240561</v>
          </cell>
        </row>
        <row r="150">
          <cell r="A150">
            <v>44197</v>
          </cell>
          <cell r="V150">
            <v>0.5417609734200729</v>
          </cell>
          <cell r="W150">
            <v>7.6171383313999996</v>
          </cell>
          <cell r="AX150">
            <v>3588.5443500857009</v>
          </cell>
          <cell r="AY150">
            <v>2281.0061118609274</v>
          </cell>
          <cell r="AZ150">
            <v>180.44953805337173</v>
          </cell>
          <cell r="BA150">
            <v>22013.56292210878</v>
          </cell>
          <cell r="BB150">
            <v>436.43707789121981</v>
          </cell>
        </row>
        <row r="151">
          <cell r="A151">
            <v>44228</v>
          </cell>
          <cell r="V151">
            <v>0.58118021883296433</v>
          </cell>
          <cell r="W151">
            <v>8.1713713971999997</v>
          </cell>
          <cell r="AX151">
            <v>4062.4694634275975</v>
          </cell>
          <cell r="AY151">
            <v>2582.2497289480148</v>
          </cell>
          <cell r="AZ151">
            <v>204.28080762438731</v>
          </cell>
          <cell r="BA151">
            <v>24813.060567659806</v>
          </cell>
          <cell r="BB151">
            <v>491.93943234019389</v>
          </cell>
        </row>
        <row r="152">
          <cell r="A152">
            <v>44256</v>
          </cell>
          <cell r="V152">
            <v>0.66734640542186829</v>
          </cell>
          <cell r="W152">
            <v>9.3828646478</v>
          </cell>
          <cell r="AX152">
            <v>3589.7306457386217</v>
          </cell>
          <cell r="AY152">
            <v>2281.7601634681541</v>
          </cell>
          <cell r="AZ152">
            <v>180.50919079322375</v>
          </cell>
          <cell r="BA152">
            <v>27532.152326368388</v>
          </cell>
          <cell r="BB152">
            <v>545.84767363161154</v>
          </cell>
        </row>
        <row r="153">
          <cell r="A153">
            <v>44287</v>
          </cell>
          <cell r="V153">
            <v>0.66499778498497053</v>
          </cell>
          <cell r="W153">
            <v>9.3498431353000004</v>
          </cell>
          <cell r="AX153">
            <v>4681.1226464258425</v>
          </cell>
          <cell r="AY153">
            <v>2975.4876421167664</v>
          </cell>
          <cell r="AZ153">
            <v>235.38971145739106</v>
          </cell>
          <cell r="BA153">
            <v>25633.788949210142</v>
          </cell>
          <cell r="BB153">
            <v>508.21105078985784</v>
          </cell>
        </row>
        <row r="154">
          <cell r="A154">
            <v>44317</v>
          </cell>
          <cell r="V154">
            <v>0.54260647677735607</v>
          </cell>
          <cell r="W154">
            <v>7.6290260758999997</v>
          </cell>
          <cell r="AX154">
            <v>3980.6150633760558</v>
          </cell>
          <cell r="AY154">
            <v>2530.220168049369</v>
          </cell>
          <cell r="AZ154">
            <v>200.16476857457565</v>
          </cell>
          <cell r="BA154">
            <v>20352.494967095314</v>
          </cell>
          <cell r="BB154">
            <v>403.50503290468623</v>
          </cell>
        </row>
        <row r="155">
          <cell r="A155">
            <v>44348</v>
          </cell>
          <cell r="V155">
            <v>0.76843102902594651</v>
          </cell>
          <cell r="W155">
            <v>10.8041105458</v>
          </cell>
          <cell r="AX155">
            <v>5034.6387509962688</v>
          </cell>
          <cell r="AY155">
            <v>3200.195021070339</v>
          </cell>
          <cell r="AZ155">
            <v>253.16622793339229</v>
          </cell>
          <cell r="BA155">
            <v>30466.967196117679</v>
          </cell>
          <cell r="BB155">
            <v>604.03280388232088</v>
          </cell>
        </row>
        <row r="156">
          <cell r="A156">
            <v>44378</v>
          </cell>
          <cell r="V156">
            <v>0.71183867097845877</v>
          </cell>
          <cell r="W156">
            <v>10.0084241806</v>
          </cell>
          <cell r="AX156">
            <v>4561.8999333072934</v>
          </cell>
          <cell r="AY156">
            <v>2899.7054555904779</v>
          </cell>
          <cell r="AZ156">
            <v>229.39461110222874</v>
          </cell>
          <cell r="BA156">
            <v>28455.839465460882</v>
          </cell>
          <cell r="BB156">
            <v>564.16053453911809</v>
          </cell>
        </row>
        <row r="157">
          <cell r="A157">
            <v>44409</v>
          </cell>
          <cell r="V157">
            <v>0.69981373434154237</v>
          </cell>
          <cell r="W157">
            <v>9.8393540365999979</v>
          </cell>
          <cell r="AX157">
            <v>3867.3238285221105</v>
          </cell>
          <cell r="AY157">
            <v>2458.2082395592142</v>
          </cell>
          <cell r="AZ157">
            <v>194.46793191867528</v>
          </cell>
          <cell r="BA157">
            <v>28640.184669441125</v>
          </cell>
          <cell r="BB157">
            <v>567.81533055887485</v>
          </cell>
        </row>
        <row r="158">
          <cell r="A158">
            <v>44440</v>
          </cell>
          <cell r="V158">
            <v>0.70535647857262107</v>
          </cell>
          <cell r="W158">
            <v>9.9172848060999996</v>
          </cell>
          <cell r="AX158">
            <v>3186.9832715719785</v>
          </cell>
          <cell r="AY158">
            <v>2025.7596428146715</v>
          </cell>
          <cell r="AZ158">
            <v>160.25708561334977</v>
          </cell>
          <cell r="BA158">
            <v>29737.430856961822</v>
          </cell>
          <cell r="BB158">
            <v>589.56914303817757</v>
          </cell>
        </row>
        <row r="159">
          <cell r="A159">
            <v>44470</v>
          </cell>
          <cell r="V159">
            <v>0.66657605791856578</v>
          </cell>
          <cell r="W159">
            <v>9.3720335917000011</v>
          </cell>
          <cell r="AX159">
            <v>2968.1117236080736</v>
          </cell>
          <cell r="AY159">
            <v>1886.6371212813356</v>
          </cell>
          <cell r="AZ159">
            <v>149.25115511059084</v>
          </cell>
          <cell r="BA159">
            <v>28922.585832985325</v>
          </cell>
          <cell r="BB159">
            <v>573.4141670146746</v>
          </cell>
        </row>
        <row r="160">
          <cell r="A160">
            <v>44501</v>
          </cell>
          <cell r="V160">
            <v>0.68332919234703016</v>
          </cell>
          <cell r="W160">
            <v>10.461743504199999</v>
          </cell>
          <cell r="AX160">
            <v>3807.6291690500457</v>
          </cell>
          <cell r="AY160">
            <v>2111.1003814319247</v>
          </cell>
          <cell r="AZ160">
            <v>136.27044951802964</v>
          </cell>
          <cell r="BA160">
            <v>30745.446121279321</v>
          </cell>
          <cell r="BB160">
            <v>609.55387872067877</v>
          </cell>
        </row>
        <row r="161">
          <cell r="A161">
            <v>44531</v>
          </cell>
          <cell r="V161">
            <v>0.71450945838879232</v>
          </cell>
          <cell r="W161">
            <v>11.236824445599998</v>
          </cell>
          <cell r="AX161">
            <v>3864.8841159961066</v>
          </cell>
          <cell r="AY161">
            <v>2074.9226489590064</v>
          </cell>
          <cell r="AZ161">
            <v>126.19323504488693</v>
          </cell>
          <cell r="BA161">
            <v>34261.732831242887</v>
          </cell>
          <cell r="BB161">
            <v>679.26716875711281</v>
          </cell>
        </row>
        <row r="162">
          <cell r="A162">
            <v>44562</v>
          </cell>
          <cell r="V162">
            <v>0.39735343298438469</v>
          </cell>
          <cell r="W162">
            <v>5.8516761870999998</v>
          </cell>
          <cell r="AX162">
            <v>2652.8140940362155</v>
          </cell>
          <cell r="AY162">
            <v>1553.4870708544868</v>
          </cell>
          <cell r="AZ162">
            <v>109.69883510929776</v>
          </cell>
          <cell r="BA162">
            <v>15509.511124231383</v>
          </cell>
          <cell r="BB162">
            <v>307.48887576861671</v>
          </cell>
        </row>
        <row r="163">
          <cell r="A163">
            <v>44593</v>
          </cell>
          <cell r="V163">
            <v>0.381908473127062</v>
          </cell>
          <cell r="W163">
            <v>5.6242240089999997</v>
          </cell>
          <cell r="AX163">
            <v>1481.2979533427431</v>
          </cell>
          <cell r="AY163">
            <v>867.44759980521621</v>
          </cell>
          <cell r="AZ163">
            <v>61.254446852040928</v>
          </cell>
          <cell r="BA163">
            <v>18201.147214262055</v>
          </cell>
          <cell r="BB163">
            <v>360.85278573794494</v>
          </cell>
        </row>
        <row r="164">
          <cell r="A164">
            <v>44621</v>
          </cell>
          <cell r="V164">
            <v>0.50005075607750027</v>
          </cell>
          <cell r="W164">
            <v>7.3640614595999994</v>
          </cell>
          <cell r="AX164">
            <v>2258.825717234266</v>
          </cell>
          <cell r="AY164">
            <v>1322.7676055121035</v>
          </cell>
          <cell r="AZ164">
            <v>93.406677253630733</v>
          </cell>
          <cell r="BA164">
            <v>23302.998790374841</v>
          </cell>
          <cell r="BB164">
            <v>462.00120962515939</v>
          </cell>
        </row>
        <row r="165">
          <cell r="A165">
            <v>44652</v>
          </cell>
          <cell r="V165">
            <v>0.49239106053850284</v>
          </cell>
          <cell r="W165">
            <v>7.2512599729000007</v>
          </cell>
          <cell r="AX165">
            <v>2086.7247102068932</v>
          </cell>
          <cell r="AY165">
            <v>1221.9853117588004</v>
          </cell>
          <cell r="AZ165">
            <v>86.289978034306387</v>
          </cell>
          <cell r="BA165">
            <v>21949.826548392208</v>
          </cell>
          <cell r="BB165">
            <v>435.17345160779223</v>
          </cell>
        </row>
        <row r="166">
          <cell r="A166">
            <v>44682</v>
          </cell>
          <cell r="V166">
            <v>0.48763738532109224</v>
          </cell>
          <cell r="W166">
            <v>7.1812543664000001</v>
          </cell>
          <cell r="AX166">
            <v>1495.4348217771344</v>
          </cell>
          <cell r="AY166">
            <v>875.72614536352319</v>
          </cell>
          <cell r="AZ166">
            <v>61.839032859342296</v>
          </cell>
          <cell r="BA166">
            <v>22515.609435076251</v>
          </cell>
          <cell r="BB166">
            <v>446.39056492374948</v>
          </cell>
        </row>
        <row r="167">
          <cell r="A167">
            <v>44713</v>
          </cell>
          <cell r="V167">
            <v>0.50301059159022765</v>
          </cell>
          <cell r="W167">
            <v>7.4076498561000008</v>
          </cell>
          <cell r="AX167">
            <v>1673.0676468875297</v>
          </cell>
          <cell r="AY167">
            <v>979.74786998746822</v>
          </cell>
          <cell r="AZ167">
            <v>69.184483125001861</v>
          </cell>
          <cell r="BA167">
            <v>24106.077099203663</v>
          </cell>
          <cell r="BB167">
            <v>477.92290079633676</v>
          </cell>
        </row>
        <row r="168">
          <cell r="A168">
            <v>44743</v>
          </cell>
          <cell r="V168">
            <v>0.48186122147201221</v>
          </cell>
          <cell r="W168">
            <v>7.0961909502000005</v>
          </cell>
          <cell r="AX168">
            <v>1615.9055266962953</v>
          </cell>
          <cell r="AY168">
            <v>946.27375099083542</v>
          </cell>
          <cell r="AZ168">
            <v>66.820722312869293</v>
          </cell>
          <cell r="BA168">
            <v>23325.551661074551</v>
          </cell>
          <cell r="BB168">
            <v>462.44833892544921</v>
          </cell>
        </row>
        <row r="169">
          <cell r="A169">
            <v>44774</v>
          </cell>
          <cell r="V169">
            <v>0.50727993008737382</v>
          </cell>
          <cell r="W169">
            <v>7.4705228159000008</v>
          </cell>
          <cell r="AX169">
            <v>1811.9777454167663</v>
          </cell>
          <cell r="AY169">
            <v>1061.0935785169202</v>
          </cell>
          <cell r="AZ169">
            <v>74.928676066313528</v>
          </cell>
          <cell r="BA169">
            <v>23221.612343936755</v>
          </cell>
          <cell r="BB169">
            <v>460.38765606324523</v>
          </cell>
        </row>
        <row r="170">
          <cell r="A170">
            <v>44805</v>
          </cell>
          <cell r="V170">
            <v>0.65656327031111306</v>
          </cell>
          <cell r="W170">
            <v>9.6689630321000006</v>
          </cell>
          <cell r="AX170">
            <v>2817.5393436195577</v>
          </cell>
          <cell r="AY170">
            <v>1649.950123446934</v>
          </cell>
          <cell r="AZ170">
            <v>116.51053293350833</v>
          </cell>
          <cell r="BA170">
            <v>31915.253718877353</v>
          </cell>
          <cell r="BB170">
            <v>632.74628112264691</v>
          </cell>
        </row>
        <row r="171">
          <cell r="A171">
            <v>44835</v>
          </cell>
          <cell r="V171">
            <v>0.75131388351248185</v>
          </cell>
          <cell r="W171">
            <v>11.0643200643</v>
          </cell>
          <cell r="AX171">
            <v>2355.3252104603284</v>
          </cell>
          <cell r="AY171">
            <v>1379.2776773666342</v>
          </cell>
          <cell r="AZ171">
            <v>97.397112173037385</v>
          </cell>
          <cell r="BA171">
            <v>62025.29722218222</v>
          </cell>
          <cell r="BB171">
            <v>1229.7027778177799</v>
          </cell>
        </row>
        <row r="172">
          <cell r="A172">
            <v>44866</v>
          </cell>
          <cell r="V172">
            <v>0.78629375775380506</v>
          </cell>
          <cell r="W172">
            <v>11.579455659300001</v>
          </cell>
          <cell r="AX172">
            <v>2479.4837941015044</v>
          </cell>
          <cell r="AY172">
            <v>1451.9849035743744</v>
          </cell>
          <cell r="AZ172">
            <v>102.5313023241215</v>
          </cell>
          <cell r="BA172">
            <v>36835.701769796811</v>
          </cell>
          <cell r="BB172">
            <v>730.29823020318872</v>
          </cell>
        </row>
        <row r="173">
          <cell r="A173">
            <v>44896</v>
          </cell>
          <cell r="V173">
            <v>0.6770489197385956</v>
          </cell>
          <cell r="W173">
            <v>9.9706475703000006</v>
          </cell>
          <cell r="AX173">
            <v>2234.8545055411678</v>
          </cell>
          <cell r="AY173">
            <v>1308.7300717393221</v>
          </cell>
          <cell r="AZ173">
            <v>92.415422719510389</v>
          </cell>
          <cell r="BA173">
            <v>32579.092565125353</v>
          </cell>
          <cell r="BB173">
            <v>645.90743487464715</v>
          </cell>
        </row>
        <row r="174">
          <cell r="A174">
            <v>44927</v>
          </cell>
          <cell r="V174">
            <v>0.65781895810439128</v>
          </cell>
          <cell r="W174">
            <v>9.6874550790999994</v>
          </cell>
          <cell r="AX174">
            <v>2600.5691454743346</v>
          </cell>
          <cell r="AY174">
            <v>1522.8924459650912</v>
          </cell>
          <cell r="AZ174">
            <v>107.53840856057468</v>
          </cell>
          <cell r="BA174">
            <v>32902.677231686415</v>
          </cell>
          <cell r="BB174">
            <v>652.32276831358467</v>
          </cell>
        </row>
        <row r="175">
          <cell r="A175">
            <v>44958</v>
          </cell>
          <cell r="V175">
            <v>0.54465984251236887</v>
          </cell>
          <cell r="W175">
            <v>9.8237678827000003</v>
          </cell>
          <cell r="AX175">
            <v>2063.9827914211332</v>
          </cell>
          <cell r="AY175">
            <v>1208.6676515128281</v>
          </cell>
          <cell r="AZ175">
            <v>85.349557066038869</v>
          </cell>
          <cell r="BA175">
            <v>31508.321486686924</v>
          </cell>
          <cell r="BB175">
            <v>624.67851331307611</v>
          </cell>
        </row>
        <row r="176">
          <cell r="A176">
            <v>44986</v>
          </cell>
          <cell r="V176">
            <v>0.59090673034021091</v>
          </cell>
          <cell r="W176">
            <v>11.315019387200001</v>
          </cell>
          <cell r="AX176">
            <v>2602.413084835342</v>
          </cell>
          <cell r="AY176">
            <v>1523.9722562553052</v>
          </cell>
          <cell r="AZ176">
            <v>107.61465890935324</v>
          </cell>
          <cell r="BA176">
            <v>36250.307691199974</v>
          </cell>
          <cell r="BB176">
            <v>718.69230880002578</v>
          </cell>
        </row>
        <row r="177">
          <cell r="A177">
            <v>45017</v>
          </cell>
          <cell r="V177">
            <v>0.6049584291419311</v>
          </cell>
          <cell r="W177">
            <v>9.1149941384000002</v>
          </cell>
          <cell r="AX177">
            <v>2121.1449116123677</v>
          </cell>
          <cell r="AY177">
            <v>1242.1417705094611</v>
          </cell>
          <cell r="AZ177">
            <v>87.713317878171438</v>
          </cell>
          <cell r="BA177">
            <v>27721.400328326828</v>
          </cell>
          <cell r="BB177">
            <v>549.59967167317154</v>
          </cell>
        </row>
        <row r="178">
          <cell r="A178">
            <v>45047</v>
          </cell>
          <cell r="V178">
            <v>0.59483555685778045</v>
          </cell>
          <cell r="W178">
            <v>11.232333519899997</v>
          </cell>
          <cell r="AX178">
            <v>3363.9600409314662</v>
          </cell>
          <cell r="AY178">
            <v>1969.9339061136716</v>
          </cell>
          <cell r="AZ178">
            <v>139.10605295486221</v>
          </cell>
          <cell r="BA178">
            <v>35375.648531889463</v>
          </cell>
          <cell r="BB178">
            <v>701.3514681105371</v>
          </cell>
        </row>
        <row r="179">
          <cell r="A179">
            <v>45078</v>
          </cell>
          <cell r="V179">
            <v>0.65721935431309575</v>
          </cell>
          <cell r="W179">
            <v>12.5804037462</v>
          </cell>
          <cell r="AX179">
            <v>3844.613567700771</v>
          </cell>
          <cell r="AY179">
            <v>2251.4044550961107</v>
          </cell>
          <cell r="AZ179">
            <v>158.98197720311873</v>
          </cell>
          <cell r="BA179">
            <v>39513.610025488531</v>
          </cell>
          <cell r="BB179">
            <v>783.38997451146861</v>
          </cell>
        </row>
        <row r="180">
          <cell r="A180">
            <v>45108</v>
          </cell>
          <cell r="V180">
            <v>0.68711669183830704</v>
          </cell>
          <cell r="W180">
            <v>12.192599103399999</v>
          </cell>
          <cell r="AX180">
            <v>3777.0024577971603</v>
          </cell>
          <cell r="AY180">
            <v>2211.8114111215991</v>
          </cell>
          <cell r="AZ180">
            <v>156.18613108124009</v>
          </cell>
          <cell r="BA180">
            <v>36618.998099160461</v>
          </cell>
          <cell r="BB180">
            <v>726.0019008395393</v>
          </cell>
        </row>
        <row r="181">
          <cell r="A181">
            <v>45139</v>
          </cell>
          <cell r="V181">
            <v>0.63738943618303645</v>
          </cell>
          <cell r="W181">
            <v>10.988766843699999</v>
          </cell>
          <cell r="AX181">
            <v>3800.9736694902585</v>
          </cell>
          <cell r="AY181">
            <v>2225.8489448943806</v>
          </cell>
          <cell r="AZ181">
            <v>157.17738561536135</v>
          </cell>
          <cell r="BA181">
            <v>31855.439583543335</v>
          </cell>
          <cell r="BB181">
            <v>631.56041645666483</v>
          </cell>
        </row>
        <row r="182">
          <cell r="A182">
            <v>45170</v>
          </cell>
          <cell r="V182">
            <v>0.67758070418407035</v>
          </cell>
          <cell r="W182">
            <v>10.111187127500001</v>
          </cell>
          <cell r="AX182">
            <v>3477.0549884065967</v>
          </cell>
          <cell r="AY182">
            <v>2036.1622705801278</v>
          </cell>
          <cell r="AZ182">
            <v>143.78274101327588</v>
          </cell>
          <cell r="BA182">
            <v>57830.463272036053</v>
          </cell>
          <cell r="BB182">
            <v>1146.5367279639468</v>
          </cell>
        </row>
        <row r="183">
          <cell r="A183">
            <v>45200</v>
          </cell>
          <cell r="V183">
            <v>0.70476136147215573</v>
          </cell>
          <cell r="W183">
            <v>10.7605221493</v>
          </cell>
          <cell r="AX183">
            <v>2705.6736890517655</v>
          </cell>
          <cell r="AY183">
            <v>1584.4416325072871</v>
          </cell>
          <cell r="AZ183">
            <v>111.88467844094703</v>
          </cell>
          <cell r="BA183">
            <v>35338.387267255159</v>
          </cell>
          <cell r="BB183">
            <v>700.6127327448412</v>
          </cell>
        </row>
        <row r="184">
          <cell r="A184">
            <v>45231</v>
          </cell>
          <cell r="V184">
            <v>0.76470674873213484</v>
          </cell>
          <cell r="W184">
            <v>14.105733451600001</v>
          </cell>
          <cell r="AX184">
            <v>2844.5837875810021</v>
          </cell>
          <cell r="AY184">
            <v>1665.7873410367388</v>
          </cell>
          <cell r="AZ184">
            <v>117.6288713822596</v>
          </cell>
          <cell r="BA184">
            <v>66359.37063490921</v>
          </cell>
          <cell r="BB184">
            <v>1315.6293650907901</v>
          </cell>
        </row>
        <row r="185">
          <cell r="A185">
            <v>45261</v>
          </cell>
          <cell r="V185">
            <v>0.69397375461028465</v>
          </cell>
          <cell r="W185">
            <v>12.314646613599999</v>
          </cell>
          <cell r="AX185">
            <v>3288.3585271301558</v>
          </cell>
          <cell r="AY185">
            <v>1925.661684214899</v>
          </cell>
          <cell r="AZ185">
            <v>135.97978865494497</v>
          </cell>
          <cell r="BA185">
            <v>40662.825871578127</v>
          </cell>
          <cell r="BB185">
            <v>806.17412842187332</v>
          </cell>
        </row>
        <row r="186">
          <cell r="A186">
            <v>45292</v>
          </cell>
          <cell r="V186">
            <v>0.57919991030785045</v>
          </cell>
          <cell r="W186">
            <v>11.835966768400001</v>
          </cell>
        </row>
        <row r="187">
          <cell r="A187">
            <v>45323</v>
          </cell>
          <cell r="V187">
            <v>0.54465984251236876</v>
          </cell>
          <cell r="W187">
            <v>17.0361945569</v>
          </cell>
        </row>
        <row r="188">
          <cell r="A188">
            <v>45352</v>
          </cell>
          <cell r="V188">
            <v>0.59090673034021091</v>
          </cell>
          <cell r="W188">
            <v>29.250191600400001</v>
          </cell>
        </row>
        <row r="189">
          <cell r="A189">
            <v>45383</v>
          </cell>
          <cell r="V189">
            <v>0.60495842914193099</v>
          </cell>
          <cell r="W189">
            <v>24.407652835299999</v>
          </cell>
        </row>
        <row r="190">
          <cell r="A190">
            <v>45413</v>
          </cell>
          <cell r="V190">
            <v>0.59483555685778045</v>
          </cell>
          <cell r="W190">
            <v>26.1163179781</v>
          </cell>
        </row>
        <row r="191">
          <cell r="A191">
            <v>45444</v>
          </cell>
          <cell r="V191">
            <v>0.65721935431309575</v>
          </cell>
          <cell r="W191">
            <v>34.856187734500004</v>
          </cell>
        </row>
        <row r="192">
          <cell r="A192">
            <v>45474</v>
          </cell>
          <cell r="V192">
            <v>0.68711669183830704</v>
          </cell>
          <cell r="W192">
            <v>28.258753709099995</v>
          </cell>
        </row>
        <row r="193">
          <cell r="A193">
            <v>45505</v>
          </cell>
          <cell r="V193">
            <v>0.63738943618303656</v>
          </cell>
          <cell r="W193">
            <v>24.173332182600003</v>
          </cell>
        </row>
        <row r="194">
          <cell r="A194">
            <v>45536</v>
          </cell>
          <cell r="V194">
            <v>0.67758070418407035</v>
          </cell>
          <cell r="W194">
            <v>27.982429692500002</v>
          </cell>
        </row>
        <row r="195">
          <cell r="A195">
            <v>45566</v>
          </cell>
          <cell r="V195">
            <v>0.70476136147215573</v>
          </cell>
          <cell r="W195">
            <v>18.005970336000001</v>
          </cell>
        </row>
        <row r="196">
          <cell r="A196">
            <v>45597</v>
          </cell>
          <cell r="V196">
            <v>0.76470674873213484</v>
          </cell>
          <cell r="W196">
            <v>24.852782823800002</v>
          </cell>
        </row>
        <row r="197">
          <cell r="A197">
            <v>45627</v>
          </cell>
          <cell r="V197">
            <v>0.69397375461028465</v>
          </cell>
          <cell r="W197">
            <v>29.177280100800001</v>
          </cell>
        </row>
        <row r="198">
          <cell r="A198">
            <v>45658</v>
          </cell>
          <cell r="V198">
            <v>0.57919991030785045</v>
          </cell>
          <cell r="W198">
            <v>10.049370856099999</v>
          </cell>
        </row>
        <row r="199">
          <cell r="A199">
            <v>45689</v>
          </cell>
          <cell r="V199">
            <v>0.54465984251236876</v>
          </cell>
          <cell r="W199">
            <v>10.116206397399999</v>
          </cell>
        </row>
        <row r="200">
          <cell r="A200">
            <v>45717</v>
          </cell>
          <cell r="V200">
            <v>0.59090673034021091</v>
          </cell>
          <cell r="W200">
            <v>25.925747551932435</v>
          </cell>
        </row>
        <row r="201">
          <cell r="A201">
            <v>45748</v>
          </cell>
          <cell r="V201">
            <v>0.6049584291419311</v>
          </cell>
          <cell r="W201">
            <v>23.388149073126385</v>
          </cell>
        </row>
        <row r="202">
          <cell r="A202">
            <v>45778</v>
          </cell>
          <cell r="V202">
            <v>0.59483555685778045</v>
          </cell>
          <cell r="W202">
            <v>24.728514140271106</v>
          </cell>
        </row>
        <row r="203">
          <cell r="A203">
            <v>45809</v>
          </cell>
          <cell r="V203">
            <v>0.65721935431309575</v>
          </cell>
          <cell r="W203">
            <v>29.734899800911524</v>
          </cell>
        </row>
        <row r="204">
          <cell r="A204">
            <v>45839</v>
          </cell>
          <cell r="V204">
            <v>0.68711669183830704</v>
          </cell>
          <cell r="W204">
            <v>27.484292244973762</v>
          </cell>
        </row>
        <row r="205">
          <cell r="A205">
            <v>45870</v>
          </cell>
          <cell r="V205">
            <v>0.63738943618303656</v>
          </cell>
          <cell r="W205">
            <v>24.546922998564877</v>
          </cell>
        </row>
        <row r="206">
          <cell r="A206">
            <v>45901</v>
          </cell>
          <cell r="V206">
            <v>0.67758070418407035</v>
          </cell>
          <cell r="W206">
            <v>26.406595074275319</v>
          </cell>
        </row>
        <row r="207">
          <cell r="A207">
            <v>45931</v>
          </cell>
          <cell r="V207">
            <v>0.70476136147215573</v>
          </cell>
          <cell r="W207">
            <v>23.21258671574698</v>
          </cell>
        </row>
        <row r="208">
          <cell r="A208">
            <v>45962</v>
          </cell>
          <cell r="V208">
            <v>0.76470674873213496</v>
          </cell>
          <cell r="W208">
            <v>28.563028861245801</v>
          </cell>
        </row>
        <row r="209">
          <cell r="A209">
            <v>45992</v>
          </cell>
          <cell r="V209">
            <v>0.69397375461028465</v>
          </cell>
          <cell r="W209">
            <v>45.843686285451867</v>
          </cell>
        </row>
        <row r="210">
          <cell r="A210">
            <v>46023</v>
          </cell>
          <cell r="V210">
            <v>0.55106663702490999</v>
          </cell>
          <cell r="W210">
            <v>13.82486294154049</v>
          </cell>
        </row>
        <row r="211">
          <cell r="A211">
            <v>46054</v>
          </cell>
          <cell r="V211">
            <v>0.51941364389942657</v>
          </cell>
          <cell r="W211">
            <v>19.523440249560512</v>
          </cell>
        </row>
        <row r="212">
          <cell r="A212">
            <v>46082</v>
          </cell>
          <cell r="V212">
            <v>0.58802347050400017</v>
          </cell>
          <cell r="W212">
            <v>30.432641952092727</v>
          </cell>
        </row>
        <row r="213">
          <cell r="A213">
            <v>46113</v>
          </cell>
          <cell r="V213">
            <v>0.59445282658985321</v>
          </cell>
          <cell r="W213">
            <v>30.765387669836908</v>
          </cell>
        </row>
        <row r="214">
          <cell r="A214">
            <v>46143</v>
          </cell>
          <cell r="V214">
            <v>0.56295010653435784</v>
          </cell>
          <cell r="W214">
            <v>29.134991864131766</v>
          </cell>
        </row>
        <row r="215">
          <cell r="A215">
            <v>46174</v>
          </cell>
          <cell r="V215">
            <v>0.6486199367110923</v>
          </cell>
          <cell r="W215">
            <v>33.568759219762192</v>
          </cell>
        </row>
        <row r="216">
          <cell r="A216">
            <v>46204</v>
          </cell>
          <cell r="V216">
            <v>0.65100999359307843</v>
          </cell>
          <cell r="W216">
            <v>33.692454529529805</v>
          </cell>
        </row>
        <row r="217">
          <cell r="A217">
            <v>46235</v>
          </cell>
          <cell r="V217">
            <v>0.62385239459560515</v>
          </cell>
          <cell r="W217">
            <v>32.286936675182538</v>
          </cell>
        </row>
        <row r="218">
          <cell r="A218">
            <v>46266</v>
          </cell>
          <cell r="V218">
            <v>0.67893237228718906</v>
          </cell>
          <cell r="W218">
            <v>35.137552890179059</v>
          </cell>
        </row>
        <row r="219">
          <cell r="A219">
            <v>46296</v>
          </cell>
          <cell r="V219">
            <v>0.70643480516950297</v>
          </cell>
          <cell r="W219">
            <v>36.560917321536778</v>
          </cell>
        </row>
        <row r="220">
          <cell r="A220">
            <v>46327</v>
          </cell>
          <cell r="V220">
            <v>0.7527486392594479</v>
          </cell>
          <cell r="W220">
            <v>38.957849418617641</v>
          </cell>
        </row>
        <row r="221">
          <cell r="A221">
            <v>46357</v>
          </cell>
          <cell r="V221">
            <v>0.6946959283916484</v>
          </cell>
          <cell r="W221">
            <v>35.953381990346706</v>
          </cell>
        </row>
        <row r="222">
          <cell r="A222">
            <v>46388</v>
          </cell>
          <cell r="V222">
            <v>0.55292776974587743</v>
          </cell>
          <cell r="W222">
            <v>28.616294563247351</v>
          </cell>
        </row>
        <row r="223">
          <cell r="A223">
            <v>46419</v>
          </cell>
          <cell r="V223">
            <v>0.50706032891271902</v>
          </cell>
          <cell r="W223">
            <v>26.242465159910953</v>
          </cell>
        </row>
        <row r="224">
          <cell r="A224">
            <v>46447</v>
          </cell>
          <cell r="V224">
            <v>0.57215888352042654</v>
          </cell>
          <cell r="W224">
            <v>29.611584086876714</v>
          </cell>
        </row>
        <row r="225">
          <cell r="A225">
            <v>46478</v>
          </cell>
          <cell r="V225">
            <v>0.58034383491082975</v>
          </cell>
          <cell r="W225">
            <v>32.453288420835214</v>
          </cell>
        </row>
        <row r="226">
          <cell r="A226">
            <v>46508</v>
          </cell>
          <cell r="V226">
            <v>0.56701883248575835</v>
          </cell>
          <cell r="W226">
            <v>36.433300633838414</v>
          </cell>
        </row>
        <row r="227">
          <cell r="A227">
            <v>46539</v>
          </cell>
          <cell r="V227">
            <v>0.62465771824812144</v>
          </cell>
          <cell r="W227">
            <v>43.780673666448422</v>
          </cell>
        </row>
        <row r="228">
          <cell r="A228">
            <v>46569</v>
          </cell>
          <cell r="V228">
            <v>0.63884425811600232</v>
          </cell>
          <cell r="W228">
            <v>44.774972230714376</v>
          </cell>
        </row>
        <row r="229">
          <cell r="A229">
            <v>46600</v>
          </cell>
          <cell r="V229">
            <v>0.60866012664641767</v>
          </cell>
          <cell r="W229">
            <v>42.659443083838205</v>
          </cell>
        </row>
        <row r="230">
          <cell r="A230">
            <v>46631</v>
          </cell>
          <cell r="V230">
            <v>0.67364755103010265</v>
          </cell>
          <cell r="W230">
            <v>47.214246676667521</v>
          </cell>
        </row>
        <row r="231">
          <cell r="A231">
            <v>46661</v>
          </cell>
          <cell r="V231">
            <v>0.71440655461969038</v>
          </cell>
          <cell r="W231">
            <v>50.07094176422671</v>
          </cell>
        </row>
        <row r="232">
          <cell r="A232">
            <v>46692</v>
          </cell>
          <cell r="V232">
            <v>0.76663252864193154</v>
          </cell>
          <cell r="W232">
            <v>53.731327698451139</v>
          </cell>
        </row>
        <row r="233">
          <cell r="A233">
            <v>46722</v>
          </cell>
          <cell r="V233">
            <v>0.69073322239221957</v>
          </cell>
          <cell r="W233">
            <v>48.411738007399627</v>
          </cell>
        </row>
        <row r="234">
          <cell r="A234">
            <v>46753</v>
          </cell>
          <cell r="V234">
            <v>0.58404263709817594</v>
          </cell>
          <cell r="W234">
            <v>40.934065737310853</v>
          </cell>
        </row>
        <row r="235">
          <cell r="A235">
            <v>46784</v>
          </cell>
          <cell r="V235">
            <v>0.53209070006985038</v>
          </cell>
          <cell r="W235">
            <v>37.292886360297942</v>
          </cell>
        </row>
        <row r="236">
          <cell r="A236">
            <v>46813</v>
          </cell>
          <cell r="V236">
            <v>0.58658050900901182</v>
          </cell>
          <cell r="W236">
            <v>41.111938736698683</v>
          </cell>
        </row>
        <row r="237">
          <cell r="A237">
            <v>46844</v>
          </cell>
          <cell r="V237">
            <v>0.59793438978529523</v>
          </cell>
          <cell r="W237">
            <v>41.907703416447312</v>
          </cell>
        </row>
        <row r="238">
          <cell r="A238">
            <v>46874</v>
          </cell>
          <cell r="V238">
            <v>0.58289512191869153</v>
          </cell>
          <cell r="W238">
            <v>40.853639311553714</v>
          </cell>
        </row>
        <row r="239">
          <cell r="A239">
            <v>46905</v>
          </cell>
          <cell r="V239">
            <v>0.64898714357970022</v>
          </cell>
          <cell r="W239">
            <v>45.485861323332507</v>
          </cell>
        </row>
        <row r="240">
          <cell r="A240">
            <v>46935</v>
          </cell>
          <cell r="V240">
            <v>0.67024086544480033</v>
          </cell>
          <cell r="W240">
            <v>46.975480732475546</v>
          </cell>
        </row>
        <row r="241">
          <cell r="A241">
            <v>46966</v>
          </cell>
          <cell r="V241">
            <v>0.62893616595822643</v>
          </cell>
          <cell r="W241">
            <v>44.080539204843433</v>
          </cell>
        </row>
        <row r="242">
          <cell r="A242">
            <v>46997</v>
          </cell>
          <cell r="V242">
            <v>0.6770644071739006</v>
          </cell>
          <cell r="W242">
            <v>47.453725449484665</v>
          </cell>
        </row>
        <row r="243">
          <cell r="A243">
            <v>47027</v>
          </cell>
          <cell r="V243">
            <v>0.70702508884113213</v>
          </cell>
          <cell r="W243">
            <v>49.55359356698127</v>
          </cell>
        </row>
        <row r="244">
          <cell r="A244">
            <v>47058</v>
          </cell>
          <cell r="V244">
            <v>0.76270028281955682</v>
          </cell>
          <cell r="W244">
            <v>53.455726571471615</v>
          </cell>
        </row>
        <row r="245">
          <cell r="A245">
            <v>47088</v>
          </cell>
          <cell r="V245">
            <v>0.69347008292294432</v>
          </cell>
          <cell r="W245">
            <v>48.603557613987192</v>
          </cell>
        </row>
        <row r="246">
          <cell r="A246">
            <v>47119</v>
          </cell>
          <cell r="V246">
            <v>0.56928737289693276</v>
          </cell>
          <cell r="W246">
            <v>39.899906728328176</v>
          </cell>
        </row>
        <row r="247">
          <cell r="A247">
            <v>47150</v>
          </cell>
          <cell r="V247">
            <v>0.52957687158134659</v>
          </cell>
          <cell r="W247">
            <v>37.116698503342832</v>
          </cell>
        </row>
        <row r="248">
          <cell r="A248">
            <v>47178</v>
          </cell>
          <cell r="V248">
            <v>0.58571526474277202</v>
          </cell>
          <cell r="W248">
            <v>41.051295962655566</v>
          </cell>
        </row>
        <row r="249">
          <cell r="A249">
            <v>47209</v>
          </cell>
          <cell r="V249">
            <v>0.59652958191396799</v>
          </cell>
          <cell r="W249">
            <v>41.80924399910252</v>
          </cell>
        </row>
        <row r="250">
          <cell r="A250">
            <v>47239</v>
          </cell>
          <cell r="V250">
            <v>0.58050703493087374</v>
          </cell>
          <cell r="W250">
            <v>40.686264357164355</v>
          </cell>
        </row>
        <row r="251">
          <cell r="A251">
            <v>47270</v>
          </cell>
          <cell r="V251">
            <v>0.64734070143302103</v>
          </cell>
          <cell r="W251">
            <v>45.370466373060204</v>
          </cell>
        </row>
        <row r="252">
          <cell r="A252">
            <v>47300</v>
          </cell>
          <cell r="V252">
            <v>0.66686570016609914</v>
          </cell>
          <cell r="W252">
            <v>46.738923966553301</v>
          </cell>
        </row>
        <row r="253">
          <cell r="A253">
            <v>47331</v>
          </cell>
          <cell r="V253">
            <v>0.6272455119132645</v>
          </cell>
          <cell r="W253">
            <v>43.962045554860318</v>
          </cell>
        </row>
        <row r="254">
          <cell r="A254">
            <v>47362</v>
          </cell>
          <cell r="V254">
            <v>0.67696114777186667</v>
          </cell>
          <cell r="W254">
            <v>47.446488260138601</v>
          </cell>
        </row>
        <row r="255">
          <cell r="A255">
            <v>47392</v>
          </cell>
          <cell r="V255">
            <v>0.70747783431492739</v>
          </cell>
          <cell r="W255">
            <v>49.585325347864057</v>
          </cell>
        </row>
        <row r="256">
          <cell r="A256">
            <v>47423</v>
          </cell>
          <cell r="V256">
            <v>0.76229898963704124</v>
          </cell>
          <cell r="W256">
            <v>53.427600951063759</v>
          </cell>
        </row>
        <row r="257">
          <cell r="A257">
            <v>47453</v>
          </cell>
          <cell r="V257">
            <v>0.69336934858547628</v>
          </cell>
          <cell r="W257">
            <v>48.596497400006228</v>
          </cell>
        </row>
        <row r="258">
          <cell r="A258">
            <v>47484</v>
          </cell>
          <cell r="V258">
            <v>0.56730486541474934</v>
          </cell>
          <cell r="W258">
            <v>39.760957811852471</v>
          </cell>
        </row>
        <row r="259">
          <cell r="A259">
            <v>47515</v>
          </cell>
          <cell r="V259">
            <v>0.52656027739514211</v>
          </cell>
          <cell r="W259">
            <v>36.905273074996707</v>
          </cell>
        </row>
        <row r="260">
          <cell r="A260">
            <v>47543</v>
          </cell>
          <cell r="V260">
            <v>0.58467697162328436</v>
          </cell>
          <cell r="W260">
            <v>40.978524633803829</v>
          </cell>
        </row>
        <row r="261">
          <cell r="A261">
            <v>47574</v>
          </cell>
          <cell r="V261">
            <v>0.59484381246837548</v>
          </cell>
          <cell r="W261">
            <v>41.691092698288784</v>
          </cell>
        </row>
        <row r="262">
          <cell r="A262">
            <v>47604</v>
          </cell>
          <cell r="V262">
            <v>0.57764133054549238</v>
          </cell>
          <cell r="W262">
            <v>40.485414411897118</v>
          </cell>
        </row>
        <row r="263">
          <cell r="A263">
            <v>47635</v>
          </cell>
          <cell r="V263">
            <v>0.64536497085700617</v>
          </cell>
          <cell r="W263">
            <v>45.23199243273347</v>
          </cell>
        </row>
        <row r="264">
          <cell r="A264">
            <v>47665</v>
          </cell>
          <cell r="V264">
            <v>0.66281550183165749</v>
          </cell>
          <cell r="W264">
            <v>46.455055847446594</v>
          </cell>
        </row>
        <row r="265">
          <cell r="A265">
            <v>47696</v>
          </cell>
          <cell r="V265">
            <v>0.62521672705931008</v>
          </cell>
          <cell r="W265">
            <v>43.819853174880585</v>
          </cell>
        </row>
        <row r="266">
          <cell r="A266">
            <v>47727</v>
          </cell>
          <cell r="V266">
            <v>0.67683723648942595</v>
          </cell>
          <cell r="W266">
            <v>47.437803632923334</v>
          </cell>
        </row>
        <row r="267">
          <cell r="A267">
            <v>47757</v>
          </cell>
          <cell r="V267">
            <v>0.70802112888348168</v>
          </cell>
          <cell r="W267">
            <v>49.623403484923408</v>
          </cell>
        </row>
        <row r="268">
          <cell r="A268">
            <v>47788</v>
          </cell>
          <cell r="V268">
            <v>0.76181743781802247</v>
          </cell>
          <cell r="W268">
            <v>53.393850206574321</v>
          </cell>
        </row>
        <row r="269">
          <cell r="A269">
            <v>47818</v>
          </cell>
          <cell r="V269">
            <v>0.6932484673805146</v>
          </cell>
          <cell r="W269">
            <v>48.588025143229068</v>
          </cell>
        </row>
        <row r="270">
          <cell r="A270">
            <v>47849</v>
          </cell>
          <cell r="V270">
            <v>0.56492585643612903</v>
          </cell>
          <cell r="W270">
            <v>39.594219112081603</v>
          </cell>
        </row>
        <row r="271">
          <cell r="A271">
            <v>47880</v>
          </cell>
          <cell r="V271">
            <v>0.52294036437169689</v>
          </cell>
          <cell r="W271">
            <v>36.651562560981361</v>
          </cell>
        </row>
        <row r="272">
          <cell r="A272">
            <v>47908</v>
          </cell>
          <cell r="V272">
            <v>0.58343101987989898</v>
          </cell>
          <cell r="W272">
            <v>40.891199039181735</v>
          </cell>
        </row>
        <row r="273">
          <cell r="A273">
            <v>47939</v>
          </cell>
          <cell r="V273">
            <v>0.59282088913366437</v>
          </cell>
          <cell r="W273">
            <v>41.549311137312294</v>
          </cell>
        </row>
        <row r="274">
          <cell r="A274">
            <v>47969</v>
          </cell>
          <cell r="V274">
            <v>0.57420248528303475</v>
          </cell>
          <cell r="W274">
            <v>40.244394477576435</v>
          </cell>
        </row>
        <row r="275">
          <cell r="A275">
            <v>48000</v>
          </cell>
          <cell r="V275">
            <v>0.64299409416578823</v>
          </cell>
          <cell r="W275">
            <v>45.065823704341369</v>
          </cell>
        </row>
        <row r="276">
          <cell r="A276">
            <v>48030</v>
          </cell>
          <cell r="V276">
            <v>0.65795526383032743</v>
          </cell>
          <cell r="W276">
            <v>46.114414104518538</v>
          </cell>
        </row>
        <row r="277">
          <cell r="A277">
            <v>48061</v>
          </cell>
          <cell r="V277">
            <v>0.62278218523456474</v>
          </cell>
          <cell r="W277">
            <v>43.649222318904897</v>
          </cell>
        </row>
        <row r="278">
          <cell r="A278">
            <v>48092</v>
          </cell>
          <cell r="V278">
            <v>0.67668854295049696</v>
          </cell>
          <cell r="W278">
            <v>47.427382080264998</v>
          </cell>
        </row>
        <row r="279">
          <cell r="A279">
            <v>48122</v>
          </cell>
          <cell r="V279">
            <v>0.70867308236574689</v>
          </cell>
          <cell r="W279">
            <v>49.669097249394618</v>
          </cell>
        </row>
        <row r="280">
          <cell r="A280">
            <v>48153</v>
          </cell>
          <cell r="V280">
            <v>0.76123957563519995</v>
          </cell>
          <cell r="W280">
            <v>53.353349313187003</v>
          </cell>
        </row>
        <row r="281">
          <cell r="A281">
            <v>48183</v>
          </cell>
          <cell r="V281">
            <v>0.69310340993456065</v>
          </cell>
          <cell r="W281">
            <v>48.577858435096481</v>
          </cell>
        </row>
        <row r="282">
          <cell r="A282">
            <v>48214</v>
          </cell>
          <cell r="V282">
            <v>0.56769770031837297</v>
          </cell>
          <cell r="W282">
            <v>39.788490612965646</v>
          </cell>
        </row>
        <row r="283">
          <cell r="A283">
            <v>48245</v>
          </cell>
          <cell r="V283">
            <v>0.52364570846615099</v>
          </cell>
          <cell r="W283">
            <v>36.700998337919266</v>
          </cell>
        </row>
        <row r="284">
          <cell r="A284">
            <v>48274</v>
          </cell>
          <cell r="V284">
            <v>0.58251252975507872</v>
          </cell>
          <cell r="W284">
            <v>40.826824398084867</v>
          </cell>
        </row>
        <row r="285">
          <cell r="A285">
            <v>48305</v>
          </cell>
          <cell r="V285">
            <v>0.59249450164242656</v>
          </cell>
          <cell r="W285">
            <v>41.526435466644578</v>
          </cell>
        </row>
        <row r="286">
          <cell r="A286">
            <v>48335</v>
          </cell>
          <cell r="V286">
            <v>0.57645296103277022</v>
          </cell>
          <cell r="W286">
            <v>40.402124609639394</v>
          </cell>
        </row>
        <row r="287">
          <cell r="A287">
            <v>48366</v>
          </cell>
          <cell r="V287">
            <v>0.64186892565672737</v>
          </cell>
          <cell r="W287">
            <v>44.986963499983197</v>
          </cell>
        </row>
        <row r="288">
          <cell r="A288">
            <v>48396</v>
          </cell>
          <cell r="V288">
            <v>0.65934431787777736</v>
          </cell>
          <cell r="W288">
            <v>46.211769376341671</v>
          </cell>
        </row>
        <row r="289">
          <cell r="A289">
            <v>48427</v>
          </cell>
          <cell r="V289">
            <v>0.62256814336235666</v>
          </cell>
          <cell r="W289">
            <v>43.634220667465485</v>
          </cell>
        </row>
        <row r="290">
          <cell r="A290">
            <v>48458</v>
          </cell>
          <cell r="V290">
            <v>0.67623977708315863</v>
          </cell>
          <cell r="W290">
            <v>47.395929219895827</v>
          </cell>
        </row>
        <row r="291">
          <cell r="A291">
            <v>48488</v>
          </cell>
          <cell r="V291">
            <v>0.70912073780499563</v>
          </cell>
          <cell r="W291">
            <v>49.700472282678</v>
          </cell>
        </row>
        <row r="292">
          <cell r="A292">
            <v>48519</v>
          </cell>
          <cell r="V292">
            <v>0.76293776291035031</v>
          </cell>
          <cell r="W292">
            <v>53.472370948149553</v>
          </cell>
        </row>
        <row r="293">
          <cell r="A293">
            <v>48549</v>
          </cell>
          <cell r="V293">
            <v>0.69278490624314315</v>
          </cell>
          <cell r="W293">
            <v>48.555535319943722</v>
          </cell>
        </row>
        <row r="294">
          <cell r="A294">
            <v>48580</v>
          </cell>
          <cell r="V294">
            <v>0.57065168643287212</v>
          </cell>
          <cell r="W294">
            <v>39.995528000507754</v>
          </cell>
        </row>
        <row r="295">
          <cell r="A295">
            <v>48611</v>
          </cell>
          <cell r="V295">
            <v>0.5269627843768373</v>
          </cell>
          <cell r="W295">
            <v>36.933483767507617</v>
          </cell>
        </row>
        <row r="296">
          <cell r="A296">
            <v>48639</v>
          </cell>
          <cell r="V296">
            <v>0.58458325900200925</v>
          </cell>
          <cell r="W296">
            <v>40.97195655408494</v>
          </cell>
        </row>
        <row r="297">
          <cell r="A297">
            <v>48670</v>
          </cell>
          <cell r="V297">
            <v>0.59492463498874593</v>
          </cell>
          <cell r="W297">
            <v>41.696757343559099</v>
          </cell>
        </row>
        <row r="298">
          <cell r="A298">
            <v>48700</v>
          </cell>
          <cell r="V298">
            <v>0.57833978674217246</v>
          </cell>
          <cell r="W298">
            <v>40.534367433566196</v>
          </cell>
        </row>
        <row r="299">
          <cell r="A299">
            <v>48731</v>
          </cell>
          <cell r="V299">
            <v>0.6453111671384486</v>
          </cell>
          <cell r="W299">
            <v>45.228221466690144</v>
          </cell>
        </row>
        <row r="300">
          <cell r="A300">
            <v>48761</v>
          </cell>
          <cell r="V300">
            <v>0.66344432983013235</v>
          </cell>
          <cell r="W300">
            <v>46.49912880546713</v>
          </cell>
        </row>
        <row r="301">
          <cell r="A301">
            <v>48792</v>
          </cell>
          <cell r="V301">
            <v>0.62534974670554444</v>
          </cell>
          <cell r="W301">
            <v>43.829176184190942</v>
          </cell>
        </row>
        <row r="302">
          <cell r="A302">
            <v>48823</v>
          </cell>
          <cell r="V302">
            <v>0.67675822229376981</v>
          </cell>
          <cell r="W302">
            <v>47.432265728541488</v>
          </cell>
        </row>
        <row r="303">
          <cell r="A303">
            <v>48853</v>
          </cell>
          <cell r="V303">
            <v>0.7080635744420567</v>
          </cell>
          <cell r="W303">
            <v>49.626378386368266</v>
          </cell>
        </row>
        <row r="304">
          <cell r="A304">
            <v>48884</v>
          </cell>
          <cell r="V304">
            <v>0.76219880976403409</v>
          </cell>
          <cell r="W304">
            <v>53.42057959808924</v>
          </cell>
        </row>
        <row r="305">
          <cell r="A305">
            <v>48914</v>
          </cell>
          <cell r="V305">
            <v>0.69319524301332769</v>
          </cell>
          <cell r="W305">
            <v>48.584294782452531</v>
          </cell>
        </row>
      </sheetData>
      <sheetData sheetId="22"/>
      <sheetData sheetId="23"/>
      <sheetData sheetId="24"/>
      <sheetData sheetId="26">
        <row r="4">
          <cell r="N4">
            <v>2022</v>
          </cell>
          <cell r="O4">
            <v>2023</v>
          </cell>
          <cell r="P4">
            <v>2024</v>
          </cell>
          <cell r="Q4">
            <v>2025</v>
          </cell>
          <cell r="R4">
            <v>2026</v>
          </cell>
          <cell r="S4">
            <v>2027</v>
          </cell>
          <cell r="T4">
            <v>2028</v>
          </cell>
          <cell r="U4">
            <v>2029</v>
          </cell>
          <cell r="V4">
            <v>2030</v>
          </cell>
          <cell r="W4">
            <v>2031</v>
          </cell>
          <cell r="X4">
            <v>2032</v>
          </cell>
          <cell r="Y4">
            <v>2033</v>
          </cell>
        </row>
        <row r="17">
          <cell r="N17">
            <v>97.530225943199994</v>
          </cell>
          <cell r="O17">
            <v>121.5756134062096</v>
          </cell>
          <cell r="P17">
            <v>231.7065169209705</v>
          </cell>
          <cell r="Q17">
            <v>234.87493253662251</v>
          </cell>
          <cell r="R17">
            <v>112.13187228484125</v>
          </cell>
          <cell r="S17">
            <v>111.19553030466675</v>
          </cell>
          <cell r="T17">
            <v>113.46364903743309</v>
          </cell>
          <cell r="U17">
            <v>113.4636490374331</v>
          </cell>
          <cell r="V17">
            <v>119.76718509506827</v>
          </cell>
          <cell r="W17">
            <v>121.86836378094668</v>
          </cell>
          <cell r="X17">
            <v>123.96954246682508</v>
          </cell>
          <cell r="Y17">
            <v>126.0707211527035</v>
          </cell>
        </row>
        <row r="33">
          <cell r="N33">
            <v>0</v>
          </cell>
          <cell r="O33">
            <v>20.100022372917358</v>
          </cell>
          <cell r="P33">
            <v>64.246543397429519</v>
          </cell>
          <cell r="Q33">
            <v>65.125067463377604</v>
          </cell>
          <cell r="R33">
            <v>257.86812771515878</v>
          </cell>
          <cell r="S33">
            <v>373.80446969533318</v>
          </cell>
          <cell r="T33">
            <v>426.53635096256681</v>
          </cell>
          <cell r="U33">
            <v>426.53635096256687</v>
          </cell>
          <cell r="V33">
            <v>450.23281490493167</v>
          </cell>
          <cell r="W33">
            <v>458.13163621905329</v>
          </cell>
          <cell r="X33">
            <v>466.03045753317491</v>
          </cell>
          <cell r="Y33">
            <v>473.92927884729659</v>
          </cell>
        </row>
      </sheetData>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Monthly Change Chart"/>
      <sheetName val="Food Expenditure Series"/>
      <sheetName val="Chart Data"/>
      <sheetName val="quarterly series"/>
      <sheetName val="Chart1"/>
      <sheetName val="Chart2"/>
      <sheetName val="World Macro Links"/>
      <sheetName val="Canadian GDP"/>
      <sheetName val="Canada Population"/>
      <sheetName val="Mexico GDP"/>
      <sheetName val="Mexico Population"/>
      <sheetName val="macrodata - HOBO"/>
    </sheetNames>
    <sheetDataSet>
      <sheetData sheetId="0"/>
      <sheetData sheetId="1"/>
      <sheetData sheetId="2"/>
      <sheetData sheetId="3"/>
      <sheetData sheetId="4"/>
      <sheetData sheetId="5"/>
      <sheetData sheetId="6"/>
      <sheetData sheetId="7"/>
      <sheetData sheetId="8">
        <row r="5">
          <cell r="E5">
            <v>1.6629146501211833E-2</v>
          </cell>
        </row>
        <row r="6">
          <cell r="C6">
            <v>1.0331411946205682E-2</v>
          </cell>
          <cell r="E6">
            <v>1.3993585737395842E-2</v>
          </cell>
        </row>
        <row r="7">
          <cell r="C7">
            <v>1.3345210424425602E-2</v>
          </cell>
          <cell r="E7">
            <v>1.3376891508692257E-2</v>
          </cell>
        </row>
        <row r="8">
          <cell r="C8">
            <v>1.4999999999999902E-2</v>
          </cell>
          <cell r="E8">
            <v>1.2814865243682583E-2</v>
          </cell>
        </row>
        <row r="9">
          <cell r="C9">
            <v>1.5508792248231318E-2</v>
          </cell>
          <cell r="E9">
            <v>1.2363587837570744E-2</v>
          </cell>
        </row>
        <row r="10">
          <cell r="C10">
            <v>1.5326733738143306E-2</v>
          </cell>
          <cell r="E10">
            <v>1.1924551883395695E-2</v>
          </cell>
        </row>
        <row r="11">
          <cell r="C11">
            <v>1.5147336137451672E-2</v>
          </cell>
          <cell r="E11">
            <v>1.1487321008143869E-2</v>
          </cell>
        </row>
        <row r="12">
          <cell r="C12">
            <v>1.4960694644814643E-2</v>
          </cell>
          <cell r="E12">
            <v>1.1051594778038076E-2</v>
          </cell>
        </row>
        <row r="13">
          <cell r="C13">
            <v>1.4775088116109503E-2</v>
          </cell>
          <cell r="E13">
            <v>1.061470962872102E-2</v>
          </cell>
        </row>
        <row r="14">
          <cell r="C14">
            <v>1.4602017950613666E-2</v>
          </cell>
          <cell r="E14">
            <v>1.0176454112594602E-2</v>
          </cell>
        </row>
        <row r="15">
          <cell r="C15">
            <v>1.4431432912842324E-2</v>
          </cell>
          <cell r="E15">
            <v>9.7412199630313445E-3</v>
          </cell>
        </row>
        <row r="16">
          <cell r="C16">
            <v>1.4250738143847475E-2</v>
          </cell>
          <cell r="E16">
            <v>9.425284200120787E-3</v>
          </cell>
        </row>
        <row r="17">
          <cell r="C17">
            <v>1.4061495006649327E-2</v>
          </cell>
          <cell r="E17">
            <v>9.1060559692610621E-3</v>
          </cell>
        </row>
        <row r="18">
          <cell r="C18">
            <v>1.3877345752218551E-2</v>
          </cell>
          <cell r="E18">
            <v>8.7969951836677218E-3</v>
          </cell>
        </row>
        <row r="19">
          <cell r="C19">
            <v>1.3718124140362997E-2</v>
          </cell>
          <cell r="E19">
            <v>8.5042799754155851E-3</v>
          </cell>
        </row>
        <row r="20">
          <cell r="E20">
            <v>8.2250097706491054E-3</v>
          </cell>
        </row>
        <row r="21">
          <cell r="E21">
            <v>7.9739472462398986E-3</v>
          </cell>
        </row>
        <row r="22">
          <cell r="E22">
            <v>7.7544307152803693E-3</v>
          </cell>
        </row>
        <row r="23">
          <cell r="E23">
            <v>7.5632462453270044E-3</v>
          </cell>
        </row>
      </sheetData>
      <sheetData sheetId="9"/>
      <sheetData sheetId="10"/>
      <sheetData sheetId="1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ld Rapeseed"/>
      <sheetName val="Canada Rapeseed USDA Comp"/>
      <sheetName val="Canada Rapeseed"/>
      <sheetName val="Canada Canola Oil CY"/>
      <sheetName val="Australia Rapeseed"/>
      <sheetName val="China Rapeseed"/>
      <sheetName val="Chart1"/>
      <sheetName val="EU Rapeseed"/>
      <sheetName val="Ukraine Rapeseed"/>
      <sheetName val="Russia Rapeseed"/>
      <sheetName val="Japan Rapeseed"/>
      <sheetName val="India Rapeseed"/>
      <sheetName val="Mexico Rapeseed"/>
    </sheetNames>
    <sheetDataSet>
      <sheetData sheetId="0"/>
      <sheetData sheetId="1"/>
      <sheetData sheetId="2">
        <row r="289">
          <cell r="AC289">
            <v>56.702697461538435</v>
          </cell>
          <cell r="AD289">
            <v>95.23804153846153</v>
          </cell>
          <cell r="AE289">
            <v>52.925307692307769</v>
          </cell>
        </row>
        <row r="290">
          <cell r="AC290">
            <v>117.5704514615385</v>
          </cell>
          <cell r="AD290">
            <v>118.85282753846155</v>
          </cell>
          <cell r="AE290">
            <v>151.76430769230768</v>
          </cell>
        </row>
        <row r="291">
          <cell r="AC291">
            <v>125.07032846153848</v>
          </cell>
          <cell r="AD291">
            <v>110.71449153846159</v>
          </cell>
          <cell r="AE291">
            <v>94.521307692307687</v>
          </cell>
        </row>
        <row r="292">
          <cell r="AC292">
            <v>127.15600346153845</v>
          </cell>
          <cell r="AD292">
            <v>134.59346153846147</v>
          </cell>
          <cell r="AE292">
            <v>145.41830769230765</v>
          </cell>
        </row>
        <row r="293">
          <cell r="AC293">
            <v>92.683235461538516</v>
          </cell>
          <cell r="AD293">
            <v>77.277461538461509</v>
          </cell>
          <cell r="AE293">
            <v>101.39430769230768</v>
          </cell>
        </row>
        <row r="294">
          <cell r="AB294">
            <v>67.747566461538483</v>
          </cell>
          <cell r="AC294">
            <v>93.87063946153846</v>
          </cell>
          <cell r="AD294">
            <v>93.64446153846157</v>
          </cell>
        </row>
        <row r="295">
          <cell r="AB295">
            <v>106.9916144615384</v>
          </cell>
          <cell r="AC295">
            <v>89.416467461538474</v>
          </cell>
          <cell r="AD295">
            <v>51.416461538461547</v>
          </cell>
        </row>
        <row r="296">
          <cell r="AB296">
            <v>51.624403461538478</v>
          </cell>
          <cell r="AC296">
            <v>64.380756461538468</v>
          </cell>
          <cell r="AD296">
            <v>81.47146153846154</v>
          </cell>
        </row>
        <row r="297">
          <cell r="AB297">
            <v>110.43628346153847</v>
          </cell>
          <cell r="AC297">
            <v>66.158909461538485</v>
          </cell>
          <cell r="AD297">
            <v>69.101461538461521</v>
          </cell>
        </row>
        <row r="298">
          <cell r="AB298">
            <v>38.455945461538406</v>
          </cell>
          <cell r="AC298">
            <v>70.189577461538519</v>
          </cell>
          <cell r="AD298">
            <v>15.010461538461499</v>
          </cell>
        </row>
        <row r="299">
          <cell r="AB299">
            <v>128.9345864615384</v>
          </cell>
          <cell r="AC299">
            <v>100.54405646153842</v>
          </cell>
          <cell r="AD299">
            <v>89.598461538461535</v>
          </cell>
        </row>
        <row r="300">
          <cell r="AB300">
            <v>84.122179923076899</v>
          </cell>
          <cell r="AC300">
            <v>66.064999923076869</v>
          </cell>
          <cell r="AD300">
            <v>123.41492307692315</v>
          </cell>
        </row>
      </sheetData>
      <sheetData sheetId="3"/>
      <sheetData sheetId="4"/>
      <sheetData sheetId="5"/>
      <sheetData sheetId="6" refreshError="1"/>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Biodiesel "/>
      <sheetName val="Removed Projects"/>
      <sheetName val="Canada Renewable Diesel"/>
      <sheetName val="Renewable Diesel"/>
      <sheetName val="RD Feedstock Breakdown"/>
      <sheetName val="Co-Processing"/>
      <sheetName val="Co-Pro Feedstock Breakdown"/>
      <sheetName val="Feedstock Conversion Rates"/>
      <sheetName val="SBO Use"/>
      <sheetName val="Sheet1"/>
      <sheetName val="RD Feedstock Use"/>
      <sheetName val="SAF Feedstock Use"/>
    </sheetNames>
    <sheetDataSet>
      <sheetData sheetId="0"/>
      <sheetData sheetId="1"/>
      <sheetData sheetId="2"/>
      <sheetData sheetId="3"/>
      <sheetData sheetId="4"/>
      <sheetData sheetId="5"/>
      <sheetData sheetId="6"/>
      <sheetData sheetId="7"/>
      <sheetData sheetId="8">
        <row r="3">
          <cell r="B3">
            <v>8.01</v>
          </cell>
        </row>
        <row r="4">
          <cell r="B4">
            <v>7.5</v>
          </cell>
        </row>
        <row r="5">
          <cell r="B5">
            <v>7.55</v>
          </cell>
        </row>
        <row r="6">
          <cell r="B6">
            <v>9.3800000000000008</v>
          </cell>
        </row>
        <row r="7">
          <cell r="B7">
            <v>9.1999999999999993</v>
          </cell>
        </row>
        <row r="18">
          <cell r="B18">
            <v>7.45</v>
          </cell>
        </row>
        <row r="19">
          <cell r="B19">
            <v>8.1999999999999993</v>
          </cell>
        </row>
        <row r="22">
          <cell r="B22">
            <v>7.5</v>
          </cell>
        </row>
        <row r="25">
          <cell r="B25">
            <v>7.75</v>
          </cell>
        </row>
        <row r="28">
          <cell r="B28">
            <v>8.23</v>
          </cell>
        </row>
      </sheetData>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el Data"/>
    </sheetNames>
    <sheetDataSet>
      <sheetData sheetId="0">
        <row r="5">
          <cell r="B5">
            <v>9000534</v>
          </cell>
          <cell r="C5">
            <v>9936354</v>
          </cell>
          <cell r="D5">
            <v>10533567</v>
          </cell>
          <cell r="E5">
            <v>11097198</v>
          </cell>
          <cell r="F5">
            <v>12189205</v>
          </cell>
          <cell r="G5">
            <v>12117457</v>
          </cell>
          <cell r="H5">
            <v>12838327</v>
          </cell>
          <cell r="I5">
            <v>13179694</v>
          </cell>
          <cell r="J5">
            <v>13336346</v>
          </cell>
          <cell r="K5">
            <v>13737648</v>
          </cell>
          <cell r="L5">
            <v>14720634</v>
          </cell>
          <cell r="M5">
            <v>15671144</v>
          </cell>
          <cell r="N5">
            <v>16216420</v>
          </cell>
          <cell r="O5">
            <v>16611819</v>
          </cell>
          <cell r="P5">
            <v>17133467</v>
          </cell>
          <cell r="Q5">
            <v>16555321</v>
          </cell>
          <cell r="R5">
            <v>16188394</v>
          </cell>
          <cell r="S5">
            <v>16778508</v>
          </cell>
          <cell r="T5">
            <v>17797512</v>
          </cell>
          <cell r="U5">
            <v>17455650</v>
          </cell>
          <cell r="V5">
            <v>17893224</v>
          </cell>
          <cell r="W5">
            <v>18118660</v>
          </cell>
          <cell r="X5">
            <v>17993880</v>
          </cell>
          <cell r="Y5">
            <v>17019229</v>
          </cell>
          <cell r="Z5">
            <v>18056530</v>
          </cell>
          <cell r="AA5">
            <v>18257318</v>
          </cell>
          <cell r="AB5">
            <v>17836573</v>
          </cell>
          <cell r="AC5">
            <v>16222705</v>
          </cell>
          <cell r="AD5">
            <v>17885992</v>
          </cell>
        </row>
        <row r="18">
          <cell r="B18">
            <v>2256598</v>
          </cell>
          <cell r="C18">
            <v>2394880</v>
          </cell>
          <cell r="D18">
            <v>2602754</v>
          </cell>
          <cell r="E18">
            <v>2697172</v>
          </cell>
          <cell r="F18">
            <v>2962338</v>
          </cell>
          <cell r="G18">
            <v>2990116</v>
          </cell>
          <cell r="H18">
            <v>3075109</v>
          </cell>
          <cell r="I18">
            <v>2922047</v>
          </cell>
          <cell r="J18">
            <v>2899166</v>
          </cell>
          <cell r="K18">
            <v>3002660</v>
          </cell>
          <cell r="L18">
            <v>3111707</v>
          </cell>
          <cell r="M18">
            <v>3293206</v>
          </cell>
          <cell r="N18">
            <v>3242833</v>
          </cell>
          <cell r="O18">
            <v>3193472</v>
          </cell>
          <cell r="P18">
            <v>3176610</v>
          </cell>
          <cell r="Q18">
            <v>2929446</v>
          </cell>
          <cell r="R18">
            <v>2948481</v>
          </cell>
          <cell r="S18">
            <v>2953111</v>
          </cell>
          <cell r="T18">
            <v>3117994</v>
          </cell>
          <cell r="U18">
            <v>3127333</v>
          </cell>
          <cell r="V18">
            <v>2958876</v>
          </cell>
          <cell r="W18">
            <v>3207281</v>
          </cell>
          <cell r="X18">
            <v>3176703</v>
          </cell>
          <cell r="Y18">
            <v>2780097</v>
          </cell>
          <cell r="Z18">
            <v>3042434</v>
          </cell>
          <cell r="AA18">
            <v>3201096</v>
          </cell>
          <cell r="AB18">
            <v>3359760</v>
          </cell>
          <cell r="AC18">
            <v>2962120</v>
          </cell>
          <cell r="AD18">
            <v>3629139</v>
          </cell>
        </row>
        <row r="31">
          <cell r="B31">
            <v>2830500</v>
          </cell>
          <cell r="C31">
            <v>3070400</v>
          </cell>
          <cell r="D31">
            <v>3321300</v>
          </cell>
          <cell r="E31">
            <v>3452600</v>
          </cell>
          <cell r="F31">
            <v>3785600</v>
          </cell>
          <cell r="G31">
            <v>3772900</v>
          </cell>
          <cell r="H31">
            <v>4028500</v>
          </cell>
          <cell r="I31">
            <v>4335000</v>
          </cell>
          <cell r="J31">
            <v>4355105</v>
          </cell>
          <cell r="K31">
            <v>4561028</v>
          </cell>
          <cell r="L31">
            <v>5029839</v>
          </cell>
          <cell r="M31">
            <v>5303501</v>
          </cell>
          <cell r="N31">
            <v>5430385</v>
          </cell>
          <cell r="O31">
            <v>5384342</v>
          </cell>
          <cell r="P31">
            <v>5380481</v>
          </cell>
          <cell r="Q31">
            <v>5132435</v>
          </cell>
          <cell r="R31">
            <v>4760095</v>
          </cell>
          <cell r="S31">
            <v>4986523</v>
          </cell>
          <cell r="T31">
            <v>5020838</v>
          </cell>
          <cell r="U31">
            <v>5043892</v>
          </cell>
          <cell r="V31">
            <v>5171298</v>
          </cell>
          <cell r="W31">
            <v>4942571</v>
          </cell>
          <cell r="X31">
            <v>5432052</v>
          </cell>
          <cell r="Y31">
            <v>5459048</v>
          </cell>
          <cell r="Z31">
            <v>5501338</v>
          </cell>
          <cell r="AA31">
            <v>5545020</v>
          </cell>
          <cell r="AB31">
            <v>5569736</v>
          </cell>
          <cell r="AC31">
            <v>5182354</v>
          </cell>
          <cell r="AD31">
            <v>5507779</v>
          </cell>
        </row>
        <row r="44">
          <cell r="B44">
            <v>361542</v>
          </cell>
          <cell r="C44">
            <v>387555</v>
          </cell>
          <cell r="D44">
            <v>404763</v>
          </cell>
          <cell r="E44">
            <v>435218</v>
          </cell>
          <cell r="F44">
            <v>435316</v>
          </cell>
          <cell r="G44">
            <v>439040</v>
          </cell>
          <cell r="H44">
            <v>457772</v>
          </cell>
          <cell r="I44">
            <v>459958</v>
          </cell>
          <cell r="J44">
            <v>469804</v>
          </cell>
          <cell r="K44">
            <v>486941</v>
          </cell>
          <cell r="L44">
            <v>488185</v>
          </cell>
          <cell r="M44">
            <v>525835</v>
          </cell>
          <cell r="N44">
            <v>545585</v>
          </cell>
          <cell r="O44">
            <v>560428</v>
          </cell>
          <cell r="P44">
            <v>692065</v>
          </cell>
          <cell r="Q44">
            <v>737729</v>
          </cell>
          <cell r="R44">
            <v>727478</v>
          </cell>
          <cell r="S44">
            <v>784956</v>
          </cell>
          <cell r="T44">
            <v>781078</v>
          </cell>
          <cell r="U44">
            <v>777907</v>
          </cell>
          <cell r="V44">
            <v>788827</v>
          </cell>
          <cell r="W44">
            <v>814767</v>
          </cell>
          <cell r="X44">
            <v>794019</v>
          </cell>
          <cell r="Y44">
            <v>774002</v>
          </cell>
          <cell r="Z44">
            <v>799760</v>
          </cell>
          <cell r="AA44">
            <v>790024</v>
          </cell>
          <cell r="AB44">
            <v>771768</v>
          </cell>
          <cell r="AC44">
            <v>726194</v>
          </cell>
          <cell r="AD44">
            <v>751117</v>
          </cell>
        </row>
        <row r="57">
          <cell r="B57">
            <v>512268</v>
          </cell>
          <cell r="C57">
            <v>601605</v>
          </cell>
          <cell r="D57">
            <v>596404</v>
          </cell>
          <cell r="E57">
            <v>666350</v>
          </cell>
          <cell r="F57">
            <v>874091</v>
          </cell>
          <cell r="G57">
            <v>774161</v>
          </cell>
          <cell r="H57">
            <v>811645</v>
          </cell>
          <cell r="I57">
            <v>833144</v>
          </cell>
          <cell r="J57">
            <v>854377</v>
          </cell>
          <cell r="K57">
            <v>819207</v>
          </cell>
          <cell r="L57">
            <v>856147</v>
          </cell>
          <cell r="M57">
            <v>905789</v>
          </cell>
          <cell r="N57">
            <v>955799</v>
          </cell>
          <cell r="O57">
            <v>1009216</v>
          </cell>
          <cell r="P57">
            <v>1086998</v>
          </cell>
          <cell r="Q57">
            <v>1191964</v>
          </cell>
          <cell r="R57">
            <v>1172376</v>
          </cell>
          <cell r="S57">
            <v>1231752</v>
          </cell>
          <cell r="T57">
            <v>1390009</v>
          </cell>
          <cell r="U57">
            <v>1404366</v>
          </cell>
          <cell r="V57">
            <v>1356060</v>
          </cell>
          <cell r="W57">
            <v>1471550</v>
          </cell>
          <cell r="X57">
            <v>1314643</v>
          </cell>
          <cell r="Y57">
            <v>1255995</v>
          </cell>
          <cell r="Z57">
            <v>1439862</v>
          </cell>
          <cell r="AA57">
            <v>1333818</v>
          </cell>
          <cell r="AB57">
            <v>1326923</v>
          </cell>
          <cell r="AC57">
            <v>1086577</v>
          </cell>
          <cell r="AD57">
            <v>1310955</v>
          </cell>
        </row>
        <row r="70">
          <cell r="B70">
            <v>989618</v>
          </cell>
          <cell r="C70">
            <v>1080544</v>
          </cell>
          <cell r="D70">
            <v>1126368</v>
          </cell>
          <cell r="E70">
            <v>1173583</v>
          </cell>
          <cell r="F70">
            <v>1203370</v>
          </cell>
          <cell r="G70">
            <v>1173724</v>
          </cell>
          <cell r="H70">
            <v>1319012</v>
          </cell>
          <cell r="I70">
            <v>1370074</v>
          </cell>
          <cell r="J70">
            <v>1329901</v>
          </cell>
          <cell r="K70">
            <v>1418915</v>
          </cell>
          <cell r="L70">
            <v>1515135</v>
          </cell>
          <cell r="M70">
            <v>1647352</v>
          </cell>
          <cell r="N70">
            <v>1681135</v>
          </cell>
          <cell r="O70">
            <v>1721635</v>
          </cell>
          <cell r="P70">
            <v>1796611</v>
          </cell>
          <cell r="Q70">
            <v>1714031</v>
          </cell>
          <cell r="R70">
            <v>1647876</v>
          </cell>
          <cell r="S70">
            <v>1838578</v>
          </cell>
          <cell r="T70">
            <v>2221338</v>
          </cell>
          <cell r="U70">
            <v>1761637</v>
          </cell>
          <cell r="V70">
            <v>2145516</v>
          </cell>
          <cell r="W70">
            <v>1922523</v>
          </cell>
          <cell r="X70">
            <v>1852896</v>
          </cell>
          <cell r="Y70">
            <v>1837722</v>
          </cell>
          <cell r="Z70">
            <v>1910156</v>
          </cell>
          <cell r="AA70">
            <v>1963507</v>
          </cell>
          <cell r="AB70">
            <v>1819262</v>
          </cell>
          <cell r="AC70">
            <v>1850987</v>
          </cell>
          <cell r="AD70">
            <v>2086759</v>
          </cell>
        </row>
        <row r="83">
          <cell r="B83">
            <v>1250900</v>
          </cell>
          <cell r="C83">
            <v>1526000</v>
          </cell>
          <cell r="D83">
            <v>1555300</v>
          </cell>
          <cell r="E83">
            <v>1711700</v>
          </cell>
          <cell r="F83">
            <v>1969500</v>
          </cell>
          <cell r="G83">
            <v>1934600</v>
          </cell>
          <cell r="H83">
            <v>1973800</v>
          </cell>
          <cell r="I83">
            <v>2173500</v>
          </cell>
          <cell r="J83">
            <v>2293900</v>
          </cell>
          <cell r="K83">
            <v>2285900</v>
          </cell>
          <cell r="L83">
            <v>2496100</v>
          </cell>
          <cell r="M83">
            <v>2715800</v>
          </cell>
          <cell r="N83">
            <v>3008500</v>
          </cell>
          <cell r="O83">
            <v>3373400</v>
          </cell>
          <cell r="P83">
            <v>3580000</v>
          </cell>
          <cell r="Q83">
            <v>3488800</v>
          </cell>
          <cell r="R83">
            <v>3632700</v>
          </cell>
          <cell r="S83">
            <v>3629600</v>
          </cell>
          <cell r="T83">
            <v>4812000</v>
          </cell>
          <cell r="U83">
            <v>6702000</v>
          </cell>
          <cell r="V83">
            <v>7250000</v>
          </cell>
          <cell r="W83">
            <v>7573000</v>
          </cell>
          <cell r="X83">
            <v>6367000</v>
          </cell>
          <cell r="Y83">
            <v>5723000</v>
          </cell>
          <cell r="Z83">
            <v>6541000</v>
          </cell>
          <cell r="AA83">
            <v>6354000</v>
          </cell>
          <cell r="AB83">
            <v>6244000</v>
          </cell>
          <cell r="AC83">
            <v>3153900</v>
          </cell>
          <cell r="AD83">
            <v>3244700</v>
          </cell>
        </row>
        <row r="98">
          <cell r="B98">
            <v>139223</v>
          </cell>
          <cell r="C98">
            <v>151045</v>
          </cell>
          <cell r="D98">
            <v>142912</v>
          </cell>
          <cell r="E98">
            <v>141611</v>
          </cell>
          <cell r="F98">
            <v>147363</v>
          </cell>
          <cell r="G98">
            <v>149750</v>
          </cell>
          <cell r="H98">
            <v>167693</v>
          </cell>
          <cell r="I98">
            <v>186856</v>
          </cell>
          <cell r="J98">
            <v>182501</v>
          </cell>
          <cell r="K98">
            <v>187045</v>
          </cell>
          <cell r="L98">
            <v>191870</v>
          </cell>
          <cell r="M98">
            <v>201565</v>
          </cell>
          <cell r="N98">
            <v>224357</v>
          </cell>
          <cell r="O98">
            <v>238703</v>
          </cell>
          <cell r="P98">
            <v>245690</v>
          </cell>
          <cell r="Q98">
            <v>264232</v>
          </cell>
          <cell r="R98">
            <v>239501</v>
          </cell>
          <cell r="S98">
            <v>276546</v>
          </cell>
          <cell r="T98">
            <v>289985</v>
          </cell>
          <cell r="U98">
            <v>266750</v>
          </cell>
          <cell r="V98">
            <v>312260</v>
          </cell>
          <cell r="W98">
            <v>316566</v>
          </cell>
          <cell r="X98">
            <v>360213</v>
          </cell>
          <cell r="Y98">
            <v>349145</v>
          </cell>
          <cell r="Z98">
            <v>347145</v>
          </cell>
          <cell r="AA98">
            <v>196538</v>
          </cell>
          <cell r="AB98">
            <v>293453</v>
          </cell>
          <cell r="AC98">
            <v>286458</v>
          </cell>
          <cell r="AD98">
            <v>286017</v>
          </cell>
        </row>
        <row r="111">
          <cell r="B111">
            <v>306443</v>
          </cell>
          <cell r="C111">
            <v>337180</v>
          </cell>
          <cell r="D111">
            <v>368065</v>
          </cell>
          <cell r="E111">
            <v>369005</v>
          </cell>
          <cell r="F111">
            <v>391080</v>
          </cell>
          <cell r="G111">
            <v>383899</v>
          </cell>
          <cell r="H111">
            <v>474232</v>
          </cell>
          <cell r="I111">
            <v>453306</v>
          </cell>
          <cell r="J111">
            <v>409974</v>
          </cell>
          <cell r="K111">
            <v>431026</v>
          </cell>
          <cell r="L111">
            <v>458788</v>
          </cell>
          <cell r="M111">
            <v>457890</v>
          </cell>
          <cell r="N111">
            <v>480374</v>
          </cell>
          <cell r="O111">
            <v>466058</v>
          </cell>
          <cell r="P111">
            <v>480268</v>
          </cell>
          <cell r="Q111">
            <v>468689</v>
          </cell>
          <cell r="R111">
            <v>452303</v>
          </cell>
          <cell r="S111">
            <v>478245</v>
          </cell>
          <cell r="T111">
            <v>472237</v>
          </cell>
          <cell r="U111">
            <v>427456</v>
          </cell>
          <cell r="V111">
            <v>370677</v>
          </cell>
          <cell r="W111">
            <v>381275</v>
          </cell>
          <cell r="X111">
            <v>428083</v>
          </cell>
          <cell r="Y111">
            <v>405455</v>
          </cell>
          <cell r="Z111">
            <v>478696</v>
          </cell>
          <cell r="AA111">
            <v>411031</v>
          </cell>
          <cell r="AB111">
            <v>443042</v>
          </cell>
          <cell r="AC111">
            <v>403224</v>
          </cell>
          <cell r="AD111">
            <v>400895</v>
          </cell>
        </row>
        <row r="124">
          <cell r="B124">
            <v>31492</v>
          </cell>
          <cell r="C124">
            <v>34061</v>
          </cell>
          <cell r="D124">
            <v>32985</v>
          </cell>
          <cell r="E124">
            <v>35730</v>
          </cell>
          <cell r="F124">
            <v>36925</v>
          </cell>
          <cell r="G124">
            <v>41883</v>
          </cell>
          <cell r="H124">
            <v>43448</v>
          </cell>
          <cell r="I124">
            <v>44756</v>
          </cell>
          <cell r="J124">
            <v>44524</v>
          </cell>
          <cell r="K124">
            <v>43554</v>
          </cell>
          <cell r="L124">
            <v>47743</v>
          </cell>
          <cell r="M124">
            <v>53785</v>
          </cell>
          <cell r="N124">
            <v>46368</v>
          </cell>
          <cell r="O124">
            <v>46265</v>
          </cell>
          <cell r="P124">
            <v>46931</v>
          </cell>
          <cell r="Q124">
            <v>43906</v>
          </cell>
          <cell r="R124">
            <v>58738</v>
          </cell>
          <cell r="S124">
            <v>45768</v>
          </cell>
          <cell r="T124">
            <v>48647</v>
          </cell>
          <cell r="U124">
            <v>40938</v>
          </cell>
          <cell r="V124">
            <v>37611</v>
          </cell>
          <cell r="W124">
            <v>39880</v>
          </cell>
          <cell r="X124">
            <v>48447</v>
          </cell>
          <cell r="Y124">
            <v>46616</v>
          </cell>
          <cell r="Z124">
            <v>47583</v>
          </cell>
          <cell r="AA124">
            <v>50093</v>
          </cell>
          <cell r="AB124">
            <v>51861</v>
          </cell>
          <cell r="AC124">
            <v>50171</v>
          </cell>
          <cell r="AD124">
            <v>52033</v>
          </cell>
        </row>
        <row r="137">
          <cell r="B137">
            <v>274963</v>
          </cell>
          <cell r="C137">
            <v>281733</v>
          </cell>
          <cell r="D137">
            <v>290766</v>
          </cell>
          <cell r="E137">
            <v>315285</v>
          </cell>
          <cell r="F137">
            <v>304915</v>
          </cell>
          <cell r="G137">
            <v>328250</v>
          </cell>
          <cell r="H137">
            <v>344394</v>
          </cell>
          <cell r="I137">
            <v>352916</v>
          </cell>
          <cell r="J137">
            <v>360323</v>
          </cell>
          <cell r="K137">
            <v>365077</v>
          </cell>
          <cell r="L137">
            <v>396459</v>
          </cell>
          <cell r="M137">
            <v>418771</v>
          </cell>
          <cell r="N137">
            <v>417863</v>
          </cell>
          <cell r="O137">
            <v>456929</v>
          </cell>
          <cell r="P137">
            <v>435338</v>
          </cell>
          <cell r="Q137">
            <v>418907</v>
          </cell>
          <cell r="R137">
            <v>407387</v>
          </cell>
          <cell r="S137">
            <v>424334</v>
          </cell>
          <cell r="T137">
            <v>415427</v>
          </cell>
          <cell r="U137">
            <v>387458</v>
          </cell>
          <cell r="V137">
            <v>401030</v>
          </cell>
          <cell r="W137">
            <v>401662</v>
          </cell>
          <cell r="X137">
            <v>389215</v>
          </cell>
          <cell r="Y137">
            <v>384649</v>
          </cell>
          <cell r="Z137">
            <v>411252</v>
          </cell>
          <cell r="AA137">
            <v>421581</v>
          </cell>
          <cell r="AB137">
            <v>390520</v>
          </cell>
          <cell r="AC137">
            <v>351151</v>
          </cell>
          <cell r="AD137">
            <v>398219</v>
          </cell>
        </row>
        <row r="150">
          <cell r="B150">
            <v>23269</v>
          </cell>
          <cell r="C150">
            <v>39501</v>
          </cell>
          <cell r="D150">
            <v>48013</v>
          </cell>
          <cell r="E150">
            <v>46158</v>
          </cell>
          <cell r="F150">
            <v>30746</v>
          </cell>
          <cell r="G150">
            <v>32192</v>
          </cell>
          <cell r="H150">
            <v>40410</v>
          </cell>
          <cell r="I150">
            <v>43621</v>
          </cell>
          <cell r="J150">
            <v>39127</v>
          </cell>
          <cell r="K150">
            <v>41786</v>
          </cell>
          <cell r="L150">
            <v>37448</v>
          </cell>
          <cell r="M150">
            <v>41453</v>
          </cell>
          <cell r="N150">
            <v>44772</v>
          </cell>
          <cell r="O150">
            <v>43137</v>
          </cell>
          <cell r="P150">
            <v>43789</v>
          </cell>
          <cell r="Q150">
            <v>46827</v>
          </cell>
          <cell r="R150">
            <v>50197</v>
          </cell>
          <cell r="S150">
            <v>55958</v>
          </cell>
          <cell r="T150">
            <v>63585</v>
          </cell>
          <cell r="U150">
            <v>60227</v>
          </cell>
          <cell r="V150">
            <v>52852</v>
          </cell>
          <cell r="W150">
            <v>54899</v>
          </cell>
          <cell r="X150">
            <v>57247</v>
          </cell>
          <cell r="Y150">
            <v>55802</v>
          </cell>
          <cell r="Z150">
            <v>54879</v>
          </cell>
          <cell r="AA150">
            <v>61373</v>
          </cell>
          <cell r="AB150">
            <v>61280</v>
          </cell>
          <cell r="AC150">
            <v>57821</v>
          </cell>
          <cell r="AD150">
            <v>60561</v>
          </cell>
        </row>
        <row r="163">
          <cell r="B163">
            <v>23146.514260301821</v>
          </cell>
          <cell r="C163">
            <v>11101.300708591674</v>
          </cell>
          <cell r="D163">
            <v>42438.145518413832</v>
          </cell>
          <cell r="E163">
            <v>50374.247047868957</v>
          </cell>
          <cell r="F163">
            <v>45686.004297633015</v>
          </cell>
          <cell r="G163">
            <v>92464.508536022666</v>
          </cell>
          <cell r="H163">
            <v>99851</v>
          </cell>
          <cell r="I163">
            <v>1574</v>
          </cell>
          <cell r="J163">
            <v>94313</v>
          </cell>
          <cell r="K163">
            <v>90190</v>
          </cell>
          <cell r="L163">
            <v>86890</v>
          </cell>
          <cell r="M163">
            <v>101291</v>
          </cell>
          <cell r="N163">
            <v>133768</v>
          </cell>
          <cell r="O163">
            <v>113045</v>
          </cell>
          <cell r="P163">
            <v>162327</v>
          </cell>
          <cell r="Q163">
            <v>112391</v>
          </cell>
          <cell r="R163">
            <v>86013</v>
          </cell>
          <cell r="S163">
            <v>65588</v>
          </cell>
          <cell r="T163">
            <v>104541</v>
          </cell>
          <cell r="U163">
            <v>93260</v>
          </cell>
          <cell r="V163">
            <v>84550</v>
          </cell>
          <cell r="W163">
            <v>95019</v>
          </cell>
          <cell r="X163">
            <v>109688</v>
          </cell>
          <cell r="Y163">
            <v>125682</v>
          </cell>
          <cell r="Z163">
            <v>137931</v>
          </cell>
          <cell r="AA163">
            <v>133353</v>
          </cell>
          <cell r="AB163">
            <v>113024</v>
          </cell>
          <cell r="AC163">
            <v>100363</v>
          </cell>
          <cell r="AD163">
            <v>117237</v>
          </cell>
        </row>
        <row r="175">
          <cell r="B175">
            <v>5941.2636230001372</v>
          </cell>
          <cell r="C175">
            <v>10577.540484997946</v>
          </cell>
          <cell r="D175">
            <v>9930.107399679946</v>
          </cell>
          <cell r="E175">
            <v>13997.160051407183</v>
          </cell>
          <cell r="F175">
            <v>11859.665416379328</v>
          </cell>
          <cell r="G175">
            <v>12173.843584954273</v>
          </cell>
          <cell r="H175">
            <v>7591</v>
          </cell>
          <cell r="I175">
            <v>9869</v>
          </cell>
          <cell r="J175">
            <v>9482</v>
          </cell>
          <cell r="K175">
            <v>10941</v>
          </cell>
          <cell r="L175">
            <v>10809</v>
          </cell>
          <cell r="M175">
            <v>11478</v>
          </cell>
          <cell r="N175">
            <v>23367</v>
          </cell>
          <cell r="O175">
            <v>12016</v>
          </cell>
          <cell r="P175">
            <v>17179</v>
          </cell>
          <cell r="Q175">
            <v>17687</v>
          </cell>
          <cell r="R175">
            <v>22991</v>
          </cell>
          <cell r="S175">
            <v>12291</v>
          </cell>
          <cell r="T175">
            <v>19332</v>
          </cell>
          <cell r="U175">
            <v>34697</v>
          </cell>
          <cell r="V175">
            <v>13903</v>
          </cell>
          <cell r="W175">
            <v>20655</v>
          </cell>
          <cell r="X175">
            <v>20283</v>
          </cell>
          <cell r="Y175">
            <v>25118</v>
          </cell>
          <cell r="Z175">
            <v>15507</v>
          </cell>
          <cell r="AA175">
            <v>15732</v>
          </cell>
          <cell r="AB175">
            <v>15558</v>
          </cell>
          <cell r="AC175">
            <v>13365</v>
          </cell>
          <cell r="AD175">
            <v>22922</v>
          </cell>
        </row>
        <row r="191">
          <cell r="B191">
            <v>3.7854100000000002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Dashboard"/>
      <sheetName val="Credit Transfers"/>
      <sheetName val="Credit Market Chart"/>
      <sheetName val="BC Hydro &amp; Powerex"/>
      <sheetName val="Formula Inputs"/>
    </sheetNames>
    <sheetDataSet>
      <sheetData sheetId="0" refreshError="1"/>
      <sheetData sheetId="1" refreshError="1"/>
      <sheetData sheetId="2" refreshError="1"/>
      <sheetData sheetId="3">
        <row r="5">
          <cell r="D5" t="str">
            <v>Number of Credits</v>
          </cell>
        </row>
      </sheetData>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150.statcan.gc.ca/t1/tbl1/en/cv!recreate.action?pid=2510008201&amp;selectedNodeIds=&amp;checkedLevels=0D1,1D1,2D1,2D2&amp;refPeriods=20200101,20221001&amp;dimensionLayouts=layout3,layout3,layout3,layout2&amp;vectorDisplay=false" TargetMode="External"/><Relationship Id="rId1" Type="http://schemas.openxmlformats.org/officeDocument/2006/relationships/hyperlink" Target="https://www150.statcan.gc.ca/t1/tbl1/en/cv!recreate.action?pid=2510008201&amp;selectedNodeIds=&amp;checkedLevels=0D1,1D1,2D1,2D2&amp;refPeriods=20200101,20220101&amp;dimensionLayouts=layout3,layout3,layout3,layout2&amp;vectorDisplay=fals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2" Type="http://schemas.openxmlformats.org/officeDocument/2006/relationships/hyperlink" Target="https://www.ogj.com/refining-processing/refining/article/14208893/mothballed-wyoming-refinery-slated-for-new-life-as-renewables-plant" TargetMode="External"/><Relationship Id="rId1" Type="http://schemas.openxmlformats.org/officeDocument/2006/relationships/hyperlink" Target="https://www.fool.com/earnings/call-transcripts/2021/07/31/chevron-cvx-q2-2021-earnings-call-transcript/"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fool.com/earnings/call-transcripts/2021/08/04/hollyfrontier-corp-hfc-q2-2021-earnings-call-trans/" TargetMode="External"/><Relationship Id="rId3" Type="http://schemas.openxmlformats.org/officeDocument/2006/relationships/hyperlink" Target="https://www.herald-dispatch.com/business/massive-refiners-are-turning-into-biofuel-plants-in-the-west/article_d866ef72-1bd9-5d6d-ae59-a5899364c00d.html" TargetMode="External"/><Relationship Id="rId7" Type="http://schemas.openxmlformats.org/officeDocument/2006/relationships/hyperlink" Target="https://www.fool.com/earnings/call-transcripts/2021/08/04/marathon-petroleum-mpc-q2-2021-earnings-call-trans/" TargetMode="External"/><Relationship Id="rId2" Type="http://schemas.openxmlformats.org/officeDocument/2006/relationships/hyperlink" Target="https://nextrenewables.com/faq" TargetMode="External"/><Relationship Id="rId1" Type="http://schemas.openxmlformats.org/officeDocument/2006/relationships/hyperlink" Target="https://www.marathonpetroleum.com/Operations/Refining/Dickinson-Refinery/" TargetMode="External"/><Relationship Id="rId6" Type="http://schemas.openxmlformats.org/officeDocument/2006/relationships/hyperlink" Target="https://www.fool.com/earnings/call-transcripts/2021/07/30/pbf-energy-pbf-q2-2021-earnings-call-transcript/" TargetMode="External"/><Relationship Id="rId5" Type="http://schemas.openxmlformats.org/officeDocument/2006/relationships/hyperlink" Target="https://www.fool.com/earnings/call-transcripts/2021/05/04/marathon-petroleum-mpc-q1-2021-earnings-call-trans/" TargetMode="External"/><Relationship Id="rId10" Type="http://schemas.openxmlformats.org/officeDocument/2006/relationships/hyperlink" Target="https://static.seekingalpha.com/uploads/sa_presentations/152/73152/original.pdf" TargetMode="External"/><Relationship Id="rId4" Type="http://schemas.openxmlformats.org/officeDocument/2006/relationships/hyperlink" Target="https://apps.fas.usda.gov/newgainapi/api/report/downloadreportbyfilename?filename=Biofuels%20Annual_The%20Hague_EU-28_7-15-2019.pdf" TargetMode="External"/><Relationship Id="rId9" Type="http://schemas.openxmlformats.org/officeDocument/2006/relationships/hyperlink" Target="https://www.fool.com/earnings/call-transcripts/2021/08/04/hollyfrontier-corp-hfc-q2-2021-earnings-call-trans/" TargetMode="External"/></Relationships>
</file>

<file path=xl/worksheets/_rels/sheet25.xml.rels><?xml version="1.0" encoding="UTF-8" standalone="yes"?>
<Relationships xmlns="http://schemas.openxmlformats.org/package/2006/relationships"><Relationship Id="rId117" Type="http://schemas.openxmlformats.org/officeDocument/2006/relationships/hyperlink" Target="https://www.carbonrecycling.is/projects" TargetMode="External"/><Relationship Id="rId21" Type="http://schemas.openxmlformats.org/officeDocument/2006/relationships/hyperlink" Target="https://biorrefineria.blogspot.com/2015/08/rotterdam-biorefinery-neste-oil.html" TargetMode="External"/><Relationship Id="rId42" Type="http://schemas.openxmlformats.org/officeDocument/2006/relationships/hyperlink" Target="https://apnews.com/press-release/pr-businesswire/a29a94a4d689467cb3f17ffb9f86f5f6" TargetMode="External"/><Relationship Id="rId63" Type="http://schemas.openxmlformats.org/officeDocument/2006/relationships/hyperlink" Target="http://fulcrum-bioenergy.com/wp-content/uploads/2018/12/2018-12-13-Fulcrum-Centerpoint-Announcement-FINAL.pdf" TargetMode="External"/><Relationship Id="rId84" Type="http://schemas.openxmlformats.org/officeDocument/2006/relationships/hyperlink" Target="https://iea-amf.org/content/publications/country_reports/spain" TargetMode="External"/><Relationship Id="rId138" Type="http://schemas.openxmlformats.org/officeDocument/2006/relationships/hyperlink" Target="http://www.lakecountyexam.com/news/red-rock-out-of-money-looks-to-bonds/article_5646b0d2-a791-11eb-8cb5-df27bea4d221.html" TargetMode="External"/><Relationship Id="rId159" Type="http://schemas.openxmlformats.org/officeDocument/2006/relationships/hyperlink" Target="https://www.fuelsandlubes.com/readifuels-iowa-awards-technology-contract-to-clg-and-ara/" TargetMode="External"/><Relationship Id="rId170" Type="http://schemas.openxmlformats.org/officeDocument/2006/relationships/hyperlink" Target="https://static.seekingalpha.com/uploads/sa_presentations/152/73152/original.pdf" TargetMode="External"/><Relationship Id="rId107" Type="http://schemas.openxmlformats.org/officeDocument/2006/relationships/hyperlink" Target="https://www.sec.gov/ix?doc=/Archives/edgar/data/1463258/000162828020015948/regi-20200930.htm" TargetMode="External"/><Relationship Id="rId11" Type="http://schemas.openxmlformats.org/officeDocument/2006/relationships/hyperlink" Target="https://www.miljodirektoratet.no/globalassets/publikasjoner/m1420/m1420.pdf" TargetMode="External"/><Relationship Id="rId32" Type="http://schemas.openxmlformats.org/officeDocument/2006/relationships/hyperlink" Target="https://www.miljodirektoratet.no/globalassets/publikasjoner/m1420/m1420.pdf" TargetMode="External"/><Relationship Id="rId53" Type="http://schemas.openxmlformats.org/officeDocument/2006/relationships/hyperlink" Target="https://www.total.com/media/news/actualites/energy-transition-total-is-investing-more-than-eu500-million-to-convert-its" TargetMode="External"/><Relationship Id="rId74" Type="http://schemas.openxmlformats.org/officeDocument/2006/relationships/hyperlink" Target="https://www.sec.gov/ix?doc=/Archives/edgar/data/916540/000091654020000022/dar-20200627.htm" TargetMode="External"/><Relationship Id="rId128" Type="http://schemas.openxmlformats.org/officeDocument/2006/relationships/hyperlink" Target="https://www.rigzone.com/news/tot_starts_making_sustainable_aviation_fuel_in_france-13-apr-2021-165144-article/" TargetMode="External"/><Relationship Id="rId149" Type="http://schemas.openxmlformats.org/officeDocument/2006/relationships/hyperlink" Target="https://www.thedickinsonpress.com/business/energy-and-mining/4534339-new-refinery-floated-western-north-dakota" TargetMode="External"/><Relationship Id="rId5" Type="http://schemas.openxmlformats.org/officeDocument/2006/relationships/hyperlink" Target="https://biorrefineria.blogspot.com/2019/02/ecb-group-will-build-renewable-diesel-biorefinery-in-paraguay-HVO-honeywell-UOP-ecofining.html" TargetMode="External"/><Relationship Id="rId95" Type="http://schemas.openxmlformats.org/officeDocument/2006/relationships/hyperlink" Target="https://www.businessreport.com/business/massive-1-2b-renewable-diesel-facility-planned-for-port-of-greater-baton-rouge" TargetMode="External"/><Relationship Id="rId160" Type="http://schemas.openxmlformats.org/officeDocument/2006/relationships/hyperlink" Target="https://www.prnewswire.com/news-releases/fulcrum-bioenergy-completes-construction-of-the-sierra-biofuels-plant-301326178.html" TargetMode="External"/><Relationship Id="rId181" Type="http://schemas.openxmlformats.org/officeDocument/2006/relationships/hyperlink" Target="https://www.aemetis.com/aemetis-notified-of-us-forest-service-grant-for-patented-process-enabling-use-of-waste-wood-for-the-carbon-zero-jet-diesel-plant/" TargetMode="External"/><Relationship Id="rId22" Type="http://schemas.openxmlformats.org/officeDocument/2006/relationships/hyperlink" Target="https://www.neste.us/about-neste/who-we-are/production-0" TargetMode="External"/><Relationship Id="rId43" Type="http://schemas.openxmlformats.org/officeDocument/2006/relationships/hyperlink" Target="https://biorrefineria.blogspot.com/2019/02/next-renewable-fuels-secures-land-in-oregon-for-renewable-diesel-biorefinery.html" TargetMode="External"/><Relationship Id="rId64" Type="http://schemas.openxmlformats.org/officeDocument/2006/relationships/hyperlink" Target="https://www.fool.com/earnings/call-transcripts/2020/08/05/cvr-energy-inc-cvi-q2-2020-earnings-call-transcrip.aspx" TargetMode="External"/><Relationship Id="rId118" Type="http://schemas.openxmlformats.org/officeDocument/2006/relationships/hyperlink" Target="https://www.carbonrecycling.is/projects" TargetMode="External"/><Relationship Id="rId139" Type="http://schemas.openxmlformats.org/officeDocument/2006/relationships/hyperlink" Target="https://www.fool.com/earnings/call-transcripts/2021/04/22/valero-energy-vlo-q1-2021-earnings-call-transcript/" TargetMode="External"/><Relationship Id="rId85" Type="http://schemas.openxmlformats.org/officeDocument/2006/relationships/hyperlink" Target="https://www.repsol.com/imagenes/global/en/annual_esg_engagement_report_tcm14-152967.pdf" TargetMode="External"/><Relationship Id="rId150" Type="http://schemas.openxmlformats.org/officeDocument/2006/relationships/hyperlink" Target="https://www.willistonherald.com/news/oil_and_energy/company-seeking-to-build-renewable-diesel-jet-fuel-plant-by-trenton/article_15ba44fe-c319-11eb-94e7-3fa2ce8304d2.html?utm_source=Energy+News+Network+daily+email+digests&amp;utm_campaign=2bd837c47c-EMAIL_CAMPAIGN_2020_05_11_11_36_COPY_01&amp;utm_medium=email&amp;utm_term=0_724b1f01f5-2bd837c47c-89257479" TargetMode="External"/><Relationship Id="rId171" Type="http://schemas.openxmlformats.org/officeDocument/2006/relationships/hyperlink" Target="https://www.biofuelsdigest.com/bdigest/2021/09/20/sca-and-st1-form-advanced-biofuels-jv-to-build-60mgy-project-in-finland-by-2023/" TargetMode="External"/><Relationship Id="rId12" Type="http://schemas.openxmlformats.org/officeDocument/2006/relationships/hyperlink" Target="https://biorrefineria.blogspot.com/2019/06/total-ready-to-start-up-its-hvo-biorefinery-in-la-mede.html" TargetMode="External"/><Relationship Id="rId33" Type="http://schemas.openxmlformats.org/officeDocument/2006/relationships/hyperlink" Target="https://www.spglobal.com/platts/en/market-insights/latest-news/agriculture/081720-feature-us-refiners-accelerate-plans-to-reconfigure-plants" TargetMode="External"/><Relationship Id="rId108" Type="http://schemas.openxmlformats.org/officeDocument/2006/relationships/hyperlink" Target="https://www.cielows.com/cielo-provides-positive-update-on-its-production-levels-signs-a-research-agreement-with-the-university-of-calgary-and-will-host-a-live-webinar-on-thursday-october-22nd/" TargetMode="External"/><Relationship Id="rId129" Type="http://schemas.openxmlformats.org/officeDocument/2006/relationships/hyperlink" Target="https://www.rigzone.com/news/tot_starts_making_sustainable_aviation_fuel_in_france-13-apr-2021-165144-article/" TargetMode="External"/><Relationship Id="rId54" Type="http://schemas.openxmlformats.org/officeDocument/2006/relationships/hyperlink" Target="https://www.altenergymag.com/story/2020/09/energy-transition-total-is-investing-more-than-&#8364;500-million-to-convert-its-grandpuits-refinery-into-a-zero-crude-platform-for-biofuels-and-bioplastics/33814/" TargetMode="External"/><Relationship Id="rId75" Type="http://schemas.openxmlformats.org/officeDocument/2006/relationships/hyperlink" Target="https://biorrefineria.blogspot.com/2019/10/diamond-green-diesel-to-expand-again-its-capacity-of-renewable-diesel-using-honeywell-uop-technology-HVO.html" TargetMode="External"/><Relationship Id="rId96" Type="http://schemas.openxmlformats.org/officeDocument/2006/relationships/hyperlink" Target="https://www.phillips66.com/newsroom/2020-humber-uco" TargetMode="External"/><Relationship Id="rId140" Type="http://schemas.openxmlformats.org/officeDocument/2006/relationships/hyperlink" Target="https://www.theobserver.ca/news/local-news/work-set-to-begin-in-the-spring-on-30-million-biofuel-plant-in-sombra" TargetMode="External"/><Relationship Id="rId161" Type="http://schemas.openxmlformats.org/officeDocument/2006/relationships/hyperlink" Target="https://www.fool.com/earnings/call-transcripts/2021/08/03/cvr-energy-inc-cvi-q2-2021-earnings-call-transcrip/" TargetMode="External"/><Relationship Id="rId182" Type="http://schemas.openxmlformats.org/officeDocument/2006/relationships/hyperlink" Target="https://www.aemetis.com/aemetis-unveils-five-year-plan-targeting-1-billion-of-revenue-by-2025/" TargetMode="External"/><Relationship Id="rId6" Type="http://schemas.openxmlformats.org/officeDocument/2006/relationships/hyperlink" Target="https://biorrefineria.blogspot.com/2019/09/st1-to-build-biorefinery-to-produce-renewable-diesel-and-jet-fuel-in-sweden-HVO-biojet.html" TargetMode="External"/><Relationship Id="rId23" Type="http://schemas.openxmlformats.org/officeDocument/2006/relationships/hyperlink" Target="https://www.total.com/media/news/press-releases/total-starts-la-mede-biorefinery" TargetMode="External"/><Relationship Id="rId119" Type="http://schemas.openxmlformats.org/officeDocument/2006/relationships/hyperlink" Target="https://www.methanol.org/wp-content/uploads/2019/01/MethanolReport.pdf" TargetMode="External"/><Relationship Id="rId44" Type="http://schemas.openxmlformats.org/officeDocument/2006/relationships/hyperlink" Target="https://investor.phillips66.com/financial-information/news-releases/news-release-details/2020/Phillips-66-and-Renewable-Energy-Group-Withdraw-Renewable-Diesel-Project-in-Washington-State/default.aspx" TargetMode="External"/><Relationship Id="rId65" Type="http://schemas.openxmlformats.org/officeDocument/2006/relationships/hyperlink" Target="https://www.fool.com/earnings/call-transcripts/2020/08/04/marathon-petroleum-mpc-q2-2020-earnings-call-trans.aspx" TargetMode="External"/><Relationship Id="rId86" Type="http://schemas.openxmlformats.org/officeDocument/2006/relationships/hyperlink" Target="https://www.iene.eu/european-refinery-plans-threaten-biofuel-glut-p1460.html" TargetMode="External"/><Relationship Id="rId130" Type="http://schemas.openxmlformats.org/officeDocument/2006/relationships/hyperlink" Target="https://biofuels-news.com/news/agreement-reached-to-develop-saf-at-german-site/" TargetMode="External"/><Relationship Id="rId151" Type="http://schemas.openxmlformats.org/officeDocument/2006/relationships/hyperlink" Target="http://www.biomassmagazine.com/articles/18056/clg-ara-to-supply-technology-to-iowa-renewable-diesel-saf-plant" TargetMode="External"/><Relationship Id="rId172" Type="http://schemas.openxmlformats.org/officeDocument/2006/relationships/hyperlink" Target="https://www.biobased-diesel.com/post/shell-to-make-renewable-diesel-saf-at-rotterdam-refinery" TargetMode="External"/><Relationship Id="rId13" Type="http://schemas.openxmlformats.org/officeDocument/2006/relationships/hyperlink" Target="http://www.worldenergy.net/insights/world-energy-announces-purchase-of-southern-california-assets-from-delek/" TargetMode="External"/><Relationship Id="rId18" Type="http://schemas.openxmlformats.org/officeDocument/2006/relationships/hyperlink" Target="https://biorrefineria.blogspot.com/2017/03/diamond-green-diesel-to-expand-hvo-capacity-Norco-biorefinery-Honeywell-UOP-ecofining.html" TargetMode="External"/><Relationship Id="rId39" Type="http://schemas.openxmlformats.org/officeDocument/2006/relationships/hyperlink" Target="https://translate.google.com/translate?hl=en&amp;sl=es&amp;u=https://www.noticiasdenavarra.com/economia/2019/04/06/oleofat-tudela-reabre-planta-biodiesel/820548.html&amp;prev=search&amp;pto=aue" TargetMode="External"/><Relationship Id="rId109" Type="http://schemas.openxmlformats.org/officeDocument/2006/relationships/hyperlink" Target="https://www.gotostage.com/channel/3f0b3dd1be414e4b96988fa94e5da086/recording/19b9e68bac1c4f64b0b7e795866847cb/watch?__hsfp=725288161&amp;__hssc=251652889.1.1606334997683&amp;__hstc=251652889.830b192db93661683cab7e5666323a7c.1606334997683.1606334997683.1606334997683.1" TargetMode="External"/><Relationship Id="rId34" Type="http://schemas.openxmlformats.org/officeDocument/2006/relationships/hyperlink" Target="https://www.parkland.ca/application/files/4816/0149/4254/Parkland-Inaugural-Sustainability-Report-EN.pdf" TargetMode="External"/><Relationship Id="rId50" Type="http://schemas.openxmlformats.org/officeDocument/2006/relationships/hyperlink" Target="https://translate.google.com/translate?hl=en&amp;sl=sv&amp;u=https://www.bussmagasinet.se/2020/09/stor-anlaggning-for-hvo-produktion/&amp;prev=search&amp;pto=aue" TargetMode="External"/><Relationship Id="rId55" Type="http://schemas.openxmlformats.org/officeDocument/2006/relationships/hyperlink" Target="https://sec.report/Document/0001213900-20-011358/ea121551-8k_globalclean.htm" TargetMode="External"/><Relationship Id="rId76" Type="http://schemas.openxmlformats.org/officeDocument/2006/relationships/hyperlink" Target="https://www.argusmedia.com/en/news/1950868-qa-neste-singapore-expansion-targets-biojet" TargetMode="External"/><Relationship Id="rId97" Type="http://schemas.openxmlformats.org/officeDocument/2006/relationships/hyperlink" Target="https://www.phillips66.com/newsroom/2020-humber-uco" TargetMode="External"/><Relationship Id="rId104" Type="http://schemas.openxmlformats.org/officeDocument/2006/relationships/hyperlink" Target="https://www.redrockbio.com/redrockshellpressrelease/" TargetMode="External"/><Relationship Id="rId120" Type="http://schemas.openxmlformats.org/officeDocument/2006/relationships/hyperlink" Target="https://www.ecbgroup.com.br/en/noticias/49/ecb-group-and-bp-enter-into-advanced" TargetMode="External"/><Relationship Id="rId125" Type="http://schemas.openxmlformats.org/officeDocument/2006/relationships/hyperlink" Target="http://www.biodieselmagazine.com/articles/2517408/cvr-energy-construction-underway-on-renewable-diesel-project" TargetMode="External"/><Relationship Id="rId141" Type="http://schemas.openxmlformats.org/officeDocument/2006/relationships/hyperlink" Target="https://renewablesnow.com/news/fidelis-koch-team-up-on-usd-92bn-renewable-fuel-project-in-louisiana-738728/" TargetMode="External"/><Relationship Id="rId146" Type="http://schemas.openxmlformats.org/officeDocument/2006/relationships/hyperlink" Target="https://www.ecbgroup.com.br/en/group/ecb-paraguay/ecb-group-paraguay" TargetMode="External"/><Relationship Id="rId167" Type="http://schemas.openxmlformats.org/officeDocument/2006/relationships/hyperlink" Target="https://www.fool.com/earnings/call-transcripts/2021/08/04/marathon-petroleum-mpc-q2-2021-earnings-call-trans/" TargetMode="External"/><Relationship Id="rId7" Type="http://schemas.openxmlformats.org/officeDocument/2006/relationships/hyperlink" Target="https://biorrefineria.blogspot.com/2018/09/andeavor-to-transform-dickinson-refinery-into-a-renewable-diesel-biorefinery.html" TargetMode="External"/><Relationship Id="rId71" Type="http://schemas.openxmlformats.org/officeDocument/2006/relationships/hyperlink" Target="https://www.miljodirektoratet.no/globalassets/publikasjoner/m1420/m1420.pdf" TargetMode="External"/><Relationship Id="rId92" Type="http://schemas.openxmlformats.org/officeDocument/2006/relationships/hyperlink" Target="https://www.lanzatech.com/2020/06/02/lanzajet-takes-off/" TargetMode="External"/><Relationship Id="rId162" Type="http://schemas.openxmlformats.org/officeDocument/2006/relationships/hyperlink" Target="https://seekingalpha.com/article/4425777-calumet-specialty-products-partners-l-p-clmt-ceo-steve-mawer-on-q1-2021-results-earnings-call" TargetMode="External"/><Relationship Id="rId183" Type="http://schemas.openxmlformats.org/officeDocument/2006/relationships/hyperlink" Target="https://labusinessjournal.com/news/2020/jan/22/world-energy-gets-11-million-state-tax-credit/" TargetMode="External"/><Relationship Id="rId2" Type="http://schemas.openxmlformats.org/officeDocument/2006/relationships/hyperlink" Target="https://www.cowi.com/about/news-and-press/preem-takes-next-step-towards-supplying-green-fuel" TargetMode="External"/><Relationship Id="rId29" Type="http://schemas.openxmlformats.org/officeDocument/2006/relationships/hyperlink" Target="https://www.miljodirektoratet.no/globalassets/publikasjoner/m1420/m1420.pdf" TargetMode="External"/><Relationship Id="rId24" Type="http://schemas.openxmlformats.org/officeDocument/2006/relationships/hyperlink" Target="https://www.miljodirektoratet.no/globalassets/publikasjoner/m1420/m1420.pdf" TargetMode="External"/><Relationship Id="rId40" Type="http://schemas.openxmlformats.org/officeDocument/2006/relationships/hyperlink" Target="https://www.prnewswire.com/news-releases/marathon-petroleum-corp-reports-second-quarter-2020-results-301104550.html" TargetMode="External"/><Relationship Id="rId45" Type="http://schemas.openxmlformats.org/officeDocument/2006/relationships/hyperlink" Target="https://bioenergyinternational.com/biofuels-oils/st1-to-invest-eur-200-million-in-new-biorefinery-to-produce-renewable-diesel-and-jet-fuel" TargetMode="External"/><Relationship Id="rId66" Type="http://schemas.openxmlformats.org/officeDocument/2006/relationships/hyperlink" Target="https://seaboardenergy.com/hugoton-ks/" TargetMode="External"/><Relationship Id="rId87" Type="http://schemas.openxmlformats.org/officeDocument/2006/relationships/hyperlink" Target="https://www.eafo.eu/alternative-fuels/advanced-biofuels/hvo" TargetMode="External"/><Relationship Id="rId110" Type="http://schemas.openxmlformats.org/officeDocument/2006/relationships/hyperlink" Target="https://www.youtube.com/watch?v=DxRW0fFLUVY&amp;feature=youtu.be" TargetMode="External"/><Relationship Id="rId115" Type="http://schemas.openxmlformats.org/officeDocument/2006/relationships/hyperlink" Target="https://finance.yahoo.com/news/phillips-66-announces-2021-capital-120000106.html" TargetMode="External"/><Relationship Id="rId131" Type="http://schemas.openxmlformats.org/officeDocument/2006/relationships/hyperlink" Target="https://www.dtnpf.com/agriculture/web/ag/news/business-inputs/article/2021/04/20/loves-cargill-jv-produce-market" TargetMode="External"/><Relationship Id="rId136" Type="http://schemas.openxmlformats.org/officeDocument/2006/relationships/hyperlink" Target="https://www.agbioen.com/media" TargetMode="External"/><Relationship Id="rId157" Type="http://schemas.openxmlformats.org/officeDocument/2006/relationships/hyperlink" Target="https://seekingalpha.com/article/4443318-exxon-mobil-corporation-xom-ceo-darren-woods-on-q2-2021-results-earnings-call-transcript" TargetMode="External"/><Relationship Id="rId178" Type="http://schemas.openxmlformats.org/officeDocument/2006/relationships/hyperlink" Target="https://www.aemetis.com/aemetis-opens-bid-proposal-process-for-2-billion-offtake-agreement-for-carbon-zero-renewable-jet-and-diesel-fuels/" TargetMode="External"/><Relationship Id="rId61" Type="http://schemas.openxmlformats.org/officeDocument/2006/relationships/hyperlink" Target="https://www.hollyfrontier.com/investor-relations/press-releases/Press-Release-Details/2020/HollyFrontier-Announces-Expansion-of-Renewables-Business/default.aspx" TargetMode="External"/><Relationship Id="rId82" Type="http://schemas.openxmlformats.org/officeDocument/2006/relationships/hyperlink" Target="https://translate.googleusercontent.com/translate_c?depth=1&amp;hl=en&amp;prev=search&amp;pto=aue&amp;rurl=translate.google.com&amp;sl=es&amp;sp=nmt4&amp;u=https://www.cnmc.es/estadistica/estadistica-de-biocarburantes&amp;usg=ALkJrhi8ZE_-QBPt7rqWoCacwVXwNWYEkg" TargetMode="External"/><Relationship Id="rId152" Type="http://schemas.openxmlformats.org/officeDocument/2006/relationships/hyperlink" Target="../../../../torem/AppData/Roaming/Microsof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Lane/Downloads/SAFuels%20X%20Land%20Use%20Permit.pdf" TargetMode="External"/><Relationship Id="rId173" Type="http://schemas.openxmlformats.org/officeDocument/2006/relationships/hyperlink" Target="https://www.shell.com/media/news-and-media-releases/2021/shell-to-build-one-of-europes-biggest-biofuels-facilities.html" TargetMode="External"/><Relationship Id="rId19" Type="http://schemas.openxmlformats.org/officeDocument/2006/relationships/hyperlink" Target="https://regi.com/about-reg/locations/biorefineries/production-mode/reg-geismar-llc" TargetMode="External"/><Relationship Id="rId14" Type="http://schemas.openxmlformats.org/officeDocument/2006/relationships/hyperlink" Target="http://biorrefineria.blogspot.com/2016/03/AltAir-Fuels-Honeywell-UOP-biorefinery-California-HVO.html" TargetMode="External"/><Relationship Id="rId30" Type="http://schemas.openxmlformats.org/officeDocument/2006/relationships/hyperlink" Target="https://www.miljodirektoratet.no/globalassets/publikasjoner/m1420/m1420.pdf" TargetMode="External"/><Relationship Id="rId35" Type="http://schemas.openxmlformats.org/officeDocument/2006/relationships/hyperlink" Target="https://advancedbiofuelsusa.info/cielo-signs-mou-with-renewable-u-halifax-to-build-renewable-diesel-refinery/" TargetMode="External"/><Relationship Id="rId56" Type="http://schemas.openxmlformats.org/officeDocument/2006/relationships/hyperlink" Target="https://corporate.exxonmobil.com/News/Newsroom/News-releases/2020/0811_ExxonMobil-and-Global-Clean-Energy-Holdings-sign-agreement-for-renewable-diesel" TargetMode="External"/><Relationship Id="rId77" Type="http://schemas.openxmlformats.org/officeDocument/2006/relationships/hyperlink" Target="http://biomassmagazine.com/articles/15699/world-energy-invests-350m-to-expand-paramount-biofuel-production" TargetMode="External"/><Relationship Id="rId100" Type="http://schemas.openxmlformats.org/officeDocument/2006/relationships/hyperlink" Target="http://ryzerenewables.com/facilities.html" TargetMode="External"/><Relationship Id="rId105" Type="http://schemas.openxmlformats.org/officeDocument/2006/relationships/hyperlink" Target="https://www.fool.com/earnings/call-transcripts/2020/10/23/valero-energy-vlo-q3-2020-earnings-call-transcript/" TargetMode="External"/><Relationship Id="rId126" Type="http://schemas.openxmlformats.org/officeDocument/2006/relationships/hyperlink" Target="http://www.lakecountyexam.com/red-rock-vacates-training-facility/article_5c6ace0c-3dfc-5fef-b78b-049992bbf706.html" TargetMode="External"/><Relationship Id="rId147" Type="http://schemas.openxmlformats.org/officeDocument/2006/relationships/hyperlink" Target="https://www.reuters.com/business/energy/vertex-energy-acquire-shells-mobile-alabama-refinery-2021-05-26/" TargetMode="External"/><Relationship Id="rId168" Type="http://schemas.openxmlformats.org/officeDocument/2006/relationships/hyperlink" Target="https://www.fool.com/earnings/call-transcripts/2021/08/04/marathon-petroleum-mpc-q2-2021-earnings-call-trans/" TargetMode="External"/><Relationship Id="rId8" Type="http://schemas.openxmlformats.org/officeDocument/2006/relationships/hyperlink" Target="https://biorrefineria.blogspot.com/2019/04/extract-lur-will-retrofit-former-biodiesel-plant-to-produce-renewable-diesel-in-Spain-HVO-Caparroso-Navarre-Oleofat.html" TargetMode="External"/><Relationship Id="rId51" Type="http://schemas.openxmlformats.org/officeDocument/2006/relationships/hyperlink" Target="https://translate.google.com/translate?hl=en&amp;sl=sv&amp;u=https://news.cision.com/se/colabitoil/r/colabitoil-forvarvar-norrsundets-hamn-ab,c3185942&amp;prev=search&amp;pto=aue" TargetMode="External"/><Relationship Id="rId72" Type="http://schemas.openxmlformats.org/officeDocument/2006/relationships/hyperlink" Target="https://preem-en.newsroom.cision.com/releasedetail.html?new-facility-will-provide-a-million-cubic-meters-of-renewable-energy&amp;releaseIdentifier=960F3BD9C8F8C07E" TargetMode="External"/><Relationship Id="rId93" Type="http://schemas.openxmlformats.org/officeDocument/2006/relationships/hyperlink" Target="https://www.theadvocate.com/baton_rouge/news/business/article_b4c139d2-2390-11eb-b1d3-e30816ef9024.html" TargetMode="External"/><Relationship Id="rId98" Type="http://schemas.openxmlformats.org/officeDocument/2006/relationships/hyperlink" Target="https://www.reuters.com/article/us-canada-fuels-usa/u-s-oil-refiners-look-to-leapfrog-canadians-in-making-renewable-diesel-idUSKBN26P06E?il=0" TargetMode="External"/><Relationship Id="rId121" Type="http://schemas.openxmlformats.org/officeDocument/2006/relationships/hyperlink" Target="https://www.ecbgroup.com.br/en/noticias/52/ecb-group-signs-biofuel-purchase" TargetMode="External"/><Relationship Id="rId142" Type="http://schemas.openxmlformats.org/officeDocument/2006/relationships/hyperlink" Target="https://www.nola.com/news/business/article_2bf572c8-2609-11eb-9cb0-c7e7e0197101.amp.html" TargetMode="External"/><Relationship Id="rId163" Type="http://schemas.openxmlformats.org/officeDocument/2006/relationships/hyperlink" Target="https://www.businesswire.com/news/home/20210323005427/en/Northwest-Advanced-Bio-Fuels-Secures-Construction-Equity-Commitment-MOU-for-Sustainable-Aviation-Fuel-Project-in-Washington-State" TargetMode="External"/><Relationship Id="rId184" Type="http://schemas.openxmlformats.org/officeDocument/2006/relationships/hyperlink" Target="https://www.petrolplaza.com/news/28002" TargetMode="External"/><Relationship Id="rId3" Type="http://schemas.openxmlformats.org/officeDocument/2006/relationships/hyperlink" Target="https://biorrefineria.blogspot.com/2019/05/repsol-intends-to-build-plant-to-produce-2G-biofuels-in-its-cartagena-complex.html" TargetMode="External"/><Relationship Id="rId25" Type="http://schemas.openxmlformats.org/officeDocument/2006/relationships/hyperlink" Target="https://www.biofuelsdigest.com/bdigest/2020/03/15/preem-selects-hydroflex-for-renewable-fuels-plant-with-potential-to-save-2-5m-tons-co2/" TargetMode="External"/><Relationship Id="rId46" Type="http://schemas.openxmlformats.org/officeDocument/2006/relationships/hyperlink" Target="https://www.ecbgroup.com.br/en/noticias/37/renewable-diesel-arrives-in-south" TargetMode="External"/><Relationship Id="rId67" Type="http://schemas.openxmlformats.org/officeDocument/2006/relationships/hyperlink" Target="https://www.kansas.com/news/business/article119902263.html" TargetMode="External"/><Relationship Id="rId116" Type="http://schemas.openxmlformats.org/officeDocument/2006/relationships/hyperlink" Target="https://energycapitalmedia.com/2020/12/14/phillips-66-capital-biofuels/" TargetMode="External"/><Relationship Id="rId137" Type="http://schemas.openxmlformats.org/officeDocument/2006/relationships/hyperlink" Target="http://www.lakecountyexam.com/news/red-rock-out-of-money-looks-to-bonds/article_5646b0d2-a791-11eb-8cb5-df27bea4d221.html" TargetMode="External"/><Relationship Id="rId158" Type="http://schemas.openxmlformats.org/officeDocument/2006/relationships/hyperlink" Target="https://docoh.com/filing/748790/0001520138-21-000195/GCEH-10K-2020FY" TargetMode="External"/><Relationship Id="rId20" Type="http://schemas.openxmlformats.org/officeDocument/2006/relationships/hyperlink" Target="https://biorrefineria.blogspot.com/2018/12/neste-announces-1400-million-euros-investment-in-singapore-to-extend-its-production-capacity-HVO-biorefinery.html" TargetMode="External"/><Relationship Id="rId41" Type="http://schemas.openxmlformats.org/officeDocument/2006/relationships/hyperlink" Target="https://biofuels-news.com/news/next-renewable-fuels-granted-lease-for-1-billion-biodiesel-plant-in-oregon/" TargetMode="External"/><Relationship Id="rId62" Type="http://schemas.openxmlformats.org/officeDocument/2006/relationships/hyperlink" Target="https://fulcrum-bioenergy.com/facilities/" TargetMode="External"/><Relationship Id="rId83" Type="http://schemas.openxmlformats.org/officeDocument/2006/relationships/hyperlink" Target="../../../../torem/AppData/Roaming/Microsof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Application%20Support/Library/Containers/com.microsoft.Excel/Data/Library/Lane/Desktop/Library/Containers/com.microsoft.Excel/Data/Library/Application%20Support/Downloads/Texto%20del%20Proyecto%20de%20Real%20Decreto.pdf" TargetMode="External"/><Relationship Id="rId88" Type="http://schemas.openxmlformats.org/officeDocument/2006/relationships/hyperlink" Target="https://www.agrochart.com/en/news/6444/spains-biodiesel-and-renewable-diesel-outlook.html" TargetMode="External"/><Relationship Id="rId111" Type="http://schemas.openxmlformats.org/officeDocument/2006/relationships/hyperlink" Target="https://biorrefineria.blogspot.com/2015/09/hydrotreated-vegetable-oils-hvo.biorefineries.html" TargetMode="External"/><Relationship Id="rId132" Type="http://schemas.openxmlformats.org/officeDocument/2006/relationships/hyperlink" Target="https://www.phillips66.com/newsroom/rodeo-renewed.html" TargetMode="External"/><Relationship Id="rId153" Type="http://schemas.openxmlformats.org/officeDocument/2006/relationships/hyperlink" Target="https://s22.q4cdn.com/128149789/files/doc_presentations/2021/05/Investor-Update-May-2021.pdf" TargetMode="External"/><Relationship Id="rId174" Type="http://schemas.openxmlformats.org/officeDocument/2006/relationships/hyperlink" Target="https://www.shell.com/media/news-and-media-releases/2021/shell-to-build-one-of-europes-biggest-biofuels-facilities.html" TargetMode="External"/><Relationship Id="rId179" Type="http://schemas.openxmlformats.org/officeDocument/2006/relationships/hyperlink" Target="https://www.aemetis.com/aemetis-selects-axens-vegan-technology-for-its-carbon-zero-project-in-riverbank-california-for-the-production-of-renewable-diesel-and-sustainable-aviation-fuel/" TargetMode="External"/><Relationship Id="rId15" Type="http://schemas.openxmlformats.org/officeDocument/2006/relationships/hyperlink" Target="https://www.upmbiofuels.com/about-upm-biofuels/production/upm-lappeenranta-biorefinery/" TargetMode="External"/><Relationship Id="rId36" Type="http://schemas.openxmlformats.org/officeDocument/2006/relationships/hyperlink" Target="https://stockhouse.com/news/press-releases/2020/09/28/cielo-closes-first-tranche-of-private-placement-and-agrees-to-settlement-of" TargetMode="External"/><Relationship Id="rId57" Type="http://schemas.openxmlformats.org/officeDocument/2006/relationships/hyperlink" Target="http://emeraldbiofuels.com/projects" TargetMode="External"/><Relationship Id="rId106" Type="http://schemas.openxmlformats.org/officeDocument/2006/relationships/hyperlink" Target="https://www.sec.gov/ix?doc=/Archives/edgar/data/916540/000091654020000022/dar-20200627.htm" TargetMode="External"/><Relationship Id="rId127" Type="http://schemas.openxmlformats.org/officeDocument/2006/relationships/hyperlink" Target="https://www.prnewswire.com/news-releases/marathon-petroleum-corp-reports-fourth-quarter-2020-results-301219856.html" TargetMode="External"/><Relationship Id="rId10" Type="http://schemas.openxmlformats.org/officeDocument/2006/relationships/hyperlink" Target="https://www.galp.com/corp/en/about-us/our-businesses/refining-and-marketing/biofuels" TargetMode="External"/><Relationship Id="rId31" Type="http://schemas.openxmlformats.org/officeDocument/2006/relationships/hyperlink" Target="http://task39.sites.olt.ubc.ca/files/2018/04/Van-Dyk-drop-in-presentation-April-2018.pdf" TargetMode="External"/><Relationship Id="rId52" Type="http://schemas.openxmlformats.org/officeDocument/2006/relationships/hyperlink" Target="https://www.aktiespararna.se/analysguiden/nyheter/colabitoil-colabitoil-satsar-pa-fornybar-bensin-och-flygbransle-i-europa" TargetMode="External"/><Relationship Id="rId73" Type="http://schemas.openxmlformats.org/officeDocument/2006/relationships/hyperlink" Target="https://www.eni.com/en-IT/operations/biorefineries.html" TargetMode="External"/><Relationship Id="rId78" Type="http://schemas.openxmlformats.org/officeDocument/2006/relationships/hyperlink" Target="https://labusinessjournal.com/news/2020/jan/22/world-energy-gets-11-million-state-tax-credit/" TargetMode="External"/><Relationship Id="rId94" Type="http://schemas.openxmlformats.org/officeDocument/2006/relationships/hyperlink" Target="https://www.newsbreak.com/louisiana/baton-rouge/news/2100129527143/grn-fuels-announces-potential-92-billion-renewable-fuel-complex-in-louisiana" TargetMode="External"/><Relationship Id="rId99" Type="http://schemas.openxmlformats.org/officeDocument/2006/relationships/hyperlink" Target="https://www.reuters.com/article/us-canada-fuels-usa/u-s-oil-refiners-look-to-leapfrog-canadians-in-making-renewable-diesel-idUSKBN26P06E?il=0" TargetMode="External"/><Relationship Id="rId101" Type="http://schemas.openxmlformats.org/officeDocument/2006/relationships/hyperlink" Target="https://www.fool.com/earnings/call-transcripts/2020/11/02/marathon-petroleum-mpc-q3-2020-earnings-call-trans/" TargetMode="External"/><Relationship Id="rId122" Type="http://schemas.openxmlformats.org/officeDocument/2006/relationships/hyperlink" Target="https://www.spglobal.com/platts/en/market-insights/latest-news/agriculture/021121-pbf-energy-considering-renewable-diesel-project-at-chalmette-louisiana-refinery" TargetMode="External"/><Relationship Id="rId143" Type="http://schemas.openxmlformats.org/officeDocument/2006/relationships/hyperlink" Target="https://www.fool.com/earnings/call-transcripts/2021/04/30/pbf-energy-pbf-q1-2021-earnings-call-transcript/" TargetMode="External"/><Relationship Id="rId148" Type="http://schemas.openxmlformats.org/officeDocument/2006/relationships/hyperlink" Target="https://hpr1.com/index.php/feature/news/is-china-using-a-native-american-front-to-build-a-state-owned-oil-refinery/" TargetMode="External"/><Relationship Id="rId164" Type="http://schemas.openxmlformats.org/officeDocument/2006/relationships/hyperlink" Target="https://www.fool.com/earnings/call-transcripts/2021/07/31/chevron-cvx-q2-2021-earnings-call-transcript/" TargetMode="External"/><Relationship Id="rId169" Type="http://schemas.openxmlformats.org/officeDocument/2006/relationships/hyperlink" Target="https://www.fool.com/earnings/call-transcripts/2021/08/04/hollyfrontier-corp-hfc-q2-2021-earnings-call-trans/" TargetMode="External"/><Relationship Id="rId185" Type="http://schemas.openxmlformats.org/officeDocument/2006/relationships/hyperlink" Target="https://www.regi.com/blogs/blog-details/resource-library/2020/10/06/renewable-energy-group-announces-planned-expansion-of-geismar-renewable-diesel-plant-to-340-million-gallons-per-year" TargetMode="External"/><Relationship Id="rId4" Type="http://schemas.openxmlformats.org/officeDocument/2006/relationships/hyperlink" Target="https://biorrefineria.blogspot.com/2019/05/klm-skynrg-and-shv-to-build-first-european-dedicated-biorefinery-for-sustainable-aviation-fuel-HVO-biojet.html" TargetMode="External"/><Relationship Id="rId9" Type="http://schemas.openxmlformats.org/officeDocument/2006/relationships/hyperlink" Target="https://bioenergyinternational.com/app/uploads/2018/09/1.Petter_Holland.pdf" TargetMode="External"/><Relationship Id="rId180" Type="http://schemas.openxmlformats.org/officeDocument/2006/relationships/hyperlink" Target="https://www.aemetis.com/aemetis-selects-axens-vegan-technology-for-its-carbon-zero-project-in-riverbank-california-for-the-production-of-renewable-diesel-and-sustainable-aviation-fuel/" TargetMode="External"/><Relationship Id="rId26" Type="http://schemas.openxmlformats.org/officeDocument/2006/relationships/hyperlink" Target="https://preem-en.newsroom.cision.com/releasedetail.html?new-facility-will-provide-a-million-cubic-meters-of-renewable-energy&amp;releaseIdentifier=960F3BD9C8F8C07E" TargetMode="External"/><Relationship Id="rId47" Type="http://schemas.openxmlformats.org/officeDocument/2006/relationships/hyperlink" Target="https://skynrg.com/press-releases/klm-skynrg-and-shv-energy-announce-project-first-european-plant-for-sustainable-aviation-fuel/" TargetMode="External"/><Relationship Id="rId68" Type="http://schemas.openxmlformats.org/officeDocument/2006/relationships/hyperlink" Target="https://www.energyglobal.com/bioenergy/27022020/forge-to-build-biofuel-production-plant-in-canada/" TargetMode="External"/><Relationship Id="rId89" Type="http://schemas.openxmlformats.org/officeDocument/2006/relationships/hyperlink" Target="https://seekingalpha.com/article/4381966-upm-kymmene-oyj-upmkf-ceo-jussi-pesonen-on-q3-2020-results-earnings-call-transcript?part=single" TargetMode="External"/><Relationship Id="rId112" Type="http://schemas.openxmlformats.org/officeDocument/2006/relationships/hyperlink" Target="https://www.irena.org/-/media/Files/IRENA/Agency/Events/2019/May/biojet-EUBCE/1-DarrinMorgan.pdf?la=en&amp;hash=925732062E90345639191D19EC67BEDC82912082" TargetMode="External"/><Relationship Id="rId133" Type="http://schemas.openxmlformats.org/officeDocument/2006/relationships/hyperlink" Target="https://www.fool.com/earnings/call-transcripts/2020/10/30/phillips-66-psx-q3-2020-earnings-call-transcript/" TargetMode="External"/><Relationship Id="rId154" Type="http://schemas.openxmlformats.org/officeDocument/2006/relationships/hyperlink" Target="https://www.reuters.com/business/energy/louisiana-council-clears-tax-break-pbf-energys-saviour-refinery-project-2021-07-08/" TargetMode="External"/><Relationship Id="rId175" Type="http://schemas.openxmlformats.org/officeDocument/2006/relationships/hyperlink" Target="https://fintoil-com.translate.goog/?_x_tr_sl=fi&amp;_x_tr_tl=en&amp;_x_tr_hl=en&amp;_x_tr_pto=nui,sc,elem" TargetMode="External"/><Relationship Id="rId16" Type="http://schemas.openxmlformats.org/officeDocument/2006/relationships/hyperlink" Target="http://www.upmbiofuels.com/upm-biofuels/biorefinery/Pages/Default.aspx" TargetMode="External"/><Relationship Id="rId37" Type="http://schemas.openxmlformats.org/officeDocument/2006/relationships/hyperlink" Target="https://investor.phillips66.com/financial-information/news-releases/news-release-details/2018/Ryze-Renewables-partners-with-Phillips-66-to-build-next-gen-renewable-diesel-fuel-plants-in-Nevada/default.aspx" TargetMode="External"/><Relationship Id="rId58" Type="http://schemas.openxmlformats.org/officeDocument/2006/relationships/hyperlink" Target="https://alteredenergy.com/iowa-grants-tax-benefits-to-proposed-58-7-million-renewable-diesel-project-biofuels-digest/?fbclid=IwAR3-1jrwu9OKWhyIYPaiO3EBIBi4ZnzafRPtoLXHQyPl843DUc4h8QhPMAk" TargetMode="External"/><Relationship Id="rId79" Type="http://schemas.openxmlformats.org/officeDocument/2006/relationships/hyperlink" Target="https://www.biofuelsdigest.com/bdigest/2020/10/06/monster-on-the-big-muddy-reg-geismar-to-expand-renewable-hydrocarbon-production-to-340-million-gallons/" TargetMode="External"/><Relationship Id="rId102" Type="http://schemas.openxmlformats.org/officeDocument/2006/relationships/hyperlink" Target="https://www.fool.com/earnings/call-transcripts/2020/10/30/phillips-66-psx-q3-2020-earnings-call-transcript/" TargetMode="External"/><Relationship Id="rId123" Type="http://schemas.openxmlformats.org/officeDocument/2006/relationships/hyperlink" Target="https://www.fool.com/earnings/call-transcripts/2021/02/11/pbf-energy-pbf-q4-2020-earnings-call-transcript/" TargetMode="External"/><Relationship Id="rId144" Type="http://schemas.openxmlformats.org/officeDocument/2006/relationships/hyperlink" Target="https://www.wboc.com/story/43776652/seaboard-energy-builds-renewable-diesel-plant-in-hugoton-kansas" TargetMode="External"/><Relationship Id="rId90" Type="http://schemas.openxmlformats.org/officeDocument/2006/relationships/hyperlink" Target="https://seekingalpha.com/symbol/UPMKF/earnings/transcripts" TargetMode="External"/><Relationship Id="rId165" Type="http://schemas.openxmlformats.org/officeDocument/2006/relationships/hyperlink" Target="https://www.fool.com/earnings/call-transcripts/2021/07/31/chevron-cvx-q2-2021-earnings-call-transcript/" TargetMode="External"/><Relationship Id="rId27" Type="http://schemas.openxmlformats.org/officeDocument/2006/relationships/hyperlink" Target="https://www.greenea.com/publication/is-hvo-the-holy-grail-of-the-world-biodiesel-market/" TargetMode="External"/><Relationship Id="rId48" Type="http://schemas.openxmlformats.org/officeDocument/2006/relationships/hyperlink" Target="https://www.laverdad.es/murcia/cartagena/repsol-prepara-construir-20190513005115-ntvo.html" TargetMode="External"/><Relationship Id="rId69" Type="http://schemas.openxmlformats.org/officeDocument/2006/relationships/hyperlink" Target="https://bioenergyinternational.com/biofuels-oils/fintoil-to-invest-eur-100-million-in-new-biorefinery-in-finland" TargetMode="External"/><Relationship Id="rId113" Type="http://schemas.openxmlformats.org/officeDocument/2006/relationships/hyperlink" Target="https://translate.google.com/translate?hl=en&amp;sl=sv&amp;tl=en&amp;u=https%3A%2F%2Fwww.aktiespararna.se%2Fanalysguiden%2Fnyheter%2Fcolabitoil-colabitoil-satsar-pa-fornybar-bensin-och-flygbransle-i-europa&amp;prev=search&amp;sandbox=1" TargetMode="External"/><Relationship Id="rId134" Type="http://schemas.openxmlformats.org/officeDocument/2006/relationships/hyperlink" Target="https://www.phillips66.com/newsroom/rodeo-renewed.html" TargetMode="External"/><Relationship Id="rId80" Type="http://schemas.openxmlformats.org/officeDocument/2006/relationships/hyperlink" Target="https://www.saras.it/sites/default/files/documents_attachments/saras-2q-20-and-first-half-2020-results_def-30.07.2020_speaker-notes_1.pdf" TargetMode="External"/><Relationship Id="rId155" Type="http://schemas.openxmlformats.org/officeDocument/2006/relationships/hyperlink" Target="http://ethanolproducer.com/articles/11279/east-kansas-agri-energy-announces-renewable-diesel-project" TargetMode="External"/><Relationship Id="rId176" Type="http://schemas.openxmlformats.org/officeDocument/2006/relationships/hyperlink" Target="https://www.dutchnews.nl/news/2019/05/klm-to-invest-in-major-sustainable-aviation-fuel-plant-in-delfzijl/" TargetMode="External"/><Relationship Id="rId17" Type="http://schemas.openxmlformats.org/officeDocument/2006/relationships/hyperlink" Target="https://www.eni.com/en-IT/operations/biorefineries.html" TargetMode="External"/><Relationship Id="rId38" Type="http://schemas.openxmlformats.org/officeDocument/2006/relationships/hyperlink" Target="https://ryzerenewables.com/facilities.html" TargetMode="External"/><Relationship Id="rId59" Type="http://schemas.openxmlformats.org/officeDocument/2006/relationships/hyperlink" Target="https://biofuels-news.com/news/hollyfrontier-to-build-biodiesel-production-unit-at-refinery-in-new-mexico/" TargetMode="External"/><Relationship Id="rId103" Type="http://schemas.openxmlformats.org/officeDocument/2006/relationships/hyperlink" Target="https://www.redrockbio.com/lakeview-site/" TargetMode="External"/><Relationship Id="rId124" Type="http://schemas.openxmlformats.org/officeDocument/2006/relationships/hyperlink" Target="http://www.biodieselmagazine.com/articles/2517407/cielo-announces-purchase-commitment-for-renewable-diesel" TargetMode="External"/><Relationship Id="rId70" Type="http://schemas.openxmlformats.org/officeDocument/2006/relationships/hyperlink" Target="https://biorrefineria.blogspot.com/2020/02/fintoil-invests-more-than-100-million-euros-biorefinery-finland-crude-tall-oil-hamina-taaleri.html" TargetMode="External"/><Relationship Id="rId91" Type="http://schemas.openxmlformats.org/officeDocument/2006/relationships/hyperlink" Target="https://seekingalpha.com/article/4384670-cvr-energy-inc-cvi-ceo-dave-lamp-on-q3-2020-results-earnings-call-transcript?part=single" TargetMode="External"/><Relationship Id="rId145" Type="http://schemas.openxmlformats.org/officeDocument/2006/relationships/hyperlink" Target="https://translate.google.com/translate?sl=es&amp;tl=en&amp;u=https://es.investing.com/news/stock-market-news/paraguay-tendra-su-planta-de-biocombustible-operativa-en-2024-2111438" TargetMode="External"/><Relationship Id="rId166" Type="http://schemas.openxmlformats.org/officeDocument/2006/relationships/hyperlink" Target="https://www.fool.com/earnings/call-transcripts/2021/07/31/chevron-cvx-q2-2021-earnings-call-transcript/" TargetMode="External"/><Relationship Id="rId1" Type="http://schemas.openxmlformats.org/officeDocument/2006/relationships/hyperlink" Target="https://biorrefineria.blogspot.com/2019/10/diamond-green-diesel-to-expand-again-its-capacity-of-renewable-diesel-using-honeywell-uop-technology-HVO.html" TargetMode="External"/><Relationship Id="rId28" Type="http://schemas.openxmlformats.org/officeDocument/2006/relationships/hyperlink" Target="https://www.greenea.com/publication/new-players-join-the-hvo-game/" TargetMode="External"/><Relationship Id="rId49" Type="http://schemas.openxmlformats.org/officeDocument/2006/relationships/hyperlink" Target="https://www.repsol.com/en/press-room/press-releases/2020/repsol-produces-airplane-biofuel-for-the-first-time-in-spain.cshtml" TargetMode="External"/><Relationship Id="rId114" Type="http://schemas.openxmlformats.org/officeDocument/2006/relationships/hyperlink" Target="https://fintoil.com/refinery/" TargetMode="External"/><Relationship Id="rId60" Type="http://schemas.openxmlformats.org/officeDocument/2006/relationships/hyperlink" Target="https://www.hollyfrontier.com/investor-relations/press-releases/Press-Release-Details/2020/HollyFrontier-Announces-Expansion-of-Renewables-Business/default.aspx" TargetMode="External"/><Relationship Id="rId81" Type="http://schemas.openxmlformats.org/officeDocument/2006/relationships/hyperlink" Target="https://www.argusmedia.com/en/news/2117864-petrobras-to-test-hvo-production" TargetMode="External"/><Relationship Id="rId135" Type="http://schemas.openxmlformats.org/officeDocument/2006/relationships/hyperlink" Target="https://strategicbiofuels.net/louisiana-green-fuels/" TargetMode="External"/><Relationship Id="rId156" Type="http://schemas.openxmlformats.org/officeDocument/2006/relationships/hyperlink" Target="https://www.reuters.com/business/energy/cvr-delays-renewable-fuel-startup-wynnewood-refinery-2021-05-04/" TargetMode="External"/><Relationship Id="rId177" Type="http://schemas.openxmlformats.org/officeDocument/2006/relationships/hyperlink" Target="https://www.shell.com/business-customers/aviation/news-and-media-releases/news-and-media-2019/shell-aviation-supports-skynr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9CE8F-4E99-43D4-A997-7F4C9430AE95}">
  <dimension ref="A1:A11"/>
  <sheetViews>
    <sheetView tabSelected="1" workbookViewId="0">
      <selection activeCell="A7" sqref="A7"/>
    </sheetView>
  </sheetViews>
  <sheetFormatPr defaultRowHeight="12.75"/>
  <cols>
    <col min="1" max="1" width="19.5" customWidth="1"/>
  </cols>
  <sheetData>
    <row r="1" spans="1:1" ht="18">
      <c r="A1" s="1" t="s">
        <v>0</v>
      </c>
    </row>
    <row r="3" spans="1:1" ht="18">
      <c r="A3" s="2" t="s">
        <v>1</v>
      </c>
    </row>
    <row r="4" spans="1:1">
      <c r="A4" s="3"/>
    </row>
    <row r="5" spans="1:1">
      <c r="A5" s="3"/>
    </row>
    <row r="6" spans="1:1">
      <c r="A6" s="3"/>
    </row>
    <row r="7" spans="1:1">
      <c r="A7" s="4" t="s">
        <v>2</v>
      </c>
    </row>
    <row r="8" spans="1:1">
      <c r="A8" s="3"/>
    </row>
    <row r="9" spans="1:1">
      <c r="A9" s="3"/>
    </row>
    <row r="10" spans="1:1">
      <c r="A10" s="3"/>
    </row>
    <row r="11" spans="1:1">
      <c r="A11" s="3"/>
    </row>
  </sheetData>
  <hyperlinks>
    <hyperlink ref="A1" r:id="rId1" xr:uid="{04F58B6E-BBD7-4998-B77E-5DD9E96DA6DF}"/>
    <hyperlink ref="A7" r:id="rId2" xr:uid="{4763EA74-1667-430B-AFB4-F4C929E779F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0D9B-3D8B-4194-8DDD-3CA16C6BD462}">
  <dimension ref="A1:AP82"/>
  <sheetViews>
    <sheetView workbookViewId="0">
      <pane xSplit="1" ySplit="2" topLeftCell="Y43" activePane="bottomRight" state="frozen"/>
      <selection activeCell="A7" sqref="A7"/>
      <selection pane="topRight" activeCell="A7" sqref="A7"/>
      <selection pane="bottomLeft" activeCell="A7" sqref="A7"/>
      <selection pane="bottomRight" activeCell="A7" sqref="A7"/>
    </sheetView>
  </sheetViews>
  <sheetFormatPr defaultRowHeight="12.75"/>
  <cols>
    <col min="1" max="1" width="9.33203125" style="11"/>
    <col min="2" max="13" width="11.6640625" style="15" customWidth="1"/>
    <col min="14" max="14" width="9.33203125" style="16"/>
    <col min="15" max="36" width="11.6640625" style="15" customWidth="1"/>
    <col min="37" max="39" width="9.33203125" style="13"/>
    <col min="40" max="42" width="11.6640625" style="14" customWidth="1"/>
    <col min="43" max="16384" width="9.33203125" style="13"/>
  </cols>
  <sheetData>
    <row r="1" spans="1:42" s="9" customFormat="1" ht="11.25">
      <c r="A1" s="5"/>
      <c r="B1" s="6" t="s">
        <v>3</v>
      </c>
      <c r="C1" s="6"/>
      <c r="D1" s="6"/>
      <c r="E1" s="6" t="s">
        <v>4</v>
      </c>
      <c r="F1" s="6"/>
      <c r="G1" s="6"/>
      <c r="H1" s="6" t="s">
        <v>5</v>
      </c>
      <c r="I1" s="6"/>
      <c r="J1" s="6"/>
      <c r="K1" s="6" t="s">
        <v>6</v>
      </c>
      <c r="L1" s="6"/>
      <c r="M1" s="6"/>
      <c r="N1" s="7" t="s">
        <v>7</v>
      </c>
      <c r="O1" s="7"/>
      <c r="P1" s="7"/>
      <c r="Q1" s="7"/>
      <c r="R1" s="7" t="s">
        <v>8</v>
      </c>
      <c r="S1" s="7"/>
      <c r="T1" s="7"/>
      <c r="U1" s="6" t="s">
        <v>9</v>
      </c>
      <c r="V1" s="6"/>
      <c r="W1" s="6"/>
      <c r="X1" s="8" t="s">
        <v>10</v>
      </c>
      <c r="Y1" s="8"/>
      <c r="Z1" s="8"/>
      <c r="AA1" s="8"/>
      <c r="AB1" s="6" t="s">
        <v>11</v>
      </c>
      <c r="AC1" s="6"/>
      <c r="AD1" s="6"/>
      <c r="AE1" s="6" t="s">
        <v>12</v>
      </c>
      <c r="AF1" s="6"/>
      <c r="AG1" s="6"/>
      <c r="AH1" s="6"/>
      <c r="AI1" s="8"/>
      <c r="AJ1" s="8"/>
      <c r="AN1" s="10" t="s">
        <v>13</v>
      </c>
      <c r="AO1" s="10"/>
      <c r="AP1" s="10"/>
    </row>
    <row r="2" spans="1:42" ht="67.5">
      <c r="B2" s="12" t="s">
        <v>14</v>
      </c>
      <c r="C2" s="12" t="s">
        <v>15</v>
      </c>
      <c r="D2" s="12" t="s">
        <v>16</v>
      </c>
      <c r="E2" s="12" t="s">
        <v>17</v>
      </c>
      <c r="F2" s="12" t="s">
        <v>15</v>
      </c>
      <c r="G2" s="12" t="s">
        <v>16</v>
      </c>
      <c r="H2" s="12" t="s">
        <v>17</v>
      </c>
      <c r="I2" s="12" t="s">
        <v>15</v>
      </c>
      <c r="J2" s="12" t="s">
        <v>16</v>
      </c>
      <c r="K2" s="12" t="s">
        <v>17</v>
      </c>
      <c r="L2" s="12" t="s">
        <v>15</v>
      </c>
      <c r="M2" s="12" t="s">
        <v>16</v>
      </c>
      <c r="N2" s="12" t="s">
        <v>18</v>
      </c>
      <c r="O2" s="12" t="s">
        <v>19</v>
      </c>
      <c r="P2" s="12" t="s">
        <v>20</v>
      </c>
      <c r="Q2" s="12" t="s">
        <v>21</v>
      </c>
      <c r="R2" s="12" t="s">
        <v>22</v>
      </c>
      <c r="S2" s="12" t="s">
        <v>23</v>
      </c>
      <c r="T2" s="12" t="s">
        <v>24</v>
      </c>
      <c r="U2" s="12" t="s">
        <v>22</v>
      </c>
      <c r="V2" s="12" t="s">
        <v>23</v>
      </c>
      <c r="W2" s="12" t="s">
        <v>25</v>
      </c>
      <c r="X2" s="12" t="s">
        <v>26</v>
      </c>
      <c r="Y2" s="12" t="s">
        <v>27</v>
      </c>
      <c r="Z2" s="12" t="s">
        <v>28</v>
      </c>
      <c r="AA2" s="12" t="s">
        <v>29</v>
      </c>
      <c r="AB2" s="12" t="s">
        <v>30</v>
      </c>
      <c r="AC2" s="12" t="s">
        <v>27</v>
      </c>
      <c r="AD2" s="12" t="s">
        <v>28</v>
      </c>
      <c r="AE2" s="12" t="s">
        <v>31</v>
      </c>
      <c r="AF2" s="12" t="s">
        <v>32</v>
      </c>
      <c r="AG2" s="12" t="s">
        <v>33</v>
      </c>
      <c r="AH2" s="12" t="s">
        <v>26</v>
      </c>
      <c r="AI2" s="12" t="s">
        <v>34</v>
      </c>
      <c r="AJ2" s="12" t="s">
        <v>28</v>
      </c>
      <c r="AK2" s="13" t="s">
        <v>35</v>
      </c>
      <c r="AL2" s="13" t="s">
        <v>36</v>
      </c>
      <c r="AM2" s="13" t="s">
        <v>37</v>
      </c>
      <c r="AN2" s="12" t="s">
        <v>31</v>
      </c>
      <c r="AO2" s="12" t="s">
        <v>32</v>
      </c>
      <c r="AP2" s="12" t="s">
        <v>33</v>
      </c>
    </row>
    <row r="3" spans="1:42" ht="11.25">
      <c r="A3" s="11">
        <v>43831</v>
      </c>
      <c r="B3" s="14">
        <v>196779</v>
      </c>
      <c r="C3" s="14">
        <v>158166</v>
      </c>
      <c r="D3" s="14">
        <v>38613</v>
      </c>
      <c r="E3" s="14">
        <v>194345</v>
      </c>
      <c r="F3" s="14">
        <v>160038</v>
      </c>
      <c r="G3" s="14">
        <v>34307</v>
      </c>
      <c r="H3" s="14">
        <v>-531</v>
      </c>
      <c r="I3" s="14">
        <v>-216</v>
      </c>
      <c r="J3" s="14">
        <v>-315</v>
      </c>
      <c r="K3" s="14">
        <v>28205</v>
      </c>
      <c r="L3" s="14">
        <v>16878</v>
      </c>
      <c r="M3" s="14">
        <v>11327</v>
      </c>
      <c r="N3" s="14">
        <v>94908.616999999998</v>
      </c>
      <c r="O3" s="14">
        <v>7426.3559999999998</v>
      </c>
      <c r="P3" s="14">
        <v>34120</v>
      </c>
      <c r="Q3" s="14">
        <v>26447</v>
      </c>
      <c r="R3" s="14">
        <v>398535</v>
      </c>
      <c r="S3" s="14">
        <v>27984</v>
      </c>
      <c r="T3" s="14">
        <v>9231</v>
      </c>
      <c r="U3" s="14">
        <v>378741</v>
      </c>
      <c r="V3" s="14">
        <v>27402</v>
      </c>
      <c r="W3" s="14">
        <v>9388</v>
      </c>
      <c r="X3" s="14">
        <v>138343</v>
      </c>
      <c r="Y3" s="14">
        <v>125292</v>
      </c>
      <c r="Z3" s="14">
        <v>12689</v>
      </c>
      <c r="AA3" s="14">
        <f>X3-Y3-Z3</f>
        <v>362</v>
      </c>
      <c r="AB3" s="14">
        <v>145659</v>
      </c>
      <c r="AC3" s="14">
        <v>131008</v>
      </c>
      <c r="AD3" s="14">
        <v>13978</v>
      </c>
      <c r="AE3" s="14">
        <v>137947</v>
      </c>
      <c r="AF3" s="14">
        <v>1158</v>
      </c>
      <c r="AG3" s="14">
        <v>3145</v>
      </c>
      <c r="AH3" s="14">
        <v>12044</v>
      </c>
      <c r="AI3" s="14">
        <v>9005</v>
      </c>
      <c r="AJ3" s="14">
        <v>2706</v>
      </c>
      <c r="AK3" s="13">
        <v>18534</v>
      </c>
      <c r="AL3" s="13">
        <v>158166</v>
      </c>
      <c r="AN3" s="14">
        <v>-529</v>
      </c>
      <c r="AO3" s="14">
        <v>25</v>
      </c>
      <c r="AP3" s="14">
        <v>-17</v>
      </c>
    </row>
    <row r="4" spans="1:42" ht="11.25">
      <c r="A4" s="11">
        <v>43862</v>
      </c>
      <c r="B4" s="14">
        <v>185483</v>
      </c>
      <c r="C4" s="14">
        <v>149497</v>
      </c>
      <c r="D4" s="14">
        <v>35986</v>
      </c>
      <c r="E4" s="14">
        <v>184445</v>
      </c>
      <c r="F4" s="14">
        <v>149754</v>
      </c>
      <c r="G4" s="14">
        <v>34691</v>
      </c>
      <c r="H4" s="14">
        <v>322</v>
      </c>
      <c r="I4" s="14">
        <v>256</v>
      </c>
      <c r="J4" s="14">
        <v>66</v>
      </c>
      <c r="K4" s="14">
        <v>28931</v>
      </c>
      <c r="L4" s="14">
        <v>16688</v>
      </c>
      <c r="M4" s="14">
        <v>12243</v>
      </c>
      <c r="N4" s="14">
        <v>112277.58</v>
      </c>
      <c r="O4" s="14">
        <v>5814.7740000000003</v>
      </c>
      <c r="P4" s="14">
        <v>21916</v>
      </c>
      <c r="Q4" s="14">
        <v>29236</v>
      </c>
      <c r="R4" s="14">
        <v>353506</v>
      </c>
      <c r="S4" s="14">
        <v>26051</v>
      </c>
      <c r="T4" s="14">
        <v>8103</v>
      </c>
      <c r="U4" s="14">
        <v>364425</v>
      </c>
      <c r="V4" s="14">
        <v>26020</v>
      </c>
      <c r="W4" s="14">
        <v>8753</v>
      </c>
      <c r="X4" s="14">
        <v>127961</v>
      </c>
      <c r="Y4" s="14">
        <v>117402</v>
      </c>
      <c r="Z4" s="14">
        <v>9435</v>
      </c>
      <c r="AA4" s="14">
        <f t="shared" ref="AA4:AA64" si="0">X4-Y4-Z4</f>
        <v>1124</v>
      </c>
      <c r="AB4" s="14">
        <v>124247</v>
      </c>
      <c r="AC4" s="14">
        <v>113438</v>
      </c>
      <c r="AD4" s="14">
        <v>9837</v>
      </c>
      <c r="AE4" s="14">
        <v>104808</v>
      </c>
      <c r="AF4" s="14">
        <v>1189</v>
      </c>
      <c r="AG4" s="14">
        <v>2651</v>
      </c>
      <c r="AH4" s="14">
        <v>17003</v>
      </c>
      <c r="AI4" s="14">
        <v>13271</v>
      </c>
      <c r="AJ4" s="14">
        <v>2935</v>
      </c>
      <c r="AK4" s="13">
        <v>17126</v>
      </c>
      <c r="AL4" s="13">
        <v>149497</v>
      </c>
      <c r="AN4" s="14">
        <v>-38</v>
      </c>
      <c r="AO4" s="14">
        <v>0</v>
      </c>
      <c r="AP4" s="14">
        <v>16</v>
      </c>
    </row>
    <row r="5" spans="1:42" ht="11.25">
      <c r="A5" s="11">
        <v>43891</v>
      </c>
      <c r="B5" s="14">
        <v>179660</v>
      </c>
      <c r="C5" s="14">
        <v>147191</v>
      </c>
      <c r="D5" s="14">
        <v>32469</v>
      </c>
      <c r="E5" s="14">
        <v>177722</v>
      </c>
      <c r="F5" s="14">
        <v>143033</v>
      </c>
      <c r="G5" s="14">
        <v>34689</v>
      </c>
      <c r="H5" s="14">
        <v>-1226</v>
      </c>
      <c r="I5" s="14">
        <v>-1269</v>
      </c>
      <c r="J5" s="14">
        <v>43</v>
      </c>
      <c r="K5" s="14">
        <v>33400</v>
      </c>
      <c r="L5" s="14">
        <v>22467</v>
      </c>
      <c r="M5" s="14">
        <v>10933</v>
      </c>
      <c r="N5" s="14">
        <v>110572.91099999999</v>
      </c>
      <c r="O5" s="14">
        <v>12713.091</v>
      </c>
      <c r="P5" s="14">
        <v>29616</v>
      </c>
      <c r="Q5" s="14">
        <v>27373</v>
      </c>
      <c r="R5" s="14">
        <v>373750</v>
      </c>
      <c r="S5" s="14">
        <v>20897</v>
      </c>
      <c r="T5" s="14">
        <v>10456</v>
      </c>
      <c r="U5" s="14">
        <v>358112</v>
      </c>
      <c r="V5" s="14">
        <v>20715</v>
      </c>
      <c r="W5" s="14">
        <v>10108</v>
      </c>
      <c r="X5" s="14">
        <v>183942</v>
      </c>
      <c r="Y5" s="14">
        <v>118072</v>
      </c>
      <c r="Z5" s="14">
        <v>64746</v>
      </c>
      <c r="AA5" s="14">
        <f t="shared" si="0"/>
        <v>1124</v>
      </c>
      <c r="AB5" s="14">
        <v>190413</v>
      </c>
      <c r="AC5" s="14">
        <v>122673</v>
      </c>
      <c r="AD5" s="14">
        <v>66768</v>
      </c>
      <c r="AE5" s="14">
        <v>117759</v>
      </c>
      <c r="AF5" s="14">
        <v>1371</v>
      </c>
      <c r="AG5" s="14">
        <v>3374</v>
      </c>
      <c r="AH5" s="14">
        <v>11255</v>
      </c>
      <c r="AI5" s="14">
        <v>8029</v>
      </c>
      <c r="AJ5" s="14">
        <v>2429</v>
      </c>
      <c r="AK5" s="13">
        <v>16945</v>
      </c>
      <c r="AL5" s="13">
        <v>147191</v>
      </c>
      <c r="AN5" s="14">
        <v>-2265</v>
      </c>
      <c r="AO5" s="14">
        <v>0</v>
      </c>
      <c r="AP5" s="14">
        <v>-165</v>
      </c>
    </row>
    <row r="6" spans="1:42" ht="11.25">
      <c r="A6" s="11">
        <v>43922</v>
      </c>
      <c r="B6" s="14">
        <v>120718</v>
      </c>
      <c r="C6" s="14">
        <v>85451</v>
      </c>
      <c r="D6" s="14">
        <v>35267</v>
      </c>
      <c r="E6" s="14">
        <v>120175</v>
      </c>
      <c r="F6" s="14">
        <v>82274</v>
      </c>
      <c r="G6" s="14">
        <v>37901</v>
      </c>
      <c r="H6" s="14">
        <v>109</v>
      </c>
      <c r="I6" s="14">
        <v>66</v>
      </c>
      <c r="J6" s="14">
        <v>43</v>
      </c>
      <c r="K6" s="14">
        <v>36317</v>
      </c>
      <c r="L6" s="14">
        <v>25673</v>
      </c>
      <c r="M6" s="14">
        <v>10644</v>
      </c>
      <c r="N6" s="14">
        <v>53356.275000000001</v>
      </c>
      <c r="O6" s="14">
        <v>4930.68</v>
      </c>
      <c r="P6" s="14">
        <v>67499</v>
      </c>
      <c r="Q6" s="14">
        <v>32180</v>
      </c>
      <c r="R6" s="14">
        <v>217699</v>
      </c>
      <c r="S6" s="14">
        <v>27453</v>
      </c>
      <c r="T6" s="14">
        <v>7557</v>
      </c>
      <c r="U6" s="14">
        <v>230969</v>
      </c>
      <c r="V6" s="14">
        <v>27255</v>
      </c>
      <c r="W6" s="14">
        <v>8047</v>
      </c>
      <c r="X6" s="14">
        <v>91794</v>
      </c>
      <c r="Y6" s="14">
        <v>75875</v>
      </c>
      <c r="Z6" s="14">
        <v>14153</v>
      </c>
      <c r="AA6" s="14">
        <f t="shared" si="0"/>
        <v>1766</v>
      </c>
      <c r="AB6" s="14">
        <v>98190</v>
      </c>
      <c r="AC6" s="14">
        <v>79766</v>
      </c>
      <c r="AD6" s="14">
        <v>16217</v>
      </c>
      <c r="AE6" s="14">
        <v>104383</v>
      </c>
      <c r="AF6" s="14">
        <v>1569</v>
      </c>
      <c r="AG6" s="14">
        <v>3246</v>
      </c>
      <c r="AH6" s="14">
        <v>7275</v>
      </c>
      <c r="AI6" s="14">
        <v>4124</v>
      </c>
      <c r="AJ6" s="14">
        <v>2795</v>
      </c>
      <c r="AK6" s="13">
        <v>22467</v>
      </c>
      <c r="AL6" s="13">
        <v>85451</v>
      </c>
      <c r="AN6" s="14">
        <v>106</v>
      </c>
      <c r="AO6" s="14">
        <v>0</v>
      </c>
      <c r="AP6" s="14">
        <v>-146</v>
      </c>
    </row>
    <row r="7" spans="1:42" ht="11.25">
      <c r="A7" s="11">
        <v>43952</v>
      </c>
      <c r="B7" s="14">
        <v>128789</v>
      </c>
      <c r="C7" s="14">
        <v>88331</v>
      </c>
      <c r="D7" s="14">
        <v>40458</v>
      </c>
      <c r="E7" s="14">
        <v>138982</v>
      </c>
      <c r="F7" s="14">
        <v>95645</v>
      </c>
      <c r="G7" s="14">
        <v>43337</v>
      </c>
      <c r="H7" s="14">
        <v>-11</v>
      </c>
      <c r="I7" s="14">
        <v>-72</v>
      </c>
      <c r="J7" s="14">
        <v>61</v>
      </c>
      <c r="K7" s="14">
        <v>29093</v>
      </c>
      <c r="L7" s="14">
        <v>18492</v>
      </c>
      <c r="M7" s="14">
        <v>10601</v>
      </c>
      <c r="N7" s="14">
        <v>68132.247000000003</v>
      </c>
      <c r="O7" s="14">
        <v>15642.688</v>
      </c>
      <c r="P7" s="14">
        <v>78563</v>
      </c>
      <c r="Q7" s="14">
        <v>36405</v>
      </c>
      <c r="R7" s="14">
        <v>211810</v>
      </c>
      <c r="S7" s="14">
        <v>30366</v>
      </c>
      <c r="T7" s="14">
        <v>7792</v>
      </c>
      <c r="U7" s="14">
        <v>225932</v>
      </c>
      <c r="V7" s="14">
        <v>30777</v>
      </c>
      <c r="W7" s="14">
        <v>8666</v>
      </c>
      <c r="X7" s="14">
        <v>77852</v>
      </c>
      <c r="Y7" s="14">
        <v>67378</v>
      </c>
      <c r="Z7" s="14">
        <v>8544</v>
      </c>
      <c r="AA7" s="14">
        <f t="shared" si="0"/>
        <v>1930</v>
      </c>
      <c r="AB7" s="14">
        <v>77161</v>
      </c>
      <c r="AC7" s="14">
        <v>66100</v>
      </c>
      <c r="AD7" s="14">
        <v>9122</v>
      </c>
      <c r="AE7" s="14">
        <v>91104</v>
      </c>
      <c r="AF7" s="14">
        <v>1158</v>
      </c>
      <c r="AG7" s="14">
        <v>2695</v>
      </c>
      <c r="AH7" s="14">
        <v>14670</v>
      </c>
      <c r="AI7" s="14">
        <v>11076</v>
      </c>
      <c r="AJ7" s="14">
        <v>3247</v>
      </c>
      <c r="AK7" s="13">
        <v>25673</v>
      </c>
      <c r="AL7" s="13">
        <v>88331</v>
      </c>
      <c r="AN7" s="14">
        <v>-1451</v>
      </c>
      <c r="AO7" s="14">
        <v>0</v>
      </c>
      <c r="AP7" s="14">
        <v>-327</v>
      </c>
    </row>
    <row r="8" spans="1:42" ht="11.25">
      <c r="A8" s="11">
        <v>43983</v>
      </c>
      <c r="B8" s="14">
        <v>167467</v>
      </c>
      <c r="C8" s="14">
        <v>129908</v>
      </c>
      <c r="D8" s="14">
        <v>37559</v>
      </c>
      <c r="E8" s="14">
        <v>168495</v>
      </c>
      <c r="F8" s="14">
        <v>128724</v>
      </c>
      <c r="G8" s="14">
        <v>39771</v>
      </c>
      <c r="H8" s="14">
        <v>240</v>
      </c>
      <c r="I8" s="14">
        <v>315</v>
      </c>
      <c r="J8" s="14">
        <v>-75</v>
      </c>
      <c r="K8" s="14">
        <v>30786</v>
      </c>
      <c r="L8" s="14">
        <v>19373</v>
      </c>
      <c r="M8" s="14">
        <v>11413</v>
      </c>
      <c r="N8" s="14">
        <v>111304.13</v>
      </c>
      <c r="O8" s="14">
        <v>16964.847000000002</v>
      </c>
      <c r="P8" s="14">
        <v>72714</v>
      </c>
      <c r="Q8" s="14">
        <v>32326</v>
      </c>
      <c r="R8" s="14">
        <v>337486</v>
      </c>
      <c r="S8" s="14">
        <v>27864</v>
      </c>
      <c r="T8" s="14">
        <v>10810</v>
      </c>
      <c r="U8" s="14">
        <v>318577</v>
      </c>
      <c r="V8" s="14">
        <v>28136</v>
      </c>
      <c r="W8" s="14">
        <v>9254</v>
      </c>
      <c r="X8" s="14">
        <v>115571</v>
      </c>
      <c r="Y8" s="14">
        <v>103386</v>
      </c>
      <c r="Z8" s="14">
        <v>10716</v>
      </c>
      <c r="AA8" s="14">
        <f t="shared" si="0"/>
        <v>1469</v>
      </c>
      <c r="AB8" s="14">
        <v>117361</v>
      </c>
      <c r="AC8" s="14">
        <v>102469</v>
      </c>
      <c r="AD8" s="14">
        <v>13209</v>
      </c>
      <c r="AE8" s="14">
        <v>89969</v>
      </c>
      <c r="AF8" s="14">
        <v>886</v>
      </c>
      <c r="AG8" s="14">
        <v>4071</v>
      </c>
      <c r="AH8" s="14">
        <v>13666</v>
      </c>
      <c r="AI8" s="14">
        <v>11161</v>
      </c>
      <c r="AJ8" s="14">
        <v>2372</v>
      </c>
      <c r="AK8" s="13">
        <v>18492</v>
      </c>
      <c r="AL8" s="13">
        <v>129908</v>
      </c>
      <c r="AN8" s="14">
        <v>-712</v>
      </c>
      <c r="AO8" s="14">
        <v>0</v>
      </c>
      <c r="AP8" s="14">
        <v>20</v>
      </c>
    </row>
    <row r="9" spans="1:42" ht="11.25">
      <c r="A9" s="11">
        <v>44013</v>
      </c>
      <c r="B9" s="14">
        <v>196548</v>
      </c>
      <c r="C9" s="14">
        <v>150008</v>
      </c>
      <c r="D9" s="14">
        <v>46540</v>
      </c>
      <c r="E9" s="14">
        <v>198451</v>
      </c>
      <c r="F9" s="14">
        <v>149814</v>
      </c>
      <c r="G9" s="14">
        <v>48637</v>
      </c>
      <c r="H9" s="14">
        <v>251</v>
      </c>
      <c r="I9" s="14">
        <v>211</v>
      </c>
      <c r="J9" s="14">
        <v>40</v>
      </c>
      <c r="K9" s="14">
        <v>31188</v>
      </c>
      <c r="L9" s="14">
        <v>19389</v>
      </c>
      <c r="M9" s="14">
        <v>11799</v>
      </c>
      <c r="N9" s="14">
        <v>117285.897</v>
      </c>
      <c r="O9" s="14">
        <v>15926.055</v>
      </c>
      <c r="P9" s="14">
        <v>50027</v>
      </c>
      <c r="Q9" s="14">
        <v>39141</v>
      </c>
      <c r="R9" s="14">
        <v>378781</v>
      </c>
      <c r="S9" s="14">
        <v>35225</v>
      </c>
      <c r="T9" s="14">
        <v>15312</v>
      </c>
      <c r="U9" s="14">
        <v>371659</v>
      </c>
      <c r="V9" s="14">
        <v>35169</v>
      </c>
      <c r="W9" s="14">
        <v>13804</v>
      </c>
      <c r="X9" s="14">
        <v>136315</v>
      </c>
      <c r="Y9" s="14">
        <v>120928</v>
      </c>
      <c r="Z9" s="14">
        <v>13615</v>
      </c>
      <c r="AA9" s="14">
        <f t="shared" si="0"/>
        <v>1772</v>
      </c>
      <c r="AB9" s="14">
        <v>139078</v>
      </c>
      <c r="AC9" s="14">
        <v>123650</v>
      </c>
      <c r="AD9" s="14">
        <v>13984</v>
      </c>
      <c r="AE9" s="14">
        <v>94652</v>
      </c>
      <c r="AF9" s="14">
        <v>942</v>
      </c>
      <c r="AG9" s="14">
        <v>4003</v>
      </c>
      <c r="AH9" s="14">
        <v>11016</v>
      </c>
      <c r="AI9" s="14">
        <v>7532</v>
      </c>
      <c r="AJ9" s="14">
        <v>3023</v>
      </c>
      <c r="AK9" s="13">
        <v>19380</v>
      </c>
      <c r="AL9" s="13">
        <v>150008</v>
      </c>
      <c r="AN9" s="14">
        <v>2439</v>
      </c>
      <c r="AO9" s="14">
        <v>0</v>
      </c>
      <c r="AP9" s="14">
        <v>1570</v>
      </c>
    </row>
    <row r="10" spans="1:42" ht="11.25">
      <c r="A10" s="11">
        <v>44044</v>
      </c>
      <c r="B10" s="14">
        <v>183950</v>
      </c>
      <c r="C10" s="14">
        <v>146424</v>
      </c>
      <c r="D10" s="14">
        <v>37526</v>
      </c>
      <c r="E10" s="14">
        <v>186344</v>
      </c>
      <c r="F10" s="14">
        <v>145546</v>
      </c>
      <c r="G10" s="14">
        <v>40798</v>
      </c>
      <c r="H10" s="14">
        <v>253</v>
      </c>
      <c r="I10" s="14">
        <v>175</v>
      </c>
      <c r="J10" s="14">
        <v>78</v>
      </c>
      <c r="K10" s="14">
        <v>30791</v>
      </c>
      <c r="L10" s="14">
        <v>20127</v>
      </c>
      <c r="M10" s="14">
        <v>10664</v>
      </c>
      <c r="N10" s="14">
        <v>138643.579</v>
      </c>
      <c r="O10" s="14">
        <v>5705.3190000000004</v>
      </c>
      <c r="P10" s="14">
        <v>70569</v>
      </c>
      <c r="Q10" s="14">
        <v>37440</v>
      </c>
      <c r="R10" s="14">
        <v>357568</v>
      </c>
      <c r="S10" s="14">
        <v>23611</v>
      </c>
      <c r="T10" s="14">
        <v>14014</v>
      </c>
      <c r="U10" s="14">
        <v>360641</v>
      </c>
      <c r="V10" s="14">
        <v>23555</v>
      </c>
      <c r="W10" s="14">
        <v>12296</v>
      </c>
      <c r="X10" s="14">
        <v>126666</v>
      </c>
      <c r="Y10" s="14">
        <v>114377</v>
      </c>
      <c r="Z10" s="14">
        <v>12289</v>
      </c>
      <c r="AA10" s="14">
        <f t="shared" si="0"/>
        <v>0</v>
      </c>
      <c r="AB10" s="14">
        <v>123815</v>
      </c>
      <c r="AC10" s="14">
        <v>109960</v>
      </c>
      <c r="AD10" s="14">
        <v>13855</v>
      </c>
      <c r="AE10" s="14">
        <v>91674</v>
      </c>
      <c r="AF10" s="14">
        <v>998</v>
      </c>
      <c r="AG10" s="14">
        <v>4902</v>
      </c>
      <c r="AH10" s="14">
        <v>15238</v>
      </c>
      <c r="AI10" s="14">
        <v>11485</v>
      </c>
      <c r="AJ10" s="14">
        <v>3753</v>
      </c>
      <c r="AK10" s="13">
        <v>19389</v>
      </c>
      <c r="AL10" s="13">
        <v>146424</v>
      </c>
      <c r="AN10" s="14">
        <v>-95</v>
      </c>
      <c r="AO10" s="14">
        <v>0</v>
      </c>
      <c r="AP10" s="14">
        <v>789</v>
      </c>
    </row>
    <row r="11" spans="1:42" ht="11.25">
      <c r="A11" s="11">
        <v>44075</v>
      </c>
      <c r="B11" s="14">
        <v>170448</v>
      </c>
      <c r="C11" s="14">
        <v>134745</v>
      </c>
      <c r="D11" s="14">
        <v>35703</v>
      </c>
      <c r="E11" s="14">
        <v>173784</v>
      </c>
      <c r="F11" s="14">
        <v>137427</v>
      </c>
      <c r="G11" s="14">
        <v>36357</v>
      </c>
      <c r="H11" s="14">
        <v>2117</v>
      </c>
      <c r="I11" s="14">
        <v>354</v>
      </c>
      <c r="J11" s="14">
        <v>1763</v>
      </c>
      <c r="K11" s="14">
        <v>27441</v>
      </c>
      <c r="L11" s="14">
        <v>17134</v>
      </c>
      <c r="M11" s="14">
        <v>10307</v>
      </c>
      <c r="N11" s="14">
        <v>123555.00599999999</v>
      </c>
      <c r="O11" s="14">
        <v>19069.946</v>
      </c>
      <c r="P11" s="14">
        <v>68116</v>
      </c>
      <c r="Q11" s="14">
        <v>32930</v>
      </c>
      <c r="R11" s="14">
        <v>338582</v>
      </c>
      <c r="S11" s="14">
        <v>26390</v>
      </c>
      <c r="T11" s="14">
        <v>11064</v>
      </c>
      <c r="U11" s="14">
        <v>326873</v>
      </c>
      <c r="V11" s="14">
        <v>26715</v>
      </c>
      <c r="W11" s="14">
        <v>10899</v>
      </c>
      <c r="X11" s="14">
        <v>113981</v>
      </c>
      <c r="Y11" s="14">
        <v>104546</v>
      </c>
      <c r="Z11" s="14">
        <v>9435</v>
      </c>
      <c r="AA11" s="14">
        <f t="shared" si="0"/>
        <v>0</v>
      </c>
      <c r="AB11" s="14">
        <v>123151</v>
      </c>
      <c r="AC11" s="14">
        <v>110420</v>
      </c>
      <c r="AD11" s="14">
        <v>12731</v>
      </c>
      <c r="AE11" s="14">
        <v>102713</v>
      </c>
      <c r="AF11" s="14">
        <v>673</v>
      </c>
      <c r="AG11" s="14">
        <v>4342</v>
      </c>
      <c r="AH11" s="14">
        <v>10252</v>
      </c>
      <c r="AI11" s="14">
        <v>7406</v>
      </c>
      <c r="AJ11" s="14">
        <v>2846</v>
      </c>
      <c r="AK11" s="13">
        <v>20127</v>
      </c>
      <c r="AL11" s="13">
        <v>134745</v>
      </c>
      <c r="AN11" s="14">
        <v>670</v>
      </c>
      <c r="AO11" s="14">
        <v>0</v>
      </c>
      <c r="AP11" s="14">
        <v>841</v>
      </c>
    </row>
    <row r="12" spans="1:42" ht="11.25">
      <c r="A12" s="11">
        <v>44105</v>
      </c>
      <c r="B12" s="14">
        <v>176267</v>
      </c>
      <c r="C12" s="14">
        <v>139203</v>
      </c>
      <c r="D12" s="14">
        <v>37064</v>
      </c>
      <c r="E12" s="14">
        <v>177884</v>
      </c>
      <c r="F12" s="14">
        <v>138374</v>
      </c>
      <c r="G12" s="14">
        <v>39510</v>
      </c>
      <c r="H12" s="14">
        <v>356</v>
      </c>
      <c r="I12" s="14">
        <v>283</v>
      </c>
      <c r="J12" s="14">
        <v>73</v>
      </c>
      <c r="K12" s="14">
        <v>26043</v>
      </c>
      <c r="L12" s="14">
        <v>17714</v>
      </c>
      <c r="M12" s="14">
        <v>8329</v>
      </c>
      <c r="N12" s="14">
        <v>135922.40599999999</v>
      </c>
      <c r="O12" s="14">
        <v>17988.742999999999</v>
      </c>
      <c r="P12" s="14">
        <v>12195</v>
      </c>
      <c r="Q12" s="14">
        <v>34438</v>
      </c>
      <c r="R12" s="14">
        <v>296525</v>
      </c>
      <c r="S12" s="14">
        <v>26908</v>
      </c>
      <c r="T12" s="14">
        <v>10854</v>
      </c>
      <c r="U12" s="14">
        <v>325261</v>
      </c>
      <c r="V12" s="14">
        <v>26569</v>
      </c>
      <c r="W12" s="14">
        <v>10929</v>
      </c>
      <c r="X12" s="14">
        <v>120390</v>
      </c>
      <c r="Y12" s="14">
        <v>109318</v>
      </c>
      <c r="Z12" s="14">
        <v>11072</v>
      </c>
      <c r="AA12" s="14">
        <f t="shared" si="0"/>
        <v>0</v>
      </c>
      <c r="AB12" s="14">
        <v>120149</v>
      </c>
      <c r="AC12" s="14">
        <v>107577</v>
      </c>
      <c r="AD12" s="14">
        <v>12572</v>
      </c>
      <c r="AE12" s="14">
        <v>74903</v>
      </c>
      <c r="AF12" s="14">
        <v>1012</v>
      </c>
      <c r="AG12" s="14">
        <v>3577</v>
      </c>
      <c r="AH12" s="14">
        <v>10328</v>
      </c>
      <c r="AI12" s="14">
        <v>6849</v>
      </c>
      <c r="AJ12" s="14">
        <v>3479</v>
      </c>
      <c r="AK12" s="13">
        <v>17134</v>
      </c>
      <c r="AL12" s="13">
        <v>139203</v>
      </c>
      <c r="AN12" s="14">
        <v>-926</v>
      </c>
      <c r="AO12" s="14">
        <v>0</v>
      </c>
      <c r="AP12" s="14">
        <v>884</v>
      </c>
    </row>
    <row r="13" spans="1:42" ht="11.25">
      <c r="A13" s="11">
        <v>44136</v>
      </c>
      <c r="B13" s="14">
        <v>199116</v>
      </c>
      <c r="C13" s="14">
        <v>155234</v>
      </c>
      <c r="D13" s="14">
        <v>43882</v>
      </c>
      <c r="E13" s="14">
        <v>190125</v>
      </c>
      <c r="F13" s="14">
        <v>149425</v>
      </c>
      <c r="G13" s="14">
        <v>40700</v>
      </c>
      <c r="H13" s="14">
        <v>413</v>
      </c>
      <c r="I13" s="14">
        <v>322</v>
      </c>
      <c r="J13" s="14">
        <v>91</v>
      </c>
      <c r="K13" s="14">
        <v>34921</v>
      </c>
      <c r="L13" s="14">
        <v>23238</v>
      </c>
      <c r="M13" s="14">
        <v>11683</v>
      </c>
      <c r="N13" s="14">
        <v>134392.93700000001</v>
      </c>
      <c r="O13" s="14">
        <v>4343.3670000000002</v>
      </c>
      <c r="P13" s="14">
        <v>6055</v>
      </c>
      <c r="Q13" s="14">
        <v>36924</v>
      </c>
      <c r="R13" s="14">
        <v>380251</v>
      </c>
      <c r="S13" s="14">
        <v>29732</v>
      </c>
      <c r="T13" s="14">
        <v>13046</v>
      </c>
      <c r="U13" s="14">
        <v>371642</v>
      </c>
      <c r="V13" s="14">
        <v>30094</v>
      </c>
      <c r="W13" s="14">
        <v>12601</v>
      </c>
      <c r="X13" s="14">
        <v>130996</v>
      </c>
      <c r="Y13" s="14">
        <v>119815</v>
      </c>
      <c r="Z13" s="14">
        <v>11181</v>
      </c>
      <c r="AA13" s="14">
        <f t="shared" si="0"/>
        <v>0</v>
      </c>
      <c r="AB13" s="14">
        <v>130007</v>
      </c>
      <c r="AC13" s="14">
        <v>116981</v>
      </c>
      <c r="AD13" s="14">
        <v>13026</v>
      </c>
      <c r="AE13" s="14">
        <v>83228</v>
      </c>
      <c r="AF13" s="14">
        <v>650</v>
      </c>
      <c r="AG13" s="14">
        <v>4341</v>
      </c>
      <c r="AH13" s="14">
        <v>12925</v>
      </c>
      <c r="AI13" s="14">
        <v>9222</v>
      </c>
      <c r="AJ13" s="14">
        <v>3703</v>
      </c>
      <c r="AK13" s="13">
        <v>17714</v>
      </c>
      <c r="AL13" s="13">
        <v>155234</v>
      </c>
      <c r="AN13" s="14">
        <v>342</v>
      </c>
      <c r="AO13" s="14">
        <v>0</v>
      </c>
      <c r="AP13" s="14">
        <v>601</v>
      </c>
    </row>
    <row r="14" spans="1:42" ht="11.25">
      <c r="A14" s="11">
        <v>44166</v>
      </c>
      <c r="B14" s="14">
        <v>175813</v>
      </c>
      <c r="C14" s="14">
        <v>139070</v>
      </c>
      <c r="D14" s="14">
        <v>36743</v>
      </c>
      <c r="E14" s="14">
        <v>182787</v>
      </c>
      <c r="F14" s="14">
        <v>142964</v>
      </c>
      <c r="G14" s="14">
        <v>39823</v>
      </c>
      <c r="H14" s="14">
        <v>158</v>
      </c>
      <c r="I14" s="14">
        <v>228</v>
      </c>
      <c r="J14" s="14">
        <v>-70</v>
      </c>
      <c r="K14" s="14">
        <v>28017</v>
      </c>
      <c r="L14" s="14">
        <v>19153</v>
      </c>
      <c r="M14" s="14">
        <v>8864</v>
      </c>
      <c r="N14" s="14">
        <v>88434.599000000002</v>
      </c>
      <c r="O14" s="14">
        <v>16497.333999999999</v>
      </c>
      <c r="P14" s="14">
        <v>5013</v>
      </c>
      <c r="Q14" s="14">
        <v>32181</v>
      </c>
      <c r="R14" s="14">
        <v>364763</v>
      </c>
      <c r="S14" s="14">
        <v>27381</v>
      </c>
      <c r="T14" s="14">
        <v>9274</v>
      </c>
      <c r="U14" s="14">
        <v>333253</v>
      </c>
      <c r="V14" s="14">
        <v>26962</v>
      </c>
      <c r="W14" s="14">
        <v>10318</v>
      </c>
      <c r="X14" s="14">
        <v>107417</v>
      </c>
      <c r="Y14" s="14">
        <v>97268</v>
      </c>
      <c r="Z14" s="14">
        <v>10149</v>
      </c>
      <c r="AA14" s="14">
        <f t="shared" si="0"/>
        <v>0</v>
      </c>
      <c r="AB14" s="14">
        <v>109328</v>
      </c>
      <c r="AC14" s="14">
        <v>98675</v>
      </c>
      <c r="AD14" s="14">
        <v>10653</v>
      </c>
      <c r="AE14" s="14">
        <v>115321</v>
      </c>
      <c r="AF14" s="14">
        <v>1070</v>
      </c>
      <c r="AG14" s="14">
        <v>4008</v>
      </c>
      <c r="AH14" s="14">
        <v>9778</v>
      </c>
      <c r="AI14" s="14">
        <v>6038</v>
      </c>
      <c r="AJ14" s="14">
        <v>3740</v>
      </c>
      <c r="AK14" s="13">
        <v>23238</v>
      </c>
      <c r="AL14" s="13">
        <v>139070</v>
      </c>
      <c r="AN14" s="14">
        <v>-583</v>
      </c>
      <c r="AO14" s="14">
        <v>-26</v>
      </c>
      <c r="AP14" s="14">
        <v>-601</v>
      </c>
    </row>
    <row r="15" spans="1:42" ht="11.25">
      <c r="A15" s="11">
        <v>44197</v>
      </c>
      <c r="B15" s="14">
        <v>145465</v>
      </c>
      <c r="C15" s="14">
        <v>116631</v>
      </c>
      <c r="D15" s="14">
        <v>28834</v>
      </c>
      <c r="E15" s="14">
        <v>145870</v>
      </c>
      <c r="F15" s="14">
        <v>115867</v>
      </c>
      <c r="G15" s="14">
        <v>30003</v>
      </c>
      <c r="H15" s="14">
        <v>53</v>
      </c>
      <c r="I15" s="14">
        <v>-44</v>
      </c>
      <c r="J15" s="14">
        <v>97</v>
      </c>
      <c r="K15" s="14">
        <v>27724</v>
      </c>
      <c r="L15" s="14">
        <v>20126</v>
      </c>
      <c r="M15" s="14">
        <v>7598</v>
      </c>
      <c r="N15" s="14">
        <v>70883.08</v>
      </c>
      <c r="O15" s="14">
        <v>6872.65</v>
      </c>
      <c r="P15" s="14">
        <v>44995</v>
      </c>
      <c r="Q15" s="14">
        <v>28736</v>
      </c>
      <c r="R15" s="14">
        <v>265260</v>
      </c>
      <c r="S15" s="14">
        <v>22450</v>
      </c>
      <c r="T15" s="14">
        <v>6050</v>
      </c>
      <c r="U15" s="14">
        <v>276701</v>
      </c>
      <c r="V15" s="14">
        <v>22686</v>
      </c>
      <c r="W15" s="14">
        <v>7141</v>
      </c>
      <c r="X15" s="14">
        <v>98090</v>
      </c>
      <c r="Y15" s="14">
        <v>89492</v>
      </c>
      <c r="Z15" s="14">
        <v>8598</v>
      </c>
      <c r="AA15" s="14">
        <f t="shared" si="0"/>
        <v>0</v>
      </c>
      <c r="AB15" s="14">
        <v>96539</v>
      </c>
      <c r="AC15" s="14">
        <v>86302</v>
      </c>
      <c r="AD15" s="14">
        <v>10237</v>
      </c>
      <c r="AE15" s="14">
        <v>103730</v>
      </c>
      <c r="AF15" s="14">
        <v>832</v>
      </c>
      <c r="AG15" s="14">
        <v>2042</v>
      </c>
      <c r="AH15" s="14">
        <v>10962</v>
      </c>
      <c r="AI15" s="14">
        <v>8099</v>
      </c>
      <c r="AJ15" s="14">
        <v>2863</v>
      </c>
      <c r="AK15" s="13">
        <v>19153</v>
      </c>
      <c r="AL15" s="13">
        <v>116631</v>
      </c>
      <c r="AN15" s="14">
        <v>150</v>
      </c>
      <c r="AO15" s="14">
        <v>2</v>
      </c>
      <c r="AP15" s="14">
        <v>430</v>
      </c>
    </row>
    <row r="16" spans="1:42" ht="11.25">
      <c r="A16" s="11">
        <v>44228</v>
      </c>
      <c r="B16" s="14">
        <v>139836</v>
      </c>
      <c r="C16" s="14">
        <v>108904</v>
      </c>
      <c r="D16" s="14">
        <v>30932</v>
      </c>
      <c r="E16" s="14">
        <v>144739</v>
      </c>
      <c r="F16" s="14">
        <v>112534</v>
      </c>
      <c r="G16" s="14">
        <v>32205</v>
      </c>
      <c r="H16" s="14">
        <v>25</v>
      </c>
      <c r="I16" s="14">
        <v>-25</v>
      </c>
      <c r="J16" s="14">
        <v>50</v>
      </c>
      <c r="K16" s="14">
        <v>22951</v>
      </c>
      <c r="L16" s="14">
        <v>16571</v>
      </c>
      <c r="M16" s="14">
        <v>6380</v>
      </c>
      <c r="N16" s="14">
        <v>70695.403999999995</v>
      </c>
      <c r="O16" s="14">
        <v>20679.539000000001</v>
      </c>
      <c r="P16" s="14">
        <v>8624</v>
      </c>
      <c r="Q16" s="14">
        <v>28475</v>
      </c>
      <c r="R16" s="14">
        <v>254307</v>
      </c>
      <c r="S16" s="14">
        <v>25305</v>
      </c>
      <c r="T16" s="14">
        <v>6849</v>
      </c>
      <c r="U16" s="14">
        <v>258007</v>
      </c>
      <c r="V16" s="14">
        <v>24930</v>
      </c>
      <c r="W16" s="14">
        <v>5889</v>
      </c>
      <c r="X16" s="14">
        <v>91489</v>
      </c>
      <c r="Y16" s="14">
        <v>82510</v>
      </c>
      <c r="Z16" s="14">
        <v>8979</v>
      </c>
      <c r="AA16" s="14">
        <f t="shared" si="0"/>
        <v>0</v>
      </c>
      <c r="AB16" s="14">
        <v>88879</v>
      </c>
      <c r="AC16" s="14">
        <v>78932</v>
      </c>
      <c r="AD16" s="14">
        <v>9947</v>
      </c>
      <c r="AE16" s="14">
        <v>100185</v>
      </c>
      <c r="AF16" s="14">
        <v>1200</v>
      </c>
      <c r="AG16" s="14">
        <v>3077</v>
      </c>
      <c r="AH16" s="14">
        <v>14745</v>
      </c>
      <c r="AI16" s="14">
        <v>11146</v>
      </c>
      <c r="AJ16" s="14">
        <v>3599</v>
      </c>
      <c r="AK16" s="13">
        <v>20126</v>
      </c>
      <c r="AL16" s="13">
        <v>108904</v>
      </c>
      <c r="AN16" s="14">
        <v>39</v>
      </c>
      <c r="AO16" s="14">
        <v>7</v>
      </c>
      <c r="AP16" s="14">
        <v>126</v>
      </c>
    </row>
    <row r="17" spans="1:42" ht="11.25">
      <c r="A17" s="11">
        <v>44256</v>
      </c>
      <c r="B17" s="14">
        <v>172532</v>
      </c>
      <c r="C17" s="14">
        <v>137014</v>
      </c>
      <c r="D17" s="14">
        <v>35518</v>
      </c>
      <c r="E17" s="14">
        <v>173666</v>
      </c>
      <c r="F17" s="14">
        <v>135436</v>
      </c>
      <c r="G17" s="14">
        <v>38230</v>
      </c>
      <c r="H17" s="14">
        <v>79</v>
      </c>
      <c r="I17" s="14">
        <v>60</v>
      </c>
      <c r="J17" s="14">
        <v>19</v>
      </c>
      <c r="K17" s="14">
        <v>23338</v>
      </c>
      <c r="L17" s="14">
        <v>18151</v>
      </c>
      <c r="M17" s="14">
        <v>5187</v>
      </c>
      <c r="N17" s="14">
        <v>110386.192</v>
      </c>
      <c r="O17" s="14">
        <v>6559.1379999999999</v>
      </c>
      <c r="P17" s="14">
        <v>30144</v>
      </c>
      <c r="Q17" s="14">
        <v>33178</v>
      </c>
      <c r="R17" s="14">
        <v>347699</v>
      </c>
      <c r="S17" s="14">
        <v>28078</v>
      </c>
      <c r="T17" s="14">
        <v>6052</v>
      </c>
      <c r="U17" s="14">
        <v>330050</v>
      </c>
      <c r="V17" s="14">
        <v>28507</v>
      </c>
      <c r="W17" s="14">
        <v>6214</v>
      </c>
      <c r="X17" s="14">
        <v>115455</v>
      </c>
      <c r="Y17" s="14">
        <v>105454</v>
      </c>
      <c r="Z17" s="14">
        <v>10001</v>
      </c>
      <c r="AA17" s="14">
        <f t="shared" si="0"/>
        <v>0</v>
      </c>
      <c r="AB17" s="14">
        <v>117414</v>
      </c>
      <c r="AC17" s="14">
        <v>105657</v>
      </c>
      <c r="AD17" s="14">
        <v>11757</v>
      </c>
      <c r="AE17" s="14">
        <v>117642</v>
      </c>
      <c r="AF17" s="14">
        <v>764</v>
      </c>
      <c r="AG17" s="14">
        <v>3071</v>
      </c>
      <c r="AH17" s="14">
        <v>14242</v>
      </c>
      <c r="AI17" s="14">
        <v>11135</v>
      </c>
      <c r="AJ17" s="14">
        <v>3107</v>
      </c>
      <c r="AK17" s="13">
        <v>16571</v>
      </c>
      <c r="AL17" s="13">
        <v>137014</v>
      </c>
      <c r="AN17" s="14">
        <v>192</v>
      </c>
      <c r="AO17" s="14">
        <v>-3</v>
      </c>
      <c r="AP17" s="14">
        <v>-15</v>
      </c>
    </row>
    <row r="18" spans="1:42" ht="11.25">
      <c r="A18" s="11">
        <v>44287</v>
      </c>
      <c r="B18" s="14">
        <v>165461</v>
      </c>
      <c r="C18" s="14">
        <v>130068</v>
      </c>
      <c r="D18" s="14">
        <v>35393</v>
      </c>
      <c r="E18" s="14">
        <v>168279</v>
      </c>
      <c r="F18" s="14">
        <v>131295</v>
      </c>
      <c r="G18" s="14">
        <v>36984</v>
      </c>
      <c r="H18" s="14">
        <v>216</v>
      </c>
      <c r="I18" s="14">
        <v>168</v>
      </c>
      <c r="J18" s="14">
        <v>48</v>
      </c>
      <c r="K18" s="14">
        <v>23049</v>
      </c>
      <c r="L18" s="14">
        <v>16874</v>
      </c>
      <c r="M18" s="14">
        <v>6175</v>
      </c>
      <c r="N18" s="14">
        <v>105097.25199999999</v>
      </c>
      <c r="O18" s="14">
        <v>20526.968000000001</v>
      </c>
      <c r="P18" s="14">
        <v>60655</v>
      </c>
      <c r="Q18" s="14">
        <v>31849</v>
      </c>
      <c r="R18" s="14">
        <v>338297</v>
      </c>
      <c r="S18" s="14">
        <v>26142</v>
      </c>
      <c r="T18" s="14">
        <v>7892</v>
      </c>
      <c r="U18" s="14">
        <v>309729</v>
      </c>
      <c r="V18" s="14">
        <v>26132</v>
      </c>
      <c r="W18" s="14">
        <v>7895</v>
      </c>
      <c r="X18" s="14">
        <v>109583</v>
      </c>
      <c r="Y18" s="14">
        <v>99970</v>
      </c>
      <c r="Z18" s="14">
        <v>9613</v>
      </c>
      <c r="AA18" s="14">
        <f t="shared" si="0"/>
        <v>0</v>
      </c>
      <c r="AB18" s="14">
        <v>117166</v>
      </c>
      <c r="AC18" s="14">
        <v>105576</v>
      </c>
      <c r="AD18" s="14">
        <v>11590</v>
      </c>
      <c r="AE18" s="14">
        <v>146466</v>
      </c>
      <c r="AF18" s="14">
        <v>774</v>
      </c>
      <c r="AG18" s="14">
        <v>3408</v>
      </c>
      <c r="AH18" s="14">
        <v>5997</v>
      </c>
      <c r="AI18" s="14">
        <v>3579</v>
      </c>
      <c r="AJ18" s="14">
        <v>2418</v>
      </c>
      <c r="AK18" s="13">
        <v>18151</v>
      </c>
      <c r="AL18" s="13">
        <v>130068</v>
      </c>
      <c r="AN18" s="14">
        <v>-256</v>
      </c>
      <c r="AO18" s="14">
        <v>0</v>
      </c>
      <c r="AP18" s="14">
        <v>-137</v>
      </c>
    </row>
    <row r="19" spans="1:42" ht="11.25">
      <c r="A19" s="11">
        <v>44317</v>
      </c>
      <c r="B19" s="14">
        <v>172229</v>
      </c>
      <c r="C19" s="14">
        <v>143350</v>
      </c>
      <c r="D19" s="14">
        <v>28879</v>
      </c>
      <c r="E19" s="14">
        <v>170759</v>
      </c>
      <c r="F19" s="14">
        <v>137174</v>
      </c>
      <c r="G19" s="14">
        <v>33585</v>
      </c>
      <c r="H19" s="14">
        <v>71</v>
      </c>
      <c r="I19" s="14">
        <v>3</v>
      </c>
      <c r="J19" s="14">
        <v>68</v>
      </c>
      <c r="K19" s="14">
        <v>27479</v>
      </c>
      <c r="L19" s="14">
        <v>23047</v>
      </c>
      <c r="M19" s="14">
        <v>4432</v>
      </c>
      <c r="N19" s="14">
        <v>103236.031</v>
      </c>
      <c r="O19" s="14">
        <v>18244.367999999999</v>
      </c>
      <c r="P19" s="14">
        <v>70619</v>
      </c>
      <c r="Q19" s="14">
        <v>29003</v>
      </c>
      <c r="R19" s="14">
        <v>320085</v>
      </c>
      <c r="S19" s="14">
        <v>20756</v>
      </c>
      <c r="T19" s="14">
        <v>6711</v>
      </c>
      <c r="U19" s="14">
        <v>342690</v>
      </c>
      <c r="V19" s="14">
        <v>20622</v>
      </c>
      <c r="W19" s="14">
        <v>7478</v>
      </c>
      <c r="X19" s="14">
        <v>119021</v>
      </c>
      <c r="Y19" s="14">
        <v>109562</v>
      </c>
      <c r="Z19" s="14">
        <v>9459</v>
      </c>
      <c r="AA19" s="14">
        <f t="shared" si="0"/>
        <v>0</v>
      </c>
      <c r="AB19" s="14">
        <v>113359</v>
      </c>
      <c r="AC19" s="14">
        <v>102372</v>
      </c>
      <c r="AD19" s="14">
        <v>10987</v>
      </c>
      <c r="AE19" s="14">
        <v>115163</v>
      </c>
      <c r="AF19" s="14">
        <v>908</v>
      </c>
      <c r="AG19" s="14">
        <v>2808</v>
      </c>
      <c r="AH19" s="14">
        <v>12665</v>
      </c>
      <c r="AI19" s="14">
        <v>9853</v>
      </c>
      <c r="AJ19" s="14">
        <v>2812</v>
      </c>
      <c r="AK19" s="13">
        <v>16874</v>
      </c>
      <c r="AL19" s="13">
        <v>143350</v>
      </c>
      <c r="AN19" s="14">
        <v>-2</v>
      </c>
      <c r="AO19" s="14">
        <v>0</v>
      </c>
      <c r="AP19" s="14">
        <v>-66</v>
      </c>
    </row>
    <row r="20" spans="1:42" ht="11.25">
      <c r="A20" s="11">
        <v>44348</v>
      </c>
      <c r="B20" s="14">
        <v>175038</v>
      </c>
      <c r="C20" s="14">
        <v>134140</v>
      </c>
      <c r="D20" s="14">
        <v>40898</v>
      </c>
      <c r="E20" s="14">
        <v>183265</v>
      </c>
      <c r="F20" s="14">
        <v>140338</v>
      </c>
      <c r="G20" s="14">
        <v>42927</v>
      </c>
      <c r="H20" s="14">
        <v>-72</v>
      </c>
      <c r="I20" s="14">
        <v>-52</v>
      </c>
      <c r="J20" s="14">
        <v>-20</v>
      </c>
      <c r="K20" s="14">
        <v>22677</v>
      </c>
      <c r="L20" s="14">
        <v>16938</v>
      </c>
      <c r="M20" s="14">
        <v>5739</v>
      </c>
      <c r="N20" s="14">
        <v>127174.947</v>
      </c>
      <c r="O20" s="14">
        <v>20268.493999999999</v>
      </c>
      <c r="P20" s="14">
        <v>83216</v>
      </c>
      <c r="Q20" s="14">
        <v>30260</v>
      </c>
      <c r="R20" s="14">
        <v>329901</v>
      </c>
      <c r="S20" s="14">
        <v>31071</v>
      </c>
      <c r="T20" s="14">
        <v>8488</v>
      </c>
      <c r="U20" s="14">
        <v>322587</v>
      </c>
      <c r="V20" s="14">
        <v>31139</v>
      </c>
      <c r="W20" s="14">
        <v>8365</v>
      </c>
      <c r="X20" s="14">
        <v>117632</v>
      </c>
      <c r="Y20" s="14">
        <v>106738</v>
      </c>
      <c r="Z20" s="14">
        <v>10894</v>
      </c>
      <c r="AA20" s="14">
        <f t="shared" si="0"/>
        <v>0</v>
      </c>
      <c r="AB20" s="14">
        <v>119936</v>
      </c>
      <c r="AC20" s="14">
        <v>106894</v>
      </c>
      <c r="AD20" s="14">
        <v>13042</v>
      </c>
      <c r="AE20" s="14">
        <v>122756</v>
      </c>
      <c r="AF20" s="14">
        <v>840</v>
      </c>
      <c r="AG20" s="14">
        <v>3236</v>
      </c>
      <c r="AH20" s="14">
        <v>11268</v>
      </c>
      <c r="AI20" s="14">
        <v>8399</v>
      </c>
      <c r="AJ20" s="14">
        <v>2869</v>
      </c>
      <c r="AK20" s="13">
        <v>23047</v>
      </c>
      <c r="AL20" s="13">
        <v>134140</v>
      </c>
      <c r="AN20" s="14">
        <v>-279</v>
      </c>
      <c r="AO20" s="14">
        <v>0</v>
      </c>
      <c r="AP20" s="14">
        <v>-66</v>
      </c>
    </row>
    <row r="21" spans="1:42" ht="11.25">
      <c r="A21" s="11">
        <v>44378</v>
      </c>
      <c r="B21" s="14">
        <v>193086</v>
      </c>
      <c r="C21" s="14">
        <v>155200</v>
      </c>
      <c r="D21" s="14">
        <v>37886</v>
      </c>
      <c r="E21" s="14">
        <v>193613</v>
      </c>
      <c r="F21" s="14">
        <v>152836</v>
      </c>
      <c r="G21" s="14">
        <v>40777</v>
      </c>
      <c r="H21" s="14">
        <v>426</v>
      </c>
      <c r="I21" s="14">
        <v>373</v>
      </c>
      <c r="J21" s="14">
        <v>53</v>
      </c>
      <c r="K21" s="14">
        <v>24181</v>
      </c>
      <c r="L21" s="14">
        <v>19000</v>
      </c>
      <c r="M21" s="14">
        <v>5181</v>
      </c>
      <c r="N21" s="14">
        <v>112227.38400000001</v>
      </c>
      <c r="O21" s="14">
        <v>6681.3829999999998</v>
      </c>
      <c r="P21" s="14">
        <v>57066</v>
      </c>
      <c r="Q21" s="14">
        <v>34314</v>
      </c>
      <c r="R21" s="14">
        <v>346308</v>
      </c>
      <c r="S21" s="14">
        <v>29020</v>
      </c>
      <c r="T21" s="14">
        <v>7691</v>
      </c>
      <c r="U21" s="14">
        <v>375282</v>
      </c>
      <c r="V21" s="14">
        <v>29199</v>
      </c>
      <c r="W21" s="14">
        <v>7975</v>
      </c>
      <c r="X21" s="14">
        <v>130004</v>
      </c>
      <c r="Y21" s="14">
        <v>118842</v>
      </c>
      <c r="Z21" s="14">
        <v>11162</v>
      </c>
      <c r="AA21" s="14">
        <f t="shared" si="0"/>
        <v>0</v>
      </c>
      <c r="AB21" s="14">
        <v>128990</v>
      </c>
      <c r="AC21" s="14">
        <v>116801</v>
      </c>
      <c r="AD21" s="14">
        <v>12189</v>
      </c>
      <c r="AE21" s="14">
        <v>89257</v>
      </c>
      <c r="AF21" s="14">
        <v>662</v>
      </c>
      <c r="AG21" s="14">
        <v>3222</v>
      </c>
      <c r="AH21" s="14">
        <v>13211</v>
      </c>
      <c r="AI21" s="14">
        <v>10316</v>
      </c>
      <c r="AJ21" s="14">
        <v>2895</v>
      </c>
      <c r="AK21" s="13">
        <v>16938</v>
      </c>
      <c r="AL21" s="13">
        <v>155200</v>
      </c>
      <c r="AN21" s="14">
        <v>265</v>
      </c>
      <c r="AO21" s="14">
        <v>-1</v>
      </c>
      <c r="AP21" s="14">
        <v>-42</v>
      </c>
    </row>
    <row r="22" spans="1:42" ht="11.25">
      <c r="A22" s="11">
        <v>44409</v>
      </c>
      <c r="B22" s="14">
        <v>185513</v>
      </c>
      <c r="C22" s="14">
        <v>148267</v>
      </c>
      <c r="D22" s="14">
        <v>37246</v>
      </c>
      <c r="E22" s="14">
        <v>191096</v>
      </c>
      <c r="F22" s="14">
        <v>151841</v>
      </c>
      <c r="G22" s="14">
        <v>39255</v>
      </c>
      <c r="H22" s="14">
        <v>361</v>
      </c>
      <c r="I22" s="14">
        <v>283</v>
      </c>
      <c r="J22" s="14">
        <v>78</v>
      </c>
      <c r="K22" s="14">
        <v>20052</v>
      </c>
      <c r="L22" s="14">
        <v>15154</v>
      </c>
      <c r="M22" s="14">
        <v>4898</v>
      </c>
      <c r="N22" s="14">
        <v>130033.902</v>
      </c>
      <c r="O22" s="14">
        <v>22090.998</v>
      </c>
      <c r="P22" s="14">
        <v>70042</v>
      </c>
      <c r="Q22" s="14">
        <v>37717</v>
      </c>
      <c r="R22" s="14">
        <v>343619</v>
      </c>
      <c r="S22" s="14">
        <v>29208</v>
      </c>
      <c r="T22" s="14">
        <v>6520</v>
      </c>
      <c r="U22" s="14">
        <v>350079</v>
      </c>
      <c r="V22" s="14">
        <v>29104</v>
      </c>
      <c r="W22" s="14">
        <v>6720</v>
      </c>
      <c r="X22" s="14">
        <v>123471</v>
      </c>
      <c r="Y22" s="14">
        <v>112527</v>
      </c>
      <c r="Z22" s="14">
        <v>10944</v>
      </c>
      <c r="AA22" s="14">
        <f t="shared" si="0"/>
        <v>0</v>
      </c>
      <c r="AB22" s="14">
        <v>121253</v>
      </c>
      <c r="AC22" s="14">
        <v>109462</v>
      </c>
      <c r="AD22" s="14">
        <v>11791</v>
      </c>
      <c r="AE22" s="14">
        <v>82724</v>
      </c>
      <c r="AF22" s="14">
        <v>765</v>
      </c>
      <c r="AG22" s="14">
        <v>3168</v>
      </c>
      <c r="AH22" s="14">
        <v>16056</v>
      </c>
      <c r="AI22" s="14">
        <v>13012</v>
      </c>
      <c r="AJ22" s="14">
        <v>3044</v>
      </c>
      <c r="AK22" s="13">
        <v>19000</v>
      </c>
      <c r="AL22" s="13">
        <v>148267</v>
      </c>
      <c r="AN22" s="14">
        <v>73</v>
      </c>
      <c r="AO22" s="14">
        <v>1</v>
      </c>
      <c r="AP22" s="14">
        <v>-9</v>
      </c>
    </row>
    <row r="23" spans="1:42" ht="11.25">
      <c r="A23" s="11">
        <v>44440</v>
      </c>
      <c r="B23" s="14">
        <v>179772</v>
      </c>
      <c r="C23" s="14">
        <v>142231</v>
      </c>
      <c r="D23" s="14">
        <v>37541</v>
      </c>
      <c r="E23" s="14">
        <v>185199</v>
      </c>
      <c r="F23" s="14">
        <v>144676</v>
      </c>
      <c r="G23" s="14">
        <v>40523</v>
      </c>
      <c r="H23" s="14">
        <v>-171</v>
      </c>
      <c r="I23" s="14">
        <v>-194</v>
      </c>
      <c r="J23" s="14">
        <v>23</v>
      </c>
      <c r="K23" s="14">
        <v>16848</v>
      </c>
      <c r="L23" s="14">
        <v>12941</v>
      </c>
      <c r="M23" s="14">
        <v>3907</v>
      </c>
      <c r="N23" s="14">
        <v>137686.41399999999</v>
      </c>
      <c r="O23" s="14">
        <v>17127.453000000001</v>
      </c>
      <c r="P23" s="14">
        <v>35645</v>
      </c>
      <c r="Q23" s="14">
        <v>31190</v>
      </c>
      <c r="R23" s="14">
        <v>361927</v>
      </c>
      <c r="S23" s="14">
        <v>30327</v>
      </c>
      <c r="T23" s="14">
        <v>5373</v>
      </c>
      <c r="U23" s="14">
        <v>346711</v>
      </c>
      <c r="V23" s="14">
        <v>30370</v>
      </c>
      <c r="W23" s="14">
        <v>5985</v>
      </c>
      <c r="X23" s="14">
        <v>119720</v>
      </c>
      <c r="Y23" s="14">
        <v>109738</v>
      </c>
      <c r="Z23" s="14">
        <v>9982</v>
      </c>
      <c r="AA23" s="14">
        <f t="shared" si="0"/>
        <v>0</v>
      </c>
      <c r="AB23" s="14">
        <v>121750</v>
      </c>
      <c r="AC23" s="14">
        <v>111037</v>
      </c>
      <c r="AD23" s="14">
        <v>10713</v>
      </c>
      <c r="AE23" s="14">
        <v>97914</v>
      </c>
      <c r="AF23" s="14">
        <v>724</v>
      </c>
      <c r="AG23" s="14">
        <v>2423</v>
      </c>
      <c r="AH23" s="14">
        <v>13324</v>
      </c>
      <c r="AI23" s="14">
        <v>10019</v>
      </c>
      <c r="AJ23" s="14">
        <v>3305</v>
      </c>
      <c r="AK23" s="13">
        <v>15154</v>
      </c>
      <c r="AL23" s="13">
        <v>142231</v>
      </c>
      <c r="AN23" s="14">
        <v>26</v>
      </c>
      <c r="AO23" s="14">
        <v>-2</v>
      </c>
      <c r="AP23" s="14">
        <v>170</v>
      </c>
    </row>
    <row r="24" spans="1:42" ht="11.25">
      <c r="A24" s="11">
        <v>44470</v>
      </c>
      <c r="B24" s="14">
        <v>156941</v>
      </c>
      <c r="C24" s="14">
        <v>121464</v>
      </c>
      <c r="D24" s="14">
        <v>35477</v>
      </c>
      <c r="E24" s="14">
        <v>153511</v>
      </c>
      <c r="F24" s="14">
        <v>117719</v>
      </c>
      <c r="G24" s="14">
        <v>35792</v>
      </c>
      <c r="H24" s="14">
        <v>195</v>
      </c>
      <c r="I24" s="14">
        <v>116</v>
      </c>
      <c r="J24" s="14">
        <v>79</v>
      </c>
      <c r="K24" s="14">
        <v>20869</v>
      </c>
      <c r="L24" s="14">
        <v>16606</v>
      </c>
      <c r="M24" s="14">
        <v>4263</v>
      </c>
      <c r="N24" s="14">
        <v>142367.38500000001</v>
      </c>
      <c r="O24" s="14">
        <v>5567.3059999999996</v>
      </c>
      <c r="P24" s="14">
        <v>24781</v>
      </c>
      <c r="Q24" s="14">
        <v>34256</v>
      </c>
      <c r="R24" s="14">
        <v>253617</v>
      </c>
      <c r="S24" s="14">
        <v>29496</v>
      </c>
      <c r="T24" s="14">
        <v>5004</v>
      </c>
      <c r="U24" s="14">
        <v>294105</v>
      </c>
      <c r="V24" s="14">
        <v>28965</v>
      </c>
      <c r="W24" s="14">
        <v>5657</v>
      </c>
      <c r="X24" s="14">
        <v>111202</v>
      </c>
      <c r="Y24" s="14">
        <v>100938</v>
      </c>
      <c r="Z24" s="14">
        <v>10264</v>
      </c>
      <c r="AA24" s="14">
        <f t="shared" si="0"/>
        <v>0</v>
      </c>
      <c r="AB24" s="14">
        <v>105861</v>
      </c>
      <c r="AC24" s="14">
        <v>95594</v>
      </c>
      <c r="AD24" s="14">
        <v>10267</v>
      </c>
      <c r="AE24" s="14">
        <v>57506</v>
      </c>
      <c r="AF24" s="14">
        <v>1254</v>
      </c>
      <c r="AG24" s="14">
        <v>1725</v>
      </c>
      <c r="AH24" s="14">
        <v>17678</v>
      </c>
      <c r="AI24" s="14">
        <v>14042</v>
      </c>
      <c r="AJ24" s="14">
        <v>3636</v>
      </c>
      <c r="AK24" s="13">
        <v>12941</v>
      </c>
      <c r="AL24" s="13">
        <v>121464</v>
      </c>
      <c r="AN24" s="14">
        <v>-80</v>
      </c>
      <c r="AO24" s="14">
        <v>1</v>
      </c>
      <c r="AP24" s="14">
        <v>35</v>
      </c>
    </row>
    <row r="25" spans="1:42" ht="11.25">
      <c r="A25" s="11">
        <v>44501</v>
      </c>
      <c r="B25" s="14">
        <v>194209</v>
      </c>
      <c r="C25" s="14">
        <v>154607</v>
      </c>
      <c r="D25" s="14">
        <v>39602</v>
      </c>
      <c r="E25" s="14">
        <v>189327</v>
      </c>
      <c r="F25" s="14">
        <v>149926</v>
      </c>
      <c r="G25" s="14">
        <v>39401</v>
      </c>
      <c r="H25" s="14">
        <v>9</v>
      </c>
      <c r="I25" s="14">
        <v>-41</v>
      </c>
      <c r="J25" s="14">
        <v>50</v>
      </c>
      <c r="K25" s="14">
        <v>25881</v>
      </c>
      <c r="L25" s="14">
        <v>21365</v>
      </c>
      <c r="M25" s="14">
        <v>4516</v>
      </c>
      <c r="N25" s="14">
        <v>141202.57199999999</v>
      </c>
      <c r="O25" s="14">
        <v>16988.506000000001</v>
      </c>
      <c r="P25" s="14">
        <v>9826</v>
      </c>
      <c r="Q25" s="14">
        <v>33993</v>
      </c>
      <c r="R25" s="14">
        <v>420548</v>
      </c>
      <c r="S25" s="14">
        <v>31355</v>
      </c>
      <c r="T25" s="14">
        <v>6055</v>
      </c>
      <c r="U25" s="14">
        <v>369616</v>
      </c>
      <c r="V25" s="14">
        <v>31711</v>
      </c>
      <c r="W25" s="14">
        <v>6022</v>
      </c>
      <c r="X25" s="14">
        <v>127466</v>
      </c>
      <c r="Y25" s="14">
        <v>116592</v>
      </c>
      <c r="Z25" s="14">
        <v>10874</v>
      </c>
      <c r="AA25" s="14">
        <f t="shared" si="0"/>
        <v>0</v>
      </c>
      <c r="AB25" s="14">
        <v>129528</v>
      </c>
      <c r="AC25" s="14">
        <v>117671</v>
      </c>
      <c r="AD25" s="14">
        <v>11857</v>
      </c>
      <c r="AE25" s="14">
        <v>108082</v>
      </c>
      <c r="AF25" s="14">
        <v>898</v>
      </c>
      <c r="AG25" s="14">
        <v>1775</v>
      </c>
      <c r="AH25" s="14">
        <v>15297</v>
      </c>
      <c r="AI25" s="14">
        <v>12195</v>
      </c>
      <c r="AJ25" s="14">
        <v>3102</v>
      </c>
      <c r="AK25" s="13">
        <v>16606</v>
      </c>
      <c r="AL25" s="13">
        <v>154607</v>
      </c>
      <c r="AN25" s="14">
        <v>356</v>
      </c>
      <c r="AO25" s="14">
        <v>0</v>
      </c>
      <c r="AP25" s="14">
        <v>-8</v>
      </c>
    </row>
    <row r="26" spans="1:42" ht="11.25">
      <c r="A26" s="11">
        <v>44531</v>
      </c>
      <c r="B26" s="14">
        <v>193131</v>
      </c>
      <c r="C26" s="14">
        <v>150595</v>
      </c>
      <c r="D26" s="14">
        <v>42536</v>
      </c>
      <c r="E26" s="14">
        <v>192765</v>
      </c>
      <c r="F26" s="14">
        <v>152457</v>
      </c>
      <c r="G26" s="14">
        <v>40308</v>
      </c>
      <c r="H26" s="14">
        <v>64</v>
      </c>
      <c r="I26" s="14">
        <v>21</v>
      </c>
      <c r="J26" s="14">
        <v>43</v>
      </c>
      <c r="K26" s="14">
        <v>26588</v>
      </c>
      <c r="L26" s="14">
        <v>19662</v>
      </c>
      <c r="M26" s="14">
        <v>6926</v>
      </c>
      <c r="N26" s="14">
        <v>134283.872</v>
      </c>
      <c r="O26" s="14">
        <v>16678.695</v>
      </c>
      <c r="P26" s="14">
        <v>9354</v>
      </c>
      <c r="Q26" s="14">
        <v>34897</v>
      </c>
      <c r="R26" s="14">
        <v>391651</v>
      </c>
      <c r="S26" s="14">
        <v>34941</v>
      </c>
      <c r="T26" s="14">
        <v>6066</v>
      </c>
      <c r="U26" s="14">
        <v>365542</v>
      </c>
      <c r="V26" s="14">
        <v>34853</v>
      </c>
      <c r="W26" s="14">
        <v>6324</v>
      </c>
      <c r="X26" s="14">
        <v>123263</v>
      </c>
      <c r="Y26" s="14">
        <v>112185</v>
      </c>
      <c r="Z26" s="14">
        <v>11078</v>
      </c>
      <c r="AA26" s="14">
        <f t="shared" si="0"/>
        <v>0</v>
      </c>
      <c r="AB26" s="14">
        <v>129110</v>
      </c>
      <c r="AC26" s="14">
        <v>117050</v>
      </c>
      <c r="AD26" s="14">
        <v>12060</v>
      </c>
      <c r="AE26" s="14">
        <v>118331</v>
      </c>
      <c r="AF26" s="14">
        <v>986</v>
      </c>
      <c r="AG26" s="14">
        <v>1620</v>
      </c>
      <c r="AH26" s="14">
        <v>9012</v>
      </c>
      <c r="AI26" s="14">
        <v>6302</v>
      </c>
      <c r="AJ26" s="14">
        <v>2710</v>
      </c>
      <c r="AK26" s="13">
        <v>21365</v>
      </c>
      <c r="AL26" s="13">
        <v>150595</v>
      </c>
      <c r="AN26" s="14">
        <v>-140</v>
      </c>
      <c r="AO26" s="14">
        <v>0</v>
      </c>
      <c r="AP26" s="14">
        <v>108</v>
      </c>
    </row>
    <row r="27" spans="1:42" ht="11.25">
      <c r="A27" s="11">
        <v>44562</v>
      </c>
      <c r="B27" s="14">
        <v>161880</v>
      </c>
      <c r="C27" s="14">
        <v>139729</v>
      </c>
      <c r="D27" s="14">
        <v>22151</v>
      </c>
      <c r="E27" s="14">
        <v>163583</v>
      </c>
      <c r="F27" s="14">
        <v>137786</v>
      </c>
      <c r="G27" s="14">
        <v>25797</v>
      </c>
      <c r="H27" s="14">
        <v>95</v>
      </c>
      <c r="I27" s="14">
        <v>95</v>
      </c>
      <c r="J27" s="14">
        <v>0</v>
      </c>
      <c r="K27" s="14">
        <v>24772</v>
      </c>
      <c r="L27" s="14">
        <v>21428</v>
      </c>
      <c r="M27" s="14">
        <v>3344</v>
      </c>
      <c r="N27" s="14">
        <v>136531.55900000001</v>
      </c>
      <c r="O27" s="14">
        <v>6723.0730000000003</v>
      </c>
      <c r="P27" s="14">
        <v>26841</v>
      </c>
      <c r="Q27" s="14">
        <v>23552</v>
      </c>
      <c r="R27" s="14">
        <v>329017</v>
      </c>
      <c r="S27" s="14">
        <v>15817</v>
      </c>
      <c r="T27" s="14">
        <v>4316</v>
      </c>
      <c r="U27" s="14">
        <v>334774</v>
      </c>
      <c r="V27" s="14">
        <v>16557</v>
      </c>
      <c r="W27" s="14">
        <v>4233</v>
      </c>
      <c r="X27" s="14">
        <v>115629</v>
      </c>
      <c r="Y27" s="14">
        <v>106057</v>
      </c>
      <c r="Z27" s="14">
        <v>9572</v>
      </c>
      <c r="AA27" s="14">
        <f t="shared" si="0"/>
        <v>0</v>
      </c>
      <c r="AB27" s="14">
        <v>110080</v>
      </c>
      <c r="AC27" s="14">
        <v>100723</v>
      </c>
      <c r="AD27" s="14">
        <v>9357</v>
      </c>
      <c r="AE27" s="14">
        <v>113015</v>
      </c>
      <c r="AF27" s="14">
        <v>244</v>
      </c>
      <c r="AG27" s="14">
        <v>1620</v>
      </c>
      <c r="AH27" s="14">
        <v>14242</v>
      </c>
      <c r="AI27" s="14">
        <v>10777</v>
      </c>
      <c r="AJ27" s="14">
        <v>3465</v>
      </c>
      <c r="AK27" s="13">
        <v>19543</v>
      </c>
      <c r="AL27" s="13">
        <v>139729</v>
      </c>
      <c r="AN27" s="14">
        <v>-441</v>
      </c>
      <c r="AO27" s="14">
        <v>2</v>
      </c>
      <c r="AP27" s="14">
        <v>9</v>
      </c>
    </row>
    <row r="28" spans="1:42" ht="11.25">
      <c r="A28" s="11">
        <v>44593</v>
      </c>
      <c r="B28" s="14">
        <v>149830</v>
      </c>
      <c r="C28" s="14">
        <v>128540</v>
      </c>
      <c r="D28" s="14">
        <v>21290</v>
      </c>
      <c r="E28" s="14">
        <v>142733</v>
      </c>
      <c r="F28" s="14">
        <v>123699</v>
      </c>
      <c r="G28" s="14">
        <v>19034</v>
      </c>
      <c r="H28" s="14">
        <v>190</v>
      </c>
      <c r="I28" s="14">
        <v>173</v>
      </c>
      <c r="J28" s="14">
        <v>17</v>
      </c>
      <c r="K28" s="14">
        <v>31717</v>
      </c>
      <c r="L28" s="14">
        <v>26134</v>
      </c>
      <c r="M28" s="14">
        <v>5583</v>
      </c>
      <c r="N28" s="14">
        <v>116790.78200000001</v>
      </c>
      <c r="O28" s="14">
        <v>17518.948</v>
      </c>
      <c r="P28" s="14">
        <v>11503</v>
      </c>
      <c r="Q28" s="14">
        <v>17999</v>
      </c>
      <c r="R28" s="14">
        <v>305476</v>
      </c>
      <c r="S28" s="14">
        <v>18562</v>
      </c>
      <c r="T28" s="14">
        <v>2410</v>
      </c>
      <c r="U28" s="14">
        <v>306133</v>
      </c>
      <c r="V28" s="14">
        <v>18037</v>
      </c>
      <c r="W28" s="14">
        <v>3086</v>
      </c>
      <c r="X28" s="14">
        <v>105386</v>
      </c>
      <c r="Y28" s="14">
        <v>96914</v>
      </c>
      <c r="Z28" s="14">
        <v>8472</v>
      </c>
      <c r="AA28" s="14">
        <f t="shared" si="0"/>
        <v>0</v>
      </c>
      <c r="AB28" s="14">
        <v>104753</v>
      </c>
      <c r="AC28" s="14">
        <v>94633</v>
      </c>
      <c r="AD28" s="14">
        <v>10120</v>
      </c>
      <c r="AE28" s="14">
        <v>112174</v>
      </c>
      <c r="AF28" s="14">
        <v>769</v>
      </c>
      <c r="AG28" s="14">
        <v>1090</v>
      </c>
      <c r="AH28" s="14">
        <v>15286</v>
      </c>
      <c r="AI28" s="14">
        <v>12184</v>
      </c>
      <c r="AJ28" s="14">
        <v>3102</v>
      </c>
      <c r="AK28" s="13">
        <v>21428</v>
      </c>
      <c r="AL28" s="13">
        <v>128540</v>
      </c>
      <c r="AN28" s="14">
        <v>184</v>
      </c>
      <c r="AO28" s="14">
        <v>0</v>
      </c>
      <c r="AP28" s="14">
        <v>42</v>
      </c>
    </row>
    <row r="29" spans="1:42" ht="11.25">
      <c r="A29" s="11">
        <v>44621</v>
      </c>
      <c r="B29" s="14">
        <v>174887</v>
      </c>
      <c r="C29" s="14">
        <v>147011</v>
      </c>
      <c r="D29" s="14">
        <v>27876</v>
      </c>
      <c r="E29" s="14">
        <v>180351</v>
      </c>
      <c r="F29" s="14">
        <v>150608</v>
      </c>
      <c r="G29" s="14">
        <v>29743</v>
      </c>
      <c r="H29" s="14">
        <v>335</v>
      </c>
      <c r="I29" s="14">
        <v>283</v>
      </c>
      <c r="J29" s="14">
        <v>52</v>
      </c>
      <c r="K29" s="14">
        <v>26771</v>
      </c>
      <c r="L29" s="14">
        <v>22292</v>
      </c>
      <c r="M29" s="14">
        <v>4479</v>
      </c>
      <c r="N29" s="14">
        <v>125499.44100000001</v>
      </c>
      <c r="O29" s="14">
        <v>7686.3959999999997</v>
      </c>
      <c r="P29" s="14">
        <v>20688</v>
      </c>
      <c r="Q29" s="14">
        <v>24955</v>
      </c>
      <c r="R29" s="14">
        <v>371786</v>
      </c>
      <c r="S29" s="14">
        <v>23765</v>
      </c>
      <c r="T29" s="14">
        <v>3675</v>
      </c>
      <c r="U29" s="14">
        <v>354342</v>
      </c>
      <c r="V29" s="14">
        <v>23614</v>
      </c>
      <c r="W29" s="14">
        <v>3025</v>
      </c>
      <c r="X29" s="14">
        <v>120392</v>
      </c>
      <c r="Y29" s="14">
        <v>109810</v>
      </c>
      <c r="Z29" s="14">
        <v>10582</v>
      </c>
      <c r="AA29" s="14">
        <f t="shared" si="0"/>
        <v>0</v>
      </c>
      <c r="AB29" s="14">
        <v>122234</v>
      </c>
      <c r="AC29" s="14">
        <v>109575</v>
      </c>
      <c r="AD29" s="14">
        <v>12659</v>
      </c>
      <c r="AE29" s="14">
        <v>129563</v>
      </c>
      <c r="AF29" s="14">
        <v>920</v>
      </c>
      <c r="AG29" s="14">
        <v>1927</v>
      </c>
      <c r="AH29" s="14">
        <v>13428</v>
      </c>
      <c r="AI29" s="14">
        <v>10487</v>
      </c>
      <c r="AJ29" s="14">
        <v>2941</v>
      </c>
      <c r="AK29" s="13">
        <v>26134</v>
      </c>
      <c r="AL29" s="13">
        <v>147011</v>
      </c>
      <c r="AN29" s="14">
        <v>55</v>
      </c>
      <c r="AO29" s="14">
        <v>0</v>
      </c>
      <c r="AP29" s="14">
        <v>-24</v>
      </c>
    </row>
    <row r="30" spans="1:42" ht="11.25">
      <c r="A30" s="11">
        <v>44652</v>
      </c>
      <c r="B30" s="14">
        <v>161664</v>
      </c>
      <c r="C30" s="14">
        <v>134215</v>
      </c>
      <c r="D30" s="14">
        <v>27449</v>
      </c>
      <c r="E30" s="14">
        <v>157071</v>
      </c>
      <c r="F30" s="14">
        <v>128460</v>
      </c>
      <c r="G30" s="14">
        <v>28611</v>
      </c>
      <c r="H30" s="14">
        <v>629</v>
      </c>
      <c r="I30" s="14">
        <v>544</v>
      </c>
      <c r="J30" s="14">
        <v>85</v>
      </c>
      <c r="K30" s="14">
        <v>31498</v>
      </c>
      <c r="L30" s="14">
        <v>27542</v>
      </c>
      <c r="M30" s="14">
        <v>3956</v>
      </c>
      <c r="N30" s="14">
        <v>145242.424</v>
      </c>
      <c r="O30" s="14">
        <v>17496.312000000002</v>
      </c>
      <c r="P30" s="14">
        <v>60606</v>
      </c>
      <c r="Q30" s="14">
        <v>26900</v>
      </c>
      <c r="R30" s="14">
        <v>319851</v>
      </c>
      <c r="S30" s="14">
        <v>22385</v>
      </c>
      <c r="T30" s="14">
        <v>3395</v>
      </c>
      <c r="U30" s="14">
        <v>318471</v>
      </c>
      <c r="V30" s="14">
        <v>22418</v>
      </c>
      <c r="W30" s="14">
        <v>4317</v>
      </c>
      <c r="X30" s="14">
        <v>108451</v>
      </c>
      <c r="Y30" s="14">
        <v>97426</v>
      </c>
      <c r="Z30" s="14">
        <v>11025</v>
      </c>
      <c r="AA30" s="14">
        <f t="shared" si="0"/>
        <v>0</v>
      </c>
      <c r="AB30" s="14">
        <v>109486</v>
      </c>
      <c r="AC30" s="14">
        <v>96612</v>
      </c>
      <c r="AD30" s="14">
        <v>12874</v>
      </c>
      <c r="AE30" s="14">
        <v>129992</v>
      </c>
      <c r="AF30" s="14">
        <v>886</v>
      </c>
      <c r="AG30" s="14">
        <v>1248</v>
      </c>
      <c r="AH30" s="14">
        <v>14408</v>
      </c>
      <c r="AI30" s="14">
        <v>10631</v>
      </c>
      <c r="AJ30" s="14">
        <v>3777</v>
      </c>
      <c r="AK30" s="13">
        <v>22292</v>
      </c>
      <c r="AL30" s="13">
        <v>134215</v>
      </c>
      <c r="AN30" s="14">
        <v>951</v>
      </c>
      <c r="AO30" s="14">
        <v>1</v>
      </c>
      <c r="AP30" s="14">
        <v>-16</v>
      </c>
    </row>
    <row r="31" spans="1:42" ht="11.25">
      <c r="A31" s="11">
        <v>44682</v>
      </c>
      <c r="B31" s="14">
        <v>170845</v>
      </c>
      <c r="C31" s="14">
        <v>143661</v>
      </c>
      <c r="D31" s="14">
        <v>27184</v>
      </c>
      <c r="E31" s="14">
        <v>175488</v>
      </c>
      <c r="F31" s="14">
        <v>148041</v>
      </c>
      <c r="G31" s="14">
        <v>27447</v>
      </c>
      <c r="H31" s="14">
        <v>-178</v>
      </c>
      <c r="I31" s="14">
        <v>-235</v>
      </c>
      <c r="J31" s="14">
        <v>57</v>
      </c>
      <c r="K31" s="14">
        <v>28037</v>
      </c>
      <c r="L31" s="14">
        <v>23477</v>
      </c>
      <c r="M31" s="14">
        <v>4560</v>
      </c>
      <c r="N31" s="14">
        <v>157236.45699999999</v>
      </c>
      <c r="O31" s="14">
        <v>19803.794000000002</v>
      </c>
      <c r="P31" s="14">
        <v>69376</v>
      </c>
      <c r="Q31" s="14">
        <v>23373</v>
      </c>
      <c r="R31" s="14">
        <v>346580</v>
      </c>
      <c r="S31" s="14">
        <v>22962</v>
      </c>
      <c r="T31" s="14">
        <v>2433</v>
      </c>
      <c r="U31" s="14">
        <v>345483</v>
      </c>
      <c r="V31" s="14">
        <v>23515</v>
      </c>
      <c r="W31" s="14">
        <v>2800</v>
      </c>
      <c r="X31" s="14">
        <v>117057</v>
      </c>
      <c r="Y31" s="14">
        <v>106239</v>
      </c>
      <c r="Z31" s="14">
        <v>10818</v>
      </c>
      <c r="AA31" s="14">
        <f t="shared" si="0"/>
        <v>0</v>
      </c>
      <c r="AB31" s="14">
        <v>118372</v>
      </c>
      <c r="AC31" s="14">
        <v>105422</v>
      </c>
      <c r="AD31" s="14">
        <v>12950</v>
      </c>
      <c r="AE31" s="14">
        <v>131305</v>
      </c>
      <c r="AF31" s="14">
        <v>233</v>
      </c>
      <c r="AG31" s="14">
        <v>1131</v>
      </c>
      <c r="AH31" s="14">
        <v>14922</v>
      </c>
      <c r="AI31" s="14">
        <v>10932</v>
      </c>
      <c r="AJ31" s="14">
        <v>3990</v>
      </c>
      <c r="AK31" s="13">
        <v>27542</v>
      </c>
      <c r="AL31" s="13">
        <v>143661</v>
      </c>
      <c r="AN31" s="14">
        <v>-216</v>
      </c>
      <c r="AO31" s="14">
        <v>100</v>
      </c>
      <c r="AP31" s="14">
        <v>3</v>
      </c>
    </row>
    <row r="32" spans="1:42" ht="11.25">
      <c r="A32" s="11">
        <v>44713</v>
      </c>
      <c r="B32" s="14">
        <v>166163</v>
      </c>
      <c r="C32" s="14">
        <v>138122</v>
      </c>
      <c r="D32" s="14">
        <v>28041</v>
      </c>
      <c r="E32" s="14">
        <v>173920</v>
      </c>
      <c r="F32" s="14">
        <v>144292</v>
      </c>
      <c r="G32" s="14">
        <v>29628</v>
      </c>
      <c r="H32" s="14">
        <v>454</v>
      </c>
      <c r="I32" s="14">
        <v>404</v>
      </c>
      <c r="J32" s="14">
        <v>50</v>
      </c>
      <c r="K32" s="14">
        <v>21279</v>
      </c>
      <c r="L32" s="14">
        <v>16938</v>
      </c>
      <c r="M32" s="14">
        <v>4341</v>
      </c>
      <c r="N32" s="14">
        <v>154693.88399999999</v>
      </c>
      <c r="O32" s="14">
        <v>5013.2510000000002</v>
      </c>
      <c r="P32" s="14">
        <v>68051</v>
      </c>
      <c r="Q32" s="14">
        <v>25040</v>
      </c>
      <c r="R32" s="14">
        <v>347139</v>
      </c>
      <c r="S32" s="14">
        <v>24584</v>
      </c>
      <c r="T32" s="14">
        <v>2722</v>
      </c>
      <c r="U32" s="14">
        <v>332897</v>
      </c>
      <c r="V32" s="14">
        <v>24636</v>
      </c>
      <c r="W32" s="14">
        <v>3062</v>
      </c>
      <c r="X32" s="14">
        <v>112562</v>
      </c>
      <c r="Y32" s="14">
        <v>102213</v>
      </c>
      <c r="Z32" s="14">
        <v>10349</v>
      </c>
      <c r="AA32" s="14">
        <f t="shared" si="0"/>
        <v>0</v>
      </c>
      <c r="AB32" s="14">
        <v>117017</v>
      </c>
      <c r="AC32" s="14">
        <v>104138</v>
      </c>
      <c r="AD32" s="14">
        <v>12879</v>
      </c>
      <c r="AE32" s="14">
        <v>146060</v>
      </c>
      <c r="AF32" s="14">
        <v>181</v>
      </c>
      <c r="AG32" s="14">
        <v>1060</v>
      </c>
      <c r="AH32" s="14">
        <v>11777</v>
      </c>
      <c r="AI32" s="14">
        <v>8102</v>
      </c>
      <c r="AJ32" s="14">
        <v>3675</v>
      </c>
      <c r="AK32" s="13">
        <v>23477</v>
      </c>
      <c r="AL32" s="13">
        <v>138122</v>
      </c>
      <c r="AN32" s="14">
        <v>-513</v>
      </c>
      <c r="AO32" s="14">
        <v>0</v>
      </c>
      <c r="AP32" s="14">
        <v>-1</v>
      </c>
    </row>
    <row r="33" spans="1:42" ht="11.25">
      <c r="A33" s="11">
        <v>44743</v>
      </c>
      <c r="B33" s="14">
        <v>175691</v>
      </c>
      <c r="C33" s="14">
        <v>148829</v>
      </c>
      <c r="D33" s="14">
        <v>26862</v>
      </c>
      <c r="E33" s="14">
        <v>173801</v>
      </c>
      <c r="F33" s="14">
        <v>143624</v>
      </c>
      <c r="G33" s="14">
        <v>30177</v>
      </c>
      <c r="H33" s="14">
        <v>587</v>
      </c>
      <c r="I33" s="14">
        <v>589</v>
      </c>
      <c r="J33" s="14">
        <v>-2</v>
      </c>
      <c r="K33" s="14">
        <v>25177</v>
      </c>
      <c r="L33" s="14">
        <v>21586</v>
      </c>
      <c r="M33" s="14">
        <v>3591</v>
      </c>
      <c r="N33" s="14">
        <v>157883.913</v>
      </c>
      <c r="O33" s="14">
        <v>17620.254000000001</v>
      </c>
      <c r="P33" s="14">
        <v>71959</v>
      </c>
      <c r="Q33" s="14">
        <v>26955</v>
      </c>
      <c r="R33" s="14">
        <v>327430</v>
      </c>
      <c r="S33" s="14">
        <v>23788</v>
      </c>
      <c r="T33" s="14">
        <v>2629</v>
      </c>
      <c r="U33" s="14">
        <v>357801</v>
      </c>
      <c r="V33" s="14">
        <v>23772</v>
      </c>
      <c r="W33" s="14">
        <v>2961</v>
      </c>
      <c r="X33" s="14">
        <v>123515</v>
      </c>
      <c r="Y33" s="14">
        <v>112755</v>
      </c>
      <c r="Z33" s="14">
        <v>10760</v>
      </c>
      <c r="AA33" s="14">
        <f t="shared" si="0"/>
        <v>0</v>
      </c>
      <c r="AB33" s="14">
        <v>117114</v>
      </c>
      <c r="AC33" s="14">
        <v>104984</v>
      </c>
      <c r="AD33" s="14">
        <v>12130</v>
      </c>
      <c r="AE33" s="14">
        <v>115511</v>
      </c>
      <c r="AF33" s="14">
        <v>232</v>
      </c>
      <c r="AG33" s="14">
        <v>959</v>
      </c>
      <c r="AH33" s="14">
        <v>18921</v>
      </c>
      <c r="AI33" s="14">
        <v>14981</v>
      </c>
      <c r="AJ33" s="14">
        <v>3940</v>
      </c>
      <c r="AK33" s="13">
        <v>16938</v>
      </c>
      <c r="AL33" s="13">
        <v>148829</v>
      </c>
      <c r="AN33" s="14">
        <v>215</v>
      </c>
      <c r="AO33" s="14">
        <v>-35</v>
      </c>
      <c r="AP33" s="14">
        <v>-2</v>
      </c>
    </row>
    <row r="34" spans="1:42" ht="11.25">
      <c r="A34" s="11">
        <v>44774</v>
      </c>
      <c r="B34" s="14">
        <v>175345</v>
      </c>
      <c r="C34" s="14">
        <v>147066</v>
      </c>
      <c r="D34" s="14">
        <v>28279</v>
      </c>
      <c r="E34" s="14">
        <v>181175</v>
      </c>
      <c r="F34" s="14">
        <v>148329</v>
      </c>
      <c r="G34" s="14">
        <v>32846</v>
      </c>
      <c r="H34" s="14">
        <v>212</v>
      </c>
      <c r="I34" s="14">
        <v>72</v>
      </c>
      <c r="J34" s="14">
        <v>140</v>
      </c>
      <c r="K34" s="14">
        <v>22234</v>
      </c>
      <c r="L34" s="14">
        <v>20287</v>
      </c>
      <c r="M34" s="14">
        <v>1947</v>
      </c>
      <c r="N34" s="14">
        <v>201135.231</v>
      </c>
      <c r="O34" s="14">
        <v>6101.3320000000003</v>
      </c>
      <c r="P34" s="14">
        <v>81242</v>
      </c>
      <c r="Q34" s="14">
        <v>26936</v>
      </c>
      <c r="R34" s="14">
        <v>351899</v>
      </c>
      <c r="S34" s="14">
        <v>23682</v>
      </c>
      <c r="T34" s="14">
        <v>2948</v>
      </c>
      <c r="U34" s="14">
        <v>356357</v>
      </c>
      <c r="V34" s="14">
        <v>22812</v>
      </c>
      <c r="W34" s="14">
        <v>2813</v>
      </c>
      <c r="X34" s="14">
        <v>121266</v>
      </c>
      <c r="Y34" s="14">
        <v>110254</v>
      </c>
      <c r="Z34" s="14">
        <v>11012</v>
      </c>
      <c r="AA34" s="14">
        <f t="shared" si="0"/>
        <v>0</v>
      </c>
      <c r="AB34" s="14">
        <v>123931</v>
      </c>
      <c r="AC34" s="14">
        <v>112228</v>
      </c>
      <c r="AD34" s="14">
        <v>11703</v>
      </c>
      <c r="AE34" s="14">
        <v>111167</v>
      </c>
      <c r="AF34" s="14">
        <v>1062</v>
      </c>
      <c r="AG34" s="14">
        <v>1242</v>
      </c>
      <c r="AH34" s="14">
        <v>17448</v>
      </c>
      <c r="AI34" s="14">
        <v>12225</v>
      </c>
      <c r="AJ34" s="14">
        <v>5223</v>
      </c>
      <c r="AK34" s="13">
        <v>21586</v>
      </c>
      <c r="AL34" s="13">
        <v>147066</v>
      </c>
      <c r="AN34" s="14">
        <v>-114</v>
      </c>
      <c r="AO34" s="14">
        <v>6</v>
      </c>
      <c r="AP34" s="14">
        <v>-8</v>
      </c>
    </row>
    <row r="35" spans="1:42" ht="11.25">
      <c r="A35" s="11">
        <v>44805</v>
      </c>
      <c r="B35" s="14">
        <v>164119</v>
      </c>
      <c r="C35" s="14">
        <v>127518</v>
      </c>
      <c r="D35" s="14">
        <v>36601</v>
      </c>
      <c r="E35" s="14">
        <v>168619</v>
      </c>
      <c r="F35" s="14">
        <v>131867</v>
      </c>
      <c r="G35" s="14">
        <v>36752</v>
      </c>
      <c r="H35" s="14">
        <v>319</v>
      </c>
      <c r="I35" s="14">
        <v>259</v>
      </c>
      <c r="J35" s="14">
        <v>60</v>
      </c>
      <c r="K35" s="14">
        <v>21932</v>
      </c>
      <c r="L35" s="14">
        <v>16883</v>
      </c>
      <c r="M35" s="14">
        <v>5049</v>
      </c>
      <c r="N35" s="14">
        <v>163468.554</v>
      </c>
      <c r="O35" s="14">
        <v>17856.342000000001</v>
      </c>
      <c r="P35" s="14">
        <v>89682</v>
      </c>
      <c r="Q35" s="14">
        <v>26552</v>
      </c>
      <c r="R35" s="14">
        <v>312308</v>
      </c>
      <c r="S35" s="14">
        <v>32548</v>
      </c>
      <c r="T35" s="14">
        <v>4584</v>
      </c>
      <c r="U35" s="14">
        <v>309156</v>
      </c>
      <c r="V35" s="14">
        <v>32909</v>
      </c>
      <c r="W35" s="14">
        <v>4257</v>
      </c>
      <c r="X35" s="14">
        <v>109792</v>
      </c>
      <c r="Y35" s="14">
        <v>99088</v>
      </c>
      <c r="Z35" s="14">
        <v>10704</v>
      </c>
      <c r="AA35" s="14">
        <f t="shared" si="0"/>
        <v>0</v>
      </c>
      <c r="AB35" s="14">
        <v>115422</v>
      </c>
      <c r="AC35" s="14">
        <v>103612</v>
      </c>
      <c r="AD35" s="14">
        <v>11810</v>
      </c>
      <c r="AE35" s="14">
        <v>115437</v>
      </c>
      <c r="AF35" s="14">
        <v>694</v>
      </c>
      <c r="AG35" s="14">
        <v>1863</v>
      </c>
      <c r="AH35" s="14">
        <v>11190</v>
      </c>
      <c r="AI35" s="14">
        <v>6719</v>
      </c>
      <c r="AJ35" s="14">
        <v>4471</v>
      </c>
      <c r="AK35" s="13">
        <v>20287</v>
      </c>
      <c r="AL35" s="13">
        <v>127518</v>
      </c>
      <c r="AN35" s="14">
        <v>-1118</v>
      </c>
      <c r="AO35" s="14">
        <v>7</v>
      </c>
      <c r="AP35" s="14">
        <v>-3</v>
      </c>
    </row>
    <row r="36" spans="1:42" ht="11.25">
      <c r="A36" s="11">
        <v>44835</v>
      </c>
      <c r="B36" s="14">
        <v>179931</v>
      </c>
      <c r="C36" s="14">
        <v>138048</v>
      </c>
      <c r="D36" s="14">
        <v>41883</v>
      </c>
      <c r="E36" s="14">
        <v>175776</v>
      </c>
      <c r="F36" s="14">
        <v>131839</v>
      </c>
      <c r="G36" s="14">
        <v>43937</v>
      </c>
      <c r="H36" s="14">
        <v>376</v>
      </c>
      <c r="I36" s="14">
        <v>266</v>
      </c>
      <c r="J36" s="14">
        <v>110</v>
      </c>
      <c r="K36" s="14">
        <v>27983</v>
      </c>
      <c r="L36" s="14">
        <v>22927</v>
      </c>
      <c r="M36" s="14">
        <v>5056</v>
      </c>
      <c r="N36" s="14">
        <v>170523.29699999999</v>
      </c>
      <c r="O36" s="14">
        <v>4985.8860000000004</v>
      </c>
      <c r="P36" s="14">
        <v>88392</v>
      </c>
      <c r="Q36" s="14">
        <v>38386</v>
      </c>
      <c r="R36" s="14">
        <v>290726</v>
      </c>
      <c r="S36" s="14">
        <v>63255</v>
      </c>
      <c r="T36" s="14">
        <v>3832</v>
      </c>
      <c r="U36" s="14">
        <v>333649</v>
      </c>
      <c r="V36" s="14">
        <v>35736</v>
      </c>
      <c r="W36" s="14">
        <v>4760</v>
      </c>
      <c r="X36" s="14">
        <v>119628</v>
      </c>
      <c r="Y36" s="14">
        <v>108175</v>
      </c>
      <c r="Z36" s="14">
        <v>11453</v>
      </c>
      <c r="AA36" s="14">
        <f t="shared" si="0"/>
        <v>0</v>
      </c>
      <c r="AB36" s="14">
        <v>113543</v>
      </c>
      <c r="AC36" s="14">
        <v>101544</v>
      </c>
      <c r="AD36" s="14">
        <v>11999</v>
      </c>
      <c r="AE36" s="14">
        <v>71812</v>
      </c>
      <c r="AF36" s="14">
        <v>28209</v>
      </c>
      <c r="AG36" s="14">
        <v>1129</v>
      </c>
      <c r="AH36" s="14">
        <v>17376</v>
      </c>
      <c r="AI36" s="14">
        <v>12509</v>
      </c>
      <c r="AJ36" s="14">
        <v>4867</v>
      </c>
      <c r="AK36" s="13">
        <v>16883</v>
      </c>
      <c r="AL36" s="13">
        <v>138048</v>
      </c>
      <c r="AN36" s="14">
        <v>702</v>
      </c>
      <c r="AO36" s="14">
        <v>4</v>
      </c>
      <c r="AP36" s="14">
        <v>-11</v>
      </c>
    </row>
    <row r="37" spans="1:42" ht="11.25">
      <c r="A37" s="11">
        <v>44866</v>
      </c>
      <c r="B37" s="14">
        <v>192198</v>
      </c>
      <c r="C37" s="14">
        <v>148365</v>
      </c>
      <c r="D37" s="14">
        <v>43833</v>
      </c>
      <c r="E37" s="14">
        <v>199851</v>
      </c>
      <c r="F37" s="14">
        <v>153455</v>
      </c>
      <c r="G37" s="14">
        <v>46396</v>
      </c>
      <c r="H37" s="14">
        <v>391</v>
      </c>
      <c r="I37" s="14">
        <v>246</v>
      </c>
      <c r="J37" s="14">
        <v>145</v>
      </c>
      <c r="K37" s="14">
        <v>21960</v>
      </c>
      <c r="L37" s="14">
        <v>17618</v>
      </c>
      <c r="M37" s="14">
        <v>4342</v>
      </c>
      <c r="N37" s="14">
        <v>186583.60800000001</v>
      </c>
      <c r="O37" s="14">
        <v>14845.02</v>
      </c>
      <c r="P37" s="14">
        <v>25438</v>
      </c>
      <c r="Q37" s="14">
        <v>40485</v>
      </c>
      <c r="R37" s="14">
        <v>376962</v>
      </c>
      <c r="S37" s="14">
        <v>37566</v>
      </c>
      <c r="T37" s="14">
        <v>4034</v>
      </c>
      <c r="U37" s="14">
        <v>358635</v>
      </c>
      <c r="V37" s="14">
        <v>37856</v>
      </c>
      <c r="W37" s="14">
        <v>4316</v>
      </c>
      <c r="X37" s="14">
        <v>126415</v>
      </c>
      <c r="Y37" s="14">
        <v>114234</v>
      </c>
      <c r="Z37" s="14">
        <v>12181</v>
      </c>
      <c r="AA37" s="14">
        <f t="shared" si="0"/>
        <v>0</v>
      </c>
      <c r="AB37" s="14">
        <v>133768</v>
      </c>
      <c r="AC37" s="14">
        <v>119855</v>
      </c>
      <c r="AD37" s="14">
        <v>13913</v>
      </c>
      <c r="AE37" s="14">
        <v>89539</v>
      </c>
      <c r="AF37" s="14">
        <v>27938</v>
      </c>
      <c r="AG37" s="14">
        <v>1148</v>
      </c>
      <c r="AH37" s="14">
        <v>9993</v>
      </c>
      <c r="AI37" s="14">
        <v>6147</v>
      </c>
      <c r="AJ37" s="14">
        <v>3846</v>
      </c>
      <c r="AK37" s="13">
        <v>22927</v>
      </c>
      <c r="AL37" s="13">
        <v>148365</v>
      </c>
      <c r="AN37" s="14">
        <v>600</v>
      </c>
      <c r="AO37" s="14">
        <v>17</v>
      </c>
      <c r="AP37" s="14">
        <v>1</v>
      </c>
    </row>
    <row r="38" spans="1:42" ht="11.25">
      <c r="A38" s="11">
        <v>44896</v>
      </c>
      <c r="B38" s="14">
        <v>188192</v>
      </c>
      <c r="C38" s="14">
        <v>150449</v>
      </c>
      <c r="D38" s="14">
        <v>37743</v>
      </c>
      <c r="E38" s="14">
        <v>178727</v>
      </c>
      <c r="F38" s="14">
        <v>141583</v>
      </c>
      <c r="G38" s="14">
        <v>37144</v>
      </c>
      <c r="H38" s="14">
        <v>629</v>
      </c>
      <c r="I38" s="14">
        <v>560</v>
      </c>
      <c r="J38" s="14">
        <v>69</v>
      </c>
      <c r="K38" s="14">
        <v>31126</v>
      </c>
      <c r="L38" s="14">
        <v>26067</v>
      </c>
      <c r="M38" s="14">
        <v>5059</v>
      </c>
      <c r="N38" s="14">
        <v>188250.53200000001</v>
      </c>
      <c r="O38" s="14">
        <v>16095.573</v>
      </c>
      <c r="P38" s="14">
        <v>62312</v>
      </c>
      <c r="Q38" s="14">
        <v>32433</v>
      </c>
      <c r="R38" s="14">
        <v>351609</v>
      </c>
      <c r="S38" s="14">
        <v>33225</v>
      </c>
      <c r="T38" s="14">
        <v>3636</v>
      </c>
      <c r="U38" s="14">
        <v>365518</v>
      </c>
      <c r="V38" s="14">
        <v>33125</v>
      </c>
      <c r="W38" s="14">
        <v>3872</v>
      </c>
      <c r="X38" s="14">
        <v>129683</v>
      </c>
      <c r="Y38" s="14">
        <v>116925</v>
      </c>
      <c r="Z38" s="14">
        <v>12758</v>
      </c>
      <c r="AA38" s="14">
        <f t="shared" si="0"/>
        <v>0</v>
      </c>
      <c r="AB38" s="14">
        <v>125715</v>
      </c>
      <c r="AC38" s="14">
        <v>112508</v>
      </c>
      <c r="AD38" s="14">
        <v>13207</v>
      </c>
      <c r="AE38" s="14">
        <v>75675</v>
      </c>
      <c r="AF38" s="14">
        <v>28042</v>
      </c>
      <c r="AG38" s="14">
        <v>1185</v>
      </c>
      <c r="AH38" s="14">
        <v>13119</v>
      </c>
      <c r="AI38" s="14">
        <v>8933</v>
      </c>
      <c r="AJ38" s="14">
        <v>4186</v>
      </c>
      <c r="AK38" s="13">
        <v>17618</v>
      </c>
      <c r="AL38" s="13">
        <v>150449</v>
      </c>
      <c r="AN38" s="14">
        <v>286</v>
      </c>
      <c r="AO38" s="14">
        <v>-4</v>
      </c>
      <c r="AP38" s="14">
        <v>4</v>
      </c>
    </row>
    <row r="39" spans="1:42" ht="11.25">
      <c r="A39" s="11">
        <v>44927</v>
      </c>
      <c r="B39" s="14">
        <v>186459</v>
      </c>
      <c r="C39" s="14">
        <v>149788</v>
      </c>
      <c r="D39" s="14">
        <v>36671</v>
      </c>
      <c r="E39" s="14">
        <v>188621</v>
      </c>
      <c r="F39" s="14">
        <v>151754</v>
      </c>
      <c r="G39" s="14">
        <v>36867</v>
      </c>
      <c r="H39" s="14">
        <v>396</v>
      </c>
      <c r="I39" s="14">
        <v>330</v>
      </c>
      <c r="J39" s="14">
        <v>66</v>
      </c>
      <c r="K39" s="14">
        <v>28753</v>
      </c>
      <c r="L39" s="14">
        <v>23829</v>
      </c>
      <c r="M39" s="14">
        <v>4924</v>
      </c>
      <c r="N39" s="14">
        <v>182644.57</v>
      </c>
      <c r="O39" s="14">
        <v>5629.16</v>
      </c>
      <c r="P39" s="14">
        <v>10810</v>
      </c>
      <c r="Q39" s="14">
        <v>33944</v>
      </c>
      <c r="R39" s="14">
        <v>383012</v>
      </c>
      <c r="S39" s="14">
        <v>33555</v>
      </c>
      <c r="T39" s="14">
        <v>4231</v>
      </c>
      <c r="U39" s="14">
        <v>366358</v>
      </c>
      <c r="V39" s="14">
        <v>32092</v>
      </c>
      <c r="W39" s="14">
        <v>3917</v>
      </c>
      <c r="X39" s="14">
        <v>132239</v>
      </c>
      <c r="Y39" s="14">
        <v>119833</v>
      </c>
      <c r="Z39" s="14">
        <v>12406</v>
      </c>
      <c r="AA39" s="14">
        <f t="shared" si="0"/>
        <v>0</v>
      </c>
      <c r="AB39" s="14">
        <v>132992</v>
      </c>
      <c r="AC39" s="14">
        <v>120391</v>
      </c>
      <c r="AD39" s="14">
        <v>12601</v>
      </c>
      <c r="AE39" s="14">
        <v>91798</v>
      </c>
      <c r="AF39" s="14">
        <v>29480</v>
      </c>
      <c r="AG39" s="14">
        <v>1713</v>
      </c>
      <c r="AH39" s="14">
        <v>12244</v>
      </c>
      <c r="AI39" s="14">
        <v>7656</v>
      </c>
      <c r="AJ39" s="14">
        <v>4588</v>
      </c>
      <c r="AK39" s="13">
        <v>26067</v>
      </c>
      <c r="AL39" s="13">
        <v>149788</v>
      </c>
      <c r="AN39" s="14">
        <v>509</v>
      </c>
      <c r="AO39" s="14">
        <v>25</v>
      </c>
      <c r="AP39" s="14">
        <v>16</v>
      </c>
    </row>
    <row r="40" spans="1:42" ht="11.25">
      <c r="A40" s="11">
        <v>44958</v>
      </c>
      <c r="B40" s="14">
        <v>169618</v>
      </c>
      <c r="C40" s="14">
        <v>132431</v>
      </c>
      <c r="D40" s="14">
        <v>37187</v>
      </c>
      <c r="E40" s="14">
        <v>171189</v>
      </c>
      <c r="F40" s="14">
        <v>133181</v>
      </c>
      <c r="G40" s="14">
        <v>38008</v>
      </c>
      <c r="H40" s="14">
        <v>285</v>
      </c>
      <c r="I40" s="14">
        <v>178</v>
      </c>
      <c r="J40" s="14">
        <v>107</v>
      </c>
      <c r="K40" s="14">
        <v>27184</v>
      </c>
      <c r="L40" s="14">
        <v>22938</v>
      </c>
      <c r="M40" s="14">
        <v>4246</v>
      </c>
      <c r="N40" s="14">
        <v>162738.57</v>
      </c>
      <c r="O40" s="14">
        <v>16439.5</v>
      </c>
      <c r="P40" s="14">
        <v>16379</v>
      </c>
      <c r="Q40" s="14">
        <v>35271</v>
      </c>
      <c r="R40" s="14">
        <v>315484</v>
      </c>
      <c r="S40" s="14">
        <v>32133</v>
      </c>
      <c r="T40" s="14">
        <v>3358</v>
      </c>
      <c r="U40" s="14">
        <v>320582</v>
      </c>
      <c r="V40" s="14">
        <v>32696</v>
      </c>
      <c r="W40" s="14">
        <v>3825</v>
      </c>
      <c r="X40" s="14">
        <v>115266</v>
      </c>
      <c r="Y40" s="14">
        <v>103666</v>
      </c>
      <c r="Z40" s="14">
        <v>11600</v>
      </c>
      <c r="AA40" s="14">
        <f t="shared" si="0"/>
        <v>0</v>
      </c>
      <c r="AB40" s="14">
        <v>113398</v>
      </c>
      <c r="AC40" s="14">
        <v>101318</v>
      </c>
      <c r="AD40" s="14">
        <v>12080</v>
      </c>
      <c r="AE40" s="14">
        <v>85965</v>
      </c>
      <c r="AF40" s="14">
        <v>29004</v>
      </c>
      <c r="AG40" s="14">
        <v>1510</v>
      </c>
      <c r="AH40" s="14">
        <v>14161</v>
      </c>
      <c r="AI40" s="14">
        <v>9362</v>
      </c>
      <c r="AJ40" s="14">
        <v>4799</v>
      </c>
      <c r="AK40" s="13">
        <v>23829</v>
      </c>
      <c r="AL40" s="13">
        <v>132431</v>
      </c>
      <c r="AN40" s="14">
        <v>735</v>
      </c>
      <c r="AO40" s="14">
        <v>-87</v>
      </c>
      <c r="AP40" s="14">
        <v>9</v>
      </c>
    </row>
    <row r="41" spans="1:42" ht="11.25">
      <c r="A41" s="11">
        <v>44986</v>
      </c>
      <c r="B41" s="14">
        <v>198113</v>
      </c>
      <c r="C41" s="14">
        <v>155281</v>
      </c>
      <c r="D41" s="14">
        <v>42832</v>
      </c>
      <c r="E41" s="14">
        <v>196533</v>
      </c>
      <c r="F41" s="14">
        <v>154819</v>
      </c>
      <c r="G41" s="14">
        <v>41714</v>
      </c>
      <c r="H41" s="14">
        <v>390</v>
      </c>
      <c r="I41" s="14">
        <v>315</v>
      </c>
      <c r="J41" s="14">
        <v>75</v>
      </c>
      <c r="K41" s="14">
        <v>29280</v>
      </c>
      <c r="L41" s="14">
        <v>23124</v>
      </c>
      <c r="M41" s="14">
        <v>6156</v>
      </c>
      <c r="N41" s="14">
        <v>273200.92099999997</v>
      </c>
      <c r="O41" s="14">
        <v>5274.701</v>
      </c>
      <c r="P41" s="14">
        <v>31947</v>
      </c>
      <c r="Q41" s="14">
        <v>40770</v>
      </c>
      <c r="R41" s="14">
        <v>377636</v>
      </c>
      <c r="S41" s="14">
        <v>36969</v>
      </c>
      <c r="T41" s="14">
        <v>4234</v>
      </c>
      <c r="U41" s="14">
        <v>377267</v>
      </c>
      <c r="V41" s="14">
        <v>36640</v>
      </c>
      <c r="W41" s="14">
        <v>4359</v>
      </c>
      <c r="X41" s="14">
        <v>134165</v>
      </c>
      <c r="Y41" s="14">
        <v>120665</v>
      </c>
      <c r="Z41" s="14">
        <v>13500</v>
      </c>
      <c r="AA41" s="14">
        <f t="shared" si="0"/>
        <v>0</v>
      </c>
      <c r="AB41" s="14">
        <v>135914</v>
      </c>
      <c r="AC41" s="14">
        <v>121530</v>
      </c>
      <c r="AD41" s="14">
        <v>14384</v>
      </c>
      <c r="AE41" s="14">
        <v>86132</v>
      </c>
      <c r="AF41" s="14">
        <v>29261</v>
      </c>
      <c r="AG41" s="14">
        <v>1674</v>
      </c>
      <c r="AH41" s="14">
        <v>12565</v>
      </c>
      <c r="AI41" s="14">
        <v>7723</v>
      </c>
      <c r="AJ41" s="14">
        <v>4842</v>
      </c>
      <c r="AK41" s="13">
        <v>22938</v>
      </c>
      <c r="AL41" s="13">
        <v>155281</v>
      </c>
      <c r="AN41" s="14">
        <v>202</v>
      </c>
      <c r="AO41" s="14">
        <v>72</v>
      </c>
      <c r="AP41" s="14">
        <v>5</v>
      </c>
    </row>
    <row r="42" spans="1:42" ht="11.25">
      <c r="A42" s="11">
        <v>45017</v>
      </c>
      <c r="B42" s="14">
        <v>168701</v>
      </c>
      <c r="C42" s="14">
        <v>134197</v>
      </c>
      <c r="D42" s="14">
        <v>34504</v>
      </c>
      <c r="E42" s="14">
        <v>167529</v>
      </c>
      <c r="F42" s="14">
        <v>130567</v>
      </c>
      <c r="G42" s="14">
        <v>36962</v>
      </c>
      <c r="H42" s="14">
        <v>92</v>
      </c>
      <c r="I42" s="14">
        <v>-17</v>
      </c>
      <c r="J42" s="14">
        <v>109</v>
      </c>
      <c r="K42" s="14">
        <v>32070</v>
      </c>
      <c r="L42" s="14">
        <v>26904</v>
      </c>
      <c r="M42" s="14">
        <v>5166</v>
      </c>
      <c r="N42" s="14">
        <v>196419.603</v>
      </c>
      <c r="O42" s="14">
        <v>20157.171999999999</v>
      </c>
      <c r="P42" s="14">
        <v>132264</v>
      </c>
      <c r="Q42" s="14">
        <v>34406</v>
      </c>
      <c r="R42" s="14">
        <v>304941</v>
      </c>
      <c r="S42" s="14">
        <v>28271</v>
      </c>
      <c r="T42" s="14">
        <v>3451</v>
      </c>
      <c r="U42" s="14">
        <v>327601</v>
      </c>
      <c r="V42" s="14">
        <v>28823</v>
      </c>
      <c r="W42" s="14">
        <v>4213</v>
      </c>
      <c r="X42" s="14">
        <v>115548</v>
      </c>
      <c r="Y42" s="14">
        <v>103493</v>
      </c>
      <c r="Z42" s="14">
        <v>12055</v>
      </c>
      <c r="AA42" s="14">
        <f t="shared" si="0"/>
        <v>0</v>
      </c>
      <c r="AB42" s="14">
        <v>111671</v>
      </c>
      <c r="AC42" s="14">
        <v>98558</v>
      </c>
      <c r="AD42" s="14">
        <v>13113</v>
      </c>
      <c r="AE42" s="14">
        <v>63532</v>
      </c>
      <c r="AF42" s="14">
        <v>28726</v>
      </c>
      <c r="AG42" s="14">
        <v>1179</v>
      </c>
      <c r="AH42" s="14">
        <v>17622</v>
      </c>
      <c r="AI42" s="14">
        <v>12130</v>
      </c>
      <c r="AJ42" s="14">
        <v>5492</v>
      </c>
      <c r="AK42" s="13">
        <v>23124</v>
      </c>
      <c r="AL42" s="13">
        <v>134197</v>
      </c>
      <c r="AN42" s="14">
        <v>-60</v>
      </c>
      <c r="AO42" s="14">
        <v>-17</v>
      </c>
      <c r="AP42" s="14">
        <v>9</v>
      </c>
    </row>
    <row r="43" spans="1:42" ht="11.25">
      <c r="A43" s="11">
        <v>45047</v>
      </c>
      <c r="B43" s="14">
        <v>173685</v>
      </c>
      <c r="C43" s="14">
        <v>131166</v>
      </c>
      <c r="D43" s="14">
        <v>42519</v>
      </c>
      <c r="E43" s="14">
        <v>178633</v>
      </c>
      <c r="F43" s="14">
        <v>134366</v>
      </c>
      <c r="G43" s="14">
        <v>44267</v>
      </c>
      <c r="H43" s="14">
        <v>279</v>
      </c>
      <c r="I43" s="14">
        <v>189</v>
      </c>
      <c r="J43" s="14">
        <v>90</v>
      </c>
      <c r="K43" s="14">
        <v>29160</v>
      </c>
      <c r="L43" s="14">
        <v>23579</v>
      </c>
      <c r="M43" s="14">
        <v>5581</v>
      </c>
      <c r="N43" s="14">
        <v>255115.984</v>
      </c>
      <c r="O43" s="14">
        <v>16869.316999999999</v>
      </c>
      <c r="P43" s="14">
        <v>103061</v>
      </c>
      <c r="Q43" s="14">
        <v>37218</v>
      </c>
      <c r="R43" s="14">
        <v>317738</v>
      </c>
      <c r="S43" s="14">
        <v>36077</v>
      </c>
      <c r="T43" s="14">
        <v>5473</v>
      </c>
      <c r="U43" s="14">
        <v>317948</v>
      </c>
      <c r="V43" s="14">
        <v>36199</v>
      </c>
      <c r="W43" s="14">
        <v>5411</v>
      </c>
      <c r="X43" s="14">
        <v>113947</v>
      </c>
      <c r="Y43" s="14">
        <v>101573</v>
      </c>
      <c r="Z43" s="14">
        <v>12374</v>
      </c>
      <c r="AA43" s="14">
        <f t="shared" si="0"/>
        <v>0</v>
      </c>
      <c r="AB43" s="14">
        <v>118280</v>
      </c>
      <c r="AC43" s="14">
        <v>104003</v>
      </c>
      <c r="AD43" s="14">
        <v>14277</v>
      </c>
      <c r="AE43" s="14">
        <v>63226</v>
      </c>
      <c r="AF43" s="14">
        <v>28940</v>
      </c>
      <c r="AG43" s="14">
        <v>1252</v>
      </c>
      <c r="AH43" s="14">
        <v>14222</v>
      </c>
      <c r="AI43" s="14">
        <v>9192</v>
      </c>
      <c r="AJ43" s="14">
        <v>5030</v>
      </c>
      <c r="AK43" s="13">
        <v>26904</v>
      </c>
      <c r="AL43" s="13">
        <v>131166</v>
      </c>
      <c r="AN43" s="14">
        <v>96</v>
      </c>
      <c r="AO43" s="14">
        <v>-336</v>
      </c>
      <c r="AP43" s="14">
        <v>235</v>
      </c>
    </row>
    <row r="44" spans="1:42" ht="11.25">
      <c r="A44" s="11">
        <v>45078</v>
      </c>
      <c r="B44" s="14">
        <v>185836</v>
      </c>
      <c r="C44" s="14">
        <v>138214</v>
      </c>
      <c r="D44" s="14">
        <v>47622</v>
      </c>
      <c r="E44" s="14">
        <v>188658</v>
      </c>
      <c r="F44" s="14">
        <v>139431</v>
      </c>
      <c r="G44" s="14">
        <v>49227</v>
      </c>
      <c r="H44" s="14">
        <v>69</v>
      </c>
      <c r="I44" s="14">
        <v>-33</v>
      </c>
      <c r="J44" s="14">
        <v>102</v>
      </c>
      <c r="K44" s="14">
        <v>29273</v>
      </c>
      <c r="L44" s="14">
        <v>22582</v>
      </c>
      <c r="M44" s="14">
        <v>6691</v>
      </c>
      <c r="N44" s="14">
        <v>195468.09</v>
      </c>
      <c r="O44" s="14">
        <v>16858.906999999999</v>
      </c>
      <c r="P44" s="14">
        <v>122072</v>
      </c>
      <c r="Q44" s="14">
        <v>41971</v>
      </c>
      <c r="R44" s="14">
        <v>350658</v>
      </c>
      <c r="S44" s="14">
        <v>40297</v>
      </c>
      <c r="T44" s="14">
        <v>6255</v>
      </c>
      <c r="U44" s="14">
        <v>336240</v>
      </c>
      <c r="V44" s="14">
        <v>40330</v>
      </c>
      <c r="W44" s="14">
        <v>6583</v>
      </c>
      <c r="X44" s="14">
        <v>114306</v>
      </c>
      <c r="Y44" s="14">
        <v>100593</v>
      </c>
      <c r="Z44" s="14">
        <v>13713</v>
      </c>
      <c r="AA44" s="14">
        <f t="shared" si="0"/>
        <v>0</v>
      </c>
      <c r="AB44" s="14">
        <v>117333</v>
      </c>
      <c r="AC44" s="14">
        <v>102018</v>
      </c>
      <c r="AD44" s="14">
        <v>15315</v>
      </c>
      <c r="AE44" s="14">
        <v>77499</v>
      </c>
      <c r="AF44" s="14">
        <v>28727</v>
      </c>
      <c r="AG44" s="14">
        <v>1436</v>
      </c>
      <c r="AH44" s="14">
        <v>12565</v>
      </c>
      <c r="AI44" s="14">
        <v>7264</v>
      </c>
      <c r="AJ44" s="14">
        <v>5301</v>
      </c>
      <c r="AK44" s="13">
        <v>23579</v>
      </c>
      <c r="AL44" s="13">
        <v>138214</v>
      </c>
      <c r="AN44" s="14">
        <v>145</v>
      </c>
      <c r="AO44" s="14">
        <v>180</v>
      </c>
      <c r="AP44" s="14">
        <v>-183</v>
      </c>
    </row>
    <row r="45" spans="1:42" ht="11.25">
      <c r="A45" s="11">
        <v>45108</v>
      </c>
      <c r="B45" s="14">
        <v>199442</v>
      </c>
      <c r="C45" s="14">
        <v>153288</v>
      </c>
      <c r="D45" s="14">
        <v>46154</v>
      </c>
      <c r="E45" s="14">
        <v>202770</v>
      </c>
      <c r="F45" s="14">
        <v>152815</v>
      </c>
      <c r="G45" s="14">
        <v>49955</v>
      </c>
      <c r="H45" s="14">
        <v>-580</v>
      </c>
      <c r="I45" s="14">
        <v>-691</v>
      </c>
      <c r="J45" s="14">
        <v>111</v>
      </c>
      <c r="K45" s="14">
        <v>29281</v>
      </c>
      <c r="L45" s="14">
        <v>23783</v>
      </c>
      <c r="M45" s="14">
        <v>5498</v>
      </c>
      <c r="N45" s="14">
        <v>293358.30599999998</v>
      </c>
      <c r="O45" s="14">
        <v>6490.7560000000003</v>
      </c>
      <c r="P45" s="14">
        <v>91155</v>
      </c>
      <c r="Q45" s="14">
        <v>44219</v>
      </c>
      <c r="R45" s="14">
        <v>353096</v>
      </c>
      <c r="S45" s="14">
        <v>37345</v>
      </c>
      <c r="T45" s="14">
        <v>6145</v>
      </c>
      <c r="U45" s="14">
        <v>366776</v>
      </c>
      <c r="V45" s="14">
        <v>37418</v>
      </c>
      <c r="W45" s="14">
        <v>6418</v>
      </c>
      <c r="X45" s="14">
        <v>129830</v>
      </c>
      <c r="Y45" s="14">
        <v>115510</v>
      </c>
      <c r="Z45" s="14">
        <v>14320</v>
      </c>
      <c r="AA45" s="14">
        <f t="shared" si="0"/>
        <v>0</v>
      </c>
      <c r="AB45" s="14">
        <v>127361</v>
      </c>
      <c r="AC45" s="14">
        <v>112290</v>
      </c>
      <c r="AD45" s="14">
        <v>15071</v>
      </c>
      <c r="AE45" s="14">
        <v>63149</v>
      </c>
      <c r="AF45" s="14">
        <v>28680</v>
      </c>
      <c r="AG45" s="14">
        <v>1495</v>
      </c>
      <c r="AH45" s="14">
        <v>15624</v>
      </c>
      <c r="AI45" s="14">
        <v>9444</v>
      </c>
      <c r="AJ45" s="14">
        <v>6180</v>
      </c>
      <c r="AK45" s="13">
        <v>22582</v>
      </c>
      <c r="AL45" s="13">
        <v>153288</v>
      </c>
      <c r="AN45" s="14">
        <v>670</v>
      </c>
      <c r="AO45" s="14">
        <v>-26</v>
      </c>
      <c r="AP45" s="14">
        <v>-52</v>
      </c>
    </row>
    <row r="46" spans="1:42" ht="11.25">
      <c r="A46" s="11">
        <v>45139</v>
      </c>
      <c r="B46" s="14">
        <v>193325</v>
      </c>
      <c r="C46" s="14">
        <v>151728</v>
      </c>
      <c r="D46" s="14">
        <v>41597</v>
      </c>
      <c r="E46" s="14">
        <v>201212</v>
      </c>
      <c r="F46" s="14">
        <v>153930</v>
      </c>
      <c r="G46" s="14">
        <v>47282</v>
      </c>
      <c r="H46" s="14">
        <v>789</v>
      </c>
      <c r="I46" s="14">
        <v>675</v>
      </c>
      <c r="J46" s="14">
        <v>114</v>
      </c>
      <c r="K46" s="14">
        <v>23543</v>
      </c>
      <c r="L46" s="14">
        <v>20984</v>
      </c>
      <c r="M46" s="14">
        <v>2559</v>
      </c>
      <c r="N46" s="14">
        <v>239400.19699999999</v>
      </c>
      <c r="O46" s="14">
        <v>21560.032999999999</v>
      </c>
      <c r="P46" s="14">
        <v>78889</v>
      </c>
      <c r="Q46" s="14">
        <v>42251</v>
      </c>
      <c r="R46" s="14">
        <v>370075</v>
      </c>
      <c r="S46" s="14">
        <v>32487</v>
      </c>
      <c r="T46" s="14">
        <v>6184</v>
      </c>
      <c r="U46" s="14">
        <v>363285</v>
      </c>
      <c r="V46" s="14">
        <v>33076</v>
      </c>
      <c r="W46" s="14">
        <v>6743</v>
      </c>
      <c r="X46" s="14">
        <v>127242</v>
      </c>
      <c r="Y46" s="14">
        <v>114594</v>
      </c>
      <c r="Z46" s="14">
        <v>12648</v>
      </c>
      <c r="AA46" s="14">
        <f t="shared" si="0"/>
        <v>0</v>
      </c>
      <c r="AB46" s="14">
        <v>130544</v>
      </c>
      <c r="AC46" s="14">
        <v>115763</v>
      </c>
      <c r="AD46" s="14">
        <v>14781</v>
      </c>
      <c r="AE46" s="14">
        <v>70049</v>
      </c>
      <c r="AF46" s="14">
        <v>27925</v>
      </c>
      <c r="AG46" s="14">
        <v>1250</v>
      </c>
      <c r="AH46" s="14">
        <v>12306</v>
      </c>
      <c r="AI46" s="14">
        <v>7106</v>
      </c>
      <c r="AJ46" s="14">
        <v>5200</v>
      </c>
      <c r="AK46" s="13">
        <v>23783</v>
      </c>
      <c r="AL46" s="13">
        <v>151728</v>
      </c>
      <c r="AN46" s="14">
        <v>-110</v>
      </c>
      <c r="AO46" s="14">
        <v>166</v>
      </c>
      <c r="AP46" s="14">
        <v>-64</v>
      </c>
    </row>
    <row r="47" spans="1:42" ht="11.25">
      <c r="A47" s="11">
        <v>45170</v>
      </c>
      <c r="B47" s="14">
        <v>174900</v>
      </c>
      <c r="C47" s="14">
        <v>136625</v>
      </c>
      <c r="D47" s="14">
        <v>38275</v>
      </c>
      <c r="E47" s="14">
        <v>172283</v>
      </c>
      <c r="F47" s="14">
        <v>134715</v>
      </c>
      <c r="G47" s="14">
        <v>37568</v>
      </c>
      <c r="H47" s="14">
        <v>315</v>
      </c>
      <c r="I47" s="14">
        <v>253</v>
      </c>
      <c r="J47" s="14">
        <v>62</v>
      </c>
      <c r="K47" s="14">
        <v>27839</v>
      </c>
      <c r="L47" s="14">
        <v>22678</v>
      </c>
      <c r="M47" s="14">
        <v>5161</v>
      </c>
      <c r="N47" s="14">
        <v>231954.08799999999</v>
      </c>
      <c r="O47" s="14">
        <v>22189.611000000001</v>
      </c>
      <c r="P47" s="14">
        <v>55656</v>
      </c>
      <c r="Q47" s="14">
        <v>29460</v>
      </c>
      <c r="R47" s="14">
        <v>330740</v>
      </c>
      <c r="S47" s="14">
        <v>58977</v>
      </c>
      <c r="T47" s="14">
        <v>5657</v>
      </c>
      <c r="U47" s="14">
        <v>331540</v>
      </c>
      <c r="V47" s="14">
        <v>30719</v>
      </c>
      <c r="W47" s="14">
        <v>5936</v>
      </c>
      <c r="X47" s="14">
        <v>117731</v>
      </c>
      <c r="Y47" s="14">
        <v>105889</v>
      </c>
      <c r="Z47" s="14">
        <v>11842</v>
      </c>
      <c r="AA47" s="14">
        <f t="shared" si="0"/>
        <v>0</v>
      </c>
      <c r="AB47" s="14">
        <v>115688</v>
      </c>
      <c r="AC47" s="14">
        <v>103333</v>
      </c>
      <c r="AD47" s="14">
        <v>12355</v>
      </c>
      <c r="AE47" s="14">
        <v>70001</v>
      </c>
      <c r="AF47" s="14">
        <v>56013</v>
      </c>
      <c r="AG47" s="14">
        <v>1628</v>
      </c>
      <c r="AH47" s="14">
        <v>14249</v>
      </c>
      <c r="AI47" s="14">
        <v>9017</v>
      </c>
      <c r="AJ47" s="14">
        <v>5232</v>
      </c>
      <c r="AK47" s="13">
        <v>20984</v>
      </c>
      <c r="AL47" s="13">
        <v>136625</v>
      </c>
      <c r="AN47" s="14">
        <v>-752</v>
      </c>
      <c r="AO47" s="14">
        <v>170</v>
      </c>
      <c r="AP47" s="14">
        <v>-401</v>
      </c>
    </row>
    <row r="48" spans="1:42" ht="11.25">
      <c r="A48" s="11">
        <v>45200</v>
      </c>
      <c r="B48" s="14">
        <v>170099</v>
      </c>
      <c r="C48" s="14">
        <v>129366</v>
      </c>
      <c r="D48" s="14">
        <v>40733</v>
      </c>
      <c r="E48" s="14">
        <v>176690</v>
      </c>
      <c r="F48" s="14">
        <v>132919</v>
      </c>
      <c r="G48" s="14">
        <v>43771</v>
      </c>
      <c r="H48" s="14">
        <v>-524</v>
      </c>
      <c r="I48" s="14">
        <v>-665</v>
      </c>
      <c r="J48" s="14">
        <v>141</v>
      </c>
      <c r="K48" s="14">
        <v>23871</v>
      </c>
      <c r="L48" s="14">
        <v>19825</v>
      </c>
      <c r="M48" s="14">
        <v>4046</v>
      </c>
      <c r="N48" s="14">
        <v>282177.91800000001</v>
      </c>
      <c r="O48" s="14">
        <v>6043.8789999999999</v>
      </c>
      <c r="P48" s="14">
        <v>58636</v>
      </c>
      <c r="Q48" s="14">
        <v>39766</v>
      </c>
      <c r="R48" s="14">
        <v>306323</v>
      </c>
      <c r="S48" s="14">
        <v>36039</v>
      </c>
      <c r="T48" s="14">
        <v>4402</v>
      </c>
      <c r="U48" s="14">
        <v>311868</v>
      </c>
      <c r="V48" s="14">
        <v>35754</v>
      </c>
      <c r="W48" s="14">
        <v>4975</v>
      </c>
      <c r="X48" s="14">
        <v>114461</v>
      </c>
      <c r="Y48" s="14">
        <v>102886</v>
      </c>
      <c r="Z48" s="14">
        <v>11575</v>
      </c>
      <c r="AA48" s="14">
        <f t="shared" si="0"/>
        <v>0</v>
      </c>
      <c r="AB48" s="14">
        <v>112606</v>
      </c>
      <c r="AC48" s="14">
        <v>99642</v>
      </c>
      <c r="AD48" s="14">
        <v>12964</v>
      </c>
      <c r="AE48" s="14">
        <v>65105</v>
      </c>
      <c r="AF48" s="14">
        <v>56290</v>
      </c>
      <c r="AG48" s="14">
        <v>2834</v>
      </c>
      <c r="AH48" s="14">
        <v>15491</v>
      </c>
      <c r="AI48" s="14">
        <v>10577</v>
      </c>
      <c r="AJ48" s="14">
        <v>4914</v>
      </c>
      <c r="AK48" s="13">
        <v>22678</v>
      </c>
      <c r="AL48" s="13">
        <v>129366</v>
      </c>
      <c r="AN48" s="14">
        <v>-649</v>
      </c>
      <c r="AO48" s="14">
        <v>8</v>
      </c>
      <c r="AP48" s="14">
        <v>-332</v>
      </c>
    </row>
    <row r="49" spans="1:42" ht="11.25">
      <c r="A49" s="11">
        <v>45231</v>
      </c>
      <c r="B49" s="14">
        <v>205948</v>
      </c>
      <c r="C49" s="14">
        <v>152552</v>
      </c>
      <c r="D49" s="14">
        <v>53396</v>
      </c>
      <c r="E49" s="14">
        <v>201272</v>
      </c>
      <c r="F49" s="14">
        <v>147912</v>
      </c>
      <c r="G49" s="14">
        <v>53360</v>
      </c>
      <c r="H49" s="14">
        <v>698</v>
      </c>
      <c r="I49" s="14">
        <v>310</v>
      </c>
      <c r="J49" s="14">
        <v>388</v>
      </c>
      <c r="K49" s="14">
        <v>34579</v>
      </c>
      <c r="L49" s="14">
        <v>24194</v>
      </c>
      <c r="M49" s="14">
        <v>10385</v>
      </c>
      <c r="N49" s="14">
        <v>192161.451</v>
      </c>
      <c r="O49" s="14">
        <v>21123.800999999999</v>
      </c>
      <c r="P49" s="14">
        <v>43351</v>
      </c>
      <c r="Q49" s="14">
        <v>36632</v>
      </c>
      <c r="R49" s="14">
        <v>402374</v>
      </c>
      <c r="S49" s="14">
        <v>67675</v>
      </c>
      <c r="T49" s="14">
        <v>4628</v>
      </c>
      <c r="U49" s="14">
        <v>362961</v>
      </c>
      <c r="V49" s="14">
        <v>43658</v>
      </c>
      <c r="W49" s="14">
        <v>5784</v>
      </c>
      <c r="X49" s="14">
        <v>124358</v>
      </c>
      <c r="Y49" s="14">
        <v>112464</v>
      </c>
      <c r="Z49" s="14">
        <v>11894</v>
      </c>
      <c r="AA49" s="14">
        <f t="shared" si="0"/>
        <v>0</v>
      </c>
      <c r="AB49" s="14">
        <v>126787</v>
      </c>
      <c r="AC49" s="14">
        <v>113922</v>
      </c>
      <c r="AD49" s="14">
        <v>12865</v>
      </c>
      <c r="AE49" s="14">
        <v>105613</v>
      </c>
      <c r="AF49" s="14">
        <v>85175</v>
      </c>
      <c r="AG49" s="14">
        <v>2052</v>
      </c>
      <c r="AH49" s="14">
        <v>11960</v>
      </c>
      <c r="AI49" s="14">
        <v>7098</v>
      </c>
      <c r="AJ49" s="14">
        <v>4862</v>
      </c>
      <c r="AK49" s="13">
        <v>19825</v>
      </c>
      <c r="AL49" s="13">
        <v>152552</v>
      </c>
      <c r="AN49" s="14">
        <v>-786</v>
      </c>
      <c r="AO49" s="14">
        <v>0</v>
      </c>
      <c r="AP49" s="14">
        <v>60</v>
      </c>
    </row>
    <row r="50" spans="1:42" ht="11.25">
      <c r="A50" s="11">
        <v>45261</v>
      </c>
      <c r="B50" s="14">
        <v>198778</v>
      </c>
      <c r="C50" s="14">
        <v>152162</v>
      </c>
      <c r="D50" s="14">
        <v>46616</v>
      </c>
      <c r="E50" s="14">
        <v>192968</v>
      </c>
      <c r="F50" s="14">
        <v>147053</v>
      </c>
      <c r="G50" s="14">
        <v>45915</v>
      </c>
      <c r="H50" s="14">
        <v>1255</v>
      </c>
      <c r="I50" s="14">
        <v>1191</v>
      </c>
      <c r="J50" s="14">
        <v>64</v>
      </c>
      <c r="K50" s="14">
        <v>39289</v>
      </c>
      <c r="L50" s="14">
        <v>28150</v>
      </c>
      <c r="M50" s="14">
        <v>11139</v>
      </c>
      <c r="N50" s="14">
        <v>167437.98000000001</v>
      </c>
      <c r="O50" s="14">
        <v>24278.955999999998</v>
      </c>
      <c r="P50" s="14">
        <v>49658</v>
      </c>
      <c r="Q50" s="14">
        <v>40125</v>
      </c>
      <c r="R50" s="14">
        <v>357395</v>
      </c>
      <c r="S50" s="14">
        <v>41469</v>
      </c>
      <c r="T50" s="14">
        <v>5350</v>
      </c>
      <c r="U50" s="14">
        <v>363354</v>
      </c>
      <c r="V50" s="14">
        <v>41402</v>
      </c>
      <c r="W50" s="14">
        <v>5301</v>
      </c>
      <c r="X50" s="14">
        <v>125164</v>
      </c>
      <c r="Y50" s="14">
        <v>112601</v>
      </c>
      <c r="Z50" s="14">
        <v>12563</v>
      </c>
      <c r="AA50" s="14">
        <f t="shared" si="0"/>
        <v>0</v>
      </c>
      <c r="AB50" s="14">
        <v>117592</v>
      </c>
      <c r="AC50" s="14">
        <v>105200</v>
      </c>
      <c r="AD50" s="14">
        <v>12392</v>
      </c>
      <c r="AE50" s="14">
        <v>71209</v>
      </c>
      <c r="AF50" s="14">
        <v>85166</v>
      </c>
      <c r="AG50" s="14">
        <v>2146</v>
      </c>
      <c r="AH50" s="14">
        <v>18821</v>
      </c>
      <c r="AI50" s="14">
        <v>12806</v>
      </c>
      <c r="AJ50" s="14">
        <v>6015</v>
      </c>
      <c r="AK50" s="13">
        <v>24194</v>
      </c>
      <c r="AL50" s="13">
        <v>152162</v>
      </c>
      <c r="AN50" s="14">
        <v>-555</v>
      </c>
      <c r="AO50" s="14">
        <v>76</v>
      </c>
      <c r="AP50" s="14">
        <v>127</v>
      </c>
    </row>
    <row r="51" spans="1:42" ht="11.25">
      <c r="A51" s="11">
        <v>45292</v>
      </c>
      <c r="B51" s="14">
        <v>193761</v>
      </c>
      <c r="C51" s="14">
        <v>148957</v>
      </c>
      <c r="D51" s="14">
        <v>44804</v>
      </c>
      <c r="E51" s="14">
        <v>202410</v>
      </c>
      <c r="F51" s="14">
        <v>152491</v>
      </c>
      <c r="G51" s="14">
        <v>49919</v>
      </c>
      <c r="H51" s="14">
        <v>2</v>
      </c>
      <c r="I51" s="14">
        <v>-115</v>
      </c>
      <c r="J51" s="14">
        <v>117</v>
      </c>
      <c r="K51" s="14">
        <v>36625</v>
      </c>
      <c r="L51" s="14">
        <v>24794</v>
      </c>
      <c r="M51" s="14">
        <v>11831</v>
      </c>
      <c r="N51" s="14">
        <v>221982.78</v>
      </c>
      <c r="O51" s="14">
        <v>7666.6450000000004</v>
      </c>
      <c r="P51" s="14">
        <v>12212</v>
      </c>
      <c r="Q51" s="14">
        <v>36076</v>
      </c>
      <c r="R51" s="14">
        <v>365490</v>
      </c>
      <c r="S51" s="14">
        <v>73487</v>
      </c>
      <c r="T51" s="14">
        <v>5215</v>
      </c>
      <c r="U51" s="14">
        <v>353410</v>
      </c>
      <c r="V51" s="14">
        <v>45376</v>
      </c>
      <c r="W51" s="14">
        <v>4718</v>
      </c>
      <c r="X51" s="14">
        <v>130036</v>
      </c>
      <c r="Y51" s="14">
        <v>118431</v>
      </c>
      <c r="Z51" s="14">
        <v>11605</v>
      </c>
      <c r="AA51" s="14">
        <f t="shared" si="0"/>
        <v>0</v>
      </c>
      <c r="AB51" s="14">
        <v>128032</v>
      </c>
      <c r="AC51" s="14">
        <v>113740</v>
      </c>
      <c r="AD51" s="14">
        <v>14292</v>
      </c>
      <c r="AE51" s="14">
        <v>83800</v>
      </c>
      <c r="AF51" s="14">
        <v>113000</v>
      </c>
      <c r="AG51" s="14">
        <v>1867</v>
      </c>
      <c r="AH51" s="14">
        <v>20667</v>
      </c>
      <c r="AI51" s="14">
        <v>16052</v>
      </c>
      <c r="AJ51" s="14">
        <v>4615</v>
      </c>
      <c r="AK51" s="13">
        <v>28150</v>
      </c>
      <c r="AL51" s="13">
        <v>148957</v>
      </c>
      <c r="AN51" s="14">
        <v>-511</v>
      </c>
      <c r="AO51" s="14">
        <v>277</v>
      </c>
      <c r="AP51" s="14">
        <v>-207</v>
      </c>
    </row>
    <row r="52" spans="1:42" ht="11.25">
      <c r="A52" s="11">
        <v>45323</v>
      </c>
      <c r="B52" s="14">
        <v>207087</v>
      </c>
      <c r="C52" s="14">
        <v>142598</v>
      </c>
      <c r="D52" s="14">
        <v>64489</v>
      </c>
      <c r="E52" s="14">
        <v>189922</v>
      </c>
      <c r="F52" s="14">
        <v>141256</v>
      </c>
      <c r="G52" s="14">
        <v>48666</v>
      </c>
      <c r="H52" s="14">
        <v>685</v>
      </c>
      <c r="I52" s="14">
        <v>280</v>
      </c>
      <c r="J52" s="14">
        <v>405</v>
      </c>
      <c r="K52" s="14">
        <v>53192</v>
      </c>
      <c r="L52" s="14">
        <v>25953</v>
      </c>
      <c r="M52" s="14">
        <v>27239</v>
      </c>
      <c r="N52" s="14">
        <v>184534.927</v>
      </c>
      <c r="O52" s="14">
        <v>23655.391</v>
      </c>
      <c r="P52" s="14">
        <v>25853</v>
      </c>
      <c r="Q52" s="14">
        <v>36189</v>
      </c>
      <c r="R52" s="14">
        <v>341239</v>
      </c>
      <c r="S52" s="14">
        <v>42938</v>
      </c>
      <c r="T52" s="14">
        <v>4871</v>
      </c>
      <c r="U52" s="14">
        <v>347905</v>
      </c>
      <c r="V52" s="14">
        <v>60472</v>
      </c>
      <c r="W52" s="14">
        <v>4109</v>
      </c>
      <c r="X52" s="14">
        <v>120364</v>
      </c>
      <c r="Y52" s="14">
        <v>109074</v>
      </c>
      <c r="Z52" s="14">
        <v>11290</v>
      </c>
      <c r="AA52" s="14">
        <f t="shared" si="0"/>
        <v>0</v>
      </c>
      <c r="AB52" s="14">
        <v>117204</v>
      </c>
      <c r="AC52" s="14">
        <v>104710</v>
      </c>
      <c r="AD52" s="14">
        <v>12494</v>
      </c>
      <c r="AE52" s="14">
        <v>77418</v>
      </c>
      <c r="AF52" s="14">
        <v>95468</v>
      </c>
      <c r="AG52" s="14">
        <v>2745</v>
      </c>
      <c r="AH52" s="14">
        <v>17224</v>
      </c>
      <c r="AI52" s="14">
        <v>12387</v>
      </c>
      <c r="AJ52" s="14">
        <v>4837</v>
      </c>
      <c r="AK52" s="13">
        <v>24794</v>
      </c>
      <c r="AL52" s="13">
        <v>142598</v>
      </c>
      <c r="AN52" s="14">
        <v>-284</v>
      </c>
      <c r="AO52" s="14">
        <v>-2</v>
      </c>
      <c r="AP52" s="14">
        <v>149</v>
      </c>
    </row>
    <row r="53" spans="1:42" ht="11.25">
      <c r="A53" s="11">
        <v>45352</v>
      </c>
      <c r="B53" s="14">
        <v>264096</v>
      </c>
      <c r="C53" s="14">
        <v>153372</v>
      </c>
      <c r="D53" s="14">
        <v>110724</v>
      </c>
      <c r="E53" s="14">
        <v>258112</v>
      </c>
      <c r="F53" s="14">
        <v>150427</v>
      </c>
      <c r="G53" s="14">
        <v>107685</v>
      </c>
      <c r="H53" s="14">
        <v>607</v>
      </c>
      <c r="I53" s="14">
        <v>503</v>
      </c>
      <c r="J53" s="14">
        <v>104</v>
      </c>
      <c r="K53" s="14">
        <v>58603</v>
      </c>
      <c r="L53" s="14">
        <v>28439</v>
      </c>
      <c r="M53" s="14">
        <v>30164</v>
      </c>
      <c r="N53" s="14">
        <v>183540.05100000001</v>
      </c>
      <c r="O53" s="14">
        <v>26098.921999999999</v>
      </c>
      <c r="P53" s="14">
        <v>74414</v>
      </c>
      <c r="Q53" s="14">
        <v>37544</v>
      </c>
      <c r="R53" s="14">
        <v>345778</v>
      </c>
      <c r="S53" s="14">
        <v>86786</v>
      </c>
      <c r="T53" s="14">
        <v>4506</v>
      </c>
      <c r="U53" s="14">
        <v>371867</v>
      </c>
      <c r="V53" s="14">
        <v>105602</v>
      </c>
      <c r="W53" s="14">
        <v>5368</v>
      </c>
      <c r="X53" s="14">
        <v>121180</v>
      </c>
      <c r="Y53" s="14">
        <v>108285</v>
      </c>
      <c r="Z53" s="14">
        <v>12895</v>
      </c>
      <c r="AA53" s="14">
        <f t="shared" si="0"/>
        <v>0</v>
      </c>
      <c r="AB53" s="14">
        <v>122636</v>
      </c>
      <c r="AC53" s="14">
        <v>108747</v>
      </c>
      <c r="AD53" s="14">
        <v>13889</v>
      </c>
      <c r="AE53" s="14">
        <v>51655</v>
      </c>
      <c r="AF53" s="14">
        <v>76674</v>
      </c>
      <c r="AG53" s="14">
        <v>2131</v>
      </c>
      <c r="AH53" s="14">
        <v>15650</v>
      </c>
      <c r="AI53" s="14">
        <v>10451</v>
      </c>
      <c r="AJ53" s="14">
        <v>5199</v>
      </c>
      <c r="AK53" s="13">
        <v>25953</v>
      </c>
      <c r="AL53" s="13">
        <v>153372</v>
      </c>
      <c r="AN53" s="14">
        <v>-326</v>
      </c>
      <c r="AO53" s="14">
        <v>-22</v>
      </c>
      <c r="AP53" s="14">
        <v>12</v>
      </c>
    </row>
    <row r="54" spans="1:42" ht="11.25">
      <c r="A54" s="11">
        <v>45383</v>
      </c>
      <c r="B54" s="14">
        <v>232420</v>
      </c>
      <c r="C54" s="14">
        <v>140027</v>
      </c>
      <c r="D54" s="14">
        <v>92393</v>
      </c>
      <c r="E54" s="14">
        <v>198512</v>
      </c>
      <c r="F54" s="14">
        <v>141478</v>
      </c>
      <c r="G54" s="14">
        <v>57034</v>
      </c>
      <c r="H54" s="14">
        <v>-498</v>
      </c>
      <c r="I54" s="14">
        <v>-302</v>
      </c>
      <c r="J54" s="14">
        <v>-196</v>
      </c>
      <c r="K54" s="14">
        <v>92859</v>
      </c>
      <c r="L54" s="14">
        <v>27328</v>
      </c>
      <c r="M54" s="14">
        <v>65531</v>
      </c>
      <c r="N54" s="14">
        <v>254428.473</v>
      </c>
      <c r="O54" s="14">
        <v>9131.7090000000007</v>
      </c>
      <c r="P54" s="14">
        <v>54441</v>
      </c>
      <c r="Q54" s="14">
        <v>38139</v>
      </c>
      <c r="R54" s="14">
        <v>346389</v>
      </c>
      <c r="S54" s="14">
        <v>62480</v>
      </c>
      <c r="T54" s="14">
        <v>5943</v>
      </c>
      <c r="U54" s="14">
        <v>335534</v>
      </c>
      <c r="V54" s="14">
        <v>85286</v>
      </c>
      <c r="W54" s="14">
        <v>6407</v>
      </c>
      <c r="X54" s="14">
        <v>117709</v>
      </c>
      <c r="Y54" s="14">
        <v>104764</v>
      </c>
      <c r="Z54" s="14">
        <v>12945</v>
      </c>
      <c r="AA54" s="14">
        <f t="shared" si="0"/>
        <v>0</v>
      </c>
      <c r="AB54" s="14">
        <v>120002</v>
      </c>
      <c r="AC54" s="14">
        <v>105962</v>
      </c>
      <c r="AD54" s="14">
        <v>14040</v>
      </c>
      <c r="AE54" s="14">
        <v>62523</v>
      </c>
      <c r="AF54" s="14">
        <v>53813</v>
      </c>
      <c r="AG54" s="14">
        <v>2053</v>
      </c>
      <c r="AH54" s="14">
        <v>12397</v>
      </c>
      <c r="AI54" s="14">
        <v>7345</v>
      </c>
      <c r="AJ54" s="14">
        <v>5052</v>
      </c>
      <c r="AK54" s="13">
        <v>28439</v>
      </c>
      <c r="AL54" s="13">
        <v>140027</v>
      </c>
      <c r="AN54" s="14">
        <v>-13</v>
      </c>
      <c r="AO54" s="14">
        <v>55</v>
      </c>
      <c r="AP54" s="14">
        <v>-60</v>
      </c>
    </row>
    <row r="55" spans="1:42" ht="11.25">
      <c r="A55" s="11">
        <v>45413</v>
      </c>
      <c r="B55" s="14">
        <v>243770</v>
      </c>
      <c r="C55" s="14">
        <v>144909</v>
      </c>
      <c r="D55" s="14">
        <v>98861</v>
      </c>
      <c r="E55" s="14">
        <v>252000</v>
      </c>
      <c r="F55" s="14">
        <v>148605</v>
      </c>
      <c r="G55" s="14">
        <v>103395</v>
      </c>
      <c r="H55" s="14">
        <v>190</v>
      </c>
      <c r="I55" s="14">
        <v>153</v>
      </c>
      <c r="J55" s="14">
        <v>37</v>
      </c>
      <c r="K55" s="14">
        <v>85822</v>
      </c>
      <c r="L55" s="14">
        <v>23553</v>
      </c>
      <c r="M55" s="14">
        <v>62269</v>
      </c>
      <c r="N55" s="14">
        <v>264117.16600000003</v>
      </c>
      <c r="O55" s="14">
        <v>24891.785</v>
      </c>
      <c r="P55" s="14">
        <v>81023</v>
      </c>
      <c r="Q55" s="14">
        <v>30919</v>
      </c>
      <c r="R55" s="14">
        <v>341611</v>
      </c>
      <c r="S55" s="14">
        <v>90524</v>
      </c>
      <c r="T55" s="14">
        <v>6284</v>
      </c>
      <c r="U55" s="14">
        <v>335979</v>
      </c>
      <c r="V55" s="14">
        <v>91367</v>
      </c>
      <c r="W55" s="14">
        <v>6589</v>
      </c>
      <c r="X55" s="14">
        <v>121412</v>
      </c>
      <c r="Y55" s="14">
        <v>108197</v>
      </c>
      <c r="Z55" s="14">
        <v>13215</v>
      </c>
      <c r="AA55" s="14">
        <f t="shared" si="0"/>
        <v>0</v>
      </c>
      <c r="AB55" s="14">
        <v>118650</v>
      </c>
      <c r="AC55" s="14">
        <v>104832</v>
      </c>
      <c r="AD55" s="14">
        <v>13818</v>
      </c>
      <c r="AE55" s="14">
        <v>68145</v>
      </c>
      <c r="AF55" s="14">
        <v>52992</v>
      </c>
      <c r="AG55" s="14">
        <v>2061</v>
      </c>
      <c r="AH55" s="14">
        <v>14122</v>
      </c>
      <c r="AI55" s="14">
        <v>9198</v>
      </c>
      <c r="AJ55" s="14">
        <v>4924</v>
      </c>
      <c r="AK55" s="13">
        <v>27328</v>
      </c>
      <c r="AL55" s="13">
        <v>144909</v>
      </c>
      <c r="AN55" s="14">
        <v>10</v>
      </c>
      <c r="AO55" s="14">
        <v>-22</v>
      </c>
      <c r="AP55" s="14">
        <v>-48</v>
      </c>
    </row>
    <row r="56" spans="1:42" ht="11.25">
      <c r="A56" s="11">
        <v>45444</v>
      </c>
      <c r="B56" s="14">
        <v>274627</v>
      </c>
      <c r="C56" s="14">
        <v>142682</v>
      </c>
      <c r="D56" s="14">
        <v>131945</v>
      </c>
      <c r="E56" s="14">
        <v>289832</v>
      </c>
      <c r="F56" s="14">
        <v>141183</v>
      </c>
      <c r="G56" s="14">
        <v>148649</v>
      </c>
      <c r="H56" s="14">
        <v>209</v>
      </c>
      <c r="I56" s="14">
        <v>186</v>
      </c>
      <c r="J56" s="14">
        <v>23</v>
      </c>
      <c r="K56" s="14">
        <v>72665</v>
      </c>
      <c r="L56" s="14">
        <v>24868</v>
      </c>
      <c r="M56" s="14">
        <v>47797</v>
      </c>
      <c r="N56" s="14">
        <v>173908.745</v>
      </c>
      <c r="O56" s="14">
        <v>17304.011999999999</v>
      </c>
      <c r="P56" s="14">
        <v>66226</v>
      </c>
      <c r="Q56" s="14">
        <v>37142</v>
      </c>
      <c r="R56" s="14">
        <v>323759</v>
      </c>
      <c r="S56" s="14">
        <v>134162</v>
      </c>
      <c r="T56" s="14">
        <v>5759</v>
      </c>
      <c r="U56" s="14">
        <v>335862</v>
      </c>
      <c r="V56" s="14">
        <v>126445</v>
      </c>
      <c r="W56" s="14">
        <v>6343</v>
      </c>
      <c r="X56" s="14">
        <v>113596</v>
      </c>
      <c r="Y56" s="14">
        <v>101597</v>
      </c>
      <c r="Z56" s="14">
        <v>11999</v>
      </c>
      <c r="AA56" s="14">
        <f t="shared" si="0"/>
        <v>0</v>
      </c>
      <c r="AB56" s="14">
        <v>109867</v>
      </c>
      <c r="AC56" s="14">
        <v>96763</v>
      </c>
      <c r="AD56" s="14">
        <v>13104</v>
      </c>
      <c r="AE56" s="14">
        <v>56147</v>
      </c>
      <c r="AF56" s="14">
        <v>60701</v>
      </c>
      <c r="AG56" s="14">
        <v>1713</v>
      </c>
      <c r="AH56" s="14">
        <v>17733</v>
      </c>
      <c r="AI56" s="14">
        <v>12326</v>
      </c>
      <c r="AJ56" s="14">
        <v>5407</v>
      </c>
      <c r="AK56" s="13">
        <v>23553</v>
      </c>
      <c r="AL56" s="13">
        <v>142682</v>
      </c>
      <c r="AN56" s="14">
        <v>-105</v>
      </c>
      <c r="AO56" s="14">
        <v>8</v>
      </c>
      <c r="AP56" s="14">
        <v>61</v>
      </c>
    </row>
    <row r="57" spans="1:42" ht="11.25">
      <c r="A57" s="11">
        <v>45474</v>
      </c>
      <c r="B57" s="14">
        <v>261637</v>
      </c>
      <c r="C57" s="14">
        <v>154666</v>
      </c>
      <c r="D57" s="14">
        <v>106971</v>
      </c>
      <c r="E57" s="14">
        <v>272513</v>
      </c>
      <c r="F57" s="14">
        <v>158358</v>
      </c>
      <c r="G57" s="14">
        <v>114155</v>
      </c>
      <c r="H57" s="14">
        <v>437</v>
      </c>
      <c r="I57" s="14">
        <v>532</v>
      </c>
      <c r="J57" s="14">
        <v>-95</v>
      </c>
      <c r="K57" s="14">
        <v>64217</v>
      </c>
      <c r="L57" s="14">
        <v>20805</v>
      </c>
      <c r="M57" s="14">
        <v>43412</v>
      </c>
      <c r="N57" s="14">
        <v>238981.24100000001</v>
      </c>
      <c r="O57" s="14">
        <v>9690.777</v>
      </c>
      <c r="P57" s="14">
        <v>83319</v>
      </c>
      <c r="Q57" s="14">
        <v>42341</v>
      </c>
      <c r="R57" s="14">
        <v>392796</v>
      </c>
      <c r="S57" s="14">
        <v>90339</v>
      </c>
      <c r="T57" s="14">
        <v>6710</v>
      </c>
      <c r="U57" s="14">
        <v>381749</v>
      </c>
      <c r="V57" s="14">
        <v>99216</v>
      </c>
      <c r="W57" s="14">
        <v>5967</v>
      </c>
      <c r="X57" s="14">
        <v>130747</v>
      </c>
      <c r="Y57" s="14">
        <v>115356</v>
      </c>
      <c r="Z57" s="14">
        <v>15391</v>
      </c>
      <c r="AA57" s="14">
        <f t="shared" si="0"/>
        <v>0</v>
      </c>
      <c r="AB57" s="14">
        <v>135587</v>
      </c>
      <c r="AC57" s="14">
        <v>118999</v>
      </c>
      <c r="AD57" s="14">
        <v>16588</v>
      </c>
      <c r="AE57" s="14">
        <v>67362</v>
      </c>
      <c r="AF57" s="14">
        <v>51799</v>
      </c>
      <c r="AG57" s="14">
        <v>2779</v>
      </c>
      <c r="AH57" s="14">
        <v>12787</v>
      </c>
      <c r="AI57" s="14">
        <v>7703</v>
      </c>
      <c r="AJ57" s="14">
        <v>5084</v>
      </c>
      <c r="AK57" s="13">
        <v>24868</v>
      </c>
      <c r="AL57" s="13">
        <v>154666</v>
      </c>
      <c r="AN57" s="14">
        <v>-168</v>
      </c>
      <c r="AO57" s="14">
        <v>15</v>
      </c>
      <c r="AP57" s="14">
        <v>-9</v>
      </c>
    </row>
    <row r="58" spans="1:42" ht="11.25">
      <c r="A58" s="11">
        <v>45505</v>
      </c>
      <c r="B58" s="14">
        <v>252024</v>
      </c>
      <c r="C58" s="14">
        <v>160518</v>
      </c>
      <c r="D58" s="14">
        <v>91506</v>
      </c>
      <c r="E58" s="14">
        <v>230587</v>
      </c>
      <c r="F58" s="14">
        <v>155169</v>
      </c>
      <c r="G58" s="14">
        <v>75418</v>
      </c>
      <c r="H58" s="14">
        <v>659</v>
      </c>
      <c r="I58" s="14">
        <v>601</v>
      </c>
      <c r="J58" s="14">
        <v>58</v>
      </c>
      <c r="K58" s="14">
        <v>86732</v>
      </c>
      <c r="L58" s="14">
        <v>25553</v>
      </c>
      <c r="M58" s="14">
        <v>61179</v>
      </c>
      <c r="N58" s="14">
        <v>219191.70199999999</v>
      </c>
      <c r="O58" s="14">
        <v>26393.870999999999</v>
      </c>
      <c r="P58" s="14">
        <v>84696</v>
      </c>
      <c r="Q58" s="14">
        <v>29447</v>
      </c>
      <c r="R58" s="14">
        <v>391281</v>
      </c>
      <c r="S58" s="14">
        <v>135219</v>
      </c>
      <c r="T58" s="14">
        <v>5373</v>
      </c>
      <c r="U58" s="14">
        <v>392334</v>
      </c>
      <c r="V58" s="14">
        <v>85292</v>
      </c>
      <c r="W58" s="14">
        <v>6772</v>
      </c>
      <c r="X58" s="14">
        <v>132769</v>
      </c>
      <c r="Y58" s="14">
        <v>119890</v>
      </c>
      <c r="Z58" s="14">
        <v>12879</v>
      </c>
      <c r="AA58" s="14">
        <f t="shared" si="0"/>
        <v>0</v>
      </c>
      <c r="AB58" s="14">
        <v>132207</v>
      </c>
      <c r="AC58" s="14">
        <v>117997</v>
      </c>
      <c r="AD58" s="14">
        <v>14210</v>
      </c>
      <c r="AE58" s="14">
        <v>66045</v>
      </c>
      <c r="AF58" s="14">
        <v>101725</v>
      </c>
      <c r="AG58" s="14">
        <v>1606</v>
      </c>
      <c r="AH58" s="14">
        <v>14412</v>
      </c>
      <c r="AI58" s="14">
        <v>9189</v>
      </c>
      <c r="AJ58" s="14">
        <v>5223</v>
      </c>
      <c r="AK58" s="13">
        <v>20805</v>
      </c>
      <c r="AL58" s="13">
        <v>160518</v>
      </c>
      <c r="AN58" s="14">
        <v>264</v>
      </c>
      <c r="AO58" s="14">
        <v>9</v>
      </c>
      <c r="AP58" s="14">
        <v>31</v>
      </c>
    </row>
    <row r="59" spans="1:42" ht="11.25">
      <c r="A59" s="11">
        <v>45536</v>
      </c>
      <c r="B59" s="14">
        <v>242116</v>
      </c>
      <c r="C59" s="14">
        <v>136191</v>
      </c>
      <c r="D59" s="14">
        <v>105925</v>
      </c>
      <c r="E59" s="14">
        <v>281133</v>
      </c>
      <c r="F59" s="14">
        <v>140755</v>
      </c>
      <c r="G59" s="14">
        <v>140378</v>
      </c>
      <c r="H59" s="14">
        <v>32</v>
      </c>
      <c r="I59" s="14">
        <v>-276</v>
      </c>
      <c r="J59" s="14">
        <v>308</v>
      </c>
      <c r="K59" s="14">
        <v>49941</v>
      </c>
      <c r="L59" s="14">
        <v>21300</v>
      </c>
      <c r="M59" s="14">
        <v>28641</v>
      </c>
      <c r="N59" s="14">
        <v>263322.7</v>
      </c>
      <c r="O59" s="14">
        <v>10274.927</v>
      </c>
      <c r="P59" s="14">
        <v>62457</v>
      </c>
      <c r="Q59" s="14">
        <v>35085</v>
      </c>
      <c r="R59" s="14">
        <v>332984</v>
      </c>
      <c r="S59" s="14">
        <v>82516</v>
      </c>
      <c r="T59" s="14">
        <v>5341</v>
      </c>
      <c r="U59" s="14">
        <v>330767</v>
      </c>
      <c r="V59" s="14">
        <v>98746</v>
      </c>
      <c r="W59" s="14">
        <v>6139</v>
      </c>
      <c r="X59" s="14">
        <v>115667</v>
      </c>
      <c r="Y59" s="14">
        <v>102005</v>
      </c>
      <c r="Z59" s="14">
        <v>13662</v>
      </c>
      <c r="AA59" s="14">
        <f t="shared" si="0"/>
        <v>0</v>
      </c>
      <c r="AB59" s="14">
        <v>113465</v>
      </c>
      <c r="AC59" s="14">
        <v>98690</v>
      </c>
      <c r="AD59" s="14">
        <v>14775</v>
      </c>
      <c r="AE59" s="14">
        <v>68099</v>
      </c>
      <c r="AF59" s="14">
        <v>85486</v>
      </c>
      <c r="AG59" s="14">
        <v>1119</v>
      </c>
      <c r="AH59" s="14">
        <v>17477</v>
      </c>
      <c r="AI59" s="14">
        <v>12315</v>
      </c>
      <c r="AJ59" s="14">
        <v>5162</v>
      </c>
      <c r="AK59" s="13">
        <v>25553</v>
      </c>
      <c r="AL59" s="13">
        <v>136191</v>
      </c>
      <c r="AN59" s="14">
        <v>163</v>
      </c>
      <c r="AO59" s="14">
        <v>2</v>
      </c>
      <c r="AP59" s="14">
        <v>17</v>
      </c>
    </row>
    <row r="60" spans="1:42" ht="11.25">
      <c r="A60" s="11">
        <v>45566</v>
      </c>
      <c r="B60" s="14">
        <v>207847</v>
      </c>
      <c r="C60" s="14">
        <v>139687</v>
      </c>
      <c r="D60" s="14">
        <v>68160</v>
      </c>
      <c r="E60" s="14">
        <v>195215</v>
      </c>
      <c r="F60" s="14">
        <v>133733</v>
      </c>
      <c r="G60" s="14">
        <v>61482</v>
      </c>
      <c r="H60" s="14">
        <v>380</v>
      </c>
      <c r="I60" s="14">
        <v>296</v>
      </c>
      <c r="J60" s="14">
        <v>84</v>
      </c>
      <c r="K60" s="14">
        <v>63787</v>
      </c>
      <c r="L60" s="14">
        <v>27035</v>
      </c>
      <c r="M60" s="14">
        <v>36752</v>
      </c>
      <c r="N60" s="14">
        <v>247893.65299999999</v>
      </c>
      <c r="O60" s="14">
        <v>26071.745999999999</v>
      </c>
      <c r="P60" s="14">
        <v>13154</v>
      </c>
      <c r="Q60" s="14">
        <v>40166</v>
      </c>
      <c r="R60" s="14">
        <v>338473</v>
      </c>
      <c r="S60" s="14">
        <v>84384</v>
      </c>
      <c r="T60" s="14">
        <v>5216</v>
      </c>
      <c r="U60" s="14">
        <v>328336</v>
      </c>
      <c r="V60" s="14">
        <v>62994</v>
      </c>
      <c r="W60" s="14">
        <v>5116</v>
      </c>
      <c r="X60" s="14">
        <v>113181</v>
      </c>
      <c r="Y60" s="14">
        <v>99714</v>
      </c>
      <c r="Z60" s="14">
        <v>13467</v>
      </c>
      <c r="AA60" s="14">
        <f t="shared" si="0"/>
        <v>0</v>
      </c>
      <c r="AB60" s="14">
        <v>120918</v>
      </c>
      <c r="AC60" s="14">
        <v>104548</v>
      </c>
      <c r="AD60" s="14">
        <v>16370</v>
      </c>
      <c r="AE60" s="14">
        <v>77994</v>
      </c>
      <c r="AF60" s="14">
        <v>106361</v>
      </c>
      <c r="AG60" s="14">
        <v>1675</v>
      </c>
      <c r="AH60" s="14">
        <v>10357</v>
      </c>
      <c r="AI60" s="14">
        <v>7168</v>
      </c>
      <c r="AJ60" s="14">
        <v>3189</v>
      </c>
      <c r="AK60" s="13">
        <v>21300</v>
      </c>
      <c r="AL60" s="13">
        <v>139687</v>
      </c>
      <c r="AN60" s="14">
        <v>242</v>
      </c>
      <c r="AO60" s="14">
        <v>515</v>
      </c>
      <c r="AP60" s="14">
        <v>-88</v>
      </c>
    </row>
    <row r="61" spans="1:42" ht="11.25">
      <c r="A61" s="11">
        <v>45597</v>
      </c>
      <c r="B61" s="14">
        <v>243174</v>
      </c>
      <c r="C61" s="14">
        <v>149096</v>
      </c>
      <c r="D61" s="14">
        <v>94078</v>
      </c>
      <c r="E61" s="14">
        <v>244442</v>
      </c>
      <c r="F61" s="14">
        <v>146132</v>
      </c>
      <c r="G61" s="14">
        <v>98310</v>
      </c>
      <c r="H61" s="14">
        <v>261</v>
      </c>
      <c r="I61" s="14">
        <v>219</v>
      </c>
      <c r="J61" s="14">
        <v>42</v>
      </c>
      <c r="K61" s="14">
        <v>62281</v>
      </c>
      <c r="L61" s="14">
        <v>29818</v>
      </c>
      <c r="M61" s="14">
        <v>32463</v>
      </c>
      <c r="N61" s="14">
        <v>231729.541</v>
      </c>
      <c r="O61" s="14">
        <v>25598.999</v>
      </c>
      <c r="P61" s="14">
        <v>10668</v>
      </c>
      <c r="Q61" s="14">
        <v>40549</v>
      </c>
      <c r="R61" s="14">
        <v>375462</v>
      </c>
      <c r="S61" s="14">
        <v>83549</v>
      </c>
      <c r="T61" s="14">
        <v>4667</v>
      </c>
      <c r="U61" s="14">
        <v>357808</v>
      </c>
      <c r="V61" s="14">
        <v>88945</v>
      </c>
      <c r="W61" s="14">
        <v>5586</v>
      </c>
      <c r="X61" s="14">
        <v>120762</v>
      </c>
      <c r="Y61" s="14">
        <v>106518</v>
      </c>
      <c r="Z61" s="14">
        <v>14244</v>
      </c>
      <c r="AA61" s="14">
        <f t="shared" si="0"/>
        <v>0</v>
      </c>
      <c r="AB61" s="14">
        <v>118715</v>
      </c>
      <c r="AC61" s="14">
        <v>104671</v>
      </c>
      <c r="AD61" s="14">
        <v>14044</v>
      </c>
      <c r="AE61" s="14">
        <v>95415</v>
      </c>
      <c r="AF61" s="14">
        <v>100956</v>
      </c>
      <c r="AG61" s="14">
        <v>994</v>
      </c>
      <c r="AH61" s="14">
        <v>13154</v>
      </c>
      <c r="AI61" s="14">
        <v>8757</v>
      </c>
      <c r="AJ61" s="14">
        <v>4397</v>
      </c>
      <c r="AK61" s="13">
        <v>27035</v>
      </c>
      <c r="AL61" s="13">
        <v>149096</v>
      </c>
      <c r="AN61" s="14">
        <v>233</v>
      </c>
      <c r="AO61" s="14">
        <v>3</v>
      </c>
      <c r="AP61" s="14">
        <v>70</v>
      </c>
    </row>
    <row r="62" spans="1:42" ht="11.25">
      <c r="A62" s="11">
        <v>45627</v>
      </c>
      <c r="B62" s="14">
        <v>255189</v>
      </c>
      <c r="C62" s="14">
        <v>144741</v>
      </c>
      <c r="D62" s="14">
        <v>110448</v>
      </c>
      <c r="E62" s="14">
        <v>238562</v>
      </c>
      <c r="F62" s="14">
        <v>144742</v>
      </c>
      <c r="G62" s="14">
        <v>93820</v>
      </c>
      <c r="H62" s="14">
        <v>286</v>
      </c>
      <c r="I62" s="14">
        <v>257</v>
      </c>
      <c r="J62" s="14">
        <v>29</v>
      </c>
      <c r="K62" s="14">
        <v>78647</v>
      </c>
      <c r="L62" s="14">
        <v>29597</v>
      </c>
      <c r="M62" s="14">
        <v>49050</v>
      </c>
      <c r="N62" s="14">
        <v>247083.48</v>
      </c>
      <c r="O62" s="14">
        <v>34356.29</v>
      </c>
      <c r="P62" s="14">
        <v>13226</v>
      </c>
      <c r="Q62" s="14">
        <v>28132</v>
      </c>
      <c r="R62" s="14">
        <v>349645</v>
      </c>
      <c r="S62" s="14">
        <v>92465</v>
      </c>
      <c r="T62" s="14">
        <v>2195</v>
      </c>
      <c r="U62" s="14">
        <v>345456</v>
      </c>
      <c r="V62" s="14">
        <v>106864</v>
      </c>
      <c r="W62" s="14">
        <v>2360</v>
      </c>
      <c r="X62" s="14">
        <v>113016</v>
      </c>
      <c r="Y62" s="14">
        <v>101245</v>
      </c>
      <c r="Z62" s="14">
        <v>11771</v>
      </c>
      <c r="AA62" s="14">
        <f t="shared" si="0"/>
        <v>0</v>
      </c>
      <c r="AB62" s="14">
        <v>112835</v>
      </c>
      <c r="AC62" s="14">
        <v>100271</v>
      </c>
      <c r="AD62" s="14">
        <v>12564</v>
      </c>
      <c r="AE62" s="14">
        <v>74188</v>
      </c>
      <c r="AF62" s="14">
        <v>86552</v>
      </c>
      <c r="AG62" s="14">
        <v>1022</v>
      </c>
      <c r="AH62" s="14">
        <v>13544</v>
      </c>
      <c r="AI62" s="14">
        <v>9304</v>
      </c>
      <c r="AJ62" s="14">
        <v>4240</v>
      </c>
      <c r="AK62" s="13">
        <v>29818</v>
      </c>
      <c r="AL62" s="13">
        <v>144741</v>
      </c>
      <c r="AN62" s="14">
        <v>416</v>
      </c>
      <c r="AO62" s="14">
        <v>1</v>
      </c>
      <c r="AP62" s="14">
        <v>-4</v>
      </c>
    </row>
    <row r="63" spans="1:42" ht="11.25">
      <c r="A63" s="11">
        <v>45658</v>
      </c>
      <c r="B63" s="14">
        <v>179569</v>
      </c>
      <c r="C63" s="14">
        <v>141528</v>
      </c>
      <c r="D63" s="14">
        <v>38041</v>
      </c>
      <c r="E63" s="14">
        <v>210641</v>
      </c>
      <c r="F63" s="14">
        <v>144253</v>
      </c>
      <c r="G63" s="14">
        <v>66388</v>
      </c>
      <c r="H63" s="14">
        <v>-61</v>
      </c>
      <c r="I63" s="14">
        <v>-92</v>
      </c>
      <c r="J63" s="14">
        <v>31</v>
      </c>
      <c r="K63" s="14">
        <v>49238</v>
      </c>
      <c r="L63" s="14">
        <v>26554</v>
      </c>
      <c r="M63" s="14">
        <v>22684</v>
      </c>
      <c r="N63" s="14">
        <v>207598.859</v>
      </c>
      <c r="O63" s="14">
        <v>22394.393</v>
      </c>
      <c r="P63" s="14">
        <v>24753</v>
      </c>
      <c r="Q63" s="14">
        <v>4564</v>
      </c>
      <c r="R63" s="14">
        <v>348266</v>
      </c>
      <c r="S63" s="14">
        <v>21446</v>
      </c>
      <c r="T63" s="14">
        <v>1809</v>
      </c>
      <c r="U63" s="14">
        <v>338279</v>
      </c>
      <c r="V63" s="14">
        <v>37180</v>
      </c>
      <c r="W63" s="14">
        <v>1981</v>
      </c>
      <c r="X63" s="14">
        <v>112413</v>
      </c>
      <c r="Y63" s="14">
        <v>102062</v>
      </c>
      <c r="Z63" s="14">
        <v>10351</v>
      </c>
      <c r="AA63" s="14">
        <f t="shared" si="0"/>
        <v>0</v>
      </c>
      <c r="AB63" s="14">
        <v>112853</v>
      </c>
      <c r="AC63" s="14">
        <v>101473</v>
      </c>
      <c r="AD63" s="14">
        <v>11380</v>
      </c>
      <c r="AE63" s="14">
        <v>85248</v>
      </c>
      <c r="AF63" s="14">
        <v>70587</v>
      </c>
      <c r="AG63" s="14">
        <v>1024</v>
      </c>
      <c r="AH63" s="14">
        <v>12737</v>
      </c>
      <c r="AI63" s="14">
        <v>8719</v>
      </c>
      <c r="AJ63" s="14">
        <v>4018</v>
      </c>
      <c r="AK63" s="13">
        <v>29158</v>
      </c>
      <c r="AL63" s="13">
        <v>141528</v>
      </c>
      <c r="AN63" s="14">
        <v>-229</v>
      </c>
      <c r="AO63" s="14">
        <v>0</v>
      </c>
      <c r="AP63" s="14">
        <v>-34</v>
      </c>
    </row>
    <row r="64" spans="1:42" ht="11.25">
      <c r="A64" s="11">
        <v>45689</v>
      </c>
      <c r="B64" s="14">
        <v>177464</v>
      </c>
      <c r="C64" s="14">
        <v>139170</v>
      </c>
      <c r="D64" s="14">
        <v>38294</v>
      </c>
      <c r="E64" s="14">
        <v>170549</v>
      </c>
      <c r="F64" s="14">
        <v>133497</v>
      </c>
      <c r="G64" s="14">
        <v>37052</v>
      </c>
      <c r="H64" s="14">
        <v>612</v>
      </c>
      <c r="I64" s="14">
        <v>561</v>
      </c>
      <c r="J64" s="14">
        <v>51</v>
      </c>
      <c r="K64" s="14">
        <v>41079</v>
      </c>
      <c r="L64" s="14">
        <v>32155</v>
      </c>
      <c r="M64" s="14">
        <v>8924</v>
      </c>
      <c r="N64" s="14">
        <v>194783.231</v>
      </c>
      <c r="O64" s="14">
        <v>8416.134</v>
      </c>
      <c r="P64" s="14">
        <v>4572</v>
      </c>
      <c r="Q64" s="14">
        <v>21823</v>
      </c>
      <c r="R64" s="14">
        <v>343135</v>
      </c>
      <c r="S64" s="14">
        <v>29473</v>
      </c>
      <c r="T64" s="14">
        <v>3244</v>
      </c>
      <c r="U64" s="14">
        <v>337221</v>
      </c>
      <c r="V64" s="14">
        <v>34305</v>
      </c>
      <c r="W64" s="14">
        <v>3225</v>
      </c>
      <c r="X64" s="14">
        <v>110638</v>
      </c>
      <c r="Y64" s="14">
        <v>98935</v>
      </c>
      <c r="Z64" s="14">
        <v>11703</v>
      </c>
      <c r="AA64" s="14">
        <f t="shared" si="0"/>
        <v>0</v>
      </c>
      <c r="AB64" s="14">
        <v>111097</v>
      </c>
      <c r="AC64" s="14">
        <v>98365</v>
      </c>
      <c r="AD64" s="14">
        <v>12732</v>
      </c>
      <c r="AE64" s="14">
        <v>105934</v>
      </c>
      <c r="AF64" s="14">
        <v>1768</v>
      </c>
      <c r="AG64" s="14">
        <v>1270</v>
      </c>
      <c r="AH64" s="14">
        <v>10195</v>
      </c>
      <c r="AI64" s="14">
        <v>6104</v>
      </c>
      <c r="AJ64" s="14">
        <v>4091</v>
      </c>
      <c r="AK64" s="13">
        <v>27005</v>
      </c>
      <c r="AL64" s="13">
        <v>139170</v>
      </c>
      <c r="AN64" s="14">
        <v>30</v>
      </c>
      <c r="AO64" s="14">
        <v>-18</v>
      </c>
      <c r="AP64" s="14">
        <v>64</v>
      </c>
    </row>
    <row r="65" spans="1:27" ht="11.25">
      <c r="A65" s="11">
        <v>45717</v>
      </c>
      <c r="N65" s="14">
        <v>246498.40299999999</v>
      </c>
      <c r="O65" s="14">
        <v>34277.392</v>
      </c>
      <c r="P65" s="14">
        <v>10270</v>
      </c>
      <c r="Q65" s="14">
        <v>14924</v>
      </c>
      <c r="R65" s="14"/>
      <c r="S65" s="14"/>
      <c r="T65" s="14"/>
      <c r="AA65" s="14"/>
    </row>
    <row r="66" spans="1:27" ht="11.25">
      <c r="A66" s="11">
        <v>45748</v>
      </c>
      <c r="N66" s="14"/>
      <c r="AA66" s="14"/>
    </row>
    <row r="67" spans="1:27" ht="11.25">
      <c r="A67" s="11">
        <v>45778</v>
      </c>
      <c r="N67" s="14"/>
      <c r="AA67" s="14"/>
    </row>
    <row r="68" spans="1:27" ht="11.25">
      <c r="A68" s="11">
        <v>45809</v>
      </c>
      <c r="N68" s="14"/>
      <c r="AA68" s="14"/>
    </row>
    <row r="69" spans="1:27" ht="11.25">
      <c r="A69" s="11">
        <v>45839</v>
      </c>
      <c r="N69" s="14"/>
      <c r="AA69" s="14"/>
    </row>
    <row r="70" spans="1:27" ht="11.25">
      <c r="A70" s="11">
        <v>45870</v>
      </c>
      <c r="N70" s="14"/>
      <c r="AA70" s="14"/>
    </row>
    <row r="71" spans="1:27" ht="11.25">
      <c r="A71" s="11">
        <v>45901</v>
      </c>
      <c r="N71" s="14"/>
      <c r="AA71" s="14"/>
    </row>
    <row r="72" spans="1:27" ht="11.25">
      <c r="A72" s="11">
        <v>45931</v>
      </c>
      <c r="N72" s="14"/>
      <c r="AA72" s="14"/>
    </row>
    <row r="73" spans="1:27" ht="11.25">
      <c r="A73" s="11">
        <v>45962</v>
      </c>
      <c r="N73" s="14"/>
      <c r="AA73" s="14"/>
    </row>
    <row r="74" spans="1:27" ht="11.25">
      <c r="A74" s="11">
        <v>45992</v>
      </c>
      <c r="N74" s="14"/>
      <c r="AA74" s="14"/>
    </row>
    <row r="75" spans="1:27" ht="11.25">
      <c r="A75" s="11">
        <v>46023</v>
      </c>
      <c r="N75" s="14"/>
      <c r="AA75" s="14"/>
    </row>
    <row r="76" spans="1:27" ht="11.25">
      <c r="A76" s="11">
        <v>46054</v>
      </c>
      <c r="N76" s="14"/>
      <c r="AA76" s="14"/>
    </row>
    <row r="77" spans="1:27" ht="11.25">
      <c r="A77" s="11">
        <v>46082</v>
      </c>
      <c r="N77" s="14"/>
      <c r="AA77" s="14"/>
    </row>
    <row r="78" spans="1:27" ht="11.25">
      <c r="A78" s="11">
        <v>46113</v>
      </c>
      <c r="N78" s="14"/>
      <c r="AA78" s="14"/>
    </row>
    <row r="79" spans="1:27" ht="11.25">
      <c r="A79" s="11">
        <v>46143</v>
      </c>
      <c r="N79" s="14"/>
      <c r="AA79" s="14"/>
    </row>
    <row r="80" spans="1:27" ht="11.25">
      <c r="A80" s="11">
        <v>46174</v>
      </c>
      <c r="N80" s="14"/>
      <c r="AA80" s="14"/>
    </row>
    <row r="81" spans="1:27" ht="11.25">
      <c r="A81" s="11">
        <v>46204</v>
      </c>
      <c r="N81" s="14"/>
      <c r="AA81" s="14"/>
    </row>
    <row r="82" spans="1:27" ht="11.25">
      <c r="A82" s="11">
        <v>46235</v>
      </c>
      <c r="N82" s="14"/>
      <c r="AA82" s="14"/>
    </row>
  </sheetData>
  <mergeCells count="9">
    <mergeCell ref="U1:W1"/>
    <mergeCell ref="AB1:AD1"/>
    <mergeCell ref="AE1:AH1"/>
    <mergeCell ref="B1:D1"/>
    <mergeCell ref="E1:G1"/>
    <mergeCell ref="H1:J1"/>
    <mergeCell ref="K1:M1"/>
    <mergeCell ref="N1:Q1"/>
    <mergeCell ref="R1:T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926BC-8D09-4ECA-96BC-C442A2556D34}">
  <dimension ref="A16:AI36"/>
  <sheetViews>
    <sheetView workbookViewId="0">
      <selection activeCell="A7" sqref="A7"/>
    </sheetView>
  </sheetViews>
  <sheetFormatPr defaultRowHeight="12.75"/>
  <cols>
    <col min="1" max="1" width="24.83203125" customWidth="1"/>
    <col min="4" max="9" width="9.5" bestFit="1" customWidth="1"/>
    <col min="10" max="10" width="9.83203125" bestFit="1" customWidth="1"/>
    <col min="11" max="14" width="9.5" bestFit="1" customWidth="1"/>
  </cols>
  <sheetData>
    <row r="16" spans="2:35">
      <c r="B16">
        <v>2010</v>
      </c>
      <c r="C16">
        <v>2011</v>
      </c>
      <c r="D16">
        <v>2012</v>
      </c>
      <c r="E16">
        <v>2013</v>
      </c>
      <c r="F16">
        <v>2014</v>
      </c>
      <c r="G16">
        <v>2015</v>
      </c>
      <c r="H16">
        <v>2016</v>
      </c>
      <c r="I16">
        <v>2017</v>
      </c>
      <c r="J16">
        <v>2018</v>
      </c>
      <c r="K16">
        <v>2019</v>
      </c>
      <c r="L16">
        <v>2020</v>
      </c>
      <c r="M16">
        <v>2021</v>
      </c>
      <c r="N16">
        <v>2022</v>
      </c>
      <c r="O16">
        <v>2023</v>
      </c>
      <c r="P16">
        <v>2024</v>
      </c>
      <c r="Q16">
        <v>2025</v>
      </c>
      <c r="R16">
        <v>2026</v>
      </c>
      <c r="S16">
        <v>2027</v>
      </c>
      <c r="T16">
        <v>2028</v>
      </c>
      <c r="U16">
        <v>2029</v>
      </c>
      <c r="V16">
        <v>2030</v>
      </c>
      <c r="W16">
        <v>2031</v>
      </c>
      <c r="X16">
        <v>2032</v>
      </c>
      <c r="Y16">
        <v>2033</v>
      </c>
      <c r="Z16">
        <v>2034</v>
      </c>
      <c r="AA16">
        <v>2035</v>
      </c>
      <c r="AB16">
        <v>2036</v>
      </c>
      <c r="AC16">
        <v>2037</v>
      </c>
      <c r="AD16">
        <v>2038</v>
      </c>
      <c r="AE16">
        <v>2039</v>
      </c>
      <c r="AF16">
        <v>2040</v>
      </c>
      <c r="AG16">
        <v>2041</v>
      </c>
      <c r="AH16">
        <v>2042</v>
      </c>
      <c r="AI16">
        <v>2043</v>
      </c>
    </row>
    <row r="18" spans="1:14" ht="15" customHeight="1">
      <c r="A18" t="s">
        <v>38</v>
      </c>
      <c r="D18" s="17">
        <v>0.02</v>
      </c>
    </row>
    <row r="19" spans="1:14" ht="15" customHeight="1">
      <c r="A19" t="s">
        <v>39</v>
      </c>
      <c r="B19" s="17">
        <v>0.05</v>
      </c>
      <c r="D19" s="17">
        <v>0.02</v>
      </c>
      <c r="N19" s="17">
        <v>0.04</v>
      </c>
    </row>
    <row r="20" spans="1:14" ht="15" customHeight="1">
      <c r="A20" t="s">
        <v>40</v>
      </c>
      <c r="D20" s="17">
        <v>0.02</v>
      </c>
    </row>
    <row r="21" spans="1:14" ht="15" customHeight="1">
      <c r="A21" t="s">
        <v>41</v>
      </c>
      <c r="C21" s="17">
        <v>0.02</v>
      </c>
      <c r="D21" s="17">
        <v>0.02</v>
      </c>
    </row>
    <row r="22" spans="1:14" ht="15" customHeight="1">
      <c r="A22" t="s">
        <v>42</v>
      </c>
      <c r="C22" s="17">
        <v>0.02</v>
      </c>
      <c r="D22" s="17">
        <v>0.02</v>
      </c>
    </row>
    <row r="23" spans="1:14" ht="15" customHeight="1">
      <c r="A23" t="s">
        <v>43</v>
      </c>
      <c r="C23" s="17">
        <v>0.02</v>
      </c>
      <c r="D23" s="17">
        <v>0.02</v>
      </c>
      <c r="E23" s="17">
        <v>0.02</v>
      </c>
    </row>
    <row r="24" spans="1:14" ht="15" customHeight="1">
      <c r="A24" t="s">
        <v>44</v>
      </c>
      <c r="C24" s="17">
        <v>0.02</v>
      </c>
      <c r="D24" s="17">
        <v>0.02</v>
      </c>
    </row>
    <row r="25" spans="1:14" ht="15" customHeight="1">
      <c r="A25" t="s">
        <v>45</v>
      </c>
      <c r="C25" s="17">
        <v>0.02</v>
      </c>
      <c r="D25" s="17">
        <v>0.02</v>
      </c>
    </row>
    <row r="26" spans="1:14" ht="15" customHeight="1">
      <c r="A26" t="s">
        <v>46</v>
      </c>
      <c r="D26" s="17">
        <v>0</v>
      </c>
      <c r="E26" s="17">
        <v>0.02</v>
      </c>
    </row>
    <row r="27" spans="1:14" ht="15" customHeight="1">
      <c r="A27" t="s">
        <v>47</v>
      </c>
      <c r="D27" s="17">
        <v>0</v>
      </c>
      <c r="E27" s="17">
        <v>0</v>
      </c>
      <c r="F27" s="17">
        <v>0</v>
      </c>
      <c r="G27" s="17">
        <v>0</v>
      </c>
    </row>
    <row r="28" spans="1:14" ht="15" customHeight="1">
      <c r="A28" t="s">
        <v>48</v>
      </c>
      <c r="D28" s="17">
        <v>0</v>
      </c>
      <c r="E28" s="17">
        <v>0.02</v>
      </c>
    </row>
    <row r="29" spans="1:14" ht="15" customHeight="1">
      <c r="A29" t="s">
        <v>49</v>
      </c>
      <c r="D29" s="17">
        <v>0</v>
      </c>
      <c r="E29" s="17">
        <v>0.02</v>
      </c>
    </row>
    <row r="30" spans="1:14" ht="15" customHeight="1">
      <c r="A30" t="s">
        <v>50</v>
      </c>
      <c r="D30" s="17">
        <v>0</v>
      </c>
      <c r="E30" s="17">
        <v>0.02</v>
      </c>
    </row>
    <row r="31" spans="1:14" ht="15">
      <c r="A31" t="s">
        <v>51</v>
      </c>
      <c r="C31" s="17">
        <v>0.02</v>
      </c>
    </row>
    <row r="33" spans="1:1">
      <c r="A33" t="s">
        <v>52</v>
      </c>
    </row>
    <row r="34" spans="1:1">
      <c r="A34" t="s">
        <v>53</v>
      </c>
    </row>
    <row r="35" spans="1:1">
      <c r="A35" t="s">
        <v>54</v>
      </c>
    </row>
    <row r="36" spans="1:1">
      <c r="A36" t="s">
        <v>55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32CF-E7AF-44F6-9ECD-C1BEB9B73B4D}">
  <dimension ref="A1:O7"/>
  <sheetViews>
    <sheetView workbookViewId="0">
      <selection activeCell="A7" sqref="A7"/>
    </sheetView>
  </sheetViews>
  <sheetFormatPr defaultRowHeight="12.75"/>
  <cols>
    <col min="2" max="2" width="23.1640625" customWidth="1"/>
    <col min="3" max="15" width="15.83203125" customWidth="1"/>
  </cols>
  <sheetData>
    <row r="1" spans="1:15" ht="20.25">
      <c r="A1" s="18" t="s">
        <v>56</v>
      </c>
      <c r="B1" s="19"/>
      <c r="C1" s="20"/>
      <c r="D1" s="20"/>
      <c r="E1" s="20"/>
      <c r="F1" s="20"/>
      <c r="G1" s="20"/>
      <c r="H1" s="20"/>
      <c r="I1" s="20"/>
      <c r="J1" s="20"/>
      <c r="K1" s="20"/>
      <c r="L1" s="20"/>
      <c r="M1" s="20"/>
      <c r="N1" s="20"/>
      <c r="O1" s="20"/>
    </row>
    <row r="2" spans="1:15" ht="54.75" thickBot="1">
      <c r="A2" s="21"/>
      <c r="B2" s="22"/>
      <c r="C2" s="23" t="s">
        <v>57</v>
      </c>
      <c r="D2" s="24" t="s">
        <v>44</v>
      </c>
      <c r="E2" s="25" t="s">
        <v>45</v>
      </c>
      <c r="F2" s="25"/>
      <c r="G2" s="25"/>
      <c r="H2" s="25"/>
      <c r="I2" s="25" t="s">
        <v>58</v>
      </c>
      <c r="J2" s="25"/>
      <c r="K2" s="24" t="s">
        <v>59</v>
      </c>
      <c r="L2" s="25" t="s">
        <v>46</v>
      </c>
      <c r="M2" s="25"/>
      <c r="N2" s="25"/>
      <c r="O2" s="26"/>
    </row>
    <row r="3" spans="1:15" ht="18">
      <c r="A3" s="21"/>
      <c r="B3" s="27" t="s">
        <v>60</v>
      </c>
      <c r="C3" s="28">
        <v>0.05</v>
      </c>
      <c r="D3" s="29">
        <v>0.1</v>
      </c>
      <c r="E3" s="29">
        <v>0.1</v>
      </c>
      <c r="F3" s="29">
        <v>0.11</v>
      </c>
      <c r="G3" s="29">
        <v>0.13</v>
      </c>
      <c r="H3" s="29">
        <v>0.15</v>
      </c>
      <c r="I3" s="29">
        <v>0.01</v>
      </c>
      <c r="J3" s="29">
        <v>7.4999999999999997E-2</v>
      </c>
      <c r="K3" s="29">
        <v>0.05</v>
      </c>
      <c r="L3" s="29">
        <v>0.1</v>
      </c>
      <c r="M3" s="29">
        <v>0.12</v>
      </c>
      <c r="N3" s="29">
        <v>0.14000000000000001</v>
      </c>
      <c r="O3" s="30">
        <v>0.15</v>
      </c>
    </row>
    <row r="4" spans="1:15" ht="18">
      <c r="A4" s="21"/>
      <c r="B4" s="27" t="s">
        <v>61</v>
      </c>
      <c r="C4" s="28">
        <v>0.02</v>
      </c>
      <c r="D4" s="29">
        <v>0.05</v>
      </c>
      <c r="E4" s="29">
        <v>0.04</v>
      </c>
      <c r="F4" s="29">
        <v>0.04</v>
      </c>
      <c r="G4" s="29">
        <v>0.04</v>
      </c>
      <c r="H4" s="29">
        <v>0.04</v>
      </c>
      <c r="I4" s="29">
        <v>0.02</v>
      </c>
      <c r="J4" s="29">
        <v>0.02</v>
      </c>
      <c r="K4" s="29">
        <v>0.04</v>
      </c>
      <c r="L4" s="29">
        <v>0.03</v>
      </c>
      <c r="M4" s="29">
        <v>0.05</v>
      </c>
      <c r="N4" s="29">
        <v>0.05</v>
      </c>
      <c r="O4" s="30">
        <v>0.1</v>
      </c>
    </row>
    <row r="5" spans="1:15" ht="18.75" thickBot="1">
      <c r="A5" s="21"/>
      <c r="B5" s="27" t="s">
        <v>62</v>
      </c>
      <c r="C5" s="31">
        <v>40634</v>
      </c>
      <c r="D5" s="32">
        <v>44562</v>
      </c>
      <c r="E5" s="32">
        <v>43831</v>
      </c>
      <c r="F5" s="32">
        <v>45658</v>
      </c>
      <c r="G5" s="32">
        <v>46753</v>
      </c>
      <c r="H5" s="32">
        <v>10959</v>
      </c>
      <c r="I5" s="32">
        <v>38657</v>
      </c>
      <c r="J5" s="32">
        <v>39097</v>
      </c>
      <c r="K5" s="33">
        <v>44562</v>
      </c>
      <c r="L5" s="32">
        <v>44927</v>
      </c>
      <c r="M5" s="32">
        <v>45658</v>
      </c>
      <c r="N5" s="32">
        <v>46753</v>
      </c>
      <c r="O5" s="34">
        <v>10959</v>
      </c>
    </row>
    <row r="6" spans="1:15" ht="15.75">
      <c r="A6" s="21"/>
      <c r="B6" s="35" t="s">
        <v>63</v>
      </c>
      <c r="D6" s="36"/>
      <c r="E6" s="36"/>
      <c r="F6" s="36"/>
      <c r="G6" s="36"/>
      <c r="H6" s="36"/>
      <c r="I6" s="36"/>
      <c r="J6" s="36"/>
      <c r="K6" s="36"/>
      <c r="L6" s="36"/>
      <c r="M6" s="36"/>
      <c r="N6" s="36"/>
      <c r="O6" s="36"/>
    </row>
    <row r="7" spans="1:15">
      <c r="A7" s="21"/>
      <c r="B7" s="21"/>
      <c r="C7" s="21"/>
      <c r="D7" s="21"/>
      <c r="E7" s="21"/>
      <c r="F7" s="21"/>
      <c r="G7" s="21"/>
      <c r="H7" s="21"/>
      <c r="I7" s="21"/>
      <c r="J7" s="21"/>
      <c r="K7" s="21"/>
      <c r="L7" s="21"/>
      <c r="M7" s="21"/>
      <c r="N7" s="21"/>
      <c r="O7" s="21"/>
    </row>
  </sheetData>
  <mergeCells count="3">
    <mergeCell ref="E2:H2"/>
    <mergeCell ref="I2:J2"/>
    <mergeCell ref="L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8B23-36A9-49EE-9185-37780A509A38}">
  <dimension ref="A1:AG118"/>
  <sheetViews>
    <sheetView zoomScale="85" zoomScaleNormal="85" workbookViewId="0">
      <pane xSplit="1" ySplit="4" topLeftCell="B103" activePane="bottomRight" state="frozen"/>
      <selection activeCell="A7" sqref="A7"/>
      <selection pane="topRight" activeCell="A7" sqref="A7"/>
      <selection pane="bottomLeft" activeCell="A7" sqref="A7"/>
      <selection pane="bottomRight" activeCell="A7" sqref="A7"/>
    </sheetView>
  </sheetViews>
  <sheetFormatPr defaultColWidth="10.33203125" defaultRowHeight="15"/>
  <cols>
    <col min="1" max="1" width="19.6640625" style="42" customWidth="1"/>
    <col min="2" max="3" width="16.1640625" style="93" customWidth="1"/>
    <col min="4" max="4" width="16.1640625" style="94" customWidth="1"/>
    <col min="5" max="6" width="12.6640625" style="94" customWidth="1"/>
    <col min="7" max="7" width="15" style="93" customWidth="1"/>
    <col min="8" max="8" width="10.33203125" style="93" bestFit="1" customWidth="1"/>
    <col min="9" max="9" width="10.33203125" style="94" bestFit="1" customWidth="1"/>
    <col min="10" max="10" width="15" style="93" customWidth="1"/>
    <col min="11" max="11" width="9.1640625" style="93" bestFit="1" customWidth="1"/>
    <col min="12" max="12" width="10.33203125" style="94" bestFit="1" customWidth="1"/>
    <col min="13" max="13" width="8" style="93" bestFit="1" customWidth="1"/>
    <col min="14" max="14" width="13.33203125" style="93" customWidth="1"/>
    <col min="15" max="15" width="10.33203125" style="94" bestFit="1" customWidth="1"/>
    <col min="16" max="16" width="18.83203125" style="95" customWidth="1"/>
    <col min="17" max="17" width="8" style="42" customWidth="1"/>
    <col min="18" max="18" width="16.1640625" style="42" customWidth="1"/>
    <col min="19" max="20" width="16.1640625" style="93" customWidth="1"/>
    <col min="21" max="21" width="16.1640625" style="94" customWidth="1"/>
    <col min="22" max="23" width="12.6640625" style="94" customWidth="1"/>
    <col min="24" max="25" width="12.6640625" style="42" customWidth="1"/>
    <col min="26" max="26" width="16.1640625" style="42" customWidth="1"/>
    <col min="27" max="28" width="16.1640625" style="93" customWidth="1"/>
    <col min="29" max="29" width="16.1640625" style="94" customWidth="1"/>
    <col min="30" max="30" width="21.1640625" style="94" customWidth="1"/>
    <col min="31" max="32" width="12.6640625" style="94" customWidth="1"/>
    <col min="33" max="16384" width="10.33203125" style="42"/>
  </cols>
  <sheetData>
    <row r="1" spans="1:33" ht="42" customHeight="1" thickBot="1">
      <c r="A1" s="37" t="s">
        <v>64</v>
      </c>
      <c r="B1" s="38"/>
      <c r="C1" s="38"/>
      <c r="D1" s="38"/>
      <c r="E1" s="38"/>
      <c r="F1" s="38"/>
      <c r="G1" s="38"/>
      <c r="H1" s="38"/>
      <c r="I1" s="38"/>
      <c r="J1" s="38"/>
      <c r="K1" s="38"/>
      <c r="L1" s="38"/>
      <c r="M1" s="38"/>
      <c r="N1" s="38"/>
      <c r="O1" s="38"/>
      <c r="P1" s="39"/>
      <c r="Q1" s="40"/>
      <c r="R1" s="37" t="s">
        <v>65</v>
      </c>
      <c r="S1" s="38"/>
      <c r="T1" s="38"/>
      <c r="U1" s="38"/>
      <c r="V1" s="38"/>
      <c r="W1" s="39"/>
      <c r="X1" s="40"/>
      <c r="Y1" s="41"/>
      <c r="Z1" s="37" t="s">
        <v>66</v>
      </c>
      <c r="AA1" s="38"/>
      <c r="AB1" s="38"/>
      <c r="AC1" s="38"/>
      <c r="AD1" s="38"/>
      <c r="AE1" s="38"/>
      <c r="AF1" s="39"/>
    </row>
    <row r="2" spans="1:33" ht="15" customHeight="1">
      <c r="A2" s="43" t="s">
        <v>67</v>
      </c>
      <c r="B2" s="44" t="s">
        <v>68</v>
      </c>
      <c r="C2" s="44" t="s">
        <v>69</v>
      </c>
      <c r="D2" s="45" t="s">
        <v>70</v>
      </c>
      <c r="E2" s="46" t="s">
        <v>71</v>
      </c>
      <c r="F2" s="47"/>
      <c r="G2" s="48" t="s">
        <v>72</v>
      </c>
      <c r="H2" s="49"/>
      <c r="I2" s="50"/>
      <c r="J2" s="51" t="s">
        <v>73</v>
      </c>
      <c r="K2" s="52"/>
      <c r="L2" s="53"/>
      <c r="M2" s="48" t="s">
        <v>74</v>
      </c>
      <c r="N2" s="49"/>
      <c r="O2" s="50"/>
      <c r="P2" s="54" t="s">
        <v>75</v>
      </c>
      <c r="Q2" s="55"/>
      <c r="R2" s="43" t="s">
        <v>67</v>
      </c>
      <c r="S2" s="44" t="s">
        <v>68</v>
      </c>
      <c r="T2" s="44" t="s">
        <v>69</v>
      </c>
      <c r="U2" s="45" t="s">
        <v>70</v>
      </c>
      <c r="V2" s="46" t="s">
        <v>71</v>
      </c>
      <c r="W2" s="47"/>
      <c r="X2" s="55"/>
      <c r="Y2" s="56"/>
      <c r="Z2" s="43" t="s">
        <v>67</v>
      </c>
      <c r="AA2" s="44" t="s">
        <v>68</v>
      </c>
      <c r="AB2" s="44" t="s">
        <v>69</v>
      </c>
      <c r="AC2" s="45" t="s">
        <v>70</v>
      </c>
      <c r="AD2" s="45" t="s">
        <v>76</v>
      </c>
      <c r="AE2" s="46" t="s">
        <v>71</v>
      </c>
      <c r="AF2" s="47"/>
    </row>
    <row r="3" spans="1:33" ht="21.75" customHeight="1">
      <c r="A3" s="57"/>
      <c r="B3" s="58"/>
      <c r="C3" s="58"/>
      <c r="D3" s="59"/>
      <c r="E3" s="60"/>
      <c r="F3" s="61"/>
      <c r="G3" s="62"/>
      <c r="H3" s="63"/>
      <c r="I3" s="64"/>
      <c r="J3" s="65"/>
      <c r="K3" s="66"/>
      <c r="L3" s="67"/>
      <c r="M3" s="62"/>
      <c r="N3" s="63"/>
      <c r="O3" s="64"/>
      <c r="P3" s="68"/>
      <c r="Q3" s="55"/>
      <c r="R3" s="57"/>
      <c r="S3" s="58"/>
      <c r="T3" s="58"/>
      <c r="U3" s="59"/>
      <c r="V3" s="60"/>
      <c r="W3" s="61"/>
      <c r="X3" s="55"/>
      <c r="Y3" s="56"/>
      <c r="Z3" s="57"/>
      <c r="AA3" s="58"/>
      <c r="AB3" s="58"/>
      <c r="AC3" s="59"/>
      <c r="AD3" s="59"/>
      <c r="AE3" s="60"/>
      <c r="AF3" s="61"/>
    </row>
    <row r="4" spans="1:33" ht="57" thickBot="1">
      <c r="A4" s="69"/>
      <c r="B4" s="70"/>
      <c r="C4" s="70"/>
      <c r="D4" s="71"/>
      <c r="E4" s="72" t="s">
        <v>77</v>
      </c>
      <c r="F4" s="73" t="s">
        <v>78</v>
      </c>
      <c r="G4" s="74" t="s">
        <v>79</v>
      </c>
      <c r="H4" s="75" t="s">
        <v>80</v>
      </c>
      <c r="I4" s="76" t="s">
        <v>81</v>
      </c>
      <c r="J4" s="74" t="s">
        <v>79</v>
      </c>
      <c r="K4" s="75" t="s">
        <v>80</v>
      </c>
      <c r="L4" s="76" t="s">
        <v>81</v>
      </c>
      <c r="M4" s="74" t="s">
        <v>79</v>
      </c>
      <c r="N4" s="75" t="s">
        <v>80</v>
      </c>
      <c r="O4" s="77" t="s">
        <v>81</v>
      </c>
      <c r="P4" s="78" t="s">
        <v>79</v>
      </c>
      <c r="Q4" s="79"/>
      <c r="R4" s="69"/>
      <c r="S4" s="70"/>
      <c r="T4" s="70"/>
      <c r="U4" s="71"/>
      <c r="V4" s="72" t="s">
        <v>77</v>
      </c>
      <c r="W4" s="73" t="s">
        <v>78</v>
      </c>
      <c r="X4" s="79"/>
      <c r="Y4" s="80"/>
      <c r="Z4" s="69"/>
      <c r="AA4" s="70"/>
      <c r="AB4" s="70"/>
      <c r="AC4" s="71"/>
      <c r="AD4" s="71"/>
      <c r="AE4" s="72" t="s">
        <v>77</v>
      </c>
      <c r="AF4" s="73" t="s">
        <v>78</v>
      </c>
    </row>
    <row r="5" spans="1:33">
      <c r="A5" s="81">
        <v>42309</v>
      </c>
      <c r="B5" s="82">
        <v>1</v>
      </c>
      <c r="C5" s="82">
        <v>14349</v>
      </c>
      <c r="D5" s="83">
        <v>170</v>
      </c>
      <c r="E5" s="83">
        <v>170</v>
      </c>
      <c r="F5" s="83">
        <v>170</v>
      </c>
      <c r="G5" s="82" t="s">
        <v>82</v>
      </c>
      <c r="H5" s="82"/>
      <c r="I5" s="83"/>
      <c r="J5" s="82" t="s">
        <v>82</v>
      </c>
      <c r="K5" s="82"/>
      <c r="L5" s="83"/>
      <c r="M5" s="82" t="s">
        <v>82</v>
      </c>
      <c r="N5" s="82"/>
      <c r="O5" s="83"/>
      <c r="P5" s="84" t="s">
        <v>82</v>
      </c>
      <c r="Q5" s="85"/>
      <c r="R5" s="85" t="s">
        <v>83</v>
      </c>
      <c r="S5" s="82">
        <v>2</v>
      </c>
      <c r="T5" s="82">
        <v>14354</v>
      </c>
      <c r="U5" s="83">
        <v>169.94774975616554</v>
      </c>
      <c r="V5" s="83">
        <v>20</v>
      </c>
      <c r="W5" s="83">
        <v>170</v>
      </c>
      <c r="X5" s="86">
        <v>42339</v>
      </c>
      <c r="Y5" s="87">
        <f t="shared" ref="Y5:Y36" si="0">U5*T5</f>
        <v>2439430</v>
      </c>
      <c r="Z5" s="85">
        <v>2015</v>
      </c>
      <c r="AA5" s="88">
        <v>2</v>
      </c>
      <c r="AB5" s="88">
        <v>14354</v>
      </c>
      <c r="AC5" s="83">
        <v>169.94774975616554</v>
      </c>
      <c r="AD5" s="83">
        <v>2439430</v>
      </c>
      <c r="AE5" s="83">
        <v>20</v>
      </c>
      <c r="AF5" s="83">
        <v>170</v>
      </c>
      <c r="AG5" s="85"/>
    </row>
    <row r="6" spans="1:33">
      <c r="A6" s="81">
        <v>42339</v>
      </c>
      <c r="B6" s="82">
        <v>1</v>
      </c>
      <c r="C6" s="82">
        <v>5</v>
      </c>
      <c r="D6" s="83">
        <v>20</v>
      </c>
      <c r="E6" s="83">
        <v>20</v>
      </c>
      <c r="F6" s="83">
        <v>20</v>
      </c>
      <c r="G6" s="82" t="s">
        <v>82</v>
      </c>
      <c r="H6" s="82"/>
      <c r="I6" s="83"/>
      <c r="J6" s="82" t="s">
        <v>82</v>
      </c>
      <c r="K6" s="82"/>
      <c r="L6" s="83"/>
      <c r="M6" s="82" t="s">
        <v>82</v>
      </c>
      <c r="N6" s="82"/>
      <c r="O6" s="83"/>
      <c r="P6" s="84" t="s">
        <v>82</v>
      </c>
      <c r="Q6" s="85"/>
      <c r="R6" s="85" t="s">
        <v>84</v>
      </c>
      <c r="S6" s="82">
        <v>4</v>
      </c>
      <c r="T6" s="82">
        <v>57000</v>
      </c>
      <c r="U6" s="83">
        <v>163.42105263157896</v>
      </c>
      <c r="V6" s="83">
        <v>155</v>
      </c>
      <c r="W6" s="83">
        <v>170</v>
      </c>
      <c r="X6" s="86">
        <v>42430</v>
      </c>
      <c r="Y6" s="87">
        <f t="shared" si="0"/>
        <v>9315000</v>
      </c>
      <c r="Z6" s="85">
        <v>2016</v>
      </c>
      <c r="AA6" s="88">
        <v>15</v>
      </c>
      <c r="AB6" s="88">
        <v>198705</v>
      </c>
      <c r="AC6" s="83">
        <v>170.93102840894792</v>
      </c>
      <c r="AD6" s="83">
        <v>33964850</v>
      </c>
      <c r="AE6" s="83">
        <v>100</v>
      </c>
      <c r="AF6" s="83">
        <v>190</v>
      </c>
      <c r="AG6" s="85"/>
    </row>
    <row r="7" spans="1:33">
      <c r="A7" s="81">
        <v>42370</v>
      </c>
      <c r="B7" s="82">
        <v>0</v>
      </c>
      <c r="C7" s="82">
        <v>0</v>
      </c>
      <c r="D7" s="83">
        <v>0</v>
      </c>
      <c r="E7" s="83">
        <v>0</v>
      </c>
      <c r="F7" s="83">
        <v>0</v>
      </c>
      <c r="G7" s="82" t="s">
        <v>82</v>
      </c>
      <c r="H7" s="82"/>
      <c r="I7" s="83"/>
      <c r="J7" s="82" t="s">
        <v>82</v>
      </c>
      <c r="K7" s="82"/>
      <c r="L7" s="83"/>
      <c r="M7" s="82" t="s">
        <v>82</v>
      </c>
      <c r="N7" s="82"/>
      <c r="O7" s="83"/>
      <c r="P7" s="84" t="s">
        <v>82</v>
      </c>
      <c r="Q7" s="85"/>
      <c r="R7" s="85" t="s">
        <v>85</v>
      </c>
      <c r="S7" s="82">
        <v>5</v>
      </c>
      <c r="T7" s="82">
        <v>18705</v>
      </c>
      <c r="U7" s="83">
        <v>171.06923282544773</v>
      </c>
      <c r="V7" s="83">
        <v>160</v>
      </c>
      <c r="W7" s="83">
        <v>190</v>
      </c>
      <c r="X7" s="86">
        <v>42522</v>
      </c>
      <c r="Y7" s="87">
        <f t="shared" si="0"/>
        <v>3199849.9999999995</v>
      </c>
      <c r="Z7" s="85">
        <v>2017</v>
      </c>
      <c r="AA7" s="88">
        <v>31</v>
      </c>
      <c r="AB7" s="88">
        <v>240164</v>
      </c>
      <c r="AC7" s="83">
        <v>164.30448252027782</v>
      </c>
      <c r="AD7" s="83">
        <v>39460021.740000002</v>
      </c>
      <c r="AE7" s="83">
        <v>60</v>
      </c>
      <c r="AF7" s="83">
        <v>185</v>
      </c>
      <c r="AG7" s="85"/>
    </row>
    <row r="8" spans="1:33" ht="15.75" customHeight="1">
      <c r="A8" s="81">
        <v>42401</v>
      </c>
      <c r="B8" s="82">
        <v>0</v>
      </c>
      <c r="C8" s="82">
        <v>0</v>
      </c>
      <c r="D8" s="83">
        <v>0</v>
      </c>
      <c r="E8" s="83">
        <v>0</v>
      </c>
      <c r="F8" s="83">
        <v>0</v>
      </c>
      <c r="G8" s="82" t="s">
        <v>82</v>
      </c>
      <c r="H8" s="82"/>
      <c r="I8" s="83"/>
      <c r="J8" s="82" t="s">
        <v>82</v>
      </c>
      <c r="K8" s="82"/>
      <c r="L8" s="83"/>
      <c r="M8" s="82" t="s">
        <v>82</v>
      </c>
      <c r="N8" s="82"/>
      <c r="O8" s="83"/>
      <c r="P8" s="84" t="s">
        <v>82</v>
      </c>
      <c r="Q8" s="85"/>
      <c r="R8" s="85" t="s">
        <v>86</v>
      </c>
      <c r="S8" s="82">
        <v>6</v>
      </c>
      <c r="T8" s="82">
        <v>123000</v>
      </c>
      <c r="U8" s="83">
        <v>174.39024390243901</v>
      </c>
      <c r="V8" s="83">
        <v>100</v>
      </c>
      <c r="W8" s="83">
        <v>185</v>
      </c>
      <c r="X8" s="86">
        <v>42614</v>
      </c>
      <c r="Y8" s="87">
        <f t="shared" si="0"/>
        <v>21450000</v>
      </c>
      <c r="Z8" s="85">
        <v>2018</v>
      </c>
      <c r="AA8" s="88">
        <v>48</v>
      </c>
      <c r="AB8" s="88">
        <v>435221</v>
      </c>
      <c r="AC8" s="83">
        <v>193.45162639210881</v>
      </c>
      <c r="AD8" s="83">
        <v>84194210.289999992</v>
      </c>
      <c r="AE8" s="83">
        <v>55</v>
      </c>
      <c r="AF8" s="83">
        <v>210.5</v>
      </c>
      <c r="AG8" s="85"/>
    </row>
    <row r="9" spans="1:33" ht="15.75" customHeight="1">
      <c r="A9" s="81">
        <v>42430</v>
      </c>
      <c r="B9" s="82">
        <v>4</v>
      </c>
      <c r="C9" s="82">
        <v>57000</v>
      </c>
      <c r="D9" s="83">
        <v>163.42105263157896</v>
      </c>
      <c r="E9" s="83">
        <v>155</v>
      </c>
      <c r="F9" s="83">
        <v>170</v>
      </c>
      <c r="G9" s="82" t="s">
        <v>82</v>
      </c>
      <c r="H9" s="82"/>
      <c r="I9" s="83"/>
      <c r="J9" s="82" t="s">
        <v>82</v>
      </c>
      <c r="K9" s="82"/>
      <c r="L9" s="83"/>
      <c r="M9" s="82" t="s">
        <v>82</v>
      </c>
      <c r="N9" s="82"/>
      <c r="O9" s="83"/>
      <c r="P9" s="84" t="s">
        <v>82</v>
      </c>
      <c r="Q9" s="85"/>
      <c r="R9" s="85" t="s">
        <v>87</v>
      </c>
      <c r="S9" s="82">
        <v>0</v>
      </c>
      <c r="T9" s="82">
        <v>0</v>
      </c>
      <c r="U9" s="83">
        <v>0</v>
      </c>
      <c r="V9" s="83">
        <v>0</v>
      </c>
      <c r="W9" s="83">
        <v>0</v>
      </c>
      <c r="X9" s="86">
        <v>42705</v>
      </c>
      <c r="Y9" s="87">
        <f t="shared" si="0"/>
        <v>0</v>
      </c>
      <c r="Z9" s="85">
        <v>2019</v>
      </c>
      <c r="AA9" s="88">
        <v>35</v>
      </c>
      <c r="AB9" s="88">
        <v>263512</v>
      </c>
      <c r="AC9" s="83">
        <v>269.33226391966969</v>
      </c>
      <c r="AD9" s="83">
        <v>70972283.530000001</v>
      </c>
      <c r="AE9" s="83">
        <v>32.93</v>
      </c>
      <c r="AF9" s="83">
        <v>324.08</v>
      </c>
      <c r="AG9" s="85"/>
    </row>
    <row r="10" spans="1:33" ht="15.75" customHeight="1">
      <c r="A10" s="81">
        <v>42461</v>
      </c>
      <c r="B10" s="82">
        <v>0</v>
      </c>
      <c r="C10" s="82">
        <v>0</v>
      </c>
      <c r="D10" s="83">
        <v>0</v>
      </c>
      <c r="E10" s="83">
        <v>0</v>
      </c>
      <c r="F10" s="83">
        <v>0</v>
      </c>
      <c r="G10" s="82" t="s">
        <v>82</v>
      </c>
      <c r="H10" s="82"/>
      <c r="I10" s="83"/>
      <c r="J10" s="82" t="s">
        <v>82</v>
      </c>
      <c r="K10" s="82"/>
      <c r="L10" s="83"/>
      <c r="M10" s="82" t="s">
        <v>82</v>
      </c>
      <c r="N10" s="82"/>
      <c r="O10" s="83"/>
      <c r="P10" s="84" t="s">
        <v>82</v>
      </c>
      <c r="Q10" s="85"/>
      <c r="R10" s="85" t="s">
        <v>88</v>
      </c>
      <c r="S10" s="82">
        <v>1</v>
      </c>
      <c r="T10" s="82">
        <v>382</v>
      </c>
      <c r="U10" s="83">
        <v>60</v>
      </c>
      <c r="V10" s="83">
        <v>60</v>
      </c>
      <c r="W10" s="83">
        <v>60</v>
      </c>
      <c r="X10" s="86">
        <v>42795</v>
      </c>
      <c r="Y10" s="87">
        <f t="shared" si="0"/>
        <v>22920</v>
      </c>
      <c r="Z10" s="85">
        <v>2020</v>
      </c>
      <c r="AA10" s="88">
        <v>32</v>
      </c>
      <c r="AB10" s="88">
        <v>102890</v>
      </c>
      <c r="AC10" s="83">
        <v>250.44095898532413</v>
      </c>
      <c r="AD10" s="83">
        <v>25767870.27</v>
      </c>
      <c r="AE10" s="83">
        <v>32.5</v>
      </c>
      <c r="AF10" s="83">
        <v>385.2</v>
      </c>
      <c r="AG10" s="85"/>
    </row>
    <row r="11" spans="1:33" ht="15.75" customHeight="1">
      <c r="A11" s="81">
        <v>42491</v>
      </c>
      <c r="B11" s="82">
        <v>0</v>
      </c>
      <c r="C11" s="82">
        <v>0</v>
      </c>
      <c r="D11" s="83">
        <v>0</v>
      </c>
      <c r="E11" s="83">
        <v>0</v>
      </c>
      <c r="F11" s="83">
        <v>0</v>
      </c>
      <c r="G11" s="82" t="s">
        <v>82</v>
      </c>
      <c r="H11" s="82"/>
      <c r="I11" s="83"/>
      <c r="J11" s="82" t="s">
        <v>82</v>
      </c>
      <c r="K11" s="82"/>
      <c r="L11" s="83"/>
      <c r="M11" s="82" t="s">
        <v>82</v>
      </c>
      <c r="N11" s="82"/>
      <c r="O11" s="83"/>
      <c r="P11" s="84" t="s">
        <v>82</v>
      </c>
      <c r="Q11" s="85"/>
      <c r="R11" s="85" t="s">
        <v>89</v>
      </c>
      <c r="S11" s="82">
        <v>1</v>
      </c>
      <c r="T11" s="82">
        <v>3000</v>
      </c>
      <c r="U11" s="83">
        <v>100</v>
      </c>
      <c r="V11" s="83">
        <v>100</v>
      </c>
      <c r="W11" s="83">
        <v>100</v>
      </c>
      <c r="X11" s="86">
        <v>42887</v>
      </c>
      <c r="Y11" s="87">
        <f t="shared" si="0"/>
        <v>300000</v>
      </c>
      <c r="Z11" s="85">
        <v>2021</v>
      </c>
      <c r="AA11" s="88">
        <v>85</v>
      </c>
      <c r="AB11" s="88">
        <v>551906</v>
      </c>
      <c r="AC11" s="83">
        <v>447.23627596003672</v>
      </c>
      <c r="AD11" s="83">
        <v>246832384.12000003</v>
      </c>
      <c r="AE11" s="83">
        <v>85</v>
      </c>
      <c r="AF11" s="83">
        <v>519.19000000000005</v>
      </c>
      <c r="AG11" s="85"/>
    </row>
    <row r="12" spans="1:33" ht="15.75" customHeight="1">
      <c r="A12" s="81">
        <v>42522</v>
      </c>
      <c r="B12" s="82">
        <v>5</v>
      </c>
      <c r="C12" s="82">
        <v>18705</v>
      </c>
      <c r="D12" s="83">
        <v>171.06923282544773</v>
      </c>
      <c r="E12" s="83">
        <v>160</v>
      </c>
      <c r="F12" s="83">
        <v>190</v>
      </c>
      <c r="G12" s="82" t="s">
        <v>82</v>
      </c>
      <c r="H12" s="82"/>
      <c r="I12" s="83"/>
      <c r="J12" s="82" t="s">
        <v>82</v>
      </c>
      <c r="K12" s="82"/>
      <c r="L12" s="83"/>
      <c r="M12" s="82" t="s">
        <v>82</v>
      </c>
      <c r="N12" s="82"/>
      <c r="O12" s="83"/>
      <c r="P12" s="84" t="s">
        <v>82</v>
      </c>
      <c r="Q12" s="85"/>
      <c r="R12" s="85" t="s">
        <v>90</v>
      </c>
      <c r="S12" s="82">
        <v>17</v>
      </c>
      <c r="T12" s="82">
        <v>173059</v>
      </c>
      <c r="U12" s="83">
        <v>166.6927232909008</v>
      </c>
      <c r="V12" s="83">
        <v>91</v>
      </c>
      <c r="W12" s="83">
        <v>185</v>
      </c>
      <c r="X12" s="86">
        <v>42979</v>
      </c>
      <c r="Y12" s="87">
        <f t="shared" si="0"/>
        <v>28847676</v>
      </c>
      <c r="Z12" s="85">
        <v>2022</v>
      </c>
      <c r="AA12" s="88">
        <v>118</v>
      </c>
      <c r="AB12" s="88">
        <v>948177</v>
      </c>
      <c r="AC12" s="83">
        <v>450.37327033876591</v>
      </c>
      <c r="AD12" s="83">
        <v>427033576.35000002</v>
      </c>
      <c r="AE12" s="83">
        <v>340</v>
      </c>
      <c r="AF12" s="83">
        <v>497.77</v>
      </c>
      <c r="AG12" s="85"/>
    </row>
    <row r="13" spans="1:33">
      <c r="A13" s="81">
        <v>42552</v>
      </c>
      <c r="B13" s="82">
        <v>5</v>
      </c>
      <c r="C13" s="82">
        <v>120000</v>
      </c>
      <c r="D13" s="83">
        <v>176.25</v>
      </c>
      <c r="E13" s="83">
        <v>165</v>
      </c>
      <c r="F13" s="83">
        <v>185</v>
      </c>
      <c r="G13" s="82" t="s">
        <v>82</v>
      </c>
      <c r="H13" s="82"/>
      <c r="I13" s="83"/>
      <c r="J13" s="82" t="s">
        <v>82</v>
      </c>
      <c r="K13" s="82"/>
      <c r="L13" s="83"/>
      <c r="M13" s="82" t="s">
        <v>82</v>
      </c>
      <c r="N13" s="82"/>
      <c r="O13" s="83"/>
      <c r="P13" s="84" t="s">
        <v>82</v>
      </c>
      <c r="Q13" s="85"/>
      <c r="R13" s="85" t="s">
        <v>91</v>
      </c>
      <c r="S13" s="82">
        <v>12</v>
      </c>
      <c r="T13" s="82">
        <v>63723</v>
      </c>
      <c r="U13" s="83">
        <v>161.47114448472294</v>
      </c>
      <c r="V13" s="83">
        <v>150</v>
      </c>
      <c r="W13" s="83">
        <v>170</v>
      </c>
      <c r="X13" s="86">
        <v>43070</v>
      </c>
      <c r="Y13" s="87">
        <f t="shared" si="0"/>
        <v>10289425.74</v>
      </c>
      <c r="Z13" s="85">
        <v>2023</v>
      </c>
      <c r="AA13" s="88">
        <v>154</v>
      </c>
      <c r="AB13" s="88">
        <v>1040608</v>
      </c>
      <c r="AC13" s="83">
        <v>471.59770472646744</v>
      </c>
      <c r="AD13" s="83">
        <v>490748344.31999981</v>
      </c>
      <c r="AE13" s="83">
        <v>200</v>
      </c>
      <c r="AF13" s="83">
        <v>510</v>
      </c>
      <c r="AG13" s="85"/>
    </row>
    <row r="14" spans="1:33">
      <c r="A14" s="81">
        <v>42583</v>
      </c>
      <c r="B14" s="82">
        <v>0</v>
      </c>
      <c r="C14" s="82">
        <v>0</v>
      </c>
      <c r="D14" s="83">
        <v>0</v>
      </c>
      <c r="E14" s="83">
        <v>0</v>
      </c>
      <c r="F14" s="83">
        <v>0</v>
      </c>
      <c r="G14" s="82" t="s">
        <v>82</v>
      </c>
      <c r="H14" s="82"/>
      <c r="I14" s="83"/>
      <c r="J14" s="82" t="s">
        <v>82</v>
      </c>
      <c r="K14" s="82"/>
      <c r="L14" s="83"/>
      <c r="M14" s="82" t="s">
        <v>82</v>
      </c>
      <c r="N14" s="82"/>
      <c r="O14" s="83"/>
      <c r="P14" s="84" t="s">
        <v>82</v>
      </c>
      <c r="Q14" s="85"/>
      <c r="R14" s="85" t="s">
        <v>92</v>
      </c>
      <c r="S14" s="82">
        <v>7</v>
      </c>
      <c r="T14" s="82">
        <v>71092</v>
      </c>
      <c r="U14" s="83">
        <v>159.23381393124404</v>
      </c>
      <c r="V14" s="83">
        <v>55</v>
      </c>
      <c r="W14" s="83">
        <v>176</v>
      </c>
      <c r="X14" s="86">
        <v>43160</v>
      </c>
      <c r="Y14" s="87">
        <f t="shared" si="0"/>
        <v>11320250.300000001</v>
      </c>
      <c r="Z14" s="85" t="s">
        <v>93</v>
      </c>
      <c r="AA14" s="88">
        <v>520</v>
      </c>
      <c r="AB14" s="88">
        <v>3795537</v>
      </c>
      <c r="AC14" s="83">
        <v>374.49588045644128</v>
      </c>
      <c r="AD14" s="83">
        <v>1421412970.6199999</v>
      </c>
      <c r="AE14" s="83">
        <v>20</v>
      </c>
      <c r="AF14" s="83">
        <v>519.19000000000005</v>
      </c>
      <c r="AG14" s="85"/>
    </row>
    <row r="15" spans="1:33">
      <c r="A15" s="81">
        <v>42614</v>
      </c>
      <c r="B15" s="82">
        <v>1</v>
      </c>
      <c r="C15" s="82">
        <v>3000</v>
      </c>
      <c r="D15" s="83">
        <v>100</v>
      </c>
      <c r="E15" s="83">
        <v>100</v>
      </c>
      <c r="F15" s="83">
        <v>100</v>
      </c>
      <c r="G15" s="82" t="s">
        <v>82</v>
      </c>
      <c r="H15" s="82"/>
      <c r="I15" s="83"/>
      <c r="J15" s="82" t="s">
        <v>82</v>
      </c>
      <c r="K15" s="82"/>
      <c r="L15" s="83"/>
      <c r="M15" s="82" t="s">
        <v>82</v>
      </c>
      <c r="N15" s="82"/>
      <c r="O15" s="83"/>
      <c r="P15" s="84" t="s">
        <v>82</v>
      </c>
      <c r="Q15" s="85"/>
      <c r="R15" s="85" t="s">
        <v>94</v>
      </c>
      <c r="S15" s="82">
        <v>2</v>
      </c>
      <c r="T15" s="82">
        <v>2741</v>
      </c>
      <c r="U15" s="83">
        <v>170.30426851514045</v>
      </c>
      <c r="V15" s="83">
        <v>165</v>
      </c>
      <c r="W15" s="83">
        <v>172</v>
      </c>
      <c r="X15" s="86">
        <v>43252</v>
      </c>
      <c r="Y15" s="87">
        <f t="shared" si="0"/>
        <v>466804</v>
      </c>
      <c r="Z15" s="85"/>
      <c r="AA15" s="82"/>
      <c r="AB15" s="82" t="s">
        <v>95</v>
      </c>
      <c r="AC15" s="83" t="s">
        <v>95</v>
      </c>
      <c r="AD15" s="83"/>
      <c r="AE15" s="83" t="s">
        <v>95</v>
      </c>
      <c r="AF15" s="83" t="s">
        <v>95</v>
      </c>
      <c r="AG15" s="85"/>
    </row>
    <row r="16" spans="1:33">
      <c r="A16" s="81">
        <v>42644</v>
      </c>
      <c r="B16" s="82">
        <v>0</v>
      </c>
      <c r="C16" s="82">
        <v>0</v>
      </c>
      <c r="D16" s="83">
        <v>0</v>
      </c>
      <c r="E16" s="83">
        <v>0</v>
      </c>
      <c r="F16" s="83">
        <v>0</v>
      </c>
      <c r="G16" s="82" t="s">
        <v>82</v>
      </c>
      <c r="H16" s="82"/>
      <c r="I16" s="83"/>
      <c r="J16" s="82" t="s">
        <v>82</v>
      </c>
      <c r="K16" s="82"/>
      <c r="L16" s="83"/>
      <c r="M16" s="82" t="s">
        <v>82</v>
      </c>
      <c r="N16" s="82"/>
      <c r="O16" s="83"/>
      <c r="P16" s="84" t="s">
        <v>82</v>
      </c>
      <c r="Q16" s="85"/>
      <c r="R16" s="85" t="s">
        <v>96</v>
      </c>
      <c r="S16" s="82">
        <v>9</v>
      </c>
      <c r="T16" s="82">
        <v>149571</v>
      </c>
      <c r="U16" s="83">
        <v>199.964507758857</v>
      </c>
      <c r="V16" s="83">
        <v>55</v>
      </c>
      <c r="W16" s="83">
        <v>207</v>
      </c>
      <c r="X16" s="86">
        <v>43344</v>
      </c>
      <c r="Y16" s="87">
        <f t="shared" si="0"/>
        <v>29908891.390000001</v>
      </c>
      <c r="Z16" s="85"/>
      <c r="AA16" s="82"/>
      <c r="AB16" s="82" t="s">
        <v>95</v>
      </c>
      <c r="AC16" s="83" t="s">
        <v>95</v>
      </c>
      <c r="AD16" s="83" t="s">
        <v>95</v>
      </c>
      <c r="AE16" s="83" t="s">
        <v>95</v>
      </c>
      <c r="AF16" s="83" t="s">
        <v>95</v>
      </c>
      <c r="AG16" s="85"/>
    </row>
    <row r="17" spans="1:33">
      <c r="A17" s="81">
        <v>42675</v>
      </c>
      <c r="B17" s="82">
        <v>0</v>
      </c>
      <c r="C17" s="82">
        <v>0</v>
      </c>
      <c r="D17" s="83">
        <v>0</v>
      </c>
      <c r="E17" s="83">
        <v>0</v>
      </c>
      <c r="F17" s="83">
        <v>0</v>
      </c>
      <c r="G17" s="82" t="s">
        <v>82</v>
      </c>
      <c r="H17" s="82"/>
      <c r="I17" s="83"/>
      <c r="J17" s="82" t="s">
        <v>82</v>
      </c>
      <c r="K17" s="82"/>
      <c r="L17" s="83"/>
      <c r="M17" s="82" t="s">
        <v>82</v>
      </c>
      <c r="N17" s="82"/>
      <c r="O17" s="83"/>
      <c r="P17" s="84" t="s">
        <v>82</v>
      </c>
      <c r="Q17" s="85"/>
      <c r="R17" s="85" t="s">
        <v>97</v>
      </c>
      <c r="S17" s="82">
        <v>30</v>
      </c>
      <c r="T17" s="82">
        <v>211817</v>
      </c>
      <c r="U17" s="83">
        <v>200.63670338074849</v>
      </c>
      <c r="V17" s="83">
        <v>164.3</v>
      </c>
      <c r="W17" s="83">
        <v>210.5</v>
      </c>
      <c r="X17" s="86">
        <v>43435</v>
      </c>
      <c r="Y17" s="87">
        <f t="shared" si="0"/>
        <v>42498264.600000001</v>
      </c>
      <c r="Z17" s="85"/>
      <c r="AA17" s="82"/>
      <c r="AB17" s="82" t="s">
        <v>95</v>
      </c>
      <c r="AC17" s="83" t="s">
        <v>95</v>
      </c>
      <c r="AD17" s="83" t="s">
        <v>95</v>
      </c>
      <c r="AE17" s="83" t="s">
        <v>95</v>
      </c>
      <c r="AF17" s="83" t="s">
        <v>95</v>
      </c>
      <c r="AG17" s="85"/>
    </row>
    <row r="18" spans="1:33">
      <c r="A18" s="81">
        <v>42705</v>
      </c>
      <c r="B18" s="82">
        <v>0</v>
      </c>
      <c r="C18" s="82">
        <v>0</v>
      </c>
      <c r="D18" s="83">
        <v>0</v>
      </c>
      <c r="E18" s="83">
        <v>0</v>
      </c>
      <c r="F18" s="83">
        <v>0</v>
      </c>
      <c r="G18" s="82" t="s">
        <v>82</v>
      </c>
      <c r="H18" s="82"/>
      <c r="I18" s="83"/>
      <c r="J18" s="82" t="s">
        <v>82</v>
      </c>
      <c r="K18" s="82"/>
      <c r="L18" s="83"/>
      <c r="M18" s="82" t="s">
        <v>82</v>
      </c>
      <c r="N18" s="82"/>
      <c r="O18" s="83"/>
      <c r="P18" s="84" t="s">
        <v>82</v>
      </c>
      <c r="Q18" s="85"/>
      <c r="R18" s="85" t="s">
        <v>98</v>
      </c>
      <c r="S18" s="82">
        <v>6</v>
      </c>
      <c r="T18" s="82">
        <v>48475</v>
      </c>
      <c r="U18" s="83">
        <v>178.46044352759154</v>
      </c>
      <c r="V18" s="83">
        <v>32.93</v>
      </c>
      <c r="W18" s="83">
        <v>200</v>
      </c>
      <c r="X18" s="86">
        <v>43525</v>
      </c>
      <c r="Y18" s="87">
        <f t="shared" si="0"/>
        <v>8650870</v>
      </c>
      <c r="Z18" s="85"/>
      <c r="AA18" s="82"/>
      <c r="AB18" s="82" t="s">
        <v>95</v>
      </c>
      <c r="AC18" s="83" t="s">
        <v>95</v>
      </c>
      <c r="AD18" s="83" t="s">
        <v>95</v>
      </c>
      <c r="AE18" s="83" t="s">
        <v>95</v>
      </c>
      <c r="AF18" s="83" t="s">
        <v>95</v>
      </c>
      <c r="AG18" s="85"/>
    </row>
    <row r="19" spans="1:33">
      <c r="A19" s="81">
        <v>42736</v>
      </c>
      <c r="B19" s="82">
        <v>0</v>
      </c>
      <c r="C19" s="82">
        <v>0</v>
      </c>
      <c r="D19" s="83">
        <v>0</v>
      </c>
      <c r="E19" s="83">
        <v>0</v>
      </c>
      <c r="F19" s="83">
        <v>0</v>
      </c>
      <c r="G19" s="82" t="s">
        <v>82</v>
      </c>
      <c r="H19" s="82"/>
      <c r="I19" s="83"/>
      <c r="J19" s="82" t="s">
        <v>82</v>
      </c>
      <c r="K19" s="82"/>
      <c r="L19" s="83"/>
      <c r="M19" s="82" t="s">
        <v>82</v>
      </c>
      <c r="N19" s="82"/>
      <c r="O19" s="83"/>
      <c r="P19" s="84" t="s">
        <v>82</v>
      </c>
      <c r="Q19" s="85"/>
      <c r="R19" s="85" t="s">
        <v>99</v>
      </c>
      <c r="S19" s="82">
        <v>4</v>
      </c>
      <c r="T19" s="82">
        <v>9412</v>
      </c>
      <c r="U19" s="83">
        <v>187.25031874203145</v>
      </c>
      <c r="V19" s="83">
        <v>176</v>
      </c>
      <c r="W19" s="83">
        <v>200</v>
      </c>
      <c r="X19" s="86">
        <v>43617</v>
      </c>
      <c r="Y19" s="87">
        <f t="shared" si="0"/>
        <v>1762400</v>
      </c>
      <c r="Z19" s="85"/>
      <c r="AA19" s="82"/>
      <c r="AB19" s="82" t="s">
        <v>95</v>
      </c>
      <c r="AC19" s="83" t="s">
        <v>95</v>
      </c>
      <c r="AD19" s="83" t="s">
        <v>95</v>
      </c>
      <c r="AE19" s="83" t="s">
        <v>95</v>
      </c>
      <c r="AF19" s="83" t="s">
        <v>95</v>
      </c>
      <c r="AG19" s="85"/>
    </row>
    <row r="20" spans="1:33">
      <c r="A20" s="81">
        <v>42767</v>
      </c>
      <c r="B20" s="82">
        <v>0</v>
      </c>
      <c r="C20" s="82">
        <v>0</v>
      </c>
      <c r="D20" s="83">
        <v>0</v>
      </c>
      <c r="E20" s="83">
        <v>0</v>
      </c>
      <c r="F20" s="83">
        <v>0</v>
      </c>
      <c r="G20" s="82" t="s">
        <v>82</v>
      </c>
      <c r="H20" s="82"/>
      <c r="I20" s="83"/>
      <c r="J20" s="82" t="s">
        <v>82</v>
      </c>
      <c r="K20" s="82"/>
      <c r="L20" s="83"/>
      <c r="M20" s="82" t="s">
        <v>82</v>
      </c>
      <c r="N20" s="82"/>
      <c r="O20" s="83"/>
      <c r="P20" s="84" t="s">
        <v>82</v>
      </c>
      <c r="Q20" s="85"/>
      <c r="R20" s="85" t="s">
        <v>100</v>
      </c>
      <c r="S20" s="82">
        <v>2</v>
      </c>
      <c r="T20" s="82">
        <v>5500</v>
      </c>
      <c r="U20" s="83">
        <v>178.18181818181819</v>
      </c>
      <c r="V20" s="83">
        <v>176</v>
      </c>
      <c r="W20" s="83">
        <v>200</v>
      </c>
      <c r="X20" s="86">
        <v>43709</v>
      </c>
      <c r="Y20" s="87">
        <f t="shared" si="0"/>
        <v>980000</v>
      </c>
      <c r="Z20" s="85"/>
      <c r="AA20" s="82"/>
      <c r="AB20" s="82" t="s">
        <v>95</v>
      </c>
      <c r="AC20" s="83" t="s">
        <v>95</v>
      </c>
      <c r="AD20" s="83" t="s">
        <v>95</v>
      </c>
      <c r="AE20" s="83" t="s">
        <v>95</v>
      </c>
      <c r="AF20" s="83" t="s">
        <v>95</v>
      </c>
      <c r="AG20" s="85"/>
    </row>
    <row r="21" spans="1:33">
      <c r="A21" s="81">
        <v>42795</v>
      </c>
      <c r="B21" s="82">
        <v>1</v>
      </c>
      <c r="C21" s="82">
        <v>382</v>
      </c>
      <c r="D21" s="83">
        <v>60</v>
      </c>
      <c r="E21" s="83">
        <v>60</v>
      </c>
      <c r="F21" s="83">
        <v>60</v>
      </c>
      <c r="G21" s="82" t="s">
        <v>82</v>
      </c>
      <c r="H21" s="82"/>
      <c r="I21" s="83"/>
      <c r="J21" s="82" t="s">
        <v>82</v>
      </c>
      <c r="K21" s="82"/>
      <c r="L21" s="83"/>
      <c r="M21" s="82" t="s">
        <v>82</v>
      </c>
      <c r="N21" s="82"/>
      <c r="O21" s="83"/>
      <c r="P21" s="84" t="s">
        <v>82</v>
      </c>
      <c r="Q21" s="85"/>
      <c r="R21" s="85" t="s">
        <v>101</v>
      </c>
      <c r="S21" s="82">
        <v>23</v>
      </c>
      <c r="T21" s="82">
        <v>200125</v>
      </c>
      <c r="U21" s="83">
        <v>297.70899952529669</v>
      </c>
      <c r="V21" s="83">
        <v>176</v>
      </c>
      <c r="W21" s="83">
        <v>324.08</v>
      </c>
      <c r="X21" s="86">
        <v>43800</v>
      </c>
      <c r="Y21" s="87">
        <f t="shared" si="0"/>
        <v>59579013.530000001</v>
      </c>
      <c r="Z21" s="85"/>
      <c r="AA21" s="82"/>
      <c r="AB21" s="82" t="s">
        <v>95</v>
      </c>
      <c r="AC21" s="83"/>
      <c r="AD21" s="83" t="s">
        <v>95</v>
      </c>
      <c r="AE21" s="83" t="s">
        <v>95</v>
      </c>
      <c r="AF21" s="83" t="s">
        <v>95</v>
      </c>
      <c r="AG21" s="85"/>
    </row>
    <row r="22" spans="1:33">
      <c r="A22" s="81">
        <v>42826</v>
      </c>
      <c r="B22" s="82">
        <v>0</v>
      </c>
      <c r="C22" s="82">
        <v>0</v>
      </c>
      <c r="D22" s="83">
        <v>0</v>
      </c>
      <c r="E22" s="83">
        <v>0</v>
      </c>
      <c r="F22" s="83">
        <v>0</v>
      </c>
      <c r="G22" s="82" t="s">
        <v>82</v>
      </c>
      <c r="H22" s="82"/>
      <c r="I22" s="83"/>
      <c r="J22" s="82" t="s">
        <v>82</v>
      </c>
      <c r="K22" s="82"/>
      <c r="L22" s="83"/>
      <c r="M22" s="82" t="s">
        <v>82</v>
      </c>
      <c r="N22" s="82"/>
      <c r="O22" s="83"/>
      <c r="P22" s="84" t="s">
        <v>82</v>
      </c>
      <c r="Q22" s="85"/>
      <c r="R22" s="85" t="s">
        <v>102</v>
      </c>
      <c r="S22" s="82">
        <v>9</v>
      </c>
      <c r="T22" s="82">
        <v>30233</v>
      </c>
      <c r="U22" s="83">
        <v>235.48953130685013</v>
      </c>
      <c r="V22" s="83">
        <v>32.5</v>
      </c>
      <c r="W22" s="83">
        <v>345</v>
      </c>
      <c r="X22" s="86">
        <v>43891</v>
      </c>
      <c r="Y22" s="87">
        <f t="shared" si="0"/>
        <v>7119555</v>
      </c>
      <c r="Z22" s="85"/>
      <c r="AA22" s="82"/>
      <c r="AB22" s="82"/>
      <c r="AC22" s="83"/>
      <c r="AD22" s="83"/>
      <c r="AE22" s="83"/>
      <c r="AF22" s="83"/>
      <c r="AG22" s="85"/>
    </row>
    <row r="23" spans="1:33">
      <c r="A23" s="81">
        <v>42856</v>
      </c>
      <c r="B23" s="82">
        <v>1</v>
      </c>
      <c r="C23" s="82">
        <v>3000</v>
      </c>
      <c r="D23" s="83">
        <v>100</v>
      </c>
      <c r="E23" s="83">
        <v>100</v>
      </c>
      <c r="F23" s="83">
        <v>100</v>
      </c>
      <c r="G23" s="82" t="s">
        <v>82</v>
      </c>
      <c r="H23" s="82"/>
      <c r="I23" s="83"/>
      <c r="J23" s="82" t="s">
        <v>82</v>
      </c>
      <c r="K23" s="82"/>
      <c r="L23" s="83"/>
      <c r="M23" s="82" t="s">
        <v>82</v>
      </c>
      <c r="N23" s="82"/>
      <c r="O23" s="83"/>
      <c r="P23" s="84" t="s">
        <v>82</v>
      </c>
      <c r="Q23" s="85"/>
      <c r="R23" s="85" t="s">
        <v>103</v>
      </c>
      <c r="S23" s="82">
        <v>8</v>
      </c>
      <c r="T23" s="82">
        <v>41630</v>
      </c>
      <c r="U23" s="83">
        <v>206.23472736007685</v>
      </c>
      <c r="V23" s="83">
        <v>85</v>
      </c>
      <c r="W23" s="83">
        <v>330.45</v>
      </c>
      <c r="X23" s="86">
        <v>43983</v>
      </c>
      <c r="Y23" s="87">
        <f t="shared" si="0"/>
        <v>8585551.6999999993</v>
      </c>
      <c r="Z23" s="85"/>
      <c r="AA23" s="82"/>
      <c r="AB23" s="82"/>
      <c r="AC23" s="83"/>
      <c r="AD23" s="83"/>
      <c r="AE23" s="83"/>
      <c r="AF23" s="83"/>
      <c r="AG23" s="85"/>
    </row>
    <row r="24" spans="1:33">
      <c r="A24" s="81">
        <v>42887</v>
      </c>
      <c r="B24" s="82">
        <v>0</v>
      </c>
      <c r="C24" s="82">
        <v>0</v>
      </c>
      <c r="D24" s="83">
        <v>0</v>
      </c>
      <c r="E24" s="83">
        <v>0</v>
      </c>
      <c r="F24" s="83">
        <v>0</v>
      </c>
      <c r="G24" s="82" t="s">
        <v>82</v>
      </c>
      <c r="H24" s="82"/>
      <c r="I24" s="83"/>
      <c r="J24" s="82" t="s">
        <v>82</v>
      </c>
      <c r="K24" s="82"/>
      <c r="L24" s="83"/>
      <c r="M24" s="82" t="s">
        <v>82</v>
      </c>
      <c r="N24" s="82"/>
      <c r="O24" s="83"/>
      <c r="P24" s="84" t="s">
        <v>82</v>
      </c>
      <c r="Q24" s="85"/>
      <c r="R24" s="85" t="s">
        <v>104</v>
      </c>
      <c r="S24" s="82">
        <v>2</v>
      </c>
      <c r="T24" s="82">
        <v>6762</v>
      </c>
      <c r="U24" s="83">
        <v>337.5044365572316</v>
      </c>
      <c r="V24" s="83">
        <v>335</v>
      </c>
      <c r="W24" s="83">
        <v>340</v>
      </c>
      <c r="X24" s="86">
        <v>44075</v>
      </c>
      <c r="Y24" s="87">
        <f t="shared" si="0"/>
        <v>2282205</v>
      </c>
      <c r="Z24" s="85"/>
      <c r="AA24" s="82"/>
      <c r="AB24" s="82"/>
      <c r="AC24" s="83"/>
      <c r="AD24" s="83"/>
      <c r="AE24" s="83"/>
      <c r="AF24" s="83"/>
      <c r="AG24" s="85"/>
    </row>
    <row r="25" spans="1:33">
      <c r="A25" s="81">
        <v>42917</v>
      </c>
      <c r="B25" s="82">
        <v>10</v>
      </c>
      <c r="C25" s="82">
        <v>134000</v>
      </c>
      <c r="D25" s="83">
        <v>169.56716417910448</v>
      </c>
      <c r="E25" s="83">
        <v>162</v>
      </c>
      <c r="F25" s="83">
        <v>185</v>
      </c>
      <c r="G25" s="82" t="s">
        <v>82</v>
      </c>
      <c r="H25" s="82"/>
      <c r="I25" s="83"/>
      <c r="J25" s="82" t="s">
        <v>82</v>
      </c>
      <c r="K25" s="82"/>
      <c r="L25" s="83"/>
      <c r="M25" s="82" t="s">
        <v>82</v>
      </c>
      <c r="N25" s="82"/>
      <c r="O25" s="83"/>
      <c r="P25" s="84" t="s">
        <v>82</v>
      </c>
      <c r="Q25" s="85"/>
      <c r="R25" s="85" t="s">
        <v>105</v>
      </c>
      <c r="S25" s="82">
        <v>13</v>
      </c>
      <c r="T25" s="82">
        <v>24265</v>
      </c>
      <c r="U25" s="83">
        <v>320.64943622501545</v>
      </c>
      <c r="V25" s="83">
        <v>147.5</v>
      </c>
      <c r="W25" s="83">
        <v>385.2</v>
      </c>
      <c r="X25" s="86">
        <v>44166</v>
      </c>
      <c r="Y25" s="87">
        <f t="shared" si="0"/>
        <v>7780558.5700000003</v>
      </c>
      <c r="Z25" s="85"/>
      <c r="AA25" s="82"/>
      <c r="AB25" s="82"/>
      <c r="AC25" s="83"/>
      <c r="AD25" s="83"/>
      <c r="AE25" s="83"/>
      <c r="AF25" s="83"/>
      <c r="AG25" s="85"/>
    </row>
    <row r="26" spans="1:33">
      <c r="A26" s="81">
        <v>42948</v>
      </c>
      <c r="B26" s="82">
        <v>7</v>
      </c>
      <c r="C26" s="82">
        <v>39059</v>
      </c>
      <c r="D26" s="83">
        <v>156.831357689649</v>
      </c>
      <c r="E26" s="83">
        <v>91</v>
      </c>
      <c r="F26" s="83">
        <v>170.5</v>
      </c>
      <c r="G26" s="82" t="s">
        <v>82</v>
      </c>
      <c r="H26" s="82"/>
      <c r="I26" s="83"/>
      <c r="J26" s="82" t="s">
        <v>82</v>
      </c>
      <c r="K26" s="82"/>
      <c r="L26" s="83"/>
      <c r="M26" s="82" t="s">
        <v>82</v>
      </c>
      <c r="N26" s="82"/>
      <c r="O26" s="83"/>
      <c r="P26" s="84" t="s">
        <v>82</v>
      </c>
      <c r="Q26" s="85"/>
      <c r="R26" s="85" t="s">
        <v>106</v>
      </c>
      <c r="S26" s="82">
        <v>30</v>
      </c>
      <c r="T26" s="82">
        <v>214263</v>
      </c>
      <c r="U26" s="83">
        <v>410.7252018313942</v>
      </c>
      <c r="V26" s="83">
        <v>85</v>
      </c>
      <c r="W26" s="83">
        <v>457</v>
      </c>
      <c r="X26" s="86">
        <v>44256</v>
      </c>
      <c r="Y26" s="87">
        <f t="shared" si="0"/>
        <v>88003213.920000017</v>
      </c>
      <c r="Z26" s="85"/>
      <c r="AA26" s="82"/>
      <c r="AB26" s="82"/>
      <c r="AC26" s="83"/>
      <c r="AD26" s="83"/>
      <c r="AE26" s="83"/>
      <c r="AF26" s="83"/>
      <c r="AG26" s="85"/>
    </row>
    <row r="27" spans="1:33">
      <c r="A27" s="81">
        <v>42979</v>
      </c>
      <c r="B27" s="82">
        <v>0</v>
      </c>
      <c r="C27" s="82">
        <v>0</v>
      </c>
      <c r="D27" s="83">
        <v>0</v>
      </c>
      <c r="E27" s="83">
        <v>0</v>
      </c>
      <c r="F27" s="83">
        <v>0</v>
      </c>
      <c r="G27" s="82" t="s">
        <v>82</v>
      </c>
      <c r="H27" s="82"/>
      <c r="I27" s="83"/>
      <c r="J27" s="82" t="s">
        <v>82</v>
      </c>
      <c r="K27" s="82"/>
      <c r="L27" s="83"/>
      <c r="M27" s="82" t="s">
        <v>82</v>
      </c>
      <c r="N27" s="82"/>
      <c r="O27" s="83"/>
      <c r="P27" s="84" t="s">
        <v>82</v>
      </c>
      <c r="Q27" s="85"/>
      <c r="R27" s="85" t="s">
        <v>107</v>
      </c>
      <c r="S27" s="82">
        <v>19</v>
      </c>
      <c r="T27" s="82">
        <v>44710</v>
      </c>
      <c r="U27" s="83">
        <v>421.08611048982328</v>
      </c>
      <c r="V27" s="83">
        <v>345</v>
      </c>
      <c r="W27" s="83">
        <v>493.5</v>
      </c>
      <c r="X27" s="86">
        <v>44348</v>
      </c>
      <c r="Y27" s="87">
        <f t="shared" si="0"/>
        <v>18826760</v>
      </c>
      <c r="Z27" s="85"/>
      <c r="AA27" s="82"/>
      <c r="AB27" s="82"/>
      <c r="AC27" s="83"/>
      <c r="AD27" s="83"/>
      <c r="AE27" s="83"/>
      <c r="AF27" s="83"/>
      <c r="AG27" s="85"/>
    </row>
    <row r="28" spans="1:33">
      <c r="A28" s="81">
        <v>43009</v>
      </c>
      <c r="B28" s="82">
        <v>3</v>
      </c>
      <c r="C28" s="82">
        <v>30892</v>
      </c>
      <c r="D28" s="83">
        <v>159.30855885018775</v>
      </c>
      <c r="E28" s="83">
        <v>150</v>
      </c>
      <c r="F28" s="83">
        <v>170</v>
      </c>
      <c r="G28" s="82" t="s">
        <v>82</v>
      </c>
      <c r="H28" s="82"/>
      <c r="I28" s="83"/>
      <c r="J28" s="82" t="s">
        <v>82</v>
      </c>
      <c r="K28" s="82"/>
      <c r="L28" s="83"/>
      <c r="M28" s="82" t="s">
        <v>82</v>
      </c>
      <c r="N28" s="82"/>
      <c r="O28" s="83"/>
      <c r="P28" s="84" t="s">
        <v>82</v>
      </c>
      <c r="Q28" s="85"/>
      <c r="R28" s="85" t="s">
        <v>108</v>
      </c>
      <c r="S28" s="82">
        <v>15</v>
      </c>
      <c r="T28" s="82">
        <v>142529</v>
      </c>
      <c r="U28" s="83">
        <v>472.3218502901164</v>
      </c>
      <c r="V28" s="83">
        <v>425</v>
      </c>
      <c r="W28" s="83">
        <v>495</v>
      </c>
      <c r="X28" s="86">
        <v>44440</v>
      </c>
      <c r="Y28" s="87">
        <f t="shared" si="0"/>
        <v>67319561</v>
      </c>
      <c r="Z28" s="85"/>
      <c r="AA28" s="82"/>
      <c r="AB28" s="82"/>
      <c r="AC28" s="83"/>
      <c r="AD28" s="83"/>
      <c r="AE28" s="83"/>
      <c r="AF28" s="83"/>
      <c r="AG28" s="85"/>
    </row>
    <row r="29" spans="1:33">
      <c r="A29" s="81">
        <v>43040</v>
      </c>
      <c r="B29" s="82">
        <v>0</v>
      </c>
      <c r="C29" s="82">
        <v>0</v>
      </c>
      <c r="D29" s="83">
        <v>0</v>
      </c>
      <c r="E29" s="83">
        <v>0</v>
      </c>
      <c r="F29" s="83">
        <v>0</v>
      </c>
      <c r="G29" s="82" t="s">
        <v>82</v>
      </c>
      <c r="H29" s="82"/>
      <c r="I29" s="83"/>
      <c r="J29" s="82" t="s">
        <v>82</v>
      </c>
      <c r="K29" s="82"/>
      <c r="L29" s="83"/>
      <c r="M29" s="82" t="s">
        <v>82</v>
      </c>
      <c r="N29" s="82"/>
      <c r="O29" s="83"/>
      <c r="P29" s="84" t="s">
        <v>82</v>
      </c>
      <c r="Q29" s="85"/>
      <c r="R29" s="85" t="s">
        <v>109</v>
      </c>
      <c r="S29" s="82">
        <v>21</v>
      </c>
      <c r="T29" s="82">
        <v>150404</v>
      </c>
      <c r="U29" s="83">
        <v>483.25077258583548</v>
      </c>
      <c r="V29" s="83">
        <v>345</v>
      </c>
      <c r="W29" s="83">
        <v>519.19000000000005</v>
      </c>
      <c r="X29" s="86">
        <v>44531</v>
      </c>
      <c r="Y29" s="87">
        <f t="shared" si="0"/>
        <v>72682849.200000003</v>
      </c>
      <c r="Z29" s="85"/>
      <c r="AA29" s="82"/>
      <c r="AB29" s="82"/>
      <c r="AC29" s="83"/>
      <c r="AD29" s="83"/>
      <c r="AE29" s="83"/>
      <c r="AF29" s="83"/>
      <c r="AG29" s="85"/>
    </row>
    <row r="30" spans="1:33">
      <c r="A30" s="81">
        <v>43070</v>
      </c>
      <c r="B30" s="82">
        <v>9</v>
      </c>
      <c r="C30" s="82">
        <v>32831</v>
      </c>
      <c r="D30" s="83">
        <v>163.50600773659042</v>
      </c>
      <c r="E30" s="83">
        <v>158.34</v>
      </c>
      <c r="F30" s="83">
        <v>165</v>
      </c>
      <c r="G30" s="82" t="s">
        <v>82</v>
      </c>
      <c r="H30" s="82"/>
      <c r="I30" s="83"/>
      <c r="J30" s="82" t="s">
        <v>82</v>
      </c>
      <c r="K30" s="82"/>
      <c r="L30" s="83"/>
      <c r="M30" s="82" t="s">
        <v>82</v>
      </c>
      <c r="N30" s="82"/>
      <c r="O30" s="83"/>
      <c r="P30" s="84" t="s">
        <v>82</v>
      </c>
      <c r="Q30" s="85"/>
      <c r="R30" s="85" t="s">
        <v>110</v>
      </c>
      <c r="S30" s="82">
        <v>27</v>
      </c>
      <c r="T30" s="82">
        <v>247755</v>
      </c>
      <c r="U30" s="83">
        <v>467.31981788460376</v>
      </c>
      <c r="V30" s="83">
        <v>345</v>
      </c>
      <c r="W30" s="83">
        <v>497.77</v>
      </c>
      <c r="X30" s="86">
        <v>44621</v>
      </c>
      <c r="Y30" s="87">
        <f t="shared" si="0"/>
        <v>115780821.48</v>
      </c>
      <c r="Z30" s="85"/>
      <c r="AA30" s="82"/>
      <c r="AB30" s="82"/>
      <c r="AC30" s="83"/>
      <c r="AD30" s="83"/>
      <c r="AE30" s="83"/>
      <c r="AF30" s="83"/>
      <c r="AG30" s="85"/>
    </row>
    <row r="31" spans="1:33">
      <c r="A31" s="81">
        <v>43101</v>
      </c>
      <c r="B31" s="82">
        <v>2</v>
      </c>
      <c r="C31" s="82">
        <v>14038</v>
      </c>
      <c r="D31" s="83">
        <v>169.72576577860093</v>
      </c>
      <c r="E31" s="83">
        <v>167.26</v>
      </c>
      <c r="F31" s="83">
        <v>170</v>
      </c>
      <c r="G31" s="82" t="s">
        <v>82</v>
      </c>
      <c r="H31" s="82"/>
      <c r="I31" s="83"/>
      <c r="J31" s="82" t="s">
        <v>82</v>
      </c>
      <c r="K31" s="82"/>
      <c r="L31" s="83"/>
      <c r="M31" s="82" t="s">
        <v>82</v>
      </c>
      <c r="N31" s="82"/>
      <c r="O31" s="83"/>
      <c r="P31" s="84" t="s">
        <v>82</v>
      </c>
      <c r="Q31" s="85"/>
      <c r="R31" s="85" t="s">
        <v>111</v>
      </c>
      <c r="S31" s="82">
        <v>8</v>
      </c>
      <c r="T31" s="82">
        <v>28060</v>
      </c>
      <c r="U31" s="83">
        <v>402.59034212401997</v>
      </c>
      <c r="V31" s="83">
        <v>340</v>
      </c>
      <c r="W31" s="83">
        <v>485</v>
      </c>
      <c r="X31" s="86">
        <v>44713</v>
      </c>
      <c r="Y31" s="87">
        <f t="shared" si="0"/>
        <v>11296685</v>
      </c>
      <c r="Z31" s="85"/>
      <c r="AA31" s="82"/>
      <c r="AB31" s="82"/>
      <c r="AC31" s="83"/>
      <c r="AD31" s="83"/>
      <c r="AE31" s="83"/>
      <c r="AF31" s="83"/>
      <c r="AG31" s="85"/>
    </row>
    <row r="32" spans="1:33">
      <c r="A32" s="81">
        <v>43132</v>
      </c>
      <c r="B32" s="82">
        <v>1</v>
      </c>
      <c r="C32" s="82">
        <v>954</v>
      </c>
      <c r="D32" s="83">
        <v>165</v>
      </c>
      <c r="E32" s="83">
        <v>165</v>
      </c>
      <c r="F32" s="83">
        <v>165</v>
      </c>
      <c r="G32" s="82" t="s">
        <v>82</v>
      </c>
      <c r="H32" s="82"/>
      <c r="I32" s="83"/>
      <c r="J32" s="82" t="s">
        <v>82</v>
      </c>
      <c r="K32" s="82"/>
      <c r="L32" s="83"/>
      <c r="M32" s="82" t="s">
        <v>82</v>
      </c>
      <c r="N32" s="82"/>
      <c r="O32" s="83"/>
      <c r="P32" s="84" t="s">
        <v>82</v>
      </c>
      <c r="Q32" s="85"/>
      <c r="R32" s="85" t="s">
        <v>112</v>
      </c>
      <c r="S32" s="82">
        <v>37</v>
      </c>
      <c r="T32" s="82">
        <v>364882</v>
      </c>
      <c r="U32" s="83">
        <v>447.9670688058057</v>
      </c>
      <c r="V32" s="83">
        <v>400</v>
      </c>
      <c r="W32" s="83">
        <v>490</v>
      </c>
      <c r="X32" s="86">
        <v>44805</v>
      </c>
      <c r="Y32" s="87">
        <f t="shared" si="0"/>
        <v>163455120</v>
      </c>
      <c r="Z32" s="85"/>
      <c r="AA32" s="82"/>
      <c r="AB32" s="82"/>
      <c r="AC32" s="83"/>
      <c r="AD32" s="83"/>
      <c r="AE32" s="83"/>
      <c r="AF32" s="83"/>
      <c r="AG32" s="85"/>
    </row>
    <row r="33" spans="1:33">
      <c r="A33" s="81">
        <v>43160</v>
      </c>
      <c r="B33" s="82">
        <v>4</v>
      </c>
      <c r="C33" s="82">
        <v>56100</v>
      </c>
      <c r="D33" s="83">
        <v>156.51033868092691</v>
      </c>
      <c r="E33" s="83">
        <v>55</v>
      </c>
      <c r="F33" s="83">
        <v>176</v>
      </c>
      <c r="G33" s="82" t="s">
        <v>82</v>
      </c>
      <c r="H33" s="82"/>
      <c r="I33" s="83"/>
      <c r="J33" s="82" t="s">
        <v>82</v>
      </c>
      <c r="K33" s="82"/>
      <c r="L33" s="83"/>
      <c r="M33" s="82" t="s">
        <v>82</v>
      </c>
      <c r="N33" s="82"/>
      <c r="O33" s="83"/>
      <c r="P33" s="84" t="s">
        <v>82</v>
      </c>
      <c r="Q33" s="85"/>
      <c r="R33" s="85" t="s">
        <v>113</v>
      </c>
      <c r="S33" s="82">
        <v>46</v>
      </c>
      <c r="T33" s="82">
        <v>307480</v>
      </c>
      <c r="U33" s="83">
        <v>443.93440181475222</v>
      </c>
      <c r="V33" s="83">
        <v>340</v>
      </c>
      <c r="W33" s="83">
        <v>480</v>
      </c>
      <c r="X33" s="86">
        <v>44896</v>
      </c>
      <c r="Y33" s="87">
        <f t="shared" si="0"/>
        <v>136500949.87</v>
      </c>
      <c r="Z33" s="85"/>
      <c r="AA33" s="82"/>
      <c r="AB33" s="82"/>
      <c r="AC33" s="83"/>
      <c r="AD33" s="83"/>
      <c r="AE33" s="83"/>
      <c r="AF33" s="83"/>
      <c r="AG33" s="85"/>
    </row>
    <row r="34" spans="1:33">
      <c r="A34" s="81">
        <v>43191</v>
      </c>
      <c r="B34" s="82">
        <v>0</v>
      </c>
      <c r="C34" s="82">
        <v>0</v>
      </c>
      <c r="D34" s="83">
        <v>0</v>
      </c>
      <c r="E34" s="83">
        <v>0</v>
      </c>
      <c r="F34" s="83">
        <v>0</v>
      </c>
      <c r="G34" s="82" t="s">
        <v>82</v>
      </c>
      <c r="H34" s="82"/>
      <c r="I34" s="83"/>
      <c r="J34" s="82" t="s">
        <v>82</v>
      </c>
      <c r="K34" s="82"/>
      <c r="L34" s="83"/>
      <c r="M34" s="82" t="s">
        <v>82</v>
      </c>
      <c r="N34" s="82"/>
      <c r="O34" s="83"/>
      <c r="P34" s="84" t="s">
        <v>82</v>
      </c>
      <c r="Q34" s="85"/>
      <c r="R34" s="85" t="s">
        <v>114</v>
      </c>
      <c r="S34" s="82">
        <v>37</v>
      </c>
      <c r="T34" s="82">
        <v>363881</v>
      </c>
      <c r="U34" s="83">
        <v>449.20215721623276</v>
      </c>
      <c r="V34" s="83">
        <v>310</v>
      </c>
      <c r="W34" s="83">
        <v>482</v>
      </c>
      <c r="X34" s="86">
        <v>44986</v>
      </c>
      <c r="Y34" s="87">
        <f t="shared" si="0"/>
        <v>163456130.16999999</v>
      </c>
      <c r="Z34" s="85"/>
      <c r="AA34" s="82"/>
      <c r="AB34" s="82"/>
      <c r="AC34" s="83"/>
      <c r="AD34" s="83"/>
      <c r="AE34" s="83"/>
      <c r="AF34" s="83"/>
      <c r="AG34" s="85"/>
    </row>
    <row r="35" spans="1:33">
      <c r="A35" s="81">
        <v>43221</v>
      </c>
      <c r="B35" s="82">
        <v>1</v>
      </c>
      <c r="C35" s="82">
        <v>664</v>
      </c>
      <c r="D35" s="83">
        <v>165</v>
      </c>
      <c r="E35" s="83">
        <v>165</v>
      </c>
      <c r="F35" s="83">
        <v>165</v>
      </c>
      <c r="G35" s="82" t="s">
        <v>82</v>
      </c>
      <c r="H35" s="82"/>
      <c r="I35" s="83"/>
      <c r="J35" s="82" t="s">
        <v>82</v>
      </c>
      <c r="K35" s="82"/>
      <c r="L35" s="83"/>
      <c r="M35" s="82" t="s">
        <v>82</v>
      </c>
      <c r="N35" s="82"/>
      <c r="O35" s="83"/>
      <c r="P35" s="84" t="s">
        <v>82</v>
      </c>
      <c r="Q35" s="85"/>
      <c r="R35" s="85" t="s">
        <v>115</v>
      </c>
      <c r="S35" s="82">
        <v>19</v>
      </c>
      <c r="T35" s="82">
        <v>222798</v>
      </c>
      <c r="U35" s="83">
        <v>469.78751941220298</v>
      </c>
      <c r="V35" s="83">
        <v>422</v>
      </c>
      <c r="W35" s="83">
        <v>481</v>
      </c>
      <c r="X35" s="86">
        <v>45078</v>
      </c>
      <c r="Y35" s="87">
        <f t="shared" si="0"/>
        <v>104667719.75</v>
      </c>
      <c r="Z35" s="85"/>
      <c r="AA35" s="82"/>
      <c r="AB35" s="82"/>
      <c r="AC35" s="83"/>
      <c r="AD35" s="83"/>
      <c r="AE35" s="83"/>
      <c r="AF35" s="83"/>
      <c r="AG35" s="85"/>
    </row>
    <row r="36" spans="1:33">
      <c r="A36" s="81">
        <v>43252</v>
      </c>
      <c r="B36" s="82">
        <v>1</v>
      </c>
      <c r="C36" s="82">
        <v>2077</v>
      </c>
      <c r="D36" s="83">
        <v>172</v>
      </c>
      <c r="E36" s="83">
        <v>172</v>
      </c>
      <c r="F36" s="83">
        <v>172</v>
      </c>
      <c r="G36" s="82" t="s">
        <v>82</v>
      </c>
      <c r="H36" s="82"/>
      <c r="I36" s="83"/>
      <c r="J36" s="82" t="s">
        <v>82</v>
      </c>
      <c r="K36" s="82"/>
      <c r="L36" s="83"/>
      <c r="M36" s="82" t="s">
        <v>82</v>
      </c>
      <c r="N36" s="82"/>
      <c r="O36" s="83"/>
      <c r="P36" s="84" t="s">
        <v>82</v>
      </c>
      <c r="Q36" s="85"/>
      <c r="R36" s="85" t="s">
        <v>116</v>
      </c>
      <c r="S36" s="82">
        <v>72</v>
      </c>
      <c r="T36" s="82">
        <v>260066</v>
      </c>
      <c r="U36" s="83">
        <v>486.02337418193838</v>
      </c>
      <c r="V36" s="83">
        <v>200</v>
      </c>
      <c r="W36" s="83">
        <v>510</v>
      </c>
      <c r="X36" s="86">
        <v>45170</v>
      </c>
      <c r="Y36" s="87">
        <f t="shared" si="0"/>
        <v>126398154.82999998</v>
      </c>
      <c r="Z36" s="85"/>
      <c r="AA36" s="82"/>
      <c r="AB36" s="82"/>
      <c r="AC36" s="83"/>
      <c r="AD36" s="83"/>
      <c r="AE36" s="83"/>
      <c r="AF36" s="83"/>
      <c r="AG36" s="85"/>
    </row>
    <row r="37" spans="1:33">
      <c r="A37" s="81">
        <v>43282</v>
      </c>
      <c r="B37" s="82">
        <v>8</v>
      </c>
      <c r="C37" s="82">
        <v>149064</v>
      </c>
      <c r="D37" s="83">
        <v>200.09193292813825</v>
      </c>
      <c r="E37" s="83">
        <v>55</v>
      </c>
      <c r="F37" s="83">
        <v>207</v>
      </c>
      <c r="G37" s="82" t="s">
        <v>82</v>
      </c>
      <c r="H37" s="82"/>
      <c r="I37" s="83"/>
      <c r="J37" s="82" t="s">
        <v>82</v>
      </c>
      <c r="K37" s="82"/>
      <c r="L37" s="83"/>
      <c r="M37" s="82" t="s">
        <v>82</v>
      </c>
      <c r="N37" s="82"/>
      <c r="O37" s="83"/>
      <c r="P37" s="84" t="s">
        <v>82</v>
      </c>
      <c r="Q37" s="85"/>
      <c r="R37" s="85" t="s">
        <v>117</v>
      </c>
      <c r="S37" s="82">
        <v>26</v>
      </c>
      <c r="T37" s="82">
        <v>193863</v>
      </c>
      <c r="U37" s="83">
        <v>496.36258373181056</v>
      </c>
      <c r="V37" s="83">
        <v>450</v>
      </c>
      <c r="W37" s="83">
        <v>510</v>
      </c>
      <c r="X37" s="86">
        <v>45261</v>
      </c>
      <c r="Y37" s="87">
        <f>U37*T37</f>
        <v>96226339.569999993</v>
      </c>
      <c r="Z37" s="85"/>
      <c r="AA37" s="82"/>
      <c r="AB37" s="82"/>
      <c r="AC37" s="83"/>
      <c r="AD37" s="83"/>
      <c r="AE37" s="83"/>
      <c r="AF37" s="83"/>
      <c r="AG37" s="85"/>
    </row>
    <row r="38" spans="1:33">
      <c r="A38" s="81">
        <v>43313</v>
      </c>
      <c r="B38" s="82">
        <v>0</v>
      </c>
      <c r="C38" s="82">
        <v>0</v>
      </c>
      <c r="D38" s="83">
        <v>0</v>
      </c>
      <c r="E38" s="83">
        <v>0</v>
      </c>
      <c r="F38" s="83">
        <v>0</v>
      </c>
      <c r="G38" s="82" t="s">
        <v>82</v>
      </c>
      <c r="H38" s="82"/>
      <c r="I38" s="83"/>
      <c r="J38" s="82" t="s">
        <v>82</v>
      </c>
      <c r="K38" s="82"/>
      <c r="L38" s="83"/>
      <c r="M38" s="82" t="s">
        <v>82</v>
      </c>
      <c r="N38" s="82"/>
      <c r="O38" s="83"/>
      <c r="P38" s="84" t="s">
        <v>82</v>
      </c>
      <c r="Q38" s="85"/>
      <c r="R38" s="85"/>
      <c r="S38" s="82"/>
      <c r="T38" s="82" t="s">
        <v>95</v>
      </c>
      <c r="U38" s="83" t="s">
        <v>95</v>
      </c>
      <c r="V38" s="83" t="s">
        <v>95</v>
      </c>
      <c r="W38" s="83" t="s">
        <v>95</v>
      </c>
      <c r="X38" s="86"/>
      <c r="Y38" s="86"/>
      <c r="Z38" s="85"/>
      <c r="AA38" s="82"/>
      <c r="AB38" s="82"/>
      <c r="AC38" s="83"/>
      <c r="AD38" s="83"/>
      <c r="AE38" s="83"/>
      <c r="AF38" s="83"/>
      <c r="AG38" s="85"/>
    </row>
    <row r="39" spans="1:33">
      <c r="A39" s="81">
        <v>43344</v>
      </c>
      <c r="B39" s="82">
        <v>1</v>
      </c>
      <c r="C39" s="82">
        <v>507</v>
      </c>
      <c r="D39" s="83">
        <v>162.5</v>
      </c>
      <c r="E39" s="83">
        <v>162.5</v>
      </c>
      <c r="F39" s="83">
        <v>162.5</v>
      </c>
      <c r="G39" s="82" t="s">
        <v>82</v>
      </c>
      <c r="H39" s="82"/>
      <c r="I39" s="83"/>
      <c r="J39" s="82" t="s">
        <v>82</v>
      </c>
      <c r="K39" s="82"/>
      <c r="L39" s="83"/>
      <c r="M39" s="82" t="s">
        <v>82</v>
      </c>
      <c r="N39" s="82"/>
      <c r="O39" s="83"/>
      <c r="P39" s="84" t="s">
        <v>82</v>
      </c>
      <c r="Q39" s="85"/>
      <c r="R39" s="85"/>
      <c r="S39" s="82"/>
      <c r="T39" s="82" t="s">
        <v>95</v>
      </c>
      <c r="U39" s="83" t="s">
        <v>95</v>
      </c>
      <c r="V39" s="83" t="s">
        <v>95</v>
      </c>
      <c r="W39" s="83" t="s">
        <v>95</v>
      </c>
      <c r="X39" s="86"/>
      <c r="Y39" s="86"/>
      <c r="Z39" s="85"/>
      <c r="AA39" s="82"/>
      <c r="AB39" s="82"/>
      <c r="AC39" s="83"/>
      <c r="AD39" s="83"/>
      <c r="AE39" s="83"/>
      <c r="AF39" s="83"/>
      <c r="AG39" s="85"/>
    </row>
    <row r="40" spans="1:33">
      <c r="A40" s="81">
        <v>43374</v>
      </c>
      <c r="B40" s="82">
        <v>1</v>
      </c>
      <c r="C40" s="82">
        <v>17499</v>
      </c>
      <c r="D40" s="83">
        <v>170</v>
      </c>
      <c r="E40" s="83">
        <v>170</v>
      </c>
      <c r="F40" s="83">
        <v>170</v>
      </c>
      <c r="G40" s="82" t="s">
        <v>82</v>
      </c>
      <c r="H40" s="82"/>
      <c r="I40" s="83"/>
      <c r="J40" s="82" t="s">
        <v>82</v>
      </c>
      <c r="K40" s="82"/>
      <c r="L40" s="83"/>
      <c r="M40" s="82" t="s">
        <v>82</v>
      </c>
      <c r="N40" s="82"/>
      <c r="O40" s="83"/>
      <c r="P40" s="84" t="s">
        <v>82</v>
      </c>
      <c r="Q40" s="85"/>
      <c r="R40" s="85"/>
      <c r="S40" s="82"/>
      <c r="T40" s="82" t="s">
        <v>95</v>
      </c>
      <c r="U40" s="83">
        <f t="shared" ref="U40:U46" si="1">U30*T30</f>
        <v>115780821.48</v>
      </c>
      <c r="V40" s="83" t="s">
        <v>95</v>
      </c>
      <c r="W40" s="83" t="s">
        <v>95</v>
      </c>
      <c r="X40" s="86"/>
      <c r="Y40" s="86"/>
      <c r="Z40" s="85"/>
      <c r="AA40" s="82"/>
      <c r="AB40" s="82"/>
      <c r="AC40" s="83"/>
      <c r="AD40" s="83"/>
      <c r="AE40" s="83"/>
      <c r="AF40" s="83"/>
      <c r="AG40" s="85"/>
    </row>
    <row r="41" spans="1:33">
      <c r="A41" s="81">
        <v>43405</v>
      </c>
      <c r="B41" s="82">
        <v>8</v>
      </c>
      <c r="C41" s="82">
        <v>7287</v>
      </c>
      <c r="D41" s="83">
        <v>165.70400713599562</v>
      </c>
      <c r="E41" s="83">
        <v>164.3</v>
      </c>
      <c r="F41" s="83">
        <v>175</v>
      </c>
      <c r="G41" s="82" t="s">
        <v>82</v>
      </c>
      <c r="H41" s="82"/>
      <c r="I41" s="83"/>
      <c r="J41" s="82" t="s">
        <v>82</v>
      </c>
      <c r="K41" s="82"/>
      <c r="L41" s="83"/>
      <c r="M41" s="82" t="s">
        <v>82</v>
      </c>
      <c r="N41" s="82"/>
      <c r="O41" s="83"/>
      <c r="P41" s="84" t="s">
        <v>82</v>
      </c>
      <c r="Q41" s="85"/>
      <c r="R41" s="85"/>
      <c r="S41" s="82"/>
      <c r="T41" s="82" t="s">
        <v>95</v>
      </c>
      <c r="U41" s="83">
        <f t="shared" si="1"/>
        <v>11296685</v>
      </c>
      <c r="V41" s="83" t="s">
        <v>95</v>
      </c>
      <c r="W41" s="83" t="s">
        <v>95</v>
      </c>
      <c r="X41" s="86"/>
      <c r="Y41" s="86"/>
      <c r="Z41" s="85"/>
      <c r="AA41" s="82"/>
      <c r="AB41" s="82"/>
      <c r="AC41" s="83"/>
      <c r="AD41" s="83"/>
      <c r="AE41" s="83"/>
      <c r="AF41" s="83"/>
      <c r="AG41" s="85"/>
    </row>
    <row r="42" spans="1:33">
      <c r="A42" s="81">
        <v>43435</v>
      </c>
      <c r="B42" s="82">
        <v>21</v>
      </c>
      <c r="C42" s="82">
        <v>187031</v>
      </c>
      <c r="D42" s="83">
        <v>204.86416422945928</v>
      </c>
      <c r="E42" s="83">
        <v>176</v>
      </c>
      <c r="F42" s="83">
        <v>210.5</v>
      </c>
      <c r="G42" s="82" t="s">
        <v>82</v>
      </c>
      <c r="H42" s="82"/>
      <c r="I42" s="83"/>
      <c r="J42" s="82" t="s">
        <v>82</v>
      </c>
      <c r="K42" s="82"/>
      <c r="L42" s="83"/>
      <c r="M42" s="82" t="s">
        <v>82</v>
      </c>
      <c r="N42" s="82"/>
      <c r="O42" s="83"/>
      <c r="P42" s="84" t="s">
        <v>82</v>
      </c>
      <c r="Q42" s="85"/>
      <c r="R42" s="85"/>
      <c r="S42" s="82"/>
      <c r="T42" s="82" t="s">
        <v>95</v>
      </c>
      <c r="U42" s="83">
        <f t="shared" si="1"/>
        <v>163455120</v>
      </c>
      <c r="V42" s="83" t="s">
        <v>95</v>
      </c>
      <c r="W42" s="83" t="s">
        <v>95</v>
      </c>
      <c r="X42" s="86"/>
      <c r="Y42" s="86"/>
      <c r="Z42" s="85"/>
      <c r="AA42" s="82"/>
      <c r="AB42" s="82"/>
      <c r="AC42" s="83"/>
      <c r="AD42" s="83"/>
      <c r="AE42" s="83"/>
      <c r="AF42" s="83"/>
      <c r="AG42" s="85"/>
    </row>
    <row r="43" spans="1:33">
      <c r="A43" s="81">
        <v>43466</v>
      </c>
      <c r="B43" s="82">
        <v>0</v>
      </c>
      <c r="C43" s="82">
        <v>0</v>
      </c>
      <c r="D43" s="83">
        <v>0</v>
      </c>
      <c r="E43" s="83">
        <v>0</v>
      </c>
      <c r="F43" s="83">
        <v>0</v>
      </c>
      <c r="G43" s="82" t="s">
        <v>82</v>
      </c>
      <c r="H43" s="82"/>
      <c r="I43" s="83"/>
      <c r="J43" s="82" t="s">
        <v>82</v>
      </c>
      <c r="K43" s="82"/>
      <c r="L43" s="83"/>
      <c r="M43" s="82" t="s">
        <v>82</v>
      </c>
      <c r="N43" s="82"/>
      <c r="O43" s="83"/>
      <c r="P43" s="84" t="s">
        <v>82</v>
      </c>
      <c r="Q43" s="85"/>
      <c r="R43" s="85"/>
      <c r="S43" s="82"/>
      <c r="T43" s="82" t="s">
        <v>95</v>
      </c>
      <c r="U43" s="83">
        <f t="shared" si="1"/>
        <v>136500949.87</v>
      </c>
      <c r="V43" s="83" t="s">
        <v>95</v>
      </c>
      <c r="W43" s="83" t="s">
        <v>95</v>
      </c>
      <c r="X43" s="86"/>
      <c r="Y43" s="86"/>
      <c r="Z43" s="85"/>
      <c r="AA43" s="82"/>
      <c r="AB43" s="82"/>
      <c r="AC43" s="83"/>
      <c r="AD43" s="83"/>
      <c r="AE43" s="83"/>
      <c r="AF43" s="83"/>
      <c r="AG43" s="85"/>
    </row>
    <row r="44" spans="1:33">
      <c r="A44" s="81">
        <v>43497</v>
      </c>
      <c r="B44" s="82">
        <v>3</v>
      </c>
      <c r="C44" s="82">
        <v>10250</v>
      </c>
      <c r="D44" s="83">
        <v>106.67317073170732</v>
      </c>
      <c r="E44" s="83">
        <v>32.93</v>
      </c>
      <c r="F44" s="83">
        <v>195</v>
      </c>
      <c r="G44" s="82" t="s">
        <v>82</v>
      </c>
      <c r="H44" s="82"/>
      <c r="I44" s="83"/>
      <c r="J44" s="82" t="s">
        <v>82</v>
      </c>
      <c r="K44" s="82"/>
      <c r="L44" s="83"/>
      <c r="M44" s="82" t="s">
        <v>82</v>
      </c>
      <c r="N44" s="82"/>
      <c r="O44" s="83"/>
      <c r="P44" s="84" t="s">
        <v>82</v>
      </c>
      <c r="Q44" s="85"/>
      <c r="R44" s="85"/>
      <c r="S44" s="82"/>
      <c r="T44" s="82" t="s">
        <v>95</v>
      </c>
      <c r="U44" s="83">
        <f t="shared" si="1"/>
        <v>163456130.16999999</v>
      </c>
      <c r="V44" s="83" t="s">
        <v>95</v>
      </c>
      <c r="W44" s="83" t="s">
        <v>95</v>
      </c>
      <c r="X44" s="86"/>
      <c r="Y44" s="86"/>
      <c r="Z44" s="85"/>
      <c r="AA44" s="82"/>
      <c r="AB44" s="82"/>
      <c r="AC44" s="83"/>
      <c r="AD44" s="83"/>
      <c r="AE44" s="83"/>
      <c r="AF44" s="83"/>
      <c r="AG44" s="85"/>
    </row>
    <row r="45" spans="1:33">
      <c r="A45" s="81">
        <v>43525</v>
      </c>
      <c r="B45" s="82">
        <v>3</v>
      </c>
      <c r="C45" s="82">
        <v>38225</v>
      </c>
      <c r="D45" s="83">
        <v>197.71013734466973</v>
      </c>
      <c r="E45" s="83">
        <v>190</v>
      </c>
      <c r="F45" s="83">
        <v>200</v>
      </c>
      <c r="G45" s="82" t="s">
        <v>82</v>
      </c>
      <c r="H45" s="82"/>
      <c r="I45" s="83"/>
      <c r="J45" s="82" t="s">
        <v>82</v>
      </c>
      <c r="K45" s="82"/>
      <c r="L45" s="83"/>
      <c r="M45" s="82" t="s">
        <v>82</v>
      </c>
      <c r="N45" s="82"/>
      <c r="O45" s="83"/>
      <c r="P45" s="84" t="s">
        <v>82</v>
      </c>
      <c r="Q45" s="85"/>
      <c r="R45" s="85"/>
      <c r="S45" s="82"/>
      <c r="T45" s="82" t="s">
        <v>95</v>
      </c>
      <c r="U45" s="83">
        <f t="shared" si="1"/>
        <v>104667719.75</v>
      </c>
      <c r="V45" s="83" t="s">
        <v>95</v>
      </c>
      <c r="W45" s="83" t="s">
        <v>95</v>
      </c>
      <c r="X45" s="86"/>
      <c r="Y45" s="86"/>
      <c r="Z45" s="85"/>
      <c r="AA45" s="82"/>
      <c r="AB45" s="82"/>
      <c r="AC45" s="83"/>
      <c r="AD45" s="83"/>
      <c r="AE45" s="83"/>
      <c r="AF45" s="83"/>
      <c r="AG45" s="85"/>
    </row>
    <row r="46" spans="1:33">
      <c r="A46" s="81">
        <v>43556</v>
      </c>
      <c r="B46" s="82">
        <v>0</v>
      </c>
      <c r="C46" s="82">
        <v>0</v>
      </c>
      <c r="D46" s="83">
        <v>0</v>
      </c>
      <c r="E46" s="83">
        <v>0</v>
      </c>
      <c r="F46" s="83">
        <v>0</v>
      </c>
      <c r="G46" s="82" t="s">
        <v>82</v>
      </c>
      <c r="H46" s="82"/>
      <c r="I46" s="83"/>
      <c r="J46" s="82" t="s">
        <v>82</v>
      </c>
      <c r="K46" s="82"/>
      <c r="L46" s="83"/>
      <c r="M46" s="82" t="s">
        <v>82</v>
      </c>
      <c r="N46" s="82"/>
      <c r="O46" s="83"/>
      <c r="P46" s="84" t="s">
        <v>82</v>
      </c>
      <c r="Q46" s="85"/>
      <c r="R46" s="85"/>
      <c r="S46" s="82"/>
      <c r="T46" s="82" t="s">
        <v>95</v>
      </c>
      <c r="U46" s="83">
        <f t="shared" si="1"/>
        <v>126398154.82999998</v>
      </c>
      <c r="V46" s="83" t="s">
        <v>95</v>
      </c>
      <c r="W46" s="83" t="s">
        <v>95</v>
      </c>
      <c r="X46" s="86"/>
      <c r="Y46" s="86"/>
      <c r="Z46" s="85"/>
      <c r="AA46" s="82"/>
      <c r="AB46" s="82"/>
      <c r="AC46" s="83"/>
      <c r="AD46" s="83"/>
      <c r="AE46" s="83"/>
      <c r="AF46" s="83"/>
      <c r="AG46" s="85"/>
    </row>
    <row r="47" spans="1:33">
      <c r="A47" s="81">
        <v>43586</v>
      </c>
      <c r="B47" s="82">
        <v>4</v>
      </c>
      <c r="C47" s="82">
        <v>9412</v>
      </c>
      <c r="D47" s="83">
        <v>187.25031874203145</v>
      </c>
      <c r="E47" s="83">
        <v>176</v>
      </c>
      <c r="F47" s="83">
        <v>200</v>
      </c>
      <c r="G47" s="82" t="s">
        <v>82</v>
      </c>
      <c r="H47" s="82"/>
      <c r="I47" s="83"/>
      <c r="J47" s="82" t="s">
        <v>82</v>
      </c>
      <c r="K47" s="82"/>
      <c r="L47" s="83"/>
      <c r="M47" s="82" t="s">
        <v>82</v>
      </c>
      <c r="N47" s="82"/>
      <c r="O47" s="83"/>
      <c r="P47" s="84" t="s">
        <v>82</v>
      </c>
      <c r="Q47" s="85"/>
      <c r="R47" s="85"/>
      <c r="S47" s="82"/>
      <c r="T47" s="82" t="s">
        <v>95</v>
      </c>
      <c r="U47" s="83" t="s">
        <v>95</v>
      </c>
      <c r="V47" s="83" t="s">
        <v>95</v>
      </c>
      <c r="W47" s="83" t="s">
        <v>95</v>
      </c>
      <c r="X47" s="86"/>
      <c r="Y47" s="86"/>
      <c r="Z47" s="85"/>
      <c r="AA47" s="82"/>
      <c r="AB47" s="82"/>
      <c r="AC47" s="83"/>
      <c r="AD47" s="83"/>
      <c r="AE47" s="83"/>
      <c r="AF47" s="83"/>
      <c r="AG47" s="85"/>
    </row>
    <row r="48" spans="1:33">
      <c r="A48" s="81">
        <v>43617</v>
      </c>
      <c r="B48" s="82">
        <v>0</v>
      </c>
      <c r="C48" s="82">
        <v>0</v>
      </c>
      <c r="D48" s="83">
        <v>0</v>
      </c>
      <c r="E48" s="83">
        <v>0</v>
      </c>
      <c r="F48" s="83">
        <v>0</v>
      </c>
      <c r="G48" s="82" t="s">
        <v>82</v>
      </c>
      <c r="H48" s="82"/>
      <c r="I48" s="83"/>
      <c r="J48" s="82" t="s">
        <v>82</v>
      </c>
      <c r="K48" s="82"/>
      <c r="L48" s="83"/>
      <c r="M48" s="82" t="s">
        <v>82</v>
      </c>
      <c r="N48" s="82"/>
      <c r="O48" s="83"/>
      <c r="P48" s="84" t="s">
        <v>82</v>
      </c>
      <c r="Q48" s="85"/>
      <c r="R48" s="85"/>
      <c r="S48" s="82"/>
      <c r="T48" s="82" t="s">
        <v>95</v>
      </c>
      <c r="U48" s="83" t="s">
        <v>95</v>
      </c>
      <c r="V48" s="83" t="s">
        <v>95</v>
      </c>
      <c r="W48" s="83" t="s">
        <v>95</v>
      </c>
      <c r="X48" s="86"/>
      <c r="Y48" s="86"/>
      <c r="Z48" s="85"/>
      <c r="AA48" s="82"/>
      <c r="AB48" s="82"/>
      <c r="AC48" s="83"/>
      <c r="AD48" s="83"/>
      <c r="AE48" s="83"/>
      <c r="AF48" s="83"/>
      <c r="AG48" s="85"/>
    </row>
    <row r="49" spans="1:33">
      <c r="A49" s="81">
        <v>43647</v>
      </c>
      <c r="B49" s="82">
        <v>0</v>
      </c>
      <c r="C49" s="82">
        <v>0</v>
      </c>
      <c r="D49" s="83">
        <v>0</v>
      </c>
      <c r="E49" s="83">
        <v>0</v>
      </c>
      <c r="F49" s="83">
        <v>0</v>
      </c>
      <c r="G49" s="82" t="s">
        <v>82</v>
      </c>
      <c r="H49" s="82"/>
      <c r="I49" s="83"/>
      <c r="J49" s="82" t="s">
        <v>82</v>
      </c>
      <c r="K49" s="82"/>
      <c r="L49" s="83"/>
      <c r="M49" s="82" t="s">
        <v>82</v>
      </c>
      <c r="N49" s="82"/>
      <c r="O49" s="83"/>
      <c r="P49" s="84" t="s">
        <v>82</v>
      </c>
      <c r="Q49" s="85"/>
      <c r="R49" s="85"/>
      <c r="S49" s="82"/>
      <c r="T49" s="82" t="s">
        <v>95</v>
      </c>
      <c r="U49" s="83" t="s">
        <v>95</v>
      </c>
      <c r="V49" s="83" t="s">
        <v>95</v>
      </c>
      <c r="W49" s="83" t="s">
        <v>95</v>
      </c>
      <c r="X49" s="86"/>
      <c r="Y49" s="86"/>
      <c r="Z49" s="85"/>
      <c r="AA49" s="82"/>
      <c r="AB49" s="82"/>
      <c r="AC49" s="83"/>
      <c r="AD49" s="83"/>
      <c r="AE49" s="83"/>
      <c r="AF49" s="83"/>
      <c r="AG49" s="85"/>
    </row>
    <row r="50" spans="1:33">
      <c r="A50" s="81">
        <v>43678</v>
      </c>
      <c r="B50" s="82">
        <v>0</v>
      </c>
      <c r="C50" s="82">
        <v>0</v>
      </c>
      <c r="D50" s="83">
        <v>0</v>
      </c>
      <c r="E50" s="83">
        <v>0</v>
      </c>
      <c r="F50" s="83">
        <v>0</v>
      </c>
      <c r="G50" s="82" t="s">
        <v>82</v>
      </c>
      <c r="H50" s="82"/>
      <c r="I50" s="83"/>
      <c r="J50" s="82" t="s">
        <v>82</v>
      </c>
      <c r="K50" s="82"/>
      <c r="L50" s="83"/>
      <c r="M50" s="82" t="s">
        <v>82</v>
      </c>
      <c r="N50" s="82"/>
      <c r="O50" s="83"/>
      <c r="P50" s="84" t="s">
        <v>82</v>
      </c>
      <c r="Q50" s="85"/>
      <c r="R50" s="85"/>
      <c r="S50" s="82"/>
      <c r="T50" s="82" t="s">
        <v>95</v>
      </c>
      <c r="U50" s="83" t="s">
        <v>95</v>
      </c>
      <c r="V50" s="83" t="s">
        <v>95</v>
      </c>
      <c r="W50" s="83" t="s">
        <v>95</v>
      </c>
      <c r="X50" s="86"/>
      <c r="Y50" s="86"/>
      <c r="Z50" s="85"/>
      <c r="AA50" s="82"/>
      <c r="AB50" s="82"/>
      <c r="AC50" s="83"/>
      <c r="AD50" s="83"/>
      <c r="AE50" s="83"/>
      <c r="AF50" s="83"/>
      <c r="AG50" s="85"/>
    </row>
    <row r="51" spans="1:33">
      <c r="A51" s="81">
        <v>43709</v>
      </c>
      <c r="B51" s="82">
        <v>2</v>
      </c>
      <c r="C51" s="82">
        <v>5500</v>
      </c>
      <c r="D51" s="83">
        <v>178.18181818181819</v>
      </c>
      <c r="E51" s="83">
        <v>176</v>
      </c>
      <c r="F51" s="83">
        <v>200</v>
      </c>
      <c r="G51" s="82" t="s">
        <v>82</v>
      </c>
      <c r="H51" s="82"/>
      <c r="I51" s="83"/>
      <c r="J51" s="82" t="s">
        <v>82</v>
      </c>
      <c r="K51" s="82"/>
      <c r="L51" s="83"/>
      <c r="M51" s="82" t="s">
        <v>82</v>
      </c>
      <c r="N51" s="82"/>
      <c r="O51" s="83"/>
      <c r="P51" s="84" t="s">
        <v>82</v>
      </c>
      <c r="Q51" s="85"/>
      <c r="R51" s="85"/>
      <c r="S51" s="82"/>
      <c r="T51" s="82" t="s">
        <v>95</v>
      </c>
      <c r="U51" s="83" t="s">
        <v>95</v>
      </c>
      <c r="V51" s="83" t="s">
        <v>95</v>
      </c>
      <c r="W51" s="83" t="s">
        <v>95</v>
      </c>
      <c r="X51" s="86"/>
      <c r="Y51" s="86"/>
      <c r="Z51" s="85"/>
      <c r="AA51" s="82"/>
      <c r="AB51" s="82"/>
      <c r="AC51" s="83"/>
      <c r="AD51" s="83"/>
      <c r="AE51" s="83"/>
      <c r="AF51" s="83"/>
      <c r="AG51" s="85"/>
    </row>
    <row r="52" spans="1:33">
      <c r="A52" s="81">
        <v>43739</v>
      </c>
      <c r="B52" s="82">
        <v>10</v>
      </c>
      <c r="C52" s="82">
        <v>156766</v>
      </c>
      <c r="D52" s="83">
        <v>308.15257313448069</v>
      </c>
      <c r="E52" s="83">
        <v>292.58</v>
      </c>
      <c r="F52" s="83">
        <v>324.08</v>
      </c>
      <c r="G52" s="82" t="s">
        <v>82</v>
      </c>
      <c r="H52" s="82"/>
      <c r="I52" s="83"/>
      <c r="J52" s="82" t="s">
        <v>82</v>
      </c>
      <c r="K52" s="82"/>
      <c r="L52" s="83"/>
      <c r="M52" s="82" t="s">
        <v>82</v>
      </c>
      <c r="N52" s="82"/>
      <c r="O52" s="83"/>
      <c r="P52" s="84" t="s">
        <v>82</v>
      </c>
      <c r="Q52" s="85"/>
      <c r="R52" s="85"/>
      <c r="S52" s="82"/>
      <c r="T52" s="82" t="s">
        <v>95</v>
      </c>
      <c r="U52" s="83" t="s">
        <v>95</v>
      </c>
      <c r="V52" s="83" t="s">
        <v>95</v>
      </c>
      <c r="W52" s="83" t="s">
        <v>95</v>
      </c>
      <c r="X52" s="86"/>
      <c r="Y52" s="86"/>
      <c r="Z52" s="85"/>
      <c r="AA52" s="82"/>
      <c r="AB52" s="82"/>
      <c r="AC52" s="83"/>
      <c r="AD52" s="83"/>
      <c r="AE52" s="83"/>
      <c r="AF52" s="83"/>
      <c r="AG52" s="85"/>
    </row>
    <row r="53" spans="1:33">
      <c r="A53" s="81">
        <v>43770</v>
      </c>
      <c r="B53" s="82">
        <v>10</v>
      </c>
      <c r="C53" s="82">
        <v>14928</v>
      </c>
      <c r="D53" s="83">
        <v>208.51200763665594</v>
      </c>
      <c r="E53" s="83">
        <v>176</v>
      </c>
      <c r="F53" s="83">
        <v>322.25</v>
      </c>
      <c r="G53" s="82" t="s">
        <v>82</v>
      </c>
      <c r="H53" s="82"/>
      <c r="I53" s="83"/>
      <c r="J53" s="82" t="s">
        <v>82</v>
      </c>
      <c r="K53" s="82"/>
      <c r="L53" s="83"/>
      <c r="M53" s="82" t="s">
        <v>82</v>
      </c>
      <c r="N53" s="82"/>
      <c r="O53" s="83"/>
      <c r="P53" s="84" t="s">
        <v>82</v>
      </c>
      <c r="Q53" s="85"/>
      <c r="R53" s="85"/>
      <c r="S53" s="82"/>
      <c r="T53" s="82" t="s">
        <v>95</v>
      </c>
      <c r="U53" s="83" t="s">
        <v>95</v>
      </c>
      <c r="V53" s="83" t="s">
        <v>95</v>
      </c>
      <c r="W53" s="83" t="s">
        <v>95</v>
      </c>
      <c r="X53" s="86"/>
      <c r="Y53" s="86"/>
      <c r="Z53" s="85"/>
      <c r="AA53" s="82"/>
      <c r="AB53" s="82"/>
      <c r="AC53" s="83"/>
      <c r="AD53" s="83"/>
      <c r="AE53" s="83"/>
      <c r="AF53" s="83"/>
      <c r="AG53" s="85"/>
    </row>
    <row r="54" spans="1:33">
      <c r="A54" s="81">
        <v>43800</v>
      </c>
      <c r="B54" s="82">
        <v>3</v>
      </c>
      <c r="C54" s="82">
        <v>28431</v>
      </c>
      <c r="D54" s="83">
        <v>286.95789806900916</v>
      </c>
      <c r="E54" s="83">
        <v>200</v>
      </c>
      <c r="F54" s="83">
        <v>323.60000000000002</v>
      </c>
      <c r="G54" s="82" t="s">
        <v>82</v>
      </c>
      <c r="H54" s="82"/>
      <c r="I54" s="83"/>
      <c r="J54" s="82" t="s">
        <v>82</v>
      </c>
      <c r="K54" s="82"/>
      <c r="L54" s="83"/>
      <c r="M54" s="82" t="s">
        <v>82</v>
      </c>
      <c r="N54" s="82"/>
      <c r="O54" s="83"/>
      <c r="P54" s="84" t="s">
        <v>82</v>
      </c>
      <c r="Q54" s="85"/>
      <c r="R54" s="85"/>
      <c r="S54" s="82"/>
      <c r="T54" s="82" t="s">
        <v>95</v>
      </c>
      <c r="U54" s="83" t="s">
        <v>95</v>
      </c>
      <c r="V54" s="83" t="s">
        <v>95</v>
      </c>
      <c r="W54" s="83" t="s">
        <v>95</v>
      </c>
      <c r="X54" s="86"/>
      <c r="Y54" s="86"/>
      <c r="Z54" s="85"/>
      <c r="AA54" s="82"/>
      <c r="AB54" s="82"/>
      <c r="AC54" s="83"/>
      <c r="AD54" s="83"/>
      <c r="AE54" s="83"/>
      <c r="AF54" s="83"/>
      <c r="AG54" s="85"/>
    </row>
    <row r="55" spans="1:33">
      <c r="A55" s="81">
        <v>43831</v>
      </c>
      <c r="B55" s="82">
        <v>0</v>
      </c>
      <c r="C55" s="82">
        <v>0</v>
      </c>
      <c r="D55" s="83">
        <v>0</v>
      </c>
      <c r="E55" s="83">
        <v>0</v>
      </c>
      <c r="F55" s="83">
        <v>0</v>
      </c>
      <c r="G55" s="82" t="s">
        <v>82</v>
      </c>
      <c r="H55" s="82"/>
      <c r="I55" s="83"/>
      <c r="J55" s="82" t="s">
        <v>82</v>
      </c>
      <c r="K55" s="82"/>
      <c r="L55" s="83"/>
      <c r="M55" s="82" t="s">
        <v>82</v>
      </c>
      <c r="N55" s="82"/>
      <c r="O55" s="83"/>
      <c r="P55" s="84" t="s">
        <v>82</v>
      </c>
      <c r="Q55" s="85"/>
      <c r="R55" s="85"/>
      <c r="S55" s="82"/>
      <c r="T55" s="82" t="s">
        <v>95</v>
      </c>
      <c r="U55" s="83" t="s">
        <v>95</v>
      </c>
      <c r="V55" s="83" t="s">
        <v>95</v>
      </c>
      <c r="W55" s="83" t="s">
        <v>95</v>
      </c>
      <c r="X55" s="86"/>
      <c r="Y55" s="86"/>
      <c r="Z55" s="85"/>
      <c r="AA55" s="82"/>
      <c r="AB55" s="82"/>
      <c r="AC55" s="83"/>
      <c r="AD55" s="83"/>
      <c r="AE55" s="83"/>
      <c r="AF55" s="83"/>
      <c r="AG55" s="85"/>
    </row>
    <row r="56" spans="1:33">
      <c r="A56" s="81">
        <v>43862</v>
      </c>
      <c r="B56" s="82">
        <v>5</v>
      </c>
      <c r="C56" s="82">
        <v>26416</v>
      </c>
      <c r="D56" s="83">
        <v>222.96524833434282</v>
      </c>
      <c r="E56" s="83">
        <v>32.5</v>
      </c>
      <c r="F56" s="83">
        <v>345</v>
      </c>
      <c r="G56" s="82" t="s">
        <v>82</v>
      </c>
      <c r="H56" s="82"/>
      <c r="I56" s="83"/>
      <c r="J56" s="82" t="s">
        <v>82</v>
      </c>
      <c r="K56" s="82"/>
      <c r="L56" s="83"/>
      <c r="M56" s="82" t="s">
        <v>82</v>
      </c>
      <c r="N56" s="82"/>
      <c r="O56" s="83"/>
      <c r="P56" s="84" t="s">
        <v>82</v>
      </c>
      <c r="Q56" s="85"/>
      <c r="R56" s="85"/>
      <c r="S56" s="82"/>
      <c r="T56" s="82" t="s">
        <v>95</v>
      </c>
      <c r="U56" s="83" t="s">
        <v>95</v>
      </c>
      <c r="V56" s="83" t="s">
        <v>95</v>
      </c>
      <c r="W56" s="83" t="s">
        <v>95</v>
      </c>
      <c r="X56" s="86"/>
      <c r="Y56" s="86"/>
      <c r="Z56" s="85"/>
      <c r="AA56" s="82"/>
      <c r="AB56" s="82"/>
      <c r="AC56" s="83"/>
      <c r="AD56" s="83"/>
      <c r="AE56" s="83"/>
      <c r="AF56" s="83"/>
      <c r="AG56" s="85"/>
    </row>
    <row r="57" spans="1:33">
      <c r="A57" s="81">
        <v>43891</v>
      </c>
      <c r="B57" s="82">
        <v>4</v>
      </c>
      <c r="C57" s="82">
        <v>3817</v>
      </c>
      <c r="D57" s="83">
        <v>322.16531307309407</v>
      </c>
      <c r="E57" s="83">
        <v>185</v>
      </c>
      <c r="F57" s="83">
        <v>345</v>
      </c>
      <c r="G57" s="82" t="s">
        <v>82</v>
      </c>
      <c r="H57" s="82"/>
      <c r="I57" s="83"/>
      <c r="J57" s="82" t="s">
        <v>82</v>
      </c>
      <c r="K57" s="82"/>
      <c r="L57" s="83"/>
      <c r="M57" s="82" t="s">
        <v>82</v>
      </c>
      <c r="N57" s="82"/>
      <c r="O57" s="83"/>
      <c r="P57" s="84" t="s">
        <v>82</v>
      </c>
      <c r="Q57" s="85"/>
      <c r="R57" s="85"/>
      <c r="S57" s="82"/>
      <c r="T57" s="82" t="s">
        <v>95</v>
      </c>
      <c r="U57" s="83" t="s">
        <v>95</v>
      </c>
      <c r="V57" s="83" t="s">
        <v>95</v>
      </c>
      <c r="W57" s="83" t="s">
        <v>95</v>
      </c>
      <c r="X57" s="86"/>
      <c r="Y57" s="86"/>
      <c r="Z57" s="85"/>
      <c r="AA57" s="82"/>
      <c r="AB57" s="82"/>
      <c r="AC57" s="83"/>
      <c r="AD57" s="83"/>
      <c r="AE57" s="83"/>
      <c r="AF57" s="83"/>
      <c r="AG57" s="85"/>
    </row>
    <row r="58" spans="1:33">
      <c r="A58" s="81">
        <v>43922</v>
      </c>
      <c r="B58" s="82">
        <v>4</v>
      </c>
      <c r="C58" s="82">
        <v>22967</v>
      </c>
      <c r="D58" s="83">
        <v>225.61492576305133</v>
      </c>
      <c r="E58" s="83">
        <v>200</v>
      </c>
      <c r="F58" s="83">
        <v>310</v>
      </c>
      <c r="G58" s="82" t="s">
        <v>82</v>
      </c>
      <c r="H58" s="82"/>
      <c r="I58" s="83"/>
      <c r="J58" s="82" t="s">
        <v>82</v>
      </c>
      <c r="K58" s="82"/>
      <c r="L58" s="83"/>
      <c r="M58" s="82" t="s">
        <v>82</v>
      </c>
      <c r="N58" s="82"/>
      <c r="O58" s="83"/>
      <c r="P58" s="84" t="s">
        <v>82</v>
      </c>
      <c r="Q58" s="85"/>
      <c r="R58" s="85"/>
      <c r="S58" s="82"/>
      <c r="T58" s="82" t="s">
        <v>95</v>
      </c>
      <c r="U58" s="83" t="s">
        <v>95</v>
      </c>
      <c r="V58" s="83" t="s">
        <v>95</v>
      </c>
      <c r="W58" s="83" t="s">
        <v>95</v>
      </c>
      <c r="X58" s="86"/>
      <c r="Y58" s="86"/>
      <c r="Z58" s="85"/>
      <c r="AA58" s="82"/>
      <c r="AB58" s="82"/>
      <c r="AC58" s="83"/>
      <c r="AD58" s="83"/>
      <c r="AE58" s="83"/>
      <c r="AF58" s="83"/>
      <c r="AG58" s="85"/>
    </row>
    <row r="59" spans="1:33">
      <c r="A59" s="81">
        <v>43952</v>
      </c>
      <c r="B59" s="82">
        <v>2</v>
      </c>
      <c r="C59" s="82">
        <v>12500</v>
      </c>
      <c r="D59" s="83">
        <v>110</v>
      </c>
      <c r="E59" s="83">
        <v>85</v>
      </c>
      <c r="F59" s="83">
        <v>147.5</v>
      </c>
      <c r="G59" s="82" t="s">
        <v>82</v>
      </c>
      <c r="H59" s="82"/>
      <c r="I59" s="83"/>
      <c r="J59" s="82" t="s">
        <v>82</v>
      </c>
      <c r="K59" s="82"/>
      <c r="L59" s="83"/>
      <c r="M59" s="82" t="s">
        <v>82</v>
      </c>
      <c r="N59" s="82"/>
      <c r="O59" s="83"/>
      <c r="P59" s="84" t="s">
        <v>82</v>
      </c>
      <c r="Q59" s="85"/>
      <c r="R59" s="85"/>
      <c r="S59" s="82"/>
      <c r="T59" s="82" t="s">
        <v>95</v>
      </c>
      <c r="U59" s="83" t="s">
        <v>95</v>
      </c>
      <c r="V59" s="83" t="s">
        <v>95</v>
      </c>
      <c r="W59" s="83" t="s">
        <v>95</v>
      </c>
      <c r="X59" s="86"/>
      <c r="Y59" s="86"/>
      <c r="Z59" s="85"/>
      <c r="AA59" s="82"/>
      <c r="AB59" s="82"/>
      <c r="AC59" s="83"/>
      <c r="AD59" s="83"/>
      <c r="AE59" s="83"/>
      <c r="AF59" s="83"/>
      <c r="AG59" s="85"/>
    </row>
    <row r="60" spans="1:33">
      <c r="A60" s="81">
        <v>43983</v>
      </c>
      <c r="B60" s="82">
        <v>2</v>
      </c>
      <c r="C60" s="82">
        <v>6163</v>
      </c>
      <c r="D60" s="83">
        <v>329.19904267402239</v>
      </c>
      <c r="E60" s="83">
        <v>310</v>
      </c>
      <c r="F60" s="83">
        <v>330.45</v>
      </c>
      <c r="G60" s="82" t="s">
        <v>82</v>
      </c>
      <c r="H60" s="82"/>
      <c r="I60" s="83"/>
      <c r="J60" s="82" t="s">
        <v>82</v>
      </c>
      <c r="K60" s="82"/>
      <c r="L60" s="83"/>
      <c r="M60" s="82" t="s">
        <v>82</v>
      </c>
      <c r="N60" s="82"/>
      <c r="O60" s="83"/>
      <c r="P60" s="84" t="s">
        <v>82</v>
      </c>
      <c r="Q60" s="85"/>
      <c r="R60" s="85"/>
      <c r="S60" s="82"/>
      <c r="T60" s="82" t="s">
        <v>95</v>
      </c>
      <c r="U60" s="83" t="s">
        <v>95</v>
      </c>
      <c r="V60" s="83" t="s">
        <v>95</v>
      </c>
      <c r="W60" s="83" t="s">
        <v>95</v>
      </c>
      <c r="X60" s="86"/>
      <c r="Y60" s="86"/>
      <c r="Z60" s="85"/>
      <c r="AA60" s="82"/>
      <c r="AB60" s="82"/>
      <c r="AC60" s="83"/>
      <c r="AD60" s="83"/>
      <c r="AE60" s="83"/>
      <c r="AF60" s="83"/>
      <c r="AG60" s="85"/>
    </row>
    <row r="61" spans="1:33">
      <c r="A61" s="81">
        <v>44013</v>
      </c>
      <c r="B61" s="82">
        <v>0</v>
      </c>
      <c r="C61" s="82">
        <v>0</v>
      </c>
      <c r="D61" s="83">
        <v>0</v>
      </c>
      <c r="E61" s="83">
        <v>0</v>
      </c>
      <c r="F61" s="83">
        <v>0</v>
      </c>
      <c r="G61" s="82" t="s">
        <v>82</v>
      </c>
      <c r="H61" s="82"/>
      <c r="I61" s="83"/>
      <c r="J61" s="82" t="s">
        <v>82</v>
      </c>
      <c r="K61" s="82"/>
      <c r="L61" s="83"/>
      <c r="M61" s="82" t="s">
        <v>82</v>
      </c>
      <c r="N61" s="82"/>
      <c r="O61" s="83"/>
      <c r="P61" s="84" t="s">
        <v>82</v>
      </c>
      <c r="Q61" s="85"/>
      <c r="R61" s="85"/>
      <c r="S61" s="82"/>
      <c r="T61" s="82" t="s">
        <v>95</v>
      </c>
      <c r="U61" s="83" t="s">
        <v>95</v>
      </c>
      <c r="V61" s="83" t="s">
        <v>95</v>
      </c>
      <c r="W61" s="83" t="s">
        <v>95</v>
      </c>
      <c r="X61" s="86"/>
      <c r="Y61" s="86"/>
      <c r="Z61" s="85"/>
      <c r="AA61" s="82"/>
      <c r="AB61" s="82"/>
      <c r="AC61" s="83"/>
      <c r="AD61" s="83"/>
      <c r="AE61" s="83"/>
      <c r="AF61" s="83"/>
      <c r="AG61" s="85"/>
    </row>
    <row r="62" spans="1:33">
      <c r="A62" s="81">
        <v>44044</v>
      </c>
      <c r="B62" s="82">
        <v>0</v>
      </c>
      <c r="C62" s="82">
        <v>0</v>
      </c>
      <c r="D62" s="83">
        <v>0</v>
      </c>
      <c r="E62" s="83">
        <v>0</v>
      </c>
      <c r="F62" s="83">
        <v>0</v>
      </c>
      <c r="G62" s="82" t="s">
        <v>82</v>
      </c>
      <c r="H62" s="82"/>
      <c r="I62" s="83"/>
      <c r="J62" s="82" t="s">
        <v>82</v>
      </c>
      <c r="K62" s="82"/>
      <c r="L62" s="83"/>
      <c r="M62" s="82" t="s">
        <v>82</v>
      </c>
      <c r="N62" s="82"/>
      <c r="O62" s="83"/>
      <c r="P62" s="84" t="s">
        <v>82</v>
      </c>
      <c r="Q62" s="85"/>
      <c r="R62" s="85"/>
      <c r="S62" s="82"/>
      <c r="T62" s="82" t="s">
        <v>95</v>
      </c>
      <c r="U62" s="83" t="s">
        <v>95</v>
      </c>
      <c r="V62" s="83" t="s">
        <v>95</v>
      </c>
      <c r="W62" s="83" t="s">
        <v>95</v>
      </c>
      <c r="X62" s="86"/>
      <c r="Y62" s="86"/>
      <c r="Z62" s="85"/>
      <c r="AA62" s="82"/>
      <c r="AB62" s="82"/>
      <c r="AC62" s="83"/>
      <c r="AD62" s="83"/>
      <c r="AE62" s="83"/>
      <c r="AF62" s="83"/>
      <c r="AG62" s="85"/>
    </row>
    <row r="63" spans="1:33">
      <c r="A63" s="81">
        <v>44075</v>
      </c>
      <c r="B63" s="82">
        <v>2</v>
      </c>
      <c r="C63" s="82">
        <v>6762</v>
      </c>
      <c r="D63" s="83">
        <v>337.5044365572316</v>
      </c>
      <c r="E63" s="83">
        <v>335</v>
      </c>
      <c r="F63" s="83">
        <v>340</v>
      </c>
      <c r="G63" s="82" t="s">
        <v>82</v>
      </c>
      <c r="H63" s="82"/>
      <c r="I63" s="83"/>
      <c r="J63" s="82" t="s">
        <v>82</v>
      </c>
      <c r="K63" s="82"/>
      <c r="L63" s="83"/>
      <c r="M63" s="82" t="s">
        <v>82</v>
      </c>
      <c r="N63" s="82"/>
      <c r="O63" s="83"/>
      <c r="P63" s="84" t="s">
        <v>82</v>
      </c>
      <c r="Q63" s="85"/>
      <c r="R63" s="85"/>
      <c r="S63" s="82"/>
      <c r="T63" s="82" t="s">
        <v>95</v>
      </c>
      <c r="U63" s="83" t="s">
        <v>95</v>
      </c>
      <c r="V63" s="83" t="s">
        <v>95</v>
      </c>
      <c r="W63" s="83" t="s">
        <v>95</v>
      </c>
      <c r="X63" s="86"/>
      <c r="Y63" s="86"/>
      <c r="Z63" s="85"/>
      <c r="AA63" s="82"/>
      <c r="AB63" s="82"/>
      <c r="AC63" s="83"/>
      <c r="AD63" s="83"/>
      <c r="AE63" s="83"/>
      <c r="AF63" s="83"/>
      <c r="AG63" s="85"/>
    </row>
    <row r="64" spans="1:33">
      <c r="A64" s="81">
        <v>44105</v>
      </c>
      <c r="B64" s="82">
        <v>11</v>
      </c>
      <c r="C64" s="82">
        <v>10615</v>
      </c>
      <c r="D64" s="83">
        <v>258.1779152143194</v>
      </c>
      <c r="E64" s="83">
        <v>147.5</v>
      </c>
      <c r="F64" s="83">
        <v>370</v>
      </c>
      <c r="G64" s="82" t="s">
        <v>82</v>
      </c>
      <c r="H64" s="82"/>
      <c r="I64" s="83"/>
      <c r="J64" s="82" t="s">
        <v>82</v>
      </c>
      <c r="K64" s="82"/>
      <c r="L64" s="83"/>
      <c r="M64" s="82" t="s">
        <v>82</v>
      </c>
      <c r="N64" s="82"/>
      <c r="O64" s="83"/>
      <c r="P64" s="84" t="s">
        <v>82</v>
      </c>
      <c r="Q64" s="85"/>
      <c r="R64" s="85"/>
      <c r="S64" s="82"/>
      <c r="T64" s="82" t="s">
        <v>95</v>
      </c>
      <c r="U64" s="83" t="s">
        <v>95</v>
      </c>
      <c r="V64" s="83" t="s">
        <v>95</v>
      </c>
      <c r="W64" s="83" t="s">
        <v>95</v>
      </c>
      <c r="X64" s="86"/>
      <c r="Y64" s="86"/>
      <c r="Z64" s="85"/>
      <c r="AA64" s="82"/>
      <c r="AB64" s="82"/>
      <c r="AC64" s="83"/>
      <c r="AD64" s="83"/>
      <c r="AE64" s="83"/>
      <c r="AF64" s="83"/>
      <c r="AG64" s="85"/>
    </row>
    <row r="65" spans="1:33">
      <c r="A65" s="81">
        <v>44136</v>
      </c>
      <c r="B65" s="82">
        <v>1</v>
      </c>
      <c r="C65" s="82">
        <v>5000</v>
      </c>
      <c r="D65" s="83">
        <v>385.2</v>
      </c>
      <c r="E65" s="83">
        <v>385.2</v>
      </c>
      <c r="F65" s="83">
        <v>385.2</v>
      </c>
      <c r="G65" s="82" t="s">
        <v>82</v>
      </c>
      <c r="H65" s="82"/>
      <c r="I65" s="83"/>
      <c r="J65" s="82" t="s">
        <v>82</v>
      </c>
      <c r="K65" s="82"/>
      <c r="L65" s="83"/>
      <c r="M65" s="82" t="s">
        <v>82</v>
      </c>
      <c r="N65" s="82"/>
      <c r="O65" s="83"/>
      <c r="P65" s="84" t="s">
        <v>82</v>
      </c>
      <c r="Q65" s="85"/>
      <c r="R65" s="85"/>
      <c r="S65" s="82"/>
      <c r="T65" s="82" t="s">
        <v>95</v>
      </c>
      <c r="U65" s="83" t="s">
        <v>95</v>
      </c>
      <c r="V65" s="83" t="s">
        <v>95</v>
      </c>
      <c r="W65" s="83" t="s">
        <v>95</v>
      </c>
      <c r="X65" s="86"/>
      <c r="Y65" s="86"/>
      <c r="Z65" s="85"/>
      <c r="AA65" s="82"/>
      <c r="AB65" s="82"/>
      <c r="AC65" s="83"/>
      <c r="AD65" s="83"/>
      <c r="AE65" s="83"/>
      <c r="AF65" s="83"/>
      <c r="AG65" s="85"/>
    </row>
    <row r="66" spans="1:33">
      <c r="A66" s="81">
        <v>44166</v>
      </c>
      <c r="B66" s="82">
        <v>1</v>
      </c>
      <c r="C66" s="82">
        <v>8650</v>
      </c>
      <c r="D66" s="83">
        <v>360</v>
      </c>
      <c r="E66" s="83">
        <v>360</v>
      </c>
      <c r="F66" s="83">
        <v>360</v>
      </c>
      <c r="G66" s="82" t="s">
        <v>82</v>
      </c>
      <c r="H66" s="82"/>
      <c r="I66" s="83"/>
      <c r="J66" s="82" t="s">
        <v>82</v>
      </c>
      <c r="K66" s="82"/>
      <c r="L66" s="83"/>
      <c r="M66" s="82" t="s">
        <v>82</v>
      </c>
      <c r="N66" s="82"/>
      <c r="O66" s="83"/>
      <c r="P66" s="84" t="s">
        <v>82</v>
      </c>
      <c r="Q66" s="85"/>
      <c r="R66" s="85"/>
      <c r="S66" s="82"/>
      <c r="T66" s="82" t="s">
        <v>95</v>
      </c>
      <c r="U66" s="83" t="s">
        <v>95</v>
      </c>
      <c r="V66" s="83" t="s">
        <v>95</v>
      </c>
      <c r="W66" s="83" t="s">
        <v>95</v>
      </c>
      <c r="X66" s="86"/>
      <c r="Y66" s="86"/>
      <c r="Z66" s="85"/>
      <c r="AA66" s="82"/>
      <c r="AB66" s="82"/>
      <c r="AC66" s="83"/>
      <c r="AD66" s="83"/>
      <c r="AE66" s="83"/>
      <c r="AF66" s="83"/>
      <c r="AG66" s="85"/>
    </row>
    <row r="67" spans="1:33">
      <c r="A67" s="81">
        <v>44197</v>
      </c>
      <c r="B67" s="82">
        <v>0</v>
      </c>
      <c r="C67" s="82">
        <v>0</v>
      </c>
      <c r="D67" s="83">
        <v>0</v>
      </c>
      <c r="E67" s="83">
        <v>0</v>
      </c>
      <c r="F67" s="83">
        <v>0</v>
      </c>
      <c r="G67" s="82" t="s">
        <v>82</v>
      </c>
      <c r="H67" s="82"/>
      <c r="I67" s="83"/>
      <c r="J67" s="82" t="s">
        <v>82</v>
      </c>
      <c r="K67" s="82"/>
      <c r="L67" s="83"/>
      <c r="M67" s="82" t="s">
        <v>82</v>
      </c>
      <c r="N67" s="82"/>
      <c r="O67" s="83"/>
      <c r="P67" s="84" t="s">
        <v>82</v>
      </c>
      <c r="Q67" s="85"/>
      <c r="R67" s="85"/>
      <c r="S67" s="82"/>
      <c r="T67" s="82" t="s">
        <v>95</v>
      </c>
      <c r="U67" s="83" t="s">
        <v>95</v>
      </c>
      <c r="V67" s="83" t="s">
        <v>95</v>
      </c>
      <c r="W67" s="83" t="s">
        <v>95</v>
      </c>
      <c r="X67" s="86"/>
      <c r="Y67" s="86"/>
      <c r="Z67" s="85"/>
      <c r="AA67" s="82"/>
      <c r="AB67" s="82"/>
      <c r="AC67" s="83"/>
      <c r="AD67" s="83"/>
      <c r="AE67" s="83"/>
      <c r="AF67" s="83"/>
      <c r="AG67" s="85"/>
    </row>
    <row r="68" spans="1:33">
      <c r="A68" s="81">
        <v>44228</v>
      </c>
      <c r="B68" s="82">
        <v>18</v>
      </c>
      <c r="C68" s="82">
        <v>150350</v>
      </c>
      <c r="D68" s="83">
        <v>432.91220485533756</v>
      </c>
      <c r="E68" s="83">
        <v>85</v>
      </c>
      <c r="F68" s="83">
        <v>457</v>
      </c>
      <c r="G68" s="82" t="s">
        <v>82</v>
      </c>
      <c r="H68" s="82"/>
      <c r="I68" s="83"/>
      <c r="J68" s="82" t="s">
        <v>82</v>
      </c>
      <c r="K68" s="82"/>
      <c r="L68" s="83"/>
      <c r="M68" s="82" t="s">
        <v>82</v>
      </c>
      <c r="N68" s="82"/>
      <c r="O68" s="83"/>
      <c r="P68" s="84" t="s">
        <v>82</v>
      </c>
      <c r="Q68" s="85"/>
      <c r="R68" s="85"/>
      <c r="S68" s="82"/>
      <c r="T68" s="82"/>
      <c r="U68" s="83"/>
      <c r="V68" s="83"/>
      <c r="W68" s="83"/>
      <c r="X68" s="85"/>
      <c r="Y68" s="85"/>
      <c r="Z68" s="85"/>
      <c r="AA68" s="82"/>
      <c r="AB68" s="82"/>
      <c r="AC68" s="83"/>
      <c r="AD68" s="83"/>
      <c r="AE68" s="83"/>
      <c r="AF68" s="83"/>
      <c r="AG68" s="85"/>
    </row>
    <row r="69" spans="1:33">
      <c r="A69" s="81">
        <v>44256</v>
      </c>
      <c r="B69" s="82">
        <v>12</v>
      </c>
      <c r="C69" s="82">
        <v>63913</v>
      </c>
      <c r="D69" s="83">
        <v>358.53212836199208</v>
      </c>
      <c r="E69" s="83">
        <v>206.23</v>
      </c>
      <c r="F69" s="83">
        <v>445</v>
      </c>
      <c r="G69" s="82" t="s">
        <v>82</v>
      </c>
      <c r="H69" s="82"/>
      <c r="I69" s="83"/>
      <c r="J69" s="82" t="s">
        <v>82</v>
      </c>
      <c r="K69" s="82"/>
      <c r="L69" s="83"/>
      <c r="M69" s="82" t="s">
        <v>82</v>
      </c>
      <c r="N69" s="82"/>
      <c r="O69" s="83"/>
      <c r="P69" s="84" t="s">
        <v>82</v>
      </c>
      <c r="Q69" s="85"/>
      <c r="R69" s="85"/>
      <c r="S69" s="82"/>
      <c r="T69" s="82"/>
      <c r="U69" s="83"/>
      <c r="V69" s="83"/>
      <c r="W69" s="83"/>
      <c r="X69" s="85"/>
      <c r="Y69" s="85"/>
      <c r="Z69" s="85"/>
      <c r="AA69" s="82"/>
      <c r="AB69" s="82"/>
      <c r="AC69" s="83"/>
      <c r="AD69" s="83"/>
      <c r="AE69" s="83"/>
      <c r="AF69" s="83"/>
      <c r="AG69" s="85"/>
    </row>
    <row r="70" spans="1:33">
      <c r="A70" s="81">
        <v>44287</v>
      </c>
      <c r="B70" s="82">
        <v>1</v>
      </c>
      <c r="C70" s="82">
        <v>1000</v>
      </c>
      <c r="D70" s="83">
        <v>425</v>
      </c>
      <c r="E70" s="83">
        <v>425</v>
      </c>
      <c r="F70" s="83">
        <v>425</v>
      </c>
      <c r="G70" s="82" t="s">
        <v>82</v>
      </c>
      <c r="H70" s="82"/>
      <c r="I70" s="83"/>
      <c r="J70" s="82" t="s">
        <v>82</v>
      </c>
      <c r="K70" s="82"/>
      <c r="L70" s="83"/>
      <c r="M70" s="82" t="s">
        <v>82</v>
      </c>
      <c r="N70" s="82"/>
      <c r="O70" s="83"/>
      <c r="P70" s="84" t="s">
        <v>82</v>
      </c>
      <c r="Q70" s="85"/>
      <c r="R70" s="85"/>
      <c r="S70" s="82"/>
      <c r="T70" s="82"/>
      <c r="U70" s="83"/>
      <c r="V70" s="83"/>
      <c r="W70" s="83"/>
      <c r="X70" s="85"/>
      <c r="Y70" s="85"/>
      <c r="Z70" s="85"/>
      <c r="AA70" s="82"/>
      <c r="AB70" s="82"/>
      <c r="AC70" s="83"/>
      <c r="AD70" s="83"/>
      <c r="AE70" s="83"/>
      <c r="AF70" s="83"/>
      <c r="AG70" s="85"/>
    </row>
    <row r="71" spans="1:33">
      <c r="A71" s="81">
        <v>44317</v>
      </c>
      <c r="B71" s="82">
        <v>3</v>
      </c>
      <c r="C71" s="82">
        <v>3900</v>
      </c>
      <c r="D71" s="83">
        <v>375</v>
      </c>
      <c r="E71" s="83">
        <v>345</v>
      </c>
      <c r="F71" s="83">
        <v>430</v>
      </c>
      <c r="G71" s="82" t="s">
        <v>82</v>
      </c>
      <c r="H71" s="82"/>
      <c r="I71" s="83"/>
      <c r="J71" s="82" t="s">
        <v>82</v>
      </c>
      <c r="K71" s="82"/>
      <c r="L71" s="83"/>
      <c r="M71" s="82" t="s">
        <v>82</v>
      </c>
      <c r="N71" s="82"/>
      <c r="O71" s="83"/>
      <c r="P71" s="84" t="s">
        <v>82</v>
      </c>
      <c r="Q71" s="85"/>
      <c r="R71" s="85"/>
      <c r="S71" s="82"/>
      <c r="T71" s="82"/>
      <c r="U71" s="83"/>
      <c r="V71" s="83"/>
      <c r="W71" s="83"/>
      <c r="X71" s="85"/>
      <c r="Y71" s="85"/>
      <c r="Z71" s="85"/>
      <c r="AA71" s="82"/>
      <c r="AB71" s="82"/>
      <c r="AC71" s="83"/>
      <c r="AD71" s="83"/>
      <c r="AE71" s="83"/>
      <c r="AF71" s="83"/>
      <c r="AG71" s="85"/>
    </row>
    <row r="72" spans="1:33">
      <c r="A72" s="81">
        <v>44348</v>
      </c>
      <c r="B72" s="82">
        <v>15</v>
      </c>
      <c r="C72" s="82">
        <v>39810</v>
      </c>
      <c r="D72" s="83">
        <v>425.50263752825924</v>
      </c>
      <c r="E72" s="83">
        <v>345</v>
      </c>
      <c r="F72" s="83">
        <v>493.5</v>
      </c>
      <c r="G72" s="82" t="s">
        <v>82</v>
      </c>
      <c r="H72" s="82"/>
      <c r="I72" s="83"/>
      <c r="J72" s="82" t="s">
        <v>82</v>
      </c>
      <c r="K72" s="82"/>
      <c r="L72" s="83"/>
      <c r="M72" s="82" t="s">
        <v>82</v>
      </c>
      <c r="N72" s="82"/>
      <c r="O72" s="83"/>
      <c r="P72" s="84" t="s">
        <v>82</v>
      </c>
      <c r="Q72" s="85"/>
      <c r="R72" s="85"/>
      <c r="S72" s="82"/>
      <c r="T72" s="82"/>
      <c r="U72" s="83"/>
      <c r="V72" s="83"/>
      <c r="W72" s="83"/>
      <c r="X72" s="85"/>
      <c r="Y72" s="85"/>
      <c r="Z72" s="85"/>
      <c r="AA72" s="82"/>
      <c r="AB72" s="82"/>
      <c r="AC72" s="83"/>
      <c r="AD72" s="83"/>
      <c r="AE72" s="83"/>
      <c r="AF72" s="83"/>
      <c r="AG72" s="85"/>
    </row>
    <row r="73" spans="1:33">
      <c r="A73" s="81">
        <v>44378</v>
      </c>
      <c r="B73" s="82">
        <v>6</v>
      </c>
      <c r="C73" s="82">
        <v>22529</v>
      </c>
      <c r="D73" s="83">
        <v>467.48905854676195</v>
      </c>
      <c r="E73" s="83">
        <v>425</v>
      </c>
      <c r="F73" s="83">
        <v>495</v>
      </c>
      <c r="G73" s="82" t="s">
        <v>82</v>
      </c>
      <c r="H73" s="82"/>
      <c r="I73" s="83"/>
      <c r="J73" s="82" t="s">
        <v>82</v>
      </c>
      <c r="K73" s="82"/>
      <c r="L73" s="83"/>
      <c r="M73" s="82" t="s">
        <v>82</v>
      </c>
      <c r="N73" s="82"/>
      <c r="O73" s="83"/>
      <c r="P73" s="84" t="s">
        <v>82</v>
      </c>
      <c r="Q73" s="85"/>
      <c r="R73" s="85"/>
      <c r="S73" s="82"/>
      <c r="T73" s="82"/>
      <c r="U73" s="83"/>
      <c r="V73" s="83"/>
      <c r="W73" s="83"/>
      <c r="X73" s="85"/>
      <c r="Y73" s="85"/>
      <c r="Z73" s="85"/>
      <c r="AA73" s="82"/>
      <c r="AB73" s="82"/>
      <c r="AC73" s="83"/>
      <c r="AD73" s="83"/>
      <c r="AE73" s="83"/>
      <c r="AF73" s="83"/>
      <c r="AG73" s="85"/>
    </row>
    <row r="74" spans="1:33">
      <c r="A74" s="81">
        <v>44409</v>
      </c>
      <c r="B74" s="82">
        <v>2</v>
      </c>
      <c r="C74" s="82">
        <v>20000</v>
      </c>
      <c r="D74" s="83">
        <v>469.25</v>
      </c>
      <c r="E74" s="83">
        <v>468.5</v>
      </c>
      <c r="F74" s="83">
        <v>470</v>
      </c>
      <c r="G74" s="82" t="s">
        <v>82</v>
      </c>
      <c r="H74" s="82"/>
      <c r="I74" s="83"/>
      <c r="J74" s="82" t="s">
        <v>82</v>
      </c>
      <c r="K74" s="82"/>
      <c r="L74" s="83"/>
      <c r="M74" s="82" t="s">
        <v>82</v>
      </c>
      <c r="N74" s="82"/>
      <c r="O74" s="83"/>
      <c r="P74" s="84" t="s">
        <v>82</v>
      </c>
      <c r="Q74" s="85"/>
      <c r="R74" s="85"/>
      <c r="S74" s="82"/>
      <c r="T74" s="82"/>
      <c r="U74" s="83"/>
      <c r="V74" s="83"/>
      <c r="W74" s="83"/>
      <c r="X74" s="85"/>
      <c r="Y74" s="85"/>
      <c r="Z74" s="85"/>
      <c r="AA74" s="82"/>
      <c r="AB74" s="82"/>
      <c r="AC74" s="83"/>
      <c r="AD74" s="83"/>
      <c r="AE74" s="83"/>
      <c r="AF74" s="83"/>
      <c r="AG74" s="85"/>
    </row>
    <row r="75" spans="1:33">
      <c r="A75" s="81">
        <v>44440</v>
      </c>
      <c r="B75" s="82">
        <v>7</v>
      </c>
      <c r="C75" s="82">
        <v>100000</v>
      </c>
      <c r="D75" s="83">
        <v>474.02499999999998</v>
      </c>
      <c r="E75" s="83">
        <v>469.5</v>
      </c>
      <c r="F75" s="83">
        <v>485</v>
      </c>
      <c r="G75" s="82" t="s">
        <v>82</v>
      </c>
      <c r="H75" s="82"/>
      <c r="I75" s="83"/>
      <c r="J75" s="82" t="s">
        <v>82</v>
      </c>
      <c r="K75" s="82"/>
      <c r="L75" s="83"/>
      <c r="M75" s="82" t="s">
        <v>82</v>
      </c>
      <c r="N75" s="82"/>
      <c r="O75" s="83"/>
      <c r="P75" s="84" t="s">
        <v>82</v>
      </c>
      <c r="Q75" s="85"/>
      <c r="R75" s="85"/>
      <c r="S75" s="82"/>
      <c r="T75" s="82"/>
      <c r="U75" s="83"/>
      <c r="V75" s="83"/>
      <c r="W75" s="83"/>
      <c r="X75" s="85"/>
      <c r="Y75" s="85"/>
      <c r="Z75" s="85"/>
      <c r="AA75" s="82"/>
      <c r="AB75" s="82"/>
      <c r="AC75" s="83"/>
      <c r="AD75" s="83"/>
      <c r="AE75" s="83"/>
      <c r="AF75" s="83"/>
      <c r="AG75" s="85"/>
    </row>
    <row r="76" spans="1:33">
      <c r="A76" s="81">
        <v>44470</v>
      </c>
      <c r="B76" s="82">
        <v>2</v>
      </c>
      <c r="C76" s="82">
        <v>3325</v>
      </c>
      <c r="D76" s="83">
        <v>357.14473684210526</v>
      </c>
      <c r="E76" s="83">
        <v>345</v>
      </c>
      <c r="F76" s="83">
        <v>469.25</v>
      </c>
      <c r="G76" s="82" t="s">
        <v>82</v>
      </c>
      <c r="H76" s="82"/>
      <c r="I76" s="83"/>
      <c r="J76" s="82" t="s">
        <v>82</v>
      </c>
      <c r="K76" s="82"/>
      <c r="L76" s="83"/>
      <c r="M76" s="82" t="s">
        <v>82</v>
      </c>
      <c r="N76" s="82"/>
      <c r="O76" s="83"/>
      <c r="P76" s="84" t="s">
        <v>82</v>
      </c>
      <c r="Q76" s="85"/>
      <c r="R76" s="85"/>
      <c r="S76" s="82"/>
      <c r="T76" s="82"/>
      <c r="U76" s="83"/>
      <c r="V76" s="83"/>
      <c r="W76" s="83"/>
      <c r="X76" s="85"/>
      <c r="Y76" s="85"/>
      <c r="Z76" s="85"/>
      <c r="AA76" s="82"/>
      <c r="AB76" s="82"/>
      <c r="AC76" s="83"/>
      <c r="AD76" s="83"/>
      <c r="AE76" s="83"/>
      <c r="AF76" s="83"/>
      <c r="AG76" s="85"/>
    </row>
    <row r="77" spans="1:33">
      <c r="A77" s="81">
        <v>44501</v>
      </c>
      <c r="B77" s="82">
        <v>18</v>
      </c>
      <c r="C77" s="82">
        <v>146613</v>
      </c>
      <c r="D77" s="83">
        <v>486.16870911856387</v>
      </c>
      <c r="E77" s="83">
        <v>425</v>
      </c>
      <c r="F77" s="83">
        <v>519.19000000000005</v>
      </c>
      <c r="G77" s="82" t="s">
        <v>82</v>
      </c>
      <c r="H77" s="82"/>
      <c r="I77" s="83"/>
      <c r="J77" s="82" t="s">
        <v>82</v>
      </c>
      <c r="K77" s="82"/>
      <c r="L77" s="83"/>
      <c r="M77" s="82" t="s">
        <v>82</v>
      </c>
      <c r="N77" s="82"/>
      <c r="O77" s="83"/>
      <c r="P77" s="84" t="s">
        <v>82</v>
      </c>
      <c r="Q77" s="85"/>
      <c r="R77" s="85"/>
      <c r="S77" s="82"/>
      <c r="T77" s="82"/>
      <c r="U77" s="83"/>
      <c r="V77" s="83"/>
      <c r="W77" s="83"/>
      <c r="X77" s="85"/>
      <c r="Y77" s="85"/>
      <c r="Z77" s="85"/>
      <c r="AA77" s="82"/>
      <c r="AB77" s="82"/>
      <c r="AC77" s="83"/>
      <c r="AD77" s="83"/>
      <c r="AE77" s="83"/>
      <c r="AF77" s="83"/>
      <c r="AG77" s="85"/>
    </row>
    <row r="78" spans="1:33">
      <c r="A78" s="81">
        <v>44531</v>
      </c>
      <c r="B78" s="82">
        <v>1</v>
      </c>
      <c r="C78" s="82">
        <v>466</v>
      </c>
      <c r="D78" s="83">
        <v>465</v>
      </c>
      <c r="E78" s="83">
        <v>465</v>
      </c>
      <c r="F78" s="83">
        <v>465</v>
      </c>
      <c r="G78" s="82" t="s">
        <v>82</v>
      </c>
      <c r="H78" s="82"/>
      <c r="I78" s="83"/>
      <c r="J78" s="82" t="s">
        <v>82</v>
      </c>
      <c r="K78" s="82"/>
      <c r="L78" s="83"/>
      <c r="M78" s="82" t="s">
        <v>82</v>
      </c>
      <c r="N78" s="82"/>
      <c r="O78" s="83"/>
      <c r="P78" s="84" t="s">
        <v>82</v>
      </c>
      <c r="Q78" s="85"/>
      <c r="R78" s="85"/>
      <c r="S78" s="82"/>
      <c r="T78" s="82"/>
      <c r="U78" s="83"/>
      <c r="V78" s="83"/>
      <c r="W78" s="83"/>
      <c r="X78" s="85"/>
      <c r="Y78" s="85"/>
      <c r="Z78" s="85"/>
      <c r="AA78" s="82"/>
      <c r="AB78" s="82"/>
      <c r="AC78" s="83"/>
      <c r="AD78" s="83"/>
      <c r="AE78" s="83"/>
      <c r="AF78" s="83"/>
      <c r="AG78" s="85"/>
    </row>
    <row r="79" spans="1:33">
      <c r="A79" s="81">
        <v>44562</v>
      </c>
      <c r="B79" s="82">
        <v>1</v>
      </c>
      <c r="C79" s="82">
        <v>15000</v>
      </c>
      <c r="D79" s="83">
        <v>486.17</v>
      </c>
      <c r="E79" s="83">
        <v>486.17</v>
      </c>
      <c r="F79" s="83">
        <v>486.17</v>
      </c>
      <c r="G79" s="82" t="s">
        <v>82</v>
      </c>
      <c r="H79" s="82"/>
      <c r="I79" s="83"/>
      <c r="J79" s="82" t="s">
        <v>82</v>
      </c>
      <c r="K79" s="82"/>
      <c r="L79" s="83"/>
      <c r="M79" s="82" t="s">
        <v>82</v>
      </c>
      <c r="N79" s="82"/>
      <c r="O79" s="83"/>
      <c r="P79" s="84" t="s">
        <v>82</v>
      </c>
      <c r="Q79" s="85"/>
      <c r="R79" s="85"/>
      <c r="S79" s="82"/>
      <c r="T79" s="82"/>
      <c r="U79" s="83"/>
      <c r="V79" s="83"/>
      <c r="W79" s="83"/>
      <c r="X79" s="85"/>
      <c r="Y79" s="85"/>
      <c r="Z79" s="85"/>
      <c r="AA79" s="82"/>
      <c r="AB79" s="82"/>
      <c r="AC79" s="83"/>
      <c r="AD79" s="83"/>
      <c r="AE79" s="83"/>
      <c r="AF79" s="83"/>
      <c r="AG79" s="85"/>
    </row>
    <row r="80" spans="1:33">
      <c r="A80" s="81">
        <v>44593</v>
      </c>
      <c r="B80" s="82">
        <v>5</v>
      </c>
      <c r="C80" s="82">
        <v>48000</v>
      </c>
      <c r="D80" s="83">
        <v>449.375</v>
      </c>
      <c r="E80" s="83">
        <v>345</v>
      </c>
      <c r="F80" s="83">
        <v>475</v>
      </c>
      <c r="G80" s="82" t="s">
        <v>82</v>
      </c>
      <c r="H80" s="82"/>
      <c r="I80" s="83"/>
      <c r="J80" s="82" t="s">
        <v>82</v>
      </c>
      <c r="K80" s="82"/>
      <c r="L80" s="83"/>
      <c r="M80" s="82" t="s">
        <v>82</v>
      </c>
      <c r="N80" s="82"/>
      <c r="O80" s="83"/>
      <c r="P80" s="84" t="s">
        <v>82</v>
      </c>
      <c r="Q80" s="85"/>
      <c r="R80" s="85"/>
      <c r="S80" s="82"/>
      <c r="T80" s="82"/>
      <c r="U80" s="83"/>
      <c r="V80" s="83"/>
      <c r="W80" s="83"/>
      <c r="X80" s="85"/>
      <c r="Y80" s="85"/>
      <c r="Z80" s="85"/>
      <c r="AA80" s="82"/>
      <c r="AB80" s="82"/>
      <c r="AC80" s="83"/>
      <c r="AD80" s="83"/>
      <c r="AE80" s="83"/>
      <c r="AF80" s="83"/>
      <c r="AG80" s="85"/>
    </row>
    <row r="81" spans="1:33">
      <c r="A81" s="81">
        <v>44621</v>
      </c>
      <c r="B81" s="82">
        <v>21</v>
      </c>
      <c r="C81" s="82">
        <v>184755</v>
      </c>
      <c r="D81" s="83">
        <v>470.45152488430625</v>
      </c>
      <c r="E81" s="83">
        <v>447</v>
      </c>
      <c r="F81" s="83">
        <v>497.77</v>
      </c>
      <c r="G81" s="82" t="s">
        <v>82</v>
      </c>
      <c r="H81" s="82"/>
      <c r="I81" s="83"/>
      <c r="J81" s="82" t="s">
        <v>82</v>
      </c>
      <c r="K81" s="82"/>
      <c r="L81" s="83"/>
      <c r="M81" s="82" t="s">
        <v>82</v>
      </c>
      <c r="N81" s="82"/>
      <c r="O81" s="83"/>
      <c r="P81" s="84" t="s">
        <v>82</v>
      </c>
      <c r="Q81" s="85"/>
      <c r="R81" s="85"/>
      <c r="S81" s="82"/>
      <c r="T81" s="82"/>
      <c r="U81" s="83"/>
      <c r="V81" s="83"/>
      <c r="W81" s="83"/>
      <c r="X81" s="85"/>
      <c r="Y81" s="85"/>
      <c r="Z81" s="85"/>
      <c r="AA81" s="82"/>
      <c r="AB81" s="82"/>
      <c r="AC81" s="83"/>
      <c r="AD81" s="83"/>
      <c r="AE81" s="83"/>
      <c r="AF81" s="83"/>
      <c r="AG81" s="85"/>
    </row>
    <row r="82" spans="1:33">
      <c r="A82" s="81">
        <v>44652</v>
      </c>
      <c r="B82" s="82">
        <v>2</v>
      </c>
      <c r="C82" s="82">
        <v>3126</v>
      </c>
      <c r="D82" s="83">
        <v>372.93346129238643</v>
      </c>
      <c r="E82" s="83">
        <v>340</v>
      </c>
      <c r="F82" s="83">
        <v>485</v>
      </c>
      <c r="G82" s="82" t="s">
        <v>82</v>
      </c>
      <c r="H82" s="82"/>
      <c r="I82" s="83"/>
      <c r="J82" s="82" t="s">
        <v>82</v>
      </c>
      <c r="K82" s="82"/>
      <c r="L82" s="83"/>
      <c r="M82" s="82" t="s">
        <v>82</v>
      </c>
      <c r="N82" s="82"/>
      <c r="O82" s="83"/>
      <c r="P82" s="84" t="s">
        <v>82</v>
      </c>
      <c r="Q82" s="85"/>
      <c r="R82" s="85"/>
      <c r="S82" s="82"/>
      <c r="T82" s="82"/>
      <c r="U82" s="83"/>
      <c r="V82" s="83"/>
      <c r="W82" s="83"/>
      <c r="X82" s="85"/>
      <c r="Y82" s="85"/>
      <c r="Z82" s="85"/>
      <c r="AA82" s="82"/>
      <c r="AB82" s="82"/>
      <c r="AC82" s="83"/>
      <c r="AD82" s="83"/>
      <c r="AE82" s="83"/>
      <c r="AF82" s="83"/>
      <c r="AG82" s="85"/>
    </row>
    <row r="83" spans="1:33">
      <c r="A83" s="81">
        <v>44682</v>
      </c>
      <c r="B83" s="82">
        <v>0</v>
      </c>
      <c r="C83" s="82">
        <v>0</v>
      </c>
      <c r="D83" s="83">
        <v>0</v>
      </c>
      <c r="E83" s="83">
        <v>0</v>
      </c>
      <c r="F83" s="83">
        <v>0</v>
      </c>
      <c r="G83" s="82" t="s">
        <v>82</v>
      </c>
      <c r="H83" s="82"/>
      <c r="I83" s="83"/>
      <c r="J83" s="82" t="s">
        <v>82</v>
      </c>
      <c r="K83" s="82"/>
      <c r="L83" s="83"/>
      <c r="M83" s="82" t="s">
        <v>82</v>
      </c>
      <c r="N83" s="82"/>
      <c r="O83" s="83"/>
      <c r="P83" s="84" t="s">
        <v>82</v>
      </c>
      <c r="Q83" s="85"/>
      <c r="R83" s="85"/>
      <c r="S83" s="82"/>
      <c r="T83" s="82"/>
      <c r="U83" s="83"/>
      <c r="V83" s="83"/>
      <c r="W83" s="83"/>
      <c r="X83" s="85"/>
      <c r="Y83" s="85"/>
      <c r="Z83" s="85"/>
      <c r="AA83" s="82"/>
      <c r="AB83" s="82"/>
      <c r="AC83" s="83"/>
      <c r="AD83" s="83"/>
      <c r="AE83" s="83"/>
      <c r="AF83" s="83"/>
      <c r="AG83" s="85"/>
    </row>
    <row r="84" spans="1:33">
      <c r="A84" s="81">
        <v>44713</v>
      </c>
      <c r="B84" s="82">
        <v>6</v>
      </c>
      <c r="C84" s="82">
        <v>24934</v>
      </c>
      <c r="D84" s="83">
        <v>406.30845431940321</v>
      </c>
      <c r="E84" s="83">
        <v>340</v>
      </c>
      <c r="F84" s="83">
        <v>485</v>
      </c>
      <c r="G84" s="82">
        <v>2</v>
      </c>
      <c r="H84" s="82">
        <v>1093</v>
      </c>
      <c r="I84" s="83">
        <v>475.48</v>
      </c>
      <c r="J84" s="82">
        <v>2</v>
      </c>
      <c r="K84" s="82">
        <v>18000</v>
      </c>
      <c r="L84" s="83">
        <v>422.5</v>
      </c>
      <c r="M84" s="82">
        <v>2</v>
      </c>
      <c r="N84" s="82">
        <v>5841</v>
      </c>
      <c r="O84" s="83">
        <v>343.47</v>
      </c>
      <c r="P84" s="84">
        <v>0</v>
      </c>
      <c r="Q84" s="85"/>
      <c r="R84" s="85"/>
      <c r="S84" s="82"/>
      <c r="T84" s="82"/>
      <c r="U84" s="83"/>
      <c r="V84" s="83"/>
      <c r="W84" s="83"/>
      <c r="X84" s="85"/>
      <c r="Y84" s="85"/>
      <c r="Z84" s="85"/>
      <c r="AA84" s="82"/>
      <c r="AB84" s="82"/>
      <c r="AC84" s="83"/>
      <c r="AD84" s="83"/>
      <c r="AE84" s="83"/>
      <c r="AF84" s="83"/>
      <c r="AG84" s="85"/>
    </row>
    <row r="85" spans="1:33">
      <c r="A85" s="81">
        <v>44743</v>
      </c>
      <c r="B85" s="82">
        <v>26</v>
      </c>
      <c r="C85" s="82">
        <v>233833</v>
      </c>
      <c r="D85" s="83">
        <v>444.85316443786803</v>
      </c>
      <c r="E85" s="83">
        <v>400</v>
      </c>
      <c r="F85" s="83">
        <v>490</v>
      </c>
      <c r="G85" s="82">
        <v>26</v>
      </c>
      <c r="H85" s="82">
        <v>233833</v>
      </c>
      <c r="I85" s="83">
        <v>444.85</v>
      </c>
      <c r="J85" s="82">
        <v>0</v>
      </c>
      <c r="K85" s="82" t="s">
        <v>82</v>
      </c>
      <c r="L85" s="83" t="s">
        <v>82</v>
      </c>
      <c r="M85" s="82">
        <v>0</v>
      </c>
      <c r="N85" s="82" t="s">
        <v>82</v>
      </c>
      <c r="O85" s="83" t="s">
        <v>82</v>
      </c>
      <c r="P85" s="84">
        <v>0</v>
      </c>
      <c r="Q85" s="85"/>
      <c r="R85" s="85"/>
      <c r="S85" s="82"/>
      <c r="T85" s="82"/>
      <c r="U85" s="83"/>
      <c r="V85" s="83"/>
      <c r="W85" s="83"/>
      <c r="X85" s="85"/>
      <c r="Y85" s="85"/>
      <c r="Z85" s="85"/>
      <c r="AA85" s="82"/>
      <c r="AB85" s="82"/>
      <c r="AC85" s="83"/>
      <c r="AD85" s="83"/>
      <c r="AE85" s="83"/>
      <c r="AF85" s="83"/>
      <c r="AG85" s="85"/>
    </row>
    <row r="86" spans="1:33">
      <c r="A86" s="81">
        <v>44774</v>
      </c>
      <c r="B86" s="82">
        <v>4</v>
      </c>
      <c r="C86" s="82">
        <v>26049</v>
      </c>
      <c r="D86" s="83">
        <v>472.32216207915849</v>
      </c>
      <c r="E86" s="83">
        <v>460</v>
      </c>
      <c r="F86" s="83">
        <v>480</v>
      </c>
      <c r="G86" s="82">
        <v>4</v>
      </c>
      <c r="H86" s="82">
        <v>26049</v>
      </c>
      <c r="I86" s="83">
        <v>472.32</v>
      </c>
      <c r="J86" s="82">
        <v>0</v>
      </c>
      <c r="K86" s="82" t="s">
        <v>82</v>
      </c>
      <c r="L86" s="83" t="s">
        <v>82</v>
      </c>
      <c r="M86" s="82">
        <v>0</v>
      </c>
      <c r="N86" s="82" t="s">
        <v>82</v>
      </c>
      <c r="O86" s="83" t="s">
        <v>82</v>
      </c>
      <c r="P86" s="84">
        <v>0</v>
      </c>
      <c r="Q86" s="85"/>
      <c r="R86" s="85"/>
      <c r="S86" s="82"/>
      <c r="T86" s="82"/>
      <c r="U86" s="83"/>
      <c r="V86" s="83"/>
      <c r="W86" s="83"/>
      <c r="X86" s="85"/>
      <c r="Y86" s="85"/>
      <c r="Z86" s="85"/>
      <c r="AA86" s="82"/>
      <c r="AB86" s="82"/>
      <c r="AC86" s="83"/>
      <c r="AD86" s="83"/>
      <c r="AE86" s="83"/>
      <c r="AF86" s="83"/>
      <c r="AG86" s="85"/>
    </row>
    <row r="87" spans="1:33">
      <c r="A87" s="81">
        <v>44805</v>
      </c>
      <c r="B87" s="82">
        <v>7</v>
      </c>
      <c r="C87" s="82">
        <v>105000</v>
      </c>
      <c r="D87" s="83">
        <v>448.85952380952381</v>
      </c>
      <c r="E87" s="83">
        <v>435.5</v>
      </c>
      <c r="F87" s="83">
        <v>478.01</v>
      </c>
      <c r="G87" s="82">
        <v>6</v>
      </c>
      <c r="H87" s="82">
        <v>80000</v>
      </c>
      <c r="I87" s="83">
        <v>439.75</v>
      </c>
      <c r="J87" s="82">
        <v>1</v>
      </c>
      <c r="K87" s="82">
        <v>25000</v>
      </c>
      <c r="L87" s="83">
        <v>478.01</v>
      </c>
      <c r="M87" s="82">
        <v>0</v>
      </c>
      <c r="N87" s="82" t="s">
        <v>82</v>
      </c>
      <c r="O87" s="83" t="s">
        <v>82</v>
      </c>
      <c r="P87" s="84">
        <v>0</v>
      </c>
      <c r="Q87" s="85"/>
      <c r="R87" s="85"/>
      <c r="S87" s="82"/>
      <c r="T87" s="82"/>
      <c r="U87" s="83"/>
      <c r="V87" s="83"/>
      <c r="W87" s="83"/>
      <c r="X87" s="85"/>
      <c r="Y87" s="85"/>
      <c r="Z87" s="85"/>
      <c r="AA87" s="82"/>
      <c r="AB87" s="82"/>
      <c r="AC87" s="83"/>
      <c r="AD87" s="83"/>
      <c r="AE87" s="83"/>
      <c r="AF87" s="83"/>
      <c r="AG87" s="85"/>
    </row>
    <row r="88" spans="1:33">
      <c r="A88" s="81">
        <v>44835</v>
      </c>
      <c r="B88" s="82">
        <v>11</v>
      </c>
      <c r="C88" s="82">
        <v>102966</v>
      </c>
      <c r="D88" s="83">
        <v>436.58304683099277</v>
      </c>
      <c r="E88" s="83">
        <v>425</v>
      </c>
      <c r="F88" s="83">
        <v>451</v>
      </c>
      <c r="G88" s="82">
        <v>10</v>
      </c>
      <c r="H88" s="82">
        <v>82966</v>
      </c>
      <c r="I88" s="83">
        <v>433.11</v>
      </c>
      <c r="J88" s="82">
        <v>0</v>
      </c>
      <c r="K88" s="82" t="s">
        <v>82</v>
      </c>
      <c r="L88" s="83" t="s">
        <v>82</v>
      </c>
      <c r="M88" s="82">
        <v>1</v>
      </c>
      <c r="N88" s="82">
        <v>20000</v>
      </c>
      <c r="O88" s="83">
        <v>451</v>
      </c>
      <c r="P88" s="84">
        <v>0</v>
      </c>
      <c r="Q88" s="85"/>
      <c r="R88" s="85"/>
      <c r="S88" s="82"/>
      <c r="T88" s="82"/>
      <c r="U88" s="83"/>
      <c r="V88" s="83"/>
      <c r="W88" s="83"/>
      <c r="X88" s="85"/>
      <c r="Y88" s="85"/>
      <c r="Z88" s="85"/>
      <c r="AA88" s="82"/>
      <c r="AB88" s="82"/>
      <c r="AC88" s="83"/>
      <c r="AD88" s="83"/>
      <c r="AE88" s="83"/>
      <c r="AF88" s="83"/>
      <c r="AG88" s="85"/>
    </row>
    <row r="89" spans="1:33">
      <c r="A89" s="81">
        <v>44866</v>
      </c>
      <c r="B89" s="82">
        <v>24</v>
      </c>
      <c r="C89" s="82">
        <v>125500</v>
      </c>
      <c r="D89" s="83">
        <v>450.03473203187247</v>
      </c>
      <c r="E89" s="83">
        <v>340</v>
      </c>
      <c r="F89" s="83">
        <v>465.01</v>
      </c>
      <c r="G89" s="82">
        <v>21</v>
      </c>
      <c r="H89" s="82">
        <v>116207</v>
      </c>
      <c r="I89" s="83">
        <v>453.91</v>
      </c>
      <c r="J89" s="82">
        <v>0</v>
      </c>
      <c r="K89" s="82" t="s">
        <v>82</v>
      </c>
      <c r="L89" s="83" t="s">
        <v>82</v>
      </c>
      <c r="M89" s="82">
        <v>3</v>
      </c>
      <c r="N89" s="82">
        <v>9293</v>
      </c>
      <c r="O89" s="83">
        <v>401.61</v>
      </c>
      <c r="P89" s="84">
        <v>0</v>
      </c>
      <c r="Q89" s="85"/>
      <c r="R89" s="85"/>
      <c r="S89" s="82"/>
      <c r="T89" s="82"/>
      <c r="U89" s="83"/>
      <c r="V89" s="83"/>
      <c r="W89" s="83"/>
      <c r="X89" s="85"/>
      <c r="Y89" s="85"/>
      <c r="Z89" s="85"/>
      <c r="AA89" s="82"/>
      <c r="AB89" s="82"/>
      <c r="AC89" s="83"/>
      <c r="AD89" s="83"/>
      <c r="AE89" s="83"/>
      <c r="AF89" s="83"/>
      <c r="AG89" s="85"/>
    </row>
    <row r="90" spans="1:33">
      <c r="A90" s="81">
        <v>44896</v>
      </c>
      <c r="B90" s="82">
        <v>11</v>
      </c>
      <c r="C90" s="82">
        <v>79014</v>
      </c>
      <c r="D90" s="83">
        <v>443.82490444731314</v>
      </c>
      <c r="E90" s="83">
        <v>422</v>
      </c>
      <c r="F90" s="83">
        <v>480</v>
      </c>
      <c r="G90" s="82">
        <v>8</v>
      </c>
      <c r="H90" s="82">
        <v>43014</v>
      </c>
      <c r="I90" s="83">
        <v>449.12</v>
      </c>
      <c r="J90" s="82">
        <v>2</v>
      </c>
      <c r="K90" s="82">
        <v>11000</v>
      </c>
      <c r="L90" s="83">
        <v>472.73</v>
      </c>
      <c r="M90" s="82">
        <v>1</v>
      </c>
      <c r="N90" s="82">
        <v>25000</v>
      </c>
      <c r="O90" s="83">
        <v>422</v>
      </c>
      <c r="P90" s="84">
        <v>0</v>
      </c>
      <c r="Q90" s="85"/>
      <c r="R90" s="85"/>
      <c r="S90" s="82"/>
      <c r="T90" s="82"/>
      <c r="U90" s="83"/>
      <c r="V90" s="83"/>
      <c r="W90" s="83"/>
      <c r="X90" s="85"/>
      <c r="Y90" s="85"/>
      <c r="Z90" s="85"/>
      <c r="AA90" s="82"/>
      <c r="AB90" s="82"/>
      <c r="AC90" s="83"/>
      <c r="AD90" s="83"/>
      <c r="AE90" s="83"/>
      <c r="AF90" s="83"/>
      <c r="AG90" s="85"/>
    </row>
    <row r="91" spans="1:33">
      <c r="A91" s="81">
        <v>44927</v>
      </c>
      <c r="B91" s="82">
        <v>2</v>
      </c>
      <c r="C91" s="82">
        <v>35098</v>
      </c>
      <c r="D91" s="83">
        <v>425.06980454726767</v>
      </c>
      <c r="E91" s="83">
        <v>425</v>
      </c>
      <c r="F91" s="83">
        <v>450</v>
      </c>
      <c r="G91" s="82">
        <v>1</v>
      </c>
      <c r="H91" s="82">
        <v>98</v>
      </c>
      <c r="I91" s="83">
        <v>450</v>
      </c>
      <c r="J91" s="82">
        <v>0</v>
      </c>
      <c r="K91" s="82" t="s">
        <v>82</v>
      </c>
      <c r="L91" s="83" t="s">
        <v>82</v>
      </c>
      <c r="M91" s="82">
        <v>1</v>
      </c>
      <c r="N91" s="82">
        <v>35000</v>
      </c>
      <c r="O91" s="83">
        <v>425</v>
      </c>
      <c r="P91" s="84">
        <v>0</v>
      </c>
      <c r="Q91" s="85"/>
      <c r="R91" s="85"/>
      <c r="S91" s="82"/>
      <c r="T91" s="82"/>
      <c r="U91" s="83"/>
      <c r="V91" s="83"/>
      <c r="W91" s="83"/>
      <c r="X91" s="85"/>
      <c r="Y91" s="85"/>
      <c r="Z91" s="85"/>
      <c r="AA91" s="82"/>
      <c r="AB91" s="82"/>
      <c r="AC91" s="83"/>
      <c r="AD91" s="83"/>
      <c r="AE91" s="83"/>
      <c r="AF91" s="83"/>
      <c r="AG91" s="85"/>
    </row>
    <row r="92" spans="1:33">
      <c r="A92" s="81">
        <v>44958</v>
      </c>
      <c r="B92" s="82">
        <v>4</v>
      </c>
      <c r="C92" s="82">
        <v>23856</v>
      </c>
      <c r="D92" s="83">
        <v>460.69584171696846</v>
      </c>
      <c r="E92" s="83">
        <v>310</v>
      </c>
      <c r="F92" s="83">
        <v>475</v>
      </c>
      <c r="G92" s="82">
        <v>3</v>
      </c>
      <c r="H92" s="82">
        <v>23000</v>
      </c>
      <c r="I92" s="83">
        <v>466.3</v>
      </c>
      <c r="J92" s="82">
        <v>0</v>
      </c>
      <c r="K92" s="82" t="s">
        <v>82</v>
      </c>
      <c r="L92" s="83" t="s">
        <v>82</v>
      </c>
      <c r="M92" s="82">
        <v>1</v>
      </c>
      <c r="N92" s="82">
        <v>856</v>
      </c>
      <c r="O92" s="83">
        <v>310</v>
      </c>
      <c r="P92" s="84">
        <v>0</v>
      </c>
      <c r="Q92" s="85"/>
      <c r="R92" s="85"/>
      <c r="S92" s="82"/>
      <c r="T92" s="82"/>
      <c r="U92" s="83"/>
      <c r="V92" s="83"/>
      <c r="W92" s="83"/>
      <c r="X92" s="85"/>
      <c r="Y92" s="85"/>
      <c r="Z92" s="85"/>
      <c r="AA92" s="82"/>
      <c r="AB92" s="82"/>
      <c r="AC92" s="83"/>
      <c r="AD92" s="83"/>
      <c r="AE92" s="83"/>
      <c r="AF92" s="83"/>
      <c r="AG92" s="85"/>
    </row>
    <row r="93" spans="1:33">
      <c r="A93" s="81">
        <v>44986</v>
      </c>
      <c r="B93" s="82">
        <v>31</v>
      </c>
      <c r="C93" s="82">
        <v>304927</v>
      </c>
      <c r="D93" s="83">
        <v>451.08065264801087</v>
      </c>
      <c r="E93" s="83">
        <v>345</v>
      </c>
      <c r="F93" s="83">
        <v>482</v>
      </c>
      <c r="G93" s="82">
        <v>23</v>
      </c>
      <c r="H93" s="82">
        <v>137629</v>
      </c>
      <c r="I93" s="83">
        <v>458.92</v>
      </c>
      <c r="J93" s="82">
        <v>3</v>
      </c>
      <c r="K93" s="82">
        <v>15018</v>
      </c>
      <c r="L93" s="83">
        <v>443.94</v>
      </c>
      <c r="M93" s="82">
        <v>5</v>
      </c>
      <c r="N93" s="82">
        <v>152280</v>
      </c>
      <c r="O93" s="83">
        <v>444.7</v>
      </c>
      <c r="P93" s="84">
        <v>0</v>
      </c>
      <c r="Q93" s="85"/>
      <c r="R93" s="85"/>
      <c r="S93" s="82"/>
      <c r="T93" s="82"/>
      <c r="U93" s="83"/>
      <c r="V93" s="83"/>
      <c r="W93" s="83"/>
      <c r="X93" s="85"/>
      <c r="Y93" s="85"/>
      <c r="Z93" s="85"/>
      <c r="AA93" s="82"/>
      <c r="AB93" s="82"/>
      <c r="AC93" s="83"/>
      <c r="AD93" s="83"/>
      <c r="AE93" s="83"/>
      <c r="AF93" s="83"/>
      <c r="AG93" s="85"/>
    </row>
    <row r="94" spans="1:33">
      <c r="A94" s="81">
        <v>45017</v>
      </c>
      <c r="B94" s="82">
        <v>5</v>
      </c>
      <c r="C94" s="82">
        <v>112000</v>
      </c>
      <c r="D94" s="83">
        <v>476.80892857142857</v>
      </c>
      <c r="E94" s="83">
        <v>460</v>
      </c>
      <c r="F94" s="83">
        <v>481</v>
      </c>
      <c r="G94" s="82">
        <v>5</v>
      </c>
      <c r="H94" s="82">
        <v>112000</v>
      </c>
      <c r="I94" s="83">
        <v>476.81</v>
      </c>
      <c r="J94" s="82">
        <v>0</v>
      </c>
      <c r="K94" s="82" t="s">
        <v>82</v>
      </c>
      <c r="L94" s="83" t="s">
        <v>82</v>
      </c>
      <c r="M94" s="82">
        <v>0</v>
      </c>
      <c r="N94" s="82" t="s">
        <v>82</v>
      </c>
      <c r="O94" s="83" t="s">
        <v>82</v>
      </c>
      <c r="P94" s="84">
        <v>0</v>
      </c>
      <c r="Q94" s="85"/>
      <c r="R94" s="85"/>
      <c r="S94" s="82"/>
      <c r="T94" s="82"/>
      <c r="U94" s="83"/>
      <c r="V94" s="83"/>
      <c r="W94" s="83"/>
      <c r="X94" s="85"/>
      <c r="Y94" s="85"/>
      <c r="Z94" s="85"/>
      <c r="AA94" s="82"/>
      <c r="AB94" s="82"/>
      <c r="AC94" s="83"/>
      <c r="AD94" s="83"/>
      <c r="AE94" s="83"/>
      <c r="AF94" s="83"/>
      <c r="AG94" s="85"/>
    </row>
    <row r="95" spans="1:33">
      <c r="A95" s="81">
        <v>45047</v>
      </c>
      <c r="B95" s="82">
        <v>3</v>
      </c>
      <c r="C95" s="82">
        <v>7538</v>
      </c>
      <c r="D95" s="83">
        <v>471.63305916688779</v>
      </c>
      <c r="E95" s="83">
        <v>455</v>
      </c>
      <c r="F95" s="83">
        <v>480</v>
      </c>
      <c r="G95" s="82">
        <v>3</v>
      </c>
      <c r="H95" s="82">
        <v>7538</v>
      </c>
      <c r="I95" s="83">
        <v>471.63</v>
      </c>
      <c r="J95" s="82">
        <v>0</v>
      </c>
      <c r="K95" s="82" t="s">
        <v>82</v>
      </c>
      <c r="L95" s="83" t="s">
        <v>82</v>
      </c>
      <c r="M95" s="82">
        <v>0</v>
      </c>
      <c r="N95" s="82" t="s">
        <v>82</v>
      </c>
      <c r="O95" s="83" t="s">
        <v>82</v>
      </c>
      <c r="P95" s="84">
        <v>0</v>
      </c>
      <c r="Q95" s="85"/>
      <c r="R95" s="85"/>
      <c r="S95" s="82"/>
      <c r="T95" s="82"/>
      <c r="U95" s="83"/>
      <c r="V95" s="83"/>
      <c r="W95" s="83"/>
      <c r="X95" s="85"/>
      <c r="Y95" s="85"/>
      <c r="Z95" s="85"/>
      <c r="AA95" s="82"/>
      <c r="AB95" s="82"/>
      <c r="AC95" s="83"/>
      <c r="AD95" s="83"/>
      <c r="AE95" s="83"/>
      <c r="AF95" s="83"/>
      <c r="AG95" s="85"/>
    </row>
    <row r="96" spans="1:33">
      <c r="A96" s="81">
        <v>45078</v>
      </c>
      <c r="B96" s="82">
        <v>11</v>
      </c>
      <c r="C96" s="82">
        <v>103260</v>
      </c>
      <c r="D96" s="83">
        <v>462.03708841758669</v>
      </c>
      <c r="E96" s="83">
        <v>422</v>
      </c>
      <c r="F96" s="83">
        <v>480</v>
      </c>
      <c r="G96" s="82">
        <v>8</v>
      </c>
      <c r="H96" s="82">
        <v>71248</v>
      </c>
      <c r="I96" s="83">
        <v>478.66</v>
      </c>
      <c r="J96" s="82">
        <v>0</v>
      </c>
      <c r="K96" s="82" t="s">
        <v>82</v>
      </c>
      <c r="L96" s="83" t="s">
        <v>82</v>
      </c>
      <c r="M96" s="82">
        <v>3</v>
      </c>
      <c r="N96" s="82">
        <v>32012</v>
      </c>
      <c r="O96" s="83">
        <v>425.03</v>
      </c>
      <c r="P96" s="84">
        <v>0</v>
      </c>
      <c r="Q96" s="85"/>
      <c r="R96" s="85"/>
      <c r="S96" s="82"/>
      <c r="T96" s="82"/>
      <c r="U96" s="83"/>
      <c r="V96" s="83"/>
      <c r="W96" s="83"/>
      <c r="X96" s="85"/>
      <c r="Y96" s="85"/>
      <c r="Z96" s="85"/>
      <c r="AA96" s="82"/>
      <c r="AB96" s="82"/>
      <c r="AC96" s="83"/>
      <c r="AD96" s="83"/>
      <c r="AE96" s="83"/>
      <c r="AF96" s="83"/>
      <c r="AG96" s="85"/>
    </row>
    <row r="97" spans="1:33">
      <c r="A97" s="81">
        <v>45108</v>
      </c>
      <c r="B97" s="82">
        <v>7</v>
      </c>
      <c r="C97" s="82">
        <v>61632</v>
      </c>
      <c r="D97" s="83">
        <v>456.55490654205607</v>
      </c>
      <c r="E97" s="83">
        <v>200</v>
      </c>
      <c r="F97" s="83">
        <v>485</v>
      </c>
      <c r="G97" s="82">
        <v>6</v>
      </c>
      <c r="H97" s="82">
        <v>56632</v>
      </c>
      <c r="I97" s="83">
        <v>479.21</v>
      </c>
      <c r="J97" s="82">
        <v>0</v>
      </c>
      <c r="K97" s="82" t="s">
        <v>82</v>
      </c>
      <c r="L97" s="83" t="s">
        <v>82</v>
      </c>
      <c r="M97" s="82">
        <v>1</v>
      </c>
      <c r="N97" s="82">
        <v>5000</v>
      </c>
      <c r="O97" s="83">
        <v>200</v>
      </c>
      <c r="P97" s="84">
        <v>0</v>
      </c>
      <c r="Q97" s="85"/>
      <c r="R97" s="85"/>
      <c r="S97" s="82"/>
      <c r="T97" s="82"/>
      <c r="U97" s="83"/>
      <c r="V97" s="83"/>
      <c r="W97" s="83"/>
      <c r="X97" s="85"/>
      <c r="Y97" s="85"/>
      <c r="Z97" s="85"/>
      <c r="AA97" s="82"/>
      <c r="AB97" s="82"/>
      <c r="AC97" s="83"/>
      <c r="AD97" s="83"/>
      <c r="AE97" s="83"/>
      <c r="AF97" s="83"/>
      <c r="AG97" s="85"/>
    </row>
    <row r="98" spans="1:33">
      <c r="A98" s="81">
        <v>45139</v>
      </c>
      <c r="B98" s="82">
        <v>24</v>
      </c>
      <c r="C98" s="82">
        <v>2533</v>
      </c>
      <c r="D98" s="83">
        <v>475</v>
      </c>
      <c r="E98" s="83">
        <v>475</v>
      </c>
      <c r="F98" s="83">
        <v>475</v>
      </c>
      <c r="G98" s="82">
        <v>24</v>
      </c>
      <c r="H98" s="82">
        <v>2533</v>
      </c>
      <c r="I98" s="83">
        <v>475</v>
      </c>
      <c r="J98" s="82">
        <v>0</v>
      </c>
      <c r="K98" s="82" t="s">
        <v>82</v>
      </c>
      <c r="L98" s="83" t="s">
        <v>82</v>
      </c>
      <c r="M98" s="82">
        <v>0</v>
      </c>
      <c r="N98" s="82" t="s">
        <v>82</v>
      </c>
      <c r="O98" s="83" t="s">
        <v>82</v>
      </c>
      <c r="P98" s="84">
        <v>0</v>
      </c>
      <c r="Q98" s="85"/>
      <c r="R98" s="85"/>
      <c r="S98" s="82"/>
      <c r="T98" s="82"/>
      <c r="U98" s="83"/>
      <c r="V98" s="83"/>
      <c r="W98" s="83"/>
      <c r="X98" s="85"/>
      <c r="Y98" s="85"/>
      <c r="Z98" s="85"/>
      <c r="AA98" s="82"/>
      <c r="AB98" s="82"/>
      <c r="AC98" s="83"/>
      <c r="AD98" s="83"/>
      <c r="AE98" s="83"/>
      <c r="AF98" s="83"/>
      <c r="AG98" s="85"/>
    </row>
    <row r="99" spans="1:33">
      <c r="A99" s="81">
        <v>45170</v>
      </c>
      <c r="B99" s="82">
        <v>41</v>
      </c>
      <c r="C99" s="82">
        <v>195901</v>
      </c>
      <c r="D99" s="83">
        <v>495.43691880082275</v>
      </c>
      <c r="E99" s="83">
        <v>440</v>
      </c>
      <c r="F99" s="83">
        <v>510</v>
      </c>
      <c r="G99" s="82">
        <v>39</v>
      </c>
      <c r="H99" s="82">
        <v>194669</v>
      </c>
      <c r="I99" s="83">
        <v>495.74</v>
      </c>
      <c r="J99" s="82">
        <v>1</v>
      </c>
      <c r="K99" s="82">
        <v>366</v>
      </c>
      <c r="L99" s="83">
        <v>440</v>
      </c>
      <c r="M99" s="82">
        <v>1</v>
      </c>
      <c r="N99" s="82">
        <v>866</v>
      </c>
      <c r="O99" s="83">
        <v>450</v>
      </c>
      <c r="P99" s="84">
        <v>0</v>
      </c>
      <c r="Q99" s="85"/>
      <c r="R99" s="85"/>
      <c r="S99" s="82"/>
      <c r="T99" s="82"/>
      <c r="U99" s="83"/>
      <c r="V99" s="83"/>
      <c r="W99" s="83"/>
      <c r="X99" s="85"/>
      <c r="Y99" s="85"/>
      <c r="Z99" s="85"/>
      <c r="AA99" s="82"/>
      <c r="AB99" s="82"/>
      <c r="AC99" s="83"/>
      <c r="AD99" s="83"/>
      <c r="AE99" s="83"/>
      <c r="AF99" s="83"/>
      <c r="AG99" s="85"/>
    </row>
    <row r="100" spans="1:33">
      <c r="A100" s="81">
        <v>45200</v>
      </c>
      <c r="B100" s="89">
        <v>7</v>
      </c>
      <c r="C100" s="82">
        <v>20703</v>
      </c>
      <c r="D100" s="83">
        <v>492.44553929382215</v>
      </c>
      <c r="E100" s="83">
        <v>470</v>
      </c>
      <c r="F100" s="83">
        <v>495</v>
      </c>
      <c r="G100" s="82">
        <v>7</v>
      </c>
      <c r="H100" s="82">
        <v>20703</v>
      </c>
      <c r="I100" s="83">
        <v>492.45</v>
      </c>
      <c r="J100" s="82">
        <v>0</v>
      </c>
      <c r="K100" s="82">
        <v>0</v>
      </c>
      <c r="L100" s="83" t="s">
        <v>82</v>
      </c>
      <c r="M100" s="82">
        <v>0</v>
      </c>
      <c r="N100" s="83" t="s">
        <v>82</v>
      </c>
      <c r="O100" s="83" t="s">
        <v>82</v>
      </c>
      <c r="P100" s="82">
        <v>0</v>
      </c>
      <c r="Q100" s="85"/>
      <c r="R100" s="85"/>
      <c r="S100" s="82"/>
      <c r="T100" s="82"/>
      <c r="U100" s="83"/>
      <c r="V100" s="83"/>
      <c r="W100" s="83"/>
      <c r="X100" s="85"/>
      <c r="Y100" s="85"/>
      <c r="Z100" s="85"/>
      <c r="AA100" s="82"/>
      <c r="AB100" s="82"/>
      <c r="AC100" s="83"/>
      <c r="AD100" s="83"/>
      <c r="AE100" s="83"/>
      <c r="AF100" s="83"/>
      <c r="AG100" s="85"/>
    </row>
    <row r="101" spans="1:33">
      <c r="A101" s="81">
        <v>45231</v>
      </c>
      <c r="B101" s="89">
        <v>19</v>
      </c>
      <c r="C101" s="82">
        <v>173160</v>
      </c>
      <c r="D101" s="83">
        <v>496.83090534765529</v>
      </c>
      <c r="E101" s="83">
        <v>450</v>
      </c>
      <c r="F101" s="83">
        <v>510</v>
      </c>
      <c r="G101" s="82">
        <v>17</v>
      </c>
      <c r="H101" s="90">
        <v>151498</v>
      </c>
      <c r="I101" s="83">
        <v>501.99</v>
      </c>
      <c r="J101" s="91">
        <v>2</v>
      </c>
      <c r="K101" s="90">
        <v>21662</v>
      </c>
      <c r="L101" s="83">
        <v>460.75</v>
      </c>
      <c r="M101" s="91">
        <v>0</v>
      </c>
      <c r="N101" s="92" t="s">
        <v>82</v>
      </c>
      <c r="O101" s="83" t="s">
        <v>82</v>
      </c>
      <c r="P101" s="82">
        <v>0</v>
      </c>
      <c r="Q101" s="85"/>
      <c r="R101" s="85"/>
      <c r="S101" s="82"/>
      <c r="T101" s="82"/>
      <c r="U101" s="83"/>
      <c r="V101" s="83"/>
      <c r="W101" s="83"/>
      <c r="X101" s="85"/>
      <c r="Y101" s="85"/>
      <c r="Z101" s="85"/>
      <c r="AA101" s="82"/>
      <c r="AB101" s="82"/>
      <c r="AC101" s="83"/>
      <c r="AD101" s="83"/>
      <c r="AE101" s="83"/>
      <c r="AF101" s="83"/>
      <c r="AG101" s="85"/>
    </row>
    <row r="102" spans="1:33">
      <c r="A102" s="81">
        <v>45261</v>
      </c>
    </row>
    <row r="103" spans="1:33">
      <c r="A103" s="81">
        <v>45292</v>
      </c>
    </row>
    <row r="104" spans="1:33">
      <c r="A104" s="81">
        <v>45323</v>
      </c>
    </row>
    <row r="105" spans="1:33">
      <c r="A105" s="81">
        <v>45352</v>
      </c>
    </row>
    <row r="106" spans="1:33">
      <c r="A106" s="81">
        <v>45383</v>
      </c>
    </row>
    <row r="107" spans="1:33">
      <c r="A107" s="81">
        <v>45413</v>
      </c>
    </row>
    <row r="108" spans="1:33">
      <c r="A108" s="81">
        <v>45444</v>
      </c>
    </row>
    <row r="109" spans="1:33">
      <c r="A109" s="81">
        <v>45474</v>
      </c>
    </row>
    <row r="110" spans="1:33">
      <c r="A110" s="81">
        <v>45505</v>
      </c>
    </row>
    <row r="111" spans="1:33">
      <c r="A111" s="81">
        <v>45536</v>
      </c>
    </row>
    <row r="112" spans="1:33">
      <c r="A112" s="81">
        <v>45566</v>
      </c>
    </row>
    <row r="113" spans="1:1">
      <c r="A113" s="81">
        <v>45597</v>
      </c>
    </row>
    <row r="114" spans="1:1">
      <c r="A114" s="81">
        <v>45627</v>
      </c>
    </row>
    <row r="115" spans="1:1">
      <c r="A115" s="81">
        <v>45658</v>
      </c>
    </row>
    <row r="116" spans="1:1">
      <c r="A116" s="81">
        <v>45689</v>
      </c>
    </row>
    <row r="117" spans="1:1">
      <c r="A117" s="81">
        <v>45717</v>
      </c>
    </row>
    <row r="118" spans="1:1">
      <c r="A118" s="81">
        <v>45748</v>
      </c>
    </row>
  </sheetData>
  <mergeCells count="25">
    <mergeCell ref="AC2:AC4"/>
    <mergeCell ref="AD2:AD4"/>
    <mergeCell ref="AE2:AF3"/>
    <mergeCell ref="T2:T4"/>
    <mergeCell ref="U2:U4"/>
    <mergeCell ref="V2:W3"/>
    <mergeCell ref="Z2:Z4"/>
    <mergeCell ref="AA2:AA4"/>
    <mergeCell ref="AB2:AB4"/>
    <mergeCell ref="G2:I3"/>
    <mergeCell ref="J2:L3"/>
    <mergeCell ref="M2:O3"/>
    <mergeCell ref="P2:P3"/>
    <mergeCell ref="R2:R4"/>
    <mergeCell ref="S2:S4"/>
    <mergeCell ref="A1:P1"/>
    <mergeCell ref="Q1:Q4"/>
    <mergeCell ref="R1:W1"/>
    <mergeCell ref="X1:X4"/>
    <mergeCell ref="Z1:AF1"/>
    <mergeCell ref="A2:A4"/>
    <mergeCell ref="B2:B4"/>
    <mergeCell ref="C2:C4"/>
    <mergeCell ref="D2:D4"/>
    <mergeCell ref="E2:F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058D-9F10-4372-A366-F8BF1015C109}">
  <dimension ref="A1:AI124"/>
  <sheetViews>
    <sheetView workbookViewId="0">
      <pane xSplit="1" ySplit="2" topLeftCell="C23"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98" customWidth="1"/>
    <col min="2" max="35" width="10.83203125" style="98" customWidth="1"/>
    <col min="36" max="16384" width="9.33203125" style="98"/>
  </cols>
  <sheetData>
    <row r="1" spans="1:35">
      <c r="A1" s="96" t="s">
        <v>118</v>
      </c>
      <c r="B1" s="96"/>
      <c r="C1" s="96"/>
      <c r="D1" s="96"/>
      <c r="E1" s="96"/>
      <c r="F1" s="96"/>
      <c r="G1" s="96"/>
      <c r="H1" s="96"/>
      <c r="I1" s="96"/>
      <c r="J1" s="96"/>
      <c r="K1" s="96"/>
      <c r="L1" s="96"/>
      <c r="M1" s="97"/>
      <c r="N1" s="97"/>
      <c r="O1" s="97"/>
      <c r="P1" s="97"/>
      <c r="Q1" s="97"/>
      <c r="R1" s="97"/>
      <c r="S1" s="97"/>
      <c r="T1" s="97"/>
      <c r="U1" s="97"/>
      <c r="V1" s="97"/>
      <c r="W1" s="97"/>
      <c r="X1" s="97"/>
      <c r="Y1" s="97"/>
      <c r="Z1" s="97"/>
      <c r="AA1" s="97"/>
      <c r="AB1" s="97"/>
      <c r="AC1" s="97"/>
      <c r="AD1" s="97"/>
      <c r="AE1" s="97"/>
      <c r="AF1" s="97"/>
      <c r="AG1" s="97"/>
      <c r="AH1" s="97"/>
      <c r="AI1" s="97"/>
    </row>
    <row r="2" spans="1:35" ht="12" thickBot="1">
      <c r="A2" s="99" t="s">
        <v>119</v>
      </c>
      <c r="B2" s="100">
        <v>2009</v>
      </c>
      <c r="C2" s="100">
        <v>2010</v>
      </c>
      <c r="D2" s="100">
        <v>2011</v>
      </c>
      <c r="E2" s="100">
        <v>2012</v>
      </c>
      <c r="F2" s="100">
        <v>2013</v>
      </c>
      <c r="G2" s="100">
        <v>2014</v>
      </c>
      <c r="H2" s="100">
        <v>2015</v>
      </c>
      <c r="I2" s="100">
        <v>2016</v>
      </c>
      <c r="J2" s="100">
        <v>2017</v>
      </c>
      <c r="K2" s="100">
        <v>2018</v>
      </c>
      <c r="L2" s="100">
        <v>2019</v>
      </c>
      <c r="M2" s="100">
        <v>2020</v>
      </c>
      <c r="N2" s="100">
        <v>2021</v>
      </c>
      <c r="O2" s="100">
        <v>2022</v>
      </c>
      <c r="P2" s="100">
        <v>2023</v>
      </c>
      <c r="Q2" s="100">
        <v>2024</v>
      </c>
      <c r="R2" s="100">
        <v>2025</v>
      </c>
      <c r="S2" s="100">
        <v>2026</v>
      </c>
      <c r="T2" s="100">
        <v>2027</v>
      </c>
      <c r="U2" s="100">
        <v>2028</v>
      </c>
      <c r="V2" s="100">
        <v>2029</v>
      </c>
      <c r="W2" s="100">
        <v>2030</v>
      </c>
      <c r="X2" s="100">
        <v>2031</v>
      </c>
      <c r="Y2" s="100">
        <v>2032</v>
      </c>
      <c r="Z2" s="100">
        <v>2033</v>
      </c>
      <c r="AA2" s="100">
        <v>2034</v>
      </c>
      <c r="AB2" s="100">
        <v>2035</v>
      </c>
      <c r="AC2" s="100">
        <v>2036</v>
      </c>
      <c r="AD2" s="100">
        <v>2037</v>
      </c>
      <c r="AE2" s="100">
        <v>2038</v>
      </c>
      <c r="AF2" s="100">
        <v>2039</v>
      </c>
      <c r="AG2" s="100">
        <v>2040</v>
      </c>
      <c r="AH2" s="100">
        <v>2041</v>
      </c>
      <c r="AI2" s="100">
        <v>2042</v>
      </c>
    </row>
    <row r="3" spans="1:35" ht="12" thickTop="1">
      <c r="A3" s="101" t="s">
        <v>120</v>
      </c>
      <c r="B3" s="102"/>
      <c r="C3" s="102"/>
      <c r="D3" s="102"/>
      <c r="E3" s="102"/>
      <c r="F3" s="102"/>
      <c r="G3" s="102"/>
      <c r="H3" s="102"/>
      <c r="I3" s="102"/>
      <c r="J3" s="102"/>
      <c r="K3" s="102"/>
      <c r="L3" s="102"/>
      <c r="M3" s="10">
        <v>24325</v>
      </c>
      <c r="N3" s="10">
        <f>M12</f>
        <v>28017</v>
      </c>
      <c r="O3" s="10">
        <f>N12</f>
        <v>26588</v>
      </c>
      <c r="P3" s="10">
        <f>O12</f>
        <v>31126</v>
      </c>
      <c r="Q3" s="10">
        <f>P12</f>
        <v>39289</v>
      </c>
      <c r="R3" s="10">
        <f>Q12</f>
        <v>30000</v>
      </c>
      <c r="S3" s="10"/>
      <c r="T3" s="10"/>
      <c r="U3" s="10"/>
      <c r="V3" s="10"/>
      <c r="W3" s="10"/>
      <c r="X3" s="10"/>
      <c r="Y3" s="10"/>
      <c r="Z3" s="10"/>
      <c r="AA3" s="10"/>
      <c r="AB3" s="10"/>
      <c r="AC3" s="10"/>
      <c r="AD3" s="10"/>
      <c r="AE3" s="10"/>
      <c r="AF3" s="10"/>
      <c r="AG3" s="10"/>
      <c r="AH3" s="10"/>
      <c r="AI3" s="10"/>
    </row>
    <row r="4" spans="1:35">
      <c r="A4" s="101" t="s">
        <v>3</v>
      </c>
      <c r="B4" s="102"/>
      <c r="C4" s="102">
        <v>115000</v>
      </c>
      <c r="D4" s="102">
        <v>120000</v>
      </c>
      <c r="E4" s="102">
        <v>100000</v>
      </c>
      <c r="F4" s="102">
        <v>159000</v>
      </c>
      <c r="G4" s="102">
        <v>351000</v>
      </c>
      <c r="H4" s="102">
        <v>307000</v>
      </c>
      <c r="I4" s="102">
        <v>463000</v>
      </c>
      <c r="J4" s="102">
        <v>397000</v>
      </c>
      <c r="K4" s="102">
        <v>300000</v>
      </c>
      <c r="L4" s="102">
        <v>375000</v>
      </c>
      <c r="M4" s="10">
        <f>M28</f>
        <v>2081038</v>
      </c>
      <c r="N4" s="10">
        <f>N28</f>
        <v>2073213</v>
      </c>
      <c r="O4" s="10">
        <f>O28</f>
        <v>2060745</v>
      </c>
      <c r="P4" s="10">
        <f>P28</f>
        <v>2224904</v>
      </c>
      <c r="Q4" s="103">
        <v>2000000</v>
      </c>
      <c r="R4" s="103">
        <v>2000000</v>
      </c>
      <c r="S4" s="10"/>
      <c r="T4" s="10"/>
      <c r="U4" s="10"/>
      <c r="V4" s="10"/>
      <c r="W4" s="10"/>
      <c r="X4" s="10"/>
      <c r="Y4" s="10"/>
      <c r="Z4" s="10"/>
      <c r="AA4" s="10"/>
      <c r="AB4" s="10"/>
      <c r="AC4" s="10"/>
      <c r="AD4" s="10"/>
      <c r="AE4" s="10"/>
      <c r="AF4" s="10"/>
      <c r="AG4" s="10"/>
      <c r="AH4" s="10"/>
      <c r="AI4" s="10"/>
    </row>
    <row r="5" spans="1:35">
      <c r="A5" s="101" t="s">
        <v>121</v>
      </c>
      <c r="B5" s="102"/>
      <c r="C5" s="102"/>
      <c r="D5" s="102"/>
      <c r="E5" s="102"/>
      <c r="F5" s="102"/>
      <c r="G5" s="102"/>
      <c r="H5" s="102"/>
      <c r="I5" s="102"/>
      <c r="J5" s="102"/>
      <c r="K5" s="102"/>
      <c r="L5" s="102"/>
      <c r="M5" s="10">
        <f>M44</f>
        <v>1740483.8881000003</v>
      </c>
      <c r="N5" s="10">
        <f>N44</f>
        <v>1826969.0699</v>
      </c>
      <c r="O5" s="10">
        <f>O44</f>
        <v>2495215.6050000004</v>
      </c>
      <c r="P5" s="10">
        <f>P44</f>
        <v>3366482.7646000003</v>
      </c>
      <c r="Q5" s="103">
        <v>3000000</v>
      </c>
      <c r="R5" s="103">
        <v>3000000</v>
      </c>
      <c r="S5" s="10"/>
      <c r="T5" s="10"/>
      <c r="U5" s="10"/>
      <c r="V5" s="10"/>
      <c r="W5" s="10"/>
      <c r="X5" s="10"/>
      <c r="Y5" s="10"/>
      <c r="Z5" s="10"/>
      <c r="AA5" s="10"/>
      <c r="AB5" s="10"/>
      <c r="AC5" s="10"/>
      <c r="AD5" s="10"/>
      <c r="AE5" s="10"/>
      <c r="AF5" s="10"/>
      <c r="AG5" s="10"/>
      <c r="AH5" s="10"/>
      <c r="AI5" s="10"/>
    </row>
    <row r="6" spans="1:35">
      <c r="A6" s="101" t="s">
        <v>122</v>
      </c>
      <c r="B6" s="102"/>
      <c r="C6" s="10">
        <f t="shared" ref="C6:R6" si="0">SUM(C3:C5)</f>
        <v>115000</v>
      </c>
      <c r="D6" s="10">
        <f t="shared" si="0"/>
        <v>120000</v>
      </c>
      <c r="E6" s="10">
        <f t="shared" si="0"/>
        <v>100000</v>
      </c>
      <c r="F6" s="10">
        <f t="shared" si="0"/>
        <v>159000</v>
      </c>
      <c r="G6" s="10">
        <f t="shared" si="0"/>
        <v>351000</v>
      </c>
      <c r="H6" s="10">
        <f t="shared" si="0"/>
        <v>307000</v>
      </c>
      <c r="I6" s="10">
        <f t="shared" si="0"/>
        <v>463000</v>
      </c>
      <c r="J6" s="10">
        <f t="shared" si="0"/>
        <v>397000</v>
      </c>
      <c r="K6" s="10">
        <f t="shared" si="0"/>
        <v>300000</v>
      </c>
      <c r="L6" s="10">
        <f t="shared" si="0"/>
        <v>375000</v>
      </c>
      <c r="M6" s="10">
        <f t="shared" si="0"/>
        <v>3845846.8881000001</v>
      </c>
      <c r="N6" s="10">
        <f t="shared" si="0"/>
        <v>3928199.0699</v>
      </c>
      <c r="O6" s="10">
        <f t="shared" si="0"/>
        <v>4582548.6050000004</v>
      </c>
      <c r="P6" s="10">
        <f t="shared" si="0"/>
        <v>5622512.7646000003</v>
      </c>
      <c r="Q6" s="103">
        <f t="shared" si="0"/>
        <v>5039289</v>
      </c>
      <c r="R6" s="103">
        <f t="shared" si="0"/>
        <v>5030000</v>
      </c>
      <c r="S6" s="10"/>
      <c r="T6" s="10"/>
      <c r="U6" s="10"/>
      <c r="V6" s="10"/>
      <c r="W6" s="10"/>
      <c r="X6" s="10"/>
      <c r="Y6" s="10"/>
      <c r="Z6" s="10"/>
      <c r="AA6" s="10"/>
      <c r="AB6" s="10"/>
      <c r="AC6" s="10"/>
      <c r="AD6" s="10"/>
      <c r="AE6" s="10"/>
      <c r="AF6" s="10"/>
      <c r="AG6" s="10"/>
      <c r="AH6" s="10"/>
      <c r="AI6" s="10"/>
    </row>
    <row r="7" spans="1:35">
      <c r="A7" s="101" t="s">
        <v>4</v>
      </c>
      <c r="B7" s="102"/>
      <c r="C7" s="102"/>
      <c r="D7" s="102"/>
      <c r="E7" s="102"/>
      <c r="F7" s="102"/>
      <c r="G7" s="102"/>
      <c r="H7" s="102"/>
      <c r="I7" s="102"/>
      <c r="J7" s="102"/>
      <c r="K7" s="102"/>
      <c r="L7" s="102"/>
      <c r="M7" s="10">
        <f>M76</f>
        <v>2093539</v>
      </c>
      <c r="N7" s="10">
        <f>N76</f>
        <v>2092089</v>
      </c>
      <c r="O7" s="10">
        <f>O76</f>
        <v>2071095</v>
      </c>
      <c r="P7" s="10">
        <f>P76</f>
        <v>2238358</v>
      </c>
      <c r="Q7" s="103">
        <f>Q11-Q10-Q9-Q8</f>
        <v>2255289</v>
      </c>
      <c r="R7" s="103">
        <f>R11-R10-R9-R8</f>
        <v>2246000</v>
      </c>
      <c r="S7" s="10"/>
      <c r="T7" s="10"/>
      <c r="U7" s="10"/>
      <c r="V7" s="10"/>
      <c r="W7" s="10"/>
      <c r="X7" s="10"/>
      <c r="Y7" s="10"/>
      <c r="Z7" s="10"/>
      <c r="AA7" s="10"/>
      <c r="AB7" s="10"/>
      <c r="AC7" s="10"/>
      <c r="AD7" s="10"/>
      <c r="AE7" s="10"/>
      <c r="AF7" s="10"/>
      <c r="AG7" s="10"/>
      <c r="AH7" s="10"/>
      <c r="AI7" s="10"/>
    </row>
    <row r="8" spans="1:35">
      <c r="A8" s="101" t="s">
        <v>123</v>
      </c>
      <c r="B8" s="102"/>
      <c r="C8" s="102"/>
      <c r="D8" s="102"/>
      <c r="E8" s="102"/>
      <c r="F8" s="102"/>
      <c r="G8" s="102"/>
      <c r="H8" s="102"/>
      <c r="I8" s="102"/>
      <c r="J8" s="102"/>
      <c r="K8" s="102"/>
      <c r="L8" s="102"/>
      <c r="M8" s="10">
        <f>M60</f>
        <v>490297.46869999997</v>
      </c>
      <c r="N8" s="10">
        <f>N60</f>
        <v>517553.63760000007</v>
      </c>
      <c r="O8" s="10">
        <f>O60</f>
        <v>443516.36119999998</v>
      </c>
      <c r="P8" s="10">
        <f>P60</f>
        <v>581807.85809999995</v>
      </c>
      <c r="Q8" s="103">
        <v>500000</v>
      </c>
      <c r="R8" s="103">
        <v>500000</v>
      </c>
      <c r="S8" s="10"/>
      <c r="T8" s="10"/>
      <c r="U8" s="10"/>
      <c r="V8" s="10"/>
      <c r="W8" s="10"/>
      <c r="X8" s="10"/>
      <c r="Y8" s="10"/>
      <c r="Z8" s="10"/>
      <c r="AA8" s="10"/>
      <c r="AB8" s="10"/>
      <c r="AC8" s="10"/>
      <c r="AD8" s="10"/>
      <c r="AE8" s="10"/>
      <c r="AF8" s="10"/>
      <c r="AG8" s="10"/>
      <c r="AH8" s="10"/>
      <c r="AI8" s="10"/>
    </row>
    <row r="9" spans="1:35">
      <c r="A9" s="101" t="s">
        <v>124</v>
      </c>
      <c r="B9" s="102"/>
      <c r="C9" s="102"/>
      <c r="D9" s="102"/>
      <c r="E9" s="102"/>
      <c r="F9" s="102"/>
      <c r="G9" s="102"/>
      <c r="H9" s="102"/>
      <c r="I9" s="102"/>
      <c r="J9" s="102"/>
      <c r="K9" s="102"/>
      <c r="L9" s="102"/>
      <c r="M9" s="10">
        <f>M92</f>
        <v>2451</v>
      </c>
      <c r="N9" s="10">
        <f>N92</f>
        <v>1256</v>
      </c>
      <c r="O9" s="10">
        <f>O92</f>
        <v>4039</v>
      </c>
      <c r="P9" s="10">
        <f>P92</f>
        <v>3464</v>
      </c>
      <c r="Q9" s="103">
        <v>4000</v>
      </c>
      <c r="R9" s="103">
        <v>4000</v>
      </c>
      <c r="S9" s="10"/>
      <c r="T9" s="10"/>
      <c r="U9" s="10"/>
      <c r="V9" s="10"/>
      <c r="W9" s="10"/>
      <c r="X9" s="10"/>
      <c r="Y9" s="10"/>
      <c r="Z9" s="10"/>
      <c r="AA9" s="10"/>
      <c r="AB9" s="10"/>
      <c r="AC9" s="10"/>
      <c r="AD9" s="10"/>
      <c r="AE9" s="10"/>
      <c r="AF9" s="10"/>
      <c r="AG9" s="10"/>
      <c r="AH9" s="10"/>
      <c r="AI9" s="10"/>
    </row>
    <row r="10" spans="1:35">
      <c r="A10" s="101" t="s">
        <v>125</v>
      </c>
      <c r="B10" s="102"/>
      <c r="C10" s="102"/>
      <c r="D10" s="102"/>
      <c r="E10" s="102"/>
      <c r="F10" s="102"/>
      <c r="G10" s="102"/>
      <c r="H10" s="102"/>
      <c r="I10" s="102"/>
      <c r="J10" s="102"/>
      <c r="K10" s="102"/>
      <c r="L10" s="102"/>
      <c r="M10" s="10">
        <f>M11-SUM(M7:M9)</f>
        <v>1231542.4194</v>
      </c>
      <c r="N10" s="10">
        <f>N11-SUM(N7:N9)</f>
        <v>1290712.4323</v>
      </c>
      <c r="O10" s="10">
        <f>O11-SUM(O7:O9)</f>
        <v>2032772.2438000003</v>
      </c>
      <c r="P10" s="10">
        <f>P11-SUM(P7:P9)</f>
        <v>2759593.9065000005</v>
      </c>
      <c r="Q10" s="103">
        <v>2250000</v>
      </c>
      <c r="R10" s="103">
        <v>2250000</v>
      </c>
      <c r="S10" s="10"/>
      <c r="T10" s="10"/>
      <c r="U10" s="10"/>
      <c r="V10" s="10"/>
      <c r="W10" s="10"/>
      <c r="X10" s="10"/>
      <c r="Y10" s="10"/>
      <c r="Z10" s="10"/>
      <c r="AA10" s="10"/>
      <c r="AB10" s="10"/>
      <c r="AC10" s="10"/>
      <c r="AD10" s="10"/>
      <c r="AE10" s="10"/>
      <c r="AF10" s="10"/>
      <c r="AG10" s="10"/>
      <c r="AH10" s="10"/>
      <c r="AI10" s="10"/>
    </row>
    <row r="11" spans="1:35">
      <c r="A11" s="101" t="s">
        <v>126</v>
      </c>
      <c r="B11" s="102"/>
      <c r="C11" s="102"/>
      <c r="D11" s="102"/>
      <c r="E11" s="102"/>
      <c r="F11" s="102"/>
      <c r="G11" s="102"/>
      <c r="H11" s="102"/>
      <c r="I11" s="102"/>
      <c r="J11" s="102"/>
      <c r="K11" s="102"/>
      <c r="L11" s="102"/>
      <c r="M11" s="10">
        <f t="shared" ref="M11:R11" si="1">M6-M12</f>
        <v>3817829.8881000001</v>
      </c>
      <c r="N11" s="10">
        <f t="shared" si="1"/>
        <v>3901611.0699</v>
      </c>
      <c r="O11" s="10">
        <f t="shared" si="1"/>
        <v>4551422.6050000004</v>
      </c>
      <c r="P11" s="10">
        <f t="shared" si="1"/>
        <v>5583223.7646000003</v>
      </c>
      <c r="Q11" s="103">
        <f t="shared" si="1"/>
        <v>5009289</v>
      </c>
      <c r="R11" s="103">
        <f t="shared" si="1"/>
        <v>5000000</v>
      </c>
      <c r="S11" s="10"/>
      <c r="T11" s="10"/>
      <c r="U11" s="10"/>
      <c r="V11" s="10"/>
      <c r="W11" s="10"/>
      <c r="X11" s="10"/>
      <c r="Y11" s="10"/>
      <c r="Z11" s="10"/>
      <c r="AA11" s="10"/>
      <c r="AB11" s="10"/>
      <c r="AC11" s="10"/>
      <c r="AD11" s="10"/>
      <c r="AE11" s="10"/>
      <c r="AF11" s="10"/>
      <c r="AG11" s="10"/>
      <c r="AH11" s="10"/>
      <c r="AI11" s="10"/>
    </row>
    <row r="12" spans="1:35" ht="12" thickBot="1">
      <c r="A12" s="101" t="s">
        <v>127</v>
      </c>
      <c r="B12" s="102"/>
      <c r="C12" s="102"/>
      <c r="D12" s="102"/>
      <c r="E12" s="102"/>
      <c r="F12" s="102"/>
      <c r="G12" s="102"/>
      <c r="H12" s="102"/>
      <c r="I12" s="102"/>
      <c r="J12" s="102"/>
      <c r="K12" s="102"/>
      <c r="L12" s="102"/>
      <c r="M12" s="10">
        <f>M123</f>
        <v>28017</v>
      </c>
      <c r="N12" s="10">
        <f>N123</f>
        <v>26588</v>
      </c>
      <c r="O12" s="10">
        <f>O123</f>
        <v>31126</v>
      </c>
      <c r="P12" s="10">
        <f>P123</f>
        <v>39289</v>
      </c>
      <c r="Q12" s="103">
        <v>30000</v>
      </c>
      <c r="R12" s="103">
        <v>30000</v>
      </c>
      <c r="S12" s="10"/>
      <c r="T12" s="10"/>
      <c r="U12" s="10"/>
      <c r="V12" s="10"/>
      <c r="W12" s="10"/>
      <c r="X12" s="10"/>
      <c r="Y12" s="10"/>
      <c r="Z12" s="10"/>
      <c r="AA12" s="10"/>
      <c r="AB12" s="10"/>
      <c r="AC12" s="10"/>
      <c r="AD12" s="10"/>
      <c r="AE12" s="10"/>
      <c r="AF12" s="10"/>
      <c r="AG12" s="10"/>
      <c r="AH12" s="10"/>
      <c r="AI12" s="10"/>
    </row>
    <row r="13" spans="1:35">
      <c r="A13" s="104"/>
      <c r="B13" s="104"/>
      <c r="C13" s="104"/>
      <c r="D13" s="104"/>
      <c r="E13" s="104"/>
      <c r="F13" s="104"/>
      <c r="G13" s="104"/>
      <c r="H13" s="104"/>
      <c r="I13" s="104"/>
      <c r="J13" s="104"/>
      <c r="K13" s="104"/>
      <c r="L13" s="104"/>
      <c r="M13" s="105"/>
      <c r="N13" s="105"/>
      <c r="O13" s="105"/>
      <c r="P13" s="106"/>
      <c r="Q13" s="106"/>
      <c r="R13" s="106"/>
      <c r="S13" s="106"/>
      <c r="T13" s="106"/>
      <c r="U13" s="106"/>
      <c r="V13" s="106"/>
      <c r="W13" s="106"/>
      <c r="X13" s="106"/>
      <c r="Y13" s="106"/>
      <c r="Z13" s="106"/>
      <c r="AA13" s="106"/>
      <c r="AB13" s="106"/>
      <c r="AC13" s="106"/>
      <c r="AD13" s="106"/>
      <c r="AE13" s="106"/>
      <c r="AF13" s="106"/>
      <c r="AG13" s="106"/>
      <c r="AH13" s="106"/>
      <c r="AI13" s="106"/>
    </row>
    <row r="14" spans="1:35" ht="12" thickBot="1">
      <c r="A14" s="107" t="s">
        <v>128</v>
      </c>
      <c r="B14" s="107"/>
      <c r="C14" s="107"/>
      <c r="D14" s="107"/>
      <c r="E14" s="107"/>
      <c r="F14" s="107"/>
      <c r="G14" s="107"/>
      <c r="H14" s="107"/>
      <c r="I14" s="107"/>
      <c r="J14" s="107"/>
      <c r="K14" s="107"/>
      <c r="L14" s="107"/>
    </row>
    <row r="15" spans="1:35" ht="12" thickBot="1">
      <c r="A15" s="108"/>
      <c r="B15" s="109">
        <f t="shared" ref="B15:L15" si="2">B2</f>
        <v>2009</v>
      </c>
      <c r="C15" s="109">
        <f t="shared" si="2"/>
        <v>2010</v>
      </c>
      <c r="D15" s="109">
        <f t="shared" si="2"/>
        <v>2011</v>
      </c>
      <c r="E15" s="109">
        <f t="shared" si="2"/>
        <v>2012</v>
      </c>
      <c r="F15" s="109">
        <f t="shared" si="2"/>
        <v>2013</v>
      </c>
      <c r="G15" s="109">
        <f t="shared" si="2"/>
        <v>2014</v>
      </c>
      <c r="H15" s="109">
        <f t="shared" si="2"/>
        <v>2015</v>
      </c>
      <c r="I15" s="109">
        <f t="shared" si="2"/>
        <v>2016</v>
      </c>
      <c r="J15" s="109">
        <f t="shared" si="2"/>
        <v>2017</v>
      </c>
      <c r="K15" s="109">
        <f t="shared" si="2"/>
        <v>2018</v>
      </c>
      <c r="L15" s="109">
        <f t="shared" si="2"/>
        <v>2019</v>
      </c>
      <c r="M15" s="109">
        <f>M2</f>
        <v>2020</v>
      </c>
      <c r="N15" s="109">
        <f>N2</f>
        <v>2021</v>
      </c>
      <c r="O15" s="109">
        <f>O2</f>
        <v>2022</v>
      </c>
      <c r="P15" s="109">
        <f t="shared" ref="P15:AI15" si="3">P2</f>
        <v>2023</v>
      </c>
      <c r="Q15" s="109">
        <f t="shared" si="3"/>
        <v>2024</v>
      </c>
      <c r="R15" s="109">
        <f t="shared" si="3"/>
        <v>2025</v>
      </c>
      <c r="S15" s="109">
        <f t="shared" si="3"/>
        <v>2026</v>
      </c>
      <c r="T15" s="109">
        <f t="shared" si="3"/>
        <v>2027</v>
      </c>
      <c r="U15" s="109">
        <f t="shared" si="3"/>
        <v>2028</v>
      </c>
      <c r="V15" s="109">
        <f t="shared" si="3"/>
        <v>2029</v>
      </c>
      <c r="W15" s="109">
        <f t="shared" si="3"/>
        <v>2030</v>
      </c>
      <c r="X15" s="109">
        <f t="shared" si="3"/>
        <v>2031</v>
      </c>
      <c r="Y15" s="109">
        <f t="shared" si="3"/>
        <v>2032</v>
      </c>
      <c r="Z15" s="109">
        <f t="shared" si="3"/>
        <v>2033</v>
      </c>
      <c r="AA15" s="109">
        <f t="shared" si="3"/>
        <v>2034</v>
      </c>
      <c r="AB15" s="109">
        <f t="shared" si="3"/>
        <v>2035</v>
      </c>
      <c r="AC15" s="109">
        <f t="shared" si="3"/>
        <v>2036</v>
      </c>
      <c r="AD15" s="109">
        <f t="shared" si="3"/>
        <v>2037</v>
      </c>
      <c r="AE15" s="109">
        <f t="shared" si="3"/>
        <v>2038</v>
      </c>
      <c r="AF15" s="109">
        <f t="shared" si="3"/>
        <v>2039</v>
      </c>
      <c r="AG15" s="109">
        <f t="shared" si="3"/>
        <v>2040</v>
      </c>
      <c r="AH15" s="109">
        <f t="shared" si="3"/>
        <v>2041</v>
      </c>
      <c r="AI15" s="109">
        <f t="shared" si="3"/>
        <v>2042</v>
      </c>
    </row>
    <row r="16" spans="1:35">
      <c r="A16" s="98" t="s">
        <v>129</v>
      </c>
      <c r="L16" s="10">
        <v>104669</v>
      </c>
      <c r="M16" s="10">
        <f>Data!$B3</f>
        <v>196779</v>
      </c>
      <c r="N16" s="10">
        <f>Data!$B15</f>
        <v>145465</v>
      </c>
      <c r="O16" s="10">
        <f>Data!$B27</f>
        <v>161880</v>
      </c>
      <c r="P16" s="10">
        <f>Data!$B39</f>
        <v>186459</v>
      </c>
      <c r="Q16" s="10">
        <f>Data!$B51</f>
        <v>193761</v>
      </c>
      <c r="R16" s="10">
        <f>Data!$B63</f>
        <v>179569</v>
      </c>
      <c r="S16" s="10"/>
      <c r="T16" s="10"/>
      <c r="U16" s="10"/>
      <c r="V16" s="10"/>
      <c r="W16" s="10"/>
      <c r="X16" s="10"/>
      <c r="Y16" s="10"/>
      <c r="Z16" s="10"/>
      <c r="AA16" s="10"/>
      <c r="AB16" s="10"/>
      <c r="AC16" s="10"/>
      <c r="AD16" s="10"/>
      <c r="AE16" s="10"/>
      <c r="AF16" s="10"/>
      <c r="AG16" s="10"/>
      <c r="AH16" s="10"/>
      <c r="AI16" s="10"/>
    </row>
    <row r="17" spans="1:35">
      <c r="A17" s="98" t="s">
        <v>130</v>
      </c>
      <c r="L17" s="10">
        <v>71040</v>
      </c>
      <c r="M17" s="10">
        <f>Data!$B4</f>
        <v>185483</v>
      </c>
      <c r="N17" s="10">
        <f>Data!$B16</f>
        <v>139836</v>
      </c>
      <c r="O17" s="10">
        <f>Data!$B28</f>
        <v>149830</v>
      </c>
      <c r="P17" s="10">
        <f>Data!$B40</f>
        <v>169618</v>
      </c>
      <c r="Q17" s="10">
        <f>Data!$B52</f>
        <v>207087</v>
      </c>
      <c r="R17" s="10">
        <f>Data!$B64</f>
        <v>177464</v>
      </c>
      <c r="S17" s="10"/>
      <c r="T17" s="10"/>
      <c r="U17" s="10"/>
      <c r="V17" s="10"/>
      <c r="W17" s="10"/>
      <c r="X17" s="10"/>
      <c r="Y17" s="10"/>
      <c r="Z17" s="10"/>
      <c r="AA17" s="10"/>
      <c r="AB17" s="10"/>
      <c r="AC17" s="10"/>
      <c r="AD17" s="10"/>
      <c r="AE17" s="10"/>
      <c r="AF17" s="10"/>
      <c r="AG17" s="10"/>
      <c r="AH17" s="10"/>
      <c r="AI17" s="10"/>
    </row>
    <row r="18" spans="1:35">
      <c r="A18" s="98" t="s">
        <v>131</v>
      </c>
      <c r="L18" s="10"/>
      <c r="M18" s="10">
        <f>Data!$B5</f>
        <v>179660</v>
      </c>
      <c r="N18" s="10">
        <f>Data!$B17</f>
        <v>172532</v>
      </c>
      <c r="O18" s="10">
        <f>Data!$B29</f>
        <v>174887</v>
      </c>
      <c r="P18" s="10">
        <f>Data!$B41</f>
        <v>198113</v>
      </c>
      <c r="Q18" s="10">
        <f>Data!$B53</f>
        <v>264096</v>
      </c>
      <c r="R18" s="110">
        <f>R$28*((SUM(M18:Q18)/SUM(M$28:Q$28)))</f>
        <v>174822.18920397593</v>
      </c>
      <c r="S18" s="10"/>
      <c r="T18" s="10"/>
      <c r="U18" s="10"/>
      <c r="V18" s="10"/>
      <c r="W18" s="10"/>
      <c r="X18" s="10"/>
      <c r="Y18" s="10"/>
      <c r="Z18" s="10"/>
      <c r="AA18" s="10"/>
      <c r="AB18" s="10"/>
      <c r="AC18" s="10"/>
      <c r="AD18" s="10"/>
      <c r="AE18" s="10"/>
      <c r="AF18" s="10"/>
      <c r="AG18" s="10"/>
      <c r="AH18" s="10"/>
      <c r="AI18" s="10"/>
    </row>
    <row r="19" spans="1:35">
      <c r="A19" s="98" t="s">
        <v>132</v>
      </c>
      <c r="L19" s="10"/>
      <c r="M19" s="10">
        <f>Data!$B6</f>
        <v>120718</v>
      </c>
      <c r="N19" s="10">
        <f>Data!$B18</f>
        <v>165461</v>
      </c>
      <c r="O19" s="10">
        <f>Data!$B30</f>
        <v>161664</v>
      </c>
      <c r="P19" s="10">
        <f>Data!$B42</f>
        <v>168701</v>
      </c>
      <c r="Q19" s="10">
        <f>Data!$B54</f>
        <v>232420</v>
      </c>
      <c r="R19" s="110">
        <f t="shared" ref="R19:R26" si="4">R$28*((SUM(M19:Q19)/SUM(M$28:Q$28)))</f>
        <v>150024.81080874754</v>
      </c>
      <c r="S19" s="10"/>
      <c r="T19" s="10"/>
      <c r="U19" s="10"/>
      <c r="V19" s="10"/>
      <c r="W19" s="10"/>
      <c r="X19" s="10"/>
      <c r="Y19" s="10"/>
      <c r="Z19" s="10"/>
      <c r="AA19" s="10"/>
      <c r="AB19" s="10"/>
      <c r="AC19" s="10"/>
      <c r="AD19" s="10"/>
      <c r="AE19" s="10"/>
      <c r="AF19" s="10"/>
      <c r="AG19" s="10"/>
      <c r="AH19" s="10"/>
      <c r="AI19" s="10"/>
    </row>
    <row r="20" spans="1:35">
      <c r="A20" s="98" t="s">
        <v>133</v>
      </c>
      <c r="L20" s="10"/>
      <c r="M20" s="10">
        <f>Data!$B7</f>
        <v>128789</v>
      </c>
      <c r="N20" s="10">
        <f>Data!$B19</f>
        <v>172229</v>
      </c>
      <c r="O20" s="10">
        <f>Data!$B31</f>
        <v>170845</v>
      </c>
      <c r="P20" s="10">
        <f>Data!$B43</f>
        <v>173685</v>
      </c>
      <c r="Q20" s="10">
        <f>Data!$B55</f>
        <v>243770</v>
      </c>
      <c r="R20" s="110">
        <f t="shared" si="4"/>
        <v>157155.97445688362</v>
      </c>
      <c r="S20" s="10"/>
      <c r="T20" s="10"/>
      <c r="U20" s="10"/>
      <c r="V20" s="10"/>
      <c r="W20" s="10"/>
      <c r="X20" s="10"/>
      <c r="Y20" s="10"/>
      <c r="Z20" s="10"/>
      <c r="AA20" s="10"/>
      <c r="AB20" s="10"/>
      <c r="AC20" s="10"/>
      <c r="AD20" s="10"/>
      <c r="AE20" s="10"/>
      <c r="AF20" s="10"/>
      <c r="AG20" s="10"/>
      <c r="AH20" s="10"/>
      <c r="AI20" s="10"/>
    </row>
    <row r="21" spans="1:35">
      <c r="A21" s="98" t="s">
        <v>134</v>
      </c>
      <c r="L21" s="10"/>
      <c r="M21" s="10">
        <f>Data!$B8</f>
        <v>167467</v>
      </c>
      <c r="N21" s="10">
        <f>Data!$B20</f>
        <v>175038</v>
      </c>
      <c r="O21" s="10">
        <f>Data!$B32</f>
        <v>166163</v>
      </c>
      <c r="P21" s="10">
        <f>Data!$B44</f>
        <v>185836</v>
      </c>
      <c r="Q21" s="10">
        <f>Data!$B56</f>
        <v>274627</v>
      </c>
      <c r="R21" s="110">
        <f t="shared" si="4"/>
        <v>171260.14168314828</v>
      </c>
      <c r="S21" s="10"/>
      <c r="T21" s="10"/>
      <c r="U21" s="10"/>
      <c r="V21" s="10"/>
      <c r="W21" s="10"/>
      <c r="X21" s="10"/>
      <c r="Y21" s="10"/>
      <c r="Z21" s="10"/>
      <c r="AA21" s="10"/>
      <c r="AB21" s="10"/>
      <c r="AC21" s="10"/>
      <c r="AD21" s="10"/>
      <c r="AE21" s="10"/>
      <c r="AF21" s="10"/>
      <c r="AG21" s="10"/>
      <c r="AH21" s="10"/>
      <c r="AI21" s="10"/>
    </row>
    <row r="22" spans="1:35">
      <c r="A22" s="98" t="s">
        <v>135</v>
      </c>
      <c r="L22" s="10"/>
      <c r="M22" s="10">
        <f>Data!$B9</f>
        <v>196548</v>
      </c>
      <c r="N22" s="10">
        <f>Data!$B21</f>
        <v>193086</v>
      </c>
      <c r="O22" s="10">
        <f>Data!$B33</f>
        <v>175691</v>
      </c>
      <c r="P22" s="10">
        <f>Data!$B45</f>
        <v>199442</v>
      </c>
      <c r="Q22" s="10">
        <f>Data!$B57</f>
        <v>261637</v>
      </c>
      <c r="R22" s="110">
        <f t="shared" si="4"/>
        <v>181381.14915749279</v>
      </c>
      <c r="S22" s="10"/>
      <c r="T22" s="10"/>
      <c r="U22" s="10"/>
      <c r="V22" s="10"/>
      <c r="W22" s="10"/>
      <c r="X22" s="10"/>
      <c r="Y22" s="10"/>
      <c r="Z22" s="10"/>
      <c r="AA22" s="10"/>
      <c r="AB22" s="10"/>
      <c r="AC22" s="10"/>
      <c r="AD22" s="10"/>
      <c r="AE22" s="10"/>
      <c r="AF22" s="10"/>
      <c r="AG22" s="10"/>
      <c r="AH22" s="10"/>
      <c r="AI22" s="10"/>
    </row>
    <row r="23" spans="1:35">
      <c r="A23" s="98" t="s">
        <v>136</v>
      </c>
      <c r="L23" s="10"/>
      <c r="M23" s="10">
        <f>Data!$B10</f>
        <v>183950</v>
      </c>
      <c r="N23" s="10">
        <f>Data!$B22</f>
        <v>185513</v>
      </c>
      <c r="O23" s="10">
        <f>Data!$B34</f>
        <v>175345</v>
      </c>
      <c r="P23" s="10">
        <f>Data!$B46</f>
        <v>193325</v>
      </c>
      <c r="Q23" s="10">
        <f>Data!$B58</f>
        <v>252024</v>
      </c>
      <c r="R23" s="110">
        <f t="shared" si="4"/>
        <v>174975.75467977091</v>
      </c>
      <c r="S23" s="10"/>
      <c r="T23" s="10"/>
      <c r="U23" s="10"/>
      <c r="V23" s="10"/>
      <c r="W23" s="10"/>
      <c r="X23" s="10"/>
      <c r="Y23" s="10"/>
      <c r="Z23" s="10"/>
      <c r="AA23" s="10"/>
      <c r="AB23" s="10"/>
      <c r="AC23" s="10"/>
      <c r="AD23" s="10"/>
      <c r="AE23" s="10"/>
      <c r="AF23" s="10"/>
      <c r="AG23" s="10"/>
      <c r="AH23" s="10"/>
      <c r="AI23" s="10"/>
    </row>
    <row r="24" spans="1:35">
      <c r="A24" s="98" t="s">
        <v>137</v>
      </c>
      <c r="L24" s="10"/>
      <c r="M24" s="10">
        <f>Data!$B11</f>
        <v>170448</v>
      </c>
      <c r="N24" s="10">
        <f>Data!$B23</f>
        <v>179772</v>
      </c>
      <c r="O24" s="10">
        <f>Data!$B35</f>
        <v>164119</v>
      </c>
      <c r="P24" s="10">
        <f>Data!$B47</f>
        <v>174900</v>
      </c>
      <c r="Q24" s="10">
        <f>Data!$B59</f>
        <v>242116</v>
      </c>
      <c r="R24" s="110">
        <f t="shared" si="4"/>
        <v>164584.54972269858</v>
      </c>
      <c r="S24" s="10"/>
      <c r="T24" s="10"/>
      <c r="U24" s="10"/>
      <c r="V24" s="10"/>
      <c r="W24" s="10"/>
      <c r="X24" s="10"/>
      <c r="Y24" s="10"/>
      <c r="Z24" s="10"/>
      <c r="AA24" s="10"/>
      <c r="AB24" s="10"/>
      <c r="AC24" s="10"/>
      <c r="AD24" s="10"/>
      <c r="AE24" s="10"/>
      <c r="AF24" s="10"/>
      <c r="AG24" s="10"/>
      <c r="AH24" s="10"/>
      <c r="AI24" s="10"/>
    </row>
    <row r="25" spans="1:35">
      <c r="A25" s="98" t="s">
        <v>138</v>
      </c>
      <c r="L25" s="10"/>
      <c r="M25" s="10">
        <f>Data!$B12</f>
        <v>176267</v>
      </c>
      <c r="N25" s="10">
        <f>Data!$B24</f>
        <v>156941</v>
      </c>
      <c r="O25" s="10">
        <f>Data!$B36</f>
        <v>179931</v>
      </c>
      <c r="P25" s="10">
        <f>Data!$B48</f>
        <v>170099</v>
      </c>
      <c r="Q25" s="10">
        <f>Data!$B60</f>
        <v>207847</v>
      </c>
      <c r="R25" s="110">
        <f t="shared" si="4"/>
        <v>157468.23014817212</v>
      </c>
      <c r="S25" s="10"/>
      <c r="T25" s="10"/>
      <c r="U25" s="10"/>
      <c r="V25" s="10"/>
      <c r="W25" s="10"/>
      <c r="X25" s="10"/>
      <c r="Y25" s="10"/>
      <c r="Z25" s="10"/>
      <c r="AA25" s="10"/>
      <c r="AB25" s="10"/>
      <c r="AC25" s="10"/>
      <c r="AD25" s="10"/>
      <c r="AE25" s="10"/>
      <c r="AF25" s="10"/>
      <c r="AG25" s="10"/>
      <c r="AH25" s="10"/>
      <c r="AI25" s="10"/>
    </row>
    <row r="26" spans="1:35">
      <c r="A26" s="98" t="s">
        <v>139</v>
      </c>
      <c r="L26" s="10"/>
      <c r="M26" s="10">
        <f>Data!$B13</f>
        <v>199116</v>
      </c>
      <c r="N26" s="10">
        <f>Data!$B25</f>
        <v>194209</v>
      </c>
      <c r="O26" s="10">
        <f>Data!$B37</f>
        <v>192198</v>
      </c>
      <c r="P26" s="10">
        <f>Data!$B49</f>
        <v>205948</v>
      </c>
      <c r="Q26" s="10">
        <f>Data!$B61</f>
        <v>243174</v>
      </c>
      <c r="R26" s="110">
        <f t="shared" si="4"/>
        <v>182837.45880769572</v>
      </c>
      <c r="S26" s="10"/>
      <c r="T26" s="10"/>
      <c r="U26" s="10"/>
      <c r="V26" s="10"/>
      <c r="W26" s="10"/>
      <c r="X26" s="10"/>
      <c r="Y26" s="10"/>
      <c r="Z26" s="10"/>
      <c r="AA26" s="10"/>
      <c r="AB26" s="10"/>
      <c r="AC26" s="10"/>
      <c r="AD26" s="10"/>
      <c r="AE26" s="10"/>
      <c r="AF26" s="10"/>
      <c r="AG26" s="10"/>
      <c r="AH26" s="10"/>
      <c r="AI26" s="10"/>
    </row>
    <row r="27" spans="1:35">
      <c r="A27" s="98" t="s">
        <v>140</v>
      </c>
      <c r="L27" s="10"/>
      <c r="M27" s="10">
        <f>Data!$B14</f>
        <v>175813</v>
      </c>
      <c r="N27" s="10">
        <f>Data!$B26</f>
        <v>193131</v>
      </c>
      <c r="O27" s="10">
        <f>Data!$B38</f>
        <v>188192</v>
      </c>
      <c r="P27" s="10">
        <f>Data!$B50</f>
        <v>198778</v>
      </c>
      <c r="Q27" s="10">
        <f>Data!$B62</f>
        <v>255189</v>
      </c>
      <c r="R27" s="110">
        <f>R28-SUM(R16:R26)</f>
        <v>128456.74133141432</v>
      </c>
      <c r="S27" s="10"/>
      <c r="T27" s="10"/>
      <c r="U27" s="10"/>
      <c r="V27" s="10"/>
      <c r="W27" s="10"/>
      <c r="X27" s="10"/>
      <c r="Y27" s="10"/>
      <c r="Z27" s="10"/>
      <c r="AA27" s="10"/>
      <c r="AB27" s="10"/>
      <c r="AC27" s="10"/>
      <c r="AD27" s="10"/>
      <c r="AE27" s="10"/>
      <c r="AF27" s="10"/>
      <c r="AG27" s="10"/>
      <c r="AH27" s="10"/>
      <c r="AI27" s="10"/>
    </row>
    <row r="28" spans="1:35" ht="12" thickBot="1">
      <c r="A28" s="98" t="s">
        <v>141</v>
      </c>
      <c r="L28" s="10"/>
      <c r="M28" s="10">
        <f>SUM(M16:M27)</f>
        <v>2081038</v>
      </c>
      <c r="N28" s="10">
        <f>SUM(N16:N27)</f>
        <v>2073213</v>
      </c>
      <c r="O28" s="10">
        <f>SUM(O16:O27)</f>
        <v>2060745</v>
      </c>
      <c r="P28" s="10">
        <f>SUM(P16:P27)</f>
        <v>2224904</v>
      </c>
      <c r="Q28" s="10">
        <f>SUM(Q16:Q27)</f>
        <v>2877748</v>
      </c>
      <c r="R28" s="110">
        <f>R4</f>
        <v>2000000</v>
      </c>
      <c r="S28" s="10"/>
      <c r="T28" s="10"/>
      <c r="U28" s="10"/>
      <c r="V28" s="10"/>
      <c r="W28" s="10"/>
      <c r="X28" s="10"/>
      <c r="Y28" s="10"/>
      <c r="Z28" s="10"/>
      <c r="AA28" s="10"/>
      <c r="AB28" s="10"/>
      <c r="AC28" s="10"/>
      <c r="AD28" s="10"/>
      <c r="AE28" s="10"/>
      <c r="AF28" s="10"/>
      <c r="AG28" s="10"/>
      <c r="AH28" s="10"/>
      <c r="AI28" s="10"/>
    </row>
    <row r="29" spans="1:35">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row>
    <row r="30" spans="1:35" ht="12" thickBot="1">
      <c r="A30" s="107" t="s">
        <v>142</v>
      </c>
      <c r="B30" s="107"/>
      <c r="C30" s="107"/>
      <c r="D30" s="107"/>
      <c r="E30" s="107"/>
      <c r="F30" s="107"/>
      <c r="G30" s="107"/>
      <c r="H30" s="107"/>
      <c r="I30" s="107"/>
      <c r="J30" s="107"/>
      <c r="K30" s="107"/>
      <c r="L30" s="107"/>
    </row>
    <row r="31" spans="1:35" ht="12" thickBot="1">
      <c r="A31" s="108"/>
      <c r="B31" s="109">
        <f>B2</f>
        <v>2009</v>
      </c>
      <c r="C31" s="109">
        <f t="shared" ref="C31:AI31" si="5">C2</f>
        <v>2010</v>
      </c>
      <c r="D31" s="109">
        <f t="shared" si="5"/>
        <v>2011</v>
      </c>
      <c r="E31" s="109">
        <f t="shared" si="5"/>
        <v>2012</v>
      </c>
      <c r="F31" s="109">
        <f t="shared" si="5"/>
        <v>2013</v>
      </c>
      <c r="G31" s="109">
        <f t="shared" si="5"/>
        <v>2014</v>
      </c>
      <c r="H31" s="109">
        <f t="shared" si="5"/>
        <v>2015</v>
      </c>
      <c r="I31" s="109">
        <f t="shared" si="5"/>
        <v>2016</v>
      </c>
      <c r="J31" s="109">
        <f t="shared" si="5"/>
        <v>2017</v>
      </c>
      <c r="K31" s="109">
        <f t="shared" si="5"/>
        <v>2018</v>
      </c>
      <c r="L31" s="109">
        <f t="shared" si="5"/>
        <v>2019</v>
      </c>
      <c r="M31" s="109">
        <f t="shared" si="5"/>
        <v>2020</v>
      </c>
      <c r="N31" s="109">
        <f t="shared" si="5"/>
        <v>2021</v>
      </c>
      <c r="O31" s="109">
        <f t="shared" si="5"/>
        <v>2022</v>
      </c>
      <c r="P31" s="109">
        <f t="shared" si="5"/>
        <v>2023</v>
      </c>
      <c r="Q31" s="109">
        <f t="shared" si="5"/>
        <v>2024</v>
      </c>
      <c r="R31" s="109">
        <f t="shared" si="5"/>
        <v>2025</v>
      </c>
      <c r="S31" s="109">
        <f t="shared" si="5"/>
        <v>2026</v>
      </c>
      <c r="T31" s="109">
        <f t="shared" si="5"/>
        <v>2027</v>
      </c>
      <c r="U31" s="109">
        <f t="shared" si="5"/>
        <v>2028</v>
      </c>
      <c r="V31" s="109">
        <f t="shared" si="5"/>
        <v>2029</v>
      </c>
      <c r="W31" s="109">
        <f t="shared" si="5"/>
        <v>2030</v>
      </c>
      <c r="X31" s="109">
        <f t="shared" si="5"/>
        <v>2031</v>
      </c>
      <c r="Y31" s="109">
        <f t="shared" si="5"/>
        <v>2032</v>
      </c>
      <c r="Z31" s="109">
        <f t="shared" si="5"/>
        <v>2033</v>
      </c>
      <c r="AA31" s="109">
        <f t="shared" si="5"/>
        <v>2034</v>
      </c>
      <c r="AB31" s="109">
        <f t="shared" si="5"/>
        <v>2035</v>
      </c>
      <c r="AC31" s="109">
        <f t="shared" si="5"/>
        <v>2036</v>
      </c>
      <c r="AD31" s="109">
        <f t="shared" si="5"/>
        <v>2037</v>
      </c>
      <c r="AE31" s="109">
        <f t="shared" si="5"/>
        <v>2038</v>
      </c>
      <c r="AF31" s="109">
        <f t="shared" si="5"/>
        <v>2039</v>
      </c>
      <c r="AG31" s="109">
        <f t="shared" si="5"/>
        <v>2040</v>
      </c>
      <c r="AH31" s="109">
        <f t="shared" si="5"/>
        <v>2041</v>
      </c>
      <c r="AI31" s="109">
        <f t="shared" si="5"/>
        <v>2042</v>
      </c>
    </row>
    <row r="32" spans="1:35">
      <c r="A32" s="98" t="s">
        <v>129</v>
      </c>
      <c r="L32" s="10"/>
      <c r="M32" s="10">
        <f>'Fuel Ethanol'!M42+'Renewable Fuel Ex Ethanol'!I38</f>
        <v>124753.38099999999</v>
      </c>
      <c r="N32" s="10">
        <f>'Fuel Ethanol'!N42+'Renewable Fuel Ex Ethanol'!J38</f>
        <v>110240.2065</v>
      </c>
      <c r="O32" s="10">
        <f>'Fuel Ethanol'!O42+'Renewable Fuel Ex Ethanol'!K38</f>
        <v>160009.3817</v>
      </c>
      <c r="P32" s="10">
        <f>'Fuel Ethanol'!P42+'Renewable Fuel Ex Ethanol'!L38</f>
        <v>192100.07700000002</v>
      </c>
      <c r="Q32" s="10">
        <f>'Fuel Ethanol'!Q42+'Renewable Fuel Ex Ethanol'!M38</f>
        <v>232664.6164</v>
      </c>
      <c r="R32" s="10"/>
      <c r="S32" s="10"/>
      <c r="T32" s="10"/>
      <c r="U32" s="10"/>
      <c r="V32" s="10"/>
      <c r="W32" s="10"/>
      <c r="X32" s="10"/>
      <c r="Y32" s="10"/>
      <c r="Z32" s="10"/>
      <c r="AA32" s="10"/>
      <c r="AB32" s="10"/>
      <c r="AC32" s="10"/>
      <c r="AD32" s="10"/>
      <c r="AE32" s="10"/>
      <c r="AF32" s="10"/>
      <c r="AG32" s="10"/>
      <c r="AH32" s="10"/>
      <c r="AI32" s="10"/>
    </row>
    <row r="33" spans="1:35">
      <c r="A33" s="98" t="s">
        <v>130</v>
      </c>
      <c r="L33" s="10"/>
      <c r="M33" s="10">
        <f>'Fuel Ethanol'!M43+'Renewable Fuel Ex Ethanol'!I39</f>
        <v>131447.50520000001</v>
      </c>
      <c r="N33" s="10">
        <f>'Fuel Ethanol'!N43+'Renewable Fuel Ex Ethanol'!J39</f>
        <v>78238.816800000001</v>
      </c>
      <c r="O33" s="10">
        <f>'Fuel Ethanol'!O43+'Renewable Fuel Ex Ethanol'!K39</f>
        <v>126852.45610000001</v>
      </c>
      <c r="P33" s="10">
        <f>'Fuel Ethanol'!P43+'Renewable Fuel Ex Ethanol'!L39</f>
        <v>177065.2813</v>
      </c>
      <c r="Q33" s="10">
        <f>'Fuel Ethanol'!Q43+'Renewable Fuel Ex Ethanol'!M39</f>
        <v>207148.54610000001</v>
      </c>
      <c r="R33" s="10"/>
      <c r="S33" s="10"/>
      <c r="T33" s="10"/>
      <c r="U33" s="10"/>
      <c r="V33" s="10"/>
      <c r="W33" s="10"/>
      <c r="X33" s="10"/>
      <c r="Y33" s="10"/>
      <c r="Z33" s="10"/>
      <c r="AA33" s="10"/>
      <c r="AB33" s="10"/>
      <c r="AC33" s="10"/>
      <c r="AD33" s="10"/>
      <c r="AE33" s="10"/>
      <c r="AF33" s="10"/>
      <c r="AG33" s="10"/>
      <c r="AH33" s="10"/>
      <c r="AI33" s="10"/>
    </row>
    <row r="34" spans="1:35">
      <c r="A34" s="98" t="s">
        <v>131</v>
      </c>
      <c r="L34" s="10"/>
      <c r="M34" s="10">
        <f>'Fuel Ethanol'!M44+'Renewable Fuel Ex Ethanol'!I40</f>
        <v>136478.02619999999</v>
      </c>
      <c r="N34" s="10">
        <f>'Fuel Ethanol'!N44+'Renewable Fuel Ex Ethanol'!J40</f>
        <v>136753.1488</v>
      </c>
      <c r="O34" s="10">
        <f>'Fuel Ethanol'!O44+'Renewable Fuel Ex Ethanol'!K40</f>
        <v>143595.2346</v>
      </c>
      <c r="P34" s="10">
        <f>'Fuel Ethanol'!P44+'Renewable Fuel Ex Ethanol'!L40</f>
        <v>301144.96189999999</v>
      </c>
      <c r="Q34" s="10">
        <f>'Fuel Ethanol'!Q44+'Renewable Fuel Ex Ethanol'!M40</f>
        <v>248629.9768</v>
      </c>
      <c r="R34" s="10"/>
      <c r="S34" s="10"/>
      <c r="T34" s="10"/>
      <c r="U34" s="10"/>
      <c r="V34" s="10"/>
      <c r="W34" s="10"/>
      <c r="X34" s="10"/>
      <c r="Y34" s="10"/>
      <c r="Z34" s="10"/>
      <c r="AA34" s="10"/>
      <c r="AB34" s="10"/>
      <c r="AC34" s="10"/>
      <c r="AD34" s="10"/>
      <c r="AE34" s="10"/>
      <c r="AF34" s="10"/>
      <c r="AG34" s="10"/>
      <c r="AH34" s="10"/>
      <c r="AI34" s="10"/>
    </row>
    <row r="35" spans="1:35">
      <c r="A35" s="98" t="s">
        <v>132</v>
      </c>
      <c r="L35" s="10"/>
      <c r="M35" s="10">
        <f>'Fuel Ethanol'!M45+'Renewable Fuel Ex Ethanol'!I41</f>
        <v>112397.65030000001</v>
      </c>
      <c r="N35" s="10">
        <f>'Fuel Ethanol'!N45+'Renewable Fuel Ex Ethanol'!J41</f>
        <v>158152.18049999999</v>
      </c>
      <c r="O35" s="10">
        <f>'Fuel Ethanol'!O45+'Renewable Fuel Ex Ethanol'!K41</f>
        <v>198254.49220000001</v>
      </c>
      <c r="P35" s="10">
        <f>'Fuel Ethanol'!P45+'Renewable Fuel Ex Ethanol'!L41</f>
        <v>312110.92379999999</v>
      </c>
      <c r="Q35" s="10">
        <f>'Fuel Ethanol'!Q45+'Renewable Fuel Ex Ethanol'!M41</f>
        <v>302048.01569999999</v>
      </c>
      <c r="R35" s="10"/>
      <c r="S35" s="10"/>
      <c r="T35" s="10"/>
      <c r="U35" s="10"/>
      <c r="V35" s="10"/>
      <c r="W35" s="10"/>
      <c r="X35" s="10"/>
      <c r="Y35" s="10"/>
      <c r="Z35" s="10"/>
      <c r="AA35" s="10"/>
      <c r="AB35" s="10"/>
      <c r="AC35" s="10"/>
      <c r="AD35" s="10"/>
      <c r="AE35" s="10"/>
      <c r="AF35" s="10"/>
      <c r="AG35" s="10"/>
      <c r="AH35" s="10"/>
      <c r="AI35" s="10"/>
    </row>
    <row r="36" spans="1:35">
      <c r="A36" s="98" t="s">
        <v>133</v>
      </c>
      <c r="L36" s="10"/>
      <c r="M36" s="10">
        <f>'Fuel Ethanol'!M46+'Renewable Fuel Ex Ethanol'!I42</f>
        <v>136851.30310000002</v>
      </c>
      <c r="N36" s="10">
        <f>'Fuel Ethanol'!N46+'Renewable Fuel Ex Ethanol'!J42</f>
        <v>165006.47030000002</v>
      </c>
      <c r="O36" s="10">
        <f>'Fuel Ethanol'!O46+'Renewable Fuel Ex Ethanol'!K42</f>
        <v>217919.64419999998</v>
      </c>
      <c r="P36" s="10">
        <f>'Fuel Ethanol'!P46+'Renewable Fuel Ex Ethanol'!L42</f>
        <v>345263.44070000004</v>
      </c>
      <c r="Q36" s="10">
        <f>'Fuel Ethanol'!Q46+'Renewable Fuel Ex Ethanol'!M42</f>
        <v>334987.9841</v>
      </c>
      <c r="R36" s="10"/>
      <c r="S36" s="10"/>
      <c r="T36" s="10"/>
      <c r="U36" s="10"/>
      <c r="V36" s="10"/>
      <c r="W36" s="10"/>
      <c r="X36" s="10"/>
      <c r="Y36" s="10"/>
      <c r="Z36" s="10"/>
      <c r="AA36" s="10"/>
      <c r="AB36" s="10"/>
      <c r="AC36" s="10"/>
      <c r="AD36" s="10"/>
      <c r="AE36" s="10"/>
      <c r="AF36" s="10"/>
      <c r="AG36" s="10"/>
      <c r="AH36" s="10"/>
      <c r="AI36" s="10"/>
    </row>
    <row r="37" spans="1:35">
      <c r="A37" s="98" t="s">
        <v>134</v>
      </c>
      <c r="L37" s="10"/>
      <c r="M37" s="10">
        <f>'Fuel Ethanol'!M47+'Renewable Fuel Ex Ethanol'!I43</f>
        <v>174907.06580000001</v>
      </c>
      <c r="N37" s="10">
        <f>'Fuel Ethanol'!N47+'Renewable Fuel Ex Ethanol'!J43</f>
        <v>199963.9822</v>
      </c>
      <c r="O37" s="10">
        <f>'Fuel Ethanol'!O47+'Renewable Fuel Ex Ethanol'!K43</f>
        <v>214218.0937</v>
      </c>
      <c r="P37" s="10">
        <f>'Fuel Ethanol'!P47+'Renewable Fuel Ex Ethanol'!L43</f>
        <v>302244.46840000001</v>
      </c>
      <c r="Q37" s="10">
        <f>'Fuel Ethanol'!Q47+'Renewable Fuel Ex Ethanol'!M43</f>
        <v>231836.62719999999</v>
      </c>
      <c r="R37" s="10"/>
      <c r="S37" s="10"/>
      <c r="T37" s="10"/>
      <c r="U37" s="10"/>
      <c r="V37" s="10"/>
      <c r="W37" s="10"/>
      <c r="X37" s="10"/>
      <c r="Y37" s="10"/>
      <c r="Z37" s="10"/>
      <c r="AA37" s="10"/>
      <c r="AB37" s="10"/>
      <c r="AC37" s="10"/>
      <c r="AD37" s="10"/>
      <c r="AE37" s="10"/>
      <c r="AF37" s="10"/>
      <c r="AG37" s="10"/>
      <c r="AH37" s="10"/>
      <c r="AI37" s="10"/>
    </row>
    <row r="38" spans="1:35">
      <c r="A38" s="98" t="s">
        <v>135</v>
      </c>
      <c r="L38" s="10"/>
      <c r="M38" s="10">
        <f>'Fuel Ethanol'!M48+'Renewable Fuel Ex Ethanol'!I44</f>
        <v>161044.51389999999</v>
      </c>
      <c r="N38" s="10">
        <f>'Fuel Ethanol'!N48+'Renewable Fuel Ex Ethanol'!J44</f>
        <v>162143.01420000001</v>
      </c>
      <c r="O38" s="10">
        <f>'Fuel Ethanol'!O48+'Renewable Fuel Ex Ethanol'!K44</f>
        <v>220826.4503</v>
      </c>
      <c r="P38" s="10">
        <f>'Fuel Ethanol'!P48+'Renewable Fuel Ex Ethanol'!L44</f>
        <v>373091.5845</v>
      </c>
      <c r="Q38" s="10"/>
      <c r="R38" s="10"/>
      <c r="S38" s="10"/>
      <c r="T38" s="10"/>
      <c r="U38" s="10"/>
      <c r="V38" s="10"/>
      <c r="W38" s="10"/>
      <c r="X38" s="10"/>
      <c r="Y38" s="10"/>
      <c r="Z38" s="10"/>
      <c r="AA38" s="10"/>
      <c r="AB38" s="10"/>
      <c r="AC38" s="10"/>
      <c r="AD38" s="10"/>
      <c r="AE38" s="10"/>
      <c r="AF38" s="10"/>
      <c r="AG38" s="10"/>
      <c r="AH38" s="10"/>
      <c r="AI38" s="10"/>
    </row>
    <row r="39" spans="1:35">
      <c r="A39" s="98" t="s">
        <v>136</v>
      </c>
      <c r="L39" s="10"/>
      <c r="M39" s="10">
        <f>'Fuel Ethanol'!M49+'Renewable Fuel Ex Ethanol'!I45</f>
        <v>200370.28330000001</v>
      </c>
      <c r="N39" s="10">
        <f>'Fuel Ethanol'!N49+'Renewable Fuel Ex Ethanol'!J45</f>
        <v>191299.63940000001</v>
      </c>
      <c r="O39" s="10">
        <f>'Fuel Ethanol'!O49+'Renewable Fuel Ex Ethanol'!K45</f>
        <v>272197.60840000003</v>
      </c>
      <c r="P39" s="10">
        <f>'Fuel Ethanol'!P49+'Renewable Fuel Ex Ethanol'!L45</f>
        <v>308404.40529999998</v>
      </c>
      <c r="Q39" s="10"/>
      <c r="R39" s="10"/>
      <c r="S39" s="10"/>
      <c r="T39" s="10"/>
      <c r="U39" s="10"/>
      <c r="V39" s="10"/>
      <c r="W39" s="10"/>
      <c r="X39" s="10"/>
      <c r="Y39" s="10"/>
      <c r="Z39" s="10"/>
      <c r="AA39" s="10"/>
      <c r="AB39" s="10"/>
      <c r="AC39" s="10"/>
      <c r="AD39" s="10"/>
      <c r="AE39" s="10"/>
      <c r="AF39" s="10"/>
      <c r="AG39" s="10"/>
      <c r="AH39" s="10"/>
      <c r="AI39" s="10"/>
    </row>
    <row r="40" spans="1:35">
      <c r="A40" s="98" t="s">
        <v>137</v>
      </c>
      <c r="L40" s="10"/>
      <c r="M40" s="10">
        <f>'Fuel Ethanol'!M50+'Renewable Fuel Ex Ethanol'!I46</f>
        <v>183136.07120000001</v>
      </c>
      <c r="N40" s="10">
        <f>'Fuel Ethanol'!N50+'Renewable Fuel Ex Ethanol'!J46</f>
        <v>168865.0955</v>
      </c>
      <c r="O40" s="10">
        <f>'Fuel Ethanol'!O50+'Renewable Fuel Ex Ethanol'!K46</f>
        <v>241913.39939999999</v>
      </c>
      <c r="P40" s="10">
        <f>'Fuel Ethanol'!P50+'Renewable Fuel Ex Ethanol'!L46</f>
        <v>280636.39120000001</v>
      </c>
      <c r="Q40" s="10"/>
      <c r="R40" s="10"/>
      <c r="S40" s="10"/>
      <c r="T40" s="10"/>
      <c r="U40" s="10"/>
      <c r="V40" s="10"/>
      <c r="W40" s="10"/>
      <c r="X40" s="10"/>
      <c r="Y40" s="10"/>
      <c r="Z40" s="10"/>
      <c r="AA40" s="10"/>
      <c r="AB40" s="10"/>
      <c r="AC40" s="10"/>
      <c r="AD40" s="10"/>
      <c r="AE40" s="10"/>
      <c r="AF40" s="10"/>
      <c r="AG40" s="10"/>
      <c r="AH40" s="10"/>
      <c r="AI40" s="10"/>
    </row>
    <row r="41" spans="1:35">
      <c r="A41" s="98" t="s">
        <v>138</v>
      </c>
      <c r="L41" s="10"/>
      <c r="M41" s="10">
        <f>'Fuel Ethanol'!M51+'Renewable Fuel Ex Ethanol'!I47</f>
        <v>146589.3725</v>
      </c>
      <c r="N41" s="10">
        <f>'Fuel Ethanol'!N51+'Renewable Fuel Ex Ethanol'!J47</f>
        <v>164043.32570000002</v>
      </c>
      <c r="O41" s="10">
        <f>'Fuel Ethanol'!O51+'Renewable Fuel Ex Ethanol'!K47</f>
        <v>247839.7794</v>
      </c>
      <c r="P41" s="10">
        <f>'Fuel Ethanol'!P51+'Renewable Fuel Ex Ethanol'!L47</f>
        <v>333466.8272</v>
      </c>
      <c r="Q41" s="10"/>
      <c r="R41" s="10"/>
      <c r="S41" s="10"/>
      <c r="T41" s="10"/>
      <c r="U41" s="10"/>
      <c r="V41" s="10"/>
      <c r="W41" s="10"/>
      <c r="X41" s="10"/>
      <c r="Y41" s="10"/>
      <c r="Z41" s="10"/>
      <c r="AA41" s="10"/>
      <c r="AB41" s="10"/>
      <c r="AC41" s="10"/>
      <c r="AD41" s="10"/>
      <c r="AE41" s="10"/>
      <c r="AF41" s="10"/>
      <c r="AG41" s="10"/>
      <c r="AH41" s="10"/>
      <c r="AI41" s="10"/>
    </row>
    <row r="42" spans="1:35">
      <c r="A42" s="98" t="s">
        <v>139</v>
      </c>
      <c r="L42" s="10"/>
      <c r="M42" s="10">
        <f>'Fuel Ethanol'!M52+'Renewable Fuel Ex Ethanol'!I48</f>
        <v>139689.24550000002</v>
      </c>
      <c r="N42" s="10">
        <f>'Fuel Ethanol'!N52+'Renewable Fuel Ex Ethanol'!J48</f>
        <v>149797.37419999999</v>
      </c>
      <c r="O42" s="10">
        <f>'Fuel Ethanol'!O52+'Renewable Fuel Ex Ethanol'!K48</f>
        <v>208834.22659999999</v>
      </c>
      <c r="P42" s="10">
        <f>'Fuel Ethanol'!P52+'Renewable Fuel Ex Ethanol'!L48</f>
        <v>230080.57070000001</v>
      </c>
      <c r="Q42" s="10"/>
      <c r="R42" s="10"/>
      <c r="S42" s="10"/>
      <c r="T42" s="10"/>
      <c r="U42" s="10"/>
      <c r="V42" s="10"/>
      <c r="W42" s="10"/>
      <c r="X42" s="10"/>
      <c r="Y42" s="10"/>
      <c r="Z42" s="10"/>
      <c r="AA42" s="10"/>
      <c r="AB42" s="10"/>
      <c r="AC42" s="10"/>
      <c r="AD42" s="10"/>
      <c r="AE42" s="10"/>
      <c r="AF42" s="10"/>
      <c r="AG42" s="10"/>
      <c r="AH42" s="10"/>
      <c r="AI42" s="10"/>
    </row>
    <row r="43" spans="1:35">
      <c r="A43" s="98" t="s">
        <v>140</v>
      </c>
      <c r="L43" s="10"/>
      <c r="M43" s="10">
        <f>'Fuel Ethanol'!M53+'Renewable Fuel Ex Ethanol'!I49</f>
        <v>92819.470100000006</v>
      </c>
      <c r="N43" s="10">
        <f>'Fuel Ethanol'!N53+'Renewable Fuel Ex Ethanol'!J49</f>
        <v>142465.81580000001</v>
      </c>
      <c r="O43" s="10">
        <f>'Fuel Ethanol'!O53+'Renewable Fuel Ex Ethanol'!K49</f>
        <v>242754.83840000001</v>
      </c>
      <c r="P43" s="10">
        <f>'Fuel Ethanol'!P53+'Renewable Fuel Ex Ethanol'!L49</f>
        <v>210873.83260000002</v>
      </c>
      <c r="Q43" s="10"/>
      <c r="R43" s="10"/>
      <c r="S43" s="10"/>
      <c r="T43" s="10"/>
      <c r="U43" s="10"/>
      <c r="V43" s="10"/>
      <c r="W43" s="10"/>
      <c r="X43" s="10"/>
      <c r="Y43" s="10"/>
      <c r="Z43" s="10"/>
      <c r="AA43" s="10"/>
      <c r="AB43" s="10"/>
      <c r="AC43" s="10"/>
      <c r="AD43" s="10"/>
      <c r="AE43" s="10"/>
      <c r="AF43" s="10"/>
      <c r="AG43" s="10"/>
      <c r="AH43" s="10"/>
      <c r="AI43" s="10"/>
    </row>
    <row r="44" spans="1:35" ht="12" thickBot="1">
      <c r="A44" s="98" t="s">
        <v>141</v>
      </c>
      <c r="L44" s="10"/>
      <c r="M44" s="10">
        <f>SUM(M32:M43)</f>
        <v>1740483.8881000003</v>
      </c>
      <c r="N44" s="10">
        <f>SUM(N32:N43)</f>
        <v>1826969.0699</v>
      </c>
      <c r="O44" s="10">
        <f>SUM(O32:O43)</f>
        <v>2495215.6050000004</v>
      </c>
      <c r="P44" s="10">
        <f>SUM(P32:P43)</f>
        <v>3366482.7646000003</v>
      </c>
      <c r="Q44" s="10"/>
      <c r="R44" s="10"/>
      <c r="S44" s="10"/>
      <c r="T44" s="10"/>
      <c r="U44" s="10"/>
      <c r="V44" s="10"/>
      <c r="W44" s="10"/>
      <c r="X44" s="10"/>
      <c r="Y44" s="10"/>
      <c r="Z44" s="10"/>
      <c r="AA44" s="10"/>
      <c r="AB44" s="10"/>
      <c r="AC44" s="10"/>
      <c r="AD44" s="10"/>
      <c r="AE44" s="10"/>
      <c r="AF44" s="10"/>
      <c r="AG44" s="10"/>
      <c r="AH44" s="10"/>
      <c r="AI44" s="10"/>
    </row>
    <row r="45" spans="1:3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row>
    <row r="46" spans="1:35" ht="12" thickBot="1">
      <c r="A46" s="107" t="s">
        <v>143</v>
      </c>
      <c r="B46" s="107"/>
      <c r="C46" s="107"/>
      <c r="D46" s="107"/>
      <c r="E46" s="107"/>
      <c r="F46" s="107"/>
      <c r="G46" s="107"/>
      <c r="H46" s="107"/>
      <c r="I46" s="107"/>
      <c r="J46" s="107"/>
      <c r="K46" s="107"/>
      <c r="L46" s="107"/>
    </row>
    <row r="47" spans="1:35" ht="12" thickBot="1">
      <c r="A47" s="108"/>
      <c r="B47" s="109">
        <f>B2</f>
        <v>2009</v>
      </c>
      <c r="C47" s="109">
        <f t="shared" ref="C47:AI47" si="6">C2</f>
        <v>2010</v>
      </c>
      <c r="D47" s="109">
        <f t="shared" si="6"/>
        <v>2011</v>
      </c>
      <c r="E47" s="109">
        <f t="shared" si="6"/>
        <v>2012</v>
      </c>
      <c r="F47" s="109">
        <f t="shared" si="6"/>
        <v>2013</v>
      </c>
      <c r="G47" s="109">
        <f t="shared" si="6"/>
        <v>2014</v>
      </c>
      <c r="H47" s="109">
        <f t="shared" si="6"/>
        <v>2015</v>
      </c>
      <c r="I47" s="109">
        <f t="shared" si="6"/>
        <v>2016</v>
      </c>
      <c r="J47" s="109">
        <f t="shared" si="6"/>
        <v>2017</v>
      </c>
      <c r="K47" s="109">
        <f t="shared" si="6"/>
        <v>2018</v>
      </c>
      <c r="L47" s="109">
        <f t="shared" si="6"/>
        <v>2019</v>
      </c>
      <c r="M47" s="109">
        <f t="shared" si="6"/>
        <v>2020</v>
      </c>
      <c r="N47" s="109">
        <f t="shared" si="6"/>
        <v>2021</v>
      </c>
      <c r="O47" s="109">
        <f t="shared" si="6"/>
        <v>2022</v>
      </c>
      <c r="P47" s="109">
        <f t="shared" si="6"/>
        <v>2023</v>
      </c>
      <c r="Q47" s="109">
        <f t="shared" si="6"/>
        <v>2024</v>
      </c>
      <c r="R47" s="109">
        <f t="shared" si="6"/>
        <v>2025</v>
      </c>
      <c r="S47" s="109">
        <f t="shared" si="6"/>
        <v>2026</v>
      </c>
      <c r="T47" s="109">
        <f t="shared" si="6"/>
        <v>2027</v>
      </c>
      <c r="U47" s="109">
        <f t="shared" si="6"/>
        <v>2028</v>
      </c>
      <c r="V47" s="109">
        <f t="shared" si="6"/>
        <v>2029</v>
      </c>
      <c r="W47" s="109">
        <f t="shared" si="6"/>
        <v>2030</v>
      </c>
      <c r="X47" s="109">
        <f t="shared" si="6"/>
        <v>2031</v>
      </c>
      <c r="Y47" s="109">
        <f t="shared" si="6"/>
        <v>2032</v>
      </c>
      <c r="Z47" s="109">
        <f t="shared" si="6"/>
        <v>2033</v>
      </c>
      <c r="AA47" s="109">
        <f t="shared" si="6"/>
        <v>2034</v>
      </c>
      <c r="AB47" s="109">
        <f t="shared" si="6"/>
        <v>2035</v>
      </c>
      <c r="AC47" s="109">
        <f t="shared" si="6"/>
        <v>2036</v>
      </c>
      <c r="AD47" s="109">
        <f t="shared" si="6"/>
        <v>2037</v>
      </c>
      <c r="AE47" s="109">
        <f t="shared" si="6"/>
        <v>2038</v>
      </c>
      <c r="AF47" s="109">
        <f t="shared" si="6"/>
        <v>2039</v>
      </c>
      <c r="AG47" s="109">
        <f t="shared" si="6"/>
        <v>2040</v>
      </c>
      <c r="AH47" s="109">
        <f t="shared" si="6"/>
        <v>2041</v>
      </c>
      <c r="AI47" s="109">
        <f t="shared" si="6"/>
        <v>2042</v>
      </c>
    </row>
    <row r="48" spans="1:35">
      <c r="A48" s="98" t="s">
        <v>129</v>
      </c>
      <c r="L48" s="10"/>
      <c r="M48" s="10">
        <f>'Fuel Ethanol'!M58+'Renewable Fuel Ex Ethanol'!I54</f>
        <v>30559.546900000001</v>
      </c>
      <c r="N48" s="10">
        <f>'Fuel Ethanol'!N58+'Renewable Fuel Ex Ethanol'!J54</f>
        <v>32008.029199999997</v>
      </c>
      <c r="O48" s="10">
        <f>'Fuel Ethanol'!O58+'Renewable Fuel Ex Ethanol'!K54</f>
        <v>27324.007400000002</v>
      </c>
      <c r="P48" s="10">
        <f>'Fuel Ethanol'!P58+'Renewable Fuel Ex Ethanol'!L54</f>
        <v>35319.976800000004</v>
      </c>
      <c r="Q48" s="10">
        <f>'Fuel Ethanol'!Q58+'Renewable Fuel Ex Ethanol'!M54</f>
        <v>39222.322200000002</v>
      </c>
      <c r="R48" s="10"/>
      <c r="S48" s="10"/>
      <c r="T48" s="10"/>
      <c r="U48" s="10"/>
      <c r="V48" s="10"/>
      <c r="W48" s="10"/>
      <c r="X48" s="10"/>
      <c r="Y48" s="10"/>
      <c r="Z48" s="10"/>
      <c r="AA48" s="10"/>
      <c r="AB48" s="10"/>
      <c r="AC48" s="10"/>
      <c r="AD48" s="10"/>
      <c r="AE48" s="10"/>
      <c r="AF48" s="10"/>
      <c r="AG48" s="10"/>
      <c r="AH48" s="10"/>
      <c r="AI48" s="10"/>
    </row>
    <row r="49" spans="1:35">
      <c r="A49" s="98" t="s">
        <v>130</v>
      </c>
      <c r="L49" s="10"/>
      <c r="M49" s="10">
        <f>'Fuel Ethanol'!M59+'Renewable Fuel Ex Ethanol'!I55</f>
        <v>31387.503200000003</v>
      </c>
      <c r="N49" s="10">
        <f>'Fuel Ethanol'!N59+'Renewable Fuel Ex Ethanol'!J55</f>
        <v>45586.621500000001</v>
      </c>
      <c r="O49" s="10">
        <f>'Fuel Ethanol'!O59+'Renewable Fuel Ex Ethanol'!K55</f>
        <v>33262.673300000002</v>
      </c>
      <c r="P49" s="10">
        <f>'Fuel Ethanol'!P59+'Renewable Fuel Ex Ethanol'!L55</f>
        <v>47291.043700000002</v>
      </c>
      <c r="Q49" s="10">
        <f>'Fuel Ethanol'!Q59+'Renewable Fuel Ex Ethanol'!M55</f>
        <v>55309.909299999999</v>
      </c>
      <c r="R49" s="10"/>
      <c r="S49" s="10"/>
      <c r="T49" s="10"/>
      <c r="U49" s="10"/>
      <c r="V49" s="10"/>
      <c r="W49" s="10"/>
      <c r="X49" s="10"/>
      <c r="Y49" s="10"/>
      <c r="Z49" s="10"/>
      <c r="AA49" s="10"/>
      <c r="AB49" s="10"/>
      <c r="AC49" s="10"/>
      <c r="AD49" s="10"/>
      <c r="AE49" s="10"/>
      <c r="AF49" s="10"/>
      <c r="AG49" s="10"/>
      <c r="AH49" s="10"/>
      <c r="AI49" s="10"/>
    </row>
    <row r="50" spans="1:35">
      <c r="A50" s="98" t="s">
        <v>131</v>
      </c>
      <c r="L50" s="10"/>
      <c r="M50" s="10">
        <f>'Fuel Ethanol'!M60+'Renewable Fuel Ex Ethanol'!I56</f>
        <v>36656.254100000006</v>
      </c>
      <c r="N50" s="10">
        <f>'Fuel Ethanol'!N60+'Renewable Fuel Ex Ethanol'!J56</f>
        <v>35579.934600000001</v>
      </c>
      <c r="O50" s="10">
        <f>'Fuel Ethanol'!O60+'Renewable Fuel Ex Ethanol'!K56</f>
        <v>29514.534500000002</v>
      </c>
      <c r="P50" s="10">
        <f>'Fuel Ethanol'!P60+'Renewable Fuel Ex Ethanol'!L56</f>
        <v>40936.22</v>
      </c>
      <c r="Q50" s="10">
        <f>'Fuel Ethanol'!Q60+'Renewable Fuel Ex Ethanol'!M56</f>
        <v>58938.658799999997</v>
      </c>
      <c r="R50" s="10"/>
      <c r="S50" s="10"/>
      <c r="T50" s="10"/>
      <c r="U50" s="10"/>
      <c r="V50" s="10"/>
      <c r="W50" s="10"/>
      <c r="X50" s="10"/>
      <c r="Y50" s="10"/>
      <c r="Z50" s="10"/>
      <c r="AA50" s="10"/>
      <c r="AB50" s="10"/>
      <c r="AC50" s="10"/>
      <c r="AD50" s="10"/>
      <c r="AE50" s="10"/>
      <c r="AF50" s="10"/>
      <c r="AG50" s="10"/>
      <c r="AH50" s="10"/>
      <c r="AI50" s="10"/>
    </row>
    <row r="51" spans="1:35">
      <c r="A51" s="98" t="s">
        <v>132</v>
      </c>
      <c r="L51" s="10"/>
      <c r="M51" s="10">
        <f>'Fuel Ethanol'!M61+'Renewable Fuel Ex Ethanol'!I57</f>
        <v>33078.525999999998</v>
      </c>
      <c r="N51" s="10">
        <f>'Fuel Ethanol'!N61+'Renewable Fuel Ex Ethanol'!J57</f>
        <v>48385.2883</v>
      </c>
      <c r="O51" s="10">
        <f>'Fuel Ethanol'!O61+'Renewable Fuel Ex Ethanol'!K57</f>
        <v>41025.741999999998</v>
      </c>
      <c r="P51" s="10">
        <f>'Fuel Ethanol'!P61+'Renewable Fuel Ex Ethanol'!L57</f>
        <v>50252.100200000001</v>
      </c>
      <c r="Q51" s="10">
        <f>'Fuel Ethanol'!Q61+'Renewable Fuel Ex Ethanol'!M57</f>
        <v>42491.892300000007</v>
      </c>
      <c r="R51" s="10"/>
      <c r="S51" s="10"/>
      <c r="T51" s="10"/>
      <c r="U51" s="10"/>
      <c r="V51" s="10"/>
      <c r="W51" s="10"/>
      <c r="X51" s="10"/>
      <c r="Y51" s="10"/>
      <c r="Z51" s="10"/>
      <c r="AA51" s="10"/>
      <c r="AB51" s="10"/>
      <c r="AC51" s="10"/>
      <c r="AD51" s="10"/>
      <c r="AE51" s="10"/>
      <c r="AF51" s="10"/>
      <c r="AG51" s="10"/>
      <c r="AH51" s="10"/>
      <c r="AI51" s="10"/>
    </row>
    <row r="52" spans="1:35">
      <c r="A52" s="98" t="s">
        <v>133</v>
      </c>
      <c r="L52" s="10"/>
      <c r="M52" s="10">
        <f>'Fuel Ethanol'!M62+'Renewable Fuel Ex Ethanol'!I58</f>
        <v>47486.141499999998</v>
      </c>
      <c r="N52" s="10">
        <f>'Fuel Ethanol'!N62+'Renewable Fuel Ex Ethanol'!J58</f>
        <v>43613.292099999999</v>
      </c>
      <c r="O52" s="10">
        <f>'Fuel Ethanol'!O62+'Renewable Fuel Ex Ethanol'!K58</f>
        <v>40248.157100000004</v>
      </c>
      <c r="P52" s="10">
        <f>'Fuel Ethanol'!P62+'Renewable Fuel Ex Ethanol'!L58</f>
        <v>49423.901599999997</v>
      </c>
      <c r="Q52" s="10">
        <f>'Fuel Ethanol'!Q62+'Renewable Fuel Ex Ethanol'!M58</f>
        <v>51936.634300000005</v>
      </c>
      <c r="R52" s="10"/>
      <c r="S52" s="10"/>
      <c r="T52" s="10"/>
      <c r="U52" s="10"/>
      <c r="V52" s="10"/>
      <c r="W52" s="10"/>
      <c r="X52" s="10"/>
      <c r="Y52" s="10"/>
      <c r="Z52" s="10"/>
      <c r="AA52" s="10"/>
      <c r="AB52" s="10"/>
      <c r="AC52" s="10"/>
      <c r="AD52" s="10"/>
      <c r="AE52" s="10"/>
      <c r="AF52" s="10"/>
      <c r="AG52" s="10"/>
      <c r="AH52" s="10"/>
      <c r="AI52" s="10"/>
    </row>
    <row r="53" spans="1:35">
      <c r="A53" s="98" t="s">
        <v>134</v>
      </c>
      <c r="L53" s="10"/>
      <c r="M53" s="10">
        <f>'Fuel Ethanol'!M63+'Renewable Fuel Ex Ethanol'!I59</f>
        <v>45240.3992</v>
      </c>
      <c r="N53" s="10">
        <f>'Fuel Ethanol'!N63+'Renewable Fuel Ex Ethanol'!J59</f>
        <v>46736.915999999997</v>
      </c>
      <c r="O53" s="10">
        <f>'Fuel Ethanol'!O63+'Renewable Fuel Ex Ethanol'!K59</f>
        <v>26915.739000000001</v>
      </c>
      <c r="P53" s="10">
        <f>'Fuel Ethanol'!P63+'Renewable Fuel Ex Ethanol'!L59</f>
        <v>53570.940699999999</v>
      </c>
      <c r="Q53" s="10">
        <f>'Fuel Ethanol'!Q63+'Renewable Fuel Ex Ethanol'!M59</f>
        <v>49792.119399999996</v>
      </c>
      <c r="R53" s="10"/>
      <c r="S53" s="10"/>
      <c r="T53" s="10"/>
      <c r="U53" s="10"/>
      <c r="V53" s="10"/>
      <c r="W53" s="10"/>
      <c r="X53" s="10"/>
      <c r="Y53" s="10"/>
      <c r="Z53" s="10"/>
      <c r="AA53" s="10"/>
      <c r="AB53" s="10"/>
      <c r="AC53" s="10"/>
      <c r="AD53" s="10"/>
      <c r="AE53" s="10"/>
      <c r="AF53" s="10"/>
      <c r="AG53" s="10"/>
      <c r="AH53" s="10"/>
      <c r="AI53" s="10"/>
    </row>
    <row r="54" spans="1:35">
      <c r="A54" s="98" t="s">
        <v>135</v>
      </c>
      <c r="L54" s="10"/>
      <c r="M54" s="10">
        <f>'Fuel Ethanol'!M64+'Renewable Fuel Ex Ethanol'!I60</f>
        <v>50162.687700000002</v>
      </c>
      <c r="N54" s="10">
        <f>'Fuel Ethanol'!N64+'Renewable Fuel Ex Ethanol'!J60</f>
        <v>36695.838799999998</v>
      </c>
      <c r="O54" s="10">
        <f>'Fuel Ethanol'!O64+'Renewable Fuel Ex Ethanol'!K60</f>
        <v>41197.792500000003</v>
      </c>
      <c r="P54" s="10">
        <f>'Fuel Ethanol'!P64+'Renewable Fuel Ex Ethanol'!L60</f>
        <v>45169.115300000005</v>
      </c>
      <c r="Q54" s="10"/>
      <c r="R54" s="10"/>
      <c r="S54" s="10"/>
      <c r="T54" s="10"/>
      <c r="U54" s="10"/>
      <c r="V54" s="10"/>
      <c r="W54" s="10"/>
      <c r="X54" s="10"/>
      <c r="Y54" s="10"/>
      <c r="Z54" s="10"/>
      <c r="AA54" s="10"/>
      <c r="AB54" s="10"/>
      <c r="AC54" s="10"/>
      <c r="AD54" s="10"/>
      <c r="AE54" s="10"/>
      <c r="AF54" s="10"/>
      <c r="AG54" s="10"/>
      <c r="AH54" s="10"/>
      <c r="AI54" s="10"/>
    </row>
    <row r="55" spans="1:35">
      <c r="A55" s="98" t="s">
        <v>136</v>
      </c>
      <c r="L55" s="10"/>
      <c r="M55" s="10">
        <f>'Fuel Ethanol'!M65+'Renewable Fuel Ex Ethanol'!I61</f>
        <v>38454.087</v>
      </c>
      <c r="N55" s="10">
        <f>'Fuel Ethanol'!N65+'Renewable Fuel Ex Ethanol'!J61</f>
        <v>55082.0579</v>
      </c>
      <c r="O55" s="10">
        <f>'Fuel Ethanol'!O65+'Renewable Fuel Ex Ethanol'!K61</f>
        <v>29662.251199999999</v>
      </c>
      <c r="P55" s="10">
        <f>'Fuel Ethanol'!P65+'Renewable Fuel Ex Ethanol'!L61</f>
        <v>58516.982700000008</v>
      </c>
      <c r="Q55" s="10"/>
      <c r="R55" s="10"/>
      <c r="S55" s="10"/>
      <c r="T55" s="10"/>
      <c r="U55" s="10"/>
      <c r="V55" s="10"/>
      <c r="W55" s="10"/>
      <c r="X55" s="10"/>
      <c r="Y55" s="10"/>
      <c r="Z55" s="10"/>
      <c r="AA55" s="10"/>
      <c r="AB55" s="10"/>
      <c r="AC55" s="10"/>
      <c r="AD55" s="10"/>
      <c r="AE55" s="10"/>
      <c r="AF55" s="10"/>
      <c r="AG55" s="10"/>
      <c r="AH55" s="10"/>
      <c r="AI55" s="10"/>
    </row>
    <row r="56" spans="1:35">
      <c r="A56" s="98" t="s">
        <v>137</v>
      </c>
      <c r="L56" s="10"/>
      <c r="M56" s="10">
        <f>'Fuel Ethanol'!M66+'Renewable Fuel Ex Ethanol'!I62</f>
        <v>47873.817000000003</v>
      </c>
      <c r="N56" s="10">
        <f>'Fuel Ethanol'!N66+'Renewable Fuel Ex Ethanol'!J62</f>
        <v>44409.346000000005</v>
      </c>
      <c r="O56" s="10">
        <f>'Fuel Ethanol'!O66+'Renewable Fuel Ex Ethanol'!K62</f>
        <v>41081.376400000001</v>
      </c>
      <c r="P56" s="10">
        <f>'Fuel Ethanol'!P66+'Renewable Fuel Ex Ethanol'!L62</f>
        <v>47958.273000000001</v>
      </c>
      <c r="Q56" s="10"/>
      <c r="R56" s="10"/>
      <c r="S56" s="10"/>
      <c r="T56" s="10"/>
      <c r="U56" s="10"/>
      <c r="V56" s="10"/>
      <c r="W56" s="10"/>
      <c r="X56" s="10"/>
      <c r="Y56" s="10"/>
      <c r="Z56" s="10"/>
      <c r="AA56" s="10"/>
      <c r="AB56" s="10"/>
      <c r="AC56" s="10"/>
      <c r="AD56" s="10"/>
      <c r="AE56" s="10"/>
      <c r="AF56" s="10"/>
      <c r="AG56" s="10"/>
      <c r="AH56" s="10"/>
      <c r="AI56" s="10"/>
    </row>
    <row r="57" spans="1:35">
      <c r="A57" s="98" t="s">
        <v>138</v>
      </c>
      <c r="L57" s="10"/>
      <c r="M57" s="10">
        <f>'Fuel Ethanol'!M67+'Renewable Fuel Ex Ethanol'!I63</f>
        <v>48111.661599999999</v>
      </c>
      <c r="N57" s="10">
        <f>'Fuel Ethanol'!N67+'Renewable Fuel Ex Ethanol'!J63</f>
        <v>35531.029199999997</v>
      </c>
      <c r="O57" s="10">
        <f>'Fuel Ethanol'!O67+'Renewable Fuel Ex Ethanol'!K63</f>
        <v>38562.120199999998</v>
      </c>
      <c r="P57" s="10">
        <f>'Fuel Ethanol'!P67+'Renewable Fuel Ex Ethanol'!L63</f>
        <v>40827.199200000003</v>
      </c>
      <c r="Q57" s="10"/>
      <c r="R57" s="10"/>
      <c r="S57" s="10"/>
      <c r="T57" s="10"/>
      <c r="U57" s="10"/>
      <c r="V57" s="10"/>
      <c r="W57" s="10"/>
      <c r="X57" s="10"/>
      <c r="Y57" s="10"/>
      <c r="Z57" s="10"/>
      <c r="AA57" s="10"/>
      <c r="AB57" s="10"/>
      <c r="AC57" s="10"/>
      <c r="AD57" s="10"/>
      <c r="AE57" s="10"/>
      <c r="AF57" s="10"/>
      <c r="AG57" s="10"/>
      <c r="AH57" s="10"/>
      <c r="AI57" s="10"/>
    </row>
    <row r="58" spans="1:35">
      <c r="A58" s="98" t="s">
        <v>139</v>
      </c>
      <c r="L58" s="10"/>
      <c r="M58" s="10">
        <f>'Fuel Ethanol'!M68+'Renewable Fuel Ex Ethanol'!I64</f>
        <v>36640.789799999999</v>
      </c>
      <c r="N58" s="10">
        <f>'Fuel Ethanol'!N68+'Renewable Fuel Ex Ethanol'!J64</f>
        <v>46722.183100000002</v>
      </c>
      <c r="O58" s="10">
        <f>'Fuel Ethanol'!O68+'Renewable Fuel Ex Ethanol'!K64</f>
        <v>50257.249500000005</v>
      </c>
      <c r="P58" s="10">
        <f>'Fuel Ethanol'!P68+'Renewable Fuel Ex Ethanol'!L64</f>
        <v>53165.811400000006</v>
      </c>
      <c r="Q58" s="10"/>
      <c r="R58" s="10"/>
      <c r="S58" s="10"/>
      <c r="T58" s="10"/>
      <c r="U58" s="10"/>
      <c r="V58" s="10"/>
      <c r="W58" s="10"/>
      <c r="X58" s="10"/>
      <c r="Y58" s="10"/>
      <c r="Z58" s="10"/>
      <c r="AA58" s="10"/>
      <c r="AB58" s="10"/>
      <c r="AC58" s="10"/>
      <c r="AD58" s="10"/>
      <c r="AE58" s="10"/>
      <c r="AF58" s="10"/>
      <c r="AG58" s="10"/>
      <c r="AH58" s="10"/>
      <c r="AI58" s="10"/>
    </row>
    <row r="59" spans="1:35">
      <c r="A59" s="98" t="s">
        <v>140</v>
      </c>
      <c r="L59" s="10"/>
      <c r="M59" s="10">
        <f>'Fuel Ethanol'!M69+'Renewable Fuel Ex Ethanol'!I65</f>
        <v>44646.054700000001</v>
      </c>
      <c r="N59" s="10">
        <f>'Fuel Ethanol'!N69+'Renewable Fuel Ex Ethanol'!J65</f>
        <v>47203.100900000005</v>
      </c>
      <c r="O59" s="10">
        <f>'Fuel Ethanol'!O69+'Renewable Fuel Ex Ethanol'!K65</f>
        <v>44464.718099999998</v>
      </c>
      <c r="P59" s="10">
        <f>'Fuel Ethanol'!P69+'Renewable Fuel Ex Ethanol'!L65</f>
        <v>59376.2935</v>
      </c>
      <c r="Q59" s="10"/>
      <c r="R59" s="10"/>
      <c r="S59" s="10"/>
      <c r="T59" s="10"/>
      <c r="U59" s="10"/>
      <c r="V59" s="10"/>
      <c r="W59" s="10"/>
      <c r="X59" s="10"/>
      <c r="Y59" s="10"/>
      <c r="Z59" s="10"/>
      <c r="AA59" s="10"/>
      <c r="AB59" s="10"/>
      <c r="AC59" s="10"/>
      <c r="AD59" s="10"/>
      <c r="AE59" s="10"/>
      <c r="AF59" s="10"/>
      <c r="AG59" s="10"/>
      <c r="AH59" s="10"/>
      <c r="AI59" s="10"/>
    </row>
    <row r="60" spans="1:35" ht="12" thickBot="1">
      <c r="A60" s="98" t="s">
        <v>141</v>
      </c>
      <c r="L60" s="10"/>
      <c r="M60" s="10">
        <f>SUM(M48:M59)</f>
        <v>490297.46869999997</v>
      </c>
      <c r="N60" s="10">
        <f>SUM(N48:N59)</f>
        <v>517553.63760000007</v>
      </c>
      <c r="O60" s="10">
        <f>SUM(O48:O59)</f>
        <v>443516.36119999998</v>
      </c>
      <c r="P60" s="10">
        <f>SUM(P48:P59)</f>
        <v>581807.85809999995</v>
      </c>
      <c r="Q60" s="10"/>
      <c r="R60" s="10"/>
      <c r="S60" s="10"/>
      <c r="T60" s="10"/>
      <c r="U60" s="10"/>
      <c r="V60" s="10"/>
      <c r="W60" s="10"/>
      <c r="X60" s="10"/>
      <c r="Y60" s="10"/>
      <c r="Z60" s="10"/>
      <c r="AA60" s="10"/>
      <c r="AB60" s="10"/>
      <c r="AC60" s="10"/>
      <c r="AD60" s="10"/>
      <c r="AE60" s="10"/>
      <c r="AF60" s="10"/>
      <c r="AG60" s="10"/>
      <c r="AH60" s="10"/>
      <c r="AI60" s="10"/>
    </row>
    <row r="61" spans="1:35">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row>
    <row r="62" spans="1:35" ht="12" thickBot="1">
      <c r="A62" s="107" t="s">
        <v>144</v>
      </c>
      <c r="B62" s="107"/>
      <c r="C62" s="107"/>
      <c r="D62" s="107"/>
      <c r="E62" s="107"/>
      <c r="F62" s="107"/>
      <c r="G62" s="107"/>
      <c r="H62" s="107"/>
      <c r="I62" s="107"/>
      <c r="J62" s="107"/>
      <c r="K62" s="107"/>
      <c r="L62" s="107"/>
    </row>
    <row r="63" spans="1:35" ht="12" thickBot="1">
      <c r="A63" s="108"/>
      <c r="B63" s="109">
        <f t="shared" ref="B63:L63" si="7">B2</f>
        <v>2009</v>
      </c>
      <c r="C63" s="109">
        <f t="shared" si="7"/>
        <v>2010</v>
      </c>
      <c r="D63" s="109">
        <f t="shared" si="7"/>
        <v>2011</v>
      </c>
      <c r="E63" s="109">
        <f t="shared" si="7"/>
        <v>2012</v>
      </c>
      <c r="F63" s="109">
        <f t="shared" si="7"/>
        <v>2013</v>
      </c>
      <c r="G63" s="109">
        <f t="shared" si="7"/>
        <v>2014</v>
      </c>
      <c r="H63" s="109">
        <f t="shared" si="7"/>
        <v>2015</v>
      </c>
      <c r="I63" s="109">
        <f t="shared" si="7"/>
        <v>2016</v>
      </c>
      <c r="J63" s="109">
        <f t="shared" si="7"/>
        <v>2017</v>
      </c>
      <c r="K63" s="109">
        <f t="shared" si="7"/>
        <v>2018</v>
      </c>
      <c r="L63" s="109">
        <f t="shared" si="7"/>
        <v>2019</v>
      </c>
      <c r="M63" s="109">
        <f>M2</f>
        <v>2020</v>
      </c>
      <c r="N63" s="109">
        <f t="shared" ref="N63:AI63" si="8">N2</f>
        <v>2021</v>
      </c>
      <c r="O63" s="109">
        <f t="shared" si="8"/>
        <v>2022</v>
      </c>
      <c r="P63" s="109">
        <f t="shared" si="8"/>
        <v>2023</v>
      </c>
      <c r="Q63" s="109">
        <f t="shared" si="8"/>
        <v>2024</v>
      </c>
      <c r="R63" s="109">
        <f t="shared" si="8"/>
        <v>2025</v>
      </c>
      <c r="S63" s="109">
        <f t="shared" si="8"/>
        <v>2026</v>
      </c>
      <c r="T63" s="109">
        <f t="shared" si="8"/>
        <v>2027</v>
      </c>
      <c r="U63" s="109">
        <f t="shared" si="8"/>
        <v>2028</v>
      </c>
      <c r="V63" s="109">
        <f t="shared" si="8"/>
        <v>2029</v>
      </c>
      <c r="W63" s="109">
        <f t="shared" si="8"/>
        <v>2030</v>
      </c>
      <c r="X63" s="109">
        <f t="shared" si="8"/>
        <v>2031</v>
      </c>
      <c r="Y63" s="109">
        <f t="shared" si="8"/>
        <v>2032</v>
      </c>
      <c r="Z63" s="109">
        <f t="shared" si="8"/>
        <v>2033</v>
      </c>
      <c r="AA63" s="109">
        <f t="shared" si="8"/>
        <v>2034</v>
      </c>
      <c r="AB63" s="109">
        <f t="shared" si="8"/>
        <v>2035</v>
      </c>
      <c r="AC63" s="109">
        <f t="shared" si="8"/>
        <v>2036</v>
      </c>
      <c r="AD63" s="109">
        <f t="shared" si="8"/>
        <v>2037</v>
      </c>
      <c r="AE63" s="109">
        <f t="shared" si="8"/>
        <v>2038</v>
      </c>
      <c r="AF63" s="109">
        <f t="shared" si="8"/>
        <v>2039</v>
      </c>
      <c r="AG63" s="109">
        <f t="shared" si="8"/>
        <v>2040</v>
      </c>
      <c r="AH63" s="109">
        <f t="shared" si="8"/>
        <v>2041</v>
      </c>
      <c r="AI63" s="109">
        <f t="shared" si="8"/>
        <v>2042</v>
      </c>
    </row>
    <row r="64" spans="1:35">
      <c r="A64" s="98" t="s">
        <v>129</v>
      </c>
      <c r="L64" s="10"/>
      <c r="M64" s="10">
        <f>Data!$E3</f>
        <v>194345</v>
      </c>
      <c r="N64" s="10">
        <f>Data!$E15</f>
        <v>145870</v>
      </c>
      <c r="O64" s="10">
        <f>Data!$E27</f>
        <v>163583</v>
      </c>
      <c r="P64" s="10">
        <f>Data!$E39</f>
        <v>188621</v>
      </c>
      <c r="Q64" s="10">
        <f>Data!$E51</f>
        <v>202410</v>
      </c>
      <c r="R64" s="10">
        <f>Data!$E63</f>
        <v>210641</v>
      </c>
      <c r="S64" s="10"/>
      <c r="T64" s="10"/>
      <c r="U64" s="10"/>
      <c r="V64" s="10"/>
      <c r="W64" s="10"/>
      <c r="X64" s="10"/>
      <c r="Y64" s="10"/>
      <c r="Z64" s="10"/>
      <c r="AA64" s="10"/>
      <c r="AB64" s="10"/>
      <c r="AC64" s="10"/>
      <c r="AD64" s="10"/>
      <c r="AE64" s="10"/>
      <c r="AF64" s="10"/>
      <c r="AG64" s="10"/>
      <c r="AH64" s="10"/>
      <c r="AI64" s="10"/>
    </row>
    <row r="65" spans="1:35">
      <c r="A65" s="98" t="s">
        <v>130</v>
      </c>
      <c r="L65" s="10"/>
      <c r="M65" s="10">
        <f>Data!$E4</f>
        <v>184445</v>
      </c>
      <c r="N65" s="10">
        <f>Data!$E16</f>
        <v>144739</v>
      </c>
      <c r="O65" s="10">
        <f>Data!$E28</f>
        <v>142733</v>
      </c>
      <c r="P65" s="10">
        <f>Data!$E40</f>
        <v>171189</v>
      </c>
      <c r="Q65" s="10">
        <f>Data!$E52</f>
        <v>189922</v>
      </c>
      <c r="R65" s="10">
        <f>Data!$E64</f>
        <v>170549</v>
      </c>
      <c r="S65" s="10"/>
      <c r="T65" s="10"/>
      <c r="U65" s="10"/>
      <c r="V65" s="10"/>
      <c r="W65" s="10"/>
      <c r="X65" s="10"/>
      <c r="Y65" s="10"/>
      <c r="Z65" s="10"/>
      <c r="AA65" s="10"/>
      <c r="AB65" s="10"/>
      <c r="AC65" s="10"/>
      <c r="AD65" s="10"/>
      <c r="AE65" s="10"/>
      <c r="AF65" s="10"/>
      <c r="AG65" s="10"/>
      <c r="AH65" s="10"/>
      <c r="AI65" s="10"/>
    </row>
    <row r="66" spans="1:35">
      <c r="A66" s="98" t="s">
        <v>131</v>
      </c>
      <c r="L66" s="10"/>
      <c r="M66" s="10">
        <f>Data!$E5</f>
        <v>177722</v>
      </c>
      <c r="N66" s="10">
        <f>Data!$E17</f>
        <v>173666</v>
      </c>
      <c r="O66" s="10">
        <f>Data!$E29</f>
        <v>180351</v>
      </c>
      <c r="P66" s="10">
        <f>Data!$E41</f>
        <v>196533</v>
      </c>
      <c r="Q66" s="10">
        <f>Data!$E53</f>
        <v>258112</v>
      </c>
      <c r="R66" s="110">
        <f>R$76*((SUM(M66:Q66)/SUM(M$76:Q$76)))</f>
        <v>196027.32289437353</v>
      </c>
      <c r="S66" s="10"/>
      <c r="T66" s="10"/>
      <c r="U66" s="10"/>
      <c r="V66" s="10"/>
      <c r="W66" s="10"/>
      <c r="X66" s="10"/>
      <c r="Y66" s="10"/>
      <c r="Z66" s="10"/>
      <c r="AA66" s="10"/>
      <c r="AB66" s="10"/>
      <c r="AC66" s="10"/>
      <c r="AD66" s="10"/>
      <c r="AE66" s="10"/>
      <c r="AF66" s="10"/>
      <c r="AG66" s="10"/>
      <c r="AH66" s="10"/>
      <c r="AI66" s="10"/>
    </row>
    <row r="67" spans="1:35">
      <c r="A67" s="98" t="s">
        <v>132</v>
      </c>
      <c r="L67" s="10"/>
      <c r="M67" s="10">
        <f>Data!$E6</f>
        <v>120175</v>
      </c>
      <c r="N67" s="10">
        <f>Data!$E18</f>
        <v>168279</v>
      </c>
      <c r="O67" s="10">
        <f>Data!$E30</f>
        <v>157071</v>
      </c>
      <c r="P67" s="10">
        <f>Data!$E42</f>
        <v>167529</v>
      </c>
      <c r="Q67" s="10">
        <f>Data!$E54</f>
        <v>198512</v>
      </c>
      <c r="R67" s="110">
        <f t="shared" ref="R67:R74" si="9">R$76*((SUM(M67:Q67)/SUM(M$76:Q$76)))</f>
        <v>161285.1691958661</v>
      </c>
      <c r="S67" s="10"/>
      <c r="T67" s="10"/>
      <c r="U67" s="10"/>
      <c r="V67" s="10"/>
      <c r="W67" s="10"/>
      <c r="X67" s="10"/>
      <c r="Y67" s="10"/>
      <c r="Z67" s="10"/>
      <c r="AA67" s="10"/>
      <c r="AB67" s="10"/>
      <c r="AC67" s="10"/>
      <c r="AD67" s="10"/>
      <c r="AE67" s="10"/>
      <c r="AF67" s="10"/>
      <c r="AG67" s="10"/>
      <c r="AH67" s="10"/>
      <c r="AI67" s="10"/>
    </row>
    <row r="68" spans="1:35">
      <c r="A68" s="98" t="s">
        <v>133</v>
      </c>
      <c r="L68" s="10"/>
      <c r="M68" s="10">
        <f>Data!$E7</f>
        <v>138982</v>
      </c>
      <c r="N68" s="10">
        <f>Data!$E19</f>
        <v>170759</v>
      </c>
      <c r="O68" s="10">
        <f>Data!$E31</f>
        <v>175488</v>
      </c>
      <c r="P68" s="10">
        <f>Data!$E43</f>
        <v>178633</v>
      </c>
      <c r="Q68" s="10">
        <f>Data!$E55</f>
        <v>252000</v>
      </c>
      <c r="R68" s="110">
        <f t="shared" si="9"/>
        <v>182012.25486289998</v>
      </c>
      <c r="S68" s="10"/>
      <c r="T68" s="10"/>
      <c r="U68" s="10"/>
      <c r="V68" s="10"/>
      <c r="W68" s="10"/>
      <c r="X68" s="10"/>
      <c r="Y68" s="10"/>
      <c r="Z68" s="10"/>
      <c r="AA68" s="10"/>
      <c r="AB68" s="10"/>
      <c r="AC68" s="10"/>
      <c r="AD68" s="10"/>
      <c r="AE68" s="10"/>
      <c r="AF68" s="10"/>
      <c r="AG68" s="10"/>
      <c r="AH68" s="10"/>
      <c r="AI68" s="10"/>
    </row>
    <row r="69" spans="1:35">
      <c r="A69" s="98" t="s">
        <v>134</v>
      </c>
      <c r="L69" s="10"/>
      <c r="M69" s="10">
        <f>Data!$E8</f>
        <v>168495</v>
      </c>
      <c r="N69" s="10">
        <f>Data!$E20</f>
        <v>183265</v>
      </c>
      <c r="O69" s="10">
        <f>Data!$E32</f>
        <v>173920</v>
      </c>
      <c r="P69" s="10">
        <f>Data!$E44</f>
        <v>188658</v>
      </c>
      <c r="Q69" s="10">
        <f>Data!$E56</f>
        <v>289832</v>
      </c>
      <c r="R69" s="110">
        <f t="shared" si="9"/>
        <v>199561.99292653071</v>
      </c>
      <c r="S69" s="10"/>
      <c r="T69" s="10"/>
      <c r="U69" s="10"/>
      <c r="V69" s="10"/>
      <c r="W69" s="10"/>
      <c r="X69" s="10"/>
      <c r="Y69" s="10"/>
      <c r="Z69" s="10"/>
      <c r="AA69" s="10"/>
      <c r="AB69" s="10"/>
      <c r="AC69" s="10"/>
      <c r="AD69" s="10"/>
      <c r="AE69" s="10"/>
      <c r="AF69" s="10"/>
      <c r="AG69" s="10"/>
      <c r="AH69" s="10"/>
      <c r="AI69" s="10"/>
    </row>
    <row r="70" spans="1:35">
      <c r="A70" s="98" t="s">
        <v>135</v>
      </c>
      <c r="L70" s="10"/>
      <c r="M70" s="10">
        <f>Data!$E9</f>
        <v>198451</v>
      </c>
      <c r="N70" s="10">
        <f>Data!$E21</f>
        <v>193613</v>
      </c>
      <c r="O70" s="10">
        <f>Data!$E33</f>
        <v>173801</v>
      </c>
      <c r="P70" s="10">
        <f>Data!$E45</f>
        <v>202770</v>
      </c>
      <c r="Q70" s="10">
        <f>Data!$E57</f>
        <v>272513</v>
      </c>
      <c r="R70" s="110">
        <f t="shared" si="9"/>
        <v>206910.7519757328</v>
      </c>
      <c r="S70" s="10"/>
      <c r="T70" s="10"/>
      <c r="U70" s="10"/>
      <c r="V70" s="10"/>
      <c r="W70" s="10"/>
      <c r="X70" s="10"/>
      <c r="Y70" s="10"/>
      <c r="Z70" s="10"/>
      <c r="AA70" s="10"/>
      <c r="AB70" s="10"/>
      <c r="AC70" s="10"/>
      <c r="AD70" s="10"/>
      <c r="AE70" s="10"/>
      <c r="AF70" s="10"/>
      <c r="AG70" s="10"/>
      <c r="AH70" s="10"/>
      <c r="AI70" s="10"/>
    </row>
    <row r="71" spans="1:35">
      <c r="A71" s="98" t="s">
        <v>136</v>
      </c>
      <c r="L71" s="10"/>
      <c r="M71" s="10">
        <f>Data!$E10</f>
        <v>186344</v>
      </c>
      <c r="N71" s="10">
        <f>Data!$E22</f>
        <v>191096</v>
      </c>
      <c r="O71" s="10">
        <f>Data!$E34</f>
        <v>181175</v>
      </c>
      <c r="P71" s="10">
        <f>Data!$E46</f>
        <v>201212</v>
      </c>
      <c r="Q71" s="10">
        <f>Data!$E58</f>
        <v>230587</v>
      </c>
      <c r="R71" s="110">
        <f t="shared" si="9"/>
        <v>196828.21799330492</v>
      </c>
      <c r="S71" s="10"/>
      <c r="T71" s="10"/>
      <c r="U71" s="10"/>
      <c r="V71" s="10"/>
      <c r="W71" s="10"/>
      <c r="X71" s="10"/>
      <c r="Y71" s="10"/>
      <c r="Z71" s="10"/>
      <c r="AA71" s="10"/>
      <c r="AB71" s="10"/>
      <c r="AC71" s="10"/>
      <c r="AD71" s="10"/>
      <c r="AE71" s="10"/>
      <c r="AF71" s="10"/>
      <c r="AG71" s="10"/>
      <c r="AH71" s="10"/>
      <c r="AI71" s="10"/>
    </row>
    <row r="72" spans="1:35">
      <c r="A72" s="98" t="s">
        <v>137</v>
      </c>
      <c r="L72" s="10"/>
      <c r="M72" s="10">
        <f>Data!$E11</f>
        <v>173784</v>
      </c>
      <c r="N72" s="10">
        <f>Data!$E23</f>
        <v>185199</v>
      </c>
      <c r="O72" s="10">
        <f>Data!$E35</f>
        <v>168619</v>
      </c>
      <c r="P72" s="10">
        <f>Data!$E47</f>
        <v>172283</v>
      </c>
      <c r="Q72" s="10">
        <f>Data!$E59</f>
        <v>281133</v>
      </c>
      <c r="R72" s="110">
        <f t="shared" si="9"/>
        <v>194960.9201398163</v>
      </c>
      <c r="S72" s="10"/>
      <c r="T72" s="10"/>
      <c r="U72" s="10"/>
      <c r="V72" s="10"/>
      <c r="W72" s="10"/>
      <c r="X72" s="10"/>
      <c r="Y72" s="10"/>
      <c r="Z72" s="10"/>
      <c r="AA72" s="10"/>
      <c r="AB72" s="10"/>
      <c r="AC72" s="10"/>
      <c r="AD72" s="10"/>
      <c r="AE72" s="10"/>
      <c r="AF72" s="10"/>
      <c r="AG72" s="10"/>
      <c r="AH72" s="10"/>
      <c r="AI72" s="10"/>
    </row>
    <row r="73" spans="1:35">
      <c r="A73" s="98" t="s">
        <v>138</v>
      </c>
      <c r="L73" s="10"/>
      <c r="M73" s="10">
        <f>Data!$E12</f>
        <v>177884</v>
      </c>
      <c r="N73" s="10">
        <f>Data!$E24</f>
        <v>153511</v>
      </c>
      <c r="O73" s="10">
        <f>Data!$E36</f>
        <v>175776</v>
      </c>
      <c r="P73" s="10">
        <f>Data!$E48</f>
        <v>176690</v>
      </c>
      <c r="Q73" s="10">
        <f>Data!$E60</f>
        <v>195215</v>
      </c>
      <c r="R73" s="110">
        <f t="shared" si="9"/>
        <v>174701.65260253035</v>
      </c>
      <c r="S73" s="10"/>
      <c r="T73" s="10"/>
      <c r="U73" s="10"/>
      <c r="V73" s="10"/>
      <c r="W73" s="10"/>
      <c r="X73" s="10"/>
      <c r="Y73" s="10"/>
      <c r="Z73" s="10"/>
      <c r="AA73" s="10"/>
      <c r="AB73" s="10"/>
      <c r="AC73" s="10"/>
      <c r="AD73" s="10"/>
      <c r="AE73" s="10"/>
      <c r="AF73" s="10"/>
      <c r="AG73" s="10"/>
      <c r="AH73" s="10"/>
      <c r="AI73" s="10"/>
    </row>
    <row r="74" spans="1:35">
      <c r="A74" s="98" t="s">
        <v>139</v>
      </c>
      <c r="L74" s="10"/>
      <c r="M74" s="10">
        <f>Data!$E13</f>
        <v>190125</v>
      </c>
      <c r="N74" s="10">
        <f>Data!$E25</f>
        <v>189327</v>
      </c>
      <c r="O74" s="10">
        <f>Data!$E37</f>
        <v>199851</v>
      </c>
      <c r="P74" s="10">
        <f>Data!$E49</f>
        <v>201272</v>
      </c>
      <c r="Q74" s="10">
        <f>Data!$E61</f>
        <v>244442</v>
      </c>
      <c r="R74" s="110">
        <f t="shared" si="9"/>
        <v>203704.98551398044</v>
      </c>
      <c r="S74" s="10"/>
      <c r="T74" s="10"/>
      <c r="U74" s="10"/>
      <c r="V74" s="10"/>
      <c r="W74" s="10"/>
      <c r="X74" s="10"/>
      <c r="Y74" s="10"/>
      <c r="Z74" s="10"/>
      <c r="AA74" s="10"/>
      <c r="AB74" s="10"/>
      <c r="AC74" s="10"/>
      <c r="AD74" s="10"/>
      <c r="AE74" s="10"/>
      <c r="AF74" s="10"/>
      <c r="AG74" s="10"/>
      <c r="AH74" s="10"/>
      <c r="AI74" s="10"/>
    </row>
    <row r="75" spans="1:35">
      <c r="A75" s="98" t="s">
        <v>140</v>
      </c>
      <c r="L75" s="10"/>
      <c r="M75" s="10">
        <f>Data!$E14</f>
        <v>182787</v>
      </c>
      <c r="N75" s="10">
        <f>Data!$E26</f>
        <v>192765</v>
      </c>
      <c r="O75" s="10">
        <f>Data!$E38</f>
        <v>178727</v>
      </c>
      <c r="P75" s="10">
        <f>Data!$E50</f>
        <v>192968</v>
      </c>
      <c r="Q75" s="10">
        <f>Data!$E62</f>
        <v>238562</v>
      </c>
      <c r="R75" s="110">
        <f>R76-SUM(R64:R74)</f>
        <v>158105.73189496482</v>
      </c>
      <c r="S75" s="10"/>
      <c r="T75" s="10"/>
      <c r="U75" s="10"/>
      <c r="V75" s="10"/>
      <c r="W75" s="10"/>
      <c r="X75" s="10"/>
      <c r="Y75" s="10"/>
      <c r="Z75" s="10"/>
      <c r="AA75" s="10"/>
      <c r="AB75" s="10"/>
      <c r="AC75" s="10"/>
      <c r="AD75" s="10"/>
      <c r="AE75" s="10"/>
      <c r="AF75" s="10"/>
      <c r="AG75" s="10"/>
      <c r="AH75" s="10"/>
      <c r="AI75" s="10"/>
    </row>
    <row r="76" spans="1:35" ht="12" thickBot="1">
      <c r="A76" s="98" t="s">
        <v>141</v>
      </c>
      <c r="L76" s="10"/>
      <c r="M76" s="10">
        <f>SUM(M64:M75)</f>
        <v>2093539</v>
      </c>
      <c r="N76" s="10">
        <f>SUM(N64:N75)</f>
        <v>2092089</v>
      </c>
      <c r="O76" s="10">
        <f>SUM(O64:O75)</f>
        <v>2071095</v>
      </c>
      <c r="P76" s="10">
        <f>SUM(P64:P75)</f>
        <v>2238358</v>
      </c>
      <c r="Q76" s="10">
        <f>SUM(Q64:Q75)</f>
        <v>2853240</v>
      </c>
      <c r="R76" s="110">
        <f>Q7</f>
        <v>2255289</v>
      </c>
      <c r="S76" s="10"/>
      <c r="T76" s="10"/>
      <c r="U76" s="10"/>
      <c r="V76" s="10"/>
      <c r="W76" s="10"/>
      <c r="X76" s="10"/>
      <c r="Y76" s="10"/>
      <c r="Z76" s="10"/>
      <c r="AA76" s="10"/>
      <c r="AB76" s="10"/>
      <c r="AC76" s="10"/>
      <c r="AD76" s="10"/>
      <c r="AE76" s="10"/>
      <c r="AF76" s="10"/>
      <c r="AG76" s="10"/>
      <c r="AH76" s="10"/>
      <c r="AI76" s="10"/>
    </row>
    <row r="77" spans="1:35">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spans="1:35" ht="12" thickBot="1">
      <c r="A78" s="107" t="s">
        <v>145</v>
      </c>
      <c r="B78" s="107"/>
      <c r="C78" s="107"/>
      <c r="D78" s="107"/>
      <c r="E78" s="107"/>
      <c r="F78" s="107"/>
      <c r="G78" s="107"/>
      <c r="H78" s="107"/>
      <c r="I78" s="107"/>
      <c r="J78" s="107"/>
      <c r="K78" s="107"/>
      <c r="L78" s="107"/>
    </row>
    <row r="79" spans="1:35" ht="12" thickBot="1">
      <c r="A79" s="108"/>
      <c r="B79" s="109">
        <f t="shared" ref="B79:L79" si="10">B2</f>
        <v>2009</v>
      </c>
      <c r="C79" s="109">
        <f t="shared" si="10"/>
        <v>2010</v>
      </c>
      <c r="D79" s="109">
        <f t="shared" si="10"/>
        <v>2011</v>
      </c>
      <c r="E79" s="109">
        <f t="shared" si="10"/>
        <v>2012</v>
      </c>
      <c r="F79" s="109">
        <f t="shared" si="10"/>
        <v>2013</v>
      </c>
      <c r="G79" s="109">
        <f t="shared" si="10"/>
        <v>2014</v>
      </c>
      <c r="H79" s="109">
        <f t="shared" si="10"/>
        <v>2015</v>
      </c>
      <c r="I79" s="109">
        <f t="shared" si="10"/>
        <v>2016</v>
      </c>
      <c r="J79" s="109">
        <f t="shared" si="10"/>
        <v>2017</v>
      </c>
      <c r="K79" s="109">
        <f t="shared" si="10"/>
        <v>2018</v>
      </c>
      <c r="L79" s="109">
        <f t="shared" si="10"/>
        <v>2019</v>
      </c>
      <c r="M79" s="109">
        <f>M2</f>
        <v>2020</v>
      </c>
      <c r="N79" s="109">
        <f t="shared" ref="N79:AI79" si="11">N2</f>
        <v>2021</v>
      </c>
      <c r="O79" s="109">
        <f t="shared" si="11"/>
        <v>2022</v>
      </c>
      <c r="P79" s="109">
        <f t="shared" si="11"/>
        <v>2023</v>
      </c>
      <c r="Q79" s="109">
        <f t="shared" si="11"/>
        <v>2024</v>
      </c>
      <c r="R79" s="109">
        <f t="shared" si="11"/>
        <v>2025</v>
      </c>
      <c r="S79" s="109">
        <f t="shared" si="11"/>
        <v>2026</v>
      </c>
      <c r="T79" s="109">
        <f t="shared" si="11"/>
        <v>2027</v>
      </c>
      <c r="U79" s="109">
        <f t="shared" si="11"/>
        <v>2028</v>
      </c>
      <c r="V79" s="109">
        <f t="shared" si="11"/>
        <v>2029</v>
      </c>
      <c r="W79" s="109">
        <f t="shared" si="11"/>
        <v>2030</v>
      </c>
      <c r="X79" s="109">
        <f t="shared" si="11"/>
        <v>2031</v>
      </c>
      <c r="Y79" s="109">
        <f t="shared" si="11"/>
        <v>2032</v>
      </c>
      <c r="Z79" s="109">
        <f t="shared" si="11"/>
        <v>2033</v>
      </c>
      <c r="AA79" s="109">
        <f t="shared" si="11"/>
        <v>2034</v>
      </c>
      <c r="AB79" s="109">
        <f t="shared" si="11"/>
        <v>2035</v>
      </c>
      <c r="AC79" s="109">
        <f t="shared" si="11"/>
        <v>2036</v>
      </c>
      <c r="AD79" s="109">
        <f t="shared" si="11"/>
        <v>2037</v>
      </c>
      <c r="AE79" s="109">
        <f t="shared" si="11"/>
        <v>2038</v>
      </c>
      <c r="AF79" s="109">
        <f t="shared" si="11"/>
        <v>2039</v>
      </c>
      <c r="AG79" s="109">
        <f t="shared" si="11"/>
        <v>2040</v>
      </c>
      <c r="AH79" s="109">
        <f t="shared" si="11"/>
        <v>2041</v>
      </c>
      <c r="AI79" s="109">
        <f t="shared" si="11"/>
        <v>2042</v>
      </c>
    </row>
    <row r="80" spans="1:35">
      <c r="A80" s="98" t="s">
        <v>129</v>
      </c>
      <c r="L80" s="10"/>
      <c r="M80" s="10">
        <f>Data!$H3</f>
        <v>-531</v>
      </c>
      <c r="N80" s="10">
        <f>Data!$H15</f>
        <v>53</v>
      </c>
      <c r="O80" s="10">
        <f>Data!$H27</f>
        <v>95</v>
      </c>
      <c r="P80" s="10">
        <f>Data!$H39</f>
        <v>396</v>
      </c>
      <c r="Q80" s="10">
        <f>Data!$H51</f>
        <v>2</v>
      </c>
      <c r="R80" s="10">
        <f>Data!$H63</f>
        <v>-61</v>
      </c>
      <c r="S80" s="10"/>
      <c r="T80" s="10"/>
      <c r="U80" s="10"/>
      <c r="V80" s="10"/>
      <c r="W80" s="10"/>
      <c r="X80" s="10"/>
      <c r="Y80" s="10"/>
      <c r="Z80" s="10"/>
      <c r="AA80" s="10"/>
      <c r="AB80" s="10"/>
      <c r="AC80" s="10"/>
      <c r="AD80" s="10"/>
      <c r="AE80" s="10"/>
      <c r="AF80" s="10"/>
      <c r="AG80" s="10"/>
      <c r="AH80" s="10"/>
      <c r="AI80" s="10"/>
    </row>
    <row r="81" spans="1:35">
      <c r="A81" s="98" t="s">
        <v>130</v>
      </c>
      <c r="L81" s="10"/>
      <c r="M81" s="10">
        <f>Data!$H4</f>
        <v>322</v>
      </c>
      <c r="N81" s="10">
        <f>Data!$H16</f>
        <v>25</v>
      </c>
      <c r="O81" s="10">
        <f>Data!$H28</f>
        <v>190</v>
      </c>
      <c r="P81" s="10">
        <f>Data!$H40</f>
        <v>285</v>
      </c>
      <c r="Q81" s="10">
        <f>Data!$H52</f>
        <v>685</v>
      </c>
      <c r="R81" s="10">
        <f>Data!$H64</f>
        <v>612</v>
      </c>
      <c r="S81" s="10"/>
      <c r="T81" s="10"/>
      <c r="U81" s="10"/>
      <c r="V81" s="10"/>
      <c r="W81" s="10"/>
      <c r="X81" s="10"/>
      <c r="Y81" s="10"/>
      <c r="Z81" s="10"/>
      <c r="AA81" s="10"/>
      <c r="AB81" s="10"/>
      <c r="AC81" s="10"/>
      <c r="AD81" s="10"/>
      <c r="AE81" s="10"/>
      <c r="AF81" s="10"/>
      <c r="AG81" s="10"/>
      <c r="AH81" s="10"/>
      <c r="AI81" s="10"/>
    </row>
    <row r="82" spans="1:35">
      <c r="A82" s="98" t="s">
        <v>131</v>
      </c>
      <c r="L82" s="10"/>
      <c r="M82" s="10">
        <f>Data!$H5</f>
        <v>-1226</v>
      </c>
      <c r="N82" s="10">
        <f>Data!$H17</f>
        <v>79</v>
      </c>
      <c r="O82" s="10">
        <f>Data!$H29</f>
        <v>335</v>
      </c>
      <c r="P82" s="10">
        <f>Data!$H41</f>
        <v>390</v>
      </c>
      <c r="Q82" s="10">
        <f>Data!$H53</f>
        <v>607</v>
      </c>
      <c r="R82" s="110">
        <f>R$92*((SUM(M82:Q82)/SUM(M$92:Q$92)))</f>
        <v>51.175656984785611</v>
      </c>
      <c r="S82" s="10"/>
      <c r="T82" s="10"/>
      <c r="U82" s="10"/>
      <c r="V82" s="10"/>
      <c r="W82" s="10"/>
      <c r="X82" s="10"/>
      <c r="Y82" s="10"/>
      <c r="Z82" s="10"/>
      <c r="AA82" s="10"/>
      <c r="AB82" s="10"/>
      <c r="AC82" s="10"/>
      <c r="AD82" s="10"/>
      <c r="AE82" s="10"/>
      <c r="AF82" s="10"/>
      <c r="AG82" s="10"/>
      <c r="AH82" s="10"/>
      <c r="AI82" s="10"/>
    </row>
    <row r="83" spans="1:35">
      <c r="A83" s="98" t="s">
        <v>132</v>
      </c>
      <c r="L83" s="10"/>
      <c r="M83" s="10">
        <f>Data!$H6</f>
        <v>109</v>
      </c>
      <c r="N83" s="10">
        <f>Data!$H18</f>
        <v>216</v>
      </c>
      <c r="O83" s="10">
        <f>Data!$H30</f>
        <v>629</v>
      </c>
      <c r="P83" s="10">
        <f>Data!$H42</f>
        <v>92</v>
      </c>
      <c r="Q83" s="10">
        <f>Data!$H54</f>
        <v>-498</v>
      </c>
      <c r="R83" s="110">
        <f t="shared" ref="R83:R90" si="12">R$92*((SUM(M83:Q83)/SUM(M$92:Q$92)))</f>
        <v>151.59059474412172</v>
      </c>
      <c r="S83" s="10"/>
      <c r="T83" s="10"/>
      <c r="U83" s="10"/>
      <c r="V83" s="10"/>
      <c r="W83" s="10"/>
      <c r="X83" s="10"/>
      <c r="Y83" s="10"/>
      <c r="Z83" s="10"/>
      <c r="AA83" s="10"/>
      <c r="AB83" s="10"/>
      <c r="AC83" s="10"/>
      <c r="AD83" s="10"/>
      <c r="AE83" s="10"/>
      <c r="AF83" s="10"/>
      <c r="AG83" s="10"/>
      <c r="AH83" s="10"/>
      <c r="AI83" s="10"/>
    </row>
    <row r="84" spans="1:35">
      <c r="A84" s="98" t="s">
        <v>133</v>
      </c>
      <c r="L84" s="10"/>
      <c r="M84" s="10">
        <f>Data!$H7</f>
        <v>-11</v>
      </c>
      <c r="N84" s="10">
        <f>Data!$H19</f>
        <v>71</v>
      </c>
      <c r="O84" s="10">
        <f>Data!$H31</f>
        <v>-178</v>
      </c>
      <c r="P84" s="10">
        <f>Data!$H43</f>
        <v>279</v>
      </c>
      <c r="Q84" s="10">
        <f>Data!$H55</f>
        <v>190</v>
      </c>
      <c r="R84" s="110">
        <f t="shared" si="12"/>
        <v>97.095435684647299</v>
      </c>
      <c r="S84" s="10"/>
      <c r="T84" s="10"/>
      <c r="U84" s="10"/>
      <c r="V84" s="10"/>
      <c r="W84" s="10"/>
      <c r="X84" s="10"/>
      <c r="Y84" s="10"/>
      <c r="Z84" s="10"/>
      <c r="AA84" s="10"/>
      <c r="AB84" s="10"/>
      <c r="AC84" s="10"/>
      <c r="AD84" s="10"/>
      <c r="AE84" s="10"/>
      <c r="AF84" s="10"/>
      <c r="AG84" s="10"/>
      <c r="AH84" s="10"/>
      <c r="AI84" s="10"/>
    </row>
    <row r="85" spans="1:35">
      <c r="A85" s="98" t="s">
        <v>134</v>
      </c>
      <c r="L85" s="10"/>
      <c r="M85" s="10">
        <f>Data!$H8</f>
        <v>240</v>
      </c>
      <c r="N85" s="10">
        <f>Data!$H20</f>
        <v>-72</v>
      </c>
      <c r="O85" s="10">
        <f>Data!$H32</f>
        <v>454</v>
      </c>
      <c r="P85" s="10">
        <f>Data!$H44</f>
        <v>69</v>
      </c>
      <c r="Q85" s="10">
        <f>Data!$H56</f>
        <v>209</v>
      </c>
      <c r="R85" s="110">
        <f t="shared" si="12"/>
        <v>248.96265560165975</v>
      </c>
      <c r="S85" s="10"/>
      <c r="T85" s="10"/>
      <c r="U85" s="10"/>
      <c r="V85" s="10"/>
      <c r="W85" s="10"/>
      <c r="X85" s="10"/>
      <c r="Y85" s="10"/>
      <c r="Z85" s="10"/>
      <c r="AA85" s="10"/>
      <c r="AB85" s="10"/>
      <c r="AC85" s="10"/>
      <c r="AD85" s="10"/>
      <c r="AE85" s="10"/>
      <c r="AF85" s="10"/>
      <c r="AG85" s="10"/>
      <c r="AH85" s="10"/>
      <c r="AI85" s="10"/>
    </row>
    <row r="86" spans="1:35">
      <c r="A86" s="98" t="s">
        <v>135</v>
      </c>
      <c r="L86" s="10"/>
      <c r="M86" s="10">
        <f>Data!$H9</f>
        <v>251</v>
      </c>
      <c r="N86" s="10">
        <f>Data!$H21</f>
        <v>426</v>
      </c>
      <c r="O86" s="10">
        <f>Data!$H33</f>
        <v>587</v>
      </c>
      <c r="P86" s="10">
        <f>Data!$H45</f>
        <v>-580</v>
      </c>
      <c r="Q86" s="10">
        <f>Data!$H57</f>
        <v>437</v>
      </c>
      <c r="R86" s="110">
        <f t="shared" si="12"/>
        <v>310.09681881051176</v>
      </c>
      <c r="S86" s="10"/>
      <c r="T86" s="10"/>
      <c r="U86" s="10"/>
      <c r="V86" s="10"/>
      <c r="W86" s="10"/>
      <c r="X86" s="10"/>
      <c r="Y86" s="10"/>
      <c r="Z86" s="10"/>
      <c r="AA86" s="10"/>
      <c r="AB86" s="10"/>
      <c r="AC86" s="10"/>
      <c r="AD86" s="10"/>
      <c r="AE86" s="10"/>
      <c r="AF86" s="10"/>
      <c r="AG86" s="10"/>
      <c r="AH86" s="10"/>
      <c r="AI86" s="10"/>
    </row>
    <row r="87" spans="1:35">
      <c r="A87" s="98" t="s">
        <v>136</v>
      </c>
      <c r="L87" s="10"/>
      <c r="M87" s="10">
        <f>Data!$H10</f>
        <v>253</v>
      </c>
      <c r="N87" s="10">
        <f>Data!$H22</f>
        <v>361</v>
      </c>
      <c r="O87" s="10">
        <f>Data!$H34</f>
        <v>212</v>
      </c>
      <c r="P87" s="10">
        <f>Data!$H46</f>
        <v>789</v>
      </c>
      <c r="Q87" s="10">
        <f>Data!$H58</f>
        <v>659</v>
      </c>
      <c r="R87" s="110">
        <f t="shared" si="12"/>
        <v>629.04564315352695</v>
      </c>
      <c r="S87" s="10"/>
      <c r="T87" s="10"/>
      <c r="U87" s="10"/>
      <c r="V87" s="10"/>
      <c r="W87" s="10"/>
      <c r="X87" s="10"/>
      <c r="Y87" s="10"/>
      <c r="Z87" s="10"/>
      <c r="AA87" s="10"/>
      <c r="AB87" s="10"/>
      <c r="AC87" s="10"/>
      <c r="AD87" s="10"/>
      <c r="AE87" s="10"/>
      <c r="AF87" s="10"/>
      <c r="AG87" s="10"/>
      <c r="AH87" s="10"/>
      <c r="AI87" s="10"/>
    </row>
    <row r="88" spans="1:35">
      <c r="A88" s="98" t="s">
        <v>137</v>
      </c>
      <c r="L88" s="10"/>
      <c r="M88" s="10">
        <f>Data!$H11</f>
        <v>2117</v>
      </c>
      <c r="N88" s="10">
        <f>Data!$H23</f>
        <v>-171</v>
      </c>
      <c r="O88" s="10">
        <f>Data!$H35</f>
        <v>319</v>
      </c>
      <c r="P88" s="10">
        <f>Data!$H47</f>
        <v>315</v>
      </c>
      <c r="Q88" s="10">
        <f>Data!$H59</f>
        <v>32</v>
      </c>
      <c r="R88" s="110">
        <f t="shared" si="12"/>
        <v>722.54495159059468</v>
      </c>
      <c r="S88" s="10"/>
      <c r="T88" s="10"/>
      <c r="U88" s="10"/>
      <c r="V88" s="10"/>
      <c r="W88" s="10"/>
      <c r="X88" s="10"/>
      <c r="Y88" s="10"/>
      <c r="Z88" s="10"/>
      <c r="AA88" s="10"/>
      <c r="AB88" s="10"/>
      <c r="AC88" s="10"/>
      <c r="AD88" s="10"/>
      <c r="AE88" s="10"/>
      <c r="AF88" s="10"/>
      <c r="AG88" s="10"/>
      <c r="AH88" s="10"/>
      <c r="AI88" s="10"/>
    </row>
    <row r="89" spans="1:35">
      <c r="A89" s="98" t="s">
        <v>138</v>
      </c>
      <c r="L89" s="10"/>
      <c r="M89" s="10">
        <f>Data!$H12</f>
        <v>356</v>
      </c>
      <c r="N89" s="10">
        <f>Data!$H24</f>
        <v>195</v>
      </c>
      <c r="O89" s="10">
        <f>Data!$H36</f>
        <v>376</v>
      </c>
      <c r="P89" s="10">
        <f>Data!$H48</f>
        <v>-524</v>
      </c>
      <c r="Q89" s="10">
        <f>Data!$H60</f>
        <v>380</v>
      </c>
      <c r="R89" s="110">
        <f t="shared" si="12"/>
        <v>216.59751037344398</v>
      </c>
      <c r="S89" s="10"/>
      <c r="T89" s="10"/>
      <c r="U89" s="10"/>
      <c r="V89" s="10"/>
      <c r="W89" s="10"/>
      <c r="X89" s="10"/>
      <c r="Y89" s="10"/>
      <c r="Z89" s="10"/>
      <c r="AA89" s="10"/>
      <c r="AB89" s="10"/>
      <c r="AC89" s="10"/>
      <c r="AD89" s="10"/>
      <c r="AE89" s="10"/>
      <c r="AF89" s="10"/>
      <c r="AG89" s="10"/>
      <c r="AH89" s="10"/>
      <c r="AI89" s="10"/>
    </row>
    <row r="90" spans="1:35">
      <c r="A90" s="98" t="s">
        <v>139</v>
      </c>
      <c r="L90" s="10"/>
      <c r="M90" s="10">
        <f>Data!$H13</f>
        <v>413</v>
      </c>
      <c r="N90" s="10">
        <f>Data!$H25</f>
        <v>9</v>
      </c>
      <c r="O90" s="10">
        <f>Data!$H37</f>
        <v>391</v>
      </c>
      <c r="P90" s="10">
        <f>Data!$H49</f>
        <v>698</v>
      </c>
      <c r="Q90" s="10">
        <f>Data!$H61</f>
        <v>261</v>
      </c>
      <c r="R90" s="110">
        <f t="shared" si="12"/>
        <v>490.17980636237894</v>
      </c>
      <c r="S90" s="10"/>
      <c r="T90" s="10"/>
      <c r="U90" s="10"/>
      <c r="V90" s="10"/>
      <c r="W90" s="10"/>
      <c r="X90" s="10"/>
      <c r="Y90" s="10"/>
      <c r="Z90" s="10"/>
      <c r="AA90" s="10"/>
      <c r="AB90" s="10"/>
      <c r="AC90" s="10"/>
      <c r="AD90" s="10"/>
      <c r="AE90" s="10"/>
      <c r="AF90" s="10"/>
      <c r="AG90" s="10"/>
      <c r="AH90" s="10"/>
      <c r="AI90" s="10"/>
    </row>
    <row r="91" spans="1:35">
      <c r="A91" s="98" t="s">
        <v>140</v>
      </c>
      <c r="L91" s="10"/>
      <c r="M91" s="10">
        <f>Data!$H14</f>
        <v>158</v>
      </c>
      <c r="N91" s="10">
        <f>Data!$H26</f>
        <v>64</v>
      </c>
      <c r="O91" s="10">
        <f>Data!$H38</f>
        <v>629</v>
      </c>
      <c r="P91" s="10">
        <f>Data!$H50</f>
        <v>1255</v>
      </c>
      <c r="Q91" s="10">
        <f>Data!$H62</f>
        <v>286</v>
      </c>
      <c r="R91" s="110">
        <f>R92-SUM(R80:R90)</f>
        <v>531.71092669432892</v>
      </c>
      <c r="S91" s="10"/>
      <c r="T91" s="10"/>
      <c r="U91" s="10"/>
      <c r="V91" s="10"/>
      <c r="W91" s="10"/>
      <c r="X91" s="10"/>
      <c r="Y91" s="10"/>
      <c r="Z91" s="10"/>
      <c r="AA91" s="10"/>
      <c r="AB91" s="10"/>
      <c r="AC91" s="10"/>
      <c r="AD91" s="10"/>
      <c r="AE91" s="10"/>
      <c r="AF91" s="10"/>
      <c r="AG91" s="10"/>
      <c r="AH91" s="10"/>
      <c r="AI91" s="10"/>
    </row>
    <row r="92" spans="1:35" ht="12" thickBot="1">
      <c r="A92" s="98" t="s">
        <v>141</v>
      </c>
      <c r="L92" s="10"/>
      <c r="M92" s="10">
        <f>SUM(M80:M91)</f>
        <v>2451</v>
      </c>
      <c r="N92" s="10">
        <f>SUM(N80:N91)</f>
        <v>1256</v>
      </c>
      <c r="O92" s="10">
        <f>SUM(O80:O91)</f>
        <v>4039</v>
      </c>
      <c r="P92" s="10">
        <f>SUM(P80:P91)</f>
        <v>3464</v>
      </c>
      <c r="Q92" s="10">
        <f>SUM(Q80:Q91)</f>
        <v>3250</v>
      </c>
      <c r="R92" s="110">
        <f>R9</f>
        <v>4000</v>
      </c>
      <c r="S92" s="10"/>
      <c r="T92" s="10"/>
      <c r="U92" s="10"/>
      <c r="V92" s="10"/>
      <c r="W92" s="10"/>
      <c r="X92" s="10"/>
      <c r="Y92" s="10"/>
      <c r="Z92" s="10"/>
      <c r="AA92" s="10"/>
      <c r="AB92" s="10"/>
      <c r="AC92" s="10"/>
      <c r="AD92" s="10"/>
      <c r="AE92" s="10"/>
      <c r="AF92" s="10"/>
      <c r="AG92" s="10"/>
      <c r="AH92" s="10"/>
      <c r="AI92" s="10"/>
    </row>
    <row r="93" spans="1:35">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spans="1:35" ht="12" thickBot="1">
      <c r="A94" s="107" t="s">
        <v>146</v>
      </c>
      <c r="B94" s="107"/>
      <c r="C94" s="107"/>
      <c r="D94" s="107"/>
      <c r="E94" s="107"/>
      <c r="F94" s="107"/>
      <c r="G94" s="107"/>
      <c r="H94" s="107"/>
      <c r="I94" s="107"/>
      <c r="J94" s="107"/>
      <c r="K94" s="107"/>
      <c r="L94" s="107"/>
    </row>
    <row r="95" spans="1:35" ht="12" thickBot="1">
      <c r="A95" s="108"/>
      <c r="B95" s="109">
        <f t="shared" ref="B95:L95" si="13">B2</f>
        <v>2009</v>
      </c>
      <c r="C95" s="109">
        <f t="shared" si="13"/>
        <v>2010</v>
      </c>
      <c r="D95" s="109">
        <f t="shared" si="13"/>
        <v>2011</v>
      </c>
      <c r="E95" s="109">
        <f t="shared" si="13"/>
        <v>2012</v>
      </c>
      <c r="F95" s="109">
        <f t="shared" si="13"/>
        <v>2013</v>
      </c>
      <c r="G95" s="109">
        <f t="shared" si="13"/>
        <v>2014</v>
      </c>
      <c r="H95" s="109">
        <f t="shared" si="13"/>
        <v>2015</v>
      </c>
      <c r="I95" s="109">
        <f t="shared" si="13"/>
        <v>2016</v>
      </c>
      <c r="J95" s="109">
        <f t="shared" si="13"/>
        <v>2017</v>
      </c>
      <c r="K95" s="109">
        <f t="shared" si="13"/>
        <v>2018</v>
      </c>
      <c r="L95" s="109">
        <f t="shared" si="13"/>
        <v>2019</v>
      </c>
      <c r="M95" s="109">
        <f>M2</f>
        <v>2020</v>
      </c>
      <c r="N95" s="109">
        <f t="shared" ref="N95:AI95" si="14">N2</f>
        <v>2021</v>
      </c>
      <c r="O95" s="109">
        <f t="shared" si="14"/>
        <v>2022</v>
      </c>
      <c r="P95" s="109">
        <f t="shared" si="14"/>
        <v>2023</v>
      </c>
      <c r="Q95" s="109">
        <f t="shared" si="14"/>
        <v>2024</v>
      </c>
      <c r="R95" s="109">
        <f t="shared" si="14"/>
        <v>2025</v>
      </c>
      <c r="S95" s="109">
        <f t="shared" si="14"/>
        <v>2026</v>
      </c>
      <c r="T95" s="109">
        <f t="shared" si="14"/>
        <v>2027</v>
      </c>
      <c r="U95" s="109">
        <f t="shared" si="14"/>
        <v>2028</v>
      </c>
      <c r="V95" s="109">
        <f t="shared" si="14"/>
        <v>2029</v>
      </c>
      <c r="W95" s="109">
        <f t="shared" si="14"/>
        <v>2030</v>
      </c>
      <c r="X95" s="109">
        <f t="shared" si="14"/>
        <v>2031</v>
      </c>
      <c r="Y95" s="109">
        <f t="shared" si="14"/>
        <v>2032</v>
      </c>
      <c r="Z95" s="109">
        <f t="shared" si="14"/>
        <v>2033</v>
      </c>
      <c r="AA95" s="109">
        <f t="shared" si="14"/>
        <v>2034</v>
      </c>
      <c r="AB95" s="109">
        <f t="shared" si="14"/>
        <v>2035</v>
      </c>
      <c r="AC95" s="109">
        <f t="shared" si="14"/>
        <v>2036</v>
      </c>
      <c r="AD95" s="109">
        <f t="shared" si="14"/>
        <v>2037</v>
      </c>
      <c r="AE95" s="109">
        <f t="shared" si="14"/>
        <v>2038</v>
      </c>
      <c r="AF95" s="109">
        <f t="shared" si="14"/>
        <v>2039</v>
      </c>
      <c r="AG95" s="109">
        <f t="shared" si="14"/>
        <v>2040</v>
      </c>
      <c r="AH95" s="109">
        <f t="shared" si="14"/>
        <v>2041</v>
      </c>
      <c r="AI95" s="109">
        <f t="shared" si="14"/>
        <v>2042</v>
      </c>
    </row>
    <row r="96" spans="1:35">
      <c r="A96" s="98" t="s">
        <v>129</v>
      </c>
      <c r="L96" s="10"/>
      <c r="M96" s="10">
        <f>((M3+M16)-M112)-(M64+M80)</f>
        <v>-915</v>
      </c>
      <c r="N96" s="10">
        <f>((M123+N16)-N112)-(N64+N80)</f>
        <v>-165</v>
      </c>
      <c r="O96" s="10">
        <f>((N123+O16)-O112)-(O64+O80)</f>
        <v>18</v>
      </c>
      <c r="P96" s="10">
        <f>((O123+P16)-P112)-(P64+P80)</f>
        <v>-185</v>
      </c>
      <c r="Q96" s="10">
        <f>((P123+Q16)-Q112)-(Q64+Q80)</f>
        <v>-5987</v>
      </c>
      <c r="R96" s="10">
        <f>((Q123+R16)-R112)-(R64+R80)</f>
        <v>-1602</v>
      </c>
      <c r="S96" s="10"/>
      <c r="T96" s="10"/>
      <c r="U96" s="10"/>
      <c r="V96" s="10"/>
      <c r="W96" s="10"/>
      <c r="X96" s="10"/>
      <c r="Y96" s="10"/>
      <c r="Z96" s="10"/>
      <c r="AA96" s="10"/>
      <c r="AB96" s="10"/>
      <c r="AC96" s="10"/>
      <c r="AD96" s="10"/>
      <c r="AE96" s="10"/>
      <c r="AF96" s="10"/>
      <c r="AG96" s="10"/>
      <c r="AH96" s="10"/>
      <c r="AI96" s="10"/>
    </row>
    <row r="97" spans="1:35">
      <c r="A97" s="98" t="s">
        <v>130</v>
      </c>
      <c r="L97" s="10"/>
      <c r="M97" s="10">
        <f t="shared" ref="M97:Q107" si="15">((M112+M17)-M113)-(M65+M81)</f>
        <v>-10</v>
      </c>
      <c r="N97" s="10">
        <f t="shared" si="15"/>
        <v>-155</v>
      </c>
      <c r="O97" s="10">
        <f>((O112+O17)-O113)-(O65+O81)</f>
        <v>-38</v>
      </c>
      <c r="P97" s="10">
        <f>((P112+P17)-P113)-(P65+P81)</f>
        <v>-287</v>
      </c>
      <c r="Q97" s="10">
        <f>((Q112+Q17)-Q113)-(Q65+Q81)</f>
        <v>-87</v>
      </c>
      <c r="R97" s="10">
        <f>((R112+R17)-R113)-(R65+R81)</f>
        <v>14462</v>
      </c>
      <c r="S97" s="10"/>
      <c r="T97" s="10"/>
      <c r="U97" s="10"/>
      <c r="V97" s="10"/>
      <c r="W97" s="10"/>
      <c r="X97" s="10"/>
      <c r="Y97" s="10"/>
      <c r="Z97" s="10"/>
      <c r="AA97" s="10"/>
      <c r="AB97" s="10"/>
      <c r="AC97" s="10"/>
      <c r="AD97" s="10"/>
      <c r="AE97" s="10"/>
      <c r="AF97" s="10"/>
      <c r="AG97" s="10"/>
      <c r="AH97" s="10"/>
      <c r="AI97" s="10"/>
    </row>
    <row r="98" spans="1:35">
      <c r="A98" s="98" t="s">
        <v>131</v>
      </c>
      <c r="L98" s="10"/>
      <c r="M98" s="10">
        <f t="shared" si="15"/>
        <v>-1305</v>
      </c>
      <c r="N98" s="10">
        <f t="shared" si="15"/>
        <v>-1600</v>
      </c>
      <c r="O98" s="10">
        <f t="shared" si="15"/>
        <v>-853</v>
      </c>
      <c r="P98" s="10">
        <f t="shared" si="15"/>
        <v>-906</v>
      </c>
      <c r="Q98" s="10">
        <f t="shared" si="15"/>
        <v>-34</v>
      </c>
      <c r="R98" s="110">
        <f>R$108*(SUM(M98:Q98)/SUM(M$108:Q$108))</f>
        <v>-850.27399326328486</v>
      </c>
      <c r="S98" s="10"/>
      <c r="T98" s="10"/>
      <c r="U98" s="10"/>
      <c r="V98" s="10"/>
      <c r="W98" s="10"/>
      <c r="X98" s="10"/>
      <c r="Y98" s="10"/>
      <c r="Z98" s="10"/>
      <c r="AA98" s="10"/>
      <c r="AB98" s="10"/>
      <c r="AC98" s="10"/>
      <c r="AD98" s="10"/>
      <c r="AE98" s="10"/>
      <c r="AF98" s="10"/>
      <c r="AG98" s="10"/>
      <c r="AH98" s="10"/>
      <c r="AI98" s="10"/>
    </row>
    <row r="99" spans="1:35">
      <c r="A99" s="98" t="s">
        <v>132</v>
      </c>
      <c r="L99" s="10"/>
      <c r="M99" s="10">
        <f t="shared" si="15"/>
        <v>-2483</v>
      </c>
      <c r="N99" s="10">
        <f t="shared" si="15"/>
        <v>-2745</v>
      </c>
      <c r="O99" s="10">
        <f t="shared" si="15"/>
        <v>-763</v>
      </c>
      <c r="P99" s="10">
        <f t="shared" si="15"/>
        <v>-1710</v>
      </c>
      <c r="Q99" s="10">
        <f t="shared" si="15"/>
        <v>150</v>
      </c>
      <c r="R99" s="110">
        <f t="shared" ref="R99:R106" si="16">R$108*(SUM(M99:Q99)/SUM(M$108:Q$108))</f>
        <v>-1366.6281232718313</v>
      </c>
      <c r="S99" s="10"/>
      <c r="T99" s="10"/>
      <c r="U99" s="10"/>
      <c r="V99" s="10"/>
      <c r="W99" s="10"/>
      <c r="X99" s="10"/>
      <c r="Y99" s="10"/>
      <c r="Z99" s="10"/>
      <c r="AA99" s="10"/>
      <c r="AB99" s="10"/>
      <c r="AC99" s="10"/>
      <c r="AD99" s="10"/>
      <c r="AE99" s="10"/>
      <c r="AF99" s="10"/>
      <c r="AG99" s="10"/>
      <c r="AH99" s="10"/>
      <c r="AI99" s="10"/>
    </row>
    <row r="100" spans="1:35">
      <c r="A100" s="98" t="s">
        <v>133</v>
      </c>
      <c r="L100" s="10"/>
      <c r="M100" s="10">
        <f t="shared" si="15"/>
        <v>-2958</v>
      </c>
      <c r="N100" s="10">
        <f t="shared" si="15"/>
        <v>-3031</v>
      </c>
      <c r="O100" s="10">
        <f t="shared" si="15"/>
        <v>-1004</v>
      </c>
      <c r="P100" s="10">
        <f t="shared" si="15"/>
        <v>-2317</v>
      </c>
      <c r="Q100" s="10">
        <f t="shared" si="15"/>
        <v>-1383</v>
      </c>
      <c r="R100" s="110">
        <f t="shared" si="16"/>
        <v>-1935.2873158714997</v>
      </c>
      <c r="S100" s="10"/>
      <c r="T100" s="10"/>
      <c r="U100" s="10"/>
      <c r="V100" s="10"/>
      <c r="W100" s="10"/>
      <c r="X100" s="10"/>
      <c r="Y100" s="10"/>
      <c r="Z100" s="10"/>
      <c r="AA100" s="10"/>
      <c r="AB100" s="10"/>
      <c r="AC100" s="10"/>
      <c r="AD100" s="10"/>
      <c r="AE100" s="10"/>
      <c r="AF100" s="10"/>
      <c r="AG100" s="10"/>
      <c r="AH100" s="10"/>
      <c r="AI100" s="10"/>
    </row>
    <row r="101" spans="1:35">
      <c r="A101" s="98" t="s">
        <v>134</v>
      </c>
      <c r="L101" s="10"/>
      <c r="M101" s="10">
        <f t="shared" si="15"/>
        <v>-2961</v>
      </c>
      <c r="N101" s="10">
        <f t="shared" si="15"/>
        <v>-3353</v>
      </c>
      <c r="O101" s="10">
        <f t="shared" si="15"/>
        <v>-1453</v>
      </c>
      <c r="P101" s="10">
        <f t="shared" si="15"/>
        <v>-3004</v>
      </c>
      <c r="Q101" s="10">
        <f t="shared" si="15"/>
        <v>-2257</v>
      </c>
      <c r="R101" s="110">
        <f t="shared" si="16"/>
        <v>-2357.8905032426724</v>
      </c>
      <c r="S101" s="10"/>
      <c r="T101" s="10"/>
      <c r="U101" s="10"/>
      <c r="V101" s="10"/>
      <c r="W101" s="10"/>
      <c r="X101" s="10"/>
      <c r="Y101" s="10"/>
      <c r="Z101" s="10"/>
      <c r="AA101" s="10"/>
      <c r="AB101" s="10"/>
      <c r="AC101" s="10"/>
      <c r="AD101" s="10"/>
      <c r="AE101" s="10"/>
      <c r="AF101" s="10"/>
      <c r="AG101" s="10"/>
      <c r="AH101" s="10"/>
      <c r="AI101" s="10"/>
    </row>
    <row r="102" spans="1:35">
      <c r="A102" s="98" t="s">
        <v>135</v>
      </c>
      <c r="L102" s="10"/>
      <c r="M102" s="10">
        <f t="shared" si="15"/>
        <v>-2556</v>
      </c>
      <c r="N102" s="10">
        <f t="shared" si="15"/>
        <v>-2457</v>
      </c>
      <c r="O102" s="10">
        <f t="shared" si="15"/>
        <v>-2595</v>
      </c>
      <c r="P102" s="10">
        <f t="shared" si="15"/>
        <v>-2756</v>
      </c>
      <c r="Q102" s="10">
        <f t="shared" si="15"/>
        <v>-2865</v>
      </c>
      <c r="R102" s="110">
        <f t="shared" si="16"/>
        <v>-2394.2687647679859</v>
      </c>
      <c r="S102" s="10"/>
      <c r="T102" s="10"/>
      <c r="U102" s="10"/>
      <c r="V102" s="10"/>
      <c r="W102" s="10"/>
      <c r="X102" s="10"/>
      <c r="Y102" s="10"/>
      <c r="Z102" s="10"/>
      <c r="AA102" s="10"/>
      <c r="AB102" s="10"/>
      <c r="AC102" s="10"/>
      <c r="AD102" s="10"/>
      <c r="AE102" s="10"/>
      <c r="AF102" s="10"/>
      <c r="AG102" s="10"/>
      <c r="AH102" s="10"/>
      <c r="AI102" s="10"/>
    </row>
    <row r="103" spans="1:35">
      <c r="A103" s="98" t="s">
        <v>136</v>
      </c>
      <c r="L103" s="10"/>
      <c r="M103" s="10">
        <f t="shared" si="15"/>
        <v>-2250</v>
      </c>
      <c r="N103" s="10">
        <f t="shared" si="15"/>
        <v>-1815</v>
      </c>
      <c r="O103" s="10">
        <f t="shared" si="15"/>
        <v>-3099</v>
      </c>
      <c r="P103" s="10">
        <f t="shared" si="15"/>
        <v>-2938</v>
      </c>
      <c r="Q103" s="10">
        <f t="shared" si="15"/>
        <v>-1737</v>
      </c>
      <c r="R103" s="110">
        <f t="shared" si="16"/>
        <v>-2142.6977024785078</v>
      </c>
      <c r="S103" s="10"/>
      <c r="T103" s="10"/>
      <c r="U103" s="10"/>
      <c r="V103" s="10"/>
      <c r="W103" s="10"/>
      <c r="X103" s="10"/>
      <c r="Y103" s="10"/>
      <c r="Z103" s="10"/>
      <c r="AA103" s="10"/>
      <c r="AB103" s="10"/>
      <c r="AC103" s="10"/>
      <c r="AD103" s="10"/>
      <c r="AE103" s="10"/>
      <c r="AF103" s="10"/>
      <c r="AG103" s="10"/>
      <c r="AH103" s="10"/>
      <c r="AI103" s="10"/>
    </row>
    <row r="104" spans="1:35">
      <c r="A104" s="98" t="s">
        <v>137</v>
      </c>
      <c r="L104" s="10"/>
      <c r="M104" s="10">
        <f t="shared" si="15"/>
        <v>-2103</v>
      </c>
      <c r="N104" s="10">
        <f t="shared" si="15"/>
        <v>-2052</v>
      </c>
      <c r="O104" s="10">
        <f t="shared" si="15"/>
        <v>-4517</v>
      </c>
      <c r="P104" s="10">
        <f t="shared" si="15"/>
        <v>-1994</v>
      </c>
      <c r="Q104" s="10">
        <f t="shared" si="15"/>
        <v>-2258</v>
      </c>
      <c r="R104" s="110">
        <f t="shared" si="16"/>
        <v>-2339.0679201648986</v>
      </c>
      <c r="S104" s="10"/>
      <c r="T104" s="10"/>
      <c r="U104" s="10"/>
      <c r="V104" s="10"/>
      <c r="W104" s="10"/>
      <c r="X104" s="10"/>
      <c r="Y104" s="10"/>
      <c r="Z104" s="10"/>
      <c r="AA104" s="10"/>
      <c r="AB104" s="10"/>
      <c r="AC104" s="10"/>
      <c r="AD104" s="10"/>
      <c r="AE104" s="10"/>
      <c r="AF104" s="10"/>
      <c r="AG104" s="10"/>
      <c r="AH104" s="10"/>
      <c r="AI104" s="10"/>
    </row>
    <row r="105" spans="1:35">
      <c r="A105" s="98" t="s">
        <v>138</v>
      </c>
      <c r="L105" s="10"/>
      <c r="M105" s="10">
        <f t="shared" si="15"/>
        <v>-575</v>
      </c>
      <c r="N105" s="10">
        <f t="shared" si="15"/>
        <v>-786</v>
      </c>
      <c r="O105" s="10">
        <f t="shared" si="15"/>
        <v>-2272</v>
      </c>
      <c r="P105" s="10">
        <f t="shared" si="15"/>
        <v>-2099</v>
      </c>
      <c r="Q105" s="10">
        <f t="shared" si="15"/>
        <v>-1594</v>
      </c>
      <c r="R105" s="110">
        <f t="shared" si="16"/>
        <v>-1325.9061887285709</v>
      </c>
      <c r="S105" s="10"/>
      <c r="T105" s="10"/>
      <c r="U105" s="10"/>
      <c r="V105" s="10"/>
      <c r="W105" s="10"/>
      <c r="X105" s="10"/>
      <c r="Y105" s="10"/>
      <c r="Z105" s="10"/>
      <c r="AA105" s="10"/>
      <c r="AB105" s="10"/>
      <c r="AC105" s="10"/>
      <c r="AD105" s="10"/>
      <c r="AE105" s="10"/>
      <c r="AF105" s="10"/>
      <c r="AG105" s="10"/>
      <c r="AH105" s="10"/>
      <c r="AI105" s="10"/>
    </row>
    <row r="106" spans="1:35">
      <c r="A106" s="98" t="s">
        <v>139</v>
      </c>
      <c r="L106" s="10"/>
      <c r="M106" s="10">
        <f t="shared" si="15"/>
        <v>-300</v>
      </c>
      <c r="N106" s="10">
        <f t="shared" si="15"/>
        <v>-139</v>
      </c>
      <c r="O106" s="10">
        <f t="shared" si="15"/>
        <v>-2021</v>
      </c>
      <c r="P106" s="10">
        <f t="shared" si="15"/>
        <v>-6730</v>
      </c>
      <c r="Q106" s="10">
        <f t="shared" si="15"/>
        <v>-23</v>
      </c>
      <c r="R106" s="110">
        <f t="shared" si="16"/>
        <v>-1667.4274797647176</v>
      </c>
      <c r="S106" s="10"/>
      <c r="T106" s="10"/>
      <c r="U106" s="10"/>
      <c r="V106" s="10"/>
      <c r="W106" s="10"/>
      <c r="X106" s="10"/>
      <c r="Y106" s="10"/>
      <c r="Z106" s="10"/>
      <c r="AA106" s="10"/>
      <c r="AB106" s="10"/>
      <c r="AC106" s="10"/>
      <c r="AD106" s="10"/>
      <c r="AE106" s="10"/>
      <c r="AF106" s="10"/>
      <c r="AG106" s="10"/>
      <c r="AH106" s="10"/>
      <c r="AI106" s="10"/>
    </row>
    <row r="107" spans="1:35">
      <c r="A107" s="98" t="s">
        <v>140</v>
      </c>
      <c r="L107" s="10"/>
      <c r="M107" s="10">
        <f t="shared" si="15"/>
        <v>-228</v>
      </c>
      <c r="N107" s="10">
        <f t="shared" si="15"/>
        <v>-405</v>
      </c>
      <c r="O107" s="10">
        <f t="shared" si="15"/>
        <v>-330</v>
      </c>
      <c r="P107" s="10">
        <f t="shared" si="15"/>
        <v>-155</v>
      </c>
      <c r="Q107" s="10">
        <f t="shared" si="15"/>
        <v>-25</v>
      </c>
      <c r="R107" s="10">
        <f>R108-SUM(R96:R106)</f>
        <v>-14480.552008446031</v>
      </c>
      <c r="S107" s="10"/>
      <c r="T107" s="10"/>
      <c r="U107" s="10"/>
      <c r="V107" s="10"/>
      <c r="W107" s="10"/>
      <c r="X107" s="10"/>
      <c r="Y107" s="10"/>
      <c r="Z107" s="10"/>
      <c r="AA107" s="10"/>
      <c r="AB107" s="10"/>
      <c r="AC107" s="10"/>
      <c r="AD107" s="10"/>
      <c r="AE107" s="10"/>
      <c r="AF107" s="10"/>
      <c r="AG107" s="10"/>
      <c r="AH107" s="10"/>
      <c r="AI107" s="10"/>
    </row>
    <row r="108" spans="1:35" ht="12" thickBot="1">
      <c r="A108" s="98" t="s">
        <v>141</v>
      </c>
      <c r="L108" s="10"/>
      <c r="M108" s="10">
        <f>SUM(M96:M107)</f>
        <v>-18644</v>
      </c>
      <c r="N108" s="10">
        <f>SUM(N96:N107)</f>
        <v>-18703</v>
      </c>
      <c r="O108" s="10">
        <f>SUM(O96:O107)</f>
        <v>-18927</v>
      </c>
      <c r="P108" s="10">
        <f>SUM(P96:P107)</f>
        <v>-25081</v>
      </c>
      <c r="Q108" s="10">
        <f>SUM(Q96:Q107)</f>
        <v>-18100</v>
      </c>
      <c r="R108" s="10">
        <v>-18000</v>
      </c>
      <c r="S108" s="10"/>
      <c r="T108" s="10"/>
      <c r="U108" s="10"/>
      <c r="V108" s="10"/>
      <c r="W108" s="10"/>
      <c r="X108" s="10"/>
      <c r="Y108" s="10"/>
      <c r="Z108" s="10"/>
      <c r="AA108" s="10"/>
      <c r="AB108" s="10"/>
      <c r="AC108" s="10"/>
      <c r="AD108" s="10"/>
      <c r="AE108" s="10"/>
      <c r="AF108" s="10"/>
      <c r="AG108" s="10"/>
      <c r="AH108" s="10"/>
      <c r="AI108" s="10"/>
    </row>
    <row r="109" spans="1:35">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spans="1:35" ht="12" thickBot="1">
      <c r="A110" s="107" t="s">
        <v>147</v>
      </c>
      <c r="B110" s="107"/>
      <c r="C110" s="107"/>
      <c r="D110" s="107"/>
      <c r="E110" s="107"/>
      <c r="F110" s="107"/>
      <c r="G110" s="107"/>
      <c r="H110" s="107"/>
      <c r="I110" s="107"/>
      <c r="J110" s="107"/>
      <c r="K110" s="107"/>
      <c r="L110" s="107"/>
    </row>
    <row r="111" spans="1:35" ht="12" thickBot="1">
      <c r="A111" s="108"/>
      <c r="B111" s="109">
        <f t="shared" ref="B111:L111" si="17">B2</f>
        <v>2009</v>
      </c>
      <c r="C111" s="109">
        <f t="shared" si="17"/>
        <v>2010</v>
      </c>
      <c r="D111" s="109">
        <f t="shared" si="17"/>
        <v>2011</v>
      </c>
      <c r="E111" s="109">
        <f t="shared" si="17"/>
        <v>2012</v>
      </c>
      <c r="F111" s="109">
        <f t="shared" si="17"/>
        <v>2013</v>
      </c>
      <c r="G111" s="109">
        <f t="shared" si="17"/>
        <v>2014</v>
      </c>
      <c r="H111" s="109">
        <f t="shared" si="17"/>
        <v>2015</v>
      </c>
      <c r="I111" s="109">
        <f t="shared" si="17"/>
        <v>2016</v>
      </c>
      <c r="J111" s="109">
        <f t="shared" si="17"/>
        <v>2017</v>
      </c>
      <c r="K111" s="109">
        <f t="shared" si="17"/>
        <v>2018</v>
      </c>
      <c r="L111" s="109">
        <f t="shared" si="17"/>
        <v>2019</v>
      </c>
      <c r="M111" s="109">
        <f>M2</f>
        <v>2020</v>
      </c>
      <c r="N111" s="109">
        <f t="shared" ref="N111:AI111" si="18">N2</f>
        <v>2021</v>
      </c>
      <c r="O111" s="109">
        <f t="shared" si="18"/>
        <v>2022</v>
      </c>
      <c r="P111" s="109">
        <f t="shared" si="18"/>
        <v>2023</v>
      </c>
      <c r="Q111" s="109">
        <f t="shared" si="18"/>
        <v>2024</v>
      </c>
      <c r="R111" s="109">
        <f t="shared" si="18"/>
        <v>2025</v>
      </c>
      <c r="S111" s="109">
        <f t="shared" si="18"/>
        <v>2026</v>
      </c>
      <c r="T111" s="109">
        <f t="shared" si="18"/>
        <v>2027</v>
      </c>
      <c r="U111" s="109">
        <f t="shared" si="18"/>
        <v>2028</v>
      </c>
      <c r="V111" s="109">
        <f t="shared" si="18"/>
        <v>2029</v>
      </c>
      <c r="W111" s="109">
        <f t="shared" si="18"/>
        <v>2030</v>
      </c>
      <c r="X111" s="109">
        <f t="shared" si="18"/>
        <v>2031</v>
      </c>
      <c r="Y111" s="109">
        <f t="shared" si="18"/>
        <v>2032</v>
      </c>
      <c r="Z111" s="109">
        <f t="shared" si="18"/>
        <v>2033</v>
      </c>
      <c r="AA111" s="109">
        <f t="shared" si="18"/>
        <v>2034</v>
      </c>
      <c r="AB111" s="109">
        <f t="shared" si="18"/>
        <v>2035</v>
      </c>
      <c r="AC111" s="109">
        <f t="shared" si="18"/>
        <v>2036</v>
      </c>
      <c r="AD111" s="109">
        <f t="shared" si="18"/>
        <v>2037</v>
      </c>
      <c r="AE111" s="109">
        <f t="shared" si="18"/>
        <v>2038</v>
      </c>
      <c r="AF111" s="109">
        <f t="shared" si="18"/>
        <v>2039</v>
      </c>
      <c r="AG111" s="109">
        <f t="shared" si="18"/>
        <v>2040</v>
      </c>
      <c r="AH111" s="109">
        <f t="shared" si="18"/>
        <v>2041</v>
      </c>
      <c r="AI111" s="109">
        <f t="shared" si="18"/>
        <v>2042</v>
      </c>
    </row>
    <row r="112" spans="1:35">
      <c r="A112" s="98" t="s">
        <v>129</v>
      </c>
      <c r="L112" s="10"/>
      <c r="M112" s="10">
        <f>Data!$K3</f>
        <v>28205</v>
      </c>
      <c r="N112" s="10">
        <f>Data!$K15</f>
        <v>27724</v>
      </c>
      <c r="O112" s="10">
        <f>Data!$K27</f>
        <v>24772</v>
      </c>
      <c r="P112" s="10">
        <f>Data!$K39</f>
        <v>28753</v>
      </c>
      <c r="Q112" s="10">
        <f>Data!$K51</f>
        <v>36625</v>
      </c>
      <c r="R112" s="10">
        <f>Data!$K63</f>
        <v>49238</v>
      </c>
      <c r="S112" s="10"/>
      <c r="T112" s="10"/>
      <c r="U112" s="10"/>
      <c r="V112" s="10"/>
      <c r="W112" s="10"/>
      <c r="X112" s="10"/>
      <c r="Y112" s="10"/>
      <c r="Z112" s="10"/>
      <c r="AA112" s="10"/>
      <c r="AB112" s="10"/>
      <c r="AC112" s="10"/>
      <c r="AD112" s="10"/>
      <c r="AE112" s="10"/>
      <c r="AF112" s="10"/>
      <c r="AG112" s="10"/>
      <c r="AH112" s="10"/>
      <c r="AI112" s="10"/>
    </row>
    <row r="113" spans="1:35">
      <c r="A113" s="98" t="s">
        <v>130</v>
      </c>
      <c r="L113" s="10"/>
      <c r="M113" s="10">
        <f>Data!$K4</f>
        <v>28931</v>
      </c>
      <c r="N113" s="10">
        <f>Data!$K16</f>
        <v>22951</v>
      </c>
      <c r="O113" s="10">
        <f>Data!$K28</f>
        <v>31717</v>
      </c>
      <c r="P113" s="10">
        <f>Data!$K40</f>
        <v>27184</v>
      </c>
      <c r="Q113" s="10">
        <f>Data!$K52</f>
        <v>53192</v>
      </c>
      <c r="R113" s="10">
        <f>Data!$K64</f>
        <v>41079</v>
      </c>
      <c r="S113" s="10"/>
      <c r="T113" s="10"/>
      <c r="U113" s="10"/>
      <c r="V113" s="10"/>
      <c r="W113" s="10"/>
      <c r="X113" s="10"/>
      <c r="Y113" s="10"/>
      <c r="Z113" s="10"/>
      <c r="AA113" s="10"/>
      <c r="AB113" s="10"/>
      <c r="AC113" s="10"/>
      <c r="AD113" s="10"/>
      <c r="AE113" s="10"/>
      <c r="AF113" s="10"/>
      <c r="AG113" s="10"/>
      <c r="AH113" s="10"/>
      <c r="AI113" s="10"/>
    </row>
    <row r="114" spans="1:35">
      <c r="A114" s="98" t="s">
        <v>131</v>
      </c>
      <c r="L114" s="10"/>
      <c r="M114" s="10">
        <f>Data!$K5</f>
        <v>33400</v>
      </c>
      <c r="N114" s="10">
        <f>Data!$K17</f>
        <v>23338</v>
      </c>
      <c r="O114" s="10">
        <f>Data!$K29</f>
        <v>26771</v>
      </c>
      <c r="P114" s="10">
        <f>Data!$K41</f>
        <v>29280</v>
      </c>
      <c r="Q114" s="10">
        <f>Data!$K53</f>
        <v>58603</v>
      </c>
      <c r="R114" s="10">
        <f>R113+R18+R34-R51-R66-R82</f>
        <v>19822.69065261761</v>
      </c>
      <c r="S114" s="10"/>
      <c r="T114" s="10"/>
      <c r="U114" s="10"/>
      <c r="V114" s="10"/>
      <c r="W114" s="10"/>
      <c r="X114" s="10"/>
      <c r="Y114" s="10"/>
      <c r="Z114" s="10"/>
      <c r="AA114" s="10"/>
      <c r="AB114" s="10"/>
      <c r="AC114" s="10"/>
      <c r="AD114" s="10"/>
      <c r="AE114" s="10"/>
      <c r="AF114" s="10"/>
      <c r="AG114" s="10"/>
      <c r="AH114" s="10"/>
      <c r="AI114" s="10"/>
    </row>
    <row r="115" spans="1:35">
      <c r="A115" s="98" t="s">
        <v>132</v>
      </c>
      <c r="L115" s="10"/>
      <c r="M115" s="10">
        <f>Data!$K6</f>
        <v>36317</v>
      </c>
      <c r="N115" s="10">
        <f>Data!$K18</f>
        <v>23049</v>
      </c>
      <c r="O115" s="10">
        <f>Data!$K30</f>
        <v>31498</v>
      </c>
      <c r="P115" s="10">
        <f>Data!$K42</f>
        <v>32070</v>
      </c>
      <c r="Q115" s="10">
        <f>Data!$K54</f>
        <v>92859</v>
      </c>
      <c r="R115" s="10"/>
      <c r="S115" s="10"/>
      <c r="T115" s="10"/>
      <c r="U115" s="10"/>
      <c r="V115" s="10"/>
      <c r="W115" s="10"/>
      <c r="X115" s="10"/>
      <c r="Y115" s="10"/>
      <c r="Z115" s="10"/>
      <c r="AA115" s="10"/>
      <c r="AB115" s="10"/>
      <c r="AC115" s="10"/>
      <c r="AD115" s="10"/>
      <c r="AE115" s="10"/>
      <c r="AF115" s="10"/>
      <c r="AG115" s="10"/>
      <c r="AH115" s="10"/>
      <c r="AI115" s="10"/>
    </row>
    <row r="116" spans="1:35">
      <c r="A116" s="98" t="s">
        <v>133</v>
      </c>
      <c r="L116" s="10"/>
      <c r="M116" s="10">
        <f>Data!$K7</f>
        <v>29093</v>
      </c>
      <c r="N116" s="10">
        <f>Data!$K19</f>
        <v>27479</v>
      </c>
      <c r="O116" s="10">
        <f>Data!$K31</f>
        <v>28037</v>
      </c>
      <c r="P116" s="10">
        <f>Data!$K43</f>
        <v>29160</v>
      </c>
      <c r="Q116" s="10">
        <f>Data!$K55</f>
        <v>85822</v>
      </c>
      <c r="R116" s="10"/>
      <c r="S116" s="10"/>
      <c r="T116" s="10"/>
      <c r="U116" s="10"/>
      <c r="V116" s="10"/>
      <c r="W116" s="10"/>
      <c r="X116" s="10"/>
      <c r="Y116" s="10"/>
      <c r="Z116" s="10"/>
      <c r="AA116" s="10"/>
      <c r="AB116" s="10"/>
      <c r="AC116" s="10"/>
      <c r="AD116" s="10"/>
      <c r="AE116" s="10"/>
      <c r="AF116" s="10"/>
      <c r="AG116" s="10"/>
      <c r="AH116" s="10"/>
      <c r="AI116" s="10"/>
    </row>
    <row r="117" spans="1:35">
      <c r="A117" s="98" t="s">
        <v>134</v>
      </c>
      <c r="L117" s="10"/>
      <c r="M117" s="10">
        <f>Data!$K8</f>
        <v>30786</v>
      </c>
      <c r="N117" s="10">
        <f>Data!$K20</f>
        <v>22677</v>
      </c>
      <c r="O117" s="10">
        <f>Data!$K32</f>
        <v>21279</v>
      </c>
      <c r="P117" s="10">
        <f>Data!$K44</f>
        <v>29273</v>
      </c>
      <c r="Q117" s="10">
        <f>Data!$K56</f>
        <v>72665</v>
      </c>
      <c r="R117" s="10"/>
      <c r="S117" s="10"/>
      <c r="T117" s="10"/>
      <c r="U117" s="10"/>
      <c r="V117" s="10"/>
      <c r="W117" s="10"/>
      <c r="X117" s="10"/>
      <c r="Y117" s="10"/>
      <c r="Z117" s="10"/>
      <c r="AA117" s="10"/>
      <c r="AB117" s="10"/>
      <c r="AC117" s="10"/>
      <c r="AD117" s="10"/>
      <c r="AE117" s="10"/>
      <c r="AF117" s="10"/>
      <c r="AG117" s="10"/>
      <c r="AH117" s="10"/>
      <c r="AI117" s="10"/>
    </row>
    <row r="118" spans="1:35">
      <c r="A118" s="98" t="s">
        <v>135</v>
      </c>
      <c r="L118" s="10"/>
      <c r="M118" s="10">
        <f>Data!$K9</f>
        <v>31188</v>
      </c>
      <c r="N118" s="10">
        <f>Data!$K21</f>
        <v>24181</v>
      </c>
      <c r="O118" s="10">
        <f>Data!$K33</f>
        <v>25177</v>
      </c>
      <c r="P118" s="10">
        <f>Data!$K45</f>
        <v>29281</v>
      </c>
      <c r="Q118" s="10">
        <f>Data!$K57</f>
        <v>64217</v>
      </c>
      <c r="R118" s="10"/>
      <c r="S118" s="10"/>
      <c r="T118" s="10"/>
      <c r="U118" s="10"/>
      <c r="V118" s="10"/>
      <c r="W118" s="10"/>
      <c r="X118" s="10"/>
      <c r="Y118" s="10"/>
      <c r="Z118" s="10"/>
      <c r="AA118" s="10"/>
      <c r="AB118" s="10"/>
      <c r="AC118" s="10"/>
      <c r="AD118" s="10"/>
      <c r="AE118" s="10"/>
      <c r="AF118" s="10"/>
      <c r="AG118" s="10"/>
      <c r="AH118" s="10"/>
      <c r="AI118" s="10"/>
    </row>
    <row r="119" spans="1:35">
      <c r="A119" s="98" t="s">
        <v>136</v>
      </c>
      <c r="L119" s="10"/>
      <c r="M119" s="10">
        <f>Data!$K10</f>
        <v>30791</v>
      </c>
      <c r="N119" s="10">
        <f>Data!$K22</f>
        <v>20052</v>
      </c>
      <c r="O119" s="10">
        <f>Data!$K34</f>
        <v>22234</v>
      </c>
      <c r="P119" s="10">
        <f>Data!$K46</f>
        <v>23543</v>
      </c>
      <c r="Q119" s="10">
        <f>Data!$K58</f>
        <v>86732</v>
      </c>
      <c r="R119" s="10"/>
      <c r="S119" s="10"/>
      <c r="T119" s="10"/>
      <c r="U119" s="10"/>
      <c r="V119" s="10"/>
      <c r="W119" s="10"/>
      <c r="X119" s="10"/>
      <c r="Y119" s="10"/>
      <c r="Z119" s="10"/>
      <c r="AA119" s="10"/>
      <c r="AB119" s="10"/>
      <c r="AC119" s="10"/>
      <c r="AD119" s="10"/>
      <c r="AE119" s="10"/>
      <c r="AF119" s="10"/>
      <c r="AG119" s="10"/>
      <c r="AH119" s="10"/>
      <c r="AI119" s="10"/>
    </row>
    <row r="120" spans="1:35">
      <c r="A120" s="98" t="s">
        <v>137</v>
      </c>
      <c r="L120" s="10"/>
      <c r="M120" s="10">
        <f>Data!$K11</f>
        <v>27441</v>
      </c>
      <c r="N120" s="10">
        <f>Data!$K23</f>
        <v>16848</v>
      </c>
      <c r="O120" s="10">
        <f>Data!$K35</f>
        <v>21932</v>
      </c>
      <c r="P120" s="10">
        <f>Data!$K47</f>
        <v>27839</v>
      </c>
      <c r="Q120" s="10">
        <f>Data!$K59</f>
        <v>49941</v>
      </c>
      <c r="R120" s="10"/>
      <c r="S120" s="10"/>
      <c r="T120" s="10"/>
      <c r="U120" s="10"/>
      <c r="V120" s="10"/>
      <c r="W120" s="10"/>
      <c r="X120" s="10"/>
      <c r="Y120" s="10"/>
      <c r="Z120" s="10"/>
      <c r="AA120" s="10"/>
      <c r="AB120" s="10"/>
      <c r="AC120" s="10"/>
      <c r="AD120" s="10"/>
      <c r="AE120" s="10"/>
      <c r="AF120" s="10"/>
      <c r="AG120" s="10"/>
      <c r="AH120" s="10"/>
      <c r="AI120" s="10"/>
    </row>
    <row r="121" spans="1:35">
      <c r="A121" s="98" t="s">
        <v>138</v>
      </c>
      <c r="L121" s="10"/>
      <c r="M121" s="10">
        <f>Data!$K12</f>
        <v>26043</v>
      </c>
      <c r="N121" s="10">
        <f>Data!$K24</f>
        <v>20869</v>
      </c>
      <c r="O121" s="10">
        <f>Data!$K36</f>
        <v>27983</v>
      </c>
      <c r="P121" s="10">
        <f>Data!$K48</f>
        <v>23871</v>
      </c>
      <c r="Q121" s="10">
        <f>Data!$K60</f>
        <v>63787</v>
      </c>
      <c r="R121" s="10"/>
      <c r="S121" s="10"/>
      <c r="T121" s="10"/>
      <c r="U121" s="10"/>
      <c r="V121" s="10"/>
      <c r="W121" s="10"/>
      <c r="X121" s="10"/>
      <c r="Y121" s="10"/>
      <c r="Z121" s="10"/>
      <c r="AA121" s="10"/>
      <c r="AB121" s="10"/>
      <c r="AC121" s="10"/>
      <c r="AD121" s="10"/>
      <c r="AE121" s="10"/>
      <c r="AF121" s="10"/>
      <c r="AG121" s="10"/>
      <c r="AH121" s="10"/>
      <c r="AI121" s="10"/>
    </row>
    <row r="122" spans="1:35">
      <c r="A122" s="98" t="s">
        <v>139</v>
      </c>
      <c r="L122" s="10"/>
      <c r="M122" s="10">
        <f>Data!$K13</f>
        <v>34921</v>
      </c>
      <c r="N122" s="10">
        <f>Data!$K25</f>
        <v>25881</v>
      </c>
      <c r="O122" s="10">
        <f>Data!$K37</f>
        <v>21960</v>
      </c>
      <c r="P122" s="10">
        <f>Data!$K49</f>
        <v>34579</v>
      </c>
      <c r="Q122" s="10">
        <f>Data!$K61</f>
        <v>62281</v>
      </c>
      <c r="R122" s="10"/>
      <c r="S122" s="10"/>
      <c r="T122" s="10"/>
      <c r="U122" s="10"/>
      <c r="V122" s="10"/>
      <c r="W122" s="10"/>
      <c r="X122" s="10"/>
      <c r="Y122" s="10"/>
      <c r="Z122" s="10"/>
      <c r="AA122" s="10"/>
      <c r="AB122" s="10"/>
      <c r="AC122" s="10"/>
      <c r="AD122" s="10"/>
      <c r="AE122" s="10"/>
      <c r="AF122" s="10"/>
      <c r="AG122" s="10"/>
      <c r="AH122" s="10"/>
      <c r="AI122" s="10"/>
    </row>
    <row r="123" spans="1:35" ht="12" thickBot="1">
      <c r="A123" s="98" t="s">
        <v>140</v>
      </c>
      <c r="L123" s="10"/>
      <c r="M123" s="10">
        <f>Data!$K14</f>
        <v>28017</v>
      </c>
      <c r="N123" s="10">
        <f>Data!$K26</f>
        <v>26588</v>
      </c>
      <c r="O123" s="10">
        <f>Data!$K38</f>
        <v>31126</v>
      </c>
      <c r="P123" s="10">
        <f>Data!$K50</f>
        <v>39289</v>
      </c>
      <c r="Q123" s="10">
        <f>Data!$K62</f>
        <v>78647</v>
      </c>
      <c r="R123" s="10"/>
      <c r="S123" s="10"/>
      <c r="T123" s="10"/>
      <c r="U123" s="10"/>
      <c r="V123" s="10"/>
      <c r="W123" s="10"/>
      <c r="X123" s="10"/>
      <c r="Y123" s="10"/>
      <c r="Z123" s="10"/>
      <c r="AA123" s="10"/>
      <c r="AB123" s="10"/>
      <c r="AC123" s="10"/>
      <c r="AD123" s="10"/>
      <c r="AE123" s="10"/>
      <c r="AF123" s="10"/>
      <c r="AG123" s="10"/>
      <c r="AH123" s="10"/>
      <c r="AI123" s="10"/>
    </row>
    <row r="124" spans="1:3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1A60-C1BA-4F73-BA7D-A3B659CAE435}">
  <dimension ref="A1:AQ167"/>
  <sheetViews>
    <sheetView workbookViewId="0">
      <pane xSplit="1" ySplit="2" topLeftCell="P91"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43" width="13.33203125" style="113" customWidth="1"/>
    <col min="44" max="16384" width="9.33203125" style="113"/>
  </cols>
  <sheetData>
    <row r="1" spans="1:43" ht="12" thickBot="1">
      <c r="A1" s="111" t="s">
        <v>118</v>
      </c>
      <c r="B1" s="111"/>
      <c r="C1" s="111"/>
      <c r="D1" s="111"/>
      <c r="E1" s="111"/>
      <c r="F1" s="111"/>
      <c r="G1" s="111"/>
      <c r="H1" s="111"/>
      <c r="I1" s="111"/>
      <c r="J1" s="111"/>
      <c r="K1" s="111"/>
      <c r="L1" s="111"/>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row>
    <row r="2" spans="1:43" ht="12" thickBot="1">
      <c r="A2" s="114" t="s">
        <v>119</v>
      </c>
      <c r="B2" s="115">
        <v>2009</v>
      </c>
      <c r="C2" s="115">
        <v>2010</v>
      </c>
      <c r="D2" s="115">
        <v>2011</v>
      </c>
      <c r="E2" s="115">
        <v>2012</v>
      </c>
      <c r="F2" s="115">
        <v>2013</v>
      </c>
      <c r="G2" s="115">
        <v>2014</v>
      </c>
      <c r="H2" s="115">
        <v>2015</v>
      </c>
      <c r="I2" s="115">
        <v>2016</v>
      </c>
      <c r="J2" s="115">
        <v>2017</v>
      </c>
      <c r="K2" s="115">
        <v>2018</v>
      </c>
      <c r="L2" s="115">
        <v>2019</v>
      </c>
      <c r="M2" s="115">
        <v>2020</v>
      </c>
      <c r="N2" s="115">
        <v>2021</v>
      </c>
      <c r="O2" s="115">
        <v>2022</v>
      </c>
      <c r="P2" s="115">
        <v>2023</v>
      </c>
      <c r="Q2" s="115">
        <v>2024</v>
      </c>
      <c r="R2" s="115">
        <v>2025</v>
      </c>
      <c r="S2" s="115">
        <v>2026</v>
      </c>
      <c r="T2" s="115">
        <v>2027</v>
      </c>
      <c r="U2" s="115">
        <v>2028</v>
      </c>
      <c r="V2" s="115">
        <v>2029</v>
      </c>
      <c r="W2" s="115">
        <v>2030</v>
      </c>
      <c r="X2" s="115">
        <v>2031</v>
      </c>
      <c r="Y2" s="115">
        <v>2032</v>
      </c>
      <c r="Z2" s="115">
        <v>2033</v>
      </c>
      <c r="AA2" s="115">
        <v>2034</v>
      </c>
      <c r="AB2" s="115">
        <v>2035</v>
      </c>
      <c r="AC2" s="115">
        <v>2036</v>
      </c>
      <c r="AD2" s="115">
        <v>2037</v>
      </c>
      <c r="AE2" s="115">
        <v>2038</v>
      </c>
      <c r="AF2" s="115">
        <v>2039</v>
      </c>
      <c r="AG2" s="115">
        <v>2040</v>
      </c>
      <c r="AH2" s="115">
        <v>2041</v>
      </c>
      <c r="AI2" s="115">
        <v>2042</v>
      </c>
      <c r="AJ2" s="115">
        <v>2043</v>
      </c>
      <c r="AK2" s="115">
        <v>2044</v>
      </c>
      <c r="AL2" s="115">
        <v>2045</v>
      </c>
      <c r="AM2" s="115">
        <v>2046</v>
      </c>
      <c r="AN2" s="115">
        <v>2047</v>
      </c>
      <c r="AO2" s="115">
        <v>2048</v>
      </c>
      <c r="AP2" s="115">
        <v>2049</v>
      </c>
      <c r="AQ2" s="115">
        <v>2050</v>
      </c>
    </row>
    <row r="3" spans="1:43" ht="12" thickTop="1">
      <c r="A3" s="116" t="s">
        <v>120</v>
      </c>
      <c r="B3" s="117"/>
      <c r="C3" s="117"/>
      <c r="D3" s="117"/>
      <c r="E3" s="117"/>
      <c r="F3" s="117"/>
      <c r="G3" s="117"/>
      <c r="H3" s="117"/>
      <c r="I3" s="117"/>
      <c r="J3" s="117"/>
      <c r="K3" s="117"/>
      <c r="L3" s="117"/>
      <c r="M3" s="13">
        <v>14893</v>
      </c>
      <c r="N3" s="13">
        <f>M10</f>
        <v>19153</v>
      </c>
      <c r="O3" s="13">
        <f>N10</f>
        <v>19662</v>
      </c>
      <c r="P3" s="13">
        <f>O10</f>
        <v>26067</v>
      </c>
      <c r="Q3" s="13">
        <f>P10</f>
        <v>28150</v>
      </c>
      <c r="R3" s="118">
        <f t="shared" ref="R3:AQ3" si="0">Q10</f>
        <v>29597</v>
      </c>
      <c r="S3" s="119">
        <f t="shared" si="0"/>
        <v>30000</v>
      </c>
      <c r="T3" s="119">
        <f t="shared" si="0"/>
        <v>30000</v>
      </c>
      <c r="U3" s="119">
        <f t="shared" si="0"/>
        <v>30000</v>
      </c>
      <c r="V3" s="119">
        <f t="shared" si="0"/>
        <v>30000</v>
      </c>
      <c r="W3" s="119">
        <f t="shared" si="0"/>
        <v>30000</v>
      </c>
      <c r="X3" s="119">
        <f t="shared" si="0"/>
        <v>30000</v>
      </c>
      <c r="Y3" s="119">
        <f t="shared" si="0"/>
        <v>30000</v>
      </c>
      <c r="Z3" s="119">
        <f t="shared" si="0"/>
        <v>30000</v>
      </c>
      <c r="AA3" s="119">
        <f t="shared" si="0"/>
        <v>30000</v>
      </c>
      <c r="AB3" s="119">
        <f t="shared" si="0"/>
        <v>30000</v>
      </c>
      <c r="AC3" s="119">
        <f t="shared" si="0"/>
        <v>30000</v>
      </c>
      <c r="AD3" s="119">
        <f t="shared" si="0"/>
        <v>30000</v>
      </c>
      <c r="AE3" s="119">
        <f t="shared" si="0"/>
        <v>30000</v>
      </c>
      <c r="AF3" s="119">
        <f t="shared" si="0"/>
        <v>30000</v>
      </c>
      <c r="AG3" s="119">
        <f t="shared" si="0"/>
        <v>30000</v>
      </c>
      <c r="AH3" s="119">
        <f t="shared" si="0"/>
        <v>30000</v>
      </c>
      <c r="AI3" s="119">
        <f t="shared" si="0"/>
        <v>30000</v>
      </c>
      <c r="AJ3" s="119">
        <f t="shared" si="0"/>
        <v>30000</v>
      </c>
      <c r="AK3" s="119">
        <f t="shared" si="0"/>
        <v>30000</v>
      </c>
      <c r="AL3" s="119">
        <f t="shared" si="0"/>
        <v>30000</v>
      </c>
      <c r="AM3" s="119">
        <f t="shared" si="0"/>
        <v>30000</v>
      </c>
      <c r="AN3" s="119">
        <f t="shared" si="0"/>
        <v>30000</v>
      </c>
      <c r="AO3" s="119">
        <f t="shared" si="0"/>
        <v>30000</v>
      </c>
      <c r="AP3" s="119">
        <f t="shared" si="0"/>
        <v>30000</v>
      </c>
      <c r="AQ3" s="119">
        <f t="shared" si="0"/>
        <v>30000</v>
      </c>
    </row>
    <row r="4" spans="1:43">
      <c r="A4" s="116" t="s">
        <v>3</v>
      </c>
      <c r="B4" s="117"/>
      <c r="C4" s="117">
        <v>1530000</v>
      </c>
      <c r="D4" s="117">
        <v>1790000</v>
      </c>
      <c r="E4" s="117">
        <v>1780000</v>
      </c>
      <c r="F4" s="117">
        <v>1800000</v>
      </c>
      <c r="G4" s="117">
        <v>1845000</v>
      </c>
      <c r="H4" s="117">
        <v>1815000</v>
      </c>
      <c r="I4" s="117">
        <v>1860000</v>
      </c>
      <c r="J4" s="117">
        <v>1890000</v>
      </c>
      <c r="K4" s="117">
        <v>1900000</v>
      </c>
      <c r="L4" s="13">
        <f t="shared" ref="L4:Q4" si="1">L38</f>
        <v>1209968</v>
      </c>
      <c r="M4" s="13">
        <f t="shared" si="1"/>
        <v>1623228</v>
      </c>
      <c r="N4" s="13">
        <f t="shared" si="1"/>
        <v>1642471</v>
      </c>
      <c r="O4" s="13">
        <f t="shared" si="1"/>
        <v>1691553</v>
      </c>
      <c r="P4" s="13">
        <f t="shared" si="1"/>
        <v>1716798</v>
      </c>
      <c r="Q4" s="13">
        <f t="shared" si="1"/>
        <v>1757444</v>
      </c>
      <c r="R4" s="119">
        <f>R12*R13*1000000+162500</f>
        <v>1665251.2286145918</v>
      </c>
      <c r="S4" s="119">
        <f>S12*S13*1000000+225000</f>
        <v>1615044.8864684976</v>
      </c>
      <c r="T4" s="119">
        <f>T12*T13*1000000+262500</f>
        <v>1583042.6421450726</v>
      </c>
      <c r="U4" s="119">
        <f>U12*U13*1000000+280000</f>
        <v>1567529.0760914455</v>
      </c>
      <c r="V4" s="119">
        <f>V12*V13*1000000+297500</f>
        <v>1552840.8491891595</v>
      </c>
      <c r="W4" s="119">
        <f>W12*W13*1000000+314500</f>
        <v>1538457.3279594306</v>
      </c>
      <c r="X4" s="119">
        <f>X12*X13*1000000+331500</f>
        <v>1524858.3947604448</v>
      </c>
      <c r="Y4" s="119">
        <f>Y12*Y13*1000000+348500</f>
        <v>1512024.4348914337</v>
      </c>
      <c r="Z4" s="119">
        <f>Z12*Z13*1000000+365000</f>
        <v>1499436.324019148</v>
      </c>
      <c r="AA4" s="119">
        <f>AA12*AA13*1000000+380000</f>
        <v>1486075.4159186692</v>
      </c>
      <c r="AB4" s="119">
        <f>AB12*AB13*1000000+395000</f>
        <v>1473423.5305207025</v>
      </c>
      <c r="AC4" s="119">
        <f>AC12*AC13*1000000+410000</f>
        <v>1461462.9422576847</v>
      </c>
      <c r="AD4" s="119">
        <f>AD12*AD13*1000000+425000</f>
        <v>1450176.3687012428</v>
      </c>
      <c r="AE4" s="119">
        <f>AE12*AE13*1000000+438000</f>
        <v>1437546.9594837115</v>
      </c>
      <c r="AF4" s="119">
        <f>AF12*AF13*1000000+452000</f>
        <v>1426558.2854966188</v>
      </c>
      <c r="AG4" s="119">
        <f>AG12*AG13*1000000+465000</f>
        <v>1415194.3283592034</v>
      </c>
      <c r="AH4" s="119">
        <f>AH12*AH13*1000000+480000</f>
        <v>1406439.4701502235</v>
      </c>
      <c r="AI4" s="119">
        <f>AI12*AI13*1000000+491000</f>
        <v>1394278.4833964678</v>
      </c>
      <c r="AJ4" s="119">
        <f>AJ12*AJ13*1000000+503500</f>
        <v>1384196.5213115562</v>
      </c>
      <c r="AK4" s="119">
        <f>AK12*AK13*1000000+516000</f>
        <v>1374679.1082787672</v>
      </c>
      <c r="AL4" s="119">
        <f>AL12*AL13*1000000+528000</f>
        <v>1365212.130571798</v>
      </c>
      <c r="AM4" s="119">
        <f>AM12*AM13*1000000+540000</f>
        <v>1356281.8273075032</v>
      </c>
      <c r="AN4" s="119">
        <f>AN12*AN13*1000000+550000</f>
        <v>1345874.7816248154</v>
      </c>
      <c r="AO4" s="119">
        <f>AO12*AO13*1000000+561500</f>
        <v>1337477.9120841951</v>
      </c>
      <c r="AP4" s="119">
        <f>AP12*AP13*1000000+572500</f>
        <v>1329078.4642820903</v>
      </c>
      <c r="AQ4" s="119">
        <f>AQ12*AQ13*1000000+582500</f>
        <v>1320164.0026750378</v>
      </c>
    </row>
    <row r="5" spans="1:43">
      <c r="A5" s="120" t="s">
        <v>121</v>
      </c>
      <c r="B5" s="121">
        <f>B54</f>
        <v>297357.27999999997</v>
      </c>
      <c r="C5" s="121">
        <f t="shared" ref="C5:O5" si="2">C54</f>
        <v>553853.05700000003</v>
      </c>
      <c r="D5" s="121">
        <f t="shared" si="2"/>
        <v>1008480.124</v>
      </c>
      <c r="E5" s="121">
        <f t="shared" si="2"/>
        <v>1087013.362</v>
      </c>
      <c r="F5" s="121">
        <f t="shared" si="2"/>
        <v>1118542.298</v>
      </c>
      <c r="G5" s="121">
        <f t="shared" si="2"/>
        <v>1204183.8480000002</v>
      </c>
      <c r="H5" s="121">
        <f t="shared" si="2"/>
        <v>1270910.21</v>
      </c>
      <c r="I5" s="121">
        <f t="shared" si="2"/>
        <v>1241617.3269999998</v>
      </c>
      <c r="J5" s="121">
        <f t="shared" si="2"/>
        <v>1302393.2949999999</v>
      </c>
      <c r="K5" s="121">
        <f t="shared" si="2"/>
        <v>1399796.1839999999</v>
      </c>
      <c r="L5" s="121">
        <f t="shared" si="2"/>
        <v>1282969.048</v>
      </c>
      <c r="M5" s="121">
        <f t="shared" si="2"/>
        <v>1288786.1839999999</v>
      </c>
      <c r="N5" s="121">
        <f t="shared" si="2"/>
        <v>1385274.4349999998</v>
      </c>
      <c r="O5" s="121">
        <f t="shared" si="2"/>
        <v>1903839.682</v>
      </c>
      <c r="P5" s="121">
        <f>P54</f>
        <v>2672077.6779999998</v>
      </c>
      <c r="Q5" s="121">
        <f>Q54</f>
        <v>2730714.4590000003</v>
      </c>
      <c r="R5" s="122">
        <f t="shared" ref="R5:AQ5" si="3">R4/R21</f>
        <v>2561924.9670993718</v>
      </c>
      <c r="S5" s="122">
        <f t="shared" si="3"/>
        <v>2484684.4407207654</v>
      </c>
      <c r="T5" s="122">
        <f t="shared" si="3"/>
        <v>2435450.2186847269</v>
      </c>
      <c r="U5" s="122">
        <f t="shared" si="3"/>
        <v>2411583.1939868391</v>
      </c>
      <c r="V5" s="122">
        <f t="shared" si="3"/>
        <v>2388985.921829476</v>
      </c>
      <c r="W5" s="122">
        <f t="shared" si="3"/>
        <v>2366857.4276298932</v>
      </c>
      <c r="X5" s="122">
        <f t="shared" si="3"/>
        <v>2345935.9919391456</v>
      </c>
      <c r="Y5" s="122">
        <f t="shared" si="3"/>
        <v>2326191.4382945132</v>
      </c>
      <c r="Z5" s="122">
        <f t="shared" si="3"/>
        <v>2306825.1138756122</v>
      </c>
      <c r="AA5" s="122">
        <f t="shared" si="3"/>
        <v>2286269.8706441065</v>
      </c>
      <c r="AB5" s="122">
        <f t="shared" si="3"/>
        <v>2266805.4315703115</v>
      </c>
      <c r="AC5" s="122">
        <f t="shared" si="3"/>
        <v>2248404.5265502841</v>
      </c>
      <c r="AD5" s="122">
        <f t="shared" si="3"/>
        <v>2231040.5672326814</v>
      </c>
      <c r="AE5" s="122">
        <f t="shared" si="3"/>
        <v>2211610.7068980178</v>
      </c>
      <c r="AF5" s="122">
        <f t="shared" si="3"/>
        <v>2194705.0546101825</v>
      </c>
      <c r="AG5" s="122">
        <f t="shared" si="3"/>
        <v>2177222.0436295439</v>
      </c>
      <c r="AH5" s="122">
        <f t="shared" si="3"/>
        <v>2163753.0310003436</v>
      </c>
      <c r="AI5" s="122">
        <f t="shared" si="3"/>
        <v>2145043.8206099505</v>
      </c>
      <c r="AJ5" s="122">
        <f t="shared" si="3"/>
        <v>2129533.1097100866</v>
      </c>
      <c r="AK5" s="122">
        <f t="shared" si="3"/>
        <v>2114890.935813488</v>
      </c>
      <c r="AL5" s="122">
        <f t="shared" si="3"/>
        <v>2100326.3547258428</v>
      </c>
      <c r="AM5" s="122">
        <f t="shared" si="3"/>
        <v>2086587.4266269279</v>
      </c>
      <c r="AN5" s="122">
        <f t="shared" si="3"/>
        <v>2070576.5871151006</v>
      </c>
      <c r="AO5" s="122">
        <f t="shared" si="3"/>
        <v>2057658.3262833769</v>
      </c>
      <c r="AP5" s="122">
        <f t="shared" si="3"/>
        <v>2044736.0988955235</v>
      </c>
      <c r="AQ5" s="122">
        <f t="shared" si="3"/>
        <v>2031021.5425769812</v>
      </c>
    </row>
    <row r="6" spans="1:43">
      <c r="A6" s="116" t="s">
        <v>122</v>
      </c>
      <c r="B6" s="117"/>
      <c r="C6" s="13"/>
      <c r="D6" s="13"/>
      <c r="E6" s="13"/>
      <c r="F6" s="13"/>
      <c r="G6" s="13"/>
      <c r="H6" s="13">
        <f t="shared" ref="H6:AQ6" si="4">SUM(H3:H5)</f>
        <v>3085910.21</v>
      </c>
      <c r="I6" s="13">
        <f t="shared" si="4"/>
        <v>3101617.3269999996</v>
      </c>
      <c r="J6" s="13">
        <f t="shared" si="4"/>
        <v>3192393.2949999999</v>
      </c>
      <c r="K6" s="13">
        <f t="shared" si="4"/>
        <v>3299796.1839999999</v>
      </c>
      <c r="L6" s="13">
        <f t="shared" si="4"/>
        <v>2492937.048</v>
      </c>
      <c r="M6" s="13">
        <f t="shared" si="4"/>
        <v>2926907.1839999999</v>
      </c>
      <c r="N6" s="13">
        <f t="shared" si="4"/>
        <v>3046898.4349999996</v>
      </c>
      <c r="O6" s="13">
        <f t="shared" si="4"/>
        <v>3615054.682</v>
      </c>
      <c r="P6" s="13">
        <f t="shared" si="4"/>
        <v>4414942.6779999994</v>
      </c>
      <c r="Q6" s="13">
        <f t="shared" si="4"/>
        <v>4516308.4590000007</v>
      </c>
      <c r="R6" s="119">
        <f t="shared" si="4"/>
        <v>4256773.1957139634</v>
      </c>
      <c r="S6" s="119">
        <f t="shared" si="4"/>
        <v>4129729.327189263</v>
      </c>
      <c r="T6" s="119">
        <f t="shared" si="4"/>
        <v>4048492.8608297994</v>
      </c>
      <c r="U6" s="119">
        <f t="shared" si="4"/>
        <v>4009112.2700782847</v>
      </c>
      <c r="V6" s="119">
        <f t="shared" si="4"/>
        <v>3971826.7710186355</v>
      </c>
      <c r="W6" s="119">
        <f t="shared" si="4"/>
        <v>3935314.755589324</v>
      </c>
      <c r="X6" s="119">
        <f t="shared" si="4"/>
        <v>3900794.3866995904</v>
      </c>
      <c r="Y6" s="119">
        <f t="shared" si="4"/>
        <v>3868215.8731859466</v>
      </c>
      <c r="Z6" s="119">
        <f t="shared" si="4"/>
        <v>3836261.4378947602</v>
      </c>
      <c r="AA6" s="119">
        <f t="shared" si="4"/>
        <v>3802345.2865627757</v>
      </c>
      <c r="AB6" s="119">
        <f t="shared" si="4"/>
        <v>3770228.9620910138</v>
      </c>
      <c r="AC6" s="119">
        <f t="shared" si="4"/>
        <v>3739867.4688079688</v>
      </c>
      <c r="AD6" s="119">
        <f t="shared" si="4"/>
        <v>3711216.9359339243</v>
      </c>
      <c r="AE6" s="119">
        <f t="shared" si="4"/>
        <v>3679157.6663817293</v>
      </c>
      <c r="AF6" s="119">
        <f t="shared" si="4"/>
        <v>3651263.3401068011</v>
      </c>
      <c r="AG6" s="119">
        <f t="shared" si="4"/>
        <v>3622416.3719887473</v>
      </c>
      <c r="AH6" s="119">
        <f t="shared" si="4"/>
        <v>3600192.5011505671</v>
      </c>
      <c r="AI6" s="119">
        <f t="shared" si="4"/>
        <v>3569322.3040064182</v>
      </c>
      <c r="AJ6" s="119">
        <f t="shared" si="4"/>
        <v>3543729.6310216431</v>
      </c>
      <c r="AK6" s="119">
        <f t="shared" si="4"/>
        <v>3519570.0440922552</v>
      </c>
      <c r="AL6" s="119">
        <f t="shared" si="4"/>
        <v>3495538.4852976408</v>
      </c>
      <c r="AM6" s="119">
        <f t="shared" si="4"/>
        <v>3472869.2539344309</v>
      </c>
      <c r="AN6" s="119">
        <f t="shared" si="4"/>
        <v>3446451.368739916</v>
      </c>
      <c r="AO6" s="119">
        <f t="shared" si="4"/>
        <v>3425136.238367572</v>
      </c>
      <c r="AP6" s="119">
        <f t="shared" si="4"/>
        <v>3403814.5631776135</v>
      </c>
      <c r="AQ6" s="119">
        <f t="shared" si="4"/>
        <v>3381185.5452520191</v>
      </c>
    </row>
    <row r="7" spans="1:43">
      <c r="A7" s="113" t="s">
        <v>148</v>
      </c>
      <c r="M7" s="13">
        <f t="shared" ref="M7:AQ7" si="5">M9-M8</f>
        <v>2764730.9839999997</v>
      </c>
      <c r="N7" s="13">
        <f t="shared" si="5"/>
        <v>2848950.9369999995</v>
      </c>
      <c r="O7" s="13">
        <f t="shared" si="5"/>
        <v>3437241.5010000002</v>
      </c>
      <c r="P7" s="13">
        <f t="shared" si="5"/>
        <v>4203876.8849999998</v>
      </c>
      <c r="Q7" s="13">
        <f t="shared" si="5"/>
        <v>4245576.3850000007</v>
      </c>
      <c r="R7" s="123">
        <f t="shared" si="5"/>
        <v>4009073.1957139634</v>
      </c>
      <c r="S7" s="123">
        <f t="shared" si="5"/>
        <v>3898329.327189263</v>
      </c>
      <c r="T7" s="123">
        <f t="shared" si="5"/>
        <v>3827192.8608297994</v>
      </c>
      <c r="U7" s="123">
        <f t="shared" si="5"/>
        <v>3792612.2700782847</v>
      </c>
      <c r="V7" s="123">
        <f t="shared" si="5"/>
        <v>3760026.7710186355</v>
      </c>
      <c r="W7" s="123">
        <f t="shared" si="5"/>
        <v>3728014.755589324</v>
      </c>
      <c r="X7" s="123">
        <f t="shared" si="5"/>
        <v>3697894.3866995904</v>
      </c>
      <c r="Y7" s="123">
        <f t="shared" si="5"/>
        <v>3669615.8731859466</v>
      </c>
      <c r="Z7" s="123">
        <f t="shared" si="5"/>
        <v>3641861.4378947602</v>
      </c>
      <c r="AA7" s="123">
        <f t="shared" si="5"/>
        <v>3612045.2865627757</v>
      </c>
      <c r="AB7" s="123">
        <f t="shared" si="5"/>
        <v>3583928.9620910138</v>
      </c>
      <c r="AC7" s="123">
        <f t="shared" si="5"/>
        <v>3557467.4688079688</v>
      </c>
      <c r="AD7" s="123">
        <f t="shared" si="5"/>
        <v>3532616.9359339243</v>
      </c>
      <c r="AE7" s="123">
        <f t="shared" si="5"/>
        <v>3504257.6663817293</v>
      </c>
      <c r="AF7" s="123">
        <f t="shared" si="5"/>
        <v>3479963.3401068011</v>
      </c>
      <c r="AG7" s="123">
        <f t="shared" si="5"/>
        <v>3454616.3719887473</v>
      </c>
      <c r="AH7" s="123">
        <f t="shared" si="5"/>
        <v>3435792.5011505671</v>
      </c>
      <c r="AI7" s="123">
        <f t="shared" si="5"/>
        <v>3408322.3040064182</v>
      </c>
      <c r="AJ7" s="123">
        <f t="shared" si="5"/>
        <v>3386029.6310216431</v>
      </c>
      <c r="AK7" s="123">
        <f t="shared" si="5"/>
        <v>3365070.0440922552</v>
      </c>
      <c r="AL7" s="123">
        <f t="shared" si="5"/>
        <v>3344138.4852976408</v>
      </c>
      <c r="AM7" s="123">
        <f t="shared" si="5"/>
        <v>3324469.2539344309</v>
      </c>
      <c r="AN7" s="123">
        <f t="shared" si="5"/>
        <v>3301051.368739916</v>
      </c>
      <c r="AO7" s="123">
        <f t="shared" si="5"/>
        <v>3282636.238367572</v>
      </c>
      <c r="AP7" s="123">
        <f t="shared" si="5"/>
        <v>3264114.5631776135</v>
      </c>
      <c r="AQ7" s="123">
        <f t="shared" si="5"/>
        <v>3244185.5452520191</v>
      </c>
    </row>
    <row r="8" spans="1:43">
      <c r="A8" s="120" t="s">
        <v>123</v>
      </c>
      <c r="B8" s="121">
        <f>B70</f>
        <v>74348.403999999995</v>
      </c>
      <c r="C8" s="121">
        <f t="shared" ref="C8:O8" si="6">C70</f>
        <v>94006.204999999987</v>
      </c>
      <c r="D8" s="121">
        <f t="shared" si="6"/>
        <v>76964.204999999987</v>
      </c>
      <c r="E8" s="121">
        <f t="shared" si="6"/>
        <v>53978.93099999999</v>
      </c>
      <c r="F8" s="121">
        <f t="shared" si="6"/>
        <v>57964.134999999995</v>
      </c>
      <c r="G8" s="121">
        <f t="shared" si="6"/>
        <v>63449.017000000007</v>
      </c>
      <c r="H8" s="121">
        <f t="shared" si="6"/>
        <v>68189.476999999999</v>
      </c>
      <c r="I8" s="121">
        <f t="shared" si="6"/>
        <v>75783.632999999987</v>
      </c>
      <c r="J8" s="121">
        <f t="shared" si="6"/>
        <v>88099.473999999987</v>
      </c>
      <c r="K8" s="121">
        <f t="shared" si="6"/>
        <v>73151.229000000007</v>
      </c>
      <c r="L8" s="121">
        <f t="shared" si="6"/>
        <v>82614.967999999993</v>
      </c>
      <c r="M8" s="121">
        <f t="shared" si="6"/>
        <v>143023.20000000001</v>
      </c>
      <c r="N8" s="121">
        <f t="shared" si="6"/>
        <v>178285.49800000002</v>
      </c>
      <c r="O8" s="121">
        <f t="shared" si="6"/>
        <v>151746.18100000001</v>
      </c>
      <c r="P8" s="121">
        <f>P70</f>
        <v>182915.79299999998</v>
      </c>
      <c r="Q8" s="121">
        <f>Q70</f>
        <v>241135.07400000005</v>
      </c>
      <c r="R8" s="122">
        <f t="shared" ref="R8:AQ8" si="7">MROUND(Q8*(1+R20),100)</f>
        <v>217700</v>
      </c>
      <c r="S8" s="122">
        <f t="shared" si="7"/>
        <v>201400</v>
      </c>
      <c r="T8" s="122">
        <f t="shared" si="7"/>
        <v>191300</v>
      </c>
      <c r="U8" s="122">
        <f t="shared" si="7"/>
        <v>186500</v>
      </c>
      <c r="V8" s="122">
        <f t="shared" si="7"/>
        <v>181800</v>
      </c>
      <c r="W8" s="122">
        <f t="shared" si="7"/>
        <v>177300</v>
      </c>
      <c r="X8" s="122">
        <f t="shared" si="7"/>
        <v>172900</v>
      </c>
      <c r="Y8" s="122">
        <f t="shared" si="7"/>
        <v>168600</v>
      </c>
      <c r="Z8" s="122">
        <f t="shared" si="7"/>
        <v>164400</v>
      </c>
      <c r="AA8" s="122">
        <f t="shared" si="7"/>
        <v>160300</v>
      </c>
      <c r="AB8" s="122">
        <f t="shared" si="7"/>
        <v>156300</v>
      </c>
      <c r="AC8" s="122">
        <f t="shared" si="7"/>
        <v>152400</v>
      </c>
      <c r="AD8" s="122">
        <f t="shared" si="7"/>
        <v>148600</v>
      </c>
      <c r="AE8" s="122">
        <f t="shared" si="7"/>
        <v>144900</v>
      </c>
      <c r="AF8" s="122">
        <f t="shared" si="7"/>
        <v>141300</v>
      </c>
      <c r="AG8" s="122">
        <f t="shared" si="7"/>
        <v>137800</v>
      </c>
      <c r="AH8" s="122">
        <f t="shared" si="7"/>
        <v>134400</v>
      </c>
      <c r="AI8" s="122">
        <f t="shared" si="7"/>
        <v>131000</v>
      </c>
      <c r="AJ8" s="122">
        <f t="shared" si="7"/>
        <v>127700</v>
      </c>
      <c r="AK8" s="122">
        <f t="shared" si="7"/>
        <v>124500</v>
      </c>
      <c r="AL8" s="122">
        <f t="shared" si="7"/>
        <v>121400</v>
      </c>
      <c r="AM8" s="122">
        <f t="shared" si="7"/>
        <v>118400</v>
      </c>
      <c r="AN8" s="122">
        <f t="shared" si="7"/>
        <v>115400</v>
      </c>
      <c r="AO8" s="122">
        <f t="shared" si="7"/>
        <v>112500</v>
      </c>
      <c r="AP8" s="122">
        <f t="shared" si="7"/>
        <v>109700</v>
      </c>
      <c r="AQ8" s="122">
        <f t="shared" si="7"/>
        <v>107000</v>
      </c>
    </row>
    <row r="9" spans="1:43">
      <c r="A9" s="116" t="s">
        <v>126</v>
      </c>
      <c r="B9" s="117"/>
      <c r="C9" s="117"/>
      <c r="D9" s="117"/>
      <c r="E9" s="117"/>
      <c r="F9" s="117"/>
      <c r="G9" s="117"/>
      <c r="H9" s="117"/>
      <c r="I9" s="117"/>
      <c r="J9" s="117"/>
      <c r="K9" s="117"/>
      <c r="L9" s="117"/>
      <c r="M9" s="118">
        <f t="shared" ref="M9:AQ9" si="8">M6-M10</f>
        <v>2907754.1839999999</v>
      </c>
      <c r="N9" s="118">
        <f t="shared" si="8"/>
        <v>3027236.4349999996</v>
      </c>
      <c r="O9" s="118">
        <f t="shared" si="8"/>
        <v>3588987.682</v>
      </c>
      <c r="P9" s="118">
        <f t="shared" si="8"/>
        <v>4386792.6779999994</v>
      </c>
      <c r="Q9" s="118">
        <f t="shared" si="8"/>
        <v>4486711.4590000007</v>
      </c>
      <c r="R9" s="119">
        <f t="shared" si="8"/>
        <v>4226773.1957139634</v>
      </c>
      <c r="S9" s="119">
        <f t="shared" si="8"/>
        <v>4099729.327189263</v>
      </c>
      <c r="T9" s="119">
        <f t="shared" si="8"/>
        <v>4018492.8608297994</v>
      </c>
      <c r="U9" s="119">
        <f t="shared" si="8"/>
        <v>3979112.2700782847</v>
      </c>
      <c r="V9" s="119">
        <f t="shared" si="8"/>
        <v>3941826.7710186355</v>
      </c>
      <c r="W9" s="119">
        <f t="shared" si="8"/>
        <v>3905314.755589324</v>
      </c>
      <c r="X9" s="119">
        <f t="shared" si="8"/>
        <v>3870794.3866995904</v>
      </c>
      <c r="Y9" s="119">
        <f t="shared" si="8"/>
        <v>3838215.8731859466</v>
      </c>
      <c r="Z9" s="119">
        <f t="shared" si="8"/>
        <v>3806261.4378947602</v>
      </c>
      <c r="AA9" s="119">
        <f t="shared" si="8"/>
        <v>3772345.2865627757</v>
      </c>
      <c r="AB9" s="119">
        <f t="shared" si="8"/>
        <v>3740228.9620910138</v>
      </c>
      <c r="AC9" s="119">
        <f t="shared" si="8"/>
        <v>3709867.4688079688</v>
      </c>
      <c r="AD9" s="119">
        <f t="shared" si="8"/>
        <v>3681216.9359339243</v>
      </c>
      <c r="AE9" s="119">
        <f t="shared" si="8"/>
        <v>3649157.6663817293</v>
      </c>
      <c r="AF9" s="119">
        <f t="shared" si="8"/>
        <v>3621263.3401068011</v>
      </c>
      <c r="AG9" s="119">
        <f t="shared" si="8"/>
        <v>3592416.3719887473</v>
      </c>
      <c r="AH9" s="119">
        <f t="shared" si="8"/>
        <v>3570192.5011505671</v>
      </c>
      <c r="AI9" s="119">
        <f t="shared" si="8"/>
        <v>3539322.3040064182</v>
      </c>
      <c r="AJ9" s="119">
        <f t="shared" si="8"/>
        <v>3513729.6310216431</v>
      </c>
      <c r="AK9" s="119">
        <f t="shared" si="8"/>
        <v>3489570.0440922552</v>
      </c>
      <c r="AL9" s="119">
        <f t="shared" si="8"/>
        <v>3465538.4852976408</v>
      </c>
      <c r="AM9" s="119">
        <f t="shared" si="8"/>
        <v>3442869.2539344309</v>
      </c>
      <c r="AN9" s="119">
        <f t="shared" si="8"/>
        <v>3416451.368739916</v>
      </c>
      <c r="AO9" s="119">
        <f t="shared" si="8"/>
        <v>3395136.238367572</v>
      </c>
      <c r="AP9" s="119">
        <f t="shared" si="8"/>
        <v>3373814.5631776135</v>
      </c>
      <c r="AQ9" s="119">
        <f t="shared" si="8"/>
        <v>3351185.5452520191</v>
      </c>
    </row>
    <row r="10" spans="1:43" ht="12" thickBot="1">
      <c r="A10" s="116" t="s">
        <v>127</v>
      </c>
      <c r="B10" s="117"/>
      <c r="C10" s="117"/>
      <c r="D10" s="117"/>
      <c r="E10" s="117"/>
      <c r="F10" s="117"/>
      <c r="G10" s="117"/>
      <c r="H10" s="117"/>
      <c r="I10" s="117"/>
      <c r="J10" s="117"/>
      <c r="K10" s="117"/>
      <c r="L10" s="117"/>
      <c r="M10" s="13">
        <f>M101</f>
        <v>19153</v>
      </c>
      <c r="N10" s="13">
        <f>N101</f>
        <v>19662</v>
      </c>
      <c r="O10" s="13">
        <f>O101</f>
        <v>26067</v>
      </c>
      <c r="P10" s="13">
        <f>P101</f>
        <v>28150</v>
      </c>
      <c r="Q10" s="13">
        <f>Q101</f>
        <v>29597</v>
      </c>
      <c r="R10" s="119">
        <v>30000</v>
      </c>
      <c r="S10" s="119">
        <v>30000</v>
      </c>
      <c r="T10" s="119">
        <v>30000</v>
      </c>
      <c r="U10" s="119">
        <v>30000</v>
      </c>
      <c r="V10" s="119">
        <v>30000</v>
      </c>
      <c r="W10" s="119">
        <v>30000</v>
      </c>
      <c r="X10" s="119">
        <v>30000</v>
      </c>
      <c r="Y10" s="119">
        <v>30000</v>
      </c>
      <c r="Z10" s="119">
        <v>30000</v>
      </c>
      <c r="AA10" s="119">
        <v>30000</v>
      </c>
      <c r="AB10" s="119">
        <v>30000</v>
      </c>
      <c r="AC10" s="119">
        <v>30000</v>
      </c>
      <c r="AD10" s="119">
        <v>30000</v>
      </c>
      <c r="AE10" s="119">
        <v>30000</v>
      </c>
      <c r="AF10" s="119">
        <v>30000</v>
      </c>
      <c r="AG10" s="119">
        <v>30000</v>
      </c>
      <c r="AH10" s="119">
        <v>30000</v>
      </c>
      <c r="AI10" s="119">
        <v>30000</v>
      </c>
      <c r="AJ10" s="119">
        <v>30000</v>
      </c>
      <c r="AK10" s="119">
        <v>30000</v>
      </c>
      <c r="AL10" s="119">
        <v>30000</v>
      </c>
      <c r="AM10" s="119">
        <v>30000</v>
      </c>
      <c r="AN10" s="119">
        <v>30000</v>
      </c>
      <c r="AO10" s="119">
        <v>30000</v>
      </c>
      <c r="AP10" s="119">
        <v>30000</v>
      </c>
      <c r="AQ10" s="119">
        <v>30000</v>
      </c>
    </row>
    <row r="11" spans="1:43">
      <c r="A11" s="124" t="s">
        <v>149</v>
      </c>
      <c r="B11" s="125"/>
      <c r="C11" s="125"/>
      <c r="D11" s="125"/>
      <c r="E11" s="125"/>
      <c r="F11" s="125"/>
      <c r="G11" s="125"/>
      <c r="H11" s="125"/>
      <c r="I11" s="125"/>
      <c r="J11" s="125"/>
      <c r="K11" s="125"/>
      <c r="L11" s="125"/>
      <c r="M11" s="126">
        <f t="shared" ref="M11:AP11" si="9">M10/M9</f>
        <v>6.5868704120141683E-3</v>
      </c>
      <c r="N11" s="126">
        <f t="shared" si="9"/>
        <v>6.495032820256077E-3</v>
      </c>
      <c r="O11" s="126">
        <f t="shared" si="9"/>
        <v>7.2630508404180139E-3</v>
      </c>
      <c r="P11" s="126">
        <f t="shared" si="9"/>
        <v>6.4169889179339981E-3</v>
      </c>
      <c r="Q11" s="126">
        <f t="shared" si="9"/>
        <v>6.5965909041533479E-3</v>
      </c>
      <c r="R11" s="126">
        <f t="shared" si="9"/>
        <v>7.0976129096353285E-3</v>
      </c>
      <c r="S11" s="126">
        <f t="shared" si="9"/>
        <v>7.3175562593952338E-3</v>
      </c>
      <c r="T11" s="126">
        <f t="shared" si="9"/>
        <v>7.4654854541175283E-3</v>
      </c>
      <c r="U11" s="126">
        <f t="shared" si="9"/>
        <v>7.5393700815106135E-3</v>
      </c>
      <c r="V11" s="126">
        <f t="shared" si="9"/>
        <v>7.610684523370743E-3</v>
      </c>
      <c r="W11" s="126">
        <f t="shared" si="9"/>
        <v>7.6818392056782906E-3</v>
      </c>
      <c r="X11" s="126">
        <f t="shared" si="9"/>
        <v>7.7503470871722845E-3</v>
      </c>
      <c r="Y11" s="126">
        <f t="shared" si="9"/>
        <v>7.8161315025510082E-3</v>
      </c>
      <c r="Z11" s="126">
        <f t="shared" si="9"/>
        <v>7.8817497141218367E-3</v>
      </c>
      <c r="AA11" s="126">
        <f t="shared" si="9"/>
        <v>7.9526124257132663E-3</v>
      </c>
      <c r="AB11" s="126">
        <f t="shared" si="9"/>
        <v>8.0208993363946861E-3</v>
      </c>
      <c r="AC11" s="126">
        <f t="shared" si="9"/>
        <v>8.0865422423403738E-3</v>
      </c>
      <c r="AD11" s="126">
        <f t="shared" si="9"/>
        <v>8.1494789690760242E-3</v>
      </c>
      <c r="AE11" s="126">
        <f t="shared" si="9"/>
        <v>8.2210753118119109E-3</v>
      </c>
      <c r="AF11" s="126">
        <f t="shared" si="9"/>
        <v>8.2844016527986661E-3</v>
      </c>
      <c r="AG11" s="126">
        <f t="shared" si="9"/>
        <v>8.3509250859449009E-3</v>
      </c>
      <c r="AH11" s="126">
        <f t="shared" si="9"/>
        <v>8.4029082438361203E-3</v>
      </c>
      <c r="AI11" s="126">
        <f t="shared" si="9"/>
        <v>8.4761989508671757E-3</v>
      </c>
      <c r="AJ11" s="126">
        <f t="shared" si="9"/>
        <v>8.5379363668562271E-3</v>
      </c>
      <c r="AK11" s="126">
        <f t="shared" si="9"/>
        <v>8.5970476651669927E-3</v>
      </c>
      <c r="AL11" s="126">
        <f t="shared" si="9"/>
        <v>8.656663351820611E-3</v>
      </c>
      <c r="AM11" s="126">
        <f t="shared" si="9"/>
        <v>8.7136622936571581E-3</v>
      </c>
      <c r="AN11" s="126">
        <f t="shared" si="9"/>
        <v>8.7810411336441321E-3</v>
      </c>
      <c r="AO11" s="126">
        <f t="shared" si="9"/>
        <v>8.8361697127136238E-3</v>
      </c>
      <c r="AP11" s="126">
        <f t="shared" si="9"/>
        <v>8.8920121240287208E-3</v>
      </c>
      <c r="AQ11" s="126">
        <f>AQ10/AQ9</f>
        <v>8.9520558008207539E-3</v>
      </c>
    </row>
    <row r="12" spans="1:43">
      <c r="A12" s="116" t="s">
        <v>150</v>
      </c>
      <c r="B12" s="127">
        <v>10.838576006297863</v>
      </c>
      <c r="C12" s="127">
        <v>10.950649731468982</v>
      </c>
      <c r="D12" s="127">
        <v>11.115417088241433</v>
      </c>
      <c r="E12" s="127">
        <v>11.103822835571311</v>
      </c>
      <c r="F12" s="127">
        <v>11.33364866685511</v>
      </c>
      <c r="G12" s="127">
        <v>11.267415947017627</v>
      </c>
      <c r="H12" s="127">
        <v>11.775911988397556</v>
      </c>
      <c r="I12" s="127">
        <v>11.910583265749285</v>
      </c>
      <c r="J12" s="127">
        <v>11.878991443463191</v>
      </c>
      <c r="K12" s="127">
        <v>11.834056020351824</v>
      </c>
      <c r="L12" s="127">
        <v>11.406433701280001</v>
      </c>
      <c r="M12" s="128">
        <v>9.8438232423800009</v>
      </c>
      <c r="N12" s="128">
        <v>10.56569154268</v>
      </c>
      <c r="O12" s="128">
        <v>10.998638434829999</v>
      </c>
      <c r="P12" s="128">
        <v>11.304992949620001</v>
      </c>
      <c r="Q12" s="128">
        <v>11.094725781440001</v>
      </c>
      <c r="R12" s="128">
        <v>10.018341524097279</v>
      </c>
      <c r="S12" s="128">
        <v>9.2669659097899846</v>
      </c>
      <c r="T12" s="128">
        <v>8.8036176143004834</v>
      </c>
      <c r="U12" s="128">
        <v>8.5835271739429704</v>
      </c>
      <c r="V12" s="128">
        <v>8.3689389945943979</v>
      </c>
      <c r="W12" s="128">
        <v>8.1597155197295379</v>
      </c>
      <c r="X12" s="128">
        <v>7.9557226317362986</v>
      </c>
      <c r="Y12" s="128">
        <v>7.7568295659428923</v>
      </c>
      <c r="Z12" s="128">
        <v>7.5629088267943194</v>
      </c>
      <c r="AA12" s="128">
        <v>7.3738361061244611</v>
      </c>
      <c r="AB12" s="128">
        <v>7.1894902034713501</v>
      </c>
      <c r="AC12" s="128">
        <v>7.0097529483845653</v>
      </c>
      <c r="AD12" s="128">
        <v>6.8345091246749519</v>
      </c>
      <c r="AE12" s="128">
        <v>6.6636463965580779</v>
      </c>
      <c r="AF12" s="128">
        <v>6.4970552366441261</v>
      </c>
      <c r="AG12" s="128">
        <v>6.3346288557280221</v>
      </c>
      <c r="AH12" s="128">
        <v>6.1762631343348229</v>
      </c>
      <c r="AI12" s="128">
        <v>6.0218565559764521</v>
      </c>
      <c r="AJ12" s="128">
        <v>5.871310142077041</v>
      </c>
      <c r="AK12" s="128">
        <v>5.7245273885251144</v>
      </c>
      <c r="AL12" s="128">
        <v>5.5814142038119865</v>
      </c>
      <c r="AM12" s="128">
        <v>5.4418788487166871</v>
      </c>
      <c r="AN12" s="128">
        <v>5.3058318774987701</v>
      </c>
      <c r="AO12" s="128">
        <v>5.173186080561301</v>
      </c>
      <c r="AP12" s="128">
        <v>5.0438564285472678</v>
      </c>
      <c r="AQ12" s="128">
        <v>4.9177600178335865</v>
      </c>
    </row>
    <row r="13" spans="1:43" ht="12" thickBot="1">
      <c r="A13" s="116" t="s">
        <v>151</v>
      </c>
      <c r="B13" s="116"/>
      <c r="C13" s="116"/>
      <c r="D13" s="116"/>
      <c r="E13" s="116"/>
      <c r="F13" s="116"/>
      <c r="G13" s="116"/>
      <c r="H13" s="116"/>
      <c r="I13" s="116"/>
      <c r="J13" s="116"/>
      <c r="K13" s="116"/>
      <c r="L13" s="116"/>
      <c r="M13" s="129">
        <f>(M16/1000000)/M12</f>
        <v>0.16487679228254745</v>
      </c>
      <c r="N13" s="129">
        <f>(N16/1000000)/N12</f>
        <v>0.15541803329831827</v>
      </c>
      <c r="O13" s="129">
        <f>(O16/1000000)/O12</f>
        <v>0.15307194703923571</v>
      </c>
      <c r="P13" s="129">
        <f>(P16/1000000)/P12</f>
        <v>0.15156683490524381</v>
      </c>
      <c r="Q13" s="129">
        <f>(Q16/1000000)/Q12</f>
        <v>0.15812279046452493</v>
      </c>
      <c r="R13" s="129">
        <v>0.15</v>
      </c>
      <c r="S13" s="129">
        <v>0.15</v>
      </c>
      <c r="T13" s="129">
        <v>0.15</v>
      </c>
      <c r="U13" s="129">
        <v>0.15</v>
      </c>
      <c r="V13" s="129">
        <v>0.15</v>
      </c>
      <c r="W13" s="129">
        <v>0.15</v>
      </c>
      <c r="X13" s="129">
        <v>0.15</v>
      </c>
      <c r="Y13" s="129">
        <v>0.15</v>
      </c>
      <c r="Z13" s="129">
        <v>0.15</v>
      </c>
      <c r="AA13" s="129">
        <v>0.15</v>
      </c>
      <c r="AB13" s="129">
        <v>0.15</v>
      </c>
      <c r="AC13" s="129">
        <v>0.15</v>
      </c>
      <c r="AD13" s="129">
        <v>0.15</v>
      </c>
      <c r="AE13" s="129">
        <v>0.15</v>
      </c>
      <c r="AF13" s="129">
        <v>0.15</v>
      </c>
      <c r="AG13" s="129">
        <v>0.15</v>
      </c>
      <c r="AH13" s="129">
        <v>0.15</v>
      </c>
      <c r="AI13" s="129">
        <v>0.15</v>
      </c>
      <c r="AJ13" s="129">
        <v>0.15</v>
      </c>
      <c r="AK13" s="129">
        <v>0.15</v>
      </c>
      <c r="AL13" s="129">
        <v>0.15</v>
      </c>
      <c r="AM13" s="129">
        <v>0.15</v>
      </c>
      <c r="AN13" s="129">
        <v>0.15</v>
      </c>
      <c r="AO13" s="129">
        <v>0.15</v>
      </c>
      <c r="AP13" s="129">
        <v>0.15</v>
      </c>
      <c r="AQ13" s="129">
        <v>0.15</v>
      </c>
    </row>
    <row r="14" spans="1:43" ht="12" thickTop="1">
      <c r="A14" s="130"/>
      <c r="B14" s="130"/>
      <c r="C14" s="130"/>
      <c r="D14" s="130"/>
      <c r="E14" s="130"/>
      <c r="F14" s="130"/>
      <c r="G14" s="130"/>
      <c r="H14" s="130"/>
      <c r="I14" s="130"/>
      <c r="J14" s="130"/>
      <c r="K14" s="130"/>
      <c r="L14" s="130"/>
      <c r="M14" s="131"/>
      <c r="N14" s="131"/>
      <c r="O14" s="131"/>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row>
    <row r="15" spans="1:43">
      <c r="A15" s="116"/>
      <c r="B15" s="116"/>
      <c r="C15" s="116"/>
      <c r="D15" s="116"/>
      <c r="E15" s="116"/>
      <c r="F15" s="116"/>
      <c r="G15" s="116"/>
      <c r="H15" s="116"/>
      <c r="I15" s="116"/>
      <c r="J15" s="116"/>
      <c r="K15" s="116"/>
      <c r="L15" s="116"/>
      <c r="M15" s="13"/>
      <c r="N15" s="13"/>
      <c r="O15" s="13"/>
    </row>
    <row r="16" spans="1:43">
      <c r="A16" s="116" t="s">
        <v>4</v>
      </c>
      <c r="B16" s="117"/>
      <c r="C16" s="117"/>
      <c r="D16" s="117"/>
      <c r="E16" s="117"/>
      <c r="F16" s="117"/>
      <c r="G16" s="117"/>
      <c r="H16" s="117"/>
      <c r="I16" s="117"/>
      <c r="J16" s="117"/>
      <c r="K16" s="117"/>
      <c r="L16" s="117"/>
      <c r="M16" s="13">
        <f>M134</f>
        <v>1623018</v>
      </c>
      <c r="N16" s="13">
        <f>N134</f>
        <v>1642099</v>
      </c>
      <c r="O16" s="13">
        <f>O134</f>
        <v>1683583</v>
      </c>
      <c r="P16" s="13">
        <f>P134</f>
        <v>1713462</v>
      </c>
      <c r="Q16" s="13">
        <f>Q134</f>
        <v>1754329</v>
      </c>
      <c r="R16" s="119">
        <f t="shared" ref="R16:AQ16" si="10">R12*1000000*R13</f>
        <v>1502751.2286145918</v>
      </c>
      <c r="S16" s="119">
        <f t="shared" si="10"/>
        <v>1390044.8864684978</v>
      </c>
      <c r="T16" s="119">
        <f t="shared" si="10"/>
        <v>1320542.6421450726</v>
      </c>
      <c r="U16" s="119">
        <f t="shared" si="10"/>
        <v>1287529.0760914455</v>
      </c>
      <c r="V16" s="119">
        <f t="shared" si="10"/>
        <v>1255340.8491891597</v>
      </c>
      <c r="W16" s="119">
        <f t="shared" si="10"/>
        <v>1223957.3279594306</v>
      </c>
      <c r="X16" s="119">
        <f t="shared" si="10"/>
        <v>1193358.3947604448</v>
      </c>
      <c r="Y16" s="119">
        <f t="shared" si="10"/>
        <v>1163524.4348914337</v>
      </c>
      <c r="Z16" s="119">
        <f t="shared" si="10"/>
        <v>1134436.324019148</v>
      </c>
      <c r="AA16" s="119">
        <f t="shared" si="10"/>
        <v>1106075.415918669</v>
      </c>
      <c r="AB16" s="119">
        <f t="shared" si="10"/>
        <v>1078423.5305207025</v>
      </c>
      <c r="AC16" s="119">
        <f t="shared" si="10"/>
        <v>1051462.9422576847</v>
      </c>
      <c r="AD16" s="119">
        <f t="shared" si="10"/>
        <v>1025176.3687012427</v>
      </c>
      <c r="AE16" s="119">
        <f t="shared" si="10"/>
        <v>999546.95948371163</v>
      </c>
      <c r="AF16" s="119">
        <f t="shared" si="10"/>
        <v>974558.28549661895</v>
      </c>
      <c r="AG16" s="119">
        <f t="shared" si="10"/>
        <v>950194.32835920318</v>
      </c>
      <c r="AH16" s="119">
        <f t="shared" si="10"/>
        <v>926439.47015022347</v>
      </c>
      <c r="AI16" s="119">
        <f t="shared" si="10"/>
        <v>903278.48339646787</v>
      </c>
      <c r="AJ16" s="119">
        <f t="shared" si="10"/>
        <v>880696.52131155611</v>
      </c>
      <c r="AK16" s="119">
        <f t="shared" si="10"/>
        <v>858679.10827876709</v>
      </c>
      <c r="AL16" s="119">
        <f t="shared" si="10"/>
        <v>837212.13057179796</v>
      </c>
      <c r="AM16" s="119">
        <f t="shared" si="10"/>
        <v>816281.82730750309</v>
      </c>
      <c r="AN16" s="119">
        <f t="shared" si="10"/>
        <v>795874.78162481554</v>
      </c>
      <c r="AO16" s="119">
        <f t="shared" si="10"/>
        <v>775977.91208419506</v>
      </c>
      <c r="AP16" s="119">
        <f t="shared" si="10"/>
        <v>756578.46428209019</v>
      </c>
      <c r="AQ16" s="119">
        <f t="shared" si="10"/>
        <v>737664.00267503795</v>
      </c>
    </row>
    <row r="17" spans="1:43">
      <c r="A17" s="116" t="s">
        <v>124</v>
      </c>
      <c r="B17" s="117"/>
      <c r="C17" s="117"/>
      <c r="D17" s="117"/>
      <c r="E17" s="117"/>
      <c r="F17" s="117"/>
      <c r="G17" s="117"/>
      <c r="H17" s="117"/>
      <c r="I17" s="117"/>
      <c r="J17" s="117"/>
      <c r="K17" s="117"/>
      <c r="L17" s="117"/>
      <c r="M17" s="13">
        <f>M150</f>
        <v>653</v>
      </c>
      <c r="N17" s="13">
        <f>N150</f>
        <v>668</v>
      </c>
      <c r="O17" s="13">
        <f>O150</f>
        <v>3256</v>
      </c>
      <c r="P17" s="13">
        <f>P150</f>
        <v>2035</v>
      </c>
      <c r="Q17" s="13">
        <f>Q150</f>
        <v>2334</v>
      </c>
      <c r="R17" s="119">
        <f t="shared" ref="R17:AQ17" si="11">R9-R18-R16-R8</f>
        <v>6321.967099371599</v>
      </c>
      <c r="S17" s="119">
        <f t="shared" si="11"/>
        <v>8284.4407207651529</v>
      </c>
      <c r="T17" s="119">
        <f t="shared" si="11"/>
        <v>6650.2186847268604</v>
      </c>
      <c r="U17" s="119">
        <f t="shared" si="11"/>
        <v>5083.1939868391491</v>
      </c>
      <c r="V17" s="119">
        <f t="shared" si="11"/>
        <v>4685.9218294757884</v>
      </c>
      <c r="W17" s="119">
        <f t="shared" si="11"/>
        <v>4057.4276298934128</v>
      </c>
      <c r="X17" s="119">
        <f t="shared" si="11"/>
        <v>4535.991939145606</v>
      </c>
      <c r="Y17" s="119">
        <f t="shared" si="11"/>
        <v>6091.4382945129182</v>
      </c>
      <c r="Z17" s="119">
        <f t="shared" si="11"/>
        <v>7425.1138756121509</v>
      </c>
      <c r="AA17" s="119">
        <f t="shared" si="11"/>
        <v>5969.8706441067625</v>
      </c>
      <c r="AB17" s="119">
        <f t="shared" si="11"/>
        <v>5505.4315703113098</v>
      </c>
      <c r="AC17" s="119">
        <f t="shared" si="11"/>
        <v>6004.5265502841212</v>
      </c>
      <c r="AD17" s="119">
        <f t="shared" si="11"/>
        <v>7440.5672326815547</v>
      </c>
      <c r="AE17" s="119">
        <f t="shared" si="11"/>
        <v>4710.70689801767</v>
      </c>
      <c r="AF17" s="119">
        <f t="shared" si="11"/>
        <v>5405.0546101821819</v>
      </c>
      <c r="AG17" s="119">
        <f t="shared" si="11"/>
        <v>4422.0436295440886</v>
      </c>
      <c r="AH17" s="119">
        <f t="shared" si="11"/>
        <v>9353.0310003436171</v>
      </c>
      <c r="AI17" s="119">
        <f t="shared" si="11"/>
        <v>5043.8206099503441</v>
      </c>
      <c r="AJ17" s="119">
        <f t="shared" si="11"/>
        <v>5333.109710086952</v>
      </c>
      <c r="AK17" s="119">
        <f t="shared" si="11"/>
        <v>6390.9358134880895</v>
      </c>
      <c r="AL17" s="119">
        <f t="shared" si="11"/>
        <v>6926.3547258428298</v>
      </c>
      <c r="AM17" s="119">
        <f t="shared" si="11"/>
        <v>8187.4266269278014</v>
      </c>
      <c r="AN17" s="119">
        <f t="shared" si="11"/>
        <v>5176.5871151004685</v>
      </c>
      <c r="AO17" s="119">
        <f t="shared" si="11"/>
        <v>6658.3262833768968</v>
      </c>
      <c r="AP17" s="119">
        <f t="shared" si="11"/>
        <v>7536.0988955233479</v>
      </c>
      <c r="AQ17" s="119">
        <f t="shared" si="11"/>
        <v>6521.5425769811263</v>
      </c>
    </row>
    <row r="18" spans="1:43">
      <c r="A18" s="116" t="s">
        <v>125</v>
      </c>
      <c r="B18" s="117"/>
      <c r="C18" s="117"/>
      <c r="D18" s="117"/>
      <c r="E18" s="117"/>
      <c r="F18" s="117"/>
      <c r="G18" s="117"/>
      <c r="H18" s="117"/>
      <c r="I18" s="117"/>
      <c r="J18" s="117"/>
      <c r="K18" s="117"/>
      <c r="L18" s="117"/>
      <c r="M18" s="13">
        <f>M9-M16-M8-M17</f>
        <v>1141059.9839999999</v>
      </c>
      <c r="N18" s="13">
        <f>N9-N16-N8-N17</f>
        <v>1206183.9369999995</v>
      </c>
      <c r="O18" s="13">
        <f>O9-O16-O8-O17</f>
        <v>1750402.5009999999</v>
      </c>
      <c r="P18" s="13">
        <f>P9-P16-P8-P17</f>
        <v>2488379.8849999993</v>
      </c>
      <c r="Q18" s="13">
        <f>Q9-Q16-Q8-Q17</f>
        <v>2488913.3850000007</v>
      </c>
      <c r="R18" s="119">
        <v>2500000</v>
      </c>
      <c r="S18" s="119">
        <v>2500000</v>
      </c>
      <c r="T18" s="119">
        <v>2500000</v>
      </c>
      <c r="U18" s="119">
        <v>2500000</v>
      </c>
      <c r="V18" s="119">
        <v>2500000</v>
      </c>
      <c r="W18" s="119">
        <v>2500000</v>
      </c>
      <c r="X18" s="119">
        <v>2500000</v>
      </c>
      <c r="Y18" s="119">
        <v>2500000</v>
      </c>
      <c r="Z18" s="119">
        <v>2500000</v>
      </c>
      <c r="AA18" s="119">
        <v>2500000</v>
      </c>
      <c r="AB18" s="119">
        <v>2500000</v>
      </c>
      <c r="AC18" s="119">
        <v>2500000</v>
      </c>
      <c r="AD18" s="119">
        <v>2500000</v>
      </c>
      <c r="AE18" s="119">
        <v>2500000</v>
      </c>
      <c r="AF18" s="119">
        <v>2500000</v>
      </c>
      <c r="AG18" s="119">
        <v>2500000</v>
      </c>
      <c r="AH18" s="119">
        <v>2500000</v>
      </c>
      <c r="AI18" s="119">
        <v>2500000</v>
      </c>
      <c r="AJ18" s="119">
        <v>2500000</v>
      </c>
      <c r="AK18" s="119">
        <v>2500000</v>
      </c>
      <c r="AL18" s="119">
        <v>2500000</v>
      </c>
      <c r="AM18" s="119">
        <v>2500000</v>
      </c>
      <c r="AN18" s="119">
        <v>2500000</v>
      </c>
      <c r="AO18" s="119">
        <v>2500000</v>
      </c>
      <c r="AP18" s="119">
        <v>2500000</v>
      </c>
      <c r="AQ18" s="119">
        <v>2500000</v>
      </c>
    </row>
    <row r="19" spans="1:43">
      <c r="A19" s="116"/>
      <c r="B19" s="117"/>
      <c r="C19" s="117"/>
      <c r="D19" s="117"/>
      <c r="E19" s="117"/>
      <c r="F19" s="117"/>
      <c r="G19" s="117"/>
      <c r="H19" s="117"/>
      <c r="I19" s="117"/>
      <c r="J19" s="117"/>
      <c r="K19" s="117"/>
      <c r="L19" s="117"/>
      <c r="M19" s="13">
        <f t="shared" ref="M19:Y19" si="12">SUM(M16:M18)</f>
        <v>2764730.9840000002</v>
      </c>
      <c r="N19" s="13">
        <f t="shared" si="12"/>
        <v>2848950.9369999995</v>
      </c>
      <c r="O19" s="13">
        <f t="shared" si="12"/>
        <v>3437241.5010000002</v>
      </c>
      <c r="P19" s="13">
        <f t="shared" si="12"/>
        <v>4203876.8849999998</v>
      </c>
      <c r="Q19" s="13">
        <f t="shared" si="12"/>
        <v>4245576.3850000007</v>
      </c>
      <c r="R19" s="13">
        <f t="shared" si="12"/>
        <v>4009073.1957139634</v>
      </c>
      <c r="S19" s="13">
        <f t="shared" si="12"/>
        <v>3898329.327189263</v>
      </c>
      <c r="T19" s="13">
        <f t="shared" si="12"/>
        <v>3827192.8608297994</v>
      </c>
      <c r="U19" s="13">
        <f t="shared" si="12"/>
        <v>3792612.2700782847</v>
      </c>
      <c r="V19" s="13">
        <f t="shared" si="12"/>
        <v>3760026.7710186355</v>
      </c>
      <c r="W19" s="13">
        <f t="shared" si="12"/>
        <v>3728014.755589324</v>
      </c>
      <c r="X19" s="13">
        <f t="shared" si="12"/>
        <v>3697894.3866995904</v>
      </c>
      <c r="Y19" s="13">
        <f t="shared" si="12"/>
        <v>3669615.8731859466</v>
      </c>
      <c r="Z19" s="119"/>
      <c r="AA19" s="119"/>
      <c r="AB19" s="119"/>
      <c r="AC19" s="119"/>
      <c r="AD19" s="119"/>
      <c r="AE19" s="119"/>
      <c r="AF19" s="119"/>
      <c r="AG19" s="119"/>
      <c r="AH19" s="119"/>
      <c r="AI19" s="119"/>
      <c r="AJ19" s="119"/>
      <c r="AK19" s="119"/>
      <c r="AL19" s="119"/>
      <c r="AM19" s="119"/>
      <c r="AN19" s="119"/>
      <c r="AO19" s="119"/>
      <c r="AP19" s="119"/>
      <c r="AQ19" s="119"/>
    </row>
    <row r="20" spans="1:43">
      <c r="A20" s="116" t="s">
        <v>152</v>
      </c>
      <c r="B20" s="116"/>
      <c r="C20" s="133">
        <f t="shared" ref="C20:AQ20" si="13">C12/B12-1</f>
        <v>1.0340262881950224E-2</v>
      </c>
      <c r="D20" s="133">
        <f t="shared" si="13"/>
        <v>1.5046354400228612E-2</v>
      </c>
      <c r="E20" s="133">
        <f t="shared" si="13"/>
        <v>-1.0430785078129334E-3</v>
      </c>
      <c r="F20" s="133">
        <f t="shared" si="13"/>
        <v>2.0697901496369964E-2</v>
      </c>
      <c r="G20" s="133">
        <f t="shared" si="13"/>
        <v>-5.8439009170258016E-3</v>
      </c>
      <c r="H20" s="133">
        <f t="shared" si="13"/>
        <v>4.5129783418932368E-2</v>
      </c>
      <c r="I20" s="133">
        <f t="shared" si="13"/>
        <v>1.1436165409899113E-2</v>
      </c>
      <c r="J20" s="133">
        <f t="shared" si="13"/>
        <v>-2.6524160556385956E-3</v>
      </c>
      <c r="K20" s="133">
        <f t="shared" si="13"/>
        <v>-3.7827641618594088E-3</v>
      </c>
      <c r="L20" s="133">
        <f t="shared" si="13"/>
        <v>-3.6134890551169585E-2</v>
      </c>
      <c r="M20" s="133">
        <f t="shared" si="13"/>
        <v>-0.13699377910947297</v>
      </c>
      <c r="N20" s="133">
        <f t="shared" si="13"/>
        <v>7.3332107101657718E-2</v>
      </c>
      <c r="O20" s="133">
        <f t="shared" si="13"/>
        <v>4.0976673453045231E-2</v>
      </c>
      <c r="P20" s="133">
        <f t="shared" si="13"/>
        <v>2.7853858148464194E-2</v>
      </c>
      <c r="Q20" s="133">
        <f t="shared" si="13"/>
        <v>-1.8599495737595118E-2</v>
      </c>
      <c r="R20" s="133">
        <f t="shared" si="13"/>
        <v>-9.7017653121573288E-2</v>
      </c>
      <c r="S20" s="133">
        <f t="shared" si="13"/>
        <v>-7.4999999999999845E-2</v>
      </c>
      <c r="T20" s="133">
        <f t="shared" si="13"/>
        <v>-5.0000000000000155E-2</v>
      </c>
      <c r="U20" s="133">
        <f t="shared" si="13"/>
        <v>-2.5000000000000133E-2</v>
      </c>
      <c r="V20" s="133">
        <f t="shared" si="13"/>
        <v>-2.49999999999998E-2</v>
      </c>
      <c r="W20" s="133">
        <f t="shared" si="13"/>
        <v>-2.5000000000000022E-2</v>
      </c>
      <c r="X20" s="133">
        <f t="shared" si="13"/>
        <v>-2.5000000000000133E-2</v>
      </c>
      <c r="Y20" s="133">
        <f t="shared" si="13"/>
        <v>-2.49999999999998E-2</v>
      </c>
      <c r="Z20" s="133">
        <f t="shared" si="13"/>
        <v>-2.5000000000000022E-2</v>
      </c>
      <c r="AA20" s="133">
        <f t="shared" si="13"/>
        <v>-2.5000000000000022E-2</v>
      </c>
      <c r="AB20" s="133">
        <f t="shared" si="13"/>
        <v>-2.4999999999999911E-2</v>
      </c>
      <c r="AC20" s="133">
        <f t="shared" si="13"/>
        <v>-2.5000000000000133E-2</v>
      </c>
      <c r="AD20" s="133">
        <f t="shared" si="13"/>
        <v>-2.4999999999999911E-2</v>
      </c>
      <c r="AE20" s="133">
        <f t="shared" si="13"/>
        <v>-2.5000000000000022E-2</v>
      </c>
      <c r="AF20" s="133">
        <f t="shared" si="13"/>
        <v>-2.5000000000000022E-2</v>
      </c>
      <c r="AG20" s="133">
        <f t="shared" si="13"/>
        <v>-2.5000000000000133E-2</v>
      </c>
      <c r="AH20" s="133">
        <f t="shared" si="13"/>
        <v>-2.49999999999998E-2</v>
      </c>
      <c r="AI20" s="133">
        <f t="shared" si="13"/>
        <v>-2.5000000000000022E-2</v>
      </c>
      <c r="AJ20" s="133">
        <f t="shared" si="13"/>
        <v>-2.4999999999999911E-2</v>
      </c>
      <c r="AK20" s="133">
        <f t="shared" si="13"/>
        <v>-2.5000000000000133E-2</v>
      </c>
      <c r="AL20" s="133">
        <f t="shared" si="13"/>
        <v>-2.5000000000000022E-2</v>
      </c>
      <c r="AM20" s="133">
        <f t="shared" si="13"/>
        <v>-2.4999999999999911E-2</v>
      </c>
      <c r="AN20" s="133">
        <f t="shared" si="13"/>
        <v>-2.5000000000000022E-2</v>
      </c>
      <c r="AO20" s="133">
        <f t="shared" si="13"/>
        <v>-2.4999999999999911E-2</v>
      </c>
      <c r="AP20" s="133">
        <f t="shared" si="13"/>
        <v>-2.5000000000000133E-2</v>
      </c>
      <c r="AQ20" s="133">
        <f t="shared" si="13"/>
        <v>-2.4999999999999911E-2</v>
      </c>
    </row>
    <row r="21" spans="1:43">
      <c r="A21" s="116" t="s">
        <v>153</v>
      </c>
      <c r="B21" s="116"/>
      <c r="C21" s="134">
        <f t="shared" ref="C21:Q21" si="14">C4/C5</f>
        <v>2.7624655685524182</v>
      </c>
      <c r="D21" s="134">
        <f t="shared" si="14"/>
        <v>1.7749482190092227</v>
      </c>
      <c r="E21" s="134">
        <f t="shared" si="14"/>
        <v>1.6375143693955807</v>
      </c>
      <c r="F21" s="134">
        <f t="shared" si="14"/>
        <v>1.6092373111132898</v>
      </c>
      <c r="G21" s="134">
        <f t="shared" si="14"/>
        <v>1.5321580696040025</v>
      </c>
      <c r="H21" s="134">
        <f t="shared" si="14"/>
        <v>1.4281103304693727</v>
      </c>
      <c r="I21" s="134">
        <f t="shared" si="14"/>
        <v>1.4980461045064011</v>
      </c>
      <c r="J21" s="134">
        <f t="shared" si="14"/>
        <v>1.4511745470864084</v>
      </c>
      <c r="K21" s="134">
        <f t="shared" si="14"/>
        <v>1.3573404626455248</v>
      </c>
      <c r="L21" s="134">
        <f t="shared" si="14"/>
        <v>0.94309991490924894</v>
      </c>
      <c r="M21" s="134">
        <f t="shared" si="14"/>
        <v>1.2595013976344738</v>
      </c>
      <c r="N21" s="134">
        <f t="shared" si="14"/>
        <v>1.1856647018826996</v>
      </c>
      <c r="O21" s="134">
        <f t="shared" si="14"/>
        <v>0.88849550515882147</v>
      </c>
      <c r="P21" s="134">
        <f t="shared" si="14"/>
        <v>0.64249554349969018</v>
      </c>
      <c r="Q21" s="134">
        <f t="shared" si="14"/>
        <v>0.64358395078904873</v>
      </c>
      <c r="R21" s="133">
        <v>0.65</v>
      </c>
      <c r="S21" s="133">
        <v>0.65</v>
      </c>
      <c r="T21" s="133">
        <v>0.65</v>
      </c>
      <c r="U21" s="133">
        <v>0.65</v>
      </c>
      <c r="V21" s="133">
        <v>0.65</v>
      </c>
      <c r="W21" s="133">
        <v>0.65</v>
      </c>
      <c r="X21" s="133">
        <v>0.65</v>
      </c>
      <c r="Y21" s="133">
        <v>0.65</v>
      </c>
      <c r="Z21" s="133">
        <v>0.65</v>
      </c>
      <c r="AA21" s="133">
        <v>0.65</v>
      </c>
      <c r="AB21" s="133">
        <v>0.65</v>
      </c>
      <c r="AC21" s="133">
        <v>0.65</v>
      </c>
      <c r="AD21" s="133">
        <v>0.65</v>
      </c>
      <c r="AE21" s="133">
        <v>0.65</v>
      </c>
      <c r="AF21" s="133">
        <v>0.65</v>
      </c>
      <c r="AG21" s="133">
        <v>0.65</v>
      </c>
      <c r="AH21" s="133">
        <v>0.65</v>
      </c>
      <c r="AI21" s="133">
        <v>0.65</v>
      </c>
      <c r="AJ21" s="133">
        <v>0.65</v>
      </c>
      <c r="AK21" s="133">
        <v>0.65</v>
      </c>
      <c r="AL21" s="133">
        <v>0.65</v>
      </c>
      <c r="AM21" s="133">
        <v>0.65</v>
      </c>
      <c r="AN21" s="133">
        <v>0.65</v>
      </c>
      <c r="AO21" s="133">
        <v>0.65</v>
      </c>
      <c r="AP21" s="133">
        <v>0.65</v>
      </c>
      <c r="AQ21" s="133">
        <v>0.65</v>
      </c>
    </row>
    <row r="22" spans="1:43">
      <c r="A22" s="116" t="s">
        <v>154</v>
      </c>
      <c r="B22" s="116"/>
      <c r="C22" s="135">
        <f t="shared" ref="C22:R22" si="15">C4*264.17/1000000</f>
        <v>404.18009999999998</v>
      </c>
      <c r="D22" s="135">
        <f t="shared" si="15"/>
        <v>472.86430000000001</v>
      </c>
      <c r="E22" s="135">
        <f t="shared" si="15"/>
        <v>470.2226</v>
      </c>
      <c r="F22" s="135">
        <f t="shared" si="15"/>
        <v>475.50599999999997</v>
      </c>
      <c r="G22" s="135">
        <f t="shared" si="15"/>
        <v>487.39364999999998</v>
      </c>
      <c r="H22" s="135">
        <f t="shared" si="15"/>
        <v>479.46854999999999</v>
      </c>
      <c r="I22" s="136">
        <f t="shared" si="15"/>
        <v>491.3562</v>
      </c>
      <c r="J22" s="136">
        <f t="shared" si="15"/>
        <v>499.28130000000004</v>
      </c>
      <c r="K22" s="136">
        <f t="shared" si="15"/>
        <v>501.92300000000006</v>
      </c>
      <c r="L22" s="135">
        <f t="shared" si="15"/>
        <v>319.63724655999999</v>
      </c>
      <c r="M22" s="135">
        <f t="shared" si="15"/>
        <v>428.80814076000007</v>
      </c>
      <c r="N22" s="135">
        <f t="shared" si="15"/>
        <v>433.89156407000007</v>
      </c>
      <c r="O22" s="135">
        <f t="shared" si="15"/>
        <v>446.85755601000005</v>
      </c>
      <c r="P22" s="135">
        <f t="shared" si="15"/>
        <v>453.52652766</v>
      </c>
      <c r="Q22" s="135">
        <f t="shared" si="15"/>
        <v>464.26398148000004</v>
      </c>
      <c r="R22" s="135">
        <f t="shared" si="15"/>
        <v>439.90941706311673</v>
      </c>
      <c r="S22" s="135">
        <f>R22*(1+S23)</f>
        <v>462.12473827462219</v>
      </c>
      <c r="T22" s="135">
        <f>S22*(1+T23)</f>
        <v>476.80522695658135</v>
      </c>
      <c r="U22" s="135">
        <f t="shared" ref="U22:AQ22" si="16">T22*(1+U23)</f>
        <v>483.10985732929697</v>
      </c>
      <c r="V22" s="135">
        <f t="shared" si="16"/>
        <v>487.97680049432489</v>
      </c>
      <c r="W22" s="135">
        <f t="shared" si="16"/>
        <v>491.94803879606189</v>
      </c>
      <c r="X22" s="135">
        <f t="shared" si="16"/>
        <v>495.38436999726719</v>
      </c>
      <c r="Y22" s="135">
        <f t="shared" si="16"/>
        <v>514.36159814258929</v>
      </c>
      <c r="Z22" s="135">
        <f t="shared" si="16"/>
        <v>521.92707570145478</v>
      </c>
      <c r="AA22" s="135">
        <f t="shared" si="16"/>
        <v>530.40681407458158</v>
      </c>
      <c r="AB22" s="135">
        <f t="shared" si="16"/>
        <v>539.18247685079382</v>
      </c>
      <c r="AC22" s="135">
        <f t="shared" si="16"/>
        <v>549.70496452827376</v>
      </c>
      <c r="AD22" s="135">
        <f t="shared" si="16"/>
        <v>560.32933826066301</v>
      </c>
      <c r="AE22" s="135">
        <f t="shared" si="16"/>
        <v>569.43078494320434</v>
      </c>
      <c r="AF22" s="135">
        <f t="shared" si="16"/>
        <v>578.71328055263018</v>
      </c>
      <c r="AG22" s="135">
        <f t="shared" si="16"/>
        <v>585.56572052011131</v>
      </c>
      <c r="AH22" s="135">
        <f t="shared" si="16"/>
        <v>598.86103595184238</v>
      </c>
      <c r="AI22" s="135">
        <f t="shared" si="16"/>
        <v>608.36444594619536</v>
      </c>
      <c r="AJ22" s="135">
        <f t="shared" si="16"/>
        <v>621.58330231563173</v>
      </c>
      <c r="AK22" s="135">
        <f t="shared" si="16"/>
        <v>629.32274284739378</v>
      </c>
      <c r="AL22" s="135">
        <f t="shared" si="16"/>
        <v>639.77048369544627</v>
      </c>
      <c r="AM22" s="135">
        <f t="shared" si="16"/>
        <v>652.10980698937703</v>
      </c>
      <c r="AN22" s="135">
        <f t="shared" si="16"/>
        <v>663.01545195489757</v>
      </c>
      <c r="AO22" s="135">
        <f t="shared" si="16"/>
        <v>676.04590700430413</v>
      </c>
      <c r="AP22" s="135">
        <f t="shared" si="16"/>
        <v>684.46347078780502</v>
      </c>
      <c r="AQ22" s="135">
        <f t="shared" si="16"/>
        <v>698.16610863072492</v>
      </c>
    </row>
    <row r="23" spans="1:43">
      <c r="A23" s="116"/>
      <c r="B23" s="116"/>
      <c r="C23" s="133"/>
      <c r="D23" s="133">
        <f t="shared" ref="D23:N23" si="17">D22/C22-1</f>
        <v>0.16993464052287588</v>
      </c>
      <c r="E23" s="133">
        <f t="shared" si="17"/>
        <v>-5.5865921787709993E-3</v>
      </c>
      <c r="F23" s="133">
        <f t="shared" si="17"/>
        <v>1.1235955056179803E-2</v>
      </c>
      <c r="G23" s="133">
        <f t="shared" si="17"/>
        <v>2.4999999999999911E-2</v>
      </c>
      <c r="H23" s="133">
        <f t="shared" si="17"/>
        <v>-1.6260162601625994E-2</v>
      </c>
      <c r="I23" s="133">
        <f t="shared" si="17"/>
        <v>2.4793388429751984E-2</v>
      </c>
      <c r="J23" s="133">
        <f t="shared" si="17"/>
        <v>1.6129032258064502E-2</v>
      </c>
      <c r="K23" s="133">
        <f t="shared" si="17"/>
        <v>5.2910052910053462E-3</v>
      </c>
      <c r="L23" s="133">
        <f>L22/K22-1</f>
        <v>-0.36317473684210533</v>
      </c>
      <c r="M23" s="133">
        <f t="shared" si="17"/>
        <v>0.34154622271002233</v>
      </c>
      <c r="N23" s="133">
        <f t="shared" si="17"/>
        <v>1.1854773328207724E-2</v>
      </c>
      <c r="O23" s="133">
        <f>O22/N22-1</f>
        <v>2.9883023809857079E-2</v>
      </c>
      <c r="P23" s="133">
        <f>P22/O22-1</f>
        <v>1.492415549497994E-2</v>
      </c>
      <c r="Q23" s="133">
        <f>Q22/P22-1</f>
        <v>2.3675470264993503E-2</v>
      </c>
      <c r="R23" s="133">
        <f>R22/Q22-1</f>
        <v>-5.2458440431335629E-2</v>
      </c>
      <c r="S23" s="137">
        <f t="shared" ref="S23:AQ23" si="18">FORECAST(S20,G23:R23,G20:R20)</f>
        <v>5.0499762791661448E-2</v>
      </c>
      <c r="T23" s="137">
        <f t="shared" si="18"/>
        <v>3.176737245612489E-2</v>
      </c>
      <c r="U23" s="137">
        <f t="shared" si="18"/>
        <v>1.3222653646139129E-2</v>
      </c>
      <c r="V23" s="137">
        <f t="shared" si="18"/>
        <v>1.007419552963194E-2</v>
      </c>
      <c r="W23" s="137">
        <f t="shared" si="18"/>
        <v>8.1381702935757402E-3</v>
      </c>
      <c r="X23" s="137">
        <f t="shared" si="18"/>
        <v>6.9851507277374405E-3</v>
      </c>
      <c r="Y23" s="137">
        <f t="shared" si="18"/>
        <v>3.8308088213253058E-2</v>
      </c>
      <c r="Z23" s="137">
        <f t="shared" si="18"/>
        <v>1.4708480544008817E-2</v>
      </c>
      <c r="AA23" s="137">
        <f t="shared" si="18"/>
        <v>1.6246979258031976E-2</v>
      </c>
      <c r="AB23" s="137">
        <f t="shared" si="18"/>
        <v>1.6545154668729963E-2</v>
      </c>
      <c r="AC23" s="137">
        <f t="shared" si="18"/>
        <v>1.9515633629153907E-2</v>
      </c>
      <c r="AD23" s="137">
        <f t="shared" si="18"/>
        <v>1.9327410916702398E-2</v>
      </c>
      <c r="AE23" s="137">
        <f t="shared" si="18"/>
        <v>1.6243030769713954E-2</v>
      </c>
      <c r="AF23" s="137">
        <f t="shared" si="18"/>
        <v>1.6301358926970794E-2</v>
      </c>
      <c r="AG23" s="137">
        <f t="shared" si="18"/>
        <v>1.18408203125E-2</v>
      </c>
      <c r="AH23" s="137">
        <f t="shared" si="18"/>
        <v>2.2705078125E-2</v>
      </c>
      <c r="AI23" s="137">
        <f t="shared" si="18"/>
        <v>1.5869140625E-2</v>
      </c>
      <c r="AJ23" s="137">
        <f t="shared" si="18"/>
        <v>2.1728515625E-2</v>
      </c>
      <c r="AK23" s="137">
        <f t="shared" si="18"/>
        <v>1.2451171875E-2</v>
      </c>
      <c r="AL23" s="137">
        <f t="shared" si="18"/>
        <v>1.66015625E-2</v>
      </c>
      <c r="AM23" s="137">
        <f t="shared" si="18"/>
        <v>1.9287109375E-2</v>
      </c>
      <c r="AN23" s="137">
        <f t="shared" si="18"/>
        <v>1.67236328125E-2</v>
      </c>
      <c r="AO23" s="137">
        <f t="shared" si="18"/>
        <v>1.96533203125E-2</v>
      </c>
      <c r="AP23" s="137">
        <f t="shared" si="18"/>
        <v>1.2451171875E-2</v>
      </c>
      <c r="AQ23" s="137">
        <f t="shared" si="18"/>
        <v>2.001953125E-2</v>
      </c>
    </row>
    <row r="24" spans="1:43" ht="12" thickBot="1">
      <c r="A24" s="138" t="s">
        <v>128</v>
      </c>
      <c r="B24" s="138"/>
      <c r="C24" s="138"/>
      <c r="D24" s="138"/>
      <c r="E24" s="138"/>
      <c r="F24" s="138"/>
      <c r="G24" s="138"/>
      <c r="H24" s="138"/>
      <c r="I24" s="138"/>
      <c r="J24" s="138"/>
      <c r="K24" s="138"/>
      <c r="L24" s="138"/>
    </row>
    <row r="25" spans="1:43" ht="12" thickBot="1">
      <c r="A25" s="139"/>
      <c r="B25" s="140">
        <f t="shared" ref="B25:AQ25" si="19">B2</f>
        <v>2009</v>
      </c>
      <c r="C25" s="140">
        <f t="shared" si="19"/>
        <v>2010</v>
      </c>
      <c r="D25" s="140">
        <f t="shared" si="19"/>
        <v>2011</v>
      </c>
      <c r="E25" s="140">
        <f t="shared" si="19"/>
        <v>2012</v>
      </c>
      <c r="F25" s="140">
        <f t="shared" si="19"/>
        <v>2013</v>
      </c>
      <c r="G25" s="140">
        <f t="shared" si="19"/>
        <v>2014</v>
      </c>
      <c r="H25" s="140">
        <f t="shared" si="19"/>
        <v>2015</v>
      </c>
      <c r="I25" s="140">
        <f t="shared" si="19"/>
        <v>2016</v>
      </c>
      <c r="J25" s="140">
        <f t="shared" si="19"/>
        <v>2017</v>
      </c>
      <c r="K25" s="140">
        <f t="shared" si="19"/>
        <v>2018</v>
      </c>
      <c r="L25" s="140">
        <f t="shared" si="19"/>
        <v>2019</v>
      </c>
      <c r="M25" s="140">
        <f t="shared" si="19"/>
        <v>2020</v>
      </c>
      <c r="N25" s="140">
        <f t="shared" si="19"/>
        <v>2021</v>
      </c>
      <c r="O25" s="140">
        <f t="shared" si="19"/>
        <v>2022</v>
      </c>
      <c r="P25" s="140">
        <f t="shared" si="19"/>
        <v>2023</v>
      </c>
      <c r="Q25" s="140">
        <f t="shared" si="19"/>
        <v>2024</v>
      </c>
      <c r="R25" s="140">
        <f t="shared" si="19"/>
        <v>2025</v>
      </c>
      <c r="S25" s="140">
        <f t="shared" si="19"/>
        <v>2026</v>
      </c>
      <c r="T25" s="140">
        <f t="shared" si="19"/>
        <v>2027</v>
      </c>
      <c r="U25" s="140">
        <f t="shared" si="19"/>
        <v>2028</v>
      </c>
      <c r="V25" s="140">
        <f t="shared" si="19"/>
        <v>2029</v>
      </c>
      <c r="W25" s="140">
        <f t="shared" si="19"/>
        <v>2030</v>
      </c>
      <c r="X25" s="140">
        <f t="shared" si="19"/>
        <v>2031</v>
      </c>
      <c r="Y25" s="140">
        <f t="shared" si="19"/>
        <v>2032</v>
      </c>
      <c r="Z25" s="140">
        <f t="shared" si="19"/>
        <v>2033</v>
      </c>
      <c r="AA25" s="140">
        <f t="shared" si="19"/>
        <v>2034</v>
      </c>
      <c r="AB25" s="140">
        <f t="shared" si="19"/>
        <v>2035</v>
      </c>
      <c r="AC25" s="140">
        <f t="shared" si="19"/>
        <v>2036</v>
      </c>
      <c r="AD25" s="140">
        <f t="shared" si="19"/>
        <v>2037</v>
      </c>
      <c r="AE25" s="140">
        <f t="shared" si="19"/>
        <v>2038</v>
      </c>
      <c r="AF25" s="140">
        <f t="shared" si="19"/>
        <v>2039</v>
      </c>
      <c r="AG25" s="140">
        <f t="shared" si="19"/>
        <v>2040</v>
      </c>
      <c r="AH25" s="140">
        <f t="shared" si="19"/>
        <v>2041</v>
      </c>
      <c r="AI25" s="140">
        <f t="shared" si="19"/>
        <v>2042</v>
      </c>
      <c r="AJ25" s="140">
        <f t="shared" si="19"/>
        <v>2043</v>
      </c>
      <c r="AK25" s="140">
        <f t="shared" si="19"/>
        <v>2044</v>
      </c>
      <c r="AL25" s="140">
        <f t="shared" si="19"/>
        <v>2045</v>
      </c>
      <c r="AM25" s="140">
        <f t="shared" si="19"/>
        <v>2046</v>
      </c>
      <c r="AN25" s="140">
        <f t="shared" si="19"/>
        <v>2047</v>
      </c>
      <c r="AO25" s="140">
        <f t="shared" si="19"/>
        <v>2048</v>
      </c>
      <c r="AP25" s="140">
        <f t="shared" si="19"/>
        <v>2049</v>
      </c>
      <c r="AQ25" s="140">
        <f t="shared" si="19"/>
        <v>2050</v>
      </c>
    </row>
    <row r="26" spans="1:43">
      <c r="A26" s="138" t="s">
        <v>129</v>
      </c>
      <c r="L26" s="13">
        <v>76891</v>
      </c>
      <c r="M26" s="13">
        <f>Data!$C3</f>
        <v>158166</v>
      </c>
      <c r="N26" s="13">
        <f>Data!$C15</f>
        <v>116631</v>
      </c>
      <c r="O26" s="13">
        <f>Data!$C27</f>
        <v>139729</v>
      </c>
      <c r="P26" s="13">
        <f>Data!$C39</f>
        <v>149788</v>
      </c>
      <c r="Q26" s="13">
        <f>Data!$C51</f>
        <v>148957</v>
      </c>
      <c r="R26" s="13">
        <f>Data!$C63</f>
        <v>141528</v>
      </c>
      <c r="S26" s="119">
        <f t="shared" ref="S26:AH36" si="20">S$38*(SUM(O26:R26)/SUM(O$38:R$38))</f>
        <v>137128.22793053769</v>
      </c>
      <c r="T26" s="119">
        <f t="shared" si="20"/>
        <v>135323.94811717243</v>
      </c>
      <c r="U26" s="119">
        <f t="shared" si="20"/>
        <v>133280.37240071385</v>
      </c>
      <c r="V26" s="119">
        <f t="shared" si="20"/>
        <v>132145.23401917054</v>
      </c>
      <c r="W26" s="119">
        <f t="shared" si="20"/>
        <v>130965.8286096135</v>
      </c>
      <c r="X26" s="119">
        <f t="shared" si="20"/>
        <v>129895.47670865746</v>
      </c>
      <c r="Y26" s="119">
        <f t="shared" si="20"/>
        <v>128686.7922480752</v>
      </c>
      <c r="Z26" s="119">
        <f t="shared" si="20"/>
        <v>127647.3280586569</v>
      </c>
      <c r="AA26" s="119">
        <f t="shared" si="20"/>
        <v>126521.7592072822</v>
      </c>
      <c r="AB26" s="119">
        <f t="shared" si="20"/>
        <v>125448.42501350082</v>
      </c>
      <c r="AC26" s="119">
        <f t="shared" si="20"/>
        <v>124413.48478560692</v>
      </c>
      <c r="AD26" s="119">
        <f t="shared" si="20"/>
        <v>123460.24959380446</v>
      </c>
      <c r="AE26" s="119">
        <f t="shared" si="20"/>
        <v>122386.67765908595</v>
      </c>
      <c r="AF26" s="119">
        <f t="shared" si="20"/>
        <v>121450.27279235219</v>
      </c>
      <c r="AG26" s="119">
        <f t="shared" si="20"/>
        <v>120480.77362608977</v>
      </c>
      <c r="AH26" s="119">
        <f t="shared" si="20"/>
        <v>119736.98847523249</v>
      </c>
      <c r="AI26" s="119">
        <f t="shared" ref="S26:AI36" si="21">AI$38*(SUM(AE26:AH26)/SUM(AE$38:AH$38))</f>
        <v>118701.73170746429</v>
      </c>
      <c r="AJ26" s="119">
        <f t="shared" ref="AJ26:AJ36" si="22">AJ$38*(SUM(AF26:AI26)/SUM(AF$38:AI$38))</f>
        <v>117843.08875511536</v>
      </c>
      <c r="AK26" s="119">
        <f t="shared" ref="AK26:AQ36" si="23">AK$38*(SUM(AG26:AJ26)/SUM(AG$38:AJ$38))</f>
        <v>117032.6479162476</v>
      </c>
      <c r="AL26" s="119">
        <f t="shared" si="23"/>
        <v>116226.95587535349</v>
      </c>
      <c r="AM26" s="119">
        <f t="shared" si="23"/>
        <v>115466.6390162809</v>
      </c>
      <c r="AN26" s="119">
        <f t="shared" si="23"/>
        <v>114580.57476012617</v>
      </c>
      <c r="AO26" s="119">
        <f t="shared" si="23"/>
        <v>113865.70870884314</v>
      </c>
      <c r="AP26" s="119">
        <f t="shared" si="23"/>
        <v>113150.66685689232</v>
      </c>
      <c r="AQ26" s="119">
        <f t="shared" si="23"/>
        <v>112391.72204497762</v>
      </c>
    </row>
    <row r="27" spans="1:43">
      <c r="A27" s="138" t="s">
        <v>130</v>
      </c>
      <c r="L27" s="13">
        <v>62850</v>
      </c>
      <c r="M27" s="13">
        <f>Data!$C4</f>
        <v>149497</v>
      </c>
      <c r="N27" s="13">
        <f>Data!$C16</f>
        <v>108904</v>
      </c>
      <c r="O27" s="13">
        <f>Data!$C28</f>
        <v>128540</v>
      </c>
      <c r="P27" s="13">
        <f>Data!$C40</f>
        <v>132431</v>
      </c>
      <c r="Q27" s="13">
        <f>Data!$C52</f>
        <v>142598</v>
      </c>
      <c r="R27" s="13">
        <f>Data!$C64</f>
        <v>139170</v>
      </c>
      <c r="S27" s="119">
        <f t="shared" si="21"/>
        <v>128318.24252121904</v>
      </c>
      <c r="T27" s="119">
        <f t="shared" si="21"/>
        <v>127148.28377269214</v>
      </c>
      <c r="U27" s="119">
        <f t="shared" si="21"/>
        <v>127195.04196486945</v>
      </c>
      <c r="V27" s="119">
        <f t="shared" si="21"/>
        <v>126004.98044606658</v>
      </c>
      <c r="W27" s="119">
        <f t="shared" si="21"/>
        <v>123853.29569015274</v>
      </c>
      <c r="X27" s="119">
        <f t="shared" si="21"/>
        <v>123173.9940361995</v>
      </c>
      <c r="Y27" s="119">
        <f t="shared" si="21"/>
        <v>122314.74269656879</v>
      </c>
      <c r="Z27" s="119">
        <f t="shared" si="21"/>
        <v>121200.94090985844</v>
      </c>
      <c r="AA27" s="119">
        <f t="shared" si="21"/>
        <v>120001.757319939</v>
      </c>
      <c r="AB27" s="119">
        <f t="shared" si="21"/>
        <v>119072.67185676721</v>
      </c>
      <c r="AC27" s="119">
        <f t="shared" si="21"/>
        <v>118119.63251076231</v>
      </c>
      <c r="AD27" s="119">
        <f t="shared" si="21"/>
        <v>117180.82175305675</v>
      </c>
      <c r="AE27" s="119">
        <f t="shared" si="21"/>
        <v>116150.58979168994</v>
      </c>
      <c r="AF27" s="119">
        <f t="shared" si="21"/>
        <v>115279.83643112423</v>
      </c>
      <c r="AG27" s="119">
        <f t="shared" si="21"/>
        <v>114360.12942358512</v>
      </c>
      <c r="AH27" s="119">
        <f t="shared" si="21"/>
        <v>113647.60500110952</v>
      </c>
      <c r="AI27" s="119">
        <f t="shared" si="21"/>
        <v>112665.16752567969</v>
      </c>
      <c r="AJ27" s="119">
        <f t="shared" si="22"/>
        <v>111853.16552580362</v>
      </c>
      <c r="AK27" s="119">
        <f t="shared" si="23"/>
        <v>111083.22226768965</v>
      </c>
      <c r="AL27" s="119">
        <f t="shared" si="23"/>
        <v>110317.48888600893</v>
      </c>
      <c r="AM27" s="119">
        <f t="shared" si="23"/>
        <v>109596.18651838729</v>
      </c>
      <c r="AN27" s="119">
        <f t="shared" si="23"/>
        <v>108755.57251863877</v>
      </c>
      <c r="AO27" s="119">
        <f t="shared" si="23"/>
        <v>108076.81816031376</v>
      </c>
      <c r="AP27" s="119">
        <f t="shared" si="23"/>
        <v>107398.01297058444</v>
      </c>
      <c r="AQ27" s="119">
        <f t="shared" si="23"/>
        <v>106677.75485693911</v>
      </c>
    </row>
    <row r="28" spans="1:43">
      <c r="A28" s="138" t="s">
        <v>131</v>
      </c>
      <c r="L28" s="13">
        <v>84270</v>
      </c>
      <c r="M28" s="13">
        <f>Data!$C5</f>
        <v>147191</v>
      </c>
      <c r="N28" s="13">
        <f>Data!$C17</f>
        <v>137014</v>
      </c>
      <c r="O28" s="13">
        <f>Data!$C29</f>
        <v>147011</v>
      </c>
      <c r="P28" s="13">
        <f>Data!$C41</f>
        <v>155281</v>
      </c>
      <c r="Q28" s="13">
        <f>Data!$C53</f>
        <v>153372</v>
      </c>
      <c r="R28" s="119">
        <f t="shared" ref="R28:AG38" si="24">R$38*(SUM(N28:Q28)/SUM(N$38:Q$38))</f>
        <v>144964.6308873418</v>
      </c>
      <c r="S28" s="119">
        <f t="shared" si="24"/>
        <v>142004.9237725494</v>
      </c>
      <c r="T28" s="119">
        <f t="shared" si="24"/>
        <v>139594.43067535243</v>
      </c>
      <c r="U28" s="119">
        <f t="shared" si="24"/>
        <v>137304.99136107037</v>
      </c>
      <c r="V28" s="119">
        <f t="shared" si="24"/>
        <v>136155.61745304029</v>
      </c>
      <c r="W28" s="119">
        <f t="shared" si="24"/>
        <v>135149.45287968029</v>
      </c>
      <c r="X28" s="119">
        <f t="shared" si="24"/>
        <v>133923.68572957919</v>
      </c>
      <c r="Y28" s="119">
        <f t="shared" si="24"/>
        <v>132659.44123835082</v>
      </c>
      <c r="Z28" s="119">
        <f t="shared" si="24"/>
        <v>131609.86929053909</v>
      </c>
      <c r="AA28" s="119">
        <f t="shared" si="24"/>
        <v>130471.8131320164</v>
      </c>
      <c r="AB28" s="119">
        <f t="shared" si="24"/>
        <v>129341.76944292327</v>
      </c>
      <c r="AC28" s="119">
        <f t="shared" si="24"/>
        <v>128275.48078346174</v>
      </c>
      <c r="AD28" s="119">
        <f t="shared" si="24"/>
        <v>127298.04379509548</v>
      </c>
      <c r="AE28" s="119">
        <f t="shared" si="24"/>
        <v>126192.42408608006</v>
      </c>
      <c r="AF28" s="119">
        <f t="shared" si="24"/>
        <v>125223.04859360112</v>
      </c>
      <c r="AG28" s="119">
        <f t="shared" si="24"/>
        <v>124224.32233824789</v>
      </c>
      <c r="AH28" s="119">
        <f t="shared" si="21"/>
        <v>123458.34674833067</v>
      </c>
      <c r="AI28" s="119">
        <f t="shared" si="21"/>
        <v>122390.73845020188</v>
      </c>
      <c r="AJ28" s="119">
        <f t="shared" si="22"/>
        <v>121504.8662467766</v>
      </c>
      <c r="AK28" s="119">
        <f t="shared" si="23"/>
        <v>120669.50961126821</v>
      </c>
      <c r="AL28" s="119">
        <f t="shared" si="23"/>
        <v>119838.8945297934</v>
      </c>
      <c r="AM28" s="119">
        <f t="shared" si="23"/>
        <v>119054.86610802938</v>
      </c>
      <c r="AN28" s="119">
        <f t="shared" si="23"/>
        <v>118141.20613934257</v>
      </c>
      <c r="AO28" s="119">
        <f t="shared" si="23"/>
        <v>117404.18378231909</v>
      </c>
      <c r="AP28" s="119">
        <f t="shared" si="23"/>
        <v>116666.92845681304</v>
      </c>
      <c r="AQ28" s="119">
        <f t="shared" si="23"/>
        <v>115884.37942291958</v>
      </c>
    </row>
    <row r="29" spans="1:43">
      <c r="A29" s="138" t="s">
        <v>132</v>
      </c>
      <c r="L29" s="13">
        <v>119100</v>
      </c>
      <c r="M29" s="13">
        <f>Data!$C6</f>
        <v>85451</v>
      </c>
      <c r="N29" s="13">
        <f>Data!$C18</f>
        <v>130068</v>
      </c>
      <c r="O29" s="13">
        <f>Data!$C30</f>
        <v>134215</v>
      </c>
      <c r="P29" s="13">
        <f>Data!$C42</f>
        <v>134197</v>
      </c>
      <c r="Q29" s="13">
        <f>Data!$C54</f>
        <v>140027</v>
      </c>
      <c r="R29" s="119">
        <f t="shared" si="24"/>
        <v>131714.80717227529</v>
      </c>
      <c r="S29" s="119">
        <f t="shared" si="24"/>
        <v>127707.03271276213</v>
      </c>
      <c r="T29" s="119">
        <f t="shared" si="24"/>
        <v>125069.11737679105</v>
      </c>
      <c r="U29" s="119">
        <f t="shared" si="24"/>
        <v>124184.28138914274</v>
      </c>
      <c r="V29" s="119">
        <f t="shared" si="24"/>
        <v>122828.16410184739</v>
      </c>
      <c r="W29" s="119">
        <f t="shared" si="24"/>
        <v>121691.63643375499</v>
      </c>
      <c r="X29" s="119">
        <f t="shared" si="24"/>
        <v>120626.38611217245</v>
      </c>
      <c r="Y29" s="119">
        <f t="shared" si="24"/>
        <v>119650.26466827661</v>
      </c>
      <c r="Z29" s="119">
        <f t="shared" si="24"/>
        <v>118619.44156874613</v>
      </c>
      <c r="AA29" s="119">
        <f t="shared" si="24"/>
        <v>117566.4011830184</v>
      </c>
      <c r="AB29" s="119">
        <f t="shared" si="24"/>
        <v>116570.08541517079</v>
      </c>
      <c r="AC29" s="119">
        <f t="shared" si="24"/>
        <v>115626.99776772918</v>
      </c>
      <c r="AD29" s="119">
        <f t="shared" si="24"/>
        <v>114728.40614583746</v>
      </c>
      <c r="AE29" s="119">
        <f t="shared" si="24"/>
        <v>113730.74106517617</v>
      </c>
      <c r="AF29" s="119">
        <f t="shared" si="24"/>
        <v>112862.27047626508</v>
      </c>
      <c r="AG29" s="119">
        <f t="shared" si="24"/>
        <v>111963.19360067161</v>
      </c>
      <c r="AH29" s="119">
        <f t="shared" si="21"/>
        <v>111269.75223845658</v>
      </c>
      <c r="AI29" s="119">
        <f t="shared" si="21"/>
        <v>110308.02659982724</v>
      </c>
      <c r="AJ29" s="119">
        <f t="shared" si="22"/>
        <v>109510.50759842916</v>
      </c>
      <c r="AK29" s="119">
        <f t="shared" si="23"/>
        <v>108757.4607745939</v>
      </c>
      <c r="AL29" s="119">
        <f t="shared" si="23"/>
        <v>108008.38958707998</v>
      </c>
      <c r="AM29" s="119">
        <f t="shared" si="23"/>
        <v>107301.95147087962</v>
      </c>
      <c r="AN29" s="119">
        <f t="shared" si="23"/>
        <v>106478.60572339817</v>
      </c>
      <c r="AO29" s="119">
        <f t="shared" si="23"/>
        <v>105814.26814684983</v>
      </c>
      <c r="AP29" s="119">
        <f t="shared" si="23"/>
        <v>105149.74075200751</v>
      </c>
      <c r="AQ29" s="119">
        <f t="shared" si="23"/>
        <v>104444.48940061897</v>
      </c>
    </row>
    <row r="30" spans="1:43">
      <c r="A30" s="138" t="s">
        <v>133</v>
      </c>
      <c r="L30" s="13">
        <v>82226</v>
      </c>
      <c r="M30" s="13">
        <f>Data!$C7</f>
        <v>88331</v>
      </c>
      <c r="N30" s="13">
        <f>Data!$C19</f>
        <v>143350</v>
      </c>
      <c r="O30" s="13">
        <f>Data!$C31</f>
        <v>143661</v>
      </c>
      <c r="P30" s="13">
        <f>Data!$C43</f>
        <v>131166</v>
      </c>
      <c r="Q30" s="13">
        <f>Data!$C55</f>
        <v>144909</v>
      </c>
      <c r="R30" s="119">
        <f t="shared" si="24"/>
        <v>137726.64777135264</v>
      </c>
      <c r="S30" s="119">
        <f t="shared" si="24"/>
        <v>131799.31280642323</v>
      </c>
      <c r="T30" s="119">
        <f t="shared" si="24"/>
        <v>127871.0063477534</v>
      </c>
      <c r="U30" s="119">
        <f t="shared" si="24"/>
        <v>128395.7505425756</v>
      </c>
      <c r="V30" s="119">
        <f t="shared" si="24"/>
        <v>126961.46632968279</v>
      </c>
      <c r="W30" s="119">
        <f t="shared" si="24"/>
        <v>125402.10845487627</v>
      </c>
      <c r="X30" s="119">
        <f t="shared" si="24"/>
        <v>124255.911142536</v>
      </c>
      <c r="Y30" s="119">
        <f t="shared" si="24"/>
        <v>123485.47791745028</v>
      </c>
      <c r="Z30" s="119">
        <f t="shared" si="24"/>
        <v>122365.11091605388</v>
      </c>
      <c r="AA30" s="119">
        <f t="shared" si="24"/>
        <v>121216.5029597298</v>
      </c>
      <c r="AB30" s="119">
        <f t="shared" si="24"/>
        <v>120205.81933756902</v>
      </c>
      <c r="AC30" s="119">
        <f t="shared" si="24"/>
        <v>119265.80273948661</v>
      </c>
      <c r="AD30" s="119">
        <f t="shared" si="24"/>
        <v>118321.83620670457</v>
      </c>
      <c r="AE30" s="119">
        <f t="shared" si="24"/>
        <v>117285.48761056281</v>
      </c>
      <c r="AF30" s="119">
        <f t="shared" si="24"/>
        <v>116395.882550539</v>
      </c>
      <c r="AG30" s="119">
        <f t="shared" si="24"/>
        <v>115472.07851051593</v>
      </c>
      <c r="AH30" s="119">
        <f t="shared" si="21"/>
        <v>114753.19883067817</v>
      </c>
      <c r="AI30" s="119">
        <f t="shared" si="21"/>
        <v>113760.94681264914</v>
      </c>
      <c r="AJ30" s="119">
        <f t="shared" si="22"/>
        <v>112939.7668914472</v>
      </c>
      <c r="AK30" s="119">
        <f t="shared" si="23"/>
        <v>112163.28753445861</v>
      </c>
      <c r="AL30" s="119">
        <f t="shared" si="23"/>
        <v>111390.10341491525</v>
      </c>
      <c r="AM30" s="119">
        <f t="shared" si="23"/>
        <v>110661.64021370083</v>
      </c>
      <c r="AN30" s="119">
        <f t="shared" si="23"/>
        <v>109812.7337178341</v>
      </c>
      <c r="AO30" s="119">
        <f t="shared" si="23"/>
        <v>109127.54619059039</v>
      </c>
      <c r="AP30" s="119">
        <f t="shared" si="23"/>
        <v>108442.11486204174</v>
      </c>
      <c r="AQ30" s="119">
        <f t="shared" si="23"/>
        <v>107714.82255732063</v>
      </c>
    </row>
    <row r="31" spans="1:43">
      <c r="A31" s="138" t="s">
        <v>134</v>
      </c>
      <c r="L31" s="13">
        <v>106400</v>
      </c>
      <c r="M31" s="13">
        <f>Data!$C8</f>
        <v>129908</v>
      </c>
      <c r="N31" s="13">
        <f>Data!$C20</f>
        <v>134140</v>
      </c>
      <c r="O31" s="13">
        <f>Data!$C32</f>
        <v>138122</v>
      </c>
      <c r="P31" s="13">
        <f>Data!$C44</f>
        <v>138214</v>
      </c>
      <c r="Q31" s="13">
        <f>Data!$C56</f>
        <v>142682</v>
      </c>
      <c r="R31" s="119">
        <f t="shared" si="24"/>
        <v>135298.33280867556</v>
      </c>
      <c r="S31" s="119">
        <f t="shared" si="24"/>
        <v>131055.43848298427</v>
      </c>
      <c r="T31" s="119">
        <f t="shared" si="24"/>
        <v>128257.43360960799</v>
      </c>
      <c r="U31" s="119">
        <f t="shared" si="24"/>
        <v>127208.93464592376</v>
      </c>
      <c r="V31" s="119">
        <f t="shared" si="24"/>
        <v>126002.22079205578</v>
      </c>
      <c r="W31" s="119">
        <f t="shared" si="24"/>
        <v>124792.5386319924</v>
      </c>
      <c r="X31" s="119">
        <f t="shared" si="24"/>
        <v>123677.12615315057</v>
      </c>
      <c r="Y31" s="119">
        <f t="shared" si="24"/>
        <v>122670.15205389995</v>
      </c>
      <c r="Z31" s="119">
        <f t="shared" si="24"/>
        <v>121640.14551687584</v>
      </c>
      <c r="AA31" s="119">
        <f t="shared" si="24"/>
        <v>120548.99299239866</v>
      </c>
      <c r="AB31" s="119">
        <f t="shared" si="24"/>
        <v>119524.06033654186</v>
      </c>
      <c r="AC31" s="119">
        <f t="shared" si="24"/>
        <v>118558.54872915208</v>
      </c>
      <c r="AD31" s="119">
        <f t="shared" si="24"/>
        <v>117640.52245541976</v>
      </c>
      <c r="AE31" s="119">
        <f t="shared" si="24"/>
        <v>116615.12886679066</v>
      </c>
      <c r="AF31" s="119">
        <f t="shared" si="24"/>
        <v>115724.40571269987</v>
      </c>
      <c r="AG31" s="119">
        <f t="shared" si="24"/>
        <v>114803.06496809747</v>
      </c>
      <c r="AH31" s="119">
        <f t="shared" si="21"/>
        <v>114092.3418576813</v>
      </c>
      <c r="AI31" s="119">
        <f t="shared" si="21"/>
        <v>113105.78091485637</v>
      </c>
      <c r="AJ31" s="119">
        <f t="shared" si="22"/>
        <v>112288.07782067719</v>
      </c>
      <c r="AK31" s="119">
        <f t="shared" si="23"/>
        <v>111516.04092471267</v>
      </c>
      <c r="AL31" s="119">
        <f t="shared" si="23"/>
        <v>110747.97497840271</v>
      </c>
      <c r="AM31" s="119">
        <f t="shared" si="23"/>
        <v>110023.54925829847</v>
      </c>
      <c r="AN31" s="119">
        <f t="shared" si="23"/>
        <v>109179.34217106304</v>
      </c>
      <c r="AO31" s="119">
        <f t="shared" si="23"/>
        <v>108498.17090708989</v>
      </c>
      <c r="AP31" s="119">
        <f t="shared" si="23"/>
        <v>107816.78200049221</v>
      </c>
      <c r="AQ31" s="119">
        <f t="shared" si="23"/>
        <v>107093.63346312038</v>
      </c>
    </row>
    <row r="32" spans="1:43">
      <c r="A32" s="138" t="s">
        <v>135</v>
      </c>
      <c r="L32" s="13">
        <v>126724</v>
      </c>
      <c r="M32" s="13">
        <f>Data!$C9</f>
        <v>150008</v>
      </c>
      <c r="N32" s="13">
        <f>Data!$C21</f>
        <v>155200</v>
      </c>
      <c r="O32" s="13">
        <f>Data!$C33</f>
        <v>148829</v>
      </c>
      <c r="P32" s="13">
        <f>Data!$C45</f>
        <v>153288</v>
      </c>
      <c r="Q32" s="13">
        <f>Data!$C57</f>
        <v>154666</v>
      </c>
      <c r="R32" s="119">
        <f t="shared" si="24"/>
        <v>149686.49031063766</v>
      </c>
      <c r="S32" s="119">
        <f t="shared" si="24"/>
        <v>143385.86160088089</v>
      </c>
      <c r="T32" s="119">
        <f t="shared" si="24"/>
        <v>140860.90387205113</v>
      </c>
      <c r="U32" s="119">
        <f t="shared" si="24"/>
        <v>139356.09752475913</v>
      </c>
      <c r="V32" s="119">
        <f t="shared" si="24"/>
        <v>138430.32531472115</v>
      </c>
      <c r="W32" s="119">
        <f t="shared" si="24"/>
        <v>136847.33709534211</v>
      </c>
      <c r="X32" s="119">
        <f t="shared" si="24"/>
        <v>135704.63908208089</v>
      </c>
      <c r="Y32" s="119">
        <f t="shared" si="24"/>
        <v>134567.82154533689</v>
      </c>
      <c r="Z32" s="119">
        <f t="shared" si="24"/>
        <v>133484.58052197818</v>
      </c>
      <c r="AA32" s="119">
        <f t="shared" si="24"/>
        <v>132248.30225060027</v>
      </c>
      <c r="AB32" s="119">
        <f t="shared" si="24"/>
        <v>131137.68557083939</v>
      </c>
      <c r="AC32" s="119">
        <f t="shared" si="24"/>
        <v>130075.82553598656</v>
      </c>
      <c r="AD32" s="119">
        <f t="shared" si="24"/>
        <v>129073.2786073287</v>
      </c>
      <c r="AE32" s="119">
        <f t="shared" si="24"/>
        <v>127942.60665398525</v>
      </c>
      <c r="AF32" s="119">
        <f t="shared" si="24"/>
        <v>126967.8828649256</v>
      </c>
      <c r="AG32" s="119">
        <f t="shared" si="24"/>
        <v>125956.78606342265</v>
      </c>
      <c r="AH32" s="119">
        <f t="shared" si="21"/>
        <v>125177.33386051374</v>
      </c>
      <c r="AI32" s="119">
        <f t="shared" si="21"/>
        <v>124094.17758854304</v>
      </c>
      <c r="AJ32" s="119">
        <f t="shared" si="22"/>
        <v>123197.48904146411</v>
      </c>
      <c r="AK32" s="119">
        <f t="shared" si="23"/>
        <v>122350.39351547274</v>
      </c>
      <c r="AL32" s="119">
        <f t="shared" si="23"/>
        <v>121507.701783841</v>
      </c>
      <c r="AM32" s="119">
        <f t="shared" si="23"/>
        <v>120712.81013084357</v>
      </c>
      <c r="AN32" s="119">
        <f t="shared" si="23"/>
        <v>119786.66236196042</v>
      </c>
      <c r="AO32" s="119">
        <f t="shared" si="23"/>
        <v>119039.2967119362</v>
      </c>
      <c r="AP32" s="119">
        <f t="shared" si="23"/>
        <v>118291.7011571343</v>
      </c>
      <c r="AQ32" s="119">
        <f t="shared" si="23"/>
        <v>117498.28833845601</v>
      </c>
    </row>
    <row r="33" spans="1:43">
      <c r="A33" s="138" t="s">
        <v>136</v>
      </c>
      <c r="L33" s="13">
        <v>113403</v>
      </c>
      <c r="M33" s="13">
        <f>Data!$C10</f>
        <v>146424</v>
      </c>
      <c r="N33" s="13">
        <f>Data!$C22</f>
        <v>148267</v>
      </c>
      <c r="O33" s="13">
        <f>Data!$C34</f>
        <v>147066</v>
      </c>
      <c r="P33" s="13">
        <f>Data!$C46</f>
        <v>151728</v>
      </c>
      <c r="Q33" s="13">
        <f>Data!$C58</f>
        <v>160518</v>
      </c>
      <c r="R33" s="119">
        <f t="shared" si="24"/>
        <v>148609.30466442188</v>
      </c>
      <c r="S33" s="119">
        <f t="shared" si="24"/>
        <v>143729.10995109097</v>
      </c>
      <c r="T33" s="119">
        <f t="shared" si="24"/>
        <v>141694.79730604796</v>
      </c>
      <c r="U33" s="119">
        <f t="shared" si="24"/>
        <v>140765.27596302403</v>
      </c>
      <c r="V33" s="119">
        <f t="shared" si="24"/>
        <v>138794.7311581739</v>
      </c>
      <c r="W33" s="119">
        <f t="shared" si="24"/>
        <v>137565.79823432231</v>
      </c>
      <c r="X33" s="119">
        <f t="shared" si="24"/>
        <v>136517.14973482469</v>
      </c>
      <c r="Y33" s="119">
        <f t="shared" si="24"/>
        <v>135375.84604948162</v>
      </c>
      <c r="Z33" s="119">
        <f t="shared" si="24"/>
        <v>134146.04586734436</v>
      </c>
      <c r="AA33" s="119">
        <f t="shared" si="24"/>
        <v>132982.30658720914</v>
      </c>
      <c r="AB33" s="119">
        <f t="shared" si="24"/>
        <v>131875.57353988499</v>
      </c>
      <c r="AC33" s="119">
        <f t="shared" si="24"/>
        <v>130795.76357458034</v>
      </c>
      <c r="AD33" s="119">
        <f t="shared" si="24"/>
        <v>129772.18125430073</v>
      </c>
      <c r="AE33" s="119">
        <f t="shared" si="24"/>
        <v>128650.40201495662</v>
      </c>
      <c r="AF33" s="119">
        <f t="shared" si="24"/>
        <v>127669.70053915093</v>
      </c>
      <c r="AG33" s="119">
        <f t="shared" si="24"/>
        <v>126649.82427258886</v>
      </c>
      <c r="AH33" s="119">
        <f t="shared" si="21"/>
        <v>125865.04352373348</v>
      </c>
      <c r="AI33" s="119">
        <f t="shared" si="21"/>
        <v>124778.4404688115</v>
      </c>
      <c r="AJ33" s="119">
        <f t="shared" si="22"/>
        <v>123876.2403504525</v>
      </c>
      <c r="AK33" s="119">
        <f t="shared" si="23"/>
        <v>123023.91478385616</v>
      </c>
      <c r="AL33" s="119">
        <f t="shared" si="23"/>
        <v>122176.66659755148</v>
      </c>
      <c r="AM33" s="119">
        <f t="shared" si="23"/>
        <v>121377.75708975406</v>
      </c>
      <c r="AN33" s="119">
        <f t="shared" si="23"/>
        <v>120446.33826843882</v>
      </c>
      <c r="AO33" s="119">
        <f t="shared" si="23"/>
        <v>119694.78512478316</v>
      </c>
      <c r="AP33" s="119">
        <f t="shared" si="23"/>
        <v>118943.12204120617</v>
      </c>
      <c r="AQ33" s="119">
        <f t="shared" si="23"/>
        <v>118145.38086176157</v>
      </c>
    </row>
    <row r="34" spans="1:43">
      <c r="A34" s="138" t="s">
        <v>137</v>
      </c>
      <c r="L34" s="13">
        <v>117434</v>
      </c>
      <c r="M34" s="13">
        <f>Data!$C11</f>
        <v>134745</v>
      </c>
      <c r="N34" s="13">
        <f>Data!$C23</f>
        <v>142231</v>
      </c>
      <c r="O34" s="13">
        <f>Data!$C35</f>
        <v>127518</v>
      </c>
      <c r="P34" s="13">
        <f>Data!$C47</f>
        <v>136625</v>
      </c>
      <c r="Q34" s="13">
        <f>Data!$C59</f>
        <v>136191</v>
      </c>
      <c r="R34" s="119">
        <f t="shared" si="24"/>
        <v>132707.36379179015</v>
      </c>
      <c r="S34" s="119">
        <f t="shared" si="24"/>
        <v>126025.45789574044</v>
      </c>
      <c r="T34" s="119">
        <f t="shared" si="24"/>
        <v>124577.6449516678</v>
      </c>
      <c r="U34" s="119">
        <f t="shared" si="24"/>
        <v>122996.58271373644</v>
      </c>
      <c r="V34" s="119">
        <f t="shared" si="24"/>
        <v>122256.32509412433</v>
      </c>
      <c r="W34" s="119">
        <f t="shared" si="24"/>
        <v>120734.10619156237</v>
      </c>
      <c r="X34" s="119">
        <f t="shared" si="24"/>
        <v>119842.55534185775</v>
      </c>
      <c r="Y34" s="119">
        <f t="shared" si="24"/>
        <v>118794.2307957278</v>
      </c>
      <c r="Z34" s="119">
        <f t="shared" si="24"/>
        <v>117843.99704240588</v>
      </c>
      <c r="AA34" s="119">
        <f t="shared" si="24"/>
        <v>116741.30189808593</v>
      </c>
      <c r="AB34" s="119">
        <f t="shared" si="24"/>
        <v>115777.29543609312</v>
      </c>
      <c r="AC34" s="119">
        <f t="shared" si="24"/>
        <v>114831.67663688272</v>
      </c>
      <c r="AD34" s="119">
        <f t="shared" si="24"/>
        <v>113947.35868103507</v>
      </c>
      <c r="AE34" s="119">
        <f t="shared" si="24"/>
        <v>112948.62770441969</v>
      </c>
      <c r="AF34" s="119">
        <f t="shared" si="24"/>
        <v>112090.19863166503</v>
      </c>
      <c r="AG34" s="119">
        <f t="shared" si="24"/>
        <v>111196.13371066135</v>
      </c>
      <c r="AH34" s="119">
        <f t="shared" si="21"/>
        <v>110508.21894139536</v>
      </c>
      <c r="AI34" s="119">
        <f t="shared" si="21"/>
        <v>109552.05599534381</v>
      </c>
      <c r="AJ34" s="119">
        <f t="shared" si="22"/>
        <v>108760.66152232808</v>
      </c>
      <c r="AK34" s="119">
        <f t="shared" si="23"/>
        <v>108012.59313048222</v>
      </c>
      <c r="AL34" s="119">
        <f t="shared" si="23"/>
        <v>107268.71033253548</v>
      </c>
      <c r="AM34" s="119">
        <f t="shared" si="23"/>
        <v>106566.99195558819</v>
      </c>
      <c r="AN34" s="119">
        <f t="shared" si="23"/>
        <v>105749.38909478817</v>
      </c>
      <c r="AO34" s="119">
        <f t="shared" si="23"/>
        <v>105089.56817202672</v>
      </c>
      <c r="AP34" s="119">
        <f t="shared" si="23"/>
        <v>104429.59453344168</v>
      </c>
      <c r="AQ34" s="119">
        <f t="shared" si="23"/>
        <v>103729.16217355644</v>
      </c>
    </row>
    <row r="35" spans="1:43">
      <c r="A35" s="138" t="s">
        <v>138</v>
      </c>
      <c r="L35" s="13">
        <v>107915</v>
      </c>
      <c r="M35" s="13">
        <f>Data!$C12</f>
        <v>139203</v>
      </c>
      <c r="N35" s="13">
        <f>Data!$C24</f>
        <v>121464</v>
      </c>
      <c r="O35" s="13">
        <f>Data!$C36</f>
        <v>138048</v>
      </c>
      <c r="P35" s="13">
        <f>Data!$C48</f>
        <v>129366</v>
      </c>
      <c r="Q35" s="13">
        <f>Data!$C60</f>
        <v>139687</v>
      </c>
      <c r="R35" s="119">
        <f t="shared" si="24"/>
        <v>129283.06791372014</v>
      </c>
      <c r="S35" s="119">
        <f t="shared" si="24"/>
        <v>126815.7639511271</v>
      </c>
      <c r="T35" s="119">
        <f t="shared" si="24"/>
        <v>123078.39992585877</v>
      </c>
      <c r="U35" s="119">
        <f t="shared" si="24"/>
        <v>122845.71170800527</v>
      </c>
      <c r="V35" s="119">
        <f t="shared" si="24"/>
        <v>121221.85591436282</v>
      </c>
      <c r="W35" s="119">
        <f t="shared" si="24"/>
        <v>120272.87531838111</v>
      </c>
      <c r="X35" s="119">
        <f t="shared" si="24"/>
        <v>119074.04780402155</v>
      </c>
      <c r="Y35" s="119">
        <f t="shared" si="24"/>
        <v>118203.69983119096</v>
      </c>
      <c r="Z35" s="119">
        <f t="shared" si="24"/>
        <v>117145.50287575703</v>
      </c>
      <c r="AA35" s="119">
        <f t="shared" si="24"/>
        <v>116125.13559305416</v>
      </c>
      <c r="AB35" s="119">
        <f t="shared" si="24"/>
        <v>115123.15513751617</v>
      </c>
      <c r="AC35" s="119">
        <f t="shared" si="24"/>
        <v>114205.24995307931</v>
      </c>
      <c r="AD35" s="119">
        <f t="shared" si="24"/>
        <v>113311.668751057</v>
      </c>
      <c r="AE35" s="119">
        <f t="shared" si="24"/>
        <v>112328.56441572132</v>
      </c>
      <c r="AF35" s="119">
        <f t="shared" si="24"/>
        <v>111468.79195645019</v>
      </c>
      <c r="AG35" s="119">
        <f t="shared" si="24"/>
        <v>110582.69565241718</v>
      </c>
      <c r="AH35" s="119">
        <f t="shared" si="21"/>
        <v>109896.84098997475</v>
      </c>
      <c r="AI35" s="119">
        <f t="shared" si="21"/>
        <v>108947.26399898941</v>
      </c>
      <c r="AJ35" s="119">
        <f t="shared" si="22"/>
        <v>108159.38483777651</v>
      </c>
      <c r="AK35" s="119">
        <f t="shared" si="23"/>
        <v>107415.87501014098</v>
      </c>
      <c r="AL35" s="119">
        <f t="shared" si="23"/>
        <v>106675.88876091238</v>
      </c>
      <c r="AM35" s="119">
        <f t="shared" si="23"/>
        <v>105978.20897923858</v>
      </c>
      <c r="AN35" s="119">
        <f t="shared" si="23"/>
        <v>105165.00464620737</v>
      </c>
      <c r="AO35" s="119">
        <f t="shared" si="23"/>
        <v>104508.8918035052</v>
      </c>
      <c r="AP35" s="119">
        <f t="shared" si="23"/>
        <v>103852.53793948976</v>
      </c>
      <c r="AQ35" s="119">
        <f t="shared" si="23"/>
        <v>103155.99486256433</v>
      </c>
    </row>
    <row r="36" spans="1:43">
      <c r="A36" s="138" t="s">
        <v>139</v>
      </c>
      <c r="L36" s="13">
        <v>96916</v>
      </c>
      <c r="M36" s="13">
        <f>Data!$C13</f>
        <v>155234</v>
      </c>
      <c r="N36" s="13">
        <f>Data!$C25</f>
        <v>154607</v>
      </c>
      <c r="O36" s="13">
        <f>Data!$C37</f>
        <v>148365</v>
      </c>
      <c r="P36" s="13">
        <f>Data!$C49</f>
        <v>152552</v>
      </c>
      <c r="Q36" s="13">
        <f>Data!$C61</f>
        <v>149096</v>
      </c>
      <c r="R36" s="119">
        <f t="shared" si="24"/>
        <v>147885.55527133553</v>
      </c>
      <c r="S36" s="119">
        <f t="shared" si="24"/>
        <v>141359.4597373576</v>
      </c>
      <c r="T36" s="119">
        <f t="shared" si="24"/>
        <v>138485.98139014616</v>
      </c>
      <c r="U36" s="119">
        <f t="shared" si="24"/>
        <v>136568.91063863016</v>
      </c>
      <c r="V36" s="119">
        <f t="shared" si="24"/>
        <v>136259.67280828085</v>
      </c>
      <c r="W36" s="119">
        <f t="shared" si="24"/>
        <v>134568.50968511397</v>
      </c>
      <c r="X36" s="119">
        <f t="shared" si="24"/>
        <v>133356.57466333933</v>
      </c>
      <c r="Y36" s="119">
        <f t="shared" si="24"/>
        <v>132224.17915570151</v>
      </c>
      <c r="Z36" s="119">
        <f t="shared" si="24"/>
        <v>131247.92540278958</v>
      </c>
      <c r="AA36" s="119">
        <f t="shared" si="24"/>
        <v>129995.94321056343</v>
      </c>
      <c r="AB36" s="119">
        <f t="shared" si="24"/>
        <v>128891.55404549632</v>
      </c>
      <c r="AC36" s="119">
        <f t="shared" si="24"/>
        <v>127853.68487756416</v>
      </c>
      <c r="AD36" s="119">
        <f t="shared" si="24"/>
        <v>126879.22940394981</v>
      </c>
      <c r="AE36" s="119">
        <f t="shared" si="24"/>
        <v>125759.84903850676</v>
      </c>
      <c r="AF36" s="119">
        <f t="shared" si="24"/>
        <v>124800.80982235692</v>
      </c>
      <c r="AG36" s="119">
        <f t="shared" si="24"/>
        <v>123808.90324038244</v>
      </c>
      <c r="AH36" s="119">
        <f t="shared" si="21"/>
        <v>123043.72893254574</v>
      </c>
      <c r="AI36" s="119">
        <f t="shared" si="21"/>
        <v>121977.5729661643</v>
      </c>
      <c r="AJ36" s="119">
        <f t="shared" si="22"/>
        <v>121096.30445722947</v>
      </c>
      <c r="AK36" s="119">
        <f t="shared" si="23"/>
        <v>120264.04503909944</v>
      </c>
      <c r="AL36" s="119">
        <f t="shared" si="23"/>
        <v>119435.73224238794</v>
      </c>
      <c r="AM36" s="119">
        <f t="shared" si="23"/>
        <v>118654.1642362643</v>
      </c>
      <c r="AN36" s="119">
        <f t="shared" si="23"/>
        <v>117743.8829266035</v>
      </c>
      <c r="AO36" s="119">
        <f t="shared" si="23"/>
        <v>117009.32112257833</v>
      </c>
      <c r="AP36" s="119">
        <f t="shared" si="23"/>
        <v>116274.4518776006</v>
      </c>
      <c r="AQ36" s="119">
        <f t="shared" si="23"/>
        <v>115494.53908005066</v>
      </c>
    </row>
    <row r="37" spans="1:43">
      <c r="A37" s="138" t="s">
        <v>140</v>
      </c>
      <c r="L37" s="13">
        <v>115839</v>
      </c>
      <c r="M37" s="13">
        <f>Data!$C14</f>
        <v>139070</v>
      </c>
      <c r="N37" s="13">
        <f>Data!$C26</f>
        <v>150595</v>
      </c>
      <c r="O37" s="13">
        <f>Data!$C38</f>
        <v>150449</v>
      </c>
      <c r="P37" s="13">
        <f>Data!$C50</f>
        <v>152162</v>
      </c>
      <c r="Q37" s="13">
        <f>Data!$C62</f>
        <v>144741</v>
      </c>
      <c r="R37" s="119">
        <f t="shared" ref="R37:AI37" si="25">R38-SUM(R26:R36)</f>
        <v>126677.02802304109</v>
      </c>
      <c r="S37" s="119">
        <f t="shared" si="25"/>
        <v>135716.05510582472</v>
      </c>
      <c r="T37" s="119">
        <f t="shared" si="25"/>
        <v>131080.69479993125</v>
      </c>
      <c r="U37" s="119">
        <f t="shared" si="25"/>
        <v>127427.1252389946</v>
      </c>
      <c r="V37" s="119">
        <f t="shared" si="25"/>
        <v>125780.2557576329</v>
      </c>
      <c r="W37" s="119">
        <f t="shared" si="25"/>
        <v>126613.84073463851</v>
      </c>
      <c r="X37" s="119">
        <f t="shared" si="25"/>
        <v>124810.8482520252</v>
      </c>
      <c r="Y37" s="119">
        <f t="shared" si="25"/>
        <v>123391.78669137321</v>
      </c>
      <c r="Z37" s="119">
        <f t="shared" si="25"/>
        <v>122485.43604814284</v>
      </c>
      <c r="AA37" s="119">
        <f t="shared" si="25"/>
        <v>121655.19958477188</v>
      </c>
      <c r="AB37" s="119">
        <f t="shared" si="25"/>
        <v>120455.43538839952</v>
      </c>
      <c r="AC37" s="119">
        <f t="shared" si="25"/>
        <v>119440.79436339275</v>
      </c>
      <c r="AD37" s="119">
        <f t="shared" si="25"/>
        <v>118562.77205365314</v>
      </c>
      <c r="AE37" s="119">
        <f t="shared" si="25"/>
        <v>117555.86057673628</v>
      </c>
      <c r="AF37" s="119">
        <f t="shared" si="25"/>
        <v>116625.18512548856</v>
      </c>
      <c r="AG37" s="119">
        <f t="shared" si="25"/>
        <v>115696.42295252322</v>
      </c>
      <c r="AH37" s="119">
        <f t="shared" si="25"/>
        <v>114990.07075057155</v>
      </c>
      <c r="AI37" s="119">
        <f t="shared" si="25"/>
        <v>113996.58036793722</v>
      </c>
      <c r="AJ37" s="119">
        <f t="shared" ref="AJ37:AQ37" si="26">AJ38-SUM(AJ26:AJ36)</f>
        <v>113166.96826405637</v>
      </c>
      <c r="AK37" s="119">
        <f t="shared" si="26"/>
        <v>112390.11777074519</v>
      </c>
      <c r="AL37" s="119">
        <f t="shared" si="26"/>
        <v>111617.62358301599</v>
      </c>
      <c r="AM37" s="119">
        <f t="shared" si="26"/>
        <v>110887.06233023806</v>
      </c>
      <c r="AN37" s="119">
        <f t="shared" si="26"/>
        <v>110035.46929641417</v>
      </c>
      <c r="AO37" s="119">
        <f t="shared" si="26"/>
        <v>109349.35325335921</v>
      </c>
      <c r="AP37" s="119">
        <f t="shared" si="26"/>
        <v>108662.81083438662</v>
      </c>
      <c r="AQ37" s="119">
        <f t="shared" si="26"/>
        <v>107933.83561275247</v>
      </c>
    </row>
    <row r="38" spans="1:43" ht="12" thickBot="1">
      <c r="A38" s="138" t="s">
        <v>141</v>
      </c>
      <c r="L38" s="13">
        <f t="shared" ref="L38:Q38" si="27">SUM(L26:L37)</f>
        <v>1209968</v>
      </c>
      <c r="M38" s="13">
        <f t="shared" si="27"/>
        <v>1623228</v>
      </c>
      <c r="N38" s="13">
        <f t="shared" si="27"/>
        <v>1642471</v>
      </c>
      <c r="O38" s="13">
        <f t="shared" si="27"/>
        <v>1691553</v>
      </c>
      <c r="P38" s="13">
        <f t="shared" si="27"/>
        <v>1716798</v>
      </c>
      <c r="Q38" s="13">
        <f t="shared" si="27"/>
        <v>1757444</v>
      </c>
      <c r="R38" s="119">
        <f t="shared" ref="R38:AQ38" si="28">R4</f>
        <v>1665251.2286145918</v>
      </c>
      <c r="S38" s="119">
        <f t="shared" si="28"/>
        <v>1615044.8864684976</v>
      </c>
      <c r="T38" s="119">
        <f t="shared" si="28"/>
        <v>1583042.6421450726</v>
      </c>
      <c r="U38" s="119">
        <f t="shared" si="28"/>
        <v>1567529.0760914455</v>
      </c>
      <c r="V38" s="119">
        <f t="shared" si="28"/>
        <v>1552840.8491891595</v>
      </c>
      <c r="W38" s="119">
        <f t="shared" si="28"/>
        <v>1538457.3279594306</v>
      </c>
      <c r="X38" s="119">
        <f t="shared" si="28"/>
        <v>1524858.3947604448</v>
      </c>
      <c r="Y38" s="119">
        <f t="shared" si="28"/>
        <v>1512024.4348914337</v>
      </c>
      <c r="Z38" s="119">
        <f t="shared" si="28"/>
        <v>1499436.324019148</v>
      </c>
      <c r="AA38" s="119">
        <f t="shared" si="28"/>
        <v>1486075.4159186692</v>
      </c>
      <c r="AB38" s="119">
        <f t="shared" si="28"/>
        <v>1473423.5305207025</v>
      </c>
      <c r="AC38" s="119">
        <f t="shared" si="28"/>
        <v>1461462.9422576847</v>
      </c>
      <c r="AD38" s="119">
        <f t="shared" si="28"/>
        <v>1450176.3687012428</v>
      </c>
      <c r="AE38" s="119">
        <f t="shared" si="28"/>
        <v>1437546.9594837115</v>
      </c>
      <c r="AF38" s="119">
        <f t="shared" si="28"/>
        <v>1426558.2854966188</v>
      </c>
      <c r="AG38" s="119">
        <f t="shared" si="28"/>
        <v>1415194.3283592034</v>
      </c>
      <c r="AH38" s="119">
        <f t="shared" si="28"/>
        <v>1406439.4701502235</v>
      </c>
      <c r="AI38" s="119">
        <f t="shared" si="28"/>
        <v>1394278.4833964678</v>
      </c>
      <c r="AJ38" s="119">
        <f t="shared" si="28"/>
        <v>1384196.5213115562</v>
      </c>
      <c r="AK38" s="119">
        <f t="shared" si="28"/>
        <v>1374679.1082787672</v>
      </c>
      <c r="AL38" s="119">
        <f t="shared" si="28"/>
        <v>1365212.130571798</v>
      </c>
      <c r="AM38" s="119">
        <f t="shared" si="28"/>
        <v>1356281.8273075032</v>
      </c>
      <c r="AN38" s="119">
        <f t="shared" si="28"/>
        <v>1345874.7816248154</v>
      </c>
      <c r="AO38" s="119">
        <f t="shared" si="28"/>
        <v>1337477.9120841951</v>
      </c>
      <c r="AP38" s="119">
        <f t="shared" si="28"/>
        <v>1329078.4642820903</v>
      </c>
      <c r="AQ38" s="119">
        <f t="shared" si="28"/>
        <v>1320164.0026750378</v>
      </c>
    </row>
    <row r="39" spans="1:43">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row>
    <row r="40" spans="1:43" ht="12.75" thickBot="1">
      <c r="A40" s="138" t="s">
        <v>155</v>
      </c>
      <c r="B40" s="138"/>
      <c r="C40" s="138"/>
      <c r="D40" s="138"/>
      <c r="E40" s="138"/>
      <c r="F40" s="138"/>
      <c r="G40" s="138"/>
      <c r="H40" s="138"/>
      <c r="I40" s="138"/>
      <c r="J40" s="138"/>
      <c r="K40" s="138"/>
      <c r="L40" s="138"/>
    </row>
    <row r="41" spans="1:43" ht="12" thickBot="1">
      <c r="A41" s="139"/>
      <c r="B41" s="140">
        <f t="shared" ref="B41:AQ41" si="29">B2</f>
        <v>2009</v>
      </c>
      <c r="C41" s="140">
        <f t="shared" si="29"/>
        <v>2010</v>
      </c>
      <c r="D41" s="140">
        <f t="shared" si="29"/>
        <v>2011</v>
      </c>
      <c r="E41" s="140">
        <f t="shared" si="29"/>
        <v>2012</v>
      </c>
      <c r="F41" s="140">
        <f t="shared" si="29"/>
        <v>2013</v>
      </c>
      <c r="G41" s="140">
        <f t="shared" si="29"/>
        <v>2014</v>
      </c>
      <c r="H41" s="140">
        <f t="shared" si="29"/>
        <v>2015</v>
      </c>
      <c r="I41" s="140">
        <f t="shared" si="29"/>
        <v>2016</v>
      </c>
      <c r="J41" s="140">
        <f t="shared" si="29"/>
        <v>2017</v>
      </c>
      <c r="K41" s="140">
        <f t="shared" si="29"/>
        <v>2018</v>
      </c>
      <c r="L41" s="140">
        <f t="shared" si="29"/>
        <v>2019</v>
      </c>
      <c r="M41" s="140">
        <f t="shared" si="29"/>
        <v>2020</v>
      </c>
      <c r="N41" s="140">
        <f t="shared" si="29"/>
        <v>2021</v>
      </c>
      <c r="O41" s="140">
        <f t="shared" si="29"/>
        <v>2022</v>
      </c>
      <c r="P41" s="140">
        <f t="shared" si="29"/>
        <v>2023</v>
      </c>
      <c r="Q41" s="140">
        <f t="shared" si="29"/>
        <v>2024</v>
      </c>
      <c r="R41" s="140">
        <f t="shared" si="29"/>
        <v>2025</v>
      </c>
      <c r="S41" s="140">
        <f t="shared" si="29"/>
        <v>2026</v>
      </c>
      <c r="T41" s="140">
        <f t="shared" si="29"/>
        <v>2027</v>
      </c>
      <c r="U41" s="140">
        <f t="shared" si="29"/>
        <v>2028</v>
      </c>
      <c r="V41" s="140">
        <f t="shared" si="29"/>
        <v>2029</v>
      </c>
      <c r="W41" s="140">
        <f t="shared" si="29"/>
        <v>2030</v>
      </c>
      <c r="X41" s="140">
        <f t="shared" si="29"/>
        <v>2031</v>
      </c>
      <c r="Y41" s="140">
        <f t="shared" si="29"/>
        <v>2032</v>
      </c>
      <c r="Z41" s="140">
        <f t="shared" si="29"/>
        <v>2033</v>
      </c>
      <c r="AA41" s="140">
        <f t="shared" si="29"/>
        <v>2034</v>
      </c>
      <c r="AB41" s="140">
        <f t="shared" si="29"/>
        <v>2035</v>
      </c>
      <c r="AC41" s="140">
        <f t="shared" si="29"/>
        <v>2036</v>
      </c>
      <c r="AD41" s="140">
        <f t="shared" si="29"/>
        <v>2037</v>
      </c>
      <c r="AE41" s="140">
        <f t="shared" si="29"/>
        <v>2038</v>
      </c>
      <c r="AF41" s="140">
        <f t="shared" si="29"/>
        <v>2039</v>
      </c>
      <c r="AG41" s="140">
        <f t="shared" si="29"/>
        <v>2040</v>
      </c>
      <c r="AH41" s="140">
        <f t="shared" si="29"/>
        <v>2041</v>
      </c>
      <c r="AI41" s="140">
        <f t="shared" si="29"/>
        <v>2042</v>
      </c>
      <c r="AJ41" s="140">
        <f t="shared" si="29"/>
        <v>2043</v>
      </c>
      <c r="AK41" s="140">
        <f t="shared" si="29"/>
        <v>2044</v>
      </c>
      <c r="AL41" s="140">
        <f t="shared" si="29"/>
        <v>2045</v>
      </c>
      <c r="AM41" s="140">
        <f t="shared" si="29"/>
        <v>2046</v>
      </c>
      <c r="AN41" s="140">
        <f t="shared" si="29"/>
        <v>2047</v>
      </c>
      <c r="AO41" s="140">
        <f t="shared" si="29"/>
        <v>2048</v>
      </c>
      <c r="AP41" s="140">
        <f t="shared" si="29"/>
        <v>2049</v>
      </c>
      <c r="AQ41" s="140">
        <f t="shared" si="29"/>
        <v>2050</v>
      </c>
    </row>
    <row r="42" spans="1:43">
      <c r="A42" s="138" t="s">
        <v>129</v>
      </c>
      <c r="B42" s="113">
        <v>32148.784</v>
      </c>
      <c r="C42" s="113">
        <v>29363.055</v>
      </c>
      <c r="D42" s="113">
        <v>74472.914999999994</v>
      </c>
      <c r="E42" s="113">
        <v>80737.324999999997</v>
      </c>
      <c r="F42" s="113">
        <v>83056.093999999997</v>
      </c>
      <c r="G42" s="113">
        <v>68590.55</v>
      </c>
      <c r="H42" s="113">
        <v>87869.911999999997</v>
      </c>
      <c r="I42" s="113">
        <v>79847.563999999998</v>
      </c>
      <c r="J42" s="113">
        <v>94496.536999999997</v>
      </c>
      <c r="K42" s="113">
        <v>84637.724000000002</v>
      </c>
      <c r="L42" s="13">
        <v>82003.432000000001</v>
      </c>
      <c r="M42" s="13">
        <f>Data!$N3</f>
        <v>94908.616999999998</v>
      </c>
      <c r="N42" s="13">
        <f>Data!$N15</f>
        <v>70883.08</v>
      </c>
      <c r="O42" s="13">
        <f>Data!$N27</f>
        <v>136531.55900000001</v>
      </c>
      <c r="P42" s="13">
        <f>Data!$N39</f>
        <v>182644.57</v>
      </c>
      <c r="Q42" s="13">
        <f>Data!$N51</f>
        <v>221982.78</v>
      </c>
      <c r="R42" s="13">
        <f>Data!$N63</f>
        <v>207598.859</v>
      </c>
      <c r="S42" s="119">
        <f t="shared" ref="S42:S52" si="30">S$54*(SUM(O42:R42)/SUM(O$54:R$54))</f>
        <v>188520.65366224208</v>
      </c>
      <c r="T42" s="119">
        <f t="shared" ref="T42:T52" si="31">T$54*(SUM(P42:S42)/SUM(P$54:S$54))</f>
        <v>186630.69970247129</v>
      </c>
      <c r="U42" s="119">
        <f t="shared" ref="U42:AJ52" si="32">U$54*(SUM(Q42:T42)/SUM(Q$54:T$54))</f>
        <v>190024.82026777792</v>
      </c>
      <c r="V42" s="119">
        <f t="shared" si="32"/>
        <v>186599.48688228306</v>
      </c>
      <c r="W42" s="119">
        <f t="shared" si="32"/>
        <v>183047.01461393535</v>
      </c>
      <c r="X42" s="119">
        <f t="shared" si="32"/>
        <v>182317.94663025744</v>
      </c>
      <c r="Y42" s="119">
        <f t="shared" si="32"/>
        <v>181429.97042582565</v>
      </c>
      <c r="Z42" s="119">
        <f t="shared" si="32"/>
        <v>179446.10803595811</v>
      </c>
      <c r="AA42" s="119">
        <f t="shared" si="32"/>
        <v>177660.68568972236</v>
      </c>
      <c r="AB42" s="119">
        <f t="shared" si="32"/>
        <v>176362.45527913133</v>
      </c>
      <c r="AC42" s="119">
        <f t="shared" si="32"/>
        <v>174980.03138602435</v>
      </c>
      <c r="AD42" s="119">
        <f t="shared" si="32"/>
        <v>173531.63890893818</v>
      </c>
      <c r="AE42" s="119">
        <f t="shared" si="32"/>
        <v>172015.49982086354</v>
      </c>
      <c r="AF42" s="119">
        <f t="shared" si="32"/>
        <v>170740.21841878022</v>
      </c>
      <c r="AG42" s="119">
        <f t="shared" si="32"/>
        <v>169376.89646054027</v>
      </c>
      <c r="AH42" s="119">
        <f t="shared" si="32"/>
        <v>168312.99743680796</v>
      </c>
      <c r="AI42" s="119">
        <f t="shared" si="32"/>
        <v>166861.45263920526</v>
      </c>
      <c r="AJ42" s="119">
        <f t="shared" si="32"/>
        <v>165660.80831370852</v>
      </c>
      <c r="AK42" s="119">
        <f t="shared" ref="AK42:AQ52" si="33">AK$54*(SUM(AG42:AJ42)/SUM(AG$54:AJ$54))</f>
        <v>164519.41913303826</v>
      </c>
      <c r="AL42" s="119">
        <f t="shared" si="33"/>
        <v>163384.29478764519</v>
      </c>
      <c r="AM42" s="119">
        <f t="shared" si="33"/>
        <v>162316.83590201192</v>
      </c>
      <c r="AN42" s="119">
        <f t="shared" si="33"/>
        <v>161072.01632384662</v>
      </c>
      <c r="AO42" s="119">
        <f t="shared" si="33"/>
        <v>160066.47605653093</v>
      </c>
      <c r="AP42" s="119">
        <f t="shared" si="33"/>
        <v>159061.05543514158</v>
      </c>
      <c r="AQ42" s="119">
        <f t="shared" si="33"/>
        <v>157994.47711873695</v>
      </c>
    </row>
    <row r="43" spans="1:43">
      <c r="A43" s="138" t="s">
        <v>130</v>
      </c>
      <c r="B43" s="113">
        <v>16448.894</v>
      </c>
      <c r="C43" s="113">
        <v>30071.148000000001</v>
      </c>
      <c r="D43" s="113">
        <v>54180.815000000002</v>
      </c>
      <c r="E43" s="113">
        <v>63253.252</v>
      </c>
      <c r="F43" s="113">
        <v>72689.808000000005</v>
      </c>
      <c r="G43" s="113">
        <v>60021.796999999999</v>
      </c>
      <c r="H43" s="113">
        <v>70657.642000000007</v>
      </c>
      <c r="I43" s="113">
        <v>76358.402000000002</v>
      </c>
      <c r="J43" s="113">
        <v>96558.84</v>
      </c>
      <c r="K43" s="113">
        <v>94949.339000000007</v>
      </c>
      <c r="L43" s="13">
        <v>68507.214000000007</v>
      </c>
      <c r="M43" s="13">
        <f>Data!$N4</f>
        <v>112277.58</v>
      </c>
      <c r="N43" s="13">
        <f>Data!$N16</f>
        <v>70695.403999999995</v>
      </c>
      <c r="O43" s="13">
        <f>Data!$N28</f>
        <v>116790.78200000001</v>
      </c>
      <c r="P43" s="13">
        <f>Data!$N40</f>
        <v>162738.57</v>
      </c>
      <c r="Q43" s="13">
        <f>Data!$N52</f>
        <v>184534.927</v>
      </c>
      <c r="R43" s="13">
        <f>Data!$N64</f>
        <v>194783.231</v>
      </c>
      <c r="S43" s="119">
        <f t="shared" si="30"/>
        <v>165883.23828774033</v>
      </c>
      <c r="T43" s="119">
        <f t="shared" si="31"/>
        <v>165000.12353011864</v>
      </c>
      <c r="U43" s="119">
        <f t="shared" si="32"/>
        <v>167702.72554716875</v>
      </c>
      <c r="V43" s="119">
        <f t="shared" si="32"/>
        <v>167425.64596851167</v>
      </c>
      <c r="W43" s="119">
        <f t="shared" si="32"/>
        <v>162164.68008698046</v>
      </c>
      <c r="X43" s="119">
        <f t="shared" si="32"/>
        <v>161794.99490055611</v>
      </c>
      <c r="Y43" s="119">
        <f t="shared" si="32"/>
        <v>161159.1028046463</v>
      </c>
      <c r="Z43" s="119">
        <f t="shared" si="32"/>
        <v>159663.82372471379</v>
      </c>
      <c r="AA43" s="119">
        <f t="shared" si="32"/>
        <v>157733.46980318296</v>
      </c>
      <c r="AB43" s="119">
        <f t="shared" si="32"/>
        <v>156666.72064444254</v>
      </c>
      <c r="AC43" s="119">
        <f t="shared" si="32"/>
        <v>155478.3638374717</v>
      </c>
      <c r="AD43" s="119">
        <f t="shared" si="32"/>
        <v>154203.72868246038</v>
      </c>
      <c r="AE43" s="119">
        <f t="shared" si="32"/>
        <v>152806.41487485979</v>
      </c>
      <c r="AF43" s="119">
        <f t="shared" si="32"/>
        <v>151695.03895345761</v>
      </c>
      <c r="AG43" s="119">
        <f t="shared" si="32"/>
        <v>150489.52787736926</v>
      </c>
      <c r="AH43" s="119">
        <f t="shared" si="32"/>
        <v>149541.68485284591</v>
      </c>
      <c r="AI43" s="119">
        <f t="shared" si="32"/>
        <v>148245.79233160013</v>
      </c>
      <c r="AJ43" s="119">
        <f t="shared" si="32"/>
        <v>147183.61510079305</v>
      </c>
      <c r="AK43" s="119">
        <f t="shared" si="33"/>
        <v>146169.88760467683</v>
      </c>
      <c r="AL43" s="119">
        <f t="shared" si="33"/>
        <v>145160.40148539821</v>
      </c>
      <c r="AM43" s="119">
        <f t="shared" si="33"/>
        <v>144211.43473737614</v>
      </c>
      <c r="AN43" s="119">
        <f t="shared" si="33"/>
        <v>143106.28612903637</v>
      </c>
      <c r="AO43" s="119">
        <f t="shared" si="33"/>
        <v>142212.81286668213</v>
      </c>
      <c r="AP43" s="119">
        <f t="shared" si="33"/>
        <v>141319.3370421663</v>
      </c>
      <c r="AQ43" s="119">
        <f t="shared" si="33"/>
        <v>140371.71523097935</v>
      </c>
    </row>
    <row r="44" spans="1:43">
      <c r="A44" s="138" t="s">
        <v>131</v>
      </c>
      <c r="B44" s="113">
        <v>34027.53</v>
      </c>
      <c r="C44" s="113">
        <v>36738.421999999999</v>
      </c>
      <c r="D44" s="113">
        <v>64414.5</v>
      </c>
      <c r="E44" s="113">
        <v>80832.092000000004</v>
      </c>
      <c r="F44" s="113">
        <v>81064.967000000004</v>
      </c>
      <c r="G44" s="113">
        <v>87665.096000000005</v>
      </c>
      <c r="H44" s="113">
        <v>89851.396999999997</v>
      </c>
      <c r="I44" s="113">
        <v>83442.956999999995</v>
      </c>
      <c r="J44" s="113">
        <v>96204.04</v>
      </c>
      <c r="K44" s="113">
        <v>97447.156000000003</v>
      </c>
      <c r="L44" s="13">
        <v>89432.813999999998</v>
      </c>
      <c r="M44" s="13">
        <f>Data!$N5</f>
        <v>110572.91099999999</v>
      </c>
      <c r="N44" s="13">
        <f>Data!$N17</f>
        <v>110386.192</v>
      </c>
      <c r="O44" s="13">
        <f>Data!$N29</f>
        <v>125499.44100000001</v>
      </c>
      <c r="P44" s="13">
        <f>Data!$N41</f>
        <v>273200.92099999997</v>
      </c>
      <c r="Q44" s="13">
        <f>Data!$N53</f>
        <v>183540.05100000001</v>
      </c>
      <c r="R44" s="13">
        <f>Data!$N65</f>
        <v>246498.40299999999</v>
      </c>
      <c r="S44" s="119">
        <f t="shared" si="30"/>
        <v>208658.1134575856</v>
      </c>
      <c r="T44" s="119">
        <f t="shared" si="31"/>
        <v>212536.66328699855</v>
      </c>
      <c r="U44" s="119">
        <f t="shared" si="32"/>
        <v>201005.10754862937</v>
      </c>
      <c r="V44" s="119">
        <f t="shared" si="32"/>
        <v>209761.76483372625</v>
      </c>
      <c r="W44" s="119">
        <f t="shared" si="32"/>
        <v>202571.19795777142</v>
      </c>
      <c r="X44" s="119">
        <f t="shared" si="32"/>
        <v>201757.17240164781</v>
      </c>
      <c r="Y44" s="119">
        <f t="shared" si="32"/>
        <v>199305.72055968651</v>
      </c>
      <c r="Z44" s="119">
        <f t="shared" si="32"/>
        <v>199020.7682457488</v>
      </c>
      <c r="AA44" s="119">
        <f t="shared" si="32"/>
        <v>196353.83413356569</v>
      </c>
      <c r="AB44" s="119">
        <f t="shared" si="32"/>
        <v>194854.34450765885</v>
      </c>
      <c r="AC44" s="119">
        <f t="shared" si="32"/>
        <v>193247.93919931678</v>
      </c>
      <c r="AD44" s="119">
        <f t="shared" si="32"/>
        <v>191909.33190703549</v>
      </c>
      <c r="AE44" s="119">
        <f t="shared" si="32"/>
        <v>190092.91602466849</v>
      </c>
      <c r="AF44" s="119">
        <f t="shared" si="32"/>
        <v>188678.10790375993</v>
      </c>
      <c r="AG44" s="119">
        <f t="shared" si="32"/>
        <v>187180.54095633861</v>
      </c>
      <c r="AH44" s="119">
        <f t="shared" si="32"/>
        <v>186035.42259604621</v>
      </c>
      <c r="AI44" s="119">
        <f t="shared" si="32"/>
        <v>184405.09992085356</v>
      </c>
      <c r="AJ44" s="119">
        <f t="shared" si="32"/>
        <v>183080.21362941494</v>
      </c>
      <c r="AK44" s="119">
        <f t="shared" si="33"/>
        <v>181822.64075358928</v>
      </c>
      <c r="AL44" s="119">
        <f t="shared" si="33"/>
        <v>180570.69878710908</v>
      </c>
      <c r="AM44" s="119">
        <f t="shared" si="33"/>
        <v>179386.63539819574</v>
      </c>
      <c r="AN44" s="119">
        <f t="shared" si="33"/>
        <v>178011.90821663768</v>
      </c>
      <c r="AO44" s="119">
        <f t="shared" si="33"/>
        <v>176901.37461952347</v>
      </c>
      <c r="AP44" s="119">
        <f t="shared" si="33"/>
        <v>175790.21257745964</v>
      </c>
      <c r="AQ44" s="119">
        <f t="shared" si="33"/>
        <v>174610.8298058756</v>
      </c>
    </row>
    <row r="45" spans="1:43">
      <c r="A45" s="138" t="s">
        <v>132</v>
      </c>
      <c r="B45" s="113">
        <v>23107.793000000001</v>
      </c>
      <c r="C45" s="113">
        <v>44746.762000000002</v>
      </c>
      <c r="D45" s="113">
        <v>79304.505999999994</v>
      </c>
      <c r="E45" s="113">
        <v>64626.491999999998</v>
      </c>
      <c r="F45" s="113">
        <v>80681.441999999995</v>
      </c>
      <c r="G45" s="113">
        <v>133829.67800000001</v>
      </c>
      <c r="H45" s="113">
        <v>108140.054</v>
      </c>
      <c r="I45" s="113">
        <v>84144.066999999995</v>
      </c>
      <c r="J45" s="113">
        <v>76778.264999999999</v>
      </c>
      <c r="K45" s="113">
        <v>109358.088</v>
      </c>
      <c r="L45" s="13">
        <v>125593.272</v>
      </c>
      <c r="M45" s="13">
        <f>Data!$N6</f>
        <v>53356.275000000001</v>
      </c>
      <c r="N45" s="13">
        <f>Data!$N18</f>
        <v>105097.25199999999</v>
      </c>
      <c r="O45" s="13">
        <f>Data!$N30</f>
        <v>145242.424</v>
      </c>
      <c r="P45" s="13">
        <f>Data!$N42</f>
        <v>196419.603</v>
      </c>
      <c r="Q45" s="13">
        <f>Data!$N54</f>
        <v>254428.473</v>
      </c>
      <c r="R45" s="119">
        <f t="shared" ref="R45:R52" si="34">R$54*(SUM(N45:Q45)/SUM(N$54:Q$54))</f>
        <v>206673.92813243775</v>
      </c>
      <c r="S45" s="119">
        <f t="shared" si="30"/>
        <v>202118.33679209737</v>
      </c>
      <c r="T45" s="119">
        <f t="shared" si="31"/>
        <v>200357.04890034531</v>
      </c>
      <c r="U45" s="119">
        <f t="shared" si="32"/>
        <v>203920.07695177355</v>
      </c>
      <c r="V45" s="119">
        <f t="shared" si="32"/>
        <v>196329.23517440661</v>
      </c>
      <c r="W45" s="119">
        <f t="shared" si="32"/>
        <v>195452.40317032667</v>
      </c>
      <c r="X45" s="119">
        <f t="shared" si="32"/>
        <v>194473.27638239763</v>
      </c>
      <c r="Y45" s="119">
        <f t="shared" si="32"/>
        <v>193212.26260021326</v>
      </c>
      <c r="Z45" s="119">
        <f t="shared" si="32"/>
        <v>190719.13799026413</v>
      </c>
      <c r="AA45" s="119">
        <f t="shared" si="32"/>
        <v>189309.01996360451</v>
      </c>
      <c r="AB45" s="119">
        <f t="shared" si="32"/>
        <v>187826.85403595443</v>
      </c>
      <c r="AC45" s="119">
        <f t="shared" si="32"/>
        <v>186280.20841972879</v>
      </c>
      <c r="AD45" s="119">
        <f t="shared" si="32"/>
        <v>184722.21566013413</v>
      </c>
      <c r="AE45" s="119">
        <f t="shared" si="32"/>
        <v>183181.50391402555</v>
      </c>
      <c r="AF45" s="119">
        <f t="shared" si="32"/>
        <v>181795.04813414894</v>
      </c>
      <c r="AG45" s="119">
        <f t="shared" si="32"/>
        <v>180332.29529463389</v>
      </c>
      <c r="AH45" s="119">
        <f t="shared" si="32"/>
        <v>179203.91181140867</v>
      </c>
      <c r="AI45" s="119">
        <f t="shared" si="32"/>
        <v>177667.76549331655</v>
      </c>
      <c r="AJ45" s="119">
        <f t="shared" si="32"/>
        <v>176383.01014370911</v>
      </c>
      <c r="AK45" s="119">
        <f t="shared" si="33"/>
        <v>175166.79614385107</v>
      </c>
      <c r="AL45" s="119">
        <f t="shared" si="33"/>
        <v>173959.76675189691</v>
      </c>
      <c r="AM45" s="119">
        <f t="shared" si="33"/>
        <v>172824.09385924463</v>
      </c>
      <c r="AN45" s="119">
        <f t="shared" si="33"/>
        <v>171497.49783070738</v>
      </c>
      <c r="AO45" s="119">
        <f t="shared" si="33"/>
        <v>170426.94512724219</v>
      </c>
      <c r="AP45" s="119">
        <f t="shared" si="33"/>
        <v>169356.77058977057</v>
      </c>
      <c r="AQ45" s="119">
        <f t="shared" si="33"/>
        <v>168221.17392952496</v>
      </c>
    </row>
    <row r="46" spans="1:43">
      <c r="A46" s="138" t="s">
        <v>133</v>
      </c>
      <c r="B46" s="113">
        <v>19205.609</v>
      </c>
      <c r="C46" s="113">
        <v>37777.116999999998</v>
      </c>
      <c r="D46" s="113">
        <v>65675.099000000002</v>
      </c>
      <c r="E46" s="113">
        <v>82865.653999999995</v>
      </c>
      <c r="F46" s="113">
        <v>95845.991999999998</v>
      </c>
      <c r="G46" s="113">
        <v>108818.45699999999</v>
      </c>
      <c r="H46" s="113">
        <v>100374.712</v>
      </c>
      <c r="I46" s="113">
        <v>115115.74400000001</v>
      </c>
      <c r="J46" s="113">
        <v>127088.9</v>
      </c>
      <c r="K46" s="113">
        <v>125514.84</v>
      </c>
      <c r="L46" s="13">
        <v>89557.817999999999</v>
      </c>
      <c r="M46" s="13">
        <f>Data!$N7</f>
        <v>68132.247000000003</v>
      </c>
      <c r="N46" s="13">
        <f>Data!$N19</f>
        <v>103236.031</v>
      </c>
      <c r="O46" s="13">
        <f>Data!$N31</f>
        <v>157236.45699999999</v>
      </c>
      <c r="P46" s="13">
        <f>Data!$N43</f>
        <v>255115.984</v>
      </c>
      <c r="Q46" s="13">
        <f>Data!$N55</f>
        <v>264117.16600000003</v>
      </c>
      <c r="R46" s="119">
        <f t="shared" si="34"/>
        <v>229816.94493783533</v>
      </c>
      <c r="S46" s="119">
        <f t="shared" si="30"/>
        <v>228182.91906738555</v>
      </c>
      <c r="T46" s="119">
        <f t="shared" si="31"/>
        <v>227764.46550135099</v>
      </c>
      <c r="U46" s="119">
        <f t="shared" si="32"/>
        <v>224299.31688139297</v>
      </c>
      <c r="V46" s="119">
        <f t="shared" si="32"/>
        <v>219750.1242602565</v>
      </c>
      <c r="W46" s="119">
        <f t="shared" si="32"/>
        <v>219136.82599872741</v>
      </c>
      <c r="X46" s="119">
        <f t="shared" si="32"/>
        <v>217654.92180334637</v>
      </c>
      <c r="Y46" s="119">
        <f t="shared" si="32"/>
        <v>215381.80896572443</v>
      </c>
      <c r="Z46" s="119">
        <f t="shared" si="32"/>
        <v>213341.28963474312</v>
      </c>
      <c r="AA46" s="119">
        <f t="shared" si="32"/>
        <v>211731.30225298778</v>
      </c>
      <c r="AB46" s="119">
        <f t="shared" si="32"/>
        <v>209942.81479764514</v>
      </c>
      <c r="AC46" s="119">
        <f t="shared" si="32"/>
        <v>208144.76703964948</v>
      </c>
      <c r="AD46" s="119">
        <f t="shared" si="32"/>
        <v>206528.49944110317</v>
      </c>
      <c r="AE46" s="119">
        <f t="shared" si="32"/>
        <v>204779.47981427304</v>
      </c>
      <c r="AF46" s="119">
        <f t="shared" si="32"/>
        <v>203204.60241644757</v>
      </c>
      <c r="AG46" s="119">
        <f t="shared" si="32"/>
        <v>201570.55126032486</v>
      </c>
      <c r="AH46" s="119">
        <f t="shared" si="32"/>
        <v>200327.48905666961</v>
      </c>
      <c r="AI46" s="119">
        <f t="shared" si="32"/>
        <v>198602.36442766222</v>
      </c>
      <c r="AJ46" s="119">
        <f t="shared" si="32"/>
        <v>197162.86718447306</v>
      </c>
      <c r="AK46" s="119">
        <f t="shared" si="33"/>
        <v>195805.30912761303</v>
      </c>
      <c r="AL46" s="119">
        <f t="shared" si="33"/>
        <v>194458.24236741394</v>
      </c>
      <c r="AM46" s="119">
        <f t="shared" si="33"/>
        <v>193186.9881802919</v>
      </c>
      <c r="AN46" s="119">
        <f t="shared" si="33"/>
        <v>191703.84072142627</v>
      </c>
      <c r="AO46" s="119">
        <f t="shared" si="33"/>
        <v>190507.67123599147</v>
      </c>
      <c r="AP46" s="119">
        <f t="shared" si="33"/>
        <v>189311.57218775791</v>
      </c>
      <c r="AQ46" s="119">
        <f t="shared" si="33"/>
        <v>188041.84778206333</v>
      </c>
    </row>
    <row r="47" spans="1:43">
      <c r="A47" s="138" t="s">
        <v>134</v>
      </c>
      <c r="B47" s="113">
        <v>24339.277999999998</v>
      </c>
      <c r="C47" s="113">
        <v>36002.826000000001</v>
      </c>
      <c r="D47" s="113">
        <v>89925.659</v>
      </c>
      <c r="E47" s="113">
        <v>97732.608999999997</v>
      </c>
      <c r="F47" s="113">
        <v>98698.369000000006</v>
      </c>
      <c r="G47" s="113">
        <v>115183.69100000001</v>
      </c>
      <c r="H47" s="113">
        <v>123031.867</v>
      </c>
      <c r="I47" s="113">
        <v>103797.601</v>
      </c>
      <c r="J47" s="113">
        <v>97644.085999999996</v>
      </c>
      <c r="K47" s="113">
        <v>130887.852</v>
      </c>
      <c r="L47" s="13">
        <v>112991.28</v>
      </c>
      <c r="M47" s="13">
        <f>Data!$N8</f>
        <v>111304.13</v>
      </c>
      <c r="N47" s="13">
        <f>Data!$N20</f>
        <v>127174.947</v>
      </c>
      <c r="O47" s="13">
        <f>Data!$N32</f>
        <v>154693.88399999999</v>
      </c>
      <c r="P47" s="13">
        <f>Data!$N44</f>
        <v>195468.09</v>
      </c>
      <c r="Q47" s="13">
        <f>Data!$N56</f>
        <v>173908.745</v>
      </c>
      <c r="R47" s="119">
        <f t="shared" si="34"/>
        <v>191953.58103095554</v>
      </c>
      <c r="S47" s="119">
        <f t="shared" si="30"/>
        <v>180279.09004596141</v>
      </c>
      <c r="T47" s="119">
        <f t="shared" si="31"/>
        <v>172847.50959245375</v>
      </c>
      <c r="U47" s="119">
        <f t="shared" si="32"/>
        <v>169777.73083885779</v>
      </c>
      <c r="V47" s="119">
        <f t="shared" si="32"/>
        <v>172614.42703029624</v>
      </c>
      <c r="W47" s="119">
        <f t="shared" si="32"/>
        <v>169349.23389589062</v>
      </c>
      <c r="X47" s="119">
        <f t="shared" si="32"/>
        <v>167241.7321557141</v>
      </c>
      <c r="Y47" s="119">
        <f t="shared" si="32"/>
        <v>166023.81373947643</v>
      </c>
      <c r="Z47" s="119">
        <f t="shared" si="32"/>
        <v>165214.31051450281</v>
      </c>
      <c r="AA47" s="119">
        <f t="shared" si="32"/>
        <v>163371.34314974622</v>
      </c>
      <c r="AB47" s="119">
        <f t="shared" si="32"/>
        <v>161926.80832612247</v>
      </c>
      <c r="AC47" s="119">
        <f t="shared" si="32"/>
        <v>160695.01128392061</v>
      </c>
      <c r="AD47" s="119">
        <f t="shared" si="32"/>
        <v>159510.50164761831</v>
      </c>
      <c r="AE47" s="119">
        <f t="shared" si="32"/>
        <v>158051.43558579142</v>
      </c>
      <c r="AF47" s="119">
        <f t="shared" si="32"/>
        <v>156847.09671156103</v>
      </c>
      <c r="AG47" s="119">
        <f t="shared" si="32"/>
        <v>155615.54601677688</v>
      </c>
      <c r="AH47" s="119">
        <f t="shared" si="32"/>
        <v>154654.88386489346</v>
      </c>
      <c r="AI47" s="119">
        <f t="shared" si="32"/>
        <v>153306.30297772336</v>
      </c>
      <c r="AJ47" s="119">
        <f t="shared" si="32"/>
        <v>152200.79509005733</v>
      </c>
      <c r="AK47" s="119">
        <f t="shared" si="33"/>
        <v>151157.15297054837</v>
      </c>
      <c r="AL47" s="119">
        <f t="shared" si="33"/>
        <v>150115.34317039463</v>
      </c>
      <c r="AM47" s="119">
        <f t="shared" si="33"/>
        <v>149131.84455035627</v>
      </c>
      <c r="AN47" s="119">
        <f t="shared" si="33"/>
        <v>147988.38702048041</v>
      </c>
      <c r="AO47" s="119">
        <f t="shared" si="33"/>
        <v>147065.4206747518</v>
      </c>
      <c r="AP47" s="119">
        <f t="shared" si="33"/>
        <v>146141.54761942674</v>
      </c>
      <c r="AQ47" s="119">
        <f t="shared" si="33"/>
        <v>145161.1813102726</v>
      </c>
    </row>
    <row r="48" spans="1:43">
      <c r="A48" s="138" t="s">
        <v>135</v>
      </c>
      <c r="B48" s="113">
        <v>25699.49</v>
      </c>
      <c r="C48" s="113">
        <v>50540.995999999999</v>
      </c>
      <c r="D48" s="113">
        <v>110080.202</v>
      </c>
      <c r="E48" s="113">
        <v>96857.535000000003</v>
      </c>
      <c r="F48" s="113">
        <v>110862.401</v>
      </c>
      <c r="G48" s="113">
        <v>113895.758</v>
      </c>
      <c r="H48" s="113">
        <v>132944.408</v>
      </c>
      <c r="I48" s="113">
        <v>113237.20299999999</v>
      </c>
      <c r="J48" s="113">
        <v>151089.23699999999</v>
      </c>
      <c r="K48" s="113">
        <v>144969.28200000001</v>
      </c>
      <c r="L48" s="13">
        <v>132580.53700000001</v>
      </c>
      <c r="M48" s="13">
        <f>Data!$N9</f>
        <v>117285.897</v>
      </c>
      <c r="N48" s="13">
        <f>Data!$N21</f>
        <v>112227.38400000001</v>
      </c>
      <c r="O48" s="13">
        <f>Data!$N33</f>
        <v>157883.913</v>
      </c>
      <c r="P48" s="13">
        <f>Data!$N45</f>
        <v>293358.30599999998</v>
      </c>
      <c r="Q48" s="13">
        <f>Data!$N57</f>
        <v>238981.24100000001</v>
      </c>
      <c r="R48" s="119">
        <f t="shared" si="34"/>
        <v>236521.05672072555</v>
      </c>
      <c r="S48" s="119">
        <f t="shared" si="30"/>
        <v>233333.78234827181</v>
      </c>
      <c r="T48" s="119">
        <f t="shared" si="31"/>
        <v>233582.23207780439</v>
      </c>
      <c r="U48" s="119">
        <f t="shared" si="32"/>
        <v>222537.00554331992</v>
      </c>
      <c r="V48" s="119">
        <f t="shared" si="32"/>
        <v>223591.96438848271</v>
      </c>
      <c r="W48" s="119">
        <f t="shared" si="32"/>
        <v>222313.8728387343</v>
      </c>
      <c r="X48" s="119">
        <f t="shared" si="32"/>
        <v>220360.32963196668</v>
      </c>
      <c r="Y48" s="119">
        <f t="shared" si="32"/>
        <v>217328.65979630797</v>
      </c>
      <c r="Z48" s="119">
        <f t="shared" si="32"/>
        <v>216196.97220633758</v>
      </c>
      <c r="AA48" s="119">
        <f t="shared" si="32"/>
        <v>214345.17588923161</v>
      </c>
      <c r="AB48" s="119">
        <f t="shared" si="32"/>
        <v>212419.19193041918</v>
      </c>
      <c r="AC48" s="119">
        <f t="shared" si="32"/>
        <v>210566.14286119488</v>
      </c>
      <c r="AD48" s="119">
        <f t="shared" si="32"/>
        <v>209067.92773862698</v>
      </c>
      <c r="AE48" s="119">
        <f t="shared" si="32"/>
        <v>207240.47847594926</v>
      </c>
      <c r="AF48" s="119">
        <f t="shared" si="32"/>
        <v>205629.68859767015</v>
      </c>
      <c r="AG48" s="119">
        <f t="shared" si="32"/>
        <v>203983.27247332074</v>
      </c>
      <c r="AH48" s="119">
        <f t="shared" si="32"/>
        <v>202742.52338986326</v>
      </c>
      <c r="AI48" s="119">
        <f t="shared" si="32"/>
        <v>200984.4291939236</v>
      </c>
      <c r="AJ48" s="119">
        <f t="shared" si="32"/>
        <v>199526.47792774445</v>
      </c>
      <c r="AK48" s="119">
        <f t="shared" si="33"/>
        <v>198155.33412342868</v>
      </c>
      <c r="AL48" s="119">
        <f t="shared" si="33"/>
        <v>196793.69555802344</v>
      </c>
      <c r="AM48" s="119">
        <f t="shared" si="33"/>
        <v>195504.93914690317</v>
      </c>
      <c r="AN48" s="119">
        <f t="shared" si="33"/>
        <v>194004.20798201009</v>
      </c>
      <c r="AO48" s="119">
        <f t="shared" si="33"/>
        <v>192794.24102548987</v>
      </c>
      <c r="AP48" s="119">
        <f t="shared" si="33"/>
        <v>191583.81769127017</v>
      </c>
      <c r="AQ48" s="119">
        <f t="shared" si="33"/>
        <v>190298.50060636108</v>
      </c>
    </row>
    <row r="49" spans="1:43">
      <c r="A49" s="138" t="s">
        <v>136</v>
      </c>
      <c r="B49" s="113">
        <v>23182.154999999999</v>
      </c>
      <c r="C49" s="113">
        <v>52717.601999999999</v>
      </c>
      <c r="D49" s="113">
        <v>86746.725999999995</v>
      </c>
      <c r="E49" s="113">
        <v>117513.41</v>
      </c>
      <c r="F49" s="113">
        <v>105595.65700000001</v>
      </c>
      <c r="G49" s="113">
        <v>112958.253</v>
      </c>
      <c r="H49" s="113">
        <v>111992.201</v>
      </c>
      <c r="I49" s="113">
        <v>134883.61900000001</v>
      </c>
      <c r="J49" s="113">
        <v>119648.327</v>
      </c>
      <c r="K49" s="113">
        <v>117640.95699999999</v>
      </c>
      <c r="L49" s="13">
        <v>120578.329</v>
      </c>
      <c r="M49" s="13">
        <f>Data!$N10</f>
        <v>138643.579</v>
      </c>
      <c r="N49" s="13">
        <f>Data!$N22</f>
        <v>130033.902</v>
      </c>
      <c r="O49" s="13">
        <f>Data!$N34</f>
        <v>201135.231</v>
      </c>
      <c r="P49" s="13">
        <f>Data!$N46</f>
        <v>239400.19699999999</v>
      </c>
      <c r="Q49" s="13">
        <f>Data!$N58</f>
        <v>219191.70199999999</v>
      </c>
      <c r="R49" s="119">
        <f t="shared" si="34"/>
        <v>232780.75565896067</v>
      </c>
      <c r="S49" s="119">
        <f t="shared" si="30"/>
        <v>224713.75549473145</v>
      </c>
      <c r="T49" s="119">
        <f t="shared" si="31"/>
        <v>213512.97855415306</v>
      </c>
      <c r="U49" s="119">
        <f t="shared" si="32"/>
        <v>210206.29576740332</v>
      </c>
      <c r="V49" s="119">
        <f t="shared" si="32"/>
        <v>212783.84168691895</v>
      </c>
      <c r="W49" s="119">
        <f t="shared" si="32"/>
        <v>209694.44149850484</v>
      </c>
      <c r="X49" s="119">
        <f t="shared" si="32"/>
        <v>206721.93922918872</v>
      </c>
      <c r="Y49" s="119">
        <f t="shared" si="32"/>
        <v>205250.27282212352</v>
      </c>
      <c r="Z49" s="119">
        <f t="shared" si="32"/>
        <v>204172.39336848259</v>
      </c>
      <c r="AA49" s="119">
        <f t="shared" si="32"/>
        <v>202025.39284237102</v>
      </c>
      <c r="AB49" s="119">
        <f t="shared" si="32"/>
        <v>200171.36264914117</v>
      </c>
      <c r="AC49" s="119">
        <f t="shared" si="32"/>
        <v>198653.44375749887</v>
      </c>
      <c r="AD49" s="119">
        <f t="shared" si="32"/>
        <v>197186.86110961737</v>
      </c>
      <c r="AE49" s="119">
        <f t="shared" si="32"/>
        <v>195399.20529519874</v>
      </c>
      <c r="AF49" s="119">
        <f t="shared" si="32"/>
        <v>193898.23059317889</v>
      </c>
      <c r="AG49" s="119">
        <f t="shared" si="32"/>
        <v>192377.35792095496</v>
      </c>
      <c r="AH49" s="119">
        <f t="shared" si="32"/>
        <v>191190.57036730603</v>
      </c>
      <c r="AI49" s="119">
        <f t="shared" si="32"/>
        <v>189524.97460602169</v>
      </c>
      <c r="AJ49" s="119">
        <f t="shared" si="32"/>
        <v>188156.31311992567</v>
      </c>
      <c r="AK49" s="119">
        <f t="shared" si="33"/>
        <v>186866.6181712556</v>
      </c>
      <c r="AL49" s="119">
        <f t="shared" si="33"/>
        <v>185578.91326185584</v>
      </c>
      <c r="AM49" s="119">
        <f t="shared" si="33"/>
        <v>184363.14809459625</v>
      </c>
      <c r="AN49" s="119">
        <f t="shared" si="33"/>
        <v>182949.26661336649</v>
      </c>
      <c r="AO49" s="119">
        <f t="shared" si="33"/>
        <v>181808.38186778282</v>
      </c>
      <c r="AP49" s="119">
        <f t="shared" si="33"/>
        <v>180666.2843565603</v>
      </c>
      <c r="AQ49" s="119">
        <f t="shared" si="33"/>
        <v>179454.30059352278</v>
      </c>
    </row>
    <row r="50" spans="1:43">
      <c r="A50" s="138" t="s">
        <v>137</v>
      </c>
      <c r="B50" s="113">
        <v>18410.095000000001</v>
      </c>
      <c r="C50" s="113">
        <v>57900.224000000002</v>
      </c>
      <c r="D50" s="113">
        <v>93009.981</v>
      </c>
      <c r="E50" s="113">
        <v>86508.206999999995</v>
      </c>
      <c r="F50" s="113">
        <v>94635.846000000005</v>
      </c>
      <c r="G50" s="113">
        <v>101153.91800000001</v>
      </c>
      <c r="H50" s="113">
        <v>142767.31599999999</v>
      </c>
      <c r="I50" s="113">
        <v>107231.327</v>
      </c>
      <c r="J50" s="113">
        <v>112970.55899999999</v>
      </c>
      <c r="K50" s="113">
        <v>138777.163</v>
      </c>
      <c r="L50" s="13">
        <v>123917.23299999999</v>
      </c>
      <c r="M50" s="13">
        <f>Data!$N11</f>
        <v>123555.00599999999</v>
      </c>
      <c r="N50" s="13">
        <f>Data!$N23</f>
        <v>137686.41399999999</v>
      </c>
      <c r="O50" s="13">
        <f>Data!$N35</f>
        <v>163468.554</v>
      </c>
      <c r="P50" s="13">
        <f>Data!$N47</f>
        <v>231954.08799999999</v>
      </c>
      <c r="Q50" s="13">
        <f>Data!$N59</f>
        <v>263322.7</v>
      </c>
      <c r="R50" s="119">
        <f t="shared" si="34"/>
        <v>234746.94050550845</v>
      </c>
      <c r="S50" s="119">
        <f t="shared" si="30"/>
        <v>224961.60485924617</v>
      </c>
      <c r="T50" s="119">
        <f t="shared" si="31"/>
        <v>222579.18111461878</v>
      </c>
      <c r="U50" s="119">
        <f t="shared" si="32"/>
        <v>223290.77226852736</v>
      </c>
      <c r="V50" s="119">
        <f t="shared" si="32"/>
        <v>218667.1101709216</v>
      </c>
      <c r="W50" s="119">
        <f t="shared" si="32"/>
        <v>216580.66935106376</v>
      </c>
      <c r="X50" s="119">
        <f t="shared" si="32"/>
        <v>215252.76789028387</v>
      </c>
      <c r="Y50" s="119">
        <f t="shared" si="32"/>
        <v>213657.98676726225</v>
      </c>
      <c r="Z50" s="119">
        <f t="shared" si="32"/>
        <v>211441.32237968032</v>
      </c>
      <c r="AA50" s="119">
        <f t="shared" si="32"/>
        <v>209631.85910693955</v>
      </c>
      <c r="AB50" s="119">
        <f t="shared" si="32"/>
        <v>207954.87867955241</v>
      </c>
      <c r="AC50" s="119">
        <f t="shared" si="32"/>
        <v>206257.36737887669</v>
      </c>
      <c r="AD50" s="119">
        <f t="shared" si="32"/>
        <v>204599.61384769925</v>
      </c>
      <c r="AE50" s="119">
        <f t="shared" si="32"/>
        <v>202844.26923006139</v>
      </c>
      <c r="AF50" s="119">
        <f t="shared" si="32"/>
        <v>201308.41648608886</v>
      </c>
      <c r="AG50" s="119">
        <f t="shared" si="32"/>
        <v>199696.68794116241</v>
      </c>
      <c r="AH50" s="119">
        <f t="shared" si="32"/>
        <v>198453.50205363359</v>
      </c>
      <c r="AI50" s="119">
        <f t="shared" si="32"/>
        <v>196743.75278473823</v>
      </c>
      <c r="AJ50" s="119">
        <f t="shared" si="32"/>
        <v>195322.33669459383</v>
      </c>
      <c r="AK50" s="119">
        <f t="shared" si="33"/>
        <v>193977.26876141175</v>
      </c>
      <c r="AL50" s="119">
        <f t="shared" si="33"/>
        <v>192640.81340727356</v>
      </c>
      <c r="AM50" s="119">
        <f t="shared" si="33"/>
        <v>191381.85916003154</v>
      </c>
      <c r="AN50" s="119">
        <f t="shared" si="33"/>
        <v>189913.27782708535</v>
      </c>
      <c r="AO50" s="119">
        <f t="shared" si="33"/>
        <v>188728.02991557436</v>
      </c>
      <c r="AP50" s="119">
        <f t="shared" si="33"/>
        <v>187542.83646803521</v>
      </c>
      <c r="AQ50" s="119">
        <f t="shared" si="33"/>
        <v>186285.1245799656</v>
      </c>
    </row>
    <row r="51" spans="1:43">
      <c r="A51" s="138" t="s">
        <v>138</v>
      </c>
      <c r="B51" s="113">
        <v>17704.917000000001</v>
      </c>
      <c r="C51" s="113">
        <v>56185.279999999999</v>
      </c>
      <c r="D51" s="113">
        <v>77663.611999999994</v>
      </c>
      <c r="E51" s="113">
        <v>102742.226</v>
      </c>
      <c r="F51" s="113">
        <v>90024.89</v>
      </c>
      <c r="G51" s="113">
        <v>96288.827000000005</v>
      </c>
      <c r="H51" s="113">
        <v>103754.785</v>
      </c>
      <c r="I51" s="113">
        <v>133935.27100000001</v>
      </c>
      <c r="J51" s="113">
        <v>132695</v>
      </c>
      <c r="K51" s="113">
        <v>125559.825</v>
      </c>
      <c r="L51" s="13">
        <v>114043.75199999999</v>
      </c>
      <c r="M51" s="13">
        <f>Data!$N12</f>
        <v>135922.40599999999</v>
      </c>
      <c r="N51" s="13">
        <f>Data!$N24</f>
        <v>142367.38500000001</v>
      </c>
      <c r="O51" s="13">
        <f>Data!$N36</f>
        <v>170523.29699999999</v>
      </c>
      <c r="P51" s="13">
        <f>Data!$N48</f>
        <v>282177.91800000001</v>
      </c>
      <c r="Q51" s="13">
        <f>Data!$N60</f>
        <v>247893.65299999999</v>
      </c>
      <c r="R51" s="119">
        <f t="shared" si="34"/>
        <v>248461.72740176416</v>
      </c>
      <c r="S51" s="119">
        <f t="shared" si="30"/>
        <v>238951.4705209744</v>
      </c>
      <c r="T51" s="119">
        <f t="shared" si="31"/>
        <v>237145.97360933514</v>
      </c>
      <c r="U51" s="119">
        <f t="shared" si="32"/>
        <v>229629.17508525791</v>
      </c>
      <c r="V51" s="119">
        <f t="shared" si="32"/>
        <v>230404.77286295028</v>
      </c>
      <c r="W51" s="119">
        <f t="shared" si="32"/>
        <v>227935.09501095707</v>
      </c>
      <c r="X51" s="119">
        <f t="shared" si="32"/>
        <v>226001.08986193326</v>
      </c>
      <c r="Y51" s="119">
        <f t="shared" si="32"/>
        <v>223482.44271332381</v>
      </c>
      <c r="Z51" s="119">
        <f t="shared" si="32"/>
        <v>222125.19194806789</v>
      </c>
      <c r="AA51" s="119">
        <f t="shared" si="32"/>
        <v>220055.82588821193</v>
      </c>
      <c r="AB51" s="119">
        <f t="shared" si="32"/>
        <v>218152.35031952261</v>
      </c>
      <c r="AC51" s="119">
        <f t="shared" si="32"/>
        <v>216324.36310185271</v>
      </c>
      <c r="AD51" s="119">
        <f t="shared" si="32"/>
        <v>214733.58372727365</v>
      </c>
      <c r="AE51" s="119">
        <f t="shared" si="32"/>
        <v>212839.62621373837</v>
      </c>
      <c r="AF51" s="119">
        <f t="shared" si="32"/>
        <v>211205.02707924484</v>
      </c>
      <c r="AG51" s="119">
        <f t="shared" si="32"/>
        <v>209520.40696010727</v>
      </c>
      <c r="AH51" s="119">
        <f t="shared" si="32"/>
        <v>208235.57118278675</v>
      </c>
      <c r="AI51" s="119">
        <f t="shared" si="32"/>
        <v>206429.54218317673</v>
      </c>
      <c r="AJ51" s="119">
        <f t="shared" si="32"/>
        <v>204935.88328761331</v>
      </c>
      <c r="AK51" s="119">
        <f t="shared" si="33"/>
        <v>203527.45130945655</v>
      </c>
      <c r="AL51" s="119">
        <f t="shared" si="33"/>
        <v>202127.17447302939</v>
      </c>
      <c r="AM51" s="119">
        <f t="shared" si="33"/>
        <v>200803.89723210619</v>
      </c>
      <c r="AN51" s="119">
        <f t="shared" si="33"/>
        <v>199263.07012038358</v>
      </c>
      <c r="AO51" s="119">
        <f t="shared" si="33"/>
        <v>198020.09542168069</v>
      </c>
      <c r="AP51" s="119">
        <f t="shared" si="33"/>
        <v>196776.62995760114</v>
      </c>
      <c r="AQ51" s="119">
        <f t="shared" si="33"/>
        <v>195456.60888397685</v>
      </c>
    </row>
    <row r="52" spans="1:43">
      <c r="A52" s="138" t="s">
        <v>139</v>
      </c>
      <c r="B52" s="113">
        <v>22688.387999999999</v>
      </c>
      <c r="C52" s="113">
        <v>58427.381000000001</v>
      </c>
      <c r="D52" s="113">
        <v>91510.156000000003</v>
      </c>
      <c r="E52" s="113">
        <v>95257.562000000005</v>
      </c>
      <c r="F52" s="113">
        <v>108039.174</v>
      </c>
      <c r="G52" s="113">
        <v>89975.404999999999</v>
      </c>
      <c r="H52" s="113">
        <v>113550.38099999999</v>
      </c>
      <c r="I52" s="113">
        <v>109313.014</v>
      </c>
      <c r="J52" s="113">
        <v>103751.416</v>
      </c>
      <c r="K52" s="113">
        <v>114116.45299999999</v>
      </c>
      <c r="L52" s="13">
        <v>102998.52800000001</v>
      </c>
      <c r="M52" s="13">
        <f>Data!$N13</f>
        <v>134392.93700000001</v>
      </c>
      <c r="N52" s="13">
        <f>Data!$N25</f>
        <v>141202.57199999999</v>
      </c>
      <c r="O52" s="13">
        <f>Data!$N37</f>
        <v>186583.60800000001</v>
      </c>
      <c r="P52" s="13">
        <f>Data!$N49</f>
        <v>192161.451</v>
      </c>
      <c r="Q52" s="13">
        <f>Data!$N61</f>
        <v>231729.541</v>
      </c>
      <c r="R52" s="119">
        <f t="shared" si="34"/>
        <v>221555.60102356446</v>
      </c>
      <c r="S52" s="119">
        <f t="shared" si="30"/>
        <v>209486.81144592684</v>
      </c>
      <c r="T52" s="119">
        <f t="shared" si="31"/>
        <v>199259.99952679011</v>
      </c>
      <c r="U52" s="119">
        <f t="shared" si="32"/>
        <v>203555.05302678174</v>
      </c>
      <c r="V52" s="119">
        <f t="shared" si="32"/>
        <v>201348.86420465185</v>
      </c>
      <c r="W52" s="119">
        <f t="shared" si="32"/>
        <v>198112.74101936331</v>
      </c>
      <c r="X52" s="119">
        <f t="shared" si="32"/>
        <v>195992.27748034112</v>
      </c>
      <c r="Y52" s="119">
        <f t="shared" si="32"/>
        <v>195372.32377145987</v>
      </c>
      <c r="Z52" s="119">
        <f t="shared" si="32"/>
        <v>193498.45225854547</v>
      </c>
      <c r="AA52" s="119">
        <f t="shared" si="32"/>
        <v>191539.73533486974</v>
      </c>
      <c r="AB52" s="119">
        <f t="shared" si="32"/>
        <v>189952.70486310506</v>
      </c>
      <c r="AC52" s="119">
        <f t="shared" si="32"/>
        <v>188555.49997881806</v>
      </c>
      <c r="AD52" s="119">
        <f t="shared" si="32"/>
        <v>187027.44223159418</v>
      </c>
      <c r="AE52" s="119">
        <f t="shared" si="32"/>
        <v>185369.74712011323</v>
      </c>
      <c r="AF52" s="119">
        <f t="shared" si="32"/>
        <v>183974.25696185208</v>
      </c>
      <c r="AG52" s="119">
        <f t="shared" si="32"/>
        <v>182524.76009363192</v>
      </c>
      <c r="AH52" s="119">
        <f t="shared" si="32"/>
        <v>181380.07726151374</v>
      </c>
      <c r="AI52" s="119">
        <f t="shared" si="32"/>
        <v>179810.06071000732</v>
      </c>
      <c r="AJ52" s="119">
        <f t="shared" si="32"/>
        <v>178514.85177497636</v>
      </c>
      <c r="AK52" s="119">
        <f t="shared" si="33"/>
        <v>177288.36766746559</v>
      </c>
      <c r="AL52" s="119">
        <f t="shared" si="33"/>
        <v>176064.67351317173</v>
      </c>
      <c r="AM52" s="119">
        <f t="shared" si="33"/>
        <v>174913.3408060332</v>
      </c>
      <c r="AN52" s="119">
        <f t="shared" si="33"/>
        <v>173572.05996113786</v>
      </c>
      <c r="AO52" s="119">
        <f t="shared" si="33"/>
        <v>172489.00417867649</v>
      </c>
      <c r="AP52" s="119">
        <f t="shared" si="33"/>
        <v>171405.34924717463</v>
      </c>
      <c r="AQ52" s="119">
        <f t="shared" si="33"/>
        <v>170255.85650967329</v>
      </c>
    </row>
    <row r="53" spans="1:43">
      <c r="A53" s="138" t="s">
        <v>140</v>
      </c>
      <c r="B53" s="113">
        <v>40394.347000000002</v>
      </c>
      <c r="C53" s="113">
        <v>63382.243999999999</v>
      </c>
      <c r="D53" s="113">
        <v>121495.95299999999</v>
      </c>
      <c r="E53" s="113">
        <v>118086.99800000001</v>
      </c>
      <c r="F53" s="113">
        <v>97347.657999999996</v>
      </c>
      <c r="G53" s="113">
        <v>115802.41800000001</v>
      </c>
      <c r="H53" s="113">
        <v>85975.535000000003</v>
      </c>
      <c r="I53" s="113">
        <v>100310.558</v>
      </c>
      <c r="J53" s="113">
        <v>93468.088000000003</v>
      </c>
      <c r="K53" s="113">
        <v>115937.505</v>
      </c>
      <c r="L53" s="13">
        <v>120764.83900000001</v>
      </c>
      <c r="M53" s="13">
        <f>Data!$N14</f>
        <v>88434.599000000002</v>
      </c>
      <c r="N53" s="13">
        <f>Data!$N26</f>
        <v>134283.872</v>
      </c>
      <c r="O53" s="13">
        <f>Data!$N38</f>
        <v>188250.53200000001</v>
      </c>
      <c r="P53" s="13">
        <f>Data!$N50</f>
        <v>167437.98000000001</v>
      </c>
      <c r="Q53" s="13">
        <f>Data!$N62</f>
        <v>247083.48</v>
      </c>
      <c r="R53" s="119">
        <f>R54-SUM(R42:R52)</f>
        <v>110533.93868761975</v>
      </c>
      <c r="S53" s="119">
        <f t="shared" ref="S53:AQ53" si="35">S54-SUM(S42:S52)</f>
        <v>179594.66473860247</v>
      </c>
      <c r="T53" s="119">
        <f t="shared" si="35"/>
        <v>164233.34328828705</v>
      </c>
      <c r="U53" s="119">
        <f t="shared" si="35"/>
        <v>165635.11425994849</v>
      </c>
      <c r="V53" s="119">
        <f t="shared" si="35"/>
        <v>149708.6843660702</v>
      </c>
      <c r="W53" s="119">
        <f t="shared" si="35"/>
        <v>160499.25218763808</v>
      </c>
      <c r="X53" s="119">
        <f t="shared" si="35"/>
        <v>156367.54357151268</v>
      </c>
      <c r="Y53" s="119">
        <f t="shared" si="35"/>
        <v>154587.07332846336</v>
      </c>
      <c r="Z53" s="119">
        <f t="shared" si="35"/>
        <v>151985.34356856719</v>
      </c>
      <c r="AA53" s="119">
        <f t="shared" si="35"/>
        <v>152512.2265896732</v>
      </c>
      <c r="AB53" s="119">
        <f t="shared" si="35"/>
        <v>150574.94553761603</v>
      </c>
      <c r="AC53" s="119">
        <f t="shared" si="35"/>
        <v>149221.38830593135</v>
      </c>
      <c r="AD53" s="119">
        <f t="shared" si="35"/>
        <v>148019.22233058047</v>
      </c>
      <c r="AE53" s="119">
        <f t="shared" si="35"/>
        <v>146990.13052847469</v>
      </c>
      <c r="AF53" s="119">
        <f t="shared" si="35"/>
        <v>145729.32235399238</v>
      </c>
      <c r="AG53" s="119">
        <f t="shared" si="35"/>
        <v>144554.20037438278</v>
      </c>
      <c r="AH53" s="119">
        <f t="shared" si="35"/>
        <v>143674.39712656848</v>
      </c>
      <c r="AI53" s="119">
        <f t="shared" si="35"/>
        <v>142462.28334172163</v>
      </c>
      <c r="AJ53" s="119">
        <f t="shared" si="35"/>
        <v>141405.9374430771</v>
      </c>
      <c r="AK53" s="119">
        <f t="shared" si="35"/>
        <v>140434.69004715327</v>
      </c>
      <c r="AL53" s="119">
        <f t="shared" si="35"/>
        <v>139472.33716263087</v>
      </c>
      <c r="AM53" s="119">
        <f t="shared" si="35"/>
        <v>138562.40955978096</v>
      </c>
      <c r="AN53" s="119">
        <f t="shared" si="35"/>
        <v>137494.76836898224</v>
      </c>
      <c r="AO53" s="119">
        <f t="shared" si="35"/>
        <v>136637.87329345057</v>
      </c>
      <c r="AP53" s="119">
        <f t="shared" si="35"/>
        <v>135780.68572315923</v>
      </c>
      <c r="AQ53" s="119">
        <f t="shared" si="35"/>
        <v>134869.92622602871</v>
      </c>
    </row>
    <row r="54" spans="1:43" ht="12" thickBot="1">
      <c r="A54" s="138" t="s">
        <v>141</v>
      </c>
      <c r="B54" s="113">
        <f>SUM(B42:B53)</f>
        <v>297357.27999999997</v>
      </c>
      <c r="C54" s="113">
        <f t="shared" ref="C54:Q54" si="36">SUM(C42:C53)</f>
        <v>553853.05700000003</v>
      </c>
      <c r="D54" s="113">
        <f t="shared" si="36"/>
        <v>1008480.124</v>
      </c>
      <c r="E54" s="113">
        <f t="shared" si="36"/>
        <v>1087013.362</v>
      </c>
      <c r="F54" s="113">
        <f t="shared" si="36"/>
        <v>1118542.298</v>
      </c>
      <c r="G54" s="113">
        <f t="shared" si="36"/>
        <v>1204183.8480000002</v>
      </c>
      <c r="H54" s="113">
        <f t="shared" si="36"/>
        <v>1270910.21</v>
      </c>
      <c r="I54" s="113">
        <f t="shared" si="36"/>
        <v>1241617.3269999998</v>
      </c>
      <c r="J54" s="113">
        <f t="shared" si="36"/>
        <v>1302393.2949999999</v>
      </c>
      <c r="K54" s="113">
        <f t="shared" si="36"/>
        <v>1399796.1839999999</v>
      </c>
      <c r="L54" s="13">
        <f t="shared" si="36"/>
        <v>1282969.048</v>
      </c>
      <c r="M54" s="13">
        <f t="shared" si="36"/>
        <v>1288786.1839999999</v>
      </c>
      <c r="N54" s="13">
        <f t="shared" si="36"/>
        <v>1385274.4349999998</v>
      </c>
      <c r="O54" s="13">
        <f t="shared" si="36"/>
        <v>1903839.682</v>
      </c>
      <c r="P54" s="13">
        <f t="shared" si="36"/>
        <v>2672077.6779999998</v>
      </c>
      <c r="Q54" s="13">
        <f t="shared" si="36"/>
        <v>2730714.4590000003</v>
      </c>
      <c r="R54" s="119">
        <f t="shared" ref="R54:AQ54" si="37">R5</f>
        <v>2561924.9670993718</v>
      </c>
      <c r="S54" s="119">
        <f t="shared" si="37"/>
        <v>2484684.4407207654</v>
      </c>
      <c r="T54" s="119">
        <f t="shared" si="37"/>
        <v>2435450.2186847269</v>
      </c>
      <c r="U54" s="119">
        <f t="shared" si="37"/>
        <v>2411583.1939868391</v>
      </c>
      <c r="V54" s="119">
        <f t="shared" si="37"/>
        <v>2388985.921829476</v>
      </c>
      <c r="W54" s="119">
        <f t="shared" si="37"/>
        <v>2366857.4276298932</v>
      </c>
      <c r="X54" s="119">
        <f t="shared" si="37"/>
        <v>2345935.9919391456</v>
      </c>
      <c r="Y54" s="119">
        <f t="shared" si="37"/>
        <v>2326191.4382945132</v>
      </c>
      <c r="Z54" s="119">
        <f t="shared" si="37"/>
        <v>2306825.1138756122</v>
      </c>
      <c r="AA54" s="119">
        <f t="shared" si="37"/>
        <v>2286269.8706441065</v>
      </c>
      <c r="AB54" s="119">
        <f t="shared" si="37"/>
        <v>2266805.4315703115</v>
      </c>
      <c r="AC54" s="119">
        <f t="shared" si="37"/>
        <v>2248404.5265502841</v>
      </c>
      <c r="AD54" s="119">
        <f t="shared" si="37"/>
        <v>2231040.5672326814</v>
      </c>
      <c r="AE54" s="119">
        <f t="shared" si="37"/>
        <v>2211610.7068980178</v>
      </c>
      <c r="AF54" s="119">
        <f t="shared" si="37"/>
        <v>2194705.0546101825</v>
      </c>
      <c r="AG54" s="119">
        <f t="shared" si="37"/>
        <v>2177222.0436295439</v>
      </c>
      <c r="AH54" s="119">
        <f t="shared" si="37"/>
        <v>2163753.0310003436</v>
      </c>
      <c r="AI54" s="119">
        <f t="shared" si="37"/>
        <v>2145043.8206099505</v>
      </c>
      <c r="AJ54" s="119">
        <f t="shared" si="37"/>
        <v>2129533.1097100866</v>
      </c>
      <c r="AK54" s="119">
        <f t="shared" si="37"/>
        <v>2114890.935813488</v>
      </c>
      <c r="AL54" s="119">
        <f t="shared" si="37"/>
        <v>2100326.3547258428</v>
      </c>
      <c r="AM54" s="119">
        <f t="shared" si="37"/>
        <v>2086587.4266269279</v>
      </c>
      <c r="AN54" s="119">
        <f t="shared" si="37"/>
        <v>2070576.5871151006</v>
      </c>
      <c r="AO54" s="119">
        <f t="shared" si="37"/>
        <v>2057658.3262833769</v>
      </c>
      <c r="AP54" s="119">
        <f t="shared" si="37"/>
        <v>2044736.0988955235</v>
      </c>
      <c r="AQ54" s="119">
        <f t="shared" si="37"/>
        <v>2031021.5425769812</v>
      </c>
    </row>
    <row r="55" spans="1:43">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row>
    <row r="56" spans="1:43" ht="12" thickBot="1">
      <c r="A56" s="138" t="s">
        <v>143</v>
      </c>
      <c r="B56" s="138"/>
      <c r="C56" s="138"/>
      <c r="D56" s="138"/>
      <c r="E56" s="138"/>
      <c r="F56" s="138"/>
      <c r="G56" s="138"/>
      <c r="H56" s="138"/>
      <c r="I56" s="138"/>
      <c r="J56" s="138"/>
      <c r="K56" s="138"/>
      <c r="L56" s="138"/>
    </row>
    <row r="57" spans="1:43" ht="12" thickBot="1">
      <c r="A57" s="139"/>
      <c r="B57" s="140">
        <f t="shared" ref="B57:AQ57" si="38">B2</f>
        <v>2009</v>
      </c>
      <c r="C57" s="140">
        <f t="shared" si="38"/>
        <v>2010</v>
      </c>
      <c r="D57" s="140">
        <f t="shared" si="38"/>
        <v>2011</v>
      </c>
      <c r="E57" s="140">
        <f t="shared" si="38"/>
        <v>2012</v>
      </c>
      <c r="F57" s="140">
        <f t="shared" si="38"/>
        <v>2013</v>
      </c>
      <c r="G57" s="140">
        <f t="shared" si="38"/>
        <v>2014</v>
      </c>
      <c r="H57" s="140">
        <f t="shared" si="38"/>
        <v>2015</v>
      </c>
      <c r="I57" s="140">
        <f t="shared" si="38"/>
        <v>2016</v>
      </c>
      <c r="J57" s="140">
        <f t="shared" si="38"/>
        <v>2017</v>
      </c>
      <c r="K57" s="140">
        <f t="shared" si="38"/>
        <v>2018</v>
      </c>
      <c r="L57" s="140">
        <f t="shared" si="38"/>
        <v>2019</v>
      </c>
      <c r="M57" s="140">
        <f t="shared" si="38"/>
        <v>2020</v>
      </c>
      <c r="N57" s="140">
        <f t="shared" si="38"/>
        <v>2021</v>
      </c>
      <c r="O57" s="140">
        <f t="shared" si="38"/>
        <v>2022</v>
      </c>
      <c r="P57" s="140">
        <f t="shared" si="38"/>
        <v>2023</v>
      </c>
      <c r="Q57" s="140">
        <f t="shared" si="38"/>
        <v>2024</v>
      </c>
      <c r="R57" s="140">
        <f t="shared" si="38"/>
        <v>2025</v>
      </c>
      <c r="S57" s="140">
        <f t="shared" si="38"/>
        <v>2026</v>
      </c>
      <c r="T57" s="140">
        <f t="shared" si="38"/>
        <v>2027</v>
      </c>
      <c r="U57" s="140">
        <f t="shared" si="38"/>
        <v>2028</v>
      </c>
      <c r="V57" s="140">
        <f t="shared" si="38"/>
        <v>2029</v>
      </c>
      <c r="W57" s="140">
        <f t="shared" si="38"/>
        <v>2030</v>
      </c>
      <c r="X57" s="140">
        <f t="shared" si="38"/>
        <v>2031</v>
      </c>
      <c r="Y57" s="140">
        <f t="shared" si="38"/>
        <v>2032</v>
      </c>
      <c r="Z57" s="140">
        <f t="shared" si="38"/>
        <v>2033</v>
      </c>
      <c r="AA57" s="140">
        <f t="shared" si="38"/>
        <v>2034</v>
      </c>
      <c r="AB57" s="140">
        <f t="shared" si="38"/>
        <v>2035</v>
      </c>
      <c r="AC57" s="140">
        <f t="shared" si="38"/>
        <v>2036</v>
      </c>
      <c r="AD57" s="140">
        <f t="shared" si="38"/>
        <v>2037</v>
      </c>
      <c r="AE57" s="140">
        <f t="shared" si="38"/>
        <v>2038</v>
      </c>
      <c r="AF57" s="140">
        <f t="shared" si="38"/>
        <v>2039</v>
      </c>
      <c r="AG57" s="140">
        <f t="shared" si="38"/>
        <v>2040</v>
      </c>
      <c r="AH57" s="140">
        <f t="shared" si="38"/>
        <v>2041</v>
      </c>
      <c r="AI57" s="140">
        <f t="shared" si="38"/>
        <v>2042</v>
      </c>
      <c r="AJ57" s="140">
        <f t="shared" si="38"/>
        <v>2043</v>
      </c>
      <c r="AK57" s="140">
        <f t="shared" si="38"/>
        <v>2044</v>
      </c>
      <c r="AL57" s="140">
        <f t="shared" si="38"/>
        <v>2045</v>
      </c>
      <c r="AM57" s="140">
        <f t="shared" si="38"/>
        <v>2046</v>
      </c>
      <c r="AN57" s="140">
        <f t="shared" si="38"/>
        <v>2047</v>
      </c>
      <c r="AO57" s="140">
        <f t="shared" si="38"/>
        <v>2048</v>
      </c>
      <c r="AP57" s="140">
        <f t="shared" si="38"/>
        <v>2049</v>
      </c>
      <c r="AQ57" s="140">
        <f t="shared" si="38"/>
        <v>2050</v>
      </c>
    </row>
    <row r="58" spans="1:43">
      <c r="A58" s="138" t="s">
        <v>129</v>
      </c>
      <c r="B58" s="113">
        <v>5635.7380000000003</v>
      </c>
      <c r="C58" s="113">
        <v>8910.259</v>
      </c>
      <c r="D58" s="113">
        <v>6054.982</v>
      </c>
      <c r="E58" s="113">
        <v>5955.74</v>
      </c>
      <c r="F58" s="113">
        <v>4200.83</v>
      </c>
      <c r="G58" s="113">
        <v>4823.4970000000003</v>
      </c>
      <c r="H58" s="113">
        <v>6899.1809999999996</v>
      </c>
      <c r="I58" s="113">
        <v>5466.7089999999998</v>
      </c>
      <c r="J58" s="113">
        <v>7316.4139999999998</v>
      </c>
      <c r="K58" s="113">
        <v>7616.5379999999996</v>
      </c>
      <c r="L58" s="13">
        <v>7157.3140000000003</v>
      </c>
      <c r="M58" s="13">
        <f>Data!$O3</f>
        <v>7426.3559999999998</v>
      </c>
      <c r="N58" s="13">
        <f>Data!$O15</f>
        <v>6872.65</v>
      </c>
      <c r="O58" s="13">
        <f>Data!$O27</f>
        <v>6723.0730000000003</v>
      </c>
      <c r="P58" s="13">
        <f>Data!$O39</f>
        <v>5629.16</v>
      </c>
      <c r="Q58" s="13">
        <f>Data!$O51</f>
        <v>7666.6450000000004</v>
      </c>
      <c r="R58" s="13">
        <f>Data!$O63</f>
        <v>22394.393</v>
      </c>
      <c r="S58" s="119">
        <f t="shared" ref="S58:S68" si="39">S$70*(SUM(O58:R58)/SUM(O$70:R$70))</f>
        <v>10765.046701723835</v>
      </c>
      <c r="T58" s="119">
        <f t="shared" ref="T58:T68" si="40">T$70*(SUM(P58:S58)/SUM(P$70:S$70))</f>
        <v>10540.092715625196</v>
      </c>
      <c r="U58" s="119">
        <f t="shared" ref="U58:AJ68" si="41">U$70*(SUM(Q58:T58)/SUM(Q$70:T$70))</f>
        <v>11250.026429722369</v>
      </c>
      <c r="V58" s="119">
        <f t="shared" si="41"/>
        <v>12535.863719911635</v>
      </c>
      <c r="W58" s="119">
        <f t="shared" si="41"/>
        <v>10505.439608707085</v>
      </c>
      <c r="X58" s="119">
        <f t="shared" si="41"/>
        <v>10518.866801124672</v>
      </c>
      <c r="Y58" s="119">
        <f t="shared" si="41"/>
        <v>10514.960528776515</v>
      </c>
      <c r="Z58" s="119">
        <f t="shared" si="41"/>
        <v>10342.49426243316</v>
      </c>
      <c r="AA58" s="119">
        <f t="shared" si="41"/>
        <v>9826.7656916377946</v>
      </c>
      <c r="AB58" s="119">
        <f t="shared" si="41"/>
        <v>9666.8305951438688</v>
      </c>
      <c r="AC58" s="119">
        <f t="shared" si="41"/>
        <v>9466.5951112775256</v>
      </c>
      <c r="AD58" s="119">
        <f t="shared" si="41"/>
        <v>9220.6805954360025</v>
      </c>
      <c r="AE58" s="119">
        <f t="shared" si="41"/>
        <v>8957.9150774894006</v>
      </c>
      <c r="AF58" s="119">
        <f t="shared" si="41"/>
        <v>8754.8798088703134</v>
      </c>
      <c r="AG58" s="119">
        <f t="shared" si="41"/>
        <v>8542.1146589330601</v>
      </c>
      <c r="AH58" s="119">
        <f t="shared" si="41"/>
        <v>8326.7888838874387</v>
      </c>
      <c r="AI58" s="119">
        <f t="shared" si="41"/>
        <v>8112.8268163012299</v>
      </c>
      <c r="AJ58" s="119">
        <f t="shared" si="41"/>
        <v>7912.1489778743498</v>
      </c>
      <c r="AK58" s="119">
        <f t="shared" ref="AK58:AQ68" si="42">AK$70*(SUM(AG58:AJ58)/SUM(AG$70:AJ$70))</f>
        <v>7713.859441431553</v>
      </c>
      <c r="AL58" s="119">
        <f t="shared" si="42"/>
        <v>7520.8013294177754</v>
      </c>
      <c r="AM58" s="119">
        <f t="shared" si="42"/>
        <v>7334.801762383966</v>
      </c>
      <c r="AN58" s="119">
        <f t="shared" si="42"/>
        <v>7149.5487162232148</v>
      </c>
      <c r="AO58" s="119">
        <f t="shared" si="42"/>
        <v>6969.7493549382061</v>
      </c>
      <c r="AP58" s="119">
        <f t="shared" si="42"/>
        <v>6796.1228513514197</v>
      </c>
      <c r="AQ58" s="119">
        <f t="shared" si="42"/>
        <v>6628.8899721139433</v>
      </c>
    </row>
    <row r="59" spans="1:43">
      <c r="A59" s="138" t="s">
        <v>130</v>
      </c>
      <c r="B59" s="113">
        <v>4251.8810000000003</v>
      </c>
      <c r="C59" s="113">
        <v>9014.7129999999997</v>
      </c>
      <c r="D59" s="113">
        <v>6220.1149999999998</v>
      </c>
      <c r="E59" s="113">
        <v>5237.5389999999998</v>
      </c>
      <c r="F59" s="113">
        <v>4079.752</v>
      </c>
      <c r="G59" s="113">
        <v>4734.7250000000004</v>
      </c>
      <c r="H59" s="113">
        <v>5808.3029999999999</v>
      </c>
      <c r="I59" s="113">
        <v>6026.5159999999996</v>
      </c>
      <c r="J59" s="113">
        <v>6873.3829999999998</v>
      </c>
      <c r="K59" s="113">
        <v>7315.7150000000001</v>
      </c>
      <c r="L59" s="13">
        <v>6119.3490000000002</v>
      </c>
      <c r="M59" s="13">
        <f>Data!$O4</f>
        <v>5814.7740000000003</v>
      </c>
      <c r="N59" s="13">
        <f>Data!$O16</f>
        <v>20679.539000000001</v>
      </c>
      <c r="O59" s="13">
        <f>Data!$O28</f>
        <v>17518.948</v>
      </c>
      <c r="P59" s="13">
        <f>Data!$O40</f>
        <v>16439.5</v>
      </c>
      <c r="Q59" s="13">
        <f>Data!$O52</f>
        <v>23655.391</v>
      </c>
      <c r="R59" s="13">
        <f>Data!$O64</f>
        <v>8416.134</v>
      </c>
      <c r="S59" s="119">
        <f t="shared" si="39"/>
        <v>16759.276667403559</v>
      </c>
      <c r="T59" s="119">
        <f t="shared" si="40"/>
        <v>14808.98519787005</v>
      </c>
      <c r="U59" s="119">
        <f t="shared" si="41"/>
        <v>13938.146076145686</v>
      </c>
      <c r="V59" s="119">
        <f t="shared" si="41"/>
        <v>12301.566225310611</v>
      </c>
      <c r="W59" s="119">
        <f t="shared" si="41"/>
        <v>13468.270459607375</v>
      </c>
      <c r="X59" s="119">
        <f t="shared" si="41"/>
        <v>12791.401492875071</v>
      </c>
      <c r="Y59" s="119">
        <f t="shared" si="41"/>
        <v>12319.270960631971</v>
      </c>
      <c r="Z59" s="119">
        <f t="shared" si="41"/>
        <v>11939.417217181093</v>
      </c>
      <c r="AA59" s="119">
        <f t="shared" si="41"/>
        <v>11853.180809259909</v>
      </c>
      <c r="AB59" s="119">
        <f t="shared" si="41"/>
        <v>11473.403146226177</v>
      </c>
      <c r="AC59" s="119">
        <f t="shared" si="41"/>
        <v>11163.786134721046</v>
      </c>
      <c r="AD59" s="119">
        <f t="shared" si="41"/>
        <v>10892.747701101816</v>
      </c>
      <c r="AE59" s="119">
        <f t="shared" si="41"/>
        <v>10647.69068646481</v>
      </c>
      <c r="AF59" s="119">
        <f t="shared" si="41"/>
        <v>10365.823297178689</v>
      </c>
      <c r="AG59" s="119">
        <f t="shared" si="41"/>
        <v>10107.378388151335</v>
      </c>
      <c r="AH59" s="119">
        <f t="shared" si="41"/>
        <v>9861.3922909488447</v>
      </c>
      <c r="AI59" s="119">
        <f t="shared" si="41"/>
        <v>9614.3970107797668</v>
      </c>
      <c r="AJ59" s="119">
        <f t="shared" si="41"/>
        <v>9369.1205675801411</v>
      </c>
      <c r="AK59" s="119">
        <f t="shared" si="42"/>
        <v>9134.6014090295375</v>
      </c>
      <c r="AL59" s="119">
        <f t="shared" si="42"/>
        <v>8907.868371696808</v>
      </c>
      <c r="AM59" s="119">
        <f t="shared" si="42"/>
        <v>8687.8258091871048</v>
      </c>
      <c r="AN59" s="119">
        <f t="shared" si="42"/>
        <v>8467.2207816560185</v>
      </c>
      <c r="AO59" s="119">
        <f t="shared" si="42"/>
        <v>8254.5770102179795</v>
      </c>
      <c r="AP59" s="119">
        <f t="shared" si="42"/>
        <v>8049.2385490945971</v>
      </c>
      <c r="AQ59" s="119">
        <f t="shared" si="42"/>
        <v>7851.0926536549559</v>
      </c>
    </row>
    <row r="60" spans="1:43">
      <c r="A60" s="138" t="s">
        <v>131</v>
      </c>
      <c r="B60" s="113">
        <v>5741.2179999999998</v>
      </c>
      <c r="C60" s="113">
        <v>9303.1880000000001</v>
      </c>
      <c r="D60" s="113">
        <v>7256.0829999999996</v>
      </c>
      <c r="E60" s="113">
        <v>4577.3590000000004</v>
      </c>
      <c r="F60" s="113">
        <v>5365.7780000000002</v>
      </c>
      <c r="G60" s="113">
        <v>5022.4359999999997</v>
      </c>
      <c r="H60" s="113">
        <v>6952.3040000000001</v>
      </c>
      <c r="I60" s="113">
        <v>5312.0389999999998</v>
      </c>
      <c r="J60" s="113">
        <v>8313.8729999999996</v>
      </c>
      <c r="K60" s="113">
        <v>7251.4179999999997</v>
      </c>
      <c r="L60" s="13">
        <v>6386.0240000000003</v>
      </c>
      <c r="M60" s="13">
        <f>Data!$O5</f>
        <v>12713.091</v>
      </c>
      <c r="N60" s="13">
        <f>Data!$O17</f>
        <v>6559.1379999999999</v>
      </c>
      <c r="O60" s="13">
        <f>Data!$O29</f>
        <v>7686.3959999999997</v>
      </c>
      <c r="P60" s="13">
        <f>Data!$O41</f>
        <v>5274.701</v>
      </c>
      <c r="Q60" s="13">
        <f>Data!$O53</f>
        <v>26098.921999999999</v>
      </c>
      <c r="R60" s="13">
        <f>Data!$O65</f>
        <v>34277.392</v>
      </c>
      <c r="S60" s="119">
        <f t="shared" si="39"/>
        <v>18614.000660277186</v>
      </c>
      <c r="T60" s="119">
        <f t="shared" si="40"/>
        <v>19118.639530274035</v>
      </c>
      <c r="U60" s="119">
        <f t="shared" si="41"/>
        <v>21487.453089381263</v>
      </c>
      <c r="V60" s="119">
        <f t="shared" si="41"/>
        <v>21329.957113680168</v>
      </c>
      <c r="W60" s="119">
        <f t="shared" si="41"/>
        <v>18766.785722454038</v>
      </c>
      <c r="X60" s="119">
        <f t="shared" si="41"/>
        <v>18935.432555714488</v>
      </c>
      <c r="Y60" s="119">
        <f t="shared" si="41"/>
        <v>18894.37628661847</v>
      </c>
      <c r="Z60" s="119">
        <f t="shared" si="41"/>
        <v>18285.933622523553</v>
      </c>
      <c r="AA60" s="119">
        <f t="shared" si="41"/>
        <v>17569.773519358725</v>
      </c>
      <c r="AB60" s="119">
        <f t="shared" si="41"/>
        <v>17287.6705919136</v>
      </c>
      <c r="AC60" s="119">
        <f t="shared" si="41"/>
        <v>16900.482932129227</v>
      </c>
      <c r="AD60" s="119">
        <f t="shared" si="41"/>
        <v>16432.771858156728</v>
      </c>
      <c r="AE60" s="119">
        <f t="shared" si="41"/>
        <v>15998.756915213398</v>
      </c>
      <c r="AF60" s="119">
        <f t="shared" si="41"/>
        <v>15631.619243813433</v>
      </c>
      <c r="AG60" s="119">
        <f t="shared" si="41"/>
        <v>15245.211758881642</v>
      </c>
      <c r="AH60" s="119">
        <f t="shared" si="41"/>
        <v>14859.663908318482</v>
      </c>
      <c r="AI60" s="119">
        <f t="shared" si="41"/>
        <v>14483.019321697227</v>
      </c>
      <c r="AJ60" s="119">
        <f t="shared" si="41"/>
        <v>14123.10737836027</v>
      </c>
      <c r="AK60" s="119">
        <f t="shared" si="42"/>
        <v>13768.166876480644</v>
      </c>
      <c r="AL60" s="119">
        <f t="shared" si="42"/>
        <v>13423.884155064905</v>
      </c>
      <c r="AM60" s="119">
        <f t="shared" si="42"/>
        <v>13092.556962785971</v>
      </c>
      <c r="AN60" s="119">
        <f t="shared" si="42"/>
        <v>12761.484459367141</v>
      </c>
      <c r="AO60" s="119">
        <f t="shared" si="42"/>
        <v>12440.453202086926</v>
      </c>
      <c r="AP60" s="119">
        <f t="shared" si="42"/>
        <v>12130.652452618669</v>
      </c>
      <c r="AQ60" s="119">
        <f t="shared" si="42"/>
        <v>11832.216528999739</v>
      </c>
    </row>
    <row r="61" spans="1:43">
      <c r="A61" s="138" t="s">
        <v>132</v>
      </c>
      <c r="B61" s="113">
        <v>5536.1639999999998</v>
      </c>
      <c r="C61" s="113">
        <v>8155.9430000000002</v>
      </c>
      <c r="D61" s="113">
        <v>7953.2060000000001</v>
      </c>
      <c r="E61" s="113">
        <v>4833.6379999999999</v>
      </c>
      <c r="F61" s="113">
        <v>4870.4219999999996</v>
      </c>
      <c r="G61" s="113">
        <v>4762.2709999999997</v>
      </c>
      <c r="H61" s="113">
        <v>5857.4679999999998</v>
      </c>
      <c r="I61" s="113">
        <v>4794.5039999999999</v>
      </c>
      <c r="J61" s="113">
        <v>7001.8410000000003</v>
      </c>
      <c r="K61" s="113">
        <v>6148.1530000000002</v>
      </c>
      <c r="L61" s="13">
        <v>5385.2120000000004</v>
      </c>
      <c r="M61" s="13">
        <f>Data!$O6</f>
        <v>4930.68</v>
      </c>
      <c r="N61" s="13">
        <f>Data!$O18</f>
        <v>20526.968000000001</v>
      </c>
      <c r="O61" s="13">
        <f>Data!$O30</f>
        <v>17496.312000000002</v>
      </c>
      <c r="P61" s="13">
        <f>Data!$O42</f>
        <v>20157.171999999999</v>
      </c>
      <c r="Q61" s="13">
        <f>Data!$O54</f>
        <v>9131.7090000000007</v>
      </c>
      <c r="R61" s="119">
        <f t="shared" ref="R61:R68" si="43">R$70*(SUM(N61:Q61)/SUM(N$70:Q$70))</f>
        <v>19432.696761688476</v>
      </c>
      <c r="S61" s="119">
        <f t="shared" si="39"/>
        <v>16806.972416114215</v>
      </c>
      <c r="T61" s="119">
        <f t="shared" si="40"/>
        <v>14867.578436604575</v>
      </c>
      <c r="U61" s="119">
        <f t="shared" si="41"/>
        <v>13193.309062201888</v>
      </c>
      <c r="V61" s="119">
        <f t="shared" si="41"/>
        <v>14669.144439462347</v>
      </c>
      <c r="W61" s="119">
        <f t="shared" si="41"/>
        <v>13871.104956678199</v>
      </c>
      <c r="X61" s="119">
        <f t="shared" si="41"/>
        <v>13280.413311353423</v>
      </c>
      <c r="Y61" s="119">
        <f t="shared" si="41"/>
        <v>12909.332832805458</v>
      </c>
      <c r="Z61" s="119">
        <f t="shared" si="41"/>
        <v>12842.722333464495</v>
      </c>
      <c r="AA61" s="119">
        <f t="shared" si="41"/>
        <v>12412.826143908873</v>
      </c>
      <c r="AB61" s="119">
        <f t="shared" si="41"/>
        <v>12069.798182746159</v>
      </c>
      <c r="AC61" s="119">
        <f t="shared" si="41"/>
        <v>11785.352762810604</v>
      </c>
      <c r="AD61" s="119">
        <f t="shared" si="41"/>
        <v>11521.708137428823</v>
      </c>
      <c r="AE61" s="119">
        <f t="shared" si="41"/>
        <v>11212.314425804738</v>
      </c>
      <c r="AF61" s="119">
        <f t="shared" si="41"/>
        <v>10931.667580192749</v>
      </c>
      <c r="AG61" s="119">
        <f t="shared" si="41"/>
        <v>10666.133706538567</v>
      </c>
      <c r="AH61" s="119">
        <f t="shared" si="41"/>
        <v>10405.513666495423</v>
      </c>
      <c r="AI61" s="119">
        <f t="shared" si="41"/>
        <v>10138.337121513474</v>
      </c>
      <c r="AJ61" s="119">
        <f t="shared" si="41"/>
        <v>9883.3589897967413</v>
      </c>
      <c r="AK61" s="119">
        <f t="shared" si="42"/>
        <v>9636.6947896041693</v>
      </c>
      <c r="AL61" s="119">
        <f t="shared" si="42"/>
        <v>9396.7504143808928</v>
      </c>
      <c r="AM61" s="119">
        <f t="shared" si="42"/>
        <v>9163.9491314525567</v>
      </c>
      <c r="AN61" s="119">
        <f t="shared" si="42"/>
        <v>8931.9490523009044</v>
      </c>
      <c r="AO61" s="119">
        <f t="shared" si="42"/>
        <v>8707.632126580329</v>
      </c>
      <c r="AP61" s="119">
        <f t="shared" si="42"/>
        <v>8490.8505356023106</v>
      </c>
      <c r="AQ61" s="119">
        <f t="shared" si="42"/>
        <v>8281.7955055157054</v>
      </c>
    </row>
    <row r="62" spans="1:43">
      <c r="A62" s="138" t="s">
        <v>133</v>
      </c>
      <c r="B62" s="113">
        <v>7397.5140000000001</v>
      </c>
      <c r="C62" s="113">
        <v>8724.6929999999993</v>
      </c>
      <c r="D62" s="113">
        <v>6290.4459999999999</v>
      </c>
      <c r="E62" s="113">
        <v>5804.6440000000002</v>
      </c>
      <c r="F62" s="113">
        <v>5400.6040000000003</v>
      </c>
      <c r="G62" s="113">
        <v>5089.6289999999999</v>
      </c>
      <c r="H62" s="113">
        <v>4205.7830000000004</v>
      </c>
      <c r="I62" s="113">
        <v>5479.1660000000002</v>
      </c>
      <c r="J62" s="113">
        <v>5873.8739999999998</v>
      </c>
      <c r="K62" s="113">
        <v>4226.6379999999999</v>
      </c>
      <c r="L62" s="13">
        <v>4542.6310000000003</v>
      </c>
      <c r="M62" s="13">
        <f>Data!$O7</f>
        <v>15642.688</v>
      </c>
      <c r="N62" s="13">
        <f>Data!$O19</f>
        <v>18244.367999999999</v>
      </c>
      <c r="O62" s="13">
        <f>Data!$O31</f>
        <v>19803.794000000002</v>
      </c>
      <c r="P62" s="13">
        <f>Data!$O43</f>
        <v>16869.316999999999</v>
      </c>
      <c r="Q62" s="13">
        <f>Data!$O55</f>
        <v>24891.785</v>
      </c>
      <c r="R62" s="119">
        <f t="shared" si="43"/>
        <v>23040.550222203394</v>
      </c>
      <c r="S62" s="119">
        <f t="shared" si="39"/>
        <v>21473.976383528734</v>
      </c>
      <c r="T62" s="119">
        <f t="shared" si="40"/>
        <v>19574.821539353947</v>
      </c>
      <c r="U62" s="119">
        <f t="shared" si="41"/>
        <v>19488.312153256713</v>
      </c>
      <c r="V62" s="119">
        <f t="shared" si="41"/>
        <v>19066.907569630719</v>
      </c>
      <c r="W62" s="119">
        <f t="shared" si="41"/>
        <v>18546.376253081526</v>
      </c>
      <c r="X62" s="119">
        <f t="shared" si="41"/>
        <v>17990.707814356534</v>
      </c>
      <c r="Y62" s="119">
        <f t="shared" si="41"/>
        <v>17620.824521988696</v>
      </c>
      <c r="Z62" s="119">
        <f t="shared" si="41"/>
        <v>17182.643129530468</v>
      </c>
      <c r="AA62" s="119">
        <f t="shared" si="41"/>
        <v>16738.715516025823</v>
      </c>
      <c r="AB62" s="119">
        <f t="shared" si="41"/>
        <v>16313.405674679088</v>
      </c>
      <c r="AC62" s="119">
        <f t="shared" si="41"/>
        <v>15919.322259167104</v>
      </c>
      <c r="AD62" s="119">
        <f t="shared" si="41"/>
        <v>15520.204082253251</v>
      </c>
      <c r="AE62" s="119">
        <f t="shared" si="41"/>
        <v>15130.893341005429</v>
      </c>
      <c r="AF62" s="119">
        <f t="shared" si="41"/>
        <v>14755.039061705278</v>
      </c>
      <c r="AG62" s="119">
        <f t="shared" si="41"/>
        <v>14391.430883755551</v>
      </c>
      <c r="AH62" s="119">
        <f t="shared" si="41"/>
        <v>14035.614834711669</v>
      </c>
      <c r="AI62" s="119">
        <f t="shared" si="41"/>
        <v>13680.157832869463</v>
      </c>
      <c r="AJ62" s="119">
        <f t="shared" si="41"/>
        <v>13335.736238173478</v>
      </c>
      <c r="AK62" s="119">
        <f t="shared" si="42"/>
        <v>13001.781886973093</v>
      </c>
      <c r="AL62" s="119">
        <f t="shared" si="42"/>
        <v>12677.877709113491</v>
      </c>
      <c r="AM62" s="119">
        <f t="shared" si="42"/>
        <v>12364.553218763647</v>
      </c>
      <c r="AN62" s="119">
        <f t="shared" si="42"/>
        <v>12051.313253493772</v>
      </c>
      <c r="AO62" s="119">
        <f t="shared" si="42"/>
        <v>11748.481723345216</v>
      </c>
      <c r="AP62" s="119">
        <f t="shared" si="42"/>
        <v>11456.044861550909</v>
      </c>
      <c r="AQ62" s="119">
        <f t="shared" si="42"/>
        <v>11174.083458586467</v>
      </c>
    </row>
    <row r="63" spans="1:43">
      <c r="A63" s="138" t="s">
        <v>134</v>
      </c>
      <c r="B63" s="113">
        <v>6645.9459999999999</v>
      </c>
      <c r="C63" s="113">
        <v>10865.700999999999</v>
      </c>
      <c r="D63" s="113">
        <v>7503.3559999999998</v>
      </c>
      <c r="E63" s="113">
        <v>4190.7089999999998</v>
      </c>
      <c r="F63" s="113">
        <v>4502.6220000000003</v>
      </c>
      <c r="G63" s="113">
        <v>6302.2139999999999</v>
      </c>
      <c r="H63" s="113">
        <v>5139.8580000000002</v>
      </c>
      <c r="I63" s="113">
        <v>6678.5360000000001</v>
      </c>
      <c r="J63" s="113">
        <v>7569.2920000000004</v>
      </c>
      <c r="K63" s="113">
        <v>5814.2849999999999</v>
      </c>
      <c r="L63" s="13">
        <v>6011.1059999999998</v>
      </c>
      <c r="M63" s="13">
        <f>Data!$O8</f>
        <v>16964.847000000002</v>
      </c>
      <c r="N63" s="13">
        <f>Data!$O20</f>
        <v>20268.493999999999</v>
      </c>
      <c r="O63" s="13">
        <f>Data!$O32</f>
        <v>5013.2510000000002</v>
      </c>
      <c r="P63" s="13">
        <f>Data!$O44</f>
        <v>16858.906999999999</v>
      </c>
      <c r="Q63" s="13">
        <f>Data!$O56</f>
        <v>17304.011999999999</v>
      </c>
      <c r="R63" s="119">
        <f t="shared" si="43"/>
        <v>17161.388261067113</v>
      </c>
      <c r="S63" s="119">
        <f t="shared" si="39"/>
        <v>14299.214171467107</v>
      </c>
      <c r="T63" s="119">
        <f t="shared" si="40"/>
        <v>14889.12618297028</v>
      </c>
      <c r="U63" s="119">
        <f t="shared" si="41"/>
        <v>13941.202173889069</v>
      </c>
      <c r="V63" s="119">
        <f t="shared" si="41"/>
        <v>13754.41236982275</v>
      </c>
      <c r="W63" s="119">
        <f t="shared" si="41"/>
        <v>13252.989754851318</v>
      </c>
      <c r="X63" s="119">
        <f t="shared" si="41"/>
        <v>13101.294070100594</v>
      </c>
      <c r="Y63" s="119">
        <f t="shared" si="41"/>
        <v>12683.107675653033</v>
      </c>
      <c r="Z63" s="119">
        <f t="shared" si="41"/>
        <v>12387.91401127364</v>
      </c>
      <c r="AA63" s="119">
        <f t="shared" si="41"/>
        <v>12065.978444897741</v>
      </c>
      <c r="AB63" s="119">
        <f t="shared" si="41"/>
        <v>11786.618708737435</v>
      </c>
      <c r="AC63" s="119">
        <f t="shared" si="41"/>
        <v>11477.77018365398</v>
      </c>
      <c r="AD63" s="119">
        <f t="shared" si="41"/>
        <v>11195.037272491996</v>
      </c>
      <c r="AE63" s="119">
        <f t="shared" si="41"/>
        <v>10915.691593195092</v>
      </c>
      <c r="AF63" s="119">
        <f t="shared" si="41"/>
        <v>10646.801958180824</v>
      </c>
      <c r="AG63" s="119">
        <f t="shared" si="41"/>
        <v>10380.831878127583</v>
      </c>
      <c r="AH63" s="119">
        <f t="shared" si="41"/>
        <v>10125.38586648305</v>
      </c>
      <c r="AI63" s="119">
        <f t="shared" si="41"/>
        <v>9869.2714537504271</v>
      </c>
      <c r="AJ63" s="119">
        <f t="shared" si="41"/>
        <v>9620.8385320301168</v>
      </c>
      <c r="AK63" s="119">
        <f t="shared" si="42"/>
        <v>9379.4364332900768</v>
      </c>
      <c r="AL63" s="119">
        <f t="shared" si="42"/>
        <v>9146.0293266348835</v>
      </c>
      <c r="AM63" s="119">
        <f t="shared" si="42"/>
        <v>8920.0241147275719</v>
      </c>
      <c r="AN63" s="119">
        <f t="shared" si="42"/>
        <v>8694.0128010796307</v>
      </c>
      <c r="AO63" s="119">
        <f t="shared" si="42"/>
        <v>8475.4931228264923</v>
      </c>
      <c r="AP63" s="119">
        <f t="shared" si="42"/>
        <v>8264.5731502458057</v>
      </c>
      <c r="AQ63" s="119">
        <f t="shared" si="42"/>
        <v>8061.1601780923402</v>
      </c>
    </row>
    <row r="64" spans="1:43">
      <c r="A64" s="138" t="s">
        <v>135</v>
      </c>
      <c r="B64" s="113">
        <v>7398.4930000000004</v>
      </c>
      <c r="C64" s="113">
        <v>7460.7569999999996</v>
      </c>
      <c r="D64" s="113">
        <v>6609.3360000000002</v>
      </c>
      <c r="E64" s="113">
        <v>4740.3109999999997</v>
      </c>
      <c r="F64" s="113">
        <v>4379.7120000000004</v>
      </c>
      <c r="G64" s="113">
        <v>6304.89</v>
      </c>
      <c r="H64" s="113">
        <v>4821.1959999999999</v>
      </c>
      <c r="I64" s="113">
        <v>6522.1279999999997</v>
      </c>
      <c r="J64" s="113">
        <v>7231.9409999999998</v>
      </c>
      <c r="K64" s="113">
        <v>6759.9059999999999</v>
      </c>
      <c r="L64" s="13">
        <v>7256.8760000000002</v>
      </c>
      <c r="M64" s="13">
        <f>Data!$O9</f>
        <v>15926.055</v>
      </c>
      <c r="N64" s="13">
        <f>Data!$O21</f>
        <v>6681.3829999999998</v>
      </c>
      <c r="O64" s="13">
        <f>Data!$O33</f>
        <v>17620.254000000001</v>
      </c>
      <c r="P64" s="13">
        <f>Data!$O45</f>
        <v>6490.7560000000003</v>
      </c>
      <c r="Q64" s="13">
        <f>Data!$O57</f>
        <v>9690.777</v>
      </c>
      <c r="R64" s="119">
        <f t="shared" si="43"/>
        <v>11687.29624594706</v>
      </c>
      <c r="S64" s="119">
        <f t="shared" si="39"/>
        <v>11545.728353779254</v>
      </c>
      <c r="T64" s="119">
        <f t="shared" si="40"/>
        <v>8942.6520969557914</v>
      </c>
      <c r="U64" s="119">
        <f t="shared" si="41"/>
        <v>9169.4327724558443</v>
      </c>
      <c r="V64" s="119">
        <f t="shared" si="41"/>
        <v>9432.2260026217573</v>
      </c>
      <c r="W64" s="119">
        <f t="shared" si="41"/>
        <v>9107.3113728470198</v>
      </c>
      <c r="X64" s="119">
        <f t="shared" si="41"/>
        <v>8599.6274747453153</v>
      </c>
      <c r="Y64" s="119">
        <f t="shared" si="41"/>
        <v>8520.0133043592923</v>
      </c>
      <c r="Z64" s="119">
        <f t="shared" si="41"/>
        <v>8367.6404347871321</v>
      </c>
      <c r="AA64" s="119">
        <f t="shared" si="41"/>
        <v>8116.9689573393189</v>
      </c>
      <c r="AB64" s="119">
        <f t="shared" si="41"/>
        <v>7884.0352773392606</v>
      </c>
      <c r="AC64" s="119">
        <f t="shared" si="41"/>
        <v>7715.8735763715058</v>
      </c>
      <c r="AD64" s="119">
        <f t="shared" si="41"/>
        <v>7527.248833803932</v>
      </c>
      <c r="AE64" s="119">
        <f t="shared" si="41"/>
        <v>7330.4306198823624</v>
      </c>
      <c r="AF64" s="119">
        <f t="shared" si="41"/>
        <v>7146.5580003905752</v>
      </c>
      <c r="AG64" s="119">
        <f t="shared" si="41"/>
        <v>6974.5083446794715</v>
      </c>
      <c r="AH64" s="119">
        <f t="shared" si="41"/>
        <v>6801.8572045980645</v>
      </c>
      <c r="AI64" s="119">
        <f t="shared" si="41"/>
        <v>6628.2045061087256</v>
      </c>
      <c r="AJ64" s="119">
        <f t="shared" si="41"/>
        <v>6461.4858635862292</v>
      </c>
      <c r="AK64" s="119">
        <f t="shared" si="42"/>
        <v>6300.2900017179791</v>
      </c>
      <c r="AL64" s="119">
        <f t="shared" si="42"/>
        <v>6143.1396478511115</v>
      </c>
      <c r="AM64" s="119">
        <f t="shared" si="42"/>
        <v>5991.1244753881556</v>
      </c>
      <c r="AN64" s="119">
        <f t="shared" si="42"/>
        <v>5839.4370217030837</v>
      </c>
      <c r="AO64" s="119">
        <f t="shared" si="42"/>
        <v>5692.77465916049</v>
      </c>
      <c r="AP64" s="119">
        <f t="shared" si="42"/>
        <v>5551.0207306180919</v>
      </c>
      <c r="AQ64" s="119">
        <f t="shared" si="42"/>
        <v>5414.377602840068</v>
      </c>
    </row>
    <row r="65" spans="1:43">
      <c r="A65" s="138" t="s">
        <v>136</v>
      </c>
      <c r="B65" s="113">
        <v>9461.3279999999995</v>
      </c>
      <c r="C65" s="113">
        <v>5843.2449999999999</v>
      </c>
      <c r="D65" s="113">
        <v>5563.1670000000004</v>
      </c>
      <c r="E65" s="113">
        <v>4171.4049999999997</v>
      </c>
      <c r="F65" s="113">
        <v>5624.5429999999997</v>
      </c>
      <c r="G65" s="113">
        <v>5058.2</v>
      </c>
      <c r="H65" s="113">
        <v>5845.2160000000003</v>
      </c>
      <c r="I65" s="113">
        <v>7721.7330000000002</v>
      </c>
      <c r="J65" s="113">
        <v>8164.1289999999999</v>
      </c>
      <c r="K65" s="113">
        <v>6641.38</v>
      </c>
      <c r="L65" s="13">
        <v>11496.346</v>
      </c>
      <c r="M65" s="13">
        <f>Data!$O10</f>
        <v>5705.3190000000004</v>
      </c>
      <c r="N65" s="13">
        <f>Data!$O22</f>
        <v>22090.998</v>
      </c>
      <c r="O65" s="13">
        <f>Data!$O34</f>
        <v>6101.3320000000003</v>
      </c>
      <c r="P65" s="13">
        <f>Data!$O46</f>
        <v>21560.032999999999</v>
      </c>
      <c r="Q65" s="13">
        <f>Data!$O58</f>
        <v>26393.870999999999</v>
      </c>
      <c r="R65" s="119">
        <f t="shared" si="43"/>
        <v>21983.05109928907</v>
      </c>
      <c r="S65" s="119">
        <f t="shared" si="39"/>
        <v>19299.518580939719</v>
      </c>
      <c r="T65" s="119">
        <f t="shared" si="40"/>
        <v>20246.598898448108</v>
      </c>
      <c r="U65" s="119">
        <f t="shared" si="41"/>
        <v>19256.572491367795</v>
      </c>
      <c r="V65" s="119">
        <f t="shared" si="41"/>
        <v>18429.975814448644</v>
      </c>
      <c r="W65" s="119">
        <f t="shared" si="41"/>
        <v>17993.891778865593</v>
      </c>
      <c r="X65" s="119">
        <f t="shared" si="41"/>
        <v>17814.879956823454</v>
      </c>
      <c r="Y65" s="119">
        <f t="shared" si="41"/>
        <v>17246.083450240534</v>
      </c>
      <c r="Z65" s="119">
        <f t="shared" si="41"/>
        <v>16774.345156240623</v>
      </c>
      <c r="AA65" s="119">
        <f t="shared" si="41"/>
        <v>16384.105408152642</v>
      </c>
      <c r="AB65" s="119">
        <f t="shared" si="41"/>
        <v>16005.245277302265</v>
      </c>
      <c r="AC65" s="119">
        <f t="shared" si="41"/>
        <v>15580.126792012095</v>
      </c>
      <c r="AD65" s="119">
        <f t="shared" si="41"/>
        <v>15189.346453061182</v>
      </c>
      <c r="AE65" s="119">
        <f t="shared" si="41"/>
        <v>14818.189098985644</v>
      </c>
      <c r="AF65" s="119">
        <f t="shared" si="41"/>
        <v>14452.138570073623</v>
      </c>
      <c r="AG65" s="119">
        <f t="shared" si="41"/>
        <v>14089.721672287917</v>
      </c>
      <c r="AH65" s="119">
        <f t="shared" si="41"/>
        <v>13742.645467636194</v>
      </c>
      <c r="AI65" s="119">
        <f t="shared" si="41"/>
        <v>13396.226754972819</v>
      </c>
      <c r="AJ65" s="119">
        <f t="shared" si="41"/>
        <v>13058.640102436619</v>
      </c>
      <c r="AK65" s="119">
        <f t="shared" si="42"/>
        <v>12730.760280030187</v>
      </c>
      <c r="AL65" s="119">
        <f t="shared" si="42"/>
        <v>12414.011387666545</v>
      </c>
      <c r="AM65" s="119">
        <f t="shared" si="42"/>
        <v>12107.406265106165</v>
      </c>
      <c r="AN65" s="119">
        <f t="shared" si="42"/>
        <v>11800.545531029757</v>
      </c>
      <c r="AO65" s="119">
        <f t="shared" si="42"/>
        <v>11503.922013093961</v>
      </c>
      <c r="AP65" s="119">
        <f t="shared" si="42"/>
        <v>11217.660051527771</v>
      </c>
      <c r="AQ65" s="119">
        <f t="shared" si="42"/>
        <v>10941.579217326906</v>
      </c>
    </row>
    <row r="66" spans="1:43">
      <c r="A66" s="138" t="s">
        <v>137</v>
      </c>
      <c r="B66" s="113">
        <v>5164.1490000000003</v>
      </c>
      <c r="C66" s="113">
        <v>4328.7749999999996</v>
      </c>
      <c r="D66" s="113">
        <v>6535.0389999999998</v>
      </c>
      <c r="E66" s="113">
        <v>1819.1790000000001</v>
      </c>
      <c r="F66" s="113">
        <v>3705.741</v>
      </c>
      <c r="G66" s="113">
        <v>4518.8159999999998</v>
      </c>
      <c r="H66" s="113">
        <v>4671.9340000000002</v>
      </c>
      <c r="I66" s="113">
        <v>7387.8310000000001</v>
      </c>
      <c r="J66" s="113">
        <v>8374.8279999999995</v>
      </c>
      <c r="K66" s="113">
        <v>5733.1629999999996</v>
      </c>
      <c r="L66" s="13">
        <v>7452.37</v>
      </c>
      <c r="M66" s="13">
        <f>Data!$O11</f>
        <v>19069.946</v>
      </c>
      <c r="N66" s="13">
        <f>Data!$O23</f>
        <v>17127.453000000001</v>
      </c>
      <c r="O66" s="13">
        <f>Data!$O35</f>
        <v>17856.342000000001</v>
      </c>
      <c r="P66" s="13">
        <f>Data!$O47</f>
        <v>22189.611000000001</v>
      </c>
      <c r="Q66" s="13">
        <f>Data!$O59</f>
        <v>10274.927</v>
      </c>
      <c r="R66" s="119">
        <f t="shared" si="43"/>
        <v>19472.008962398129</v>
      </c>
      <c r="S66" s="119">
        <f t="shared" si="39"/>
        <v>17714.354290864336</v>
      </c>
      <c r="T66" s="119">
        <f t="shared" si="40"/>
        <v>15802.886448018218</v>
      </c>
      <c r="U66" s="119">
        <f t="shared" si="41"/>
        <v>13855.881354792964</v>
      </c>
      <c r="V66" s="119">
        <f t="shared" si="41"/>
        <v>15249.648420120702</v>
      </c>
      <c r="W66" s="119">
        <f t="shared" si="41"/>
        <v>14590.03575833912</v>
      </c>
      <c r="X66" s="119">
        <f t="shared" si="41"/>
        <v>13960.214883378692</v>
      </c>
      <c r="Y66" s="119">
        <f t="shared" si="41"/>
        <v>13529.247847242959</v>
      </c>
      <c r="Z66" s="119">
        <f t="shared" si="41"/>
        <v>13452.628820800735</v>
      </c>
      <c r="AA66" s="119">
        <f t="shared" si="41"/>
        <v>13029.566756081336</v>
      </c>
      <c r="AB66" s="119">
        <f t="shared" si="41"/>
        <v>12662.51905353172</v>
      </c>
      <c r="AC66" s="119">
        <f t="shared" si="41"/>
        <v>12357.622970435483</v>
      </c>
      <c r="AD66" s="119">
        <f t="shared" si="41"/>
        <v>12082.802916776447</v>
      </c>
      <c r="AE66" s="119">
        <f t="shared" si="41"/>
        <v>11761.983395190964</v>
      </c>
      <c r="AF66" s="119">
        <f t="shared" si="41"/>
        <v>11465.649906787714</v>
      </c>
      <c r="AG66" s="119">
        <f t="shared" si="41"/>
        <v>11186.407623076406</v>
      </c>
      <c r="AH66" s="119">
        <f t="shared" si="41"/>
        <v>10913.684618131605</v>
      </c>
      <c r="AI66" s="119">
        <f t="shared" si="41"/>
        <v>10633.832460883696</v>
      </c>
      <c r="AJ66" s="119">
        <f t="shared" si="41"/>
        <v>10365.997571265203</v>
      </c>
      <c r="AK66" s="119">
        <f t="shared" si="42"/>
        <v>10107.252444966916</v>
      </c>
      <c r="AL66" s="119">
        <f t="shared" si="42"/>
        <v>9855.7208758945835</v>
      </c>
      <c r="AM66" s="119">
        <f t="shared" si="42"/>
        <v>9611.5654320182948</v>
      </c>
      <c r="AN66" s="119">
        <f t="shared" si="42"/>
        <v>9368.1664467608371</v>
      </c>
      <c r="AO66" s="119">
        <f t="shared" si="42"/>
        <v>9132.9045965386103</v>
      </c>
      <c r="AP66" s="119">
        <f t="shared" si="42"/>
        <v>8905.5565563993841</v>
      </c>
      <c r="AQ66" s="119">
        <f t="shared" si="42"/>
        <v>8686.2865227932707</v>
      </c>
    </row>
    <row r="67" spans="1:43">
      <c r="A67" s="138" t="s">
        <v>138</v>
      </c>
      <c r="B67" s="113">
        <v>5157.1850000000004</v>
      </c>
      <c r="C67" s="113">
        <v>7965.424</v>
      </c>
      <c r="D67" s="113">
        <v>6467.2579999999998</v>
      </c>
      <c r="E67" s="113">
        <v>4199.0379999999996</v>
      </c>
      <c r="F67" s="113">
        <v>4952.7939999999999</v>
      </c>
      <c r="G67" s="113">
        <v>5105.442</v>
      </c>
      <c r="H67" s="113">
        <v>6303.2569999999996</v>
      </c>
      <c r="I67" s="113">
        <v>6865.7719999999999</v>
      </c>
      <c r="J67" s="113">
        <v>7748.8370000000004</v>
      </c>
      <c r="K67" s="113">
        <v>5122.6779999999999</v>
      </c>
      <c r="L67" s="13">
        <v>5955.0209999999997</v>
      </c>
      <c r="M67" s="13">
        <f>Data!$O12</f>
        <v>17988.742999999999</v>
      </c>
      <c r="N67" s="13">
        <f>Data!$O24</f>
        <v>5567.3059999999996</v>
      </c>
      <c r="O67" s="13">
        <f>Data!$O36</f>
        <v>4985.8860000000004</v>
      </c>
      <c r="P67" s="13">
        <f>Data!$O48</f>
        <v>6043.8789999999999</v>
      </c>
      <c r="Q67" s="13">
        <f>Data!$O60</f>
        <v>26071.745999999999</v>
      </c>
      <c r="R67" s="119">
        <f t="shared" si="43"/>
        <v>12318.282010600999</v>
      </c>
      <c r="S67" s="119">
        <f t="shared" si="39"/>
        <v>12543.394253856179</v>
      </c>
      <c r="T67" s="119">
        <f t="shared" si="40"/>
        <v>12927.410927860263</v>
      </c>
      <c r="U67" s="119">
        <f t="shared" si="41"/>
        <v>13986.558808929578</v>
      </c>
      <c r="V67" s="119">
        <f t="shared" si="41"/>
        <v>11811.786225406837</v>
      </c>
      <c r="W67" s="119">
        <f t="shared" si="41"/>
        <v>11944.836180428609</v>
      </c>
      <c r="X67" s="119">
        <f t="shared" si="41"/>
        <v>11888.920316813559</v>
      </c>
      <c r="Y67" s="119">
        <f t="shared" si="41"/>
        <v>11646.447206992552</v>
      </c>
      <c r="Z67" s="119">
        <f t="shared" si="41"/>
        <v>11097.349620943582</v>
      </c>
      <c r="AA67" s="119">
        <f t="shared" si="41"/>
        <v>10928.544786337943</v>
      </c>
      <c r="AB67" s="119">
        <f t="shared" si="41"/>
        <v>10689.320384012306</v>
      </c>
      <c r="AC67" s="119">
        <f t="shared" si="41"/>
        <v>10407.50814122359</v>
      </c>
      <c r="AD67" s="119">
        <f t="shared" si="41"/>
        <v>10116.887634625968</v>
      </c>
      <c r="AE67" s="119">
        <f t="shared" si="41"/>
        <v>9887.3277381870976</v>
      </c>
      <c r="AF67" s="119">
        <f t="shared" si="41"/>
        <v>9643.9347439294561</v>
      </c>
      <c r="AG67" s="119">
        <f t="shared" si="41"/>
        <v>9399.9824726630268</v>
      </c>
      <c r="AH67" s="119">
        <f t="shared" si="41"/>
        <v>9165.3318547259951</v>
      </c>
      <c r="AI67" s="119">
        <f t="shared" si="41"/>
        <v>8937.4132558116562</v>
      </c>
      <c r="AJ67" s="119">
        <f t="shared" si="41"/>
        <v>8711.8985843425489</v>
      </c>
      <c r="AK67" s="119">
        <f t="shared" si="42"/>
        <v>8492.5992802017918</v>
      </c>
      <c r="AL67" s="119">
        <f t="shared" si="42"/>
        <v>8281.1037426100338</v>
      </c>
      <c r="AM67" s="119">
        <f t="shared" si="42"/>
        <v>8077.0609587300387</v>
      </c>
      <c r="AN67" s="119">
        <f t="shared" si="42"/>
        <v>7872.218008339556</v>
      </c>
      <c r="AO67" s="119">
        <f t="shared" si="42"/>
        <v>7674.2453071954533</v>
      </c>
      <c r="AP67" s="119">
        <f t="shared" si="42"/>
        <v>7483.2963298079894</v>
      </c>
      <c r="AQ67" s="119">
        <f t="shared" si="42"/>
        <v>7299.1881680609977</v>
      </c>
    </row>
    <row r="68" spans="1:43">
      <c r="A68" s="138" t="s">
        <v>139</v>
      </c>
      <c r="B68" s="113">
        <v>5995.8829999999998</v>
      </c>
      <c r="C68" s="113">
        <v>7470.8789999999999</v>
      </c>
      <c r="D68" s="113">
        <v>6199.7529999999997</v>
      </c>
      <c r="E68" s="113">
        <v>4401.8209999999999</v>
      </c>
      <c r="F68" s="113">
        <v>5362.8379999999997</v>
      </c>
      <c r="G68" s="113">
        <v>5620.768</v>
      </c>
      <c r="H68" s="113">
        <v>4906.277</v>
      </c>
      <c r="I68" s="113">
        <v>5861.4489999999996</v>
      </c>
      <c r="J68" s="113">
        <v>7541.5709999999999</v>
      </c>
      <c r="K68" s="113">
        <v>4036.01</v>
      </c>
      <c r="L68" s="13">
        <v>5626.6930000000002</v>
      </c>
      <c r="M68" s="13">
        <f>Data!$O13</f>
        <v>4343.3670000000002</v>
      </c>
      <c r="N68" s="13">
        <f>Data!$O25</f>
        <v>16988.506000000001</v>
      </c>
      <c r="O68" s="13">
        <f>Data!$O37</f>
        <v>14845.02</v>
      </c>
      <c r="P68" s="13">
        <f>Data!$O49</f>
        <v>21123.800999999999</v>
      </c>
      <c r="Q68" s="13">
        <f>Data!$O61</f>
        <v>25598.999</v>
      </c>
      <c r="R68" s="119">
        <f t="shared" si="43"/>
        <v>22678.833054703802</v>
      </c>
      <c r="S68" s="119">
        <f t="shared" si="39"/>
        <v>21382.909952826118</v>
      </c>
      <c r="T68" s="119">
        <f t="shared" si="40"/>
        <v>20597.835757595767</v>
      </c>
      <c r="U68" s="119">
        <f t="shared" si="41"/>
        <v>19768.09325554092</v>
      </c>
      <c r="V68" s="119">
        <f t="shared" si="41"/>
        <v>19260.824160317719</v>
      </c>
      <c r="W68" s="119">
        <f t="shared" si="41"/>
        <v>18873.867637699783</v>
      </c>
      <c r="X68" s="119">
        <f t="shared" si="41"/>
        <v>18418.723487920422</v>
      </c>
      <c r="Y68" s="119">
        <f t="shared" si="41"/>
        <v>17909.2642172489</v>
      </c>
      <c r="Z68" s="119">
        <f t="shared" si="41"/>
        <v>17473.115201718403</v>
      </c>
      <c r="AA68" s="119">
        <f t="shared" si="41"/>
        <v>17051.811736383752</v>
      </c>
      <c r="AB68" s="119">
        <f t="shared" si="41"/>
        <v>16623.102009521663</v>
      </c>
      <c r="AC68" s="119">
        <f t="shared" si="41"/>
        <v>16201.249196931349</v>
      </c>
      <c r="AD68" s="119">
        <f t="shared" si="41"/>
        <v>15800.604250522416</v>
      </c>
      <c r="AE68" s="119">
        <f t="shared" si="41"/>
        <v>15408.943598312409</v>
      </c>
      <c r="AF68" s="119">
        <f t="shared" si="41"/>
        <v>15024.891957011245</v>
      </c>
      <c r="AG68" s="119">
        <f t="shared" si="41"/>
        <v>14651.971976469225</v>
      </c>
      <c r="AH68" s="119">
        <f t="shared" si="41"/>
        <v>14291.187117609457</v>
      </c>
      <c r="AI68" s="119">
        <f t="shared" si="41"/>
        <v>13929.774890887726</v>
      </c>
      <c r="AJ68" s="119">
        <f t="shared" si="41"/>
        <v>13578.60858180082</v>
      </c>
      <c r="AK68" s="119">
        <f t="shared" si="42"/>
        <v>13238.306742442117</v>
      </c>
      <c r="AL68" s="119">
        <f t="shared" si="42"/>
        <v>12908.80662325087</v>
      </c>
      <c r="AM68" s="119">
        <f t="shared" si="42"/>
        <v>12589.795532430388</v>
      </c>
      <c r="AN68" s="119">
        <f t="shared" si="42"/>
        <v>12270.753490209861</v>
      </c>
      <c r="AO68" s="119">
        <f t="shared" si="42"/>
        <v>11962.397370622242</v>
      </c>
      <c r="AP68" s="119">
        <f t="shared" si="42"/>
        <v>11664.68528097395</v>
      </c>
      <c r="AQ68" s="119">
        <f t="shared" si="42"/>
        <v>11377.580239349341</v>
      </c>
    </row>
    <row r="69" spans="1:43">
      <c r="A69" s="138" t="s">
        <v>140</v>
      </c>
      <c r="B69" s="113">
        <v>5962.9049999999997</v>
      </c>
      <c r="C69" s="113">
        <v>5962.6279999999997</v>
      </c>
      <c r="D69" s="113">
        <v>4311.4639999999999</v>
      </c>
      <c r="E69" s="113">
        <v>4047.5479999999998</v>
      </c>
      <c r="F69" s="113">
        <v>5518.4989999999998</v>
      </c>
      <c r="G69" s="113">
        <v>6106.1289999999999</v>
      </c>
      <c r="H69" s="113">
        <v>6778.7</v>
      </c>
      <c r="I69" s="113">
        <v>7667.25</v>
      </c>
      <c r="J69" s="113">
        <v>6089.491</v>
      </c>
      <c r="K69" s="113">
        <v>6485.3450000000003</v>
      </c>
      <c r="L69" s="13">
        <v>9226.0259999999998</v>
      </c>
      <c r="M69" s="13">
        <f>Data!$O14</f>
        <v>16497.333999999999</v>
      </c>
      <c r="N69" s="13">
        <f>Data!$O26</f>
        <v>16678.695</v>
      </c>
      <c r="O69" s="13">
        <f>Data!$O38</f>
        <v>16095.573</v>
      </c>
      <c r="P69" s="13">
        <f>Data!$O50</f>
        <v>24278.955999999998</v>
      </c>
      <c r="Q69" s="13">
        <f>Data!$O62</f>
        <v>34356.29</v>
      </c>
      <c r="R69" s="119">
        <f>R70-SUM(R58:R68)</f>
        <v>4837.9743821019656</v>
      </c>
      <c r="S69" s="119">
        <f t="shared" ref="S69:AQ69" si="44">S70-SUM(S58:S68)</f>
        <v>20195.607567219733</v>
      </c>
      <c r="T69" s="119">
        <f t="shared" si="44"/>
        <v>18983.372268423758</v>
      </c>
      <c r="U69" s="119">
        <f t="shared" si="44"/>
        <v>17165.012332315906</v>
      </c>
      <c r="V69" s="119">
        <f t="shared" si="44"/>
        <v>13957.687939266121</v>
      </c>
      <c r="W69" s="119">
        <f t="shared" si="44"/>
        <v>16379.090516440338</v>
      </c>
      <c r="X69" s="119">
        <f t="shared" si="44"/>
        <v>15599.517834793776</v>
      </c>
      <c r="Y69" s="119">
        <f t="shared" si="44"/>
        <v>14807.071167441609</v>
      </c>
      <c r="Z69" s="119">
        <f t="shared" si="44"/>
        <v>14253.79618910313</v>
      </c>
      <c r="AA69" s="119">
        <f t="shared" si="44"/>
        <v>14321.76223061615</v>
      </c>
      <c r="AB69" s="119">
        <f t="shared" si="44"/>
        <v>13838.051098846452</v>
      </c>
      <c r="AC69" s="119">
        <f t="shared" si="44"/>
        <v>13424.309939266503</v>
      </c>
      <c r="AD69" s="119">
        <f t="shared" si="44"/>
        <v>13099.96026434144</v>
      </c>
      <c r="AE69" s="119">
        <f t="shared" si="44"/>
        <v>12829.863510268653</v>
      </c>
      <c r="AF69" s="119">
        <f t="shared" si="44"/>
        <v>12480.995871866093</v>
      </c>
      <c r="AG69" s="119">
        <f t="shared" si="44"/>
        <v>12164.306636436202</v>
      </c>
      <c r="AH69" s="119">
        <f t="shared" si="44"/>
        <v>11870.934286453776</v>
      </c>
      <c r="AI69" s="119">
        <f t="shared" si="44"/>
        <v>11576.538574423801</v>
      </c>
      <c r="AJ69" s="119">
        <f t="shared" si="44"/>
        <v>11279.058612753477</v>
      </c>
      <c r="AK69" s="119">
        <f t="shared" si="44"/>
        <v>10996.250413831949</v>
      </c>
      <c r="AL69" s="119">
        <f t="shared" si="44"/>
        <v>10724.006416418109</v>
      </c>
      <c r="AM69" s="119">
        <f t="shared" si="44"/>
        <v>10459.336337026121</v>
      </c>
      <c r="AN69" s="119">
        <f t="shared" si="44"/>
        <v>10193.350437836241</v>
      </c>
      <c r="AO69" s="119">
        <f t="shared" si="44"/>
        <v>9937.3695133941073</v>
      </c>
      <c r="AP69" s="119">
        <f t="shared" si="44"/>
        <v>9690.298650209108</v>
      </c>
      <c r="AQ69" s="119">
        <f t="shared" si="44"/>
        <v>9451.7499526662868</v>
      </c>
    </row>
    <row r="70" spans="1:43" ht="12" thickBot="1">
      <c r="A70" s="138" t="s">
        <v>141</v>
      </c>
      <c r="B70" s="113">
        <f>SUM(B58:B69)</f>
        <v>74348.403999999995</v>
      </c>
      <c r="C70" s="113">
        <f t="shared" ref="C70:Q70" si="45">SUM(C58:C69)</f>
        <v>94006.204999999987</v>
      </c>
      <c r="D70" s="113">
        <f t="shared" si="45"/>
        <v>76964.204999999987</v>
      </c>
      <c r="E70" s="113">
        <f t="shared" si="45"/>
        <v>53978.93099999999</v>
      </c>
      <c r="F70" s="113">
        <f t="shared" si="45"/>
        <v>57964.134999999995</v>
      </c>
      <c r="G70" s="113">
        <f t="shared" si="45"/>
        <v>63449.017000000007</v>
      </c>
      <c r="H70" s="113">
        <f t="shared" si="45"/>
        <v>68189.476999999999</v>
      </c>
      <c r="I70" s="113">
        <f t="shared" si="45"/>
        <v>75783.632999999987</v>
      </c>
      <c r="J70" s="113">
        <f t="shared" si="45"/>
        <v>88099.473999999987</v>
      </c>
      <c r="K70" s="113">
        <f t="shared" si="45"/>
        <v>73151.229000000007</v>
      </c>
      <c r="L70" s="13">
        <f t="shared" si="45"/>
        <v>82614.967999999993</v>
      </c>
      <c r="M70" s="13">
        <f t="shared" si="45"/>
        <v>143023.20000000001</v>
      </c>
      <c r="N70" s="13">
        <f t="shared" si="45"/>
        <v>178285.49800000002</v>
      </c>
      <c r="O70" s="13">
        <f t="shared" si="45"/>
        <v>151746.18100000001</v>
      </c>
      <c r="P70" s="13">
        <f t="shared" si="45"/>
        <v>182915.79299999998</v>
      </c>
      <c r="Q70" s="13">
        <f t="shared" si="45"/>
        <v>241135.07400000005</v>
      </c>
      <c r="R70" s="119">
        <f t="shared" ref="R70:AQ70" si="46">R8</f>
        <v>217700</v>
      </c>
      <c r="S70" s="119">
        <f t="shared" si="46"/>
        <v>201400</v>
      </c>
      <c r="T70" s="119">
        <f t="shared" si="46"/>
        <v>191300</v>
      </c>
      <c r="U70" s="119">
        <f t="shared" si="46"/>
        <v>186500</v>
      </c>
      <c r="V70" s="119">
        <f t="shared" si="46"/>
        <v>181800</v>
      </c>
      <c r="W70" s="119">
        <f t="shared" si="46"/>
        <v>177300</v>
      </c>
      <c r="X70" s="119">
        <f t="shared" si="46"/>
        <v>172900</v>
      </c>
      <c r="Y70" s="119">
        <f t="shared" si="46"/>
        <v>168600</v>
      </c>
      <c r="Z70" s="119">
        <f t="shared" si="46"/>
        <v>164400</v>
      </c>
      <c r="AA70" s="119">
        <f t="shared" si="46"/>
        <v>160300</v>
      </c>
      <c r="AB70" s="119">
        <f t="shared" si="46"/>
        <v>156300</v>
      </c>
      <c r="AC70" s="119">
        <f t="shared" si="46"/>
        <v>152400</v>
      </c>
      <c r="AD70" s="119">
        <f t="shared" si="46"/>
        <v>148600</v>
      </c>
      <c r="AE70" s="119">
        <f t="shared" si="46"/>
        <v>144900</v>
      </c>
      <c r="AF70" s="119">
        <f t="shared" si="46"/>
        <v>141300</v>
      </c>
      <c r="AG70" s="119">
        <f t="shared" si="46"/>
        <v>137800</v>
      </c>
      <c r="AH70" s="119">
        <f t="shared" si="46"/>
        <v>134400</v>
      </c>
      <c r="AI70" s="119">
        <f t="shared" si="46"/>
        <v>131000</v>
      </c>
      <c r="AJ70" s="119">
        <f t="shared" si="46"/>
        <v>127700</v>
      </c>
      <c r="AK70" s="119">
        <f t="shared" si="46"/>
        <v>124500</v>
      </c>
      <c r="AL70" s="119">
        <f t="shared" si="46"/>
        <v>121400</v>
      </c>
      <c r="AM70" s="119">
        <f t="shared" si="46"/>
        <v>118400</v>
      </c>
      <c r="AN70" s="119">
        <f t="shared" si="46"/>
        <v>115400</v>
      </c>
      <c r="AO70" s="119">
        <f t="shared" si="46"/>
        <v>112500</v>
      </c>
      <c r="AP70" s="119">
        <f t="shared" si="46"/>
        <v>109700</v>
      </c>
      <c r="AQ70" s="119">
        <f t="shared" si="46"/>
        <v>107000</v>
      </c>
    </row>
    <row r="71" spans="1:43">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c r="AL71" s="141"/>
      <c r="AM71" s="141"/>
      <c r="AN71" s="141"/>
      <c r="AO71" s="141"/>
      <c r="AP71" s="141"/>
      <c r="AQ71" s="141"/>
    </row>
    <row r="72" spans="1:43" ht="12" thickBot="1">
      <c r="A72" s="138" t="s">
        <v>156</v>
      </c>
    </row>
    <row r="73" spans="1:43" ht="12" thickBot="1">
      <c r="A73" s="142"/>
      <c r="B73" s="142">
        <f>B2</f>
        <v>2009</v>
      </c>
      <c r="C73" s="142">
        <f t="shared" ref="C73:AQ73" si="47">C2</f>
        <v>2010</v>
      </c>
      <c r="D73" s="142">
        <f t="shared" si="47"/>
        <v>2011</v>
      </c>
      <c r="E73" s="142">
        <f t="shared" si="47"/>
        <v>2012</v>
      </c>
      <c r="F73" s="142">
        <f t="shared" si="47"/>
        <v>2013</v>
      </c>
      <c r="G73" s="142">
        <f t="shared" si="47"/>
        <v>2014</v>
      </c>
      <c r="H73" s="142">
        <f t="shared" si="47"/>
        <v>2015</v>
      </c>
      <c r="I73" s="142">
        <f t="shared" si="47"/>
        <v>2016</v>
      </c>
      <c r="J73" s="142">
        <f t="shared" si="47"/>
        <v>2017</v>
      </c>
      <c r="K73" s="142">
        <f t="shared" si="47"/>
        <v>2018</v>
      </c>
      <c r="L73" s="142">
        <f t="shared" si="47"/>
        <v>2019</v>
      </c>
      <c r="M73" s="142">
        <f t="shared" si="47"/>
        <v>2020</v>
      </c>
      <c r="N73" s="142">
        <f t="shared" si="47"/>
        <v>2021</v>
      </c>
      <c r="O73" s="142">
        <f t="shared" si="47"/>
        <v>2022</v>
      </c>
      <c r="P73" s="142">
        <f t="shared" si="47"/>
        <v>2023</v>
      </c>
      <c r="Q73" s="142">
        <f t="shared" si="47"/>
        <v>2024</v>
      </c>
      <c r="R73" s="142">
        <f t="shared" si="47"/>
        <v>2025</v>
      </c>
      <c r="S73" s="142">
        <f t="shared" si="47"/>
        <v>2026</v>
      </c>
      <c r="T73" s="142">
        <f t="shared" si="47"/>
        <v>2027</v>
      </c>
      <c r="U73" s="142">
        <f t="shared" si="47"/>
        <v>2028</v>
      </c>
      <c r="V73" s="142">
        <f t="shared" si="47"/>
        <v>2029</v>
      </c>
      <c r="W73" s="142">
        <f t="shared" si="47"/>
        <v>2030</v>
      </c>
      <c r="X73" s="142">
        <f t="shared" si="47"/>
        <v>2031</v>
      </c>
      <c r="Y73" s="142">
        <f t="shared" si="47"/>
        <v>2032</v>
      </c>
      <c r="Z73" s="142">
        <f t="shared" si="47"/>
        <v>2033</v>
      </c>
      <c r="AA73" s="142">
        <f t="shared" si="47"/>
        <v>2034</v>
      </c>
      <c r="AB73" s="142">
        <f t="shared" si="47"/>
        <v>2035</v>
      </c>
      <c r="AC73" s="142">
        <f t="shared" si="47"/>
        <v>2036</v>
      </c>
      <c r="AD73" s="142">
        <f t="shared" si="47"/>
        <v>2037</v>
      </c>
      <c r="AE73" s="142">
        <f t="shared" si="47"/>
        <v>2038</v>
      </c>
      <c r="AF73" s="142">
        <f t="shared" si="47"/>
        <v>2039</v>
      </c>
      <c r="AG73" s="142">
        <f t="shared" si="47"/>
        <v>2040</v>
      </c>
      <c r="AH73" s="142">
        <f t="shared" si="47"/>
        <v>2041</v>
      </c>
      <c r="AI73" s="142">
        <f t="shared" si="47"/>
        <v>2042</v>
      </c>
      <c r="AJ73" s="142">
        <f t="shared" si="47"/>
        <v>2043</v>
      </c>
      <c r="AK73" s="142">
        <f t="shared" si="47"/>
        <v>2044</v>
      </c>
      <c r="AL73" s="142">
        <f t="shared" si="47"/>
        <v>2045</v>
      </c>
      <c r="AM73" s="142">
        <f t="shared" si="47"/>
        <v>2046</v>
      </c>
      <c r="AN73" s="142">
        <f t="shared" si="47"/>
        <v>2047</v>
      </c>
      <c r="AO73" s="142">
        <f t="shared" si="47"/>
        <v>2048</v>
      </c>
      <c r="AP73" s="142">
        <f t="shared" si="47"/>
        <v>2049</v>
      </c>
      <c r="AQ73" s="142">
        <f t="shared" si="47"/>
        <v>2050</v>
      </c>
    </row>
    <row r="74" spans="1:43">
      <c r="A74" s="138" t="s">
        <v>129</v>
      </c>
      <c r="M74" s="13">
        <f t="shared" ref="M74:R74" si="48">L101+M26+M42-M58-M90</f>
        <v>247304.26099999994</v>
      </c>
      <c r="N74" s="13">
        <f t="shared" si="48"/>
        <v>179668.43000000002</v>
      </c>
      <c r="O74" s="13">
        <f t="shared" si="48"/>
        <v>267771.48600000003</v>
      </c>
      <c r="P74" s="13">
        <f t="shared" si="48"/>
        <v>329041.41000000003</v>
      </c>
      <c r="Q74" s="13">
        <f t="shared" si="48"/>
        <v>366629.13500000001</v>
      </c>
      <c r="R74" s="13">
        <f t="shared" si="48"/>
        <v>329775.46600000001</v>
      </c>
      <c r="S74" s="123">
        <f>S$86*(SUM(N74:R74)/SUM(N$86:R$86))</f>
        <v>306315.31122564874</v>
      </c>
      <c r="T74" s="123">
        <f t="shared" ref="T74:T84" si="49">T$86*(SUM(O74:S74)/SUM(O$86:S$86))</f>
        <v>309270.00374954171</v>
      </c>
      <c r="U74" s="123">
        <f t="shared" ref="U74:U84" si="50">U$86*(SUM(P74:T74)/SUM(P$86:T$86))</f>
        <v>308352.1868802699</v>
      </c>
      <c r="V74" s="123">
        <f t="shared" ref="V74:AK84" si="51">V$86*(SUM(Q74:U74)/SUM(Q$86:U$86))</f>
        <v>308127.0534784756</v>
      </c>
      <c r="W74" s="123">
        <f t="shared" si="51"/>
        <v>301886.86035292986</v>
      </c>
      <c r="X74" s="123">
        <f t="shared" si="51"/>
        <v>298449.84778121859</v>
      </c>
      <c r="Y74" s="123">
        <f t="shared" si="51"/>
        <v>297789.34108621342</v>
      </c>
      <c r="Z74" s="123">
        <f t="shared" si="51"/>
        <v>295792.26035421406</v>
      </c>
      <c r="AA74" s="123">
        <f t="shared" si="51"/>
        <v>293308.89719574171</v>
      </c>
      <c r="AB74" s="123">
        <f t="shared" si="51"/>
        <v>290478.56822477822</v>
      </c>
      <c r="AC74" s="123">
        <f t="shared" si="51"/>
        <v>288386.59776851709</v>
      </c>
      <c r="AD74" s="123">
        <f t="shared" si="51"/>
        <v>286630.30687433446</v>
      </c>
      <c r="AE74" s="123">
        <f t="shared" si="51"/>
        <v>284320.84523347265</v>
      </c>
      <c r="AF74" s="123">
        <f t="shared" si="51"/>
        <v>282289.6880610151</v>
      </c>
      <c r="AG74" s="123">
        <f t="shared" si="51"/>
        <v>280173.92626670009</v>
      </c>
      <c r="AH74" s="123">
        <f t="shared" si="51"/>
        <v>278683.11158387497</v>
      </c>
      <c r="AI74" s="123">
        <f t="shared" si="51"/>
        <v>276487.41607954988</v>
      </c>
      <c r="AJ74" s="123">
        <f t="shared" si="51"/>
        <v>274667.26041146141</v>
      </c>
      <c r="AK74" s="123">
        <f t="shared" si="51"/>
        <v>272954.67734293314</v>
      </c>
      <c r="AL74" s="123">
        <f t="shared" ref="AL74:AQ84" si="52">AL$86*(SUM(AG74:AK74)/SUM(AG$86:AK$86))</f>
        <v>271253.7839454565</v>
      </c>
      <c r="AM74" s="123">
        <f t="shared" si="52"/>
        <v>269666.41044537799</v>
      </c>
      <c r="AN74" s="123">
        <f t="shared" si="52"/>
        <v>267769.47354826843</v>
      </c>
      <c r="AO74" s="123">
        <f t="shared" si="52"/>
        <v>266272.46317743347</v>
      </c>
      <c r="AP74" s="123">
        <f t="shared" si="52"/>
        <v>264768.49855981371</v>
      </c>
      <c r="AQ74" s="123">
        <f t="shared" si="52"/>
        <v>263152.51117756125</v>
      </c>
    </row>
    <row r="75" spans="1:43">
      <c r="A75" s="138" t="s">
        <v>130</v>
      </c>
      <c r="M75" s="13">
        <f t="shared" ref="M75:R85" si="53">M90+M27+M43-M59-M91</f>
        <v>256149.80600000004</v>
      </c>
      <c r="N75" s="13">
        <f t="shared" si="53"/>
        <v>162474.86499999999</v>
      </c>
      <c r="O75" s="13">
        <f t="shared" si="53"/>
        <v>223105.834</v>
      </c>
      <c r="P75" s="13">
        <f t="shared" si="53"/>
        <v>279621.07</v>
      </c>
      <c r="Q75" s="13">
        <f t="shared" si="53"/>
        <v>302318.53600000002</v>
      </c>
      <c r="R75" s="13">
        <f t="shared" si="53"/>
        <v>319936.09700000001</v>
      </c>
      <c r="S75" s="123">
        <f>S$86*(SUM(N75:R75)/SUM(N$86:R$86))</f>
        <v>267751.63048189267</v>
      </c>
      <c r="T75" s="123">
        <f t="shared" si="49"/>
        <v>269285.24986432923</v>
      </c>
      <c r="U75" s="123">
        <f t="shared" si="50"/>
        <v>270373.77945279633</v>
      </c>
      <c r="V75" s="123">
        <f t="shared" si="51"/>
        <v>271867.62187706929</v>
      </c>
      <c r="W75" s="123">
        <f t="shared" si="51"/>
        <v>270453.07455909112</v>
      </c>
      <c r="X75" s="123">
        <f t="shared" si="51"/>
        <v>262607.48136768769</v>
      </c>
      <c r="Y75" s="123">
        <f t="shared" si="51"/>
        <v>262372.99272242963</v>
      </c>
      <c r="Z75" s="123">
        <f t="shared" si="51"/>
        <v>261238.95102959406</v>
      </c>
      <c r="AA75" s="123">
        <f t="shared" si="51"/>
        <v>259428.00897957056</v>
      </c>
      <c r="AB75" s="123">
        <f t="shared" si="51"/>
        <v>257054.86670405391</v>
      </c>
      <c r="AC75" s="123">
        <f t="shared" si="51"/>
        <v>254558.25284972915</v>
      </c>
      <c r="AD75" s="123">
        <f t="shared" si="51"/>
        <v>253170.98637907469</v>
      </c>
      <c r="AE75" s="123">
        <f t="shared" si="51"/>
        <v>251259.02668286953</v>
      </c>
      <c r="AF75" s="123">
        <f t="shared" si="51"/>
        <v>249494.87880558055</v>
      </c>
      <c r="AG75" s="123">
        <f t="shared" si="51"/>
        <v>247586.94675813094</v>
      </c>
      <c r="AH75" s="123">
        <f t="shared" si="51"/>
        <v>246198.61133398698</v>
      </c>
      <c r="AI75" s="123">
        <f t="shared" si="51"/>
        <v>244300.51464184368</v>
      </c>
      <c r="AJ75" s="123">
        <f t="shared" si="51"/>
        <v>242710.20539693587</v>
      </c>
      <c r="AK75" s="123">
        <f t="shared" si="51"/>
        <v>241193.26835408554</v>
      </c>
      <c r="AL75" s="123">
        <f t="shared" si="52"/>
        <v>239679.9303431361</v>
      </c>
      <c r="AM75" s="123">
        <f t="shared" si="52"/>
        <v>238272.38567852444</v>
      </c>
      <c r="AN75" s="123">
        <f t="shared" si="52"/>
        <v>236604.28381937041</v>
      </c>
      <c r="AO75" s="123">
        <f t="shared" si="52"/>
        <v>235282.89109639809</v>
      </c>
      <c r="AP75" s="123">
        <f t="shared" si="52"/>
        <v>233952.09068842806</v>
      </c>
      <c r="AQ75" s="123">
        <f t="shared" si="52"/>
        <v>232522.65829807677</v>
      </c>
    </row>
    <row r="76" spans="1:43">
      <c r="A76" s="138" t="s">
        <v>131</v>
      </c>
      <c r="M76" s="13">
        <f t="shared" si="53"/>
        <v>239271.81999999995</v>
      </c>
      <c r="N76" s="13">
        <f t="shared" si="53"/>
        <v>239261.05399999997</v>
      </c>
      <c r="O76" s="13">
        <f t="shared" si="53"/>
        <v>268666.04499999998</v>
      </c>
      <c r="P76" s="13">
        <f t="shared" si="53"/>
        <v>423021.22</v>
      </c>
      <c r="Q76" s="13">
        <f t="shared" si="53"/>
        <v>308327.12899999996</v>
      </c>
      <c r="R76" s="123">
        <f>R$86*(SUM(M76:Q76)/SUM(M$86:Q$86))</f>
        <v>338642.49482814741</v>
      </c>
      <c r="S76" s="123">
        <f>S$86*(SUM(N76:R76)/SUM(N$86:R$86))</f>
        <v>328158.76429101039</v>
      </c>
      <c r="T76" s="123">
        <f t="shared" si="49"/>
        <v>322279.15591290256</v>
      </c>
      <c r="U76" s="123">
        <f t="shared" si="50"/>
        <v>323271.08164480323</v>
      </c>
      <c r="V76" s="123">
        <f t="shared" si="51"/>
        <v>308191.04723954899</v>
      </c>
      <c r="W76" s="123">
        <f t="shared" si="51"/>
        <v>313233.42593913194</v>
      </c>
      <c r="X76" s="123">
        <f t="shared" si="51"/>
        <v>310353.59917151072</v>
      </c>
      <c r="Y76" s="123">
        <f t="shared" si="51"/>
        <v>307788.40300174948</v>
      </c>
      <c r="Z76" s="123">
        <f t="shared" si="51"/>
        <v>305211.69887039432</v>
      </c>
      <c r="AA76" s="123">
        <f t="shared" si="51"/>
        <v>301653.46123251627</v>
      </c>
      <c r="AB76" s="123">
        <f t="shared" si="51"/>
        <v>300442.27379376336</v>
      </c>
      <c r="AC76" s="123">
        <f t="shared" si="51"/>
        <v>298084.79114307609</v>
      </c>
      <c r="AD76" s="123">
        <f t="shared" si="51"/>
        <v>295904.31627734913</v>
      </c>
      <c r="AE76" s="123">
        <f t="shared" si="51"/>
        <v>293448.98279520054</v>
      </c>
      <c r="AF76" s="123">
        <f t="shared" si="51"/>
        <v>291367.67511707381</v>
      </c>
      <c r="AG76" s="123">
        <f t="shared" si="51"/>
        <v>289396.68520422501</v>
      </c>
      <c r="AH76" s="123">
        <f t="shared" si="51"/>
        <v>287778.05230181391</v>
      </c>
      <c r="AI76" s="123">
        <f t="shared" si="51"/>
        <v>285454.58818022034</v>
      </c>
      <c r="AJ76" s="123">
        <f t="shared" si="51"/>
        <v>283579.73439334595</v>
      </c>
      <c r="AK76" s="123">
        <f t="shared" si="51"/>
        <v>281830.71081749251</v>
      </c>
      <c r="AL76" s="123">
        <f t="shared" si="52"/>
        <v>280094.43599610258</v>
      </c>
      <c r="AM76" s="123">
        <f t="shared" si="52"/>
        <v>278437.39249339345</v>
      </c>
      <c r="AN76" s="123">
        <f t="shared" si="52"/>
        <v>276472.73732435913</v>
      </c>
      <c r="AO76" s="123">
        <f t="shared" si="52"/>
        <v>274930.88821984536</v>
      </c>
      <c r="AP76" s="123">
        <f t="shared" si="52"/>
        <v>273381.73654437426</v>
      </c>
      <c r="AQ76" s="123">
        <f t="shared" si="52"/>
        <v>271713.86873766518</v>
      </c>
    </row>
    <row r="77" spans="1:43">
      <c r="A77" s="138" t="s">
        <v>132</v>
      </c>
      <c r="M77" s="13">
        <f t="shared" si="53"/>
        <v>130670.595</v>
      </c>
      <c r="N77" s="13">
        <f t="shared" si="53"/>
        <v>215915.28399999999</v>
      </c>
      <c r="O77" s="13">
        <f t="shared" si="53"/>
        <v>256711.11200000002</v>
      </c>
      <c r="P77" s="13">
        <f t="shared" si="53"/>
        <v>306679.43099999998</v>
      </c>
      <c r="Q77" s="13">
        <f t="shared" si="53"/>
        <v>386434.76400000002</v>
      </c>
      <c r="R77" s="123">
        <f t="shared" ref="R77:S84" si="54">R$86*(SUM(M77:Q77)/SUM(M$86:Q$86))</f>
        <v>296926.53583135724</v>
      </c>
      <c r="S77" s="123">
        <f t="shared" si="54"/>
        <v>304190.1127315698</v>
      </c>
      <c r="T77" s="123">
        <f t="shared" si="49"/>
        <v>299874.95220204425</v>
      </c>
      <c r="U77" s="123">
        <f t="shared" si="50"/>
        <v>299534.81110455841</v>
      </c>
      <c r="V77" s="123">
        <f t="shared" si="51"/>
        <v>301779.27873607457</v>
      </c>
      <c r="W77" s="123">
        <f t="shared" si="51"/>
        <v>290379.51520791365</v>
      </c>
      <c r="X77" s="123">
        <f t="shared" si="51"/>
        <v>291018.96110166103</v>
      </c>
      <c r="Y77" s="123">
        <f t="shared" si="51"/>
        <v>289301.37227462296</v>
      </c>
      <c r="Z77" s="123">
        <f t="shared" si="51"/>
        <v>287474.45497208415</v>
      </c>
      <c r="AA77" s="123">
        <f t="shared" si="51"/>
        <v>285089.50908696302</v>
      </c>
      <c r="AB77" s="123">
        <f t="shared" si="51"/>
        <v>281891.83465629659</v>
      </c>
      <c r="AC77" s="123">
        <f t="shared" si="51"/>
        <v>280366.51596493577</v>
      </c>
      <c r="AD77" s="123">
        <f t="shared" si="51"/>
        <v>278489.12289353658</v>
      </c>
      <c r="AE77" s="123">
        <f t="shared" si="51"/>
        <v>276251.08851913345</v>
      </c>
      <c r="AF77" s="123">
        <f t="shared" si="51"/>
        <v>274262.41329264443</v>
      </c>
      <c r="AG77" s="123">
        <f t="shared" si="51"/>
        <v>272183.09834722633</v>
      </c>
      <c r="AH77" s="123">
        <f t="shared" si="51"/>
        <v>270793.99871064344</v>
      </c>
      <c r="AI77" s="123">
        <f t="shared" si="51"/>
        <v>268632.31939410354</v>
      </c>
      <c r="AJ77" s="123">
        <f t="shared" si="51"/>
        <v>266863.46830850758</v>
      </c>
      <c r="AK77" s="123">
        <f t="shared" si="51"/>
        <v>265197.91344986256</v>
      </c>
      <c r="AL77" s="123">
        <f t="shared" si="52"/>
        <v>263546.38159183215</v>
      </c>
      <c r="AM77" s="123">
        <f t="shared" si="52"/>
        <v>262009.99328445218</v>
      </c>
      <c r="AN77" s="123">
        <f t="shared" si="52"/>
        <v>260162.34235619096</v>
      </c>
      <c r="AO77" s="123">
        <f t="shared" si="52"/>
        <v>258707.9188967651</v>
      </c>
      <c r="AP77" s="123">
        <f t="shared" si="52"/>
        <v>257246.82969524505</v>
      </c>
      <c r="AQ77" s="123">
        <f t="shared" si="52"/>
        <v>255677.24860307379</v>
      </c>
    </row>
    <row r="78" spans="1:43">
      <c r="A78" s="138" t="s">
        <v>133</v>
      </c>
      <c r="M78" s="13">
        <f t="shared" si="53"/>
        <v>148001.55900000001</v>
      </c>
      <c r="N78" s="13">
        <f t="shared" si="53"/>
        <v>222168.66300000003</v>
      </c>
      <c r="O78" s="13">
        <f t="shared" si="53"/>
        <v>285158.663</v>
      </c>
      <c r="P78" s="13">
        <f t="shared" si="53"/>
        <v>372737.66700000002</v>
      </c>
      <c r="Q78" s="13">
        <f t="shared" si="53"/>
        <v>387909.38100000005</v>
      </c>
      <c r="R78" s="123">
        <f t="shared" si="54"/>
        <v>324311.32432874903</v>
      </c>
      <c r="S78" s="123">
        <f t="shared" si="54"/>
        <v>331146.81884235301</v>
      </c>
      <c r="T78" s="123">
        <f t="shared" si="49"/>
        <v>328939.7228070058</v>
      </c>
      <c r="U78" s="123">
        <f t="shared" si="50"/>
        <v>327896.49223160348</v>
      </c>
      <c r="V78" s="123">
        <f t="shared" si="51"/>
        <v>323313.68021146004</v>
      </c>
      <c r="W78" s="123">
        <f t="shared" si="51"/>
        <v>316145.4238221299</v>
      </c>
      <c r="X78" s="123">
        <f t="shared" si="51"/>
        <v>316639.66235583159</v>
      </c>
      <c r="Y78" s="123">
        <f t="shared" si="51"/>
        <v>314736.43055856775</v>
      </c>
      <c r="Z78" s="123">
        <f t="shared" si="51"/>
        <v>312221.58228019549</v>
      </c>
      <c r="AA78" s="123">
        <f t="shared" si="51"/>
        <v>309128.23908984824</v>
      </c>
      <c r="AB78" s="123">
        <f t="shared" si="51"/>
        <v>306424.9349040247</v>
      </c>
      <c r="AC78" s="123">
        <f t="shared" si="51"/>
        <v>304670.31174646376</v>
      </c>
      <c r="AD78" s="123">
        <f t="shared" si="51"/>
        <v>302553.22795571579</v>
      </c>
      <c r="AE78" s="123">
        <f t="shared" si="51"/>
        <v>300036.4525927825</v>
      </c>
      <c r="AF78" s="123">
        <f t="shared" si="51"/>
        <v>297877.44620515057</v>
      </c>
      <c r="AG78" s="123">
        <f t="shared" si="51"/>
        <v>295718.58726337028</v>
      </c>
      <c r="AH78" s="123">
        <f t="shared" si="51"/>
        <v>294178.38372474076</v>
      </c>
      <c r="AI78" s="123">
        <f t="shared" si="51"/>
        <v>291811.86716342374</v>
      </c>
      <c r="AJ78" s="123">
        <f t="shared" si="51"/>
        <v>289883.7175970666</v>
      </c>
      <c r="AK78" s="123">
        <f t="shared" si="51"/>
        <v>288083.24803541566</v>
      </c>
      <c r="AL78" s="123">
        <f t="shared" si="52"/>
        <v>286299.49902669957</v>
      </c>
      <c r="AM78" s="123">
        <f t="shared" si="52"/>
        <v>284623.25987002469</v>
      </c>
      <c r="AN78" s="123">
        <f t="shared" si="52"/>
        <v>282613.59415214835</v>
      </c>
      <c r="AO78" s="123">
        <f t="shared" si="52"/>
        <v>281034.17615235876</v>
      </c>
      <c r="AP78" s="123">
        <f t="shared" si="52"/>
        <v>279448.92608015938</v>
      </c>
      <c r="AQ78" s="123">
        <f t="shared" si="52"/>
        <v>277744.4676331071</v>
      </c>
    </row>
    <row r="79" spans="1:43">
      <c r="A79" s="138" t="s">
        <v>134</v>
      </c>
      <c r="M79" s="13">
        <f t="shared" si="53"/>
        <v>223366.283</v>
      </c>
      <c r="N79" s="13">
        <f t="shared" si="53"/>
        <v>247155.45299999998</v>
      </c>
      <c r="O79" s="13">
        <f t="shared" si="53"/>
        <v>294341.63299999997</v>
      </c>
      <c r="P79" s="13">
        <f t="shared" si="53"/>
        <v>317820.18299999996</v>
      </c>
      <c r="Q79" s="13">
        <f t="shared" si="53"/>
        <v>297971.73300000001</v>
      </c>
      <c r="R79" s="123">
        <f t="shared" si="54"/>
        <v>316221.57798344182</v>
      </c>
      <c r="S79" s="123">
        <f t="shared" si="54"/>
        <v>306445.21997793118</v>
      </c>
      <c r="T79" s="123">
        <f t="shared" si="49"/>
        <v>296367.26837625931</v>
      </c>
      <c r="U79" s="123">
        <f t="shared" si="50"/>
        <v>288396.04743878136</v>
      </c>
      <c r="V79" s="123">
        <f t="shared" si="51"/>
        <v>286269.81581904209</v>
      </c>
      <c r="W79" s="123">
        <f t="shared" si="51"/>
        <v>288716.11425979185</v>
      </c>
      <c r="X79" s="123">
        <f t="shared" si="51"/>
        <v>285266.867439322</v>
      </c>
      <c r="Y79" s="123">
        <f t="shared" si="51"/>
        <v>281969.9608768131</v>
      </c>
      <c r="Z79" s="123">
        <f t="shared" si="51"/>
        <v>279390.26305685547</v>
      </c>
      <c r="AA79" s="123">
        <f t="shared" si="51"/>
        <v>277602.63292821316</v>
      </c>
      <c r="AB79" s="123">
        <f t="shared" si="51"/>
        <v>275970.26351854653</v>
      </c>
      <c r="AC79" s="123">
        <f t="shared" si="51"/>
        <v>273610.06602951942</v>
      </c>
      <c r="AD79" s="123">
        <f t="shared" si="51"/>
        <v>271531.31264177064</v>
      </c>
      <c r="AE79" s="123">
        <f t="shared" si="51"/>
        <v>269369.41755563451</v>
      </c>
      <c r="AF79" s="123">
        <f t="shared" si="51"/>
        <v>267610.81765644107</v>
      </c>
      <c r="AG79" s="123">
        <f t="shared" si="51"/>
        <v>265693.97229351045</v>
      </c>
      <c r="AH79" s="123">
        <f t="shared" si="51"/>
        <v>264181.37642405072</v>
      </c>
      <c r="AI79" s="123">
        <f t="shared" si="51"/>
        <v>262054.87629992247</v>
      </c>
      <c r="AJ79" s="123">
        <f t="shared" si="51"/>
        <v>260356.57262147751</v>
      </c>
      <c r="AK79" s="123">
        <f t="shared" si="51"/>
        <v>258760.22755343467</v>
      </c>
      <c r="AL79" s="123">
        <f t="shared" si="52"/>
        <v>257147.58410050836</v>
      </c>
      <c r="AM79" s="123">
        <f t="shared" si="52"/>
        <v>255625.07196916227</v>
      </c>
      <c r="AN79" s="123">
        <f t="shared" si="52"/>
        <v>253825.12281642808</v>
      </c>
      <c r="AO79" s="123">
        <f t="shared" si="52"/>
        <v>252412.78366460986</v>
      </c>
      <c r="AP79" s="123">
        <f t="shared" si="52"/>
        <v>250989.86189371612</v>
      </c>
      <c r="AQ79" s="123">
        <f t="shared" si="52"/>
        <v>249455.96785366873</v>
      </c>
    </row>
    <row r="80" spans="1:43">
      <c r="A80" s="138" t="s">
        <v>135</v>
      </c>
      <c r="M80" s="13">
        <f t="shared" si="53"/>
        <v>251351.842</v>
      </c>
      <c r="N80" s="13">
        <f t="shared" si="53"/>
        <v>258684.00100000005</v>
      </c>
      <c r="O80" s="13">
        <f t="shared" si="53"/>
        <v>284444.65899999999</v>
      </c>
      <c r="P80" s="13">
        <f t="shared" si="53"/>
        <v>438954.55</v>
      </c>
      <c r="Q80" s="13">
        <f t="shared" si="53"/>
        <v>388019.46400000004</v>
      </c>
      <c r="R80" s="123">
        <f t="shared" si="54"/>
        <v>371373.58705572772</v>
      </c>
      <c r="S80" s="123">
        <f t="shared" si="54"/>
        <v>362173.90167063789</v>
      </c>
      <c r="T80" s="123">
        <f t="shared" si="49"/>
        <v>356724.59409435029</v>
      </c>
      <c r="U80" s="123">
        <f t="shared" si="50"/>
        <v>360253.34640764014</v>
      </c>
      <c r="V80" s="123">
        <f t="shared" si="51"/>
        <v>349620.87304898351</v>
      </c>
      <c r="W80" s="123">
        <f t="shared" si="51"/>
        <v>347948.89870109782</v>
      </c>
      <c r="X80" s="123">
        <f t="shared" si="51"/>
        <v>345683.89181178546</v>
      </c>
      <c r="Y80" s="123">
        <f t="shared" si="51"/>
        <v>343478.82487423159</v>
      </c>
      <c r="Z80" s="123">
        <f t="shared" si="51"/>
        <v>341174.62315136974</v>
      </c>
      <c r="AA80" s="123">
        <f t="shared" si="51"/>
        <v>337413.59736716509</v>
      </c>
      <c r="AB80" s="123">
        <f t="shared" si="51"/>
        <v>335102.82058357151</v>
      </c>
      <c r="AC80" s="123">
        <f t="shared" si="51"/>
        <v>332750.98783031991</v>
      </c>
      <c r="AD80" s="123">
        <f t="shared" si="51"/>
        <v>330466.08285998955</v>
      </c>
      <c r="AE80" s="123">
        <f t="shared" si="51"/>
        <v>327774.67082871788</v>
      </c>
      <c r="AF80" s="123">
        <f t="shared" si="51"/>
        <v>325398.79037944763</v>
      </c>
      <c r="AG80" s="123">
        <f t="shared" si="51"/>
        <v>323094.36227297742</v>
      </c>
      <c r="AH80" s="123">
        <f t="shared" si="51"/>
        <v>321350.62126504758</v>
      </c>
      <c r="AI80" s="123">
        <f t="shared" si="51"/>
        <v>318777.39581926056</v>
      </c>
      <c r="AJ80" s="123">
        <f t="shared" si="51"/>
        <v>316679.93716938322</v>
      </c>
      <c r="AK80" s="123">
        <f t="shared" si="51"/>
        <v>314712.34958011541</v>
      </c>
      <c r="AL80" s="123">
        <f t="shared" si="52"/>
        <v>312766.28609139594</v>
      </c>
      <c r="AM80" s="123">
        <f t="shared" si="52"/>
        <v>310927.581964474</v>
      </c>
      <c r="AN80" s="123">
        <f t="shared" si="52"/>
        <v>308735.1588364066</v>
      </c>
      <c r="AO80" s="123">
        <f t="shared" si="52"/>
        <v>307010.97845421289</v>
      </c>
      <c r="AP80" s="123">
        <f t="shared" si="52"/>
        <v>305278.91852421319</v>
      </c>
      <c r="AQ80" s="123">
        <f t="shared" si="52"/>
        <v>303416.71293898544</v>
      </c>
    </row>
    <row r="81" spans="1:43">
      <c r="A81" s="138" t="s">
        <v>136</v>
      </c>
      <c r="M81" s="13">
        <f t="shared" si="53"/>
        <v>278624.26</v>
      </c>
      <c r="N81" s="13">
        <f t="shared" si="53"/>
        <v>260055.90399999998</v>
      </c>
      <c r="O81" s="13">
        <f t="shared" si="53"/>
        <v>343398.89900000003</v>
      </c>
      <c r="P81" s="13">
        <f t="shared" si="53"/>
        <v>372367.16399999999</v>
      </c>
      <c r="Q81" s="13">
        <f t="shared" si="53"/>
        <v>348567.83100000001</v>
      </c>
      <c r="R81" s="123">
        <f t="shared" si="54"/>
        <v>367150.03408718383</v>
      </c>
      <c r="S81" s="123">
        <f t="shared" si="54"/>
        <v>351788.64881391951</v>
      </c>
      <c r="T81" s="123">
        <f t="shared" si="49"/>
        <v>344796.12653675332</v>
      </c>
      <c r="U81" s="123">
        <f t="shared" si="50"/>
        <v>335342.06711780722</v>
      </c>
      <c r="V81" s="123">
        <f t="shared" si="51"/>
        <v>332335.13670811191</v>
      </c>
      <c r="W81" s="123">
        <f t="shared" si="51"/>
        <v>334663.30067219504</v>
      </c>
      <c r="X81" s="123">
        <f t="shared" si="51"/>
        <v>330547.62098543573</v>
      </c>
      <c r="Y81" s="123">
        <f t="shared" si="51"/>
        <v>327371.13347104343</v>
      </c>
      <c r="Z81" s="123">
        <f t="shared" si="51"/>
        <v>324237.50422571209</v>
      </c>
      <c r="AA81" s="123">
        <f t="shared" si="51"/>
        <v>322035.37729651469</v>
      </c>
      <c r="AB81" s="123">
        <f t="shared" si="51"/>
        <v>320093.81845579908</v>
      </c>
      <c r="AC81" s="123">
        <f t="shared" si="51"/>
        <v>317398.12477117649</v>
      </c>
      <c r="AD81" s="123">
        <f t="shared" si="51"/>
        <v>315059.60049466003</v>
      </c>
      <c r="AE81" s="123">
        <f t="shared" si="51"/>
        <v>312512.14423255983</v>
      </c>
      <c r="AF81" s="123">
        <f t="shared" si="51"/>
        <v>310452.40932845575</v>
      </c>
      <c r="AG81" s="123">
        <f t="shared" si="51"/>
        <v>308230.34675695573</v>
      </c>
      <c r="AH81" s="123">
        <f t="shared" si="51"/>
        <v>306486.96091098699</v>
      </c>
      <c r="AI81" s="123">
        <f t="shared" si="51"/>
        <v>304025.29546584969</v>
      </c>
      <c r="AJ81" s="123">
        <f t="shared" si="51"/>
        <v>302047.13057471579</v>
      </c>
      <c r="AK81" s="123">
        <f t="shared" si="51"/>
        <v>300193.40953425091</v>
      </c>
      <c r="AL81" s="123">
        <f t="shared" si="52"/>
        <v>298324.2654359226</v>
      </c>
      <c r="AM81" s="123">
        <f t="shared" si="52"/>
        <v>296559.68813539337</v>
      </c>
      <c r="AN81" s="123">
        <f t="shared" si="52"/>
        <v>294471.34626463283</v>
      </c>
      <c r="AO81" s="123">
        <f t="shared" si="52"/>
        <v>292831.60057033319</v>
      </c>
      <c r="AP81" s="123">
        <f t="shared" si="52"/>
        <v>291180.88482490194</v>
      </c>
      <c r="AQ81" s="123">
        <f t="shared" si="52"/>
        <v>289401.78270416381</v>
      </c>
    </row>
    <row r="82" spans="1:43">
      <c r="A82" s="138" t="s">
        <v>137</v>
      </c>
      <c r="M82" s="13">
        <f t="shared" si="53"/>
        <v>242223.06</v>
      </c>
      <c r="N82" s="13">
        <f t="shared" si="53"/>
        <v>265002.96100000001</v>
      </c>
      <c r="O82" s="13">
        <f t="shared" si="53"/>
        <v>276534.212</v>
      </c>
      <c r="P82" s="13">
        <f t="shared" si="53"/>
        <v>344695.47700000001</v>
      </c>
      <c r="Q82" s="13">
        <f t="shared" si="53"/>
        <v>393491.77299999999</v>
      </c>
      <c r="R82" s="123">
        <f t="shared" si="54"/>
        <v>348582.76349710819</v>
      </c>
      <c r="S82" s="123">
        <f t="shared" si="54"/>
        <v>338638.18878270953</v>
      </c>
      <c r="T82" s="123">
        <f t="shared" si="49"/>
        <v>329070.92254625942</v>
      </c>
      <c r="U82" s="123">
        <f t="shared" si="50"/>
        <v>329669.19425161643</v>
      </c>
      <c r="V82" s="123">
        <f t="shared" si="51"/>
        <v>330777.35741707776</v>
      </c>
      <c r="W82" s="123">
        <f t="shared" si="51"/>
        <v>324095.48500063131</v>
      </c>
      <c r="X82" s="123">
        <f t="shared" si="51"/>
        <v>321466.57226143649</v>
      </c>
      <c r="Y82" s="123">
        <f t="shared" si="51"/>
        <v>319057.55739814701</v>
      </c>
      <c r="Z82" s="123">
        <f t="shared" si="51"/>
        <v>317364.52914221736</v>
      </c>
      <c r="AA82" s="123">
        <f t="shared" si="51"/>
        <v>314928.76912914903</v>
      </c>
      <c r="AB82" s="123">
        <f t="shared" si="51"/>
        <v>311901.88991725724</v>
      </c>
      <c r="AC82" s="123">
        <f t="shared" si="51"/>
        <v>309666.59117734572</v>
      </c>
      <c r="AD82" s="123">
        <f t="shared" si="51"/>
        <v>307586.29358546261</v>
      </c>
      <c r="AE82" s="123">
        <f t="shared" si="51"/>
        <v>305206.423970801</v>
      </c>
      <c r="AF82" s="123">
        <f t="shared" si="51"/>
        <v>303056.57269713789</v>
      </c>
      <c r="AG82" s="123">
        <f t="shared" si="51"/>
        <v>300776.87786892004</v>
      </c>
      <c r="AH82" s="123">
        <f t="shared" si="51"/>
        <v>299164.16319356434</v>
      </c>
      <c r="AI82" s="123">
        <f t="shared" si="51"/>
        <v>296790.2994172881</v>
      </c>
      <c r="AJ82" s="123">
        <f t="shared" si="51"/>
        <v>294854.45344965067</v>
      </c>
      <c r="AK82" s="123">
        <f t="shared" si="51"/>
        <v>293018.18142366665</v>
      </c>
      <c r="AL82" s="123">
        <f t="shared" si="52"/>
        <v>291188.88817282068</v>
      </c>
      <c r="AM82" s="123">
        <f t="shared" si="52"/>
        <v>289482.44383039669</v>
      </c>
      <c r="AN82" s="123">
        <f t="shared" si="52"/>
        <v>287445.63483480248</v>
      </c>
      <c r="AO82" s="123">
        <f t="shared" si="52"/>
        <v>285841.34794760373</v>
      </c>
      <c r="AP82" s="123">
        <f t="shared" si="52"/>
        <v>284226.58724059793</v>
      </c>
      <c r="AQ82" s="123">
        <f t="shared" si="52"/>
        <v>282491.09195725655</v>
      </c>
    </row>
    <row r="83" spans="1:43">
      <c r="A83" s="138" t="s">
        <v>138</v>
      </c>
      <c r="M83" s="13">
        <f t="shared" si="53"/>
        <v>256556.66299999994</v>
      </c>
      <c r="N83" s="13">
        <f t="shared" si="53"/>
        <v>254599.07900000003</v>
      </c>
      <c r="O83" s="13">
        <f t="shared" si="53"/>
        <v>297541.41100000002</v>
      </c>
      <c r="P83" s="13">
        <f t="shared" si="53"/>
        <v>408353.03899999999</v>
      </c>
      <c r="Q83" s="13">
        <f t="shared" si="53"/>
        <v>355773.90700000001</v>
      </c>
      <c r="R83" s="123">
        <f t="shared" si="54"/>
        <v>360235.40696920967</v>
      </c>
      <c r="S83" s="123">
        <f t="shared" si="54"/>
        <v>348661.41409931355</v>
      </c>
      <c r="T83" s="123">
        <f t="shared" si="49"/>
        <v>342339.14830886776</v>
      </c>
      <c r="U83" s="123">
        <f t="shared" si="50"/>
        <v>341109.34756550984</v>
      </c>
      <c r="V83" s="123">
        <f t="shared" si="51"/>
        <v>332425.37156405306</v>
      </c>
      <c r="W83" s="123">
        <f t="shared" si="51"/>
        <v>333379.60410146124</v>
      </c>
      <c r="X83" s="123">
        <f t="shared" si="51"/>
        <v>330351.03588178457</v>
      </c>
      <c r="Y83" s="123">
        <f t="shared" si="51"/>
        <v>327745.8381787645</v>
      </c>
      <c r="Z83" s="123">
        <f t="shared" si="51"/>
        <v>325165.52592973615</v>
      </c>
      <c r="AA83" s="123">
        <f t="shared" si="51"/>
        <v>322018.3259791435</v>
      </c>
      <c r="AB83" s="123">
        <f t="shared" si="51"/>
        <v>320055.80876873084</v>
      </c>
      <c r="AC83" s="123">
        <f t="shared" si="51"/>
        <v>317603.51411111862</v>
      </c>
      <c r="AD83" s="123">
        <f t="shared" si="51"/>
        <v>315343.74712165882</v>
      </c>
      <c r="AE83" s="123">
        <f t="shared" si="51"/>
        <v>312778.46287771105</v>
      </c>
      <c r="AF83" s="123">
        <f t="shared" si="51"/>
        <v>310589.49154890515</v>
      </c>
      <c r="AG83" s="123">
        <f t="shared" si="51"/>
        <v>308397.60273799946</v>
      </c>
      <c r="AH83" s="123">
        <f t="shared" si="51"/>
        <v>306694.76619209547</v>
      </c>
      <c r="AI83" s="123">
        <f t="shared" si="51"/>
        <v>304233.35324532655</v>
      </c>
      <c r="AJ83" s="123">
        <f t="shared" si="51"/>
        <v>302240.40690864186</v>
      </c>
      <c r="AK83" s="123">
        <f t="shared" si="51"/>
        <v>300372.49287213106</v>
      </c>
      <c r="AL83" s="123">
        <f t="shared" si="52"/>
        <v>298511.67217122507</v>
      </c>
      <c r="AM83" s="123">
        <f t="shared" si="52"/>
        <v>296751.1624009792</v>
      </c>
      <c r="AN83" s="123">
        <f t="shared" si="52"/>
        <v>294659.52595777396</v>
      </c>
      <c r="AO83" s="123">
        <f t="shared" si="52"/>
        <v>293016.02852458798</v>
      </c>
      <c r="AP83" s="123">
        <f t="shared" si="52"/>
        <v>291363.67514699913</v>
      </c>
      <c r="AQ83" s="123">
        <f t="shared" si="52"/>
        <v>289585.2956072432</v>
      </c>
    </row>
    <row r="84" spans="1:43">
      <c r="A84" s="138" t="s">
        <v>139</v>
      </c>
      <c r="M84" s="13">
        <f t="shared" si="53"/>
        <v>279759.57</v>
      </c>
      <c r="N84" s="13">
        <f t="shared" si="53"/>
        <v>274062.06599999999</v>
      </c>
      <c r="O84" s="13">
        <f t="shared" si="53"/>
        <v>325412.58799999999</v>
      </c>
      <c r="P84" s="13">
        <f t="shared" si="53"/>
        <v>319220.65000000002</v>
      </c>
      <c r="Q84" s="13">
        <f t="shared" si="53"/>
        <v>352443.54199999996</v>
      </c>
      <c r="R84" s="123">
        <f t="shared" si="54"/>
        <v>355213.60742811358</v>
      </c>
      <c r="S84" s="123">
        <f t="shared" si="54"/>
        <v>338231.66397490463</v>
      </c>
      <c r="T84" s="123">
        <f t="shared" si="49"/>
        <v>326862.79299020057</v>
      </c>
      <c r="U84" s="123">
        <f t="shared" si="50"/>
        <v>317924.06222931616</v>
      </c>
      <c r="V84" s="123">
        <f t="shared" si="51"/>
        <v>321501.8058485167</v>
      </c>
      <c r="W84" s="123">
        <f t="shared" si="51"/>
        <v>320808.69938712998</v>
      </c>
      <c r="X84" s="123">
        <f t="shared" si="51"/>
        <v>316228.5291273999</v>
      </c>
      <c r="Y84" s="123">
        <f t="shared" si="51"/>
        <v>312861.38208905398</v>
      </c>
      <c r="Z84" s="123">
        <f t="shared" si="51"/>
        <v>310384.41712830524</v>
      </c>
      <c r="AA84" s="123">
        <f t="shared" si="51"/>
        <v>308879.86245328333</v>
      </c>
      <c r="AB84" s="123">
        <f t="shared" si="51"/>
        <v>306481.87955240736</v>
      </c>
      <c r="AC84" s="123">
        <f t="shared" si="51"/>
        <v>303827.17010023998</v>
      </c>
      <c r="AD84" s="123">
        <f t="shared" si="51"/>
        <v>301624.98792183271</v>
      </c>
      <c r="AE84" s="123">
        <f t="shared" si="51"/>
        <v>299293.69465740037</v>
      </c>
      <c r="AF84" s="123">
        <f t="shared" si="51"/>
        <v>297348.20940994291</v>
      </c>
      <c r="AG84" s="123">
        <f t="shared" si="51"/>
        <v>295134.32861996343</v>
      </c>
      <c r="AH84" s="123">
        <f t="shared" si="51"/>
        <v>293467.34162700427</v>
      </c>
      <c r="AI84" s="123">
        <f t="shared" si="51"/>
        <v>291127.44464937132</v>
      </c>
      <c r="AJ84" s="123">
        <f t="shared" si="51"/>
        <v>289246.64973188896</v>
      </c>
      <c r="AK84" s="123">
        <f t="shared" si="51"/>
        <v>287466.48284856213</v>
      </c>
      <c r="AL84" s="123">
        <f t="shared" si="52"/>
        <v>285665.27220151428</v>
      </c>
      <c r="AM84" s="123">
        <f t="shared" si="52"/>
        <v>283978.84468897106</v>
      </c>
      <c r="AN84" s="123">
        <f t="shared" si="52"/>
        <v>281982.55508744839</v>
      </c>
      <c r="AO84" s="123">
        <f t="shared" si="52"/>
        <v>280413.11186721676</v>
      </c>
      <c r="AP84" s="123">
        <f t="shared" si="52"/>
        <v>278830.66712276399</v>
      </c>
      <c r="AQ84" s="123">
        <f t="shared" si="52"/>
        <v>277125.93404550035</v>
      </c>
    </row>
    <row r="85" spans="1:43">
      <c r="A85" s="138" t="s">
        <v>140</v>
      </c>
      <c r="M85" s="13">
        <f t="shared" si="53"/>
        <v>215092.26499999998</v>
      </c>
      <c r="N85" s="13">
        <f t="shared" si="53"/>
        <v>269903.17699999997</v>
      </c>
      <c r="O85" s="13">
        <f t="shared" si="53"/>
        <v>314154.95900000003</v>
      </c>
      <c r="P85" s="13">
        <f t="shared" si="53"/>
        <v>291365.02399999998</v>
      </c>
      <c r="Q85" s="13">
        <f t="shared" si="53"/>
        <v>357689.19</v>
      </c>
      <c r="R85" s="123">
        <f>R86-SUM(R74:R84)</f>
        <v>280704.30070492486</v>
      </c>
      <c r="S85" s="123">
        <f>S86-SUM(S74:S84)</f>
        <v>314827.652297372</v>
      </c>
      <c r="T85" s="123">
        <f t="shared" ref="T85:AQ85" si="55">T86-SUM(T74:T84)</f>
        <v>301382.9234412848</v>
      </c>
      <c r="U85" s="123">
        <f t="shared" si="55"/>
        <v>290489.85375358164</v>
      </c>
      <c r="V85" s="123">
        <f t="shared" si="55"/>
        <v>293817.72907022247</v>
      </c>
      <c r="W85" s="123">
        <f t="shared" si="55"/>
        <v>286304.35358582065</v>
      </c>
      <c r="X85" s="123">
        <f t="shared" si="55"/>
        <v>289280.31741451658</v>
      </c>
      <c r="Y85" s="123">
        <f t="shared" si="55"/>
        <v>285142.63665430993</v>
      </c>
      <c r="Z85" s="123">
        <f t="shared" si="55"/>
        <v>282205.62775408197</v>
      </c>
      <c r="AA85" s="123">
        <f t="shared" si="55"/>
        <v>280558.60582466703</v>
      </c>
      <c r="AB85" s="123">
        <f t="shared" si="55"/>
        <v>278030.00301178452</v>
      </c>
      <c r="AC85" s="123">
        <f t="shared" si="55"/>
        <v>276544.54531552689</v>
      </c>
      <c r="AD85" s="123">
        <f t="shared" si="55"/>
        <v>274256.9509285395</v>
      </c>
      <c r="AE85" s="123">
        <f t="shared" si="55"/>
        <v>272006.45643544616</v>
      </c>
      <c r="AF85" s="123">
        <f t="shared" si="55"/>
        <v>270214.9476050064</v>
      </c>
      <c r="AG85" s="123">
        <f t="shared" si="55"/>
        <v>268229.63759876788</v>
      </c>
      <c r="AH85" s="123">
        <f t="shared" si="55"/>
        <v>266815.11388275772</v>
      </c>
      <c r="AI85" s="123">
        <f t="shared" si="55"/>
        <v>264626.93365025893</v>
      </c>
      <c r="AJ85" s="123">
        <f t="shared" si="55"/>
        <v>262900.09445856744</v>
      </c>
      <c r="AK85" s="123">
        <f t="shared" si="55"/>
        <v>261287.08228030475</v>
      </c>
      <c r="AL85" s="123">
        <f t="shared" si="55"/>
        <v>259660.48622102709</v>
      </c>
      <c r="AM85" s="123">
        <f t="shared" si="55"/>
        <v>258135.0191732822</v>
      </c>
      <c r="AN85" s="123">
        <f t="shared" si="55"/>
        <v>256309.59374208655</v>
      </c>
      <c r="AO85" s="123">
        <f t="shared" si="55"/>
        <v>254882.04979620734</v>
      </c>
      <c r="AP85" s="123">
        <f t="shared" si="55"/>
        <v>253445.88685640041</v>
      </c>
      <c r="AQ85" s="123">
        <f t="shared" si="55"/>
        <v>251898.00569571694</v>
      </c>
    </row>
    <row r="86" spans="1:43" ht="12" thickBot="1">
      <c r="A86" s="138" t="s">
        <v>141</v>
      </c>
      <c r="M86" s="13">
        <f>SUM(M74:M85)</f>
        <v>2768371.9839999997</v>
      </c>
      <c r="N86" s="13">
        <f>SUM(N74:N85)</f>
        <v>2848950.9370000004</v>
      </c>
      <c r="O86" s="13">
        <f>SUM(O74:O85)</f>
        <v>3437241.5009999992</v>
      </c>
      <c r="P86" s="13">
        <f>SUM(P74:P85)</f>
        <v>4203876.8849999998</v>
      </c>
      <c r="Q86" s="13">
        <f>SUM(Q74:Q85)</f>
        <v>4245576.3850000007</v>
      </c>
      <c r="R86" s="123">
        <f>R7</f>
        <v>4009073.1957139634</v>
      </c>
      <c r="S86" s="123">
        <f>S7</f>
        <v>3898329.327189263</v>
      </c>
      <c r="T86" s="123">
        <f t="shared" ref="T86:AQ86" si="56">T7</f>
        <v>3827192.8608297994</v>
      </c>
      <c r="U86" s="123">
        <f t="shared" si="56"/>
        <v>3792612.2700782847</v>
      </c>
      <c r="V86" s="123">
        <f t="shared" si="56"/>
        <v>3760026.7710186355</v>
      </c>
      <c r="W86" s="123">
        <f t="shared" si="56"/>
        <v>3728014.755589324</v>
      </c>
      <c r="X86" s="123">
        <f t="shared" si="56"/>
        <v>3697894.3866995904</v>
      </c>
      <c r="Y86" s="123">
        <f t="shared" si="56"/>
        <v>3669615.8731859466</v>
      </c>
      <c r="Z86" s="123">
        <f t="shared" si="56"/>
        <v>3641861.4378947602</v>
      </c>
      <c r="AA86" s="123">
        <f t="shared" si="56"/>
        <v>3612045.2865627757</v>
      </c>
      <c r="AB86" s="123">
        <f t="shared" si="56"/>
        <v>3583928.9620910138</v>
      </c>
      <c r="AC86" s="123">
        <f t="shared" si="56"/>
        <v>3557467.4688079688</v>
      </c>
      <c r="AD86" s="123">
        <f t="shared" si="56"/>
        <v>3532616.9359339243</v>
      </c>
      <c r="AE86" s="123">
        <f t="shared" si="56"/>
        <v>3504257.6663817293</v>
      </c>
      <c r="AF86" s="123">
        <f t="shared" si="56"/>
        <v>3479963.3401068011</v>
      </c>
      <c r="AG86" s="123">
        <f t="shared" si="56"/>
        <v>3454616.3719887473</v>
      </c>
      <c r="AH86" s="123">
        <f t="shared" si="56"/>
        <v>3435792.5011505671</v>
      </c>
      <c r="AI86" s="123">
        <f t="shared" si="56"/>
        <v>3408322.3040064182</v>
      </c>
      <c r="AJ86" s="123">
        <f t="shared" si="56"/>
        <v>3386029.6310216431</v>
      </c>
      <c r="AK86" s="123">
        <f t="shared" si="56"/>
        <v>3365070.0440922552</v>
      </c>
      <c r="AL86" s="123">
        <f t="shared" si="56"/>
        <v>3344138.4852976408</v>
      </c>
      <c r="AM86" s="123">
        <f t="shared" si="56"/>
        <v>3324469.2539344309</v>
      </c>
      <c r="AN86" s="123">
        <f t="shared" si="56"/>
        <v>3301051.368739916</v>
      </c>
      <c r="AO86" s="123">
        <f t="shared" si="56"/>
        <v>3282636.238367572</v>
      </c>
      <c r="AP86" s="123">
        <f t="shared" si="56"/>
        <v>3264114.5631776135</v>
      </c>
      <c r="AQ86" s="123">
        <f t="shared" si="56"/>
        <v>3244185.5452520191</v>
      </c>
    </row>
    <row r="87" spans="1:43">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row>
    <row r="88" spans="1:43" ht="12" thickBot="1">
      <c r="A88" s="138" t="s">
        <v>147</v>
      </c>
      <c r="B88" s="138"/>
      <c r="C88" s="138"/>
      <c r="D88" s="138"/>
      <c r="E88" s="138"/>
      <c r="F88" s="138"/>
      <c r="G88" s="138"/>
      <c r="H88" s="138"/>
      <c r="I88" s="138"/>
      <c r="J88" s="138"/>
      <c r="K88" s="138"/>
      <c r="L88" s="138"/>
    </row>
    <row r="89" spans="1:43" ht="12" thickBot="1">
      <c r="A89" s="139"/>
      <c r="B89" s="140">
        <f t="shared" ref="B89:AQ89" si="57">B2</f>
        <v>2009</v>
      </c>
      <c r="C89" s="140">
        <f t="shared" si="57"/>
        <v>2010</v>
      </c>
      <c r="D89" s="140">
        <f t="shared" si="57"/>
        <v>2011</v>
      </c>
      <c r="E89" s="140">
        <f t="shared" si="57"/>
        <v>2012</v>
      </c>
      <c r="F89" s="140">
        <f t="shared" si="57"/>
        <v>2013</v>
      </c>
      <c r="G89" s="140">
        <f t="shared" si="57"/>
        <v>2014</v>
      </c>
      <c r="H89" s="140">
        <f t="shared" si="57"/>
        <v>2015</v>
      </c>
      <c r="I89" s="140">
        <f t="shared" si="57"/>
        <v>2016</v>
      </c>
      <c r="J89" s="140">
        <f t="shared" si="57"/>
        <v>2017</v>
      </c>
      <c r="K89" s="140">
        <f t="shared" si="57"/>
        <v>2018</v>
      </c>
      <c r="L89" s="140">
        <f t="shared" si="57"/>
        <v>2019</v>
      </c>
      <c r="M89" s="140">
        <f t="shared" si="57"/>
        <v>2020</v>
      </c>
      <c r="N89" s="140">
        <f t="shared" si="57"/>
        <v>2021</v>
      </c>
      <c r="O89" s="140">
        <f t="shared" si="57"/>
        <v>2022</v>
      </c>
      <c r="P89" s="140">
        <f t="shared" si="57"/>
        <v>2023</v>
      </c>
      <c r="Q89" s="140">
        <f t="shared" si="57"/>
        <v>2024</v>
      </c>
      <c r="R89" s="140">
        <f t="shared" si="57"/>
        <v>2025</v>
      </c>
      <c r="S89" s="140">
        <f t="shared" si="57"/>
        <v>2026</v>
      </c>
      <c r="T89" s="140">
        <f t="shared" si="57"/>
        <v>2027</v>
      </c>
      <c r="U89" s="140">
        <f t="shared" si="57"/>
        <v>2028</v>
      </c>
      <c r="V89" s="140">
        <f t="shared" si="57"/>
        <v>2029</v>
      </c>
      <c r="W89" s="140">
        <f t="shared" si="57"/>
        <v>2030</v>
      </c>
      <c r="X89" s="140">
        <f t="shared" si="57"/>
        <v>2031</v>
      </c>
      <c r="Y89" s="140">
        <f t="shared" si="57"/>
        <v>2032</v>
      </c>
      <c r="Z89" s="140">
        <f t="shared" si="57"/>
        <v>2033</v>
      </c>
      <c r="AA89" s="140">
        <f t="shared" si="57"/>
        <v>2034</v>
      </c>
      <c r="AB89" s="140">
        <f t="shared" si="57"/>
        <v>2035</v>
      </c>
      <c r="AC89" s="140">
        <f t="shared" si="57"/>
        <v>2036</v>
      </c>
      <c r="AD89" s="140">
        <f t="shared" si="57"/>
        <v>2037</v>
      </c>
      <c r="AE89" s="140">
        <f t="shared" si="57"/>
        <v>2038</v>
      </c>
      <c r="AF89" s="140">
        <f t="shared" si="57"/>
        <v>2039</v>
      </c>
      <c r="AG89" s="140">
        <f t="shared" si="57"/>
        <v>2040</v>
      </c>
      <c r="AH89" s="140">
        <f t="shared" si="57"/>
        <v>2041</v>
      </c>
      <c r="AI89" s="140">
        <f t="shared" si="57"/>
        <v>2042</v>
      </c>
      <c r="AJ89" s="140">
        <f t="shared" si="57"/>
        <v>2043</v>
      </c>
      <c r="AK89" s="140">
        <f t="shared" si="57"/>
        <v>2044</v>
      </c>
      <c r="AL89" s="140">
        <f t="shared" si="57"/>
        <v>2045</v>
      </c>
      <c r="AM89" s="140">
        <f t="shared" si="57"/>
        <v>2046</v>
      </c>
      <c r="AN89" s="140">
        <f t="shared" si="57"/>
        <v>2047</v>
      </c>
      <c r="AO89" s="140">
        <f t="shared" si="57"/>
        <v>2048</v>
      </c>
      <c r="AP89" s="140">
        <f t="shared" si="57"/>
        <v>2049</v>
      </c>
      <c r="AQ89" s="140">
        <f t="shared" si="57"/>
        <v>2050</v>
      </c>
    </row>
    <row r="90" spans="1:43">
      <c r="A90" s="138" t="s">
        <v>129</v>
      </c>
      <c r="L90" s="13"/>
      <c r="M90" s="13">
        <f>Data!$L3</f>
        <v>16878</v>
      </c>
      <c r="N90" s="13">
        <f>Data!$L15</f>
        <v>20126</v>
      </c>
      <c r="O90" s="13">
        <f>Data!$L27</f>
        <v>21428</v>
      </c>
      <c r="P90" s="13">
        <f>Data!$L39</f>
        <v>23829</v>
      </c>
      <c r="Q90" s="13">
        <f>Data!$L51</f>
        <v>24794</v>
      </c>
      <c r="R90" s="13">
        <f>Data!$L63</f>
        <v>26554</v>
      </c>
      <c r="S90" s="119">
        <f>R101+S26+S42-S58-S74</f>
        <v>38568.523665407265</v>
      </c>
      <c r="T90" s="119">
        <f t="shared" ref="T90:AQ90" si="58">S101+T26+T42-T58-T74</f>
        <v>32144.551354477066</v>
      </c>
      <c r="U90" s="119">
        <f t="shared" si="58"/>
        <v>33702.979358500394</v>
      </c>
      <c r="V90" s="119">
        <f t="shared" si="58"/>
        <v>28081.803703067417</v>
      </c>
      <c r="W90" s="119">
        <f t="shared" si="58"/>
        <v>31620.543261912127</v>
      </c>
      <c r="X90" s="119">
        <f t="shared" si="58"/>
        <v>33244.708756571636</v>
      </c>
      <c r="Y90" s="119">
        <f t="shared" si="58"/>
        <v>31812.461058910761</v>
      </c>
      <c r="Z90" s="119">
        <f t="shared" si="58"/>
        <v>30958.681477967824</v>
      </c>
      <c r="AA90" s="119">
        <f t="shared" si="58"/>
        <v>31046.782009624934</v>
      </c>
      <c r="AB90" s="119">
        <f t="shared" si="58"/>
        <v>31665.481472710148</v>
      </c>
      <c r="AC90" s="119">
        <f t="shared" si="58"/>
        <v>31540.323291836539</v>
      </c>
      <c r="AD90" s="119">
        <f t="shared" si="58"/>
        <v>31140.90103297215</v>
      </c>
      <c r="AE90" s="119">
        <f t="shared" si="58"/>
        <v>31123.417168987449</v>
      </c>
      <c r="AF90" s="119">
        <f t="shared" si="58"/>
        <v>31145.923341246613</v>
      </c>
      <c r="AG90" s="119">
        <f t="shared" si="58"/>
        <v>31141.62916099641</v>
      </c>
      <c r="AH90" s="119">
        <f t="shared" si="58"/>
        <v>31040.085444277793</v>
      </c>
      <c r="AI90" s="119">
        <f t="shared" si="58"/>
        <v>30962.941450818151</v>
      </c>
      <c r="AJ90" s="119">
        <f t="shared" si="58"/>
        <v>30924.487679487036</v>
      </c>
      <c r="AK90" s="119">
        <f t="shared" si="58"/>
        <v>30883.530264920031</v>
      </c>
      <c r="AL90" s="119">
        <f t="shared" si="58"/>
        <v>30836.665388123889</v>
      </c>
      <c r="AM90" s="119">
        <f t="shared" si="58"/>
        <v>30782.262710530194</v>
      </c>
      <c r="AN90" s="119">
        <f t="shared" si="58"/>
        <v>30733.568819480133</v>
      </c>
      <c r="AO90" s="119">
        <f t="shared" si="58"/>
        <v>30689.972233000735</v>
      </c>
      <c r="AP90" s="119">
        <f t="shared" si="58"/>
        <v>30647.10088086623</v>
      </c>
      <c r="AQ90" s="119">
        <f t="shared" si="58"/>
        <v>30604.798014037369</v>
      </c>
    </row>
    <row r="91" spans="1:43">
      <c r="A91" s="138" t="s">
        <v>130</v>
      </c>
      <c r="L91" s="13"/>
      <c r="M91" s="13">
        <f>Data!$L4</f>
        <v>16688</v>
      </c>
      <c r="N91" s="13">
        <f>Data!$L16</f>
        <v>16571</v>
      </c>
      <c r="O91" s="13">
        <f>Data!$L28</f>
        <v>26134</v>
      </c>
      <c r="P91" s="13">
        <f>Data!$L40</f>
        <v>22938</v>
      </c>
      <c r="Q91" s="13">
        <f>Data!$L52</f>
        <v>25953</v>
      </c>
      <c r="R91" s="13">
        <f>Data!$L64</f>
        <v>32155</v>
      </c>
      <c r="S91" s="119">
        <f>S90+S27+S43-S59-S75</f>
        <v>48259.097325070412</v>
      </c>
      <c r="T91" s="119">
        <f t="shared" ref="T91:AQ101" si="59">T90+T27+T43-T59-T75</f>
        <v>40198.723595088581</v>
      </c>
      <c r="U91" s="119">
        <f t="shared" si="59"/>
        <v>44288.821341596544</v>
      </c>
      <c r="V91" s="119">
        <f t="shared" si="59"/>
        <v>37343.242015265743</v>
      </c>
      <c r="W91" s="119">
        <f t="shared" si="59"/>
        <v>33717.174020346836</v>
      </c>
      <c r="X91" s="119">
        <f t="shared" si="59"/>
        <v>42814.814832764445</v>
      </c>
      <c r="Y91" s="119">
        <f t="shared" si="59"/>
        <v>40594.042877064261</v>
      </c>
      <c r="Z91" s="119">
        <f t="shared" si="59"/>
        <v>38645.077865764964</v>
      </c>
      <c r="AA91" s="119">
        <f t="shared" si="59"/>
        <v>37500.819343916402</v>
      </c>
      <c r="AB91" s="119">
        <f t="shared" si="59"/>
        <v>38876.604123639787</v>
      </c>
      <c r="AC91" s="119">
        <f t="shared" si="59"/>
        <v>39416.280655620329</v>
      </c>
      <c r="AD91" s="119">
        <f t="shared" si="59"/>
        <v>38461.71738831274</v>
      </c>
      <c r="AE91" s="119">
        <f t="shared" si="59"/>
        <v>38173.70446620282</v>
      </c>
      <c r="AF91" s="119">
        <f t="shared" si="59"/>
        <v>38260.096623069257</v>
      </c>
      <c r="AG91" s="119">
        <f t="shared" si="59"/>
        <v>38296.961315668508</v>
      </c>
      <c r="AH91" s="119">
        <f t="shared" si="59"/>
        <v>38169.371673297428</v>
      </c>
      <c r="AI91" s="119">
        <f t="shared" si="59"/>
        <v>37958.98965547455</v>
      </c>
      <c r="AJ91" s="119">
        <f t="shared" si="59"/>
        <v>37881.942341567716</v>
      </c>
      <c r="AK91" s="119">
        <f t="shared" si="59"/>
        <v>37808.770374171407</v>
      </c>
      <c r="AL91" s="119">
        <f t="shared" si="59"/>
        <v>37726.757044698083</v>
      </c>
      <c r="AM91" s="119">
        <f t="shared" si="59"/>
        <v>37629.672478582128</v>
      </c>
      <c r="AN91" s="119">
        <f t="shared" si="59"/>
        <v>37523.922866128822</v>
      </c>
      <c r="AO91" s="119">
        <f t="shared" si="59"/>
        <v>37442.135153380543</v>
      </c>
      <c r="AP91" s="119">
        <f t="shared" si="59"/>
        <v>37363.121656094358</v>
      </c>
      <c r="AQ91" s="119">
        <f t="shared" si="59"/>
        <v>37280.51715022407</v>
      </c>
    </row>
    <row r="92" spans="1:43">
      <c r="A92" s="138" t="s">
        <v>131</v>
      </c>
      <c r="L92" s="13"/>
      <c r="M92" s="13">
        <f>Data!$L5</f>
        <v>22467</v>
      </c>
      <c r="N92" s="13">
        <f>Data!$L17</f>
        <v>18151</v>
      </c>
      <c r="O92" s="13">
        <f>Data!$L29</f>
        <v>22292</v>
      </c>
      <c r="P92" s="13">
        <f>Data!$L41</f>
        <v>23124</v>
      </c>
      <c r="Q92" s="13">
        <f>Data!$L53</f>
        <v>28439</v>
      </c>
      <c r="R92" s="119">
        <f>R91+R28+R44-R60-R76</f>
        <v>50698.147059194394</v>
      </c>
      <c r="S92" s="119">
        <f>S91+S28+S44-S60-S76</f>
        <v>52149.369603917818</v>
      </c>
      <c r="T92" s="119">
        <f t="shared" si="59"/>
        <v>50932.022114262974</v>
      </c>
      <c r="U92" s="119">
        <f t="shared" si="59"/>
        <v>37840.385517111747</v>
      </c>
      <c r="V92" s="119">
        <f t="shared" si="59"/>
        <v>53739.619948803098</v>
      </c>
      <c r="W92" s="119">
        <f t="shared" si="59"/>
        <v>39437.613196212566</v>
      </c>
      <c r="X92" s="119">
        <f t="shared" si="59"/>
        <v>49206.641236766183</v>
      </c>
      <c r="Y92" s="119">
        <f t="shared" si="59"/>
        <v>45876.425386733608</v>
      </c>
      <c r="Z92" s="119">
        <f t="shared" si="59"/>
        <v>45778.082909134973</v>
      </c>
      <c r="AA92" s="119">
        <f t="shared" si="59"/>
        <v>45103.231857623497</v>
      </c>
      <c r="AB92" s="119">
        <f t="shared" si="59"/>
        <v>45342.773688544985</v>
      </c>
      <c r="AC92" s="119">
        <f t="shared" si="59"/>
        <v>45954.426563193556</v>
      </c>
      <c r="AD92" s="119">
        <f t="shared" si="59"/>
        <v>45332.004954937845</v>
      </c>
      <c r="AE92" s="119">
        <f t="shared" si="59"/>
        <v>45011.304866537394</v>
      </c>
      <c r="AF92" s="119">
        <f t="shared" si="59"/>
        <v>45161.95875954302</v>
      </c>
      <c r="AG92" s="119">
        <f t="shared" si="59"/>
        <v>45059.927647148317</v>
      </c>
      <c r="AH92" s="119">
        <f t="shared" si="59"/>
        <v>45025.424807541945</v>
      </c>
      <c r="AI92" s="119">
        <f t="shared" si="59"/>
        <v>44817.220524612407</v>
      </c>
      <c r="AJ92" s="119">
        <f t="shared" si="59"/>
        <v>44764.18044605304</v>
      </c>
      <c r="AK92" s="119">
        <f t="shared" si="59"/>
        <v>44702.043045055761</v>
      </c>
      <c r="AL92" s="119">
        <f t="shared" si="59"/>
        <v>44618.030210433062</v>
      </c>
      <c r="AM92" s="119">
        <f t="shared" si="59"/>
        <v>44541.224528627819</v>
      </c>
      <c r="AN92" s="119">
        <f t="shared" si="59"/>
        <v>44442.815438382793</v>
      </c>
      <c r="AO92" s="119">
        <f t="shared" si="59"/>
        <v>44376.352133290842</v>
      </c>
      <c r="AP92" s="119">
        <f t="shared" si="59"/>
        <v>44307.873693374102</v>
      </c>
      <c r="AQ92" s="119">
        <f t="shared" si="59"/>
        <v>44229.641112354351</v>
      </c>
    </row>
    <row r="93" spans="1:43">
      <c r="A93" s="138" t="s">
        <v>132</v>
      </c>
      <c r="L93" s="13"/>
      <c r="M93" s="13">
        <f>Data!$L6</f>
        <v>25673</v>
      </c>
      <c r="N93" s="13">
        <f>Data!$L18</f>
        <v>16874</v>
      </c>
      <c r="O93" s="13">
        <f>Data!$L30</f>
        <v>27542</v>
      </c>
      <c r="P93" s="13">
        <f>Data!$L42</f>
        <v>26904</v>
      </c>
      <c r="Q93" s="13">
        <f>Data!$L54</f>
        <v>27328</v>
      </c>
      <c r="R93" s="119">
        <f t="shared" ref="R93:S101" si="60">R92+R29+R45-R61-R77</f>
        <v>72727.649770861724</v>
      </c>
      <c r="S93" s="119">
        <f t="shared" si="60"/>
        <v>60977.653961093281</v>
      </c>
      <c r="T93" s="119">
        <f t="shared" si="59"/>
        <v>61615.6577527505</v>
      </c>
      <c r="U93" s="119">
        <f t="shared" si="59"/>
        <v>53216.623691267741</v>
      </c>
      <c r="V93" s="119">
        <f t="shared" si="59"/>
        <v>56448.596049520187</v>
      </c>
      <c r="W93" s="119">
        <f t="shared" si="59"/>
        <v>52331.032635702402</v>
      </c>
      <c r="X93" s="119">
        <f t="shared" si="59"/>
        <v>60006.929318321811</v>
      </c>
      <c r="Y93" s="119">
        <f t="shared" si="59"/>
        <v>56528.247547795007</v>
      </c>
      <c r="Z93" s="119">
        <f t="shared" si="59"/>
        <v>54799.485162596626</v>
      </c>
      <c r="AA93" s="119">
        <f t="shared" si="59"/>
        <v>54476.317773374496</v>
      </c>
      <c r="AB93" s="119">
        <f t="shared" si="59"/>
        <v>55778.080300627451</v>
      </c>
      <c r="AC93" s="119">
        <f t="shared" si="59"/>
        <v>55709.764022905147</v>
      </c>
      <c r="AD93" s="119">
        <f t="shared" si="59"/>
        <v>54771.795729944075</v>
      </c>
      <c r="AE93" s="119">
        <f t="shared" si="59"/>
        <v>54460.146900800988</v>
      </c>
      <c r="AF93" s="119">
        <f t="shared" si="59"/>
        <v>54625.196497119905</v>
      </c>
      <c r="AG93" s="119">
        <f t="shared" si="59"/>
        <v>54506.184488688887</v>
      </c>
      <c r="AH93" s="119">
        <f t="shared" si="59"/>
        <v>54299.576480268326</v>
      </c>
      <c r="AI93" s="119">
        <f t="shared" si="59"/>
        <v>54022.356102139107</v>
      </c>
      <c r="AJ93" s="119">
        <f t="shared" si="59"/>
        <v>53910.870889886981</v>
      </c>
      <c r="AK93" s="119">
        <f t="shared" si="59"/>
        <v>53791.691724033968</v>
      </c>
      <c r="AL93" s="119">
        <f t="shared" si="59"/>
        <v>53643.054543196922</v>
      </c>
      <c r="AM93" s="119">
        <f t="shared" si="59"/>
        <v>53493.327442847309</v>
      </c>
      <c r="AN93" s="119">
        <f t="shared" si="59"/>
        <v>53324.627583996451</v>
      </c>
      <c r="AO93" s="119">
        <f t="shared" si="59"/>
        <v>53202.014384037408</v>
      </c>
      <c r="AP93" s="119">
        <f t="shared" si="59"/>
        <v>53076.704804304842</v>
      </c>
      <c r="AQ93" s="119">
        <f t="shared" si="59"/>
        <v>52936.260333908751</v>
      </c>
    </row>
    <row r="94" spans="1:43">
      <c r="A94" s="138" t="s">
        <v>133</v>
      </c>
      <c r="L94" s="13"/>
      <c r="M94" s="13">
        <f>Data!$L7</f>
        <v>18492</v>
      </c>
      <c r="N94" s="13">
        <f>Data!$L19</f>
        <v>23047</v>
      </c>
      <c r="O94" s="13">
        <f>Data!$L31</f>
        <v>23477</v>
      </c>
      <c r="P94" s="13">
        <f>Data!$L43</f>
        <v>23579</v>
      </c>
      <c r="Q94" s="13">
        <f>Data!$L55</f>
        <v>23553</v>
      </c>
      <c r="R94" s="119">
        <f t="shared" si="60"/>
        <v>92919.367929097323</v>
      </c>
      <c r="S94" s="119">
        <f t="shared" si="60"/>
        <v>68339.090609020321</v>
      </c>
      <c r="T94" s="119">
        <f t="shared" si="59"/>
        <v>68736.585255495156</v>
      </c>
      <c r="U94" s="119">
        <f t="shared" si="59"/>
        <v>58526.886730376107</v>
      </c>
      <c r="V94" s="119">
        <f t="shared" si="59"/>
        <v>60779.598858368699</v>
      </c>
      <c r="W94" s="119">
        <f t="shared" si="59"/>
        <v>62178.167014094652</v>
      </c>
      <c r="X94" s="119">
        <f t="shared" si="59"/>
        <v>67287.392094016075</v>
      </c>
      <c r="Y94" s="119">
        <f t="shared" si="59"/>
        <v>63038.279350413301</v>
      </c>
      <c r="Z94" s="119">
        <f t="shared" si="59"/>
        <v>61101.660303667653</v>
      </c>
      <c r="AA94" s="119">
        <f t="shared" si="59"/>
        <v>61557.168380218034</v>
      </c>
      <c r="AB94" s="119">
        <f t="shared" si="59"/>
        <v>63188.373857137805</v>
      </c>
      <c r="AC94" s="119">
        <f t="shared" si="59"/>
        <v>62530.699796410394</v>
      </c>
      <c r="AD94" s="119">
        <f t="shared" si="59"/>
        <v>61548.699339782761</v>
      </c>
      <c r="AE94" s="119">
        <f t="shared" si="59"/>
        <v>61357.768391848949</v>
      </c>
      <c r="AF94" s="119">
        <f t="shared" si="59"/>
        <v>61593.196197250567</v>
      </c>
      <c r="AG94" s="119">
        <f t="shared" si="59"/>
        <v>61438.796112403856</v>
      </c>
      <c r="AH94" s="119">
        <f t="shared" si="59"/>
        <v>61166.265808163735</v>
      </c>
      <c r="AI94" s="119">
        <f t="shared" si="59"/>
        <v>60893.642346157285</v>
      </c>
      <c r="AJ94" s="119">
        <f t="shared" si="59"/>
        <v>60794.051130567095</v>
      </c>
      <c r="AK94" s="119">
        <f t="shared" si="59"/>
        <v>60675.258463716891</v>
      </c>
      <c r="AL94" s="119">
        <f t="shared" si="59"/>
        <v>60514.023589713091</v>
      </c>
      <c r="AM94" s="119">
        <f t="shared" si="59"/>
        <v>60354.142748051672</v>
      </c>
      <c r="AN94" s="119">
        <f t="shared" si="59"/>
        <v>60176.294617614709</v>
      </c>
      <c r="AO94" s="119">
        <f t="shared" si="59"/>
        <v>60054.573934915243</v>
      </c>
      <c r="AP94" s="119">
        <f t="shared" si="59"/>
        <v>59925.420912394184</v>
      </c>
      <c r="AQ94" s="119">
        <f t="shared" si="59"/>
        <v>59774.379581599147</v>
      </c>
    </row>
    <row r="95" spans="1:43">
      <c r="A95" s="138" t="s">
        <v>134</v>
      </c>
      <c r="L95" s="13"/>
      <c r="M95" s="13">
        <f>Data!$L8</f>
        <v>19373</v>
      </c>
      <c r="N95" s="13">
        <f>Data!$L20</f>
        <v>16938</v>
      </c>
      <c r="O95" s="13">
        <f>Data!$L32</f>
        <v>16938</v>
      </c>
      <c r="P95" s="13">
        <f>Data!$L44</f>
        <v>22582</v>
      </c>
      <c r="Q95" s="13">
        <f>Data!$L56</f>
        <v>24868</v>
      </c>
      <c r="R95" s="119">
        <f t="shared" si="60"/>
        <v>86788.315524219477</v>
      </c>
      <c r="S95" s="119">
        <f t="shared" si="60"/>
        <v>58929.184988567664</v>
      </c>
      <c r="T95" s="119">
        <f t="shared" si="59"/>
        <v>58585.133898327244</v>
      </c>
      <c r="U95" s="119">
        <f t="shared" si="59"/>
        <v>53176.302602487209</v>
      </c>
      <c r="V95" s="119">
        <f t="shared" si="59"/>
        <v>59372.018491855881</v>
      </c>
      <c r="W95" s="119">
        <f t="shared" si="59"/>
        <v>54350.835527334537</v>
      </c>
      <c r="X95" s="119">
        <f t="shared" si="59"/>
        <v>59838.088893458131</v>
      </c>
      <c r="Y95" s="119">
        <f t="shared" si="59"/>
        <v>57079.176591323572</v>
      </c>
      <c r="Z95" s="119">
        <f t="shared" si="59"/>
        <v>56177.939266917179</v>
      </c>
      <c r="AA95" s="119">
        <f t="shared" si="59"/>
        <v>55808.89314925205</v>
      </c>
      <c r="AB95" s="119">
        <f t="shared" si="59"/>
        <v>56882.360292518162</v>
      </c>
      <c r="AC95" s="119">
        <f t="shared" si="59"/>
        <v>56696.423596309673</v>
      </c>
      <c r="AD95" s="119">
        <f t="shared" si="59"/>
        <v>55973.373528558179</v>
      </c>
      <c r="AE95" s="119">
        <f t="shared" si="59"/>
        <v>55739.223695601453</v>
      </c>
      <c r="AF95" s="119">
        <f t="shared" si="59"/>
        <v>55907.079006889544</v>
      </c>
      <c r="AG95" s="119">
        <f t="shared" si="59"/>
        <v>55782.602925640182</v>
      </c>
      <c r="AH95" s="119">
        <f t="shared" si="59"/>
        <v>55606.729240204731</v>
      </c>
      <c r="AI95" s="119">
        <f t="shared" si="59"/>
        <v>55381.578485064092</v>
      </c>
      <c r="AJ95" s="119">
        <f t="shared" si="59"/>
        <v>55305.512887793971</v>
      </c>
      <c r="AK95" s="119">
        <f t="shared" si="59"/>
        <v>55208.788372253184</v>
      </c>
      <c r="AL95" s="119">
        <f t="shared" si="59"/>
        <v>55083.728311367158</v>
      </c>
      <c r="AM95" s="119">
        <f t="shared" si="59"/>
        <v>54964.440472816583</v>
      </c>
      <c r="AN95" s="119">
        <f t="shared" si="59"/>
        <v>54824.888191650447</v>
      </c>
      <c r="AO95" s="119">
        <f t="shared" si="59"/>
        <v>54729.888729320577</v>
      </c>
      <c r="AP95" s="119">
        <f t="shared" si="59"/>
        <v>54629.315488351189</v>
      </c>
      <c r="AQ95" s="119">
        <f t="shared" si="59"/>
        <v>54512.066323231033</v>
      </c>
    </row>
    <row r="96" spans="1:43">
      <c r="A96" s="138" t="s">
        <v>135</v>
      </c>
      <c r="L96" s="13"/>
      <c r="M96" s="13">
        <f>Data!$L9</f>
        <v>19389</v>
      </c>
      <c r="N96" s="13">
        <f>Data!$L21</f>
        <v>19000</v>
      </c>
      <c r="O96" s="13">
        <f>Data!$L33</f>
        <v>21586</v>
      </c>
      <c r="P96" s="13">
        <f>Data!$L45</f>
        <v>23783</v>
      </c>
      <c r="Q96" s="13">
        <f>Data!$L57</f>
        <v>20805</v>
      </c>
      <c r="R96" s="119">
        <f t="shared" si="60"/>
        <v>89934.979253907863</v>
      </c>
      <c r="S96" s="119">
        <f t="shared" si="60"/>
        <v>61929.198913303262</v>
      </c>
      <c r="T96" s="119">
        <f t="shared" si="59"/>
        <v>67361.0236568767</v>
      </c>
      <c r="U96" s="119">
        <f t="shared" si="59"/>
        <v>45646.626490470255</v>
      </c>
      <c r="V96" s="119">
        <f t="shared" si="59"/>
        <v>62341.2091434545</v>
      </c>
      <c r="W96" s="119">
        <f t="shared" si="59"/>
        <v>56455.835387466126</v>
      </c>
      <c r="X96" s="119">
        <f t="shared" si="59"/>
        <v>61619.538320974912</v>
      </c>
      <c r="Y96" s="119">
        <f t="shared" si="59"/>
        <v>56976.81975437759</v>
      </c>
      <c r="Z96" s="119">
        <f t="shared" si="59"/>
        <v>56317.228409076051</v>
      </c>
      <c r="AA96" s="119">
        <f t="shared" si="59"/>
        <v>56871.804964579584</v>
      </c>
      <c r="AB96" s="119">
        <f t="shared" si="59"/>
        <v>57452.381932865945</v>
      </c>
      <c r="AC96" s="119">
        <f t="shared" si="59"/>
        <v>56871.530586799665</v>
      </c>
      <c r="AD96" s="119">
        <f t="shared" si="59"/>
        <v>56121.248180720431</v>
      </c>
      <c r="AE96" s="119">
        <f t="shared" si="59"/>
        <v>55817.207376935694</v>
      </c>
      <c r="AF96" s="119">
        <f t="shared" si="59"/>
        <v>55959.302089647099</v>
      </c>
      <c r="AG96" s="119">
        <f t="shared" si="59"/>
        <v>55653.790844726667</v>
      </c>
      <c r="AH96" s="119">
        <f t="shared" si="59"/>
        <v>55374.108020936081</v>
      </c>
      <c r="AI96" s="119">
        <f t="shared" si="59"/>
        <v>55054.584942161455</v>
      </c>
      <c r="AJ96" s="119">
        <f t="shared" si="59"/>
        <v>54888.056824033032</v>
      </c>
      <c r="AK96" s="119">
        <f t="shared" si="59"/>
        <v>54701.876429321244</v>
      </c>
      <c r="AL96" s="119">
        <f t="shared" si="59"/>
        <v>54475.699913984572</v>
      </c>
      <c r="AM96" s="119">
        <f t="shared" si="59"/>
        <v>54263.483310701209</v>
      </c>
      <c r="AN96" s="119">
        <f t="shared" si="59"/>
        <v>54041.162677511282</v>
      </c>
      <c r="AO96" s="119">
        <f t="shared" si="59"/>
        <v>53859.673353373306</v>
      </c>
      <c r="AP96" s="119">
        <f t="shared" si="59"/>
        <v>53674.895081924391</v>
      </c>
      <c r="AQ96" s="119">
        <f t="shared" si="59"/>
        <v>53477.764726222609</v>
      </c>
    </row>
    <row r="97" spans="1:43">
      <c r="A97" s="138" t="s">
        <v>136</v>
      </c>
      <c r="L97" s="13"/>
      <c r="M97" s="13">
        <f>Data!$L10</f>
        <v>20127</v>
      </c>
      <c r="N97" s="13">
        <f>Data!$L22</f>
        <v>15154</v>
      </c>
      <c r="O97" s="13">
        <f>Data!$L34</f>
        <v>20287</v>
      </c>
      <c r="P97" s="13">
        <f>Data!$L46</f>
        <v>20984</v>
      </c>
      <c r="Q97" s="13">
        <f>Data!$L58</f>
        <v>25553</v>
      </c>
      <c r="R97" s="119">
        <f t="shared" si="60"/>
        <v>82191.954390817496</v>
      </c>
      <c r="S97" s="119">
        <f t="shared" si="60"/>
        <v>59283.896964266431</v>
      </c>
      <c r="T97" s="119">
        <f t="shared" si="59"/>
        <v>57526.074081876315</v>
      </c>
      <c r="U97" s="119">
        <f t="shared" si="59"/>
        <v>42019.558611722547</v>
      </c>
      <c r="V97" s="119">
        <f t="shared" si="59"/>
        <v>63154.669465986779</v>
      </c>
      <c r="W97" s="119">
        <f t="shared" si="59"/>
        <v>51058.882669232669</v>
      </c>
      <c r="X97" s="119">
        <f t="shared" si="59"/>
        <v>56496.126342729141</v>
      </c>
      <c r="Y97" s="119">
        <f t="shared" si="59"/>
        <v>52985.72170469875</v>
      </c>
      <c r="Z97" s="119">
        <f t="shared" si="59"/>
        <v>53623.818262950284</v>
      </c>
      <c r="AA97" s="119">
        <f t="shared" si="59"/>
        <v>53460.021689492452</v>
      </c>
      <c r="AB97" s="119">
        <f t="shared" si="59"/>
        <v>53400.254388790752</v>
      </c>
      <c r="AC97" s="119">
        <f t="shared" si="59"/>
        <v>53342.486355690344</v>
      </c>
      <c r="AD97" s="119">
        <f t="shared" si="59"/>
        <v>52831.343596917286</v>
      </c>
      <c r="AE97" s="119">
        <f t="shared" si="59"/>
        <v>52536.481355545577</v>
      </c>
      <c r="AF97" s="119">
        <f t="shared" si="59"/>
        <v>52622.685323447513</v>
      </c>
      <c r="AG97" s="119">
        <f t="shared" si="59"/>
        <v>52360.904609026853</v>
      </c>
      <c r="AH97" s="119">
        <f t="shared" si="59"/>
        <v>52200.115533352422</v>
      </c>
      <c r="AI97" s="119">
        <f t="shared" si="59"/>
        <v>51936.477796172141</v>
      </c>
      <c r="AJ97" s="119">
        <f t="shared" si="59"/>
        <v>51814.839617258811</v>
      </c>
      <c r="AK97" s="119">
        <f t="shared" si="59"/>
        <v>51668.239570151898</v>
      </c>
      <c r="AL97" s="119">
        <f t="shared" si="59"/>
        <v>51493.002949802729</v>
      </c>
      <c r="AM97" s="119">
        <f t="shared" si="59"/>
        <v>51337.294094551995</v>
      </c>
      <c r="AN97" s="119">
        <f t="shared" si="59"/>
        <v>51164.87576365401</v>
      </c>
      <c r="AO97" s="119">
        <f t="shared" si="59"/>
        <v>51027.317762512132</v>
      </c>
      <c r="AP97" s="119">
        <f t="shared" si="59"/>
        <v>50885.756603261107</v>
      </c>
      <c r="AQ97" s="119">
        <f t="shared" si="59"/>
        <v>50734.084260016272</v>
      </c>
    </row>
    <row r="98" spans="1:43">
      <c r="A98" s="138" t="s">
        <v>137</v>
      </c>
      <c r="L98" s="13"/>
      <c r="M98" s="13">
        <f>Data!$L11</f>
        <v>17134</v>
      </c>
      <c r="N98" s="13">
        <f>Data!$L23</f>
        <v>12941</v>
      </c>
      <c r="O98" s="13">
        <f>Data!$L35</f>
        <v>16883</v>
      </c>
      <c r="P98" s="13">
        <f>Data!$L47</f>
        <v>22678</v>
      </c>
      <c r="Q98" s="13">
        <f>Data!$L59</f>
        <v>21300</v>
      </c>
      <c r="R98" s="119">
        <f t="shared" si="60"/>
        <v>81591.486228609807</v>
      </c>
      <c r="S98" s="119">
        <f t="shared" si="60"/>
        <v>53918.416645679215</v>
      </c>
      <c r="T98" s="119">
        <f t="shared" si="59"/>
        <v>59809.091153885296</v>
      </c>
      <c r="U98" s="119">
        <f t="shared" si="59"/>
        <v>44781.837987576961</v>
      </c>
      <c r="V98" s="119">
        <f t="shared" si="59"/>
        <v>58051.098893834278</v>
      </c>
      <c r="W98" s="119">
        <f t="shared" si="59"/>
        <v>49688.137452888419</v>
      </c>
      <c r="X98" s="119">
        <f t="shared" si="59"/>
        <v>56164.662430055556</v>
      </c>
      <c r="Y98" s="119">
        <f t="shared" si="59"/>
        <v>52851.134022298793</v>
      </c>
      <c r="Z98" s="119">
        <f t="shared" si="59"/>
        <v>52091.979722018412</v>
      </c>
      <c r="AA98" s="119">
        <f t="shared" si="59"/>
        <v>51874.846809287497</v>
      </c>
      <c r="AB98" s="119">
        <f t="shared" si="59"/>
        <v>52568.019533647341</v>
      </c>
      <c r="AC98" s="119">
        <f t="shared" si="59"/>
        <v>52407.316223668575</v>
      </c>
      <c r="AD98" s="119">
        <f t="shared" si="59"/>
        <v>51709.219623412529</v>
      </c>
      <c r="AE98" s="119">
        <f t="shared" si="59"/>
        <v>51360.970924034715</v>
      </c>
      <c r="AF98" s="119">
        <f t="shared" si="59"/>
        <v>51499.077837275807</v>
      </c>
      <c r="AG98" s="119">
        <f t="shared" si="59"/>
        <v>51290.440768854169</v>
      </c>
      <c r="AH98" s="119">
        <f t="shared" si="59"/>
        <v>51083.988716685388</v>
      </c>
      <c r="AI98" s="119">
        <f t="shared" si="59"/>
        <v>50808.154698082362</v>
      </c>
      <c r="AJ98" s="119">
        <f t="shared" si="59"/>
        <v>50677.386813264864</v>
      </c>
      <c r="AK98" s="119">
        <f t="shared" si="59"/>
        <v>50532.667593412276</v>
      </c>
      <c r="AL98" s="119">
        <f t="shared" si="59"/>
        <v>50357.917640896514</v>
      </c>
      <c r="AM98" s="119">
        <f t="shared" si="59"/>
        <v>50192.135947756702</v>
      </c>
      <c r="AN98" s="119">
        <f t="shared" si="59"/>
        <v>50013.741403964232</v>
      </c>
      <c r="AO98" s="119">
        <f t="shared" si="59"/>
        <v>49870.66330597084</v>
      </c>
      <c r="AP98" s="119">
        <f t="shared" si="59"/>
        <v>49726.043807740672</v>
      </c>
      <c r="AQ98" s="119">
        <f t="shared" si="59"/>
        <v>49570.99253348849</v>
      </c>
    </row>
    <row r="99" spans="1:43">
      <c r="A99" s="138" t="s">
        <v>138</v>
      </c>
      <c r="L99" s="13"/>
      <c r="M99" s="13">
        <f>Data!$L12</f>
        <v>17714</v>
      </c>
      <c r="N99" s="13">
        <f>Data!$L24</f>
        <v>16606</v>
      </c>
      <c r="O99" s="13">
        <f>Data!$L36</f>
        <v>22927</v>
      </c>
      <c r="P99" s="13">
        <f>Data!$L48</f>
        <v>19825</v>
      </c>
      <c r="Q99" s="13">
        <f>Data!$L60</f>
        <v>27035</v>
      </c>
      <c r="R99" s="119">
        <f t="shared" si="60"/>
        <v>86782.592564283404</v>
      </c>
      <c r="S99" s="119">
        <f t="shared" si="60"/>
        <v>58480.842764611007</v>
      </c>
      <c r="T99" s="119">
        <f t="shared" si="59"/>
        <v>64766.905452351202</v>
      </c>
      <c r="U99" s="119">
        <f t="shared" si="59"/>
        <v>42160.818406400736</v>
      </c>
      <c r="V99" s="119">
        <f t="shared" si="59"/>
        <v>65440.569881687465</v>
      </c>
      <c r="W99" s="119">
        <f t="shared" si="59"/>
        <v>52571.667500336771</v>
      </c>
      <c r="X99" s="119">
        <f t="shared" si="59"/>
        <v>58999.84389741224</v>
      </c>
      <c r="Y99" s="119">
        <f t="shared" si="59"/>
        <v>55144.991181056539</v>
      </c>
      <c r="Z99" s="119">
        <f t="shared" si="59"/>
        <v>55099.798995163583</v>
      </c>
      <c r="AA99" s="119">
        <f t="shared" si="59"/>
        <v>55108.937525072193</v>
      </c>
      <c r="AB99" s="119">
        <f t="shared" si="59"/>
        <v>55098.395837942953</v>
      </c>
      <c r="AC99" s="119">
        <f t="shared" si="59"/>
        <v>54925.907026258414</v>
      </c>
      <c r="AD99" s="119">
        <f t="shared" si="59"/>
        <v>54293.837345458451</v>
      </c>
      <c r="AE99" s="119">
        <f t="shared" si="59"/>
        <v>53863.37093759625</v>
      </c>
      <c r="AF99" s="119">
        <f t="shared" si="59"/>
        <v>53939.470580136229</v>
      </c>
      <c r="AG99" s="119">
        <f t="shared" si="59"/>
        <v>53595.958170716127</v>
      </c>
      <c r="AH99" s="119">
        <f t="shared" si="59"/>
        <v>53356.302842625359</v>
      </c>
      <c r="AI99" s="119">
        <f t="shared" si="59"/>
        <v>53014.194379110297</v>
      </c>
      <c r="AJ99" s="119">
        <f t="shared" si="59"/>
        <v>52820.349445670261</v>
      </c>
      <c r="AK99" s="119">
        <f t="shared" si="59"/>
        <v>52610.901760676992</v>
      </c>
      <c r="AL99" s="119">
        <f t="shared" si="59"/>
        <v>52368.204961003212</v>
      </c>
      <c r="AM99" s="119">
        <f t="shared" si="59"/>
        <v>52146.018799392215</v>
      </c>
      <c r="AN99" s="119">
        <f t="shared" si="59"/>
        <v>51910.072204441647</v>
      </c>
      <c r="AO99" s="119">
        <f t="shared" si="59"/>
        <v>51709.376699373242</v>
      </c>
      <c r="AP99" s="119">
        <f t="shared" si="59"/>
        <v>51508.240228024428</v>
      </c>
      <c r="AQ99" s="119">
        <f t="shared" si="59"/>
        <v>51299.112504725403</v>
      </c>
    </row>
    <row r="100" spans="1:43">
      <c r="A100" s="138" t="s">
        <v>139</v>
      </c>
      <c r="L100" s="13"/>
      <c r="M100" s="13">
        <f>Data!$L13</f>
        <v>23238</v>
      </c>
      <c r="N100" s="13">
        <f>Data!$L25</f>
        <v>21365</v>
      </c>
      <c r="O100" s="13">
        <f>Data!$L37</f>
        <v>17618</v>
      </c>
      <c r="P100" s="13">
        <f>Data!$L49</f>
        <v>24194</v>
      </c>
      <c r="Q100" s="13">
        <f>Data!$L61</f>
        <v>29818</v>
      </c>
      <c r="R100" s="119">
        <f t="shared" si="60"/>
        <v>78331.30837636604</v>
      </c>
      <c r="S100" s="119">
        <f t="shared" si="60"/>
        <v>49712.540020164743</v>
      </c>
      <c r="T100" s="119">
        <f t="shared" si="59"/>
        <v>55052.257621491153</v>
      </c>
      <c r="U100" s="119">
        <f t="shared" si="59"/>
        <v>44592.626586955565</v>
      </c>
      <c r="V100" s="119">
        <f t="shared" si="59"/>
        <v>62286.476885785756</v>
      </c>
      <c r="W100" s="119">
        <f t="shared" si="59"/>
        <v>45570.35117998434</v>
      </c>
      <c r="X100" s="119">
        <f t="shared" si="59"/>
        <v>53701.443425772362</v>
      </c>
      <c r="Y100" s="119">
        <f t="shared" si="59"/>
        <v>51970.847801915021</v>
      </c>
      <c r="Z100" s="119">
        <f t="shared" si="59"/>
        <v>51988.644326474983</v>
      </c>
      <c r="AA100" s="119">
        <f t="shared" si="59"/>
        <v>50712.941880838247</v>
      </c>
      <c r="AB100" s="119">
        <f t="shared" si="59"/>
        <v>50837.673184615269</v>
      </c>
      <c r="AC100" s="119">
        <f t="shared" si="59"/>
        <v>51306.672585469263</v>
      </c>
      <c r="AD100" s="119">
        <f t="shared" si="59"/>
        <v>50774.916808647336</v>
      </c>
      <c r="AE100" s="119">
        <f t="shared" si="59"/>
        <v>50290.328840503469</v>
      </c>
      <c r="AF100" s="119">
        <f t="shared" si="59"/>
        <v>50341.435997391061</v>
      </c>
      <c r="AG100" s="119">
        <f t="shared" si="59"/>
        <v>50143.320908297843</v>
      </c>
      <c r="AH100" s="119">
        <f t="shared" si="59"/>
        <v>50021.580292071158</v>
      </c>
      <c r="AI100" s="119">
        <f t="shared" si="59"/>
        <v>49744.608515022846</v>
      </c>
      <c r="AJ100" s="119">
        <f t="shared" si="59"/>
        <v>49606.247364186274</v>
      </c>
      <c r="AK100" s="119">
        <f t="shared" si="59"/>
        <v>49458.52487623773</v>
      </c>
      <c r="AL100" s="119">
        <f t="shared" si="59"/>
        <v>49294.531891797727</v>
      </c>
      <c r="AM100" s="119">
        <f t="shared" si="59"/>
        <v>49144.883620288223</v>
      </c>
      <c r="AN100" s="119">
        <f t="shared" si="59"/>
        <v>48972.706514524762</v>
      </c>
      <c r="AO100" s="119">
        <f t="shared" si="59"/>
        <v>48832.192762789084</v>
      </c>
      <c r="AP100" s="119">
        <f t="shared" si="59"/>
        <v>48692.688949061674</v>
      </c>
      <c r="AQ100" s="119">
        <f t="shared" si="59"/>
        <v>48545.993809599662</v>
      </c>
    </row>
    <row r="101" spans="1:43" ht="12" thickBot="1">
      <c r="A101" s="138" t="s">
        <v>140</v>
      </c>
      <c r="L101" s="13">
        <v>18534</v>
      </c>
      <c r="M101" s="13">
        <f>Data!$L14</f>
        <v>19153</v>
      </c>
      <c r="N101" s="13">
        <f>Data!$L26</f>
        <v>19662</v>
      </c>
      <c r="O101" s="13">
        <f>Data!$L38</f>
        <v>26067</v>
      </c>
      <c r="P101" s="13">
        <f>Data!$L50</f>
        <v>28150</v>
      </c>
      <c r="Q101" s="13">
        <f>Data!$L62</f>
        <v>29597</v>
      </c>
      <c r="R101" s="119">
        <f t="shared" si="60"/>
        <v>30000.000000000058</v>
      </c>
      <c r="S101" s="119">
        <f t="shared" si="60"/>
        <v>30000.000000000233</v>
      </c>
      <c r="T101" s="119">
        <f t="shared" si="59"/>
        <v>30000.000000000931</v>
      </c>
      <c r="U101" s="119">
        <f t="shared" si="59"/>
        <v>30000.000000001106</v>
      </c>
      <c r="V101" s="119">
        <f t="shared" si="59"/>
        <v>30000.000000000233</v>
      </c>
      <c r="W101" s="119">
        <f t="shared" si="59"/>
        <v>29999.999999999942</v>
      </c>
      <c r="X101" s="119">
        <f t="shared" si="59"/>
        <v>29999.999999999884</v>
      </c>
      <c r="Y101" s="119">
        <f t="shared" si="59"/>
        <v>30000.000000000058</v>
      </c>
      <c r="Z101" s="119">
        <f t="shared" si="59"/>
        <v>29999.999999999884</v>
      </c>
      <c r="AA101" s="119">
        <f t="shared" si="59"/>
        <v>30000.000000000116</v>
      </c>
      <c r="AB101" s="119">
        <f t="shared" si="59"/>
        <v>29999.999999999884</v>
      </c>
      <c r="AC101" s="119">
        <f t="shared" si="59"/>
        <v>30000</v>
      </c>
      <c r="AD101" s="119">
        <f t="shared" si="59"/>
        <v>30000</v>
      </c>
      <c r="AE101" s="119">
        <f t="shared" si="59"/>
        <v>29999.999999999651</v>
      </c>
      <c r="AF101" s="119">
        <f t="shared" si="59"/>
        <v>29999.999999999534</v>
      </c>
      <c r="AG101" s="119">
        <f t="shared" si="59"/>
        <v>29999.999999999767</v>
      </c>
      <c r="AH101" s="119">
        <f t="shared" si="59"/>
        <v>29999.999999999709</v>
      </c>
      <c r="AI101" s="119">
        <f t="shared" ref="AI101:AQ101" si="61">AI100+AI37+AI53-AI69-AI85</f>
        <v>29999.999999998952</v>
      </c>
      <c r="AJ101" s="119">
        <f t="shared" si="61"/>
        <v>29999.999999998836</v>
      </c>
      <c r="AK101" s="119">
        <f t="shared" si="61"/>
        <v>29999.999999999476</v>
      </c>
      <c r="AL101" s="119">
        <f t="shared" si="61"/>
        <v>29999.99999999936</v>
      </c>
      <c r="AM101" s="119">
        <f t="shared" si="61"/>
        <v>29999.999999998952</v>
      </c>
      <c r="AN101" s="119">
        <f t="shared" si="61"/>
        <v>29999.99999999837</v>
      </c>
      <c r="AO101" s="119">
        <f t="shared" si="61"/>
        <v>29999.999999997439</v>
      </c>
      <c r="AP101" s="119">
        <f t="shared" si="61"/>
        <v>29999.999999998021</v>
      </c>
      <c r="AQ101" s="119">
        <f t="shared" si="61"/>
        <v>29999.999999997613</v>
      </c>
    </row>
    <row r="102" spans="1:43">
      <c r="A102" s="144"/>
      <c r="B102" s="141"/>
      <c r="C102" s="141"/>
      <c r="D102" s="141"/>
      <c r="E102" s="141"/>
      <c r="F102" s="141"/>
      <c r="G102" s="141"/>
      <c r="H102" s="141"/>
      <c r="I102" s="141"/>
      <c r="J102" s="141"/>
      <c r="K102" s="141"/>
      <c r="L102" s="145"/>
      <c r="M102" s="145"/>
      <c r="N102" s="145"/>
      <c r="O102" s="145"/>
      <c r="P102" s="145"/>
      <c r="Q102" s="145"/>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row>
    <row r="103" spans="1:43">
      <c r="A103" s="113" t="s">
        <v>157</v>
      </c>
    </row>
    <row r="104" spans="1:43" ht="12" thickBot="1">
      <c r="A104" s="138" t="s">
        <v>158</v>
      </c>
      <c r="B104" s="138"/>
      <c r="C104" s="138"/>
      <c r="D104" s="138"/>
      <c r="E104" s="138"/>
      <c r="F104" s="138"/>
      <c r="G104" s="138"/>
      <c r="H104" s="138"/>
      <c r="I104" s="138"/>
      <c r="J104" s="138"/>
      <c r="K104" s="138"/>
      <c r="L104" s="138"/>
    </row>
    <row r="105" spans="1:43" ht="12" thickBot="1">
      <c r="A105" s="139"/>
      <c r="B105" s="140">
        <f t="shared" ref="B105:AQ105" si="62">B2</f>
        <v>2009</v>
      </c>
      <c r="C105" s="140">
        <f t="shared" si="62"/>
        <v>2010</v>
      </c>
      <c r="D105" s="140">
        <f t="shared" si="62"/>
        <v>2011</v>
      </c>
      <c r="E105" s="140">
        <f t="shared" si="62"/>
        <v>2012</v>
      </c>
      <c r="F105" s="140">
        <f t="shared" si="62"/>
        <v>2013</v>
      </c>
      <c r="G105" s="140">
        <f t="shared" si="62"/>
        <v>2014</v>
      </c>
      <c r="H105" s="140">
        <f t="shared" si="62"/>
        <v>2015</v>
      </c>
      <c r="I105" s="140">
        <f t="shared" si="62"/>
        <v>2016</v>
      </c>
      <c r="J105" s="140">
        <f t="shared" si="62"/>
        <v>2017</v>
      </c>
      <c r="K105" s="140">
        <f t="shared" si="62"/>
        <v>2018</v>
      </c>
      <c r="L105" s="140">
        <f t="shared" si="62"/>
        <v>2019</v>
      </c>
      <c r="M105" s="140">
        <f t="shared" si="62"/>
        <v>2020</v>
      </c>
      <c r="N105" s="140">
        <f t="shared" si="62"/>
        <v>2021</v>
      </c>
      <c r="O105" s="140">
        <f t="shared" si="62"/>
        <v>2022</v>
      </c>
      <c r="P105" s="140">
        <f t="shared" si="62"/>
        <v>2023</v>
      </c>
      <c r="Q105" s="140">
        <f t="shared" si="62"/>
        <v>2024</v>
      </c>
      <c r="R105" s="140">
        <f t="shared" si="62"/>
        <v>2025</v>
      </c>
      <c r="S105" s="140">
        <f t="shared" si="62"/>
        <v>2026</v>
      </c>
      <c r="T105" s="140">
        <f t="shared" si="62"/>
        <v>2027</v>
      </c>
      <c r="U105" s="140">
        <f t="shared" si="62"/>
        <v>2028</v>
      </c>
      <c r="V105" s="140">
        <f t="shared" si="62"/>
        <v>2029</v>
      </c>
      <c r="W105" s="140">
        <f t="shared" si="62"/>
        <v>2030</v>
      </c>
      <c r="X105" s="140">
        <f t="shared" si="62"/>
        <v>2031</v>
      </c>
      <c r="Y105" s="140">
        <f t="shared" si="62"/>
        <v>2032</v>
      </c>
      <c r="Z105" s="140">
        <f t="shared" si="62"/>
        <v>2033</v>
      </c>
      <c r="AA105" s="140">
        <f t="shared" si="62"/>
        <v>2034</v>
      </c>
      <c r="AB105" s="140">
        <f t="shared" si="62"/>
        <v>2035</v>
      </c>
      <c r="AC105" s="140">
        <f t="shared" si="62"/>
        <v>2036</v>
      </c>
      <c r="AD105" s="140">
        <f t="shared" si="62"/>
        <v>2037</v>
      </c>
      <c r="AE105" s="140">
        <f t="shared" si="62"/>
        <v>2038</v>
      </c>
      <c r="AF105" s="140">
        <f t="shared" si="62"/>
        <v>2039</v>
      </c>
      <c r="AG105" s="140">
        <f t="shared" si="62"/>
        <v>2040</v>
      </c>
      <c r="AH105" s="140">
        <f t="shared" si="62"/>
        <v>2041</v>
      </c>
      <c r="AI105" s="140">
        <f t="shared" si="62"/>
        <v>2042</v>
      </c>
      <c r="AJ105" s="140">
        <f t="shared" si="62"/>
        <v>2043</v>
      </c>
      <c r="AK105" s="140">
        <f t="shared" si="62"/>
        <v>2044</v>
      </c>
      <c r="AL105" s="140">
        <f t="shared" si="62"/>
        <v>2045</v>
      </c>
      <c r="AM105" s="140">
        <f t="shared" si="62"/>
        <v>2046</v>
      </c>
      <c r="AN105" s="140">
        <f t="shared" si="62"/>
        <v>2047</v>
      </c>
      <c r="AO105" s="140">
        <f t="shared" si="62"/>
        <v>2048</v>
      </c>
      <c r="AP105" s="140">
        <f t="shared" si="62"/>
        <v>2049</v>
      </c>
      <c r="AQ105" s="140">
        <f t="shared" si="62"/>
        <v>2050</v>
      </c>
    </row>
    <row r="106" spans="1:43">
      <c r="A106" s="138" t="s">
        <v>129</v>
      </c>
      <c r="L106" s="13"/>
      <c r="M106" s="13"/>
      <c r="N106" s="13"/>
      <c r="O106" s="13"/>
      <c r="P106" s="13"/>
      <c r="Q106" s="13"/>
      <c r="R106" s="13"/>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row>
    <row r="107" spans="1:43">
      <c r="A107" s="138" t="s">
        <v>130</v>
      </c>
      <c r="L107" s="13"/>
      <c r="M107" s="13"/>
      <c r="N107" s="13"/>
      <c r="O107" s="13"/>
      <c r="P107" s="13"/>
      <c r="Q107" s="13"/>
      <c r="R107" s="13">
        <f>R90+R27+R43-R59-R139</f>
        <v>351530.09700000001</v>
      </c>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row>
    <row r="108" spans="1:43">
      <c r="A108" s="138" t="s">
        <v>131</v>
      </c>
      <c r="L108" s="13"/>
      <c r="M108" s="13"/>
      <c r="N108" s="13"/>
      <c r="O108" s="13"/>
      <c r="P108" s="13"/>
      <c r="Q108" s="13"/>
      <c r="R108" s="119">
        <f>R107-R155</f>
        <v>165651.99999999997</v>
      </c>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row>
    <row r="109" spans="1:43">
      <c r="A109" s="138" t="s">
        <v>132</v>
      </c>
      <c r="L109" s="13"/>
      <c r="M109" s="13"/>
      <c r="N109" s="13"/>
      <c r="O109" s="13"/>
      <c r="P109" s="13"/>
      <c r="Q109" s="13"/>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row>
    <row r="110" spans="1:43">
      <c r="A110" s="138" t="s">
        <v>133</v>
      </c>
      <c r="L110" s="13"/>
      <c r="M110" s="13"/>
      <c r="N110" s="13"/>
      <c r="O110" s="13"/>
      <c r="P110" s="13"/>
      <c r="Q110" s="13"/>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row>
    <row r="111" spans="1:43">
      <c r="A111" s="138" t="s">
        <v>134</v>
      </c>
      <c r="L111" s="13"/>
      <c r="M111" s="13"/>
      <c r="N111" s="13"/>
      <c r="O111" s="13"/>
      <c r="P111" s="13"/>
      <c r="Q111" s="13"/>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row>
    <row r="112" spans="1:43">
      <c r="A112" s="138" t="s">
        <v>135</v>
      </c>
      <c r="L112" s="13"/>
      <c r="M112" s="13"/>
      <c r="N112" s="13"/>
      <c r="O112" s="13"/>
      <c r="P112" s="13"/>
      <c r="Q112" s="13"/>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row>
    <row r="113" spans="1:43">
      <c r="A113" s="138" t="s">
        <v>136</v>
      </c>
      <c r="L113" s="13"/>
      <c r="M113" s="13"/>
      <c r="N113" s="13"/>
      <c r="O113" s="13"/>
      <c r="P113" s="13"/>
      <c r="Q113" s="13"/>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row>
    <row r="114" spans="1:43">
      <c r="A114" s="138" t="s">
        <v>137</v>
      </c>
      <c r="L114" s="13"/>
      <c r="M114" s="13"/>
      <c r="N114" s="13"/>
      <c r="O114" s="13"/>
      <c r="P114" s="13"/>
      <c r="Q114" s="13"/>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row>
    <row r="115" spans="1:43">
      <c r="A115" s="138" t="s">
        <v>138</v>
      </c>
      <c r="L115" s="13"/>
      <c r="M115" s="13"/>
      <c r="N115" s="13"/>
      <c r="O115" s="13"/>
      <c r="P115" s="13"/>
      <c r="Q115" s="13"/>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row>
    <row r="116" spans="1:43">
      <c r="A116" s="138" t="s">
        <v>139</v>
      </c>
      <c r="L116" s="13"/>
      <c r="M116" s="13"/>
      <c r="N116" s="13"/>
      <c r="O116" s="13"/>
      <c r="P116" s="13"/>
      <c r="Q116" s="13"/>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row>
    <row r="117" spans="1:43">
      <c r="A117" s="138" t="s">
        <v>140</v>
      </c>
      <c r="L117" s="13"/>
      <c r="M117" s="13"/>
      <c r="N117" s="13"/>
      <c r="O117" s="13"/>
      <c r="P117" s="13"/>
      <c r="Q117" s="13"/>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row>
    <row r="118" spans="1:43" ht="12" thickBot="1">
      <c r="A118" s="138" t="s">
        <v>141</v>
      </c>
      <c r="C118" s="113">
        <v>44186000</v>
      </c>
      <c r="D118" s="113">
        <v>44555000</v>
      </c>
      <c r="E118" s="113">
        <v>43065000</v>
      </c>
      <c r="F118" s="113">
        <v>44009000</v>
      </c>
      <c r="G118" s="113">
        <v>45355000</v>
      </c>
      <c r="H118" s="113">
        <v>44933000</v>
      </c>
      <c r="I118" s="113">
        <v>46920000</v>
      </c>
      <c r="J118" s="113">
        <v>47018000</v>
      </c>
      <c r="K118" s="113">
        <v>46299000</v>
      </c>
      <c r="L118" s="13">
        <v>46000000</v>
      </c>
      <c r="M118" s="13"/>
      <c r="N118" s="13"/>
      <c r="O118" s="13"/>
      <c r="P118" s="13"/>
      <c r="Q118" s="13"/>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row>
    <row r="119" spans="1:43">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1"/>
      <c r="AN119" s="141"/>
      <c r="AO119" s="141"/>
      <c r="AP119" s="141"/>
      <c r="AQ119" s="141"/>
    </row>
    <row r="120" spans="1:43" ht="12" thickBot="1">
      <c r="A120" s="138" t="s">
        <v>144</v>
      </c>
      <c r="B120" s="138"/>
      <c r="C120" s="138"/>
      <c r="D120" s="138"/>
      <c r="E120" s="138"/>
      <c r="F120" s="138"/>
      <c r="G120" s="138"/>
      <c r="H120" s="138"/>
      <c r="I120" s="138"/>
      <c r="J120" s="138"/>
      <c r="K120" s="138"/>
      <c r="L120" s="138"/>
    </row>
    <row r="121" spans="1:43" ht="12" thickBot="1">
      <c r="A121" s="139"/>
      <c r="B121" s="140">
        <f t="shared" ref="B121:AQ121" si="63">B2</f>
        <v>2009</v>
      </c>
      <c r="C121" s="140">
        <f t="shared" si="63"/>
        <v>2010</v>
      </c>
      <c r="D121" s="140">
        <f t="shared" si="63"/>
        <v>2011</v>
      </c>
      <c r="E121" s="140">
        <f t="shared" si="63"/>
        <v>2012</v>
      </c>
      <c r="F121" s="140">
        <f t="shared" si="63"/>
        <v>2013</v>
      </c>
      <c r="G121" s="140">
        <f t="shared" si="63"/>
        <v>2014</v>
      </c>
      <c r="H121" s="140">
        <f t="shared" si="63"/>
        <v>2015</v>
      </c>
      <c r="I121" s="140">
        <f t="shared" si="63"/>
        <v>2016</v>
      </c>
      <c r="J121" s="140">
        <f t="shared" si="63"/>
        <v>2017</v>
      </c>
      <c r="K121" s="140">
        <f t="shared" si="63"/>
        <v>2018</v>
      </c>
      <c r="L121" s="140">
        <f t="shared" si="63"/>
        <v>2019</v>
      </c>
      <c r="M121" s="140">
        <f t="shared" si="63"/>
        <v>2020</v>
      </c>
      <c r="N121" s="140">
        <f t="shared" si="63"/>
        <v>2021</v>
      </c>
      <c r="O121" s="140">
        <f t="shared" si="63"/>
        <v>2022</v>
      </c>
      <c r="P121" s="140">
        <f t="shared" si="63"/>
        <v>2023</v>
      </c>
      <c r="Q121" s="140">
        <f t="shared" si="63"/>
        <v>2024</v>
      </c>
      <c r="R121" s="140">
        <f t="shared" si="63"/>
        <v>2025</v>
      </c>
      <c r="S121" s="140">
        <f t="shared" si="63"/>
        <v>2026</v>
      </c>
      <c r="T121" s="140">
        <f t="shared" si="63"/>
        <v>2027</v>
      </c>
      <c r="U121" s="140">
        <f t="shared" si="63"/>
        <v>2028</v>
      </c>
      <c r="V121" s="140">
        <f t="shared" si="63"/>
        <v>2029</v>
      </c>
      <c r="W121" s="140">
        <f t="shared" si="63"/>
        <v>2030</v>
      </c>
      <c r="X121" s="140">
        <f t="shared" si="63"/>
        <v>2031</v>
      </c>
      <c r="Y121" s="140">
        <f t="shared" si="63"/>
        <v>2032</v>
      </c>
      <c r="Z121" s="140">
        <f t="shared" si="63"/>
        <v>2033</v>
      </c>
      <c r="AA121" s="140">
        <f t="shared" si="63"/>
        <v>2034</v>
      </c>
      <c r="AB121" s="140">
        <f t="shared" si="63"/>
        <v>2035</v>
      </c>
      <c r="AC121" s="140">
        <f t="shared" si="63"/>
        <v>2036</v>
      </c>
      <c r="AD121" s="140">
        <f t="shared" si="63"/>
        <v>2037</v>
      </c>
      <c r="AE121" s="140">
        <f t="shared" si="63"/>
        <v>2038</v>
      </c>
      <c r="AF121" s="140">
        <f t="shared" si="63"/>
        <v>2039</v>
      </c>
      <c r="AG121" s="140">
        <f t="shared" si="63"/>
        <v>2040</v>
      </c>
      <c r="AH121" s="140">
        <f t="shared" si="63"/>
        <v>2041</v>
      </c>
      <c r="AI121" s="140">
        <f t="shared" si="63"/>
        <v>2042</v>
      </c>
      <c r="AJ121" s="140">
        <f t="shared" si="63"/>
        <v>2043</v>
      </c>
      <c r="AK121" s="140">
        <f t="shared" si="63"/>
        <v>2044</v>
      </c>
      <c r="AL121" s="140">
        <f t="shared" si="63"/>
        <v>2045</v>
      </c>
      <c r="AM121" s="140">
        <f t="shared" si="63"/>
        <v>2046</v>
      </c>
      <c r="AN121" s="140">
        <f t="shared" si="63"/>
        <v>2047</v>
      </c>
      <c r="AO121" s="140">
        <f t="shared" si="63"/>
        <v>2048</v>
      </c>
      <c r="AP121" s="140">
        <f t="shared" si="63"/>
        <v>2049</v>
      </c>
      <c r="AQ121" s="140">
        <f t="shared" si="63"/>
        <v>2050</v>
      </c>
    </row>
    <row r="122" spans="1:43">
      <c r="A122" s="138" t="s">
        <v>129</v>
      </c>
      <c r="L122" s="13"/>
      <c r="M122" s="13">
        <f>Data!$F3</f>
        <v>160038</v>
      </c>
      <c r="N122" s="13">
        <f>Data!$F15</f>
        <v>115867</v>
      </c>
      <c r="O122" s="13">
        <f>Data!$F27</f>
        <v>137786</v>
      </c>
      <c r="P122" s="13">
        <f>Data!$F39</f>
        <v>151754</v>
      </c>
      <c r="Q122" s="13">
        <f>Data!$F51</f>
        <v>152491</v>
      </c>
      <c r="R122" s="13">
        <f>Data!$F63</f>
        <v>144253</v>
      </c>
      <c r="S122" s="119">
        <f t="shared" ref="S122:S133" si="64">S$134*(SUM(P122:R122)/SUM(P$134:R$134))</f>
        <v>125425.42097366181</v>
      </c>
      <c r="T122" s="119">
        <f t="shared" ref="T122:T133" si="65">T$134*(SUM(Q122:S122)/SUM(Q$134:S$134))</f>
        <v>119965.07707441978</v>
      </c>
      <c r="U122" s="119">
        <f t="shared" ref="U122:AJ133" si="66">U$134*(SUM(R122:T122)/SUM(R$134:T$134))</f>
        <v>119068.83399447448</v>
      </c>
      <c r="V122" s="119">
        <f t="shared" si="66"/>
        <v>114434.05298454834</v>
      </c>
      <c r="W122" s="119">
        <f t="shared" si="66"/>
        <v>111981.23349543988</v>
      </c>
      <c r="X122" s="119">
        <f t="shared" si="66"/>
        <v>109451.89351861061</v>
      </c>
      <c r="Y122" s="119">
        <f t="shared" si="66"/>
        <v>106405.17651322839</v>
      </c>
      <c r="Z122" s="119">
        <f t="shared" si="66"/>
        <v>103861.56978708963</v>
      </c>
      <c r="AA122" s="119">
        <f t="shared" si="66"/>
        <v>101289.20100095613</v>
      </c>
      <c r="AB122" s="119">
        <f t="shared" si="66"/>
        <v>98703.200373661006</v>
      </c>
      <c r="AC122" s="119">
        <f t="shared" si="66"/>
        <v>96263.158060998074</v>
      </c>
      <c r="AD122" s="119">
        <f t="shared" si="66"/>
        <v>93855.925711179545</v>
      </c>
      <c r="AE122" s="119">
        <f t="shared" si="66"/>
        <v>91501.009790894052</v>
      </c>
      <c r="AF122" s="119">
        <f t="shared" si="66"/>
        <v>89219.303194124397</v>
      </c>
      <c r="AG122" s="119">
        <f t="shared" si="66"/>
        <v>86987.758508971179</v>
      </c>
      <c r="AH122" s="119">
        <f t="shared" si="66"/>
        <v>84811.872959581146</v>
      </c>
      <c r="AI122" s="119">
        <f t="shared" si="66"/>
        <v>82692.705539710121</v>
      </c>
      <c r="AJ122" s="119">
        <f t="shared" si="66"/>
        <v>80625.031718613129</v>
      </c>
      <c r="AK122" s="119">
        <f t="shared" ref="AK122:AQ133" si="67">AK$134*(SUM(AH122:AJ122)/SUM(AH$134:AJ$134))</f>
        <v>78609.273384511151</v>
      </c>
      <c r="AL122" s="119">
        <f t="shared" si="67"/>
        <v>76644.244522122899</v>
      </c>
      <c r="AM122" s="119">
        <f t="shared" si="67"/>
        <v>74728.047880901737</v>
      </c>
      <c r="AN122" s="119">
        <f t="shared" si="67"/>
        <v>72859.840316977337</v>
      </c>
      <c r="AO122" s="119">
        <f t="shared" si="67"/>
        <v>71038.37791507048</v>
      </c>
      <c r="AP122" s="119">
        <f t="shared" si="67"/>
        <v>69262.398416759519</v>
      </c>
      <c r="AQ122" s="119">
        <f t="shared" si="67"/>
        <v>67530.840733767356</v>
      </c>
    </row>
    <row r="123" spans="1:43">
      <c r="A123" s="138" t="s">
        <v>130</v>
      </c>
      <c r="L123" s="13"/>
      <c r="M123" s="13">
        <f>Data!$F4</f>
        <v>149754</v>
      </c>
      <c r="N123" s="13">
        <f>Data!$F16</f>
        <v>112534</v>
      </c>
      <c r="O123" s="13">
        <f>Data!$F28</f>
        <v>123699</v>
      </c>
      <c r="P123" s="13">
        <f>Data!$F40</f>
        <v>133181</v>
      </c>
      <c r="Q123" s="13">
        <f>Data!$F52</f>
        <v>141256</v>
      </c>
      <c r="R123" s="13">
        <f>Data!$F64</f>
        <v>133497</v>
      </c>
      <c r="S123" s="119">
        <f t="shared" si="64"/>
        <v>114081.43108658177</v>
      </c>
      <c r="T123" s="119">
        <f t="shared" si="65"/>
        <v>110492.49466460083</v>
      </c>
      <c r="U123" s="119">
        <f t="shared" si="66"/>
        <v>109420.75982300681</v>
      </c>
      <c r="V123" s="119">
        <f t="shared" si="66"/>
        <v>104868.67034342136</v>
      </c>
      <c r="W123" s="119">
        <f t="shared" si="66"/>
        <v>102893.28668581399</v>
      </c>
      <c r="X123" s="119">
        <f t="shared" si="66"/>
        <v>100485.80207732403</v>
      </c>
      <c r="Y123" s="119">
        <f t="shared" si="66"/>
        <v>97655.142183518459</v>
      </c>
      <c r="Z123" s="119">
        <f t="shared" si="66"/>
        <v>95369.843759478317</v>
      </c>
      <c r="AA123" s="119">
        <f t="shared" si="66"/>
        <v>92986.362073154291</v>
      </c>
      <c r="AB123" s="119">
        <f t="shared" si="66"/>
        <v>90610.48468794096</v>
      </c>
      <c r="AC123" s="119">
        <f t="shared" si="66"/>
        <v>88378.685724150288</v>
      </c>
      <c r="AD123" s="119">
        <f t="shared" si="66"/>
        <v>86163.83578024077</v>
      </c>
      <c r="AE123" s="119">
        <f t="shared" si="66"/>
        <v>84002.409604373752</v>
      </c>
      <c r="AF123" s="119">
        <f t="shared" si="66"/>
        <v>81908.923138436337</v>
      </c>
      <c r="AG123" s="119">
        <f t="shared" si="66"/>
        <v>79859.255082348056</v>
      </c>
      <c r="AH123" s="119">
        <f t="shared" si="66"/>
        <v>77861.91785516213</v>
      </c>
      <c r="AI123" s="119">
        <f t="shared" si="66"/>
        <v>75916.565205773732</v>
      </c>
      <c r="AJ123" s="119">
        <f t="shared" si="66"/>
        <v>74018.142431753149</v>
      </c>
      <c r="AK123" s="119">
        <f t="shared" si="67"/>
        <v>72167.635268109472</v>
      </c>
      <c r="AL123" s="119">
        <f t="shared" si="67"/>
        <v>70363.644941355713</v>
      </c>
      <c r="AM123" s="119">
        <f t="shared" si="67"/>
        <v>68604.439231224271</v>
      </c>
      <c r="AN123" s="119">
        <f t="shared" si="67"/>
        <v>66889.338504071013</v>
      </c>
      <c r="AO123" s="119">
        <f t="shared" si="67"/>
        <v>65217.135525295125</v>
      </c>
      <c r="AP123" s="119">
        <f t="shared" si="67"/>
        <v>63586.683741214278</v>
      </c>
      <c r="AQ123" s="119">
        <f t="shared" si="67"/>
        <v>61997.022141599329</v>
      </c>
    </row>
    <row r="124" spans="1:43">
      <c r="A124" s="138" t="s">
        <v>131</v>
      </c>
      <c r="L124" s="13"/>
      <c r="M124" s="13">
        <f>Data!$F5</f>
        <v>143033</v>
      </c>
      <c r="N124" s="13">
        <f>Data!$F17</f>
        <v>135436</v>
      </c>
      <c r="O124" s="13">
        <f>Data!$F29</f>
        <v>150608</v>
      </c>
      <c r="P124" s="13">
        <f>Data!$F41</f>
        <v>154819</v>
      </c>
      <c r="Q124" s="13">
        <f>Data!$F53</f>
        <v>150427</v>
      </c>
      <c r="R124" s="119">
        <f t="shared" ref="R124:R133" si="68">R$134*(SUM(O124:Q124)/SUM(O$134:Q$134))</f>
        <v>132981.05681491503</v>
      </c>
      <c r="S124" s="119">
        <f t="shared" si="64"/>
        <v>122553.08403395227</v>
      </c>
      <c r="T124" s="119">
        <f t="shared" si="65"/>
        <v>115359.2778909302</v>
      </c>
      <c r="U124" s="119">
        <f t="shared" si="66"/>
        <v>113339.10902350675</v>
      </c>
      <c r="V124" s="119">
        <f t="shared" si="66"/>
        <v>110287.00846303238</v>
      </c>
      <c r="W124" s="119">
        <f t="shared" si="66"/>
        <v>107393.04992734514</v>
      </c>
      <c r="X124" s="119">
        <f t="shared" si="66"/>
        <v>104869.29070617496</v>
      </c>
      <c r="Y124" s="119">
        <f t="shared" si="66"/>
        <v>102185.99038164066</v>
      </c>
      <c r="Z124" s="119">
        <f t="shared" si="66"/>
        <v>99619.528666355094</v>
      </c>
      <c r="AA124" s="119">
        <f t="shared" si="66"/>
        <v>97156.82033650743</v>
      </c>
      <c r="AB124" s="119">
        <f t="shared" si="66"/>
        <v>94713.453375076628</v>
      </c>
      <c r="AC124" s="119">
        <f t="shared" si="66"/>
        <v>92346.099056061576</v>
      </c>
      <c r="AD124" s="119">
        <f t="shared" si="66"/>
        <v>90041.823414889848</v>
      </c>
      <c r="AE124" s="119">
        <f t="shared" si="66"/>
        <v>87787.740407020581</v>
      </c>
      <c r="AF124" s="119">
        <f t="shared" si="66"/>
        <v>85593.623938573073</v>
      </c>
      <c r="AG124" s="119">
        <f t="shared" si="66"/>
        <v>83454.390486883756</v>
      </c>
      <c r="AH124" s="119">
        <f t="shared" si="66"/>
        <v>81367.443606642439</v>
      </c>
      <c r="AI124" s="119">
        <f t="shared" si="66"/>
        <v>79333.446672752063</v>
      </c>
      <c r="AJ124" s="119">
        <f t="shared" si="66"/>
        <v>77350.176777263725</v>
      </c>
      <c r="AK124" s="119">
        <f t="shared" si="67"/>
        <v>75416.317275870053</v>
      </c>
      <c r="AL124" s="119">
        <f t="shared" si="67"/>
        <v>73530.956974571804</v>
      </c>
      <c r="AM124" s="119">
        <f t="shared" si="67"/>
        <v>71692.685844437452</v>
      </c>
      <c r="AN124" s="119">
        <f t="shared" si="67"/>
        <v>69900.351382547247</v>
      </c>
      <c r="AO124" s="119">
        <f t="shared" si="67"/>
        <v>68152.853087172232</v>
      </c>
      <c r="AP124" s="119">
        <f t="shared" si="67"/>
        <v>66449.030482511604</v>
      </c>
      <c r="AQ124" s="119">
        <f t="shared" si="67"/>
        <v>64787.802153019627</v>
      </c>
    </row>
    <row r="125" spans="1:43">
      <c r="A125" s="138" t="s">
        <v>132</v>
      </c>
      <c r="L125" s="13"/>
      <c r="M125" s="13">
        <f>Data!$F6</f>
        <v>82274</v>
      </c>
      <c r="N125" s="13">
        <f>Data!$F18</f>
        <v>131295</v>
      </c>
      <c r="O125" s="13">
        <f>Data!$F30</f>
        <v>128460</v>
      </c>
      <c r="P125" s="13">
        <f>Data!$F42</f>
        <v>130567</v>
      </c>
      <c r="Q125" s="13">
        <f>Data!$F54</f>
        <v>141478</v>
      </c>
      <c r="R125" s="119">
        <f t="shared" si="68"/>
        <v>116834.728135889</v>
      </c>
      <c r="S125" s="119">
        <f t="shared" si="64"/>
        <v>108752.77840607324</v>
      </c>
      <c r="T125" s="119">
        <f t="shared" si="65"/>
        <v>104306.56413273163</v>
      </c>
      <c r="U125" s="119">
        <f t="shared" si="66"/>
        <v>100810.36263584573</v>
      </c>
      <c r="V125" s="119">
        <f t="shared" si="66"/>
        <v>98549.767599328858</v>
      </c>
      <c r="W125" s="119">
        <f t="shared" si="66"/>
        <v>96203.827404453259</v>
      </c>
      <c r="X125" s="119">
        <f t="shared" si="66"/>
        <v>93636.821209277303</v>
      </c>
      <c r="Y125" s="119">
        <f t="shared" si="66"/>
        <v>91364.190874505832</v>
      </c>
      <c r="Z125" s="119">
        <f t="shared" si="66"/>
        <v>89087.747669315853</v>
      </c>
      <c r="AA125" s="119">
        <f t="shared" si="66"/>
        <v>86833.321618212343</v>
      </c>
      <c r="AB125" s="119">
        <f t="shared" si="66"/>
        <v>84677.923240502554</v>
      </c>
      <c r="AC125" s="119">
        <f t="shared" si="66"/>
        <v>82559.66480330193</v>
      </c>
      <c r="AD125" s="119">
        <f t="shared" si="66"/>
        <v>80491.520456319049</v>
      </c>
      <c r="AE125" s="119">
        <f t="shared" si="66"/>
        <v>78482.391514200106</v>
      </c>
      <c r="AF125" s="119">
        <f t="shared" si="66"/>
        <v>76519.601797940049</v>
      </c>
      <c r="AG125" s="119">
        <f t="shared" si="66"/>
        <v>74606.065708348789</v>
      </c>
      <c r="AH125" s="119">
        <f t="shared" si="66"/>
        <v>72741.510644287468</v>
      </c>
      <c r="AI125" s="119">
        <f t="shared" si="66"/>
        <v>70922.757641070493</v>
      </c>
      <c r="AJ125" s="119">
        <f t="shared" si="66"/>
        <v>69149.63652089666</v>
      </c>
      <c r="AK125" s="119">
        <f t="shared" si="67"/>
        <v>67420.99988892446</v>
      </c>
      <c r="AL125" s="119">
        <f t="shared" si="67"/>
        <v>65735.423209276007</v>
      </c>
      <c r="AM125" s="119">
        <f t="shared" si="67"/>
        <v>64092.03776193774</v>
      </c>
      <c r="AN125" s="119">
        <f t="shared" si="67"/>
        <v>62489.75352361962</v>
      </c>
      <c r="AO125" s="119">
        <f t="shared" si="67"/>
        <v>60927.498646758278</v>
      </c>
      <c r="AP125" s="119">
        <f t="shared" si="67"/>
        <v>59404.313018025154</v>
      </c>
      <c r="AQ125" s="119">
        <f t="shared" si="67"/>
        <v>57919.20757002179</v>
      </c>
    </row>
    <row r="126" spans="1:43">
      <c r="A126" s="138" t="s">
        <v>133</v>
      </c>
      <c r="L126" s="13"/>
      <c r="M126" s="13">
        <f>Data!$F7</f>
        <v>95645</v>
      </c>
      <c r="N126" s="13">
        <f>Data!$F19</f>
        <v>137174</v>
      </c>
      <c r="O126" s="13">
        <f>Data!$F31</f>
        <v>148041</v>
      </c>
      <c r="P126" s="13">
        <f>Data!$F43</f>
        <v>134366</v>
      </c>
      <c r="Q126" s="13">
        <f>Data!$F55</f>
        <v>148605</v>
      </c>
      <c r="R126" s="119">
        <f t="shared" si="68"/>
        <v>125734.18519945018</v>
      </c>
      <c r="S126" s="119">
        <f t="shared" si="64"/>
        <v>114297.09810915422</v>
      </c>
      <c r="T126" s="119">
        <f t="shared" si="65"/>
        <v>110436.18832814861</v>
      </c>
      <c r="U126" s="119">
        <f t="shared" si="66"/>
        <v>107097.26560259536</v>
      </c>
      <c r="V126" s="119">
        <f t="shared" si="66"/>
        <v>104189.16909388329</v>
      </c>
      <c r="W126" s="119">
        <f t="shared" si="66"/>
        <v>101924.07752188564</v>
      </c>
      <c r="X126" s="119">
        <f t="shared" si="66"/>
        <v>99227.378627863436</v>
      </c>
      <c r="Y126" s="119">
        <f t="shared" si="66"/>
        <v>96734.140935841846</v>
      </c>
      <c r="Z126" s="119">
        <f t="shared" si="66"/>
        <v>94372.333547960763</v>
      </c>
      <c r="AA126" s="119">
        <f t="shared" si="66"/>
        <v>91979.8858829893</v>
      </c>
      <c r="AB126" s="119">
        <f t="shared" si="66"/>
        <v>89683.827230280571</v>
      </c>
      <c r="AC126" s="119">
        <f t="shared" si="66"/>
        <v>87450.236337841998</v>
      </c>
      <c r="AD126" s="119">
        <f t="shared" si="66"/>
        <v>85257.265367926229</v>
      </c>
      <c r="AE126" s="119">
        <f t="shared" si="66"/>
        <v>83127.490072406945</v>
      </c>
      <c r="AF126" s="119">
        <f t="shared" si="66"/>
        <v>81050.394559333334</v>
      </c>
      <c r="AG126" s="119">
        <f t="shared" si="66"/>
        <v>79022.877925818277</v>
      </c>
      <c r="AH126" s="119">
        <f t="shared" si="66"/>
        <v>77047.778434906097</v>
      </c>
      <c r="AI126" s="119">
        <f t="shared" si="66"/>
        <v>75121.681368975129</v>
      </c>
      <c r="AJ126" s="119">
        <f t="shared" si="66"/>
        <v>73243.421714313416</v>
      </c>
      <c r="AK126" s="119">
        <f t="shared" si="67"/>
        <v>71412.447761043513</v>
      </c>
      <c r="AL126" s="119">
        <f t="shared" si="67"/>
        <v>69627.133831098763</v>
      </c>
      <c r="AM126" s="119">
        <f t="shared" si="67"/>
        <v>67886.421027214528</v>
      </c>
      <c r="AN126" s="119">
        <f t="shared" si="67"/>
        <v>66189.284070591908</v>
      </c>
      <c r="AO126" s="119">
        <f t="shared" si="67"/>
        <v>64534.54765233778</v>
      </c>
      <c r="AP126" s="119">
        <f t="shared" si="67"/>
        <v>62921.179143803689</v>
      </c>
      <c r="AQ126" s="119">
        <f t="shared" si="67"/>
        <v>61348.154238430652</v>
      </c>
    </row>
    <row r="127" spans="1:43">
      <c r="A127" s="138" t="s">
        <v>134</v>
      </c>
      <c r="L127" s="13"/>
      <c r="M127" s="13">
        <f>Data!$F8</f>
        <v>128724</v>
      </c>
      <c r="N127" s="13">
        <f>Data!$F20</f>
        <v>140338</v>
      </c>
      <c r="O127" s="13">
        <f>Data!$F32</f>
        <v>144292</v>
      </c>
      <c r="P127" s="13">
        <f>Data!$F44</f>
        <v>139431</v>
      </c>
      <c r="Q127" s="13">
        <f>Data!$F56</f>
        <v>141183</v>
      </c>
      <c r="R127" s="119">
        <f t="shared" si="68"/>
        <v>123952.95188151971</v>
      </c>
      <c r="S127" s="119">
        <f t="shared" si="64"/>
        <v>113139.81389386527</v>
      </c>
      <c r="T127" s="119">
        <f t="shared" si="65"/>
        <v>107492.10895466627</v>
      </c>
      <c r="U127" s="119">
        <f t="shared" si="66"/>
        <v>105299.63787866489</v>
      </c>
      <c r="V127" s="119">
        <f t="shared" si="66"/>
        <v>102336.98580459855</v>
      </c>
      <c r="W127" s="119">
        <f t="shared" si="66"/>
        <v>99835.084871551779</v>
      </c>
      <c r="X127" s="119">
        <f t="shared" si="66"/>
        <v>97409.283698798768</v>
      </c>
      <c r="Y127" s="119">
        <f t="shared" si="66"/>
        <v>94909.5618466546</v>
      </c>
      <c r="Z127" s="119">
        <f t="shared" si="66"/>
        <v>92556.499671044294</v>
      </c>
      <c r="AA127" s="119">
        <f t="shared" si="66"/>
        <v>90250.590701225286</v>
      </c>
      <c r="AB127" s="119">
        <f t="shared" si="66"/>
        <v>87982.664457243998</v>
      </c>
      <c r="AC127" s="119">
        <f t="shared" si="66"/>
        <v>85788.172755457752</v>
      </c>
      <c r="AD127" s="119">
        <f t="shared" si="66"/>
        <v>83643.917338315732</v>
      </c>
      <c r="AE127" s="119">
        <f t="shared" si="66"/>
        <v>81550.874947723802</v>
      </c>
      <c r="AF127" s="119">
        <f t="shared" si="66"/>
        <v>79513.237039610016</v>
      </c>
      <c r="AG127" s="119">
        <f t="shared" si="66"/>
        <v>77525.291559326011</v>
      </c>
      <c r="AH127" s="119">
        <f t="shared" si="66"/>
        <v>75586.866209059561</v>
      </c>
      <c r="AI127" s="119">
        <f t="shared" si="66"/>
        <v>73697.424666820618</v>
      </c>
      <c r="AJ127" s="119">
        <f t="shared" si="66"/>
        <v>71854.932816032873</v>
      </c>
      <c r="AK127" s="119">
        <f t="shared" si="67"/>
        <v>70058.521737772855</v>
      </c>
      <c r="AL127" s="119">
        <f t="shared" si="67"/>
        <v>68307.10181845937</v>
      </c>
      <c r="AM127" s="119">
        <f t="shared" si="67"/>
        <v>66599.408157692771</v>
      </c>
      <c r="AN127" s="119">
        <f t="shared" si="67"/>
        <v>64934.419548378115</v>
      </c>
      <c r="AO127" s="119">
        <f t="shared" si="67"/>
        <v>63311.066537415136</v>
      </c>
      <c r="AP127" s="119">
        <f t="shared" si="67"/>
        <v>61728.286058691221</v>
      </c>
      <c r="AQ127" s="119">
        <f t="shared" si="67"/>
        <v>60185.078988670553</v>
      </c>
    </row>
    <row r="128" spans="1:43">
      <c r="A128" s="138" t="s">
        <v>135</v>
      </c>
      <c r="L128" s="13"/>
      <c r="M128" s="13">
        <f>Data!$F9</f>
        <v>149814</v>
      </c>
      <c r="N128" s="13">
        <f>Data!$F21</f>
        <v>152836</v>
      </c>
      <c r="O128" s="13">
        <f>Data!$F33</f>
        <v>143624</v>
      </c>
      <c r="P128" s="13">
        <f>Data!$F45</f>
        <v>152815</v>
      </c>
      <c r="Q128" s="13">
        <f>Data!$F57</f>
        <v>158358</v>
      </c>
      <c r="R128" s="119">
        <f t="shared" si="68"/>
        <v>132672.71033324904</v>
      </c>
      <c r="S128" s="119">
        <f t="shared" si="64"/>
        <v>124124.37751317001</v>
      </c>
      <c r="T128" s="119">
        <f t="shared" si="65"/>
        <v>117971.86067259085</v>
      </c>
      <c r="U128" s="119">
        <f t="shared" si="66"/>
        <v>114523.4090676069</v>
      </c>
      <c r="V128" s="119">
        <f t="shared" si="66"/>
        <v>111972.52483675658</v>
      </c>
      <c r="W128" s="119">
        <f t="shared" si="66"/>
        <v>109129.91404886966</v>
      </c>
      <c r="X128" s="119">
        <f t="shared" si="66"/>
        <v>106328.72075805296</v>
      </c>
      <c r="Y128" s="119">
        <f t="shared" si="66"/>
        <v>103732.58363011861</v>
      </c>
      <c r="Z128" s="119">
        <f t="shared" si="66"/>
        <v>101122.11005376445</v>
      </c>
      <c r="AA128" s="119">
        <f t="shared" si="66"/>
        <v>98585.179242048733</v>
      </c>
      <c r="AB128" s="119">
        <f t="shared" si="66"/>
        <v>96131.96871444858</v>
      </c>
      <c r="AC128" s="119">
        <f t="shared" si="66"/>
        <v>93724.038378074736</v>
      </c>
      <c r="AD128" s="119">
        <f t="shared" si="66"/>
        <v>91380.275219934207</v>
      </c>
      <c r="AE128" s="119">
        <f t="shared" si="66"/>
        <v>89097.708985754478</v>
      </c>
      <c r="AF128" s="119">
        <f t="shared" si="66"/>
        <v>86869.204110479943</v>
      </c>
      <c r="AG128" s="119">
        <f t="shared" si="66"/>
        <v>84697.542532187581</v>
      </c>
      <c r="AH128" s="119">
        <f t="shared" si="66"/>
        <v>82580.403991787913</v>
      </c>
      <c r="AI128" s="119">
        <f t="shared" si="66"/>
        <v>80515.674153414147</v>
      </c>
      <c r="AJ128" s="119">
        <f t="shared" si="66"/>
        <v>78502.829443292445</v>
      </c>
      <c r="AK128" s="119">
        <f t="shared" si="67"/>
        <v>76540.299077344083</v>
      </c>
      <c r="AL128" s="119">
        <f t="shared" si="67"/>
        <v>74626.749710649499</v>
      </c>
      <c r="AM128" s="119">
        <f t="shared" si="67"/>
        <v>72761.095421927239</v>
      </c>
      <c r="AN128" s="119">
        <f t="shared" si="67"/>
        <v>70942.072134096859</v>
      </c>
      <c r="AO128" s="119">
        <f t="shared" si="67"/>
        <v>69168.512937095758</v>
      </c>
      <c r="AP128" s="119">
        <f t="shared" si="67"/>
        <v>67439.303648640125</v>
      </c>
      <c r="AQ128" s="119">
        <f t="shared" si="67"/>
        <v>65753.321133154022</v>
      </c>
    </row>
    <row r="129" spans="1:43">
      <c r="A129" s="138" t="s">
        <v>136</v>
      </c>
      <c r="L129" s="13"/>
      <c r="M129" s="13">
        <f>Data!$F10</f>
        <v>145546</v>
      </c>
      <c r="N129" s="13">
        <f>Data!$F22</f>
        <v>151841</v>
      </c>
      <c r="O129" s="13">
        <f>Data!$F34</f>
        <v>148329</v>
      </c>
      <c r="P129" s="13">
        <f>Data!$F46</f>
        <v>153930</v>
      </c>
      <c r="Q129" s="13">
        <f>Data!$F58</f>
        <v>155169</v>
      </c>
      <c r="R129" s="119">
        <f t="shared" si="68"/>
        <v>133440.22177436843</v>
      </c>
      <c r="S129" s="119">
        <f t="shared" si="64"/>
        <v>123759.00937887537</v>
      </c>
      <c r="T129" s="119">
        <f t="shared" si="65"/>
        <v>117179.93813774435</v>
      </c>
      <c r="U129" s="119">
        <f t="shared" si="66"/>
        <v>114404.29875669883</v>
      </c>
      <c r="V129" s="119">
        <f t="shared" si="66"/>
        <v>111571.75656293605</v>
      </c>
      <c r="W129" s="119">
        <f t="shared" si="66"/>
        <v>108714.32586999724</v>
      </c>
      <c r="X129" s="119">
        <f t="shared" si="66"/>
        <v>106032.35805270127</v>
      </c>
      <c r="Y129" s="119">
        <f t="shared" si="66"/>
        <v>103380.06607117793</v>
      </c>
      <c r="Z129" s="119">
        <f t="shared" si="66"/>
        <v>100784.87867382377</v>
      </c>
      <c r="AA129" s="119">
        <f t="shared" si="66"/>
        <v>98272.771868494645</v>
      </c>
      <c r="AB129" s="119">
        <f t="shared" si="66"/>
        <v>95814.47827278357</v>
      </c>
      <c r="AC129" s="119">
        <f t="shared" si="66"/>
        <v>93417.644783075375</v>
      </c>
      <c r="AD129" s="119">
        <f t="shared" si="66"/>
        <v>91083.651260509127</v>
      </c>
      <c r="AE129" s="119">
        <f t="shared" si="66"/>
        <v>88806.085327241162</v>
      </c>
      <c r="AF129" s="119">
        <f t="shared" si="66"/>
        <v>86585.775237855225</v>
      </c>
      <c r="AG129" s="119">
        <f t="shared" si="66"/>
        <v>84421.389051394421</v>
      </c>
      <c r="AH129" s="119">
        <f t="shared" si="66"/>
        <v>82310.735708185326</v>
      </c>
      <c r="AI129" s="119">
        <f t="shared" si="66"/>
        <v>80252.961492992137</v>
      </c>
      <c r="AJ129" s="119">
        <f t="shared" si="66"/>
        <v>78246.679830251611</v>
      </c>
      <c r="AK129" s="119">
        <f t="shared" si="67"/>
        <v>76290.486835758071</v>
      </c>
      <c r="AL129" s="119">
        <f t="shared" si="67"/>
        <v>74383.228008245191</v>
      </c>
      <c r="AM129" s="119">
        <f t="shared" si="67"/>
        <v>72523.653555234603</v>
      </c>
      <c r="AN129" s="119">
        <f t="shared" si="67"/>
        <v>70710.557018128558</v>
      </c>
      <c r="AO129" s="119">
        <f t="shared" si="67"/>
        <v>68942.794484204365</v>
      </c>
      <c r="AP129" s="119">
        <f t="shared" si="67"/>
        <v>67219.225395267291</v>
      </c>
      <c r="AQ129" s="119">
        <f t="shared" si="67"/>
        <v>65538.743799341726</v>
      </c>
    </row>
    <row r="130" spans="1:43">
      <c r="A130" s="138" t="s">
        <v>137</v>
      </c>
      <c r="L130" s="13"/>
      <c r="M130" s="13">
        <f>Data!$F11</f>
        <v>137427</v>
      </c>
      <c r="N130" s="13">
        <f>Data!$F23</f>
        <v>144676</v>
      </c>
      <c r="O130" s="13">
        <f>Data!$F35</f>
        <v>131867</v>
      </c>
      <c r="P130" s="13">
        <f>Data!$F47</f>
        <v>134715</v>
      </c>
      <c r="Q130" s="13">
        <f>Data!$F59</f>
        <v>140755</v>
      </c>
      <c r="R130" s="119">
        <f t="shared" si="68"/>
        <v>118827.7491034784</v>
      </c>
      <c r="S130" s="119">
        <f t="shared" si="64"/>
        <v>110267.96367045351</v>
      </c>
      <c r="T130" s="119">
        <f t="shared" si="65"/>
        <v>105098.01766699234</v>
      </c>
      <c r="U130" s="119">
        <f t="shared" si="66"/>
        <v>102124.27003453876</v>
      </c>
      <c r="V130" s="119">
        <f t="shared" si="66"/>
        <v>99686.557740101955</v>
      </c>
      <c r="W130" s="119">
        <f t="shared" si="66"/>
        <v>97230.964552190926</v>
      </c>
      <c r="X130" s="119">
        <f t="shared" si="66"/>
        <v>94738.624647699864</v>
      </c>
      <c r="Y130" s="119">
        <f t="shared" si="66"/>
        <v>92398.798228655345</v>
      </c>
      <c r="Z130" s="119">
        <f t="shared" si="66"/>
        <v>90089.982770102186</v>
      </c>
      <c r="AA130" s="119">
        <f t="shared" si="66"/>
        <v>87827.667568586869</v>
      </c>
      <c r="AB130" s="119">
        <f t="shared" si="66"/>
        <v>85638.225873564967</v>
      </c>
      <c r="AC130" s="119">
        <f t="shared" si="66"/>
        <v>83496.427157843893</v>
      </c>
      <c r="AD130" s="119">
        <f t="shared" si="66"/>
        <v>81407.540566498341</v>
      </c>
      <c r="AE130" s="119">
        <f t="shared" si="66"/>
        <v>79373.597425946675</v>
      </c>
      <c r="AF130" s="119">
        <f t="shared" si="66"/>
        <v>77388.917363544067</v>
      </c>
      <c r="AG130" s="119">
        <f t="shared" si="66"/>
        <v>75454.013638442178</v>
      </c>
      <c r="AH130" s="119">
        <f t="shared" si="66"/>
        <v>73567.892810385354</v>
      </c>
      <c r="AI130" s="119">
        <f t="shared" si="66"/>
        <v>71728.603170936098</v>
      </c>
      <c r="AJ130" s="119">
        <f t="shared" si="66"/>
        <v>69935.374279719923</v>
      </c>
      <c r="AK130" s="119">
        <f t="shared" si="67"/>
        <v>68187.029010973682</v>
      </c>
      <c r="AL130" s="119">
        <f t="shared" si="67"/>
        <v>66482.332046023352</v>
      </c>
      <c r="AM130" s="119">
        <f t="shared" si="67"/>
        <v>64820.275023706003</v>
      </c>
      <c r="AN130" s="119">
        <f t="shared" si="67"/>
        <v>63199.774207814698</v>
      </c>
      <c r="AO130" s="119">
        <f t="shared" si="67"/>
        <v>61619.775448636166</v>
      </c>
      <c r="AP130" s="119">
        <f t="shared" si="67"/>
        <v>60079.281992107586</v>
      </c>
      <c r="AQ130" s="119">
        <f t="shared" si="67"/>
        <v>58577.30076138024</v>
      </c>
    </row>
    <row r="131" spans="1:43">
      <c r="A131" s="138" t="s">
        <v>138</v>
      </c>
      <c r="L131" s="13"/>
      <c r="M131" s="13">
        <f>Data!$F12</f>
        <v>138374</v>
      </c>
      <c r="N131" s="13">
        <f>Data!$F24</f>
        <v>117719</v>
      </c>
      <c r="O131" s="13">
        <f>Data!$F36</f>
        <v>131839</v>
      </c>
      <c r="P131" s="13">
        <f>Data!$F48</f>
        <v>132919</v>
      </c>
      <c r="Q131" s="13">
        <f>Data!$F60</f>
        <v>133733</v>
      </c>
      <c r="R131" s="119">
        <f t="shared" si="68"/>
        <v>116247.20702512714</v>
      </c>
      <c r="S131" s="119">
        <f t="shared" si="64"/>
        <v>107080.28627019041</v>
      </c>
      <c r="T131" s="119">
        <f t="shared" si="65"/>
        <v>101463.50604838211</v>
      </c>
      <c r="U131" s="119">
        <f t="shared" si="66"/>
        <v>99250.945486025536</v>
      </c>
      <c r="V131" s="119">
        <f t="shared" si="66"/>
        <v>96642.330810681015</v>
      </c>
      <c r="W131" s="119">
        <f t="shared" si="66"/>
        <v>94204.80117457977</v>
      </c>
      <c r="X131" s="119">
        <f t="shared" si="66"/>
        <v>91905.190437509242</v>
      </c>
      <c r="Y131" s="119">
        <f t="shared" si="66"/>
        <v>89578.001569089378</v>
      </c>
      <c r="Z131" s="119">
        <f t="shared" si="66"/>
        <v>87339.970452437119</v>
      </c>
      <c r="AA131" s="119">
        <f t="shared" si="66"/>
        <v>85165.141924308584</v>
      </c>
      <c r="AB131" s="119">
        <f t="shared" si="66"/>
        <v>83029.845311648125</v>
      </c>
      <c r="AC131" s="119">
        <f t="shared" si="66"/>
        <v>80955.341567602169</v>
      </c>
      <c r="AD131" s="119">
        <f t="shared" si="66"/>
        <v>78932.644489950399</v>
      </c>
      <c r="AE131" s="119">
        <f t="shared" si="66"/>
        <v>76958.143767301925</v>
      </c>
      <c r="AF131" s="119">
        <f t="shared" si="66"/>
        <v>75034.584357405169</v>
      </c>
      <c r="AG131" s="119">
        <f t="shared" si="66"/>
        <v>73158.84521538594</v>
      </c>
      <c r="AH131" s="119">
        <f t="shared" si="66"/>
        <v>71329.663421069097</v>
      </c>
      <c r="AI131" s="119">
        <f t="shared" si="66"/>
        <v>69546.519724966856</v>
      </c>
      <c r="AJ131" s="119">
        <f t="shared" si="66"/>
        <v>67807.860752890338</v>
      </c>
      <c r="AK131" s="119">
        <f t="shared" si="67"/>
        <v>66112.629780177347</v>
      </c>
      <c r="AL131" s="119">
        <f t="shared" si="67"/>
        <v>64459.835406410755</v>
      </c>
      <c r="AM131" s="119">
        <f t="shared" si="67"/>
        <v>62848.336650309342</v>
      </c>
      <c r="AN131" s="119">
        <f t="shared" si="67"/>
        <v>61277.123179678063</v>
      </c>
      <c r="AO131" s="119">
        <f t="shared" si="67"/>
        <v>59745.199359794395</v>
      </c>
      <c r="AP131" s="119">
        <f t="shared" si="67"/>
        <v>58251.56821447696</v>
      </c>
      <c r="AQ131" s="119">
        <f t="shared" si="67"/>
        <v>56795.278389412109</v>
      </c>
    </row>
    <row r="132" spans="1:43">
      <c r="A132" s="138" t="s">
        <v>139</v>
      </c>
      <c r="L132" s="13"/>
      <c r="M132" s="13">
        <f>Data!$F13</f>
        <v>149425</v>
      </c>
      <c r="N132" s="13">
        <f>Data!$F25</f>
        <v>149926</v>
      </c>
      <c r="O132" s="13">
        <f>Data!$F37</f>
        <v>153455</v>
      </c>
      <c r="P132" s="13">
        <f>Data!$F49</f>
        <v>147912</v>
      </c>
      <c r="Q132" s="13">
        <f>Data!$F61</f>
        <v>146132</v>
      </c>
      <c r="R132" s="119">
        <f t="shared" si="68"/>
        <v>130543.74853268296</v>
      </c>
      <c r="S132" s="119">
        <f t="shared" si="64"/>
        <v>118738.76159976414</v>
      </c>
      <c r="T132" s="119">
        <f t="shared" si="65"/>
        <v>112362.31197176733</v>
      </c>
      <c r="U132" s="119">
        <f t="shared" si="66"/>
        <v>110512.88550636698</v>
      </c>
      <c r="V132" s="119">
        <f t="shared" si="66"/>
        <v>107260.9930833571</v>
      </c>
      <c r="W132" s="119">
        <f t="shared" si="66"/>
        <v>104589.55718819222</v>
      </c>
      <c r="X132" s="119">
        <f t="shared" si="66"/>
        <v>102127.09168398961</v>
      </c>
      <c r="Y132" s="119">
        <f t="shared" si="66"/>
        <v>99470.410933350853</v>
      </c>
      <c r="Z132" s="119">
        <f t="shared" si="66"/>
        <v>97002.297589213835</v>
      </c>
      <c r="AA132" s="119">
        <f t="shared" si="66"/>
        <v>94598.598314743591</v>
      </c>
      <c r="AB132" s="119">
        <f t="shared" si="66"/>
        <v>92213.516611206433</v>
      </c>
      <c r="AC132" s="119">
        <f t="shared" si="66"/>
        <v>89914.479470129256</v>
      </c>
      <c r="AD132" s="119">
        <f t="shared" si="66"/>
        <v>87669.006905474394</v>
      </c>
      <c r="AE132" s="119">
        <f t="shared" si="66"/>
        <v>85473.661718514137</v>
      </c>
      <c r="AF132" s="119">
        <f t="shared" si="66"/>
        <v>83338.426446245314</v>
      </c>
      <c r="AG132" s="119">
        <f t="shared" si="66"/>
        <v>81255.084802772893</v>
      </c>
      <c r="AH132" s="119">
        <f t="shared" si="66"/>
        <v>79223.10741968092</v>
      </c>
      <c r="AI132" s="119">
        <f t="shared" si="66"/>
        <v>77242.886150440958</v>
      </c>
      <c r="AJ132" s="119">
        <f t="shared" si="66"/>
        <v>75311.774449913195</v>
      </c>
      <c r="AK132" s="119">
        <f t="shared" si="67"/>
        <v>73428.890307522219</v>
      </c>
      <c r="AL132" s="119">
        <f t="shared" si="67"/>
        <v>71593.239993080089</v>
      </c>
      <c r="AM132" s="119">
        <f t="shared" si="67"/>
        <v>69803.390813372302</v>
      </c>
      <c r="AN132" s="119">
        <f t="shared" si="67"/>
        <v>68058.29463234276</v>
      </c>
      <c r="AO132" s="119">
        <f t="shared" si="67"/>
        <v>66356.850684169462</v>
      </c>
      <c r="AP132" s="119">
        <f t="shared" si="67"/>
        <v>64697.924293359421</v>
      </c>
      <c r="AQ132" s="119">
        <f t="shared" si="67"/>
        <v>63080.475198611268</v>
      </c>
    </row>
    <row r="133" spans="1:43">
      <c r="A133" s="138" t="s">
        <v>140</v>
      </c>
      <c r="L133" s="13"/>
      <c r="M133" s="13">
        <f>Data!$F14</f>
        <v>142964</v>
      </c>
      <c r="N133" s="13">
        <f>Data!$F26</f>
        <v>152457</v>
      </c>
      <c r="O133" s="13">
        <f>Data!$F38</f>
        <v>141583</v>
      </c>
      <c r="P133" s="13">
        <f>Data!$F50</f>
        <v>147053</v>
      </c>
      <c r="Q133" s="13">
        <f>Data!$F62</f>
        <v>144742</v>
      </c>
      <c r="R133" s="119">
        <f t="shared" si="68"/>
        <v>126424.39123125879</v>
      </c>
      <c r="S133" s="119">
        <f t="shared" si="64"/>
        <v>116957.80851760587</v>
      </c>
      <c r="T133" s="119">
        <f t="shared" si="65"/>
        <v>110290.67294815961</v>
      </c>
      <c r="U133" s="119">
        <f t="shared" si="66"/>
        <v>108076.78500595533</v>
      </c>
      <c r="V133" s="119">
        <f t="shared" si="66"/>
        <v>105286.45019302762</v>
      </c>
      <c r="W133" s="119">
        <f t="shared" si="66"/>
        <v>102535.92275892092</v>
      </c>
      <c r="X133" s="119">
        <f t="shared" si="66"/>
        <v>100079.16124174802</v>
      </c>
      <c r="Y133" s="119">
        <f t="shared" si="66"/>
        <v>97545.45560155889</v>
      </c>
      <c r="Z133" s="119">
        <f t="shared" si="66"/>
        <v>95093.051958259763</v>
      </c>
      <c r="AA133" s="119">
        <f t="shared" si="66"/>
        <v>92735.096110019935</v>
      </c>
      <c r="AB133" s="119">
        <f t="shared" si="66"/>
        <v>90408.44261958533</v>
      </c>
      <c r="AC133" s="119">
        <f t="shared" si="66"/>
        <v>88147.384762943082</v>
      </c>
      <c r="AD133" s="119">
        <f t="shared" si="66"/>
        <v>85946.946649511199</v>
      </c>
      <c r="AE133" s="119">
        <f t="shared" si="66"/>
        <v>83796.41130531166</v>
      </c>
      <c r="AF133" s="119">
        <f t="shared" si="66"/>
        <v>81701.671476581716</v>
      </c>
      <c r="AG133" s="119">
        <f t="shared" si="66"/>
        <v>79659.622414235651</v>
      </c>
      <c r="AH133" s="119">
        <f t="shared" si="66"/>
        <v>77667.752160484844</v>
      </c>
      <c r="AI133" s="119">
        <f t="shared" si="66"/>
        <v>75726.148166616113</v>
      </c>
      <c r="AJ133" s="119">
        <f t="shared" si="66"/>
        <v>73833.058724061877</v>
      </c>
      <c r="AK133" s="119">
        <f t="shared" si="67"/>
        <v>71987.160777376237</v>
      </c>
      <c r="AL133" s="119">
        <f t="shared" si="67"/>
        <v>70187.507924061661</v>
      </c>
      <c r="AM133" s="119">
        <f t="shared" si="67"/>
        <v>68432.826229188315</v>
      </c>
      <c r="AN133" s="119">
        <f t="shared" si="67"/>
        <v>66721.993120005427</v>
      </c>
      <c r="AO133" s="119">
        <f t="shared" si="67"/>
        <v>65053.949538144821</v>
      </c>
      <c r="AP133" s="119">
        <f t="shared" si="67"/>
        <v>63427.600735035434</v>
      </c>
      <c r="AQ133" s="119">
        <f t="shared" si="67"/>
        <v>61841.90872965382</v>
      </c>
    </row>
    <row r="134" spans="1:43" ht="12" thickBot="1">
      <c r="A134" s="138" t="s">
        <v>141</v>
      </c>
      <c r="L134" s="13"/>
      <c r="M134" s="13">
        <f>SUM(M122:M133)</f>
        <v>1623018</v>
      </c>
      <c r="N134" s="13">
        <f>SUM(N122:N133)</f>
        <v>1642099</v>
      </c>
      <c r="O134" s="13">
        <f>SUM(O122:O133)</f>
        <v>1683583</v>
      </c>
      <c r="P134" s="13">
        <f>SUM(P122:P133)</f>
        <v>1713462</v>
      </c>
      <c r="Q134" s="13">
        <f>SUM(Q122:Q133)</f>
        <v>1754329</v>
      </c>
      <c r="R134" s="119">
        <f t="shared" ref="R134:AQ134" si="69">R16</f>
        <v>1502751.2286145918</v>
      </c>
      <c r="S134" s="119">
        <f t="shared" si="69"/>
        <v>1390044.8864684978</v>
      </c>
      <c r="T134" s="119">
        <f t="shared" si="69"/>
        <v>1320542.6421450726</v>
      </c>
      <c r="U134" s="119">
        <f t="shared" si="69"/>
        <v>1287529.0760914455</v>
      </c>
      <c r="V134" s="119">
        <f t="shared" si="69"/>
        <v>1255340.8491891597</v>
      </c>
      <c r="W134" s="119">
        <f t="shared" si="69"/>
        <v>1223957.3279594306</v>
      </c>
      <c r="X134" s="119">
        <f t="shared" si="69"/>
        <v>1193358.3947604448</v>
      </c>
      <c r="Y134" s="119">
        <f t="shared" si="69"/>
        <v>1163524.4348914337</v>
      </c>
      <c r="Z134" s="119">
        <f t="shared" si="69"/>
        <v>1134436.324019148</v>
      </c>
      <c r="AA134" s="119">
        <f t="shared" si="69"/>
        <v>1106075.415918669</v>
      </c>
      <c r="AB134" s="119">
        <f t="shared" si="69"/>
        <v>1078423.5305207025</v>
      </c>
      <c r="AC134" s="119">
        <f t="shared" si="69"/>
        <v>1051462.9422576847</v>
      </c>
      <c r="AD134" s="119">
        <f t="shared" si="69"/>
        <v>1025176.3687012427</v>
      </c>
      <c r="AE134" s="119">
        <f t="shared" si="69"/>
        <v>999546.95948371163</v>
      </c>
      <c r="AF134" s="119">
        <f t="shared" si="69"/>
        <v>974558.28549661895</v>
      </c>
      <c r="AG134" s="119">
        <f t="shared" si="69"/>
        <v>950194.32835920318</v>
      </c>
      <c r="AH134" s="119">
        <f t="shared" si="69"/>
        <v>926439.47015022347</v>
      </c>
      <c r="AI134" s="119">
        <f t="shared" si="69"/>
        <v>903278.48339646787</v>
      </c>
      <c r="AJ134" s="119">
        <f t="shared" si="69"/>
        <v>880696.52131155611</v>
      </c>
      <c r="AK134" s="119">
        <f t="shared" si="69"/>
        <v>858679.10827876709</v>
      </c>
      <c r="AL134" s="119">
        <f t="shared" si="69"/>
        <v>837212.13057179796</v>
      </c>
      <c r="AM134" s="119">
        <f t="shared" si="69"/>
        <v>816281.82730750309</v>
      </c>
      <c r="AN134" s="119">
        <f t="shared" si="69"/>
        <v>795874.78162481554</v>
      </c>
      <c r="AO134" s="119">
        <f t="shared" si="69"/>
        <v>775977.91208419506</v>
      </c>
      <c r="AP134" s="119">
        <f t="shared" si="69"/>
        <v>756578.46428209019</v>
      </c>
      <c r="AQ134" s="119">
        <f t="shared" si="69"/>
        <v>737664.00267503795</v>
      </c>
    </row>
    <row r="135" spans="1:43">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c r="AB135" s="141"/>
      <c r="AC135" s="141"/>
      <c r="AD135" s="141"/>
      <c r="AE135" s="141"/>
      <c r="AF135" s="141"/>
      <c r="AG135" s="141"/>
      <c r="AH135" s="141"/>
      <c r="AI135" s="141"/>
      <c r="AJ135" s="141"/>
      <c r="AK135" s="141"/>
      <c r="AL135" s="141"/>
      <c r="AM135" s="141"/>
      <c r="AN135" s="141"/>
      <c r="AO135" s="141"/>
      <c r="AP135" s="141"/>
      <c r="AQ135" s="141"/>
    </row>
    <row r="136" spans="1:43" ht="12" thickBot="1">
      <c r="A136" s="138" t="s">
        <v>145</v>
      </c>
      <c r="B136" s="138"/>
      <c r="C136" s="138"/>
      <c r="D136" s="138"/>
      <c r="E136" s="138"/>
      <c r="F136" s="138"/>
      <c r="G136" s="138"/>
      <c r="H136" s="138"/>
      <c r="I136" s="138"/>
      <c r="J136" s="138"/>
      <c r="K136" s="138"/>
      <c r="L136" s="138"/>
    </row>
    <row r="137" spans="1:43" ht="12" thickBot="1">
      <c r="A137" s="139"/>
      <c r="B137" s="140">
        <f t="shared" ref="B137:AQ137" si="70">B2</f>
        <v>2009</v>
      </c>
      <c r="C137" s="140">
        <f t="shared" si="70"/>
        <v>2010</v>
      </c>
      <c r="D137" s="140">
        <f t="shared" si="70"/>
        <v>2011</v>
      </c>
      <c r="E137" s="140">
        <f t="shared" si="70"/>
        <v>2012</v>
      </c>
      <c r="F137" s="140">
        <f t="shared" si="70"/>
        <v>2013</v>
      </c>
      <c r="G137" s="140">
        <f t="shared" si="70"/>
        <v>2014</v>
      </c>
      <c r="H137" s="140">
        <f t="shared" si="70"/>
        <v>2015</v>
      </c>
      <c r="I137" s="140">
        <f t="shared" si="70"/>
        <v>2016</v>
      </c>
      <c r="J137" s="140">
        <f t="shared" si="70"/>
        <v>2017</v>
      </c>
      <c r="K137" s="140">
        <f t="shared" si="70"/>
        <v>2018</v>
      </c>
      <c r="L137" s="140">
        <f t="shared" si="70"/>
        <v>2019</v>
      </c>
      <c r="M137" s="140">
        <f t="shared" si="70"/>
        <v>2020</v>
      </c>
      <c r="N137" s="140">
        <f t="shared" si="70"/>
        <v>2021</v>
      </c>
      <c r="O137" s="140">
        <f t="shared" si="70"/>
        <v>2022</v>
      </c>
      <c r="P137" s="140">
        <f t="shared" si="70"/>
        <v>2023</v>
      </c>
      <c r="Q137" s="140">
        <f t="shared" si="70"/>
        <v>2024</v>
      </c>
      <c r="R137" s="140">
        <f t="shared" si="70"/>
        <v>2025</v>
      </c>
      <c r="S137" s="140">
        <f t="shared" si="70"/>
        <v>2026</v>
      </c>
      <c r="T137" s="140">
        <f t="shared" si="70"/>
        <v>2027</v>
      </c>
      <c r="U137" s="140">
        <f t="shared" si="70"/>
        <v>2028</v>
      </c>
      <c r="V137" s="140">
        <f t="shared" si="70"/>
        <v>2029</v>
      </c>
      <c r="W137" s="140">
        <f t="shared" si="70"/>
        <v>2030</v>
      </c>
      <c r="X137" s="140">
        <f t="shared" si="70"/>
        <v>2031</v>
      </c>
      <c r="Y137" s="140">
        <f t="shared" si="70"/>
        <v>2032</v>
      </c>
      <c r="Z137" s="140">
        <f t="shared" si="70"/>
        <v>2033</v>
      </c>
      <c r="AA137" s="140">
        <f t="shared" si="70"/>
        <v>2034</v>
      </c>
      <c r="AB137" s="140">
        <f t="shared" si="70"/>
        <v>2035</v>
      </c>
      <c r="AC137" s="140">
        <f t="shared" si="70"/>
        <v>2036</v>
      </c>
      <c r="AD137" s="140">
        <f t="shared" si="70"/>
        <v>2037</v>
      </c>
      <c r="AE137" s="140">
        <f t="shared" si="70"/>
        <v>2038</v>
      </c>
      <c r="AF137" s="140">
        <f t="shared" si="70"/>
        <v>2039</v>
      </c>
      <c r="AG137" s="140">
        <f t="shared" si="70"/>
        <v>2040</v>
      </c>
      <c r="AH137" s="140">
        <f t="shared" si="70"/>
        <v>2041</v>
      </c>
      <c r="AI137" s="140">
        <f t="shared" si="70"/>
        <v>2042</v>
      </c>
      <c r="AJ137" s="140">
        <f t="shared" si="70"/>
        <v>2043</v>
      </c>
      <c r="AK137" s="140">
        <f t="shared" si="70"/>
        <v>2044</v>
      </c>
      <c r="AL137" s="140">
        <f t="shared" si="70"/>
        <v>2045</v>
      </c>
      <c r="AM137" s="140">
        <f t="shared" si="70"/>
        <v>2046</v>
      </c>
      <c r="AN137" s="140">
        <f t="shared" si="70"/>
        <v>2047</v>
      </c>
      <c r="AO137" s="140">
        <f t="shared" si="70"/>
        <v>2048</v>
      </c>
      <c r="AP137" s="140">
        <f t="shared" si="70"/>
        <v>2049</v>
      </c>
      <c r="AQ137" s="140">
        <f t="shared" si="70"/>
        <v>2050</v>
      </c>
    </row>
    <row r="138" spans="1:43">
      <c r="A138" s="138" t="s">
        <v>129</v>
      </c>
      <c r="L138" s="13"/>
      <c r="M138" s="13">
        <f>Data!$I3</f>
        <v>-216</v>
      </c>
      <c r="N138" s="13">
        <f>Data!$I15</f>
        <v>-44</v>
      </c>
      <c r="O138" s="13">
        <f>Data!$I27</f>
        <v>95</v>
      </c>
      <c r="P138" s="13">
        <f>Data!$I39</f>
        <v>330</v>
      </c>
      <c r="Q138" s="13">
        <f>Data!$I51</f>
        <v>-115</v>
      </c>
      <c r="R138" s="13">
        <f>Data!$I63</f>
        <v>-92</v>
      </c>
      <c r="S138" s="119">
        <f t="shared" ref="S138:AH148" si="71">S$150*(SUM(P138:R138)/SUM(P$150:R$150))</f>
        <v>95.312818679800117</v>
      </c>
      <c r="T138" s="119">
        <f t="shared" si="71"/>
        <v>-43.844527708310757</v>
      </c>
      <c r="U138" s="119">
        <f t="shared" si="71"/>
        <v>-9.6925323292902856</v>
      </c>
      <c r="V138" s="119">
        <f t="shared" si="71"/>
        <v>9.7791674026040827</v>
      </c>
      <c r="W138" s="119">
        <f t="shared" si="71"/>
        <v>-10.813135123831056</v>
      </c>
      <c r="X138" s="119">
        <f t="shared" si="71"/>
        <v>-3.5189791254540888</v>
      </c>
      <c r="Y138" s="119">
        <f t="shared" si="71"/>
        <v>-2.0885067973217932</v>
      </c>
      <c r="Z138" s="119">
        <f t="shared" si="71"/>
        <v>-8.3027689006067913</v>
      </c>
      <c r="AA138" s="119">
        <f t="shared" si="71"/>
        <v>-4.6000398292621396</v>
      </c>
      <c r="AB138" s="119">
        <f t="shared" si="71"/>
        <v>-4.2354444718101787</v>
      </c>
      <c r="AC138" s="119">
        <f t="shared" si="71"/>
        <v>-5.444700047067033</v>
      </c>
      <c r="AD138" s="119">
        <f t="shared" si="71"/>
        <v>-6.0785876776995931</v>
      </c>
      <c r="AE138" s="119">
        <f t="shared" si="71"/>
        <v>-3.9172934300520903</v>
      </c>
      <c r="AF138" s="119">
        <f t="shared" si="71"/>
        <v>-4.5967228777830389</v>
      </c>
      <c r="AG138" s="119">
        <f t="shared" si="71"/>
        <v>-3.6755481425015653</v>
      </c>
      <c r="AH138" s="119">
        <f t="shared" si="71"/>
        <v>-7.8422686990546797</v>
      </c>
      <c r="AI138" s="119">
        <f t="shared" ref="AI138:AQ148" si="72">AI$150*(SUM(AF138:AH138)/SUM(AF$150:AH$150))</f>
        <v>-4.2376590136037455</v>
      </c>
      <c r="AJ138" s="119">
        <f t="shared" si="72"/>
        <v>-4.4649635485678685</v>
      </c>
      <c r="AK138" s="119">
        <f t="shared" si="72"/>
        <v>-5.359226831449047</v>
      </c>
      <c r="AL138" s="119">
        <f t="shared" si="72"/>
        <v>-5.8085719569802619</v>
      </c>
      <c r="AM138" s="119">
        <f t="shared" si="72"/>
        <v>-6.8626996149511461</v>
      </c>
      <c r="AN138" s="119">
        <f t="shared" si="72"/>
        <v>-4.3402777628819678</v>
      </c>
      <c r="AO138" s="119">
        <f t="shared" si="72"/>
        <v>-5.5823750187832335</v>
      </c>
      <c r="AP138" s="119">
        <f t="shared" si="72"/>
        <v>-6.3177468515971267</v>
      </c>
      <c r="AQ138" s="119">
        <f t="shared" si="72"/>
        <v>-5.4675747487037887</v>
      </c>
    </row>
    <row r="139" spans="1:43">
      <c r="A139" s="138" t="s">
        <v>130</v>
      </c>
      <c r="L139" s="13"/>
      <c r="M139" s="13">
        <f>Data!$I4</f>
        <v>256</v>
      </c>
      <c r="N139" s="13">
        <f>Data!$I16</f>
        <v>-25</v>
      </c>
      <c r="O139" s="13">
        <f>Data!$I28</f>
        <v>173</v>
      </c>
      <c r="P139" s="13">
        <f>Data!$I40</f>
        <v>178</v>
      </c>
      <c r="Q139" s="13">
        <f>Data!$I52</f>
        <v>280</v>
      </c>
      <c r="R139" s="13">
        <f>Data!$I64</f>
        <v>561</v>
      </c>
      <c r="S139" s="119">
        <f t="shared" si="71"/>
        <v>789.62408320907582</v>
      </c>
      <c r="T139" s="119">
        <f t="shared" si="71"/>
        <v>640.12666407195525</v>
      </c>
      <c r="U139" s="119">
        <f t="shared" si="71"/>
        <v>476.05730032275443</v>
      </c>
      <c r="V139" s="119">
        <f t="shared" si="71"/>
        <v>446.12513430028775</v>
      </c>
      <c r="W139" s="119">
        <f t="shared" si="71"/>
        <v>386.06656701443984</v>
      </c>
      <c r="X139" s="119">
        <f t="shared" si="71"/>
        <v>429.18947522276369</v>
      </c>
      <c r="Y139" s="119">
        <f t="shared" si="71"/>
        <v>578.61496079900382</v>
      </c>
      <c r="Z139" s="119">
        <f t="shared" si="71"/>
        <v>704.78386795595588</v>
      </c>
      <c r="AA139" s="119">
        <f t="shared" si="71"/>
        <v>566.3429253778595</v>
      </c>
      <c r="AB139" s="119">
        <f t="shared" si="71"/>
        <v>522.60113347680578</v>
      </c>
      <c r="AC139" s="119">
        <f t="shared" si="71"/>
        <v>569.85448940469576</v>
      </c>
      <c r="AD139" s="119">
        <f t="shared" si="71"/>
        <v>706.09399496646699</v>
      </c>
      <c r="AE139" s="119">
        <f t="shared" si="71"/>
        <v>447.0820694033365</v>
      </c>
      <c r="AF139" s="119">
        <f t="shared" si="71"/>
        <v>512.95309977258501</v>
      </c>
      <c r="AG139" s="119">
        <f t="shared" si="71"/>
        <v>419.66039512219658</v>
      </c>
      <c r="AH139" s="119">
        <f t="shared" si="71"/>
        <v>887.63986459096577</v>
      </c>
      <c r="AI139" s="119">
        <f t="shared" si="72"/>
        <v>478.67411605992447</v>
      </c>
      <c r="AJ139" s="119">
        <f t="shared" si="72"/>
        <v>506.12945999288644</v>
      </c>
      <c r="AK139" s="119">
        <f t="shared" si="72"/>
        <v>606.52251918911213</v>
      </c>
      <c r="AL139" s="119">
        <f t="shared" si="72"/>
        <v>657.33403000507826</v>
      </c>
      <c r="AM139" s="119">
        <f t="shared" si="72"/>
        <v>777.01445476272136</v>
      </c>
      <c r="AN139" s="119">
        <f t="shared" si="72"/>
        <v>491.27577270543139</v>
      </c>
      <c r="AO139" s="119">
        <f t="shared" si="72"/>
        <v>631.89757375497186</v>
      </c>
      <c r="AP139" s="119">
        <f t="shared" si="72"/>
        <v>715.20127876735285</v>
      </c>
      <c r="AQ139" s="119">
        <f t="shared" si="72"/>
        <v>618.91646181947806</v>
      </c>
    </row>
    <row r="140" spans="1:43">
      <c r="A140" s="138" t="s">
        <v>131</v>
      </c>
      <c r="L140" s="13"/>
      <c r="M140" s="13">
        <f>Data!$I5</f>
        <v>-1269</v>
      </c>
      <c r="N140" s="13">
        <f>Data!$I17</f>
        <v>60</v>
      </c>
      <c r="O140" s="13">
        <f>Data!$I29</f>
        <v>283</v>
      </c>
      <c r="P140" s="13">
        <f>Data!$I41</f>
        <v>315</v>
      </c>
      <c r="Q140" s="13">
        <f>Data!$I53</f>
        <v>503</v>
      </c>
      <c r="R140" s="119">
        <f t="shared" ref="R140:R148" si="73">R$150*(SUM(O140:Q140)/SUM(O$150:Q$150))</f>
        <v>912.85059362729578</v>
      </c>
      <c r="S140" s="119">
        <f t="shared" si="71"/>
        <v>1341.2377950587222</v>
      </c>
      <c r="T140" s="119">
        <f t="shared" si="71"/>
        <v>1082.3376221255114</v>
      </c>
      <c r="U140" s="119">
        <f t="shared" si="71"/>
        <v>797.8547598703135</v>
      </c>
      <c r="V140" s="119">
        <f t="shared" si="71"/>
        <v>754.09534144030602</v>
      </c>
      <c r="W140" s="119">
        <f t="shared" si="71"/>
        <v>650.96620045596842</v>
      </c>
      <c r="X140" s="119">
        <f t="shared" si="71"/>
        <v>722.69765949102111</v>
      </c>
      <c r="Y140" s="119">
        <f t="shared" si="71"/>
        <v>976.03589604845899</v>
      </c>
      <c r="Z140" s="119">
        <f t="shared" si="71"/>
        <v>1188.080158750975</v>
      </c>
      <c r="AA140" s="119">
        <f t="shared" si="71"/>
        <v>954.65239379180491</v>
      </c>
      <c r="AB140" s="119">
        <f t="shared" si="71"/>
        <v>881.13485174020082</v>
      </c>
      <c r="AC140" s="119">
        <f t="shared" si="71"/>
        <v>960.66097312711872</v>
      </c>
      <c r="AD140" s="119">
        <f t="shared" si="71"/>
        <v>1190.3526781488056</v>
      </c>
      <c r="AE140" s="119">
        <f t="shared" si="71"/>
        <v>753.72912374178861</v>
      </c>
      <c r="AF140" s="119">
        <f t="shared" si="71"/>
        <v>864.75356297271946</v>
      </c>
      <c r="AG140" s="119">
        <f t="shared" si="71"/>
        <v>707.48233955707883</v>
      </c>
      <c r="AH140" s="119">
        <f t="shared" si="71"/>
        <v>1496.4310492752445</v>
      </c>
      <c r="AI140" s="119">
        <f t="shared" si="72"/>
        <v>806.97087192992126</v>
      </c>
      <c r="AJ140" s="119">
        <f t="shared" si="72"/>
        <v>853.25816857872508</v>
      </c>
      <c r="AK140" s="119">
        <f t="shared" si="72"/>
        <v>1022.5064150515482</v>
      </c>
      <c r="AL140" s="119">
        <f t="shared" si="72"/>
        <v>1108.165896175291</v>
      </c>
      <c r="AM140" s="119">
        <f t="shared" si="72"/>
        <v>1309.9296281335342</v>
      </c>
      <c r="AN140" s="119">
        <f t="shared" si="72"/>
        <v>828.21715485882794</v>
      </c>
      <c r="AO140" s="119">
        <f t="shared" si="72"/>
        <v>1065.2842046702142</v>
      </c>
      <c r="AP140" s="119">
        <f t="shared" si="72"/>
        <v>1205.721843569615</v>
      </c>
      <c r="AQ140" s="119">
        <f t="shared" si="72"/>
        <v>1043.4000953494503</v>
      </c>
    </row>
    <row r="141" spans="1:43">
      <c r="A141" s="138" t="s">
        <v>132</v>
      </c>
      <c r="L141" s="13"/>
      <c r="M141" s="13">
        <f>Data!$I6</f>
        <v>66</v>
      </c>
      <c r="N141" s="13">
        <f>Data!$I18</f>
        <v>168</v>
      </c>
      <c r="O141" s="13">
        <f>Data!$I30</f>
        <v>544</v>
      </c>
      <c r="P141" s="13">
        <f>Data!$I42</f>
        <v>-17</v>
      </c>
      <c r="Q141" s="13">
        <f>Data!$I54</f>
        <v>-302</v>
      </c>
      <c r="R141" s="119">
        <f t="shared" si="73"/>
        <v>186.54984883391603</v>
      </c>
      <c r="S141" s="119">
        <f t="shared" si="71"/>
        <v>-102.63574993662664</v>
      </c>
      <c r="T141" s="119">
        <f t="shared" si="71"/>
        <v>-85.612988175218121</v>
      </c>
      <c r="U141" s="119">
        <f t="shared" si="71"/>
        <v>-0.40626313681039228</v>
      </c>
      <c r="V141" s="119">
        <f t="shared" si="71"/>
        <v>-44.161707614939587</v>
      </c>
      <c r="W141" s="119">
        <f t="shared" si="71"/>
        <v>-32.169380531396442</v>
      </c>
      <c r="X141" s="119">
        <f t="shared" si="71"/>
        <v>-25.1747667959045</v>
      </c>
      <c r="Y141" s="119">
        <f t="shared" si="71"/>
        <v>-46.562298035472701</v>
      </c>
      <c r="Z141" s="119">
        <f t="shared" si="71"/>
        <v>-52.538281023719335</v>
      </c>
      <c r="AA141" s="119">
        <f t="shared" si="71"/>
        <v>-41.097129275289106</v>
      </c>
      <c r="AB141" s="119">
        <f t="shared" si="71"/>
        <v>-39.609573132439309</v>
      </c>
      <c r="AC141" s="119">
        <f t="shared" si="71"/>
        <v>-42.330974984636775</v>
      </c>
      <c r="AD141" s="119">
        <f t="shared" si="71"/>
        <v>-52.372945016459582</v>
      </c>
      <c r="AE141" s="119">
        <f t="shared" si="71"/>
        <v>-33.387543976008288</v>
      </c>
      <c r="AF141" s="119">
        <f t="shared" si="71"/>
        <v>-38.133342068444435</v>
      </c>
      <c r="AG141" s="119">
        <f t="shared" si="71"/>
        <v>-31.206064460787349</v>
      </c>
      <c r="AH141" s="119">
        <f t="shared" si="71"/>
        <v>-66.090330936666987</v>
      </c>
      <c r="AI141" s="119">
        <f t="shared" si="72"/>
        <v>-35.614113569350252</v>
      </c>
      <c r="AJ141" s="119">
        <f t="shared" si="72"/>
        <v>-37.665671491859811</v>
      </c>
      <c r="AK141" s="119">
        <f t="shared" si="72"/>
        <v>-45.144815602893722</v>
      </c>
      <c r="AL141" s="119">
        <f t="shared" si="72"/>
        <v>-48.918018901991935</v>
      </c>
      <c r="AM141" s="119">
        <f t="shared" si="72"/>
        <v>-57.828114308529962</v>
      </c>
      <c r="AN141" s="119">
        <f t="shared" si="72"/>
        <v>-36.562988596827218</v>
      </c>
      <c r="AO141" s="119">
        <f t="shared" si="72"/>
        <v>-47.027184049834553</v>
      </c>
      <c r="AP141" s="119">
        <f t="shared" si="72"/>
        <v>-53.227654448858964</v>
      </c>
      <c r="AQ141" s="119">
        <f t="shared" si="72"/>
        <v>-46.061778865827172</v>
      </c>
    </row>
    <row r="142" spans="1:43">
      <c r="A142" s="138" t="s">
        <v>133</v>
      </c>
      <c r="L142" s="13"/>
      <c r="M142" s="13">
        <f>Data!$I7</f>
        <v>-72</v>
      </c>
      <c r="N142" s="13">
        <f>Data!$I19</f>
        <v>3</v>
      </c>
      <c r="O142" s="13">
        <f>Data!$I31</f>
        <v>-235</v>
      </c>
      <c r="P142" s="13">
        <f>Data!$I43</f>
        <v>189</v>
      </c>
      <c r="Q142" s="13">
        <f>Data!$I55</f>
        <v>153</v>
      </c>
      <c r="R142" s="119">
        <f t="shared" si="73"/>
        <v>88.714817001017849</v>
      </c>
      <c r="S142" s="119">
        <f t="shared" si="71"/>
        <v>333.76132728066102</v>
      </c>
      <c r="T142" s="119">
        <f t="shared" si="71"/>
        <v>225.91204697961621</v>
      </c>
      <c r="U142" s="119">
        <f t="shared" si="71"/>
        <v>155.05202362203684</v>
      </c>
      <c r="V142" s="119">
        <f t="shared" si="71"/>
        <v>167.30801641801222</v>
      </c>
      <c r="W142" s="119">
        <f t="shared" si="71"/>
        <v>135.48504748665468</v>
      </c>
      <c r="X142" s="119">
        <f t="shared" si="71"/>
        <v>150.20251695430485</v>
      </c>
      <c r="Y142" s="119">
        <f t="shared" si="71"/>
        <v>207.79604542722885</v>
      </c>
      <c r="Z142" s="119">
        <f t="shared" si="71"/>
        <v>249.52042662353549</v>
      </c>
      <c r="AA142" s="119">
        <f t="shared" si="71"/>
        <v>200.90297280239164</v>
      </c>
      <c r="AB142" s="119">
        <f t="shared" si="71"/>
        <v>185.96446081631436</v>
      </c>
      <c r="AC142" s="119">
        <f t="shared" si="71"/>
        <v>202.1758560711628</v>
      </c>
      <c r="AD142" s="119">
        <f t="shared" si="71"/>
        <v>250.73564843768978</v>
      </c>
      <c r="AE142" s="119">
        <f t="shared" si="71"/>
        <v>158.81129207399729</v>
      </c>
      <c r="AF142" s="119">
        <f t="shared" si="71"/>
        <v>182.11232762027601</v>
      </c>
      <c r="AG142" s="119">
        <f t="shared" si="71"/>
        <v>149.02563833925524</v>
      </c>
      <c r="AH142" s="119">
        <f t="shared" si="71"/>
        <v>315.21337337818289</v>
      </c>
      <c r="AI142" s="119">
        <f t="shared" si="72"/>
        <v>169.97175388212827</v>
      </c>
      <c r="AJ142" s="119">
        <f t="shared" si="72"/>
        <v>179.72976357829148</v>
      </c>
      <c r="AK142" s="119">
        <f t="shared" si="72"/>
        <v>215.379458670926</v>
      </c>
      <c r="AL142" s="119">
        <f t="shared" si="72"/>
        <v>233.41976005436604</v>
      </c>
      <c r="AM142" s="119">
        <f t="shared" si="72"/>
        <v>275.9208840930271</v>
      </c>
      <c r="AN142" s="119">
        <f t="shared" si="72"/>
        <v>174.4536660165839</v>
      </c>
      <c r="AO142" s="119">
        <f t="shared" si="72"/>
        <v>224.38851393939635</v>
      </c>
      <c r="AP142" s="119">
        <f t="shared" si="72"/>
        <v>253.9703738557788</v>
      </c>
      <c r="AQ142" s="119">
        <f t="shared" si="72"/>
        <v>219.77916279520855</v>
      </c>
    </row>
    <row r="143" spans="1:43">
      <c r="A143" s="138" t="s">
        <v>134</v>
      </c>
      <c r="L143" s="13"/>
      <c r="M143" s="13">
        <f>Data!$I8</f>
        <v>315</v>
      </c>
      <c r="N143" s="13">
        <f>Data!$I20</f>
        <v>-52</v>
      </c>
      <c r="O143" s="13">
        <f>Data!$I32</f>
        <v>404</v>
      </c>
      <c r="P143" s="13">
        <f>Data!$I44</f>
        <v>-33</v>
      </c>
      <c r="Q143" s="13">
        <f>Data!$I56</f>
        <v>186</v>
      </c>
      <c r="R143" s="119">
        <f t="shared" si="73"/>
        <v>461.81451466884988</v>
      </c>
      <c r="S143" s="119">
        <f t="shared" si="71"/>
        <v>476.42036063692188</v>
      </c>
      <c r="T143" s="119">
        <f t="shared" si="71"/>
        <v>441.33576081285048</v>
      </c>
      <c r="U143" s="119">
        <f t="shared" si="71"/>
        <v>329.90301449449277</v>
      </c>
      <c r="V143" s="119">
        <f t="shared" si="71"/>
        <v>292.06094511142237</v>
      </c>
      <c r="W143" s="119">
        <f t="shared" si="71"/>
        <v>262.75496514254604</v>
      </c>
      <c r="X143" s="119">
        <f t="shared" si="71"/>
        <v>290.24447987896019</v>
      </c>
      <c r="Y143" s="119">
        <f t="shared" si="71"/>
        <v>387.64220808476784</v>
      </c>
      <c r="Z143" s="119">
        <f t="shared" si="71"/>
        <v>475.61722798784962</v>
      </c>
      <c r="AA143" s="119">
        <f t="shared" si="71"/>
        <v>381.45699154753231</v>
      </c>
      <c r="AB143" s="119">
        <f t="shared" si="71"/>
        <v>351.66542274245637</v>
      </c>
      <c r="AC143" s="119">
        <f t="shared" si="71"/>
        <v>384.0079096600781</v>
      </c>
      <c r="AD143" s="119">
        <f t="shared" si="71"/>
        <v>475.5242968857201</v>
      </c>
      <c r="AE143" s="119">
        <f t="shared" si="71"/>
        <v>301.07856752183386</v>
      </c>
      <c r="AF143" s="119">
        <f t="shared" si="71"/>
        <v>345.51847782576567</v>
      </c>
      <c r="AG143" s="119">
        <f t="shared" si="71"/>
        <v>282.63708240115778</v>
      </c>
      <c r="AH143" s="119">
        <f t="shared" si="71"/>
        <v>597.83134531407893</v>
      </c>
      <c r="AI143" s="119">
        <f t="shared" si="72"/>
        <v>322.39918429634213</v>
      </c>
      <c r="AJ143" s="119">
        <f t="shared" si="72"/>
        <v>340.88212192116231</v>
      </c>
      <c r="AK143" s="119">
        <f t="shared" si="72"/>
        <v>408.50004106143473</v>
      </c>
      <c r="AL143" s="119">
        <f t="shared" si="72"/>
        <v>442.72406164748543</v>
      </c>
      <c r="AM143" s="119">
        <f t="shared" si="72"/>
        <v>523.32829940029603</v>
      </c>
      <c r="AN143" s="119">
        <f t="shared" si="72"/>
        <v>330.88043887195573</v>
      </c>
      <c r="AO143" s="119">
        <f t="shared" si="72"/>
        <v>425.59117460843316</v>
      </c>
      <c r="AP143" s="119">
        <f t="shared" si="72"/>
        <v>481.69687947130149</v>
      </c>
      <c r="AQ143" s="119">
        <f t="shared" si="72"/>
        <v>416.84804189411386</v>
      </c>
    </row>
    <row r="144" spans="1:43">
      <c r="A144" s="138" t="s">
        <v>135</v>
      </c>
      <c r="L144" s="13"/>
      <c r="M144" s="13">
        <f>Data!$I9</f>
        <v>211</v>
      </c>
      <c r="N144" s="13">
        <f>Data!$I21</f>
        <v>373</v>
      </c>
      <c r="O144" s="13">
        <f>Data!$I33</f>
        <v>589</v>
      </c>
      <c r="P144" s="13">
        <f>Data!$I45</f>
        <v>-691</v>
      </c>
      <c r="Q144" s="13">
        <f>Data!$I57</f>
        <v>532</v>
      </c>
      <c r="R144" s="119">
        <f t="shared" si="73"/>
        <v>356.5174888825951</v>
      </c>
      <c r="S144" s="119">
        <f t="shared" si="71"/>
        <v>153.05649271509125</v>
      </c>
      <c r="T144" s="119">
        <f t="shared" si="71"/>
        <v>408.88595053258689</v>
      </c>
      <c r="U144" s="119">
        <f t="shared" si="71"/>
        <v>219.63551004149582</v>
      </c>
      <c r="V144" s="119">
        <f t="shared" si="71"/>
        <v>182.95733917992521</v>
      </c>
      <c r="W144" s="119">
        <f t="shared" si="71"/>
        <v>200.5267937616928</v>
      </c>
      <c r="X144" s="119">
        <f t="shared" si="71"/>
        <v>197.86187701612459</v>
      </c>
      <c r="Y144" s="119">
        <f t="shared" si="71"/>
        <v>266.67236281875705</v>
      </c>
      <c r="Z144" s="119">
        <f t="shared" si="71"/>
        <v>336.27522680648241</v>
      </c>
      <c r="AA144" s="119">
        <f t="shared" si="71"/>
        <v>264.82300209254078</v>
      </c>
      <c r="AB144" s="119">
        <f t="shared" si="71"/>
        <v>245.16822081585957</v>
      </c>
      <c r="AC144" s="119">
        <f t="shared" si="71"/>
        <v>268.85277772313691</v>
      </c>
      <c r="AD144" s="119">
        <f t="shared" si="71"/>
        <v>331.52734094122343</v>
      </c>
      <c r="AE144" s="119">
        <f t="shared" si="71"/>
        <v>210.18575058701913</v>
      </c>
      <c r="AF144" s="119">
        <f t="shared" si="71"/>
        <v>241.30870708678688</v>
      </c>
      <c r="AG144" s="119">
        <f t="shared" si="71"/>
        <v>197.22554797557916</v>
      </c>
      <c r="AH144" s="119">
        <f t="shared" si="71"/>
        <v>417.3599980115963</v>
      </c>
      <c r="AI144" s="119">
        <f t="shared" si="72"/>
        <v>225.07549451615563</v>
      </c>
      <c r="AJ144" s="119">
        <f t="shared" si="72"/>
        <v>237.9525679493907</v>
      </c>
      <c r="AK144" s="119">
        <f t="shared" si="72"/>
        <v>285.17560141684356</v>
      </c>
      <c r="AL144" s="119">
        <f t="shared" si="72"/>
        <v>309.06281944029007</v>
      </c>
      <c r="AM144" s="119">
        <f t="shared" si="72"/>
        <v>365.32742296812535</v>
      </c>
      <c r="AN144" s="119">
        <f t="shared" si="72"/>
        <v>230.98542263229984</v>
      </c>
      <c r="AO144" s="119">
        <f t="shared" si="72"/>
        <v>297.10089279137321</v>
      </c>
      <c r="AP144" s="119">
        <f t="shared" si="72"/>
        <v>336.26710357515128</v>
      </c>
      <c r="AQ144" s="119">
        <f t="shared" si="72"/>
        <v>290.99757606915659</v>
      </c>
    </row>
    <row r="145" spans="1:43">
      <c r="A145" s="138" t="s">
        <v>136</v>
      </c>
      <c r="L145" s="13"/>
      <c r="M145" s="13">
        <f>Data!$I10</f>
        <v>175</v>
      </c>
      <c r="N145" s="13">
        <f>Data!$I22</f>
        <v>283</v>
      </c>
      <c r="O145" s="13">
        <f>Data!$I34</f>
        <v>72</v>
      </c>
      <c r="P145" s="13">
        <f>Data!$I46</f>
        <v>675</v>
      </c>
      <c r="Q145" s="13">
        <f>Data!$I58</f>
        <v>601</v>
      </c>
      <c r="R145" s="119">
        <f t="shared" si="73"/>
        <v>1117.6408721249725</v>
      </c>
      <c r="S145" s="119">
        <f t="shared" si="71"/>
        <v>1854.8346213772857</v>
      </c>
      <c r="T145" s="119">
        <f t="shared" si="71"/>
        <v>1402.8229868264423</v>
      </c>
      <c r="U145" s="119">
        <f t="shared" si="71"/>
        <v>1046.2850688346334</v>
      </c>
      <c r="V145" s="119">
        <f t="shared" si="71"/>
        <v>1007.4975846747312</v>
      </c>
      <c r="W145" s="119">
        <f t="shared" si="71"/>
        <v>854.17147874379691</v>
      </c>
      <c r="X145" s="119">
        <f t="shared" si="71"/>
        <v>953.99523059559112</v>
      </c>
      <c r="Y145" s="119">
        <f t="shared" si="71"/>
        <v>1291.5885502400399</v>
      </c>
      <c r="Z145" s="119">
        <f t="shared" si="71"/>
        <v>1567.3311926315025</v>
      </c>
      <c r="AA145" s="119">
        <f t="shared" si="71"/>
        <v>1260.9086581257586</v>
      </c>
      <c r="AB145" s="119">
        <f t="shared" si="71"/>
        <v>1163.9608541466323</v>
      </c>
      <c r="AC145" s="119">
        <f t="shared" si="71"/>
        <v>1268.2935133530216</v>
      </c>
      <c r="AD145" s="119">
        <f t="shared" si="71"/>
        <v>1572.0536032314894</v>
      </c>
      <c r="AE145" s="119">
        <f t="shared" si="71"/>
        <v>995.38777041072717</v>
      </c>
      <c r="AF145" s="119">
        <f t="shared" si="71"/>
        <v>1141.9136450481978</v>
      </c>
      <c r="AG145" s="119">
        <f t="shared" si="71"/>
        <v>934.30294979164523</v>
      </c>
      <c r="AH145" s="119">
        <f t="shared" si="71"/>
        <v>1976.1449941567771</v>
      </c>
      <c r="AI145" s="119">
        <f t="shared" si="72"/>
        <v>1065.6541802049819</v>
      </c>
      <c r="AJ145" s="119">
        <f t="shared" si="72"/>
        <v>1126.7924379392186</v>
      </c>
      <c r="AK145" s="119">
        <f t="shared" si="72"/>
        <v>1350.2916196465219</v>
      </c>
      <c r="AL145" s="119">
        <f t="shared" si="72"/>
        <v>1463.4099258870208</v>
      </c>
      <c r="AM145" s="119">
        <f t="shared" si="72"/>
        <v>1729.8559243810696</v>
      </c>
      <c r="AN145" s="119">
        <f t="shared" si="72"/>
        <v>1093.7191535065595</v>
      </c>
      <c r="AO145" s="119">
        <f t="shared" si="72"/>
        <v>1406.7829754927195</v>
      </c>
      <c r="AP145" s="119">
        <f t="shared" si="72"/>
        <v>1592.2412971359386</v>
      </c>
      <c r="AQ145" s="119">
        <f t="shared" si="72"/>
        <v>1377.8836183211113</v>
      </c>
    </row>
    <row r="146" spans="1:43">
      <c r="A146" s="138" t="s">
        <v>137</v>
      </c>
      <c r="L146" s="13"/>
      <c r="M146" s="13">
        <f>Data!$I11</f>
        <v>354</v>
      </c>
      <c r="N146" s="13">
        <f>Data!$I23</f>
        <v>-194</v>
      </c>
      <c r="O146" s="13">
        <f>Data!$I35</f>
        <v>259</v>
      </c>
      <c r="P146" s="13">
        <f>Data!$I47</f>
        <v>253</v>
      </c>
      <c r="Q146" s="13">
        <f>Data!$I59</f>
        <v>-276</v>
      </c>
      <c r="R146" s="119">
        <f t="shared" si="73"/>
        <v>195.67006366579636</v>
      </c>
      <c r="S146" s="119">
        <f t="shared" si="71"/>
        <v>133.80219893989911</v>
      </c>
      <c r="T146" s="119">
        <f t="shared" si="71"/>
        <v>20.991362408189463</v>
      </c>
      <c r="U146" s="119">
        <f t="shared" si="71"/>
        <v>83.807964112688396</v>
      </c>
      <c r="V146" s="119">
        <f t="shared" si="71"/>
        <v>55.853546071588767</v>
      </c>
      <c r="W146" s="119">
        <f t="shared" si="71"/>
        <v>39.699380266420761</v>
      </c>
      <c r="X146" s="119">
        <f t="shared" si="71"/>
        <v>58.841861412980379</v>
      </c>
      <c r="Y146" s="119">
        <f t="shared" si="71"/>
        <v>70.823265578875777</v>
      </c>
      <c r="Z146" s="119">
        <f t="shared" si="71"/>
        <v>85.635881842677463</v>
      </c>
      <c r="AA146" s="119">
        <f t="shared" si="71"/>
        <v>71.198783091619319</v>
      </c>
      <c r="AB146" s="119">
        <f t="shared" si="71"/>
        <v>64.319406893068944</v>
      </c>
      <c r="AC146" s="119">
        <f t="shared" si="71"/>
        <v>70.259061475970697</v>
      </c>
      <c r="AD146" s="119">
        <f t="shared" si="71"/>
        <v>87.592361175829694</v>
      </c>
      <c r="AE146" s="119">
        <f t="shared" si="71"/>
        <v>55.2270525362689</v>
      </c>
      <c r="AF146" s="119">
        <f t="shared" si="71"/>
        <v>63.434315835609056</v>
      </c>
      <c r="AG146" s="119">
        <f t="shared" si="71"/>
        <v>51.95066715128965</v>
      </c>
      <c r="AH146" s="119">
        <f t="shared" si="71"/>
        <v>109.76482640677003</v>
      </c>
      <c r="AI146" s="119">
        <f t="shared" si="72"/>
        <v>59.20790390576326</v>
      </c>
      <c r="AJ146" s="119">
        <f t="shared" si="72"/>
        <v>62.607751474461821</v>
      </c>
      <c r="AK146" s="119">
        <f t="shared" si="72"/>
        <v>75.013628801617926</v>
      </c>
      <c r="AL146" s="119">
        <f t="shared" si="72"/>
        <v>81.30488589429946</v>
      </c>
      <c r="AM146" s="119">
        <f t="shared" si="72"/>
        <v>96.107467775829264</v>
      </c>
      <c r="AN146" s="119">
        <f t="shared" si="72"/>
        <v>60.763649122996306</v>
      </c>
      <c r="AO146" s="119">
        <f t="shared" si="72"/>
        <v>78.157946809997171</v>
      </c>
      <c r="AP146" s="119">
        <f t="shared" si="72"/>
        <v>88.461301984911429</v>
      </c>
      <c r="AQ146" s="119">
        <f t="shared" si="72"/>
        <v>76.551871814578675</v>
      </c>
    </row>
    <row r="147" spans="1:43">
      <c r="A147" s="138" t="s">
        <v>138</v>
      </c>
      <c r="L147" s="13"/>
      <c r="M147" s="13">
        <f>Data!$I12</f>
        <v>283</v>
      </c>
      <c r="N147" s="13">
        <f>Data!$I24</f>
        <v>116</v>
      </c>
      <c r="O147" s="13">
        <f>Data!$I36</f>
        <v>266</v>
      </c>
      <c r="P147" s="13">
        <f>Data!$I48</f>
        <v>-665</v>
      </c>
      <c r="Q147" s="13">
        <f>Data!$I60</f>
        <v>296</v>
      </c>
      <c r="R147" s="119">
        <f t="shared" si="73"/>
        <v>-85.398375243970449</v>
      </c>
      <c r="S147" s="119">
        <f t="shared" si="71"/>
        <v>-352.11373941483197</v>
      </c>
      <c r="T147" s="119">
        <f t="shared" si="71"/>
        <v>-55.552765849032603</v>
      </c>
      <c r="U147" s="119">
        <f t="shared" si="71"/>
        <v>-117.90885233578938</v>
      </c>
      <c r="V147" s="119">
        <f t="shared" si="71"/>
        <v>-123.03042653685645</v>
      </c>
      <c r="W147" s="119">
        <f t="shared" si="71"/>
        <v>-73.266977673242621</v>
      </c>
      <c r="X147" s="119">
        <f t="shared" si="71"/>
        <v>-103.07977930030724</v>
      </c>
      <c r="Y147" s="119">
        <f t="shared" si="71"/>
        <v>-137.32892207611067</v>
      </c>
      <c r="Z147" s="119">
        <f t="shared" si="71"/>
        <v>-158.60402998754978</v>
      </c>
      <c r="AA147" s="119">
        <f t="shared" si="71"/>
        <v>-131.95117414898502</v>
      </c>
      <c r="AB147" s="119">
        <f t="shared" si="71"/>
        <v>-120.88862072548795</v>
      </c>
      <c r="AC147" s="119">
        <f t="shared" si="71"/>
        <v>-130.71275037366203</v>
      </c>
      <c r="AD147" s="119">
        <f t="shared" si="71"/>
        <v>-163.26524353303665</v>
      </c>
      <c r="AE147" s="119">
        <f t="shared" si="71"/>
        <v>-103.1272213763263</v>
      </c>
      <c r="AF147" s="119">
        <f t="shared" si="71"/>
        <v>-118.21981372823988</v>
      </c>
      <c r="AG147" s="119">
        <f t="shared" si="71"/>
        <v>-96.875166881185962</v>
      </c>
      <c r="AH147" s="119">
        <f t="shared" si="71"/>
        <v>-204.7311882343908</v>
      </c>
      <c r="AI147" s="119">
        <f t="shared" si="72"/>
        <v>-110.4021696885719</v>
      </c>
      <c r="AJ147" s="119">
        <f t="shared" si="72"/>
        <v>-116.75959912992828</v>
      </c>
      <c r="AK147" s="119">
        <f t="shared" si="72"/>
        <v>-139.89891424527664</v>
      </c>
      <c r="AL147" s="119">
        <f t="shared" si="72"/>
        <v>-151.62290040750455</v>
      </c>
      <c r="AM147" s="119">
        <f t="shared" si="72"/>
        <v>-179.2333716049134</v>
      </c>
      <c r="AN147" s="119">
        <f t="shared" si="72"/>
        <v>-113.31956671217469</v>
      </c>
      <c r="AO147" s="119">
        <f t="shared" si="72"/>
        <v>-145.75721806649059</v>
      </c>
      <c r="AP147" s="119">
        <f t="shared" si="72"/>
        <v>-164.97315904273842</v>
      </c>
      <c r="AQ147" s="119">
        <f t="shared" si="72"/>
        <v>-142.76279016426074</v>
      </c>
    </row>
    <row r="148" spans="1:43">
      <c r="A148" s="138" t="s">
        <v>139</v>
      </c>
      <c r="L148" s="13"/>
      <c r="M148" s="13">
        <f>Data!$I13</f>
        <v>322</v>
      </c>
      <c r="N148" s="13">
        <f>Data!$I25</f>
        <v>-41</v>
      </c>
      <c r="O148" s="13">
        <f>Data!$I37</f>
        <v>246</v>
      </c>
      <c r="P148" s="13">
        <f>Data!$I49</f>
        <v>310</v>
      </c>
      <c r="Q148" s="13">
        <f>Data!$I61</f>
        <v>219</v>
      </c>
      <c r="R148" s="119">
        <f t="shared" si="73"/>
        <v>642.56059042793299</v>
      </c>
      <c r="S148" s="119">
        <f t="shared" si="71"/>
        <v>907.843431933798</v>
      </c>
      <c r="T148" s="119">
        <f t="shared" si="71"/>
        <v>694.60687223560933</v>
      </c>
      <c r="U148" s="119">
        <f t="shared" si="71"/>
        <v>536.85968830446836</v>
      </c>
      <c r="V148" s="119">
        <f t="shared" si="71"/>
        <v>500.78493419226749</v>
      </c>
      <c r="W148" s="119">
        <f t="shared" si="71"/>
        <v>428.0615073774901</v>
      </c>
      <c r="X148" s="119">
        <f t="shared" si="71"/>
        <v>480.84549953726787</v>
      </c>
      <c r="Y148" s="119">
        <f t="shared" si="71"/>
        <v>646.64739129954</v>
      </c>
      <c r="Z148" s="119">
        <f t="shared" si="71"/>
        <v>786.53594428845008</v>
      </c>
      <c r="AA148" s="119">
        <f t="shared" si="71"/>
        <v>632.9581296477869</v>
      </c>
      <c r="AB148" s="119">
        <f t="shared" si="71"/>
        <v>583.73979461898091</v>
      </c>
      <c r="AC148" s="119">
        <f t="shared" si="71"/>
        <v>636.41302354782931</v>
      </c>
      <c r="AD148" s="119">
        <f t="shared" si="71"/>
        <v>788.80615951318009</v>
      </c>
      <c r="AE148" s="119">
        <f t="shared" si="71"/>
        <v>499.38546491826821</v>
      </c>
      <c r="AF148" s="119">
        <f t="shared" si="71"/>
        <v>572.96251529321319</v>
      </c>
      <c r="AG148" s="119">
        <f t="shared" si="71"/>
        <v>468.7827921565713</v>
      </c>
      <c r="AH148" s="119">
        <f t="shared" si="71"/>
        <v>991.50069442867664</v>
      </c>
      <c r="AI148" s="119">
        <f t="shared" si="72"/>
        <v>534.6850357999125</v>
      </c>
      <c r="AJ148" s="119">
        <f t="shared" si="72"/>
        <v>565.356566496391</v>
      </c>
      <c r="AK148" s="119">
        <f t="shared" si="72"/>
        <v>677.49309552659281</v>
      </c>
      <c r="AL148" s="119">
        <f t="shared" si="72"/>
        <v>734.25179784797729</v>
      </c>
      <c r="AM148" s="119">
        <f t="shared" si="72"/>
        <v>867.93703728640287</v>
      </c>
      <c r="AN148" s="119">
        <f t="shared" si="72"/>
        <v>548.76202358535943</v>
      </c>
      <c r="AO148" s="119">
        <f t="shared" si="72"/>
        <v>705.83896293177622</v>
      </c>
      <c r="AP148" s="119">
        <f t="shared" si="72"/>
        <v>798.89046118466729</v>
      </c>
      <c r="AQ148" s="119">
        <f t="shared" si="72"/>
        <v>691.33877488691996</v>
      </c>
    </row>
    <row r="149" spans="1:43">
      <c r="A149" s="138" t="s">
        <v>140</v>
      </c>
      <c r="L149" s="13"/>
      <c r="M149" s="13">
        <f>Data!$I14</f>
        <v>228</v>
      </c>
      <c r="N149" s="13">
        <f>Data!$I26</f>
        <v>21</v>
      </c>
      <c r="O149" s="13">
        <f>Data!$I38</f>
        <v>560</v>
      </c>
      <c r="P149" s="13">
        <f>Data!$I50</f>
        <v>1191</v>
      </c>
      <c r="Q149" s="13">
        <f>Data!$I62</f>
        <v>257</v>
      </c>
      <c r="R149" s="119">
        <f t="shared" ref="R149:AQ149" si="74">R$134*(SUM(O149:Q149)/SUM(O$134:Q$134))</f>
        <v>585.77079960765809</v>
      </c>
      <c r="S149" s="119">
        <f t="shared" si="74"/>
        <v>568.75740517177621</v>
      </c>
      <c r="T149" s="119">
        <f t="shared" si="74"/>
        <v>401.10458376767792</v>
      </c>
      <c r="U149" s="119">
        <f t="shared" si="74"/>
        <v>475.37655108778608</v>
      </c>
      <c r="V149" s="119">
        <f t="shared" si="74"/>
        <v>453.78040600007841</v>
      </c>
      <c r="W149" s="119">
        <f t="shared" si="74"/>
        <v>421.43657520834188</v>
      </c>
      <c r="X149" s="119">
        <f t="shared" si="74"/>
        <v>427.8778986449405</v>
      </c>
      <c r="Y149" s="119">
        <f t="shared" si="74"/>
        <v>412.82997851966201</v>
      </c>
      <c r="Z149" s="119">
        <f t="shared" si="74"/>
        <v>399.8565839046716</v>
      </c>
      <c r="AA149" s="119">
        <f t="shared" si="74"/>
        <v>393.01988499342161</v>
      </c>
      <c r="AB149" s="119">
        <f t="shared" si="74"/>
        <v>381.97661159140051</v>
      </c>
      <c r="AC149" s="119">
        <f t="shared" si="74"/>
        <v>372.20203952978136</v>
      </c>
      <c r="AD149" s="119">
        <f t="shared" si="74"/>
        <v>363.44087782408769</v>
      </c>
      <c r="AE149" s="119">
        <f t="shared" si="74"/>
        <v>354.07003224473641</v>
      </c>
      <c r="AF149" s="119">
        <f t="shared" si="74"/>
        <v>345.22902401858414</v>
      </c>
      <c r="AG149" s="119">
        <f t="shared" si="74"/>
        <v>336.68377563624733</v>
      </c>
      <c r="AH149" s="119">
        <f t="shared" si="74"/>
        <v>328.20693017224136</v>
      </c>
      <c r="AI149" s="119">
        <f t="shared" si="74"/>
        <v>320.0133104764588</v>
      </c>
      <c r="AJ149" s="119">
        <f t="shared" si="74"/>
        <v>312.02478819700281</v>
      </c>
      <c r="AK149" s="119">
        <f t="shared" si="74"/>
        <v>304.21264081445338</v>
      </c>
      <c r="AL149" s="119">
        <f t="shared" si="74"/>
        <v>296.61107464048081</v>
      </c>
      <c r="AM149" s="119">
        <f t="shared" si="74"/>
        <v>289.19707534783839</v>
      </c>
      <c r="AN149" s="119">
        <f t="shared" si="74"/>
        <v>281.9650891349587</v>
      </c>
      <c r="AO149" s="119">
        <f t="shared" si="74"/>
        <v>274.91690221936403</v>
      </c>
      <c r="AP149" s="119">
        <f t="shared" si="74"/>
        <v>268.04402989588493</v>
      </c>
      <c r="AQ149" s="119">
        <f t="shared" si="74"/>
        <v>261.34259054978139</v>
      </c>
    </row>
    <row r="150" spans="1:43" ht="12" thickBot="1">
      <c r="A150" s="138" t="s">
        <v>141</v>
      </c>
      <c r="L150" s="13"/>
      <c r="M150" s="13">
        <f>SUM(M138:M149)</f>
        <v>653</v>
      </c>
      <c r="N150" s="13">
        <f>SUM(N138:N149)</f>
        <v>668</v>
      </c>
      <c r="O150" s="13">
        <f>SUM(O138:O149)</f>
        <v>3256</v>
      </c>
      <c r="P150" s="13">
        <f>SUM(P138:P149)</f>
        <v>2035</v>
      </c>
      <c r="Q150" s="13">
        <f>SUM(Q138:Q149)</f>
        <v>2334</v>
      </c>
      <c r="R150" s="119">
        <f t="shared" ref="R150:AQ150" si="75">R17</f>
        <v>6321.967099371599</v>
      </c>
      <c r="S150" s="119">
        <f t="shared" si="75"/>
        <v>8284.4407207651529</v>
      </c>
      <c r="T150" s="119">
        <f t="shared" si="75"/>
        <v>6650.2186847268604</v>
      </c>
      <c r="U150" s="119">
        <f t="shared" si="75"/>
        <v>5083.1939868391491</v>
      </c>
      <c r="V150" s="119">
        <f t="shared" si="75"/>
        <v>4685.9218294757884</v>
      </c>
      <c r="W150" s="119">
        <f t="shared" si="75"/>
        <v>4057.4276298934128</v>
      </c>
      <c r="X150" s="119">
        <f t="shared" si="75"/>
        <v>4535.991939145606</v>
      </c>
      <c r="Y150" s="119">
        <f t="shared" si="75"/>
        <v>6091.4382945129182</v>
      </c>
      <c r="Z150" s="119">
        <f t="shared" si="75"/>
        <v>7425.1138756121509</v>
      </c>
      <c r="AA150" s="119">
        <f t="shared" si="75"/>
        <v>5969.8706441067625</v>
      </c>
      <c r="AB150" s="119">
        <f t="shared" si="75"/>
        <v>5505.4315703113098</v>
      </c>
      <c r="AC150" s="119">
        <f t="shared" si="75"/>
        <v>6004.5265502841212</v>
      </c>
      <c r="AD150" s="119">
        <f t="shared" si="75"/>
        <v>7440.5672326815547</v>
      </c>
      <c r="AE150" s="119">
        <f t="shared" si="75"/>
        <v>4710.70689801767</v>
      </c>
      <c r="AF150" s="119">
        <f t="shared" si="75"/>
        <v>5405.0546101821819</v>
      </c>
      <c r="AG150" s="119">
        <f t="shared" si="75"/>
        <v>4422.0436295440886</v>
      </c>
      <c r="AH150" s="119">
        <f t="shared" si="75"/>
        <v>9353.0310003436171</v>
      </c>
      <c r="AI150" s="119">
        <f t="shared" si="75"/>
        <v>5043.8206099503441</v>
      </c>
      <c r="AJ150" s="119">
        <f t="shared" si="75"/>
        <v>5333.109710086952</v>
      </c>
      <c r="AK150" s="119">
        <f t="shared" si="75"/>
        <v>6390.9358134880895</v>
      </c>
      <c r="AL150" s="119">
        <f t="shared" si="75"/>
        <v>6926.3547258428298</v>
      </c>
      <c r="AM150" s="119">
        <f t="shared" si="75"/>
        <v>8187.4266269278014</v>
      </c>
      <c r="AN150" s="119">
        <f t="shared" si="75"/>
        <v>5176.5871151004685</v>
      </c>
      <c r="AO150" s="119">
        <f t="shared" si="75"/>
        <v>6658.3262833768968</v>
      </c>
      <c r="AP150" s="119">
        <f t="shared" si="75"/>
        <v>7536.0988955233479</v>
      </c>
      <c r="AQ150" s="119">
        <f t="shared" si="75"/>
        <v>6521.5425769811263</v>
      </c>
    </row>
    <row r="151" spans="1:43">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141"/>
      <c r="AH151" s="141"/>
      <c r="AI151" s="141"/>
      <c r="AJ151" s="141"/>
      <c r="AK151" s="141"/>
      <c r="AL151" s="141"/>
      <c r="AM151" s="141"/>
      <c r="AN151" s="141"/>
      <c r="AO151" s="141"/>
      <c r="AP151" s="141"/>
      <c r="AQ151" s="141"/>
    </row>
    <row r="152" spans="1:43" ht="12" thickBot="1">
      <c r="A152" s="138" t="s">
        <v>146</v>
      </c>
      <c r="B152" s="138"/>
      <c r="C152" s="138"/>
      <c r="D152" s="138"/>
      <c r="E152" s="138"/>
      <c r="F152" s="138"/>
      <c r="G152" s="138"/>
      <c r="H152" s="138"/>
      <c r="I152" s="138"/>
      <c r="J152" s="138"/>
      <c r="K152" s="138"/>
      <c r="L152" s="138"/>
    </row>
    <row r="153" spans="1:43" ht="12" thickBot="1">
      <c r="A153" s="139"/>
      <c r="B153" s="140">
        <f t="shared" ref="B153:AQ153" si="76">B2</f>
        <v>2009</v>
      </c>
      <c r="C153" s="140">
        <f t="shared" si="76"/>
        <v>2010</v>
      </c>
      <c r="D153" s="140">
        <f t="shared" si="76"/>
        <v>2011</v>
      </c>
      <c r="E153" s="140">
        <f t="shared" si="76"/>
        <v>2012</v>
      </c>
      <c r="F153" s="140">
        <f t="shared" si="76"/>
        <v>2013</v>
      </c>
      <c r="G153" s="140">
        <f t="shared" si="76"/>
        <v>2014</v>
      </c>
      <c r="H153" s="140">
        <f t="shared" si="76"/>
        <v>2015</v>
      </c>
      <c r="I153" s="140">
        <f t="shared" si="76"/>
        <v>2016</v>
      </c>
      <c r="J153" s="140">
        <f t="shared" si="76"/>
        <v>2017</v>
      </c>
      <c r="K153" s="140">
        <f t="shared" si="76"/>
        <v>2018</v>
      </c>
      <c r="L153" s="140">
        <f t="shared" si="76"/>
        <v>2019</v>
      </c>
      <c r="M153" s="140">
        <f t="shared" si="76"/>
        <v>2020</v>
      </c>
      <c r="N153" s="140">
        <f t="shared" si="76"/>
        <v>2021</v>
      </c>
      <c r="O153" s="140">
        <f t="shared" si="76"/>
        <v>2022</v>
      </c>
      <c r="P153" s="140">
        <f t="shared" si="76"/>
        <v>2023</v>
      </c>
      <c r="Q153" s="140">
        <f t="shared" si="76"/>
        <v>2024</v>
      </c>
      <c r="R153" s="140">
        <f t="shared" si="76"/>
        <v>2025</v>
      </c>
      <c r="S153" s="140">
        <f t="shared" si="76"/>
        <v>2026</v>
      </c>
      <c r="T153" s="140">
        <f t="shared" si="76"/>
        <v>2027</v>
      </c>
      <c r="U153" s="140">
        <f t="shared" si="76"/>
        <v>2028</v>
      </c>
      <c r="V153" s="140">
        <f t="shared" si="76"/>
        <v>2029</v>
      </c>
      <c r="W153" s="140">
        <f t="shared" si="76"/>
        <v>2030</v>
      </c>
      <c r="X153" s="140">
        <f t="shared" si="76"/>
        <v>2031</v>
      </c>
      <c r="Y153" s="140">
        <f t="shared" si="76"/>
        <v>2032</v>
      </c>
      <c r="Z153" s="140">
        <f t="shared" si="76"/>
        <v>2033</v>
      </c>
      <c r="AA153" s="140">
        <f t="shared" si="76"/>
        <v>2034</v>
      </c>
      <c r="AB153" s="140">
        <f t="shared" si="76"/>
        <v>2035</v>
      </c>
      <c r="AC153" s="140">
        <f t="shared" si="76"/>
        <v>2036</v>
      </c>
      <c r="AD153" s="140">
        <f t="shared" si="76"/>
        <v>2037</v>
      </c>
      <c r="AE153" s="140">
        <f t="shared" si="76"/>
        <v>2038</v>
      </c>
      <c r="AF153" s="140">
        <f t="shared" si="76"/>
        <v>2039</v>
      </c>
      <c r="AG153" s="140">
        <f t="shared" si="76"/>
        <v>2040</v>
      </c>
      <c r="AH153" s="140">
        <f t="shared" si="76"/>
        <v>2041</v>
      </c>
      <c r="AI153" s="140">
        <f t="shared" si="76"/>
        <v>2042</v>
      </c>
      <c r="AJ153" s="140">
        <f t="shared" si="76"/>
        <v>2043</v>
      </c>
      <c r="AK153" s="140">
        <f t="shared" si="76"/>
        <v>2044</v>
      </c>
      <c r="AL153" s="140">
        <f t="shared" si="76"/>
        <v>2045</v>
      </c>
      <c r="AM153" s="140">
        <f t="shared" si="76"/>
        <v>2046</v>
      </c>
      <c r="AN153" s="140">
        <f t="shared" si="76"/>
        <v>2047</v>
      </c>
      <c r="AO153" s="140">
        <f t="shared" si="76"/>
        <v>2048</v>
      </c>
      <c r="AP153" s="140">
        <f t="shared" si="76"/>
        <v>2049</v>
      </c>
      <c r="AQ153" s="140">
        <f t="shared" si="76"/>
        <v>2050</v>
      </c>
    </row>
    <row r="154" spans="1:43">
      <c r="A154" s="138" t="s">
        <v>129</v>
      </c>
      <c r="L154" s="13"/>
      <c r="M154" s="13">
        <f t="shared" ref="M154:R165" si="77">((M89+M26+M42)-M90)-(M122+M138+M58)</f>
        <v>70968.260999999999</v>
      </c>
      <c r="N154" s="13">
        <f t="shared" si="77"/>
        <v>46713.430000000022</v>
      </c>
      <c r="O154" s="13">
        <f t="shared" si="77"/>
        <v>112250.486</v>
      </c>
      <c r="P154" s="13">
        <f t="shared" si="77"/>
        <v>152913.41</v>
      </c>
      <c r="Q154" s="13">
        <f t="shared" si="77"/>
        <v>188127.13500000004</v>
      </c>
      <c r="R154" s="13">
        <f t="shared" si="77"/>
        <v>158042.46599999999</v>
      </c>
      <c r="S154" s="119">
        <f t="shared" ref="S154:S164" si="78">S$166*(SUM(O154:R154)/SUM(O$166:R$166))</f>
        <v>166850.74254295527</v>
      </c>
      <c r="T154" s="119">
        <f t="shared" ref="T154:T164" si="79">T$166*(SUM(P154:S154)/SUM(P$166:S$166))</f>
        <v>167705.62212001104</v>
      </c>
      <c r="U154" s="119">
        <f t="shared" ref="U154:AJ164" si="80">U$166*(SUM(Q154:T154)/SUM(Q$166:T$166))</f>
        <v>170817.14668724872</v>
      </c>
      <c r="V154" s="119">
        <f t="shared" si="80"/>
        <v>165853.99433755371</v>
      </c>
      <c r="W154" s="119">
        <f t="shared" si="80"/>
        <v>167806.8764219422</v>
      </c>
      <c r="X154" s="119">
        <f t="shared" si="80"/>
        <v>168045.90989168891</v>
      </c>
      <c r="Y154" s="119">
        <f t="shared" si="80"/>
        <v>168130.98183460839</v>
      </c>
      <c r="Z154" s="119">
        <f t="shared" si="80"/>
        <v>167459.4406214483</v>
      </c>
      <c r="AA154" s="119">
        <f t="shared" si="80"/>
        <v>167860.80219242195</v>
      </c>
      <c r="AB154" s="119">
        <f t="shared" si="80"/>
        <v>167874.28363504191</v>
      </c>
      <c r="AC154" s="119">
        <f t="shared" si="80"/>
        <v>167831.37707088015</v>
      </c>
      <c r="AD154" s="119">
        <f t="shared" si="80"/>
        <v>167756.47587994806</v>
      </c>
      <c r="AE154" s="119">
        <f t="shared" si="80"/>
        <v>167830.73469457307</v>
      </c>
      <c r="AF154" s="119">
        <f t="shared" si="80"/>
        <v>167823.21782011079</v>
      </c>
      <c r="AG154" s="119">
        <f t="shared" si="80"/>
        <v>167810.45136637799</v>
      </c>
      <c r="AH154" s="119">
        <f t="shared" si="80"/>
        <v>167805.21994025249</v>
      </c>
      <c r="AI154" s="119">
        <f t="shared" si="80"/>
        <v>167817.40595532858</v>
      </c>
      <c r="AJ154" s="119">
        <f t="shared" si="80"/>
        <v>167814.07377051745</v>
      </c>
      <c r="AK154" s="119">
        <f t="shared" ref="AK154:AQ164" si="81">AK$166*(SUM(AG154:AJ154)/SUM(AG$166:AJ$166))</f>
        <v>167811.78775811914</v>
      </c>
      <c r="AL154" s="119">
        <f t="shared" si="81"/>
        <v>167812.12185605444</v>
      </c>
      <c r="AM154" s="119">
        <f t="shared" si="81"/>
        <v>167813.84733500489</v>
      </c>
      <c r="AN154" s="119">
        <f t="shared" si="81"/>
        <v>167812.95767992397</v>
      </c>
      <c r="AO154" s="119">
        <f t="shared" si="81"/>
        <v>167812.67865727562</v>
      </c>
      <c r="AP154" s="119">
        <f t="shared" si="81"/>
        <v>167812.90138206474</v>
      </c>
      <c r="AQ154" s="119">
        <f t="shared" si="81"/>
        <v>167813.09626356731</v>
      </c>
    </row>
    <row r="155" spans="1:43">
      <c r="A155" s="138" t="s">
        <v>130</v>
      </c>
      <c r="L155" s="13"/>
      <c r="M155" s="13">
        <f t="shared" si="77"/>
        <v>106139.80600000001</v>
      </c>
      <c r="N155" s="13">
        <f t="shared" si="77"/>
        <v>49965.864999999991</v>
      </c>
      <c r="O155" s="13">
        <f t="shared" si="77"/>
        <v>99233.834000000003</v>
      </c>
      <c r="P155" s="13">
        <f t="shared" si="77"/>
        <v>146262.07</v>
      </c>
      <c r="Q155" s="13">
        <f t="shared" si="77"/>
        <v>160782.53600000002</v>
      </c>
      <c r="R155" s="13">
        <f t="shared" si="77"/>
        <v>185878.09700000004</v>
      </c>
      <c r="S155" s="119">
        <f t="shared" si="78"/>
        <v>161616.79081052379</v>
      </c>
      <c r="T155" s="119">
        <f t="shared" si="79"/>
        <v>164836.14537873163</v>
      </c>
      <c r="U155" s="119">
        <f t="shared" si="80"/>
        <v>168906.93918719402</v>
      </c>
      <c r="V155" s="119">
        <f t="shared" si="80"/>
        <v>170309.49309411237</v>
      </c>
      <c r="W155" s="119">
        <f t="shared" si="80"/>
        <v>166417.34211764045</v>
      </c>
      <c r="X155" s="119">
        <f t="shared" si="80"/>
        <v>167617.47994441961</v>
      </c>
      <c r="Y155" s="119">
        <f t="shared" si="80"/>
        <v>168312.81358584159</v>
      </c>
      <c r="Z155" s="119">
        <f t="shared" si="80"/>
        <v>168164.28218550349</v>
      </c>
      <c r="AA155" s="119">
        <f t="shared" si="80"/>
        <v>167627.97945835127</v>
      </c>
      <c r="AB155" s="119">
        <f t="shared" si="80"/>
        <v>167930.63879352895</v>
      </c>
      <c r="AC155" s="119">
        <f t="shared" si="80"/>
        <v>168008.92850580631</v>
      </c>
      <c r="AD155" s="119">
        <f t="shared" si="80"/>
        <v>167932.95723579751</v>
      </c>
      <c r="AE155" s="119">
        <f t="shared" si="80"/>
        <v>167875.12599837102</v>
      </c>
      <c r="AF155" s="119">
        <f t="shared" si="80"/>
        <v>167936.91263337596</v>
      </c>
      <c r="AG155" s="119">
        <f t="shared" si="80"/>
        <v>167938.4810933377</v>
      </c>
      <c r="AH155" s="119">
        <f t="shared" si="80"/>
        <v>167920.86924022055</v>
      </c>
      <c r="AI155" s="119">
        <f t="shared" si="80"/>
        <v>167917.84724132632</v>
      </c>
      <c r="AJ155" s="119">
        <f t="shared" si="80"/>
        <v>167928.52755206515</v>
      </c>
      <c r="AK155" s="119">
        <f t="shared" si="81"/>
        <v>167926.43128173746</v>
      </c>
      <c r="AL155" s="119">
        <f t="shared" si="81"/>
        <v>167923.41882883737</v>
      </c>
      <c r="AM155" s="119">
        <f t="shared" si="81"/>
        <v>167924.05622599158</v>
      </c>
      <c r="AN155" s="119">
        <f t="shared" si="81"/>
        <v>167925.60847215788</v>
      </c>
      <c r="AO155" s="119">
        <f t="shared" si="81"/>
        <v>167924.87870218107</v>
      </c>
      <c r="AP155" s="119">
        <f t="shared" si="81"/>
        <v>167924.49055729195</v>
      </c>
      <c r="AQ155" s="119">
        <f t="shared" si="81"/>
        <v>167924.75848940562</v>
      </c>
    </row>
    <row r="156" spans="1:43">
      <c r="A156" s="138" t="s">
        <v>131</v>
      </c>
      <c r="L156" s="13"/>
      <c r="M156" s="13">
        <f t="shared" si="77"/>
        <v>97507.819999999949</v>
      </c>
      <c r="N156" s="13">
        <f t="shared" si="77"/>
        <v>103765.05399999997</v>
      </c>
      <c r="O156" s="13">
        <f t="shared" si="77"/>
        <v>117775.04499999998</v>
      </c>
      <c r="P156" s="13">
        <f t="shared" si="77"/>
        <v>267887.21999999997</v>
      </c>
      <c r="Q156" s="13">
        <f t="shared" si="77"/>
        <v>157397.12899999999</v>
      </c>
      <c r="R156" s="119">
        <f t="shared" ref="R156:R164" si="82">R$166*(SUM(N156:Q156)/SUM(N$166:Q$166))</f>
        <v>206022.92694358068</v>
      </c>
      <c r="S156" s="119">
        <f t="shared" si="78"/>
        <v>204446.41441795026</v>
      </c>
      <c r="T156" s="119">
        <f t="shared" si="79"/>
        <v>210472.27571133274</v>
      </c>
      <c r="U156" s="119">
        <f t="shared" si="80"/>
        <v>195311.49165261036</v>
      </c>
      <c r="V156" s="119">
        <f t="shared" si="80"/>
        <v>204063.27718136855</v>
      </c>
      <c r="W156" s="119">
        <f t="shared" si="80"/>
        <v>203573.36474081548</v>
      </c>
      <c r="X156" s="119">
        <f t="shared" si="80"/>
        <v>203355.1023215318</v>
      </c>
      <c r="Y156" s="119">
        <f t="shared" si="80"/>
        <v>201575.80897408153</v>
      </c>
      <c r="Z156" s="119">
        <f t="shared" si="80"/>
        <v>203141.88830444936</v>
      </c>
      <c r="AA156" s="119">
        <f t="shared" si="80"/>
        <v>202911.54108521953</v>
      </c>
      <c r="AB156" s="119">
        <f t="shared" si="80"/>
        <v>202746.08517132053</v>
      </c>
      <c r="AC156" s="119">
        <f t="shared" si="80"/>
        <v>202593.83088376775</v>
      </c>
      <c r="AD156" s="119">
        <f t="shared" si="80"/>
        <v>202848.33636118926</v>
      </c>
      <c r="AE156" s="119">
        <f t="shared" si="80"/>
        <v>202774.94837537428</v>
      </c>
      <c r="AF156" s="119">
        <f t="shared" si="80"/>
        <v>202740.80019791296</v>
      </c>
      <c r="AG156" s="119">
        <f t="shared" si="80"/>
        <v>202739.47895456105</v>
      </c>
      <c r="AH156" s="119">
        <f t="shared" si="80"/>
        <v>202775.89097225943</v>
      </c>
      <c r="AI156" s="119">
        <f t="shared" si="80"/>
        <v>202757.77962502695</v>
      </c>
      <c r="AJ156" s="119">
        <f t="shared" si="80"/>
        <v>202753.48743744014</v>
      </c>
      <c r="AK156" s="119">
        <f t="shared" si="81"/>
        <v>202756.65924732189</v>
      </c>
      <c r="AL156" s="119">
        <f t="shared" si="81"/>
        <v>202760.95432051213</v>
      </c>
      <c r="AM156" s="119">
        <f t="shared" si="81"/>
        <v>202757.22015757527</v>
      </c>
      <c r="AN156" s="119">
        <f t="shared" si="81"/>
        <v>202757.08029071236</v>
      </c>
      <c r="AO156" s="119">
        <f t="shared" si="81"/>
        <v>202757.97850403044</v>
      </c>
      <c r="AP156" s="119">
        <f t="shared" si="81"/>
        <v>202758.30831820756</v>
      </c>
      <c r="AQ156" s="119">
        <f t="shared" si="81"/>
        <v>202757.64681763138</v>
      </c>
    </row>
    <row r="157" spans="1:43">
      <c r="A157" s="138" t="s">
        <v>132</v>
      </c>
      <c r="L157" s="13"/>
      <c r="M157" s="13">
        <f t="shared" si="77"/>
        <v>48330.595000000001</v>
      </c>
      <c r="N157" s="13">
        <f t="shared" si="77"/>
        <v>84452.283999999985</v>
      </c>
      <c r="O157" s="13">
        <f t="shared" si="77"/>
        <v>127707.11199999999</v>
      </c>
      <c r="P157" s="13">
        <f t="shared" si="77"/>
        <v>176129.43100000001</v>
      </c>
      <c r="Q157" s="13">
        <f t="shared" si="77"/>
        <v>245258.764</v>
      </c>
      <c r="R157" s="119">
        <f t="shared" si="82"/>
        <v>201794.05626899647</v>
      </c>
      <c r="S157" s="119">
        <f t="shared" si="78"/>
        <v>204939.60897588261</v>
      </c>
      <c r="T157" s="119">
        <f t="shared" si="79"/>
        <v>208550.31153574039</v>
      </c>
      <c r="U157" s="119">
        <f t="shared" si="80"/>
        <v>215939.25161854175</v>
      </c>
      <c r="V157" s="119">
        <f t="shared" si="80"/>
        <v>207805.80709979031</v>
      </c>
      <c r="W157" s="119">
        <f t="shared" si="80"/>
        <v>209308.74480748878</v>
      </c>
      <c r="X157" s="119">
        <f t="shared" si="80"/>
        <v>210401.02876539031</v>
      </c>
      <c r="Y157" s="119">
        <f t="shared" si="80"/>
        <v>210863.70807280278</v>
      </c>
      <c r="Z157" s="119">
        <f t="shared" si="80"/>
        <v>209594.82218636802</v>
      </c>
      <c r="AA157" s="119">
        <f t="shared" si="80"/>
        <v>210042.07595801249</v>
      </c>
      <c r="AB157" s="119">
        <f t="shared" si="80"/>
        <v>210225.40874564339</v>
      </c>
      <c r="AC157" s="119">
        <f t="shared" si="80"/>
        <v>210181.50374070666</v>
      </c>
      <c r="AD157" s="119">
        <f t="shared" si="80"/>
        <v>210010.95265768265</v>
      </c>
      <c r="AE157" s="119">
        <f t="shared" si="80"/>
        <v>210114.98527551128</v>
      </c>
      <c r="AF157" s="119">
        <f t="shared" si="80"/>
        <v>210133.21260488601</v>
      </c>
      <c r="AG157" s="119">
        <f t="shared" si="80"/>
        <v>210110.16356969666</v>
      </c>
      <c r="AH157" s="119">
        <f t="shared" si="80"/>
        <v>210092.32852694415</v>
      </c>
      <c r="AI157" s="119">
        <f t="shared" si="80"/>
        <v>210112.67249425955</v>
      </c>
      <c r="AJ157" s="119">
        <f t="shared" si="80"/>
        <v>210112.09429894658</v>
      </c>
      <c r="AK157" s="119">
        <f t="shared" si="81"/>
        <v>210106.81472246171</v>
      </c>
      <c r="AL157" s="119">
        <f t="shared" si="81"/>
        <v>210105.977510653</v>
      </c>
      <c r="AM157" s="119">
        <f t="shared" si="81"/>
        <v>210109.3897565802</v>
      </c>
      <c r="AN157" s="119">
        <f t="shared" si="81"/>
        <v>210108.56907216038</v>
      </c>
      <c r="AO157" s="119">
        <f t="shared" si="81"/>
        <v>210107.68776546387</v>
      </c>
      <c r="AP157" s="119">
        <f t="shared" si="81"/>
        <v>210107.90602621436</v>
      </c>
      <c r="AQ157" s="119">
        <f t="shared" si="81"/>
        <v>210108.38815510471</v>
      </c>
    </row>
    <row r="158" spans="1:43">
      <c r="A158" s="138" t="s">
        <v>133</v>
      </c>
      <c r="L158" s="13"/>
      <c r="M158" s="13">
        <f t="shared" si="77"/>
        <v>52428.559000000008</v>
      </c>
      <c r="N158" s="13">
        <f t="shared" si="77"/>
        <v>84991.66300000003</v>
      </c>
      <c r="O158" s="13">
        <f t="shared" si="77"/>
        <v>137352.663</v>
      </c>
      <c r="P158" s="13">
        <f t="shared" si="77"/>
        <v>238182.66699999999</v>
      </c>
      <c r="Q158" s="13">
        <f t="shared" si="77"/>
        <v>239151.38100000002</v>
      </c>
      <c r="R158" s="119">
        <f t="shared" si="82"/>
        <v>222857.6655943057</v>
      </c>
      <c r="S158" s="119">
        <f t="shared" si="78"/>
        <v>228590.28964257205</v>
      </c>
      <c r="T158" s="119">
        <f t="shared" si="79"/>
        <v>233900.08816644771</v>
      </c>
      <c r="U158" s="119">
        <f t="shared" si="80"/>
        <v>231988.14465198125</v>
      </c>
      <c r="V158" s="119">
        <f t="shared" si="80"/>
        <v>229334.04701382667</v>
      </c>
      <c r="W158" s="119">
        <f t="shared" si="80"/>
        <v>230953.14236870693</v>
      </c>
      <c r="X158" s="119">
        <f t="shared" si="80"/>
        <v>231543.85555024061</v>
      </c>
      <c r="Y158" s="119">
        <f t="shared" si="80"/>
        <v>230954.79739618886</v>
      </c>
      <c r="Z158" s="119">
        <f t="shared" si="80"/>
        <v>230696.46058224078</v>
      </c>
      <c r="AA158" s="119">
        <f t="shared" si="80"/>
        <v>231037.06397434426</v>
      </c>
      <c r="AB158" s="119">
        <f t="shared" si="80"/>
        <v>231058.04437575364</v>
      </c>
      <c r="AC158" s="119">
        <f t="shared" si="80"/>
        <v>230936.59158213189</v>
      </c>
      <c r="AD158" s="119">
        <f t="shared" si="80"/>
        <v>230932.04012861763</v>
      </c>
      <c r="AE158" s="119">
        <f t="shared" si="80"/>
        <v>230990.93501521187</v>
      </c>
      <c r="AF158" s="119">
        <f t="shared" si="80"/>
        <v>230979.40277542878</v>
      </c>
      <c r="AG158" s="119">
        <f t="shared" si="80"/>
        <v>230959.74237534753</v>
      </c>
      <c r="AH158" s="119">
        <f t="shared" si="80"/>
        <v>230965.53007365146</v>
      </c>
      <c r="AI158" s="119">
        <f t="shared" si="80"/>
        <v>230973.90255990991</v>
      </c>
      <c r="AJ158" s="119">
        <f t="shared" si="80"/>
        <v>230969.64444608445</v>
      </c>
      <c r="AK158" s="119">
        <f t="shared" si="81"/>
        <v>230967.20486374834</v>
      </c>
      <c r="AL158" s="119">
        <f t="shared" si="81"/>
        <v>230969.07048584853</v>
      </c>
      <c r="AM158" s="119">
        <f t="shared" si="81"/>
        <v>230969.95558889781</v>
      </c>
      <c r="AN158" s="119">
        <f t="shared" si="81"/>
        <v>230968.96884614477</v>
      </c>
      <c r="AO158" s="119">
        <f t="shared" si="81"/>
        <v>230968.79994615985</v>
      </c>
      <c r="AP158" s="119">
        <f t="shared" si="81"/>
        <v>230969.19871676274</v>
      </c>
      <c r="AQ158" s="119">
        <f t="shared" si="81"/>
        <v>230969.23077449124</v>
      </c>
    </row>
    <row r="159" spans="1:43">
      <c r="A159" s="138" t="s">
        <v>134</v>
      </c>
      <c r="L159" s="13"/>
      <c r="M159" s="13">
        <f t="shared" si="77"/>
        <v>94327.282999999996</v>
      </c>
      <c r="N159" s="13">
        <f t="shared" si="77"/>
        <v>106869.45299999998</v>
      </c>
      <c r="O159" s="13">
        <f t="shared" si="77"/>
        <v>149645.63299999997</v>
      </c>
      <c r="P159" s="13">
        <f t="shared" si="77"/>
        <v>178422.18299999996</v>
      </c>
      <c r="Q159" s="13">
        <f t="shared" si="77"/>
        <v>156602.73300000001</v>
      </c>
      <c r="R159" s="119">
        <f t="shared" si="82"/>
        <v>188414.03257573154</v>
      </c>
      <c r="S159" s="119">
        <f t="shared" si="78"/>
        <v>183704.41466276324</v>
      </c>
      <c r="T159" s="119">
        <f t="shared" si="79"/>
        <v>178083.65626311366</v>
      </c>
      <c r="U159" s="119">
        <f t="shared" si="80"/>
        <v>177361.21659230019</v>
      </c>
      <c r="V159" s="119">
        <f t="shared" si="80"/>
        <v>181890.83002347715</v>
      </c>
      <c r="W159" s="119">
        <f t="shared" si="80"/>
        <v>180260.02938541354</v>
      </c>
      <c r="X159" s="119">
        <f t="shared" si="80"/>
        <v>179398.93306607613</v>
      </c>
      <c r="Y159" s="119">
        <f t="shared" si="80"/>
        <v>179727.75226681674</v>
      </c>
      <c r="Z159" s="119">
        <f t="shared" si="80"/>
        <v>180319.38618544588</v>
      </c>
      <c r="AA159" s="119">
        <f t="shared" si="80"/>
        <v>179926.52522593806</v>
      </c>
      <c r="AB159" s="119">
        <f t="shared" si="80"/>
        <v>179843.1491860692</v>
      </c>
      <c r="AC159" s="119">
        <f t="shared" si="80"/>
        <v>179954.20321606746</v>
      </c>
      <c r="AD159" s="119">
        <f t="shared" si="80"/>
        <v>180010.81595338014</v>
      </c>
      <c r="AE159" s="119">
        <f t="shared" si="80"/>
        <v>179933.67339536373</v>
      </c>
      <c r="AF159" s="119">
        <f t="shared" si="80"/>
        <v>179935.46043772012</v>
      </c>
      <c r="AG159" s="119">
        <f t="shared" si="80"/>
        <v>179958.53825063288</v>
      </c>
      <c r="AH159" s="119">
        <f t="shared" si="80"/>
        <v>179959.6220092742</v>
      </c>
      <c r="AI159" s="119">
        <f t="shared" si="80"/>
        <v>179946.8235232477</v>
      </c>
      <c r="AJ159" s="119">
        <f t="shared" si="80"/>
        <v>179950.11105521873</v>
      </c>
      <c r="AK159" s="119">
        <f t="shared" si="81"/>
        <v>179953.77370959337</v>
      </c>
      <c r="AL159" s="119">
        <f t="shared" si="81"/>
        <v>179952.5825743335</v>
      </c>
      <c r="AM159" s="119">
        <f t="shared" si="81"/>
        <v>179950.82271559833</v>
      </c>
      <c r="AN159" s="119">
        <f t="shared" si="81"/>
        <v>179951.82251368597</v>
      </c>
      <c r="AO159" s="119">
        <f t="shared" si="81"/>
        <v>179952.25037830279</v>
      </c>
      <c r="AP159" s="119">
        <f t="shared" si="81"/>
        <v>179951.86954548012</v>
      </c>
      <c r="AQ159" s="119">
        <f t="shared" si="81"/>
        <v>179951.6912882668</v>
      </c>
    </row>
    <row r="160" spans="1:43">
      <c r="A160" s="138" t="s">
        <v>135</v>
      </c>
      <c r="L160" s="13"/>
      <c r="M160" s="13">
        <f t="shared" si="77"/>
        <v>101326.842</v>
      </c>
      <c r="N160" s="13">
        <f t="shared" si="77"/>
        <v>105475.00100000002</v>
      </c>
      <c r="O160" s="13">
        <f t="shared" si="77"/>
        <v>140231.65899999999</v>
      </c>
      <c r="P160" s="13">
        <f t="shared" si="77"/>
        <v>286830.55</v>
      </c>
      <c r="Q160" s="13">
        <f t="shared" si="77"/>
        <v>229129.46400000004</v>
      </c>
      <c r="R160" s="119">
        <f t="shared" si="82"/>
        <v>242601.83426595235</v>
      </c>
      <c r="S160" s="119">
        <f t="shared" si="78"/>
        <v>245306.96390109826</v>
      </c>
      <c r="T160" s="119">
        <f t="shared" si="79"/>
        <v>252809.59671387527</v>
      </c>
      <c r="U160" s="119">
        <f t="shared" si="80"/>
        <v>243367.59919747247</v>
      </c>
      <c r="V160" s="119">
        <f t="shared" si="80"/>
        <v>246021.49851959958</v>
      </c>
      <c r="W160" s="119">
        <f t="shared" si="80"/>
        <v>246876.41458301138</v>
      </c>
      <c r="X160" s="119">
        <f t="shared" si="80"/>
        <v>247268.77725348971</v>
      </c>
      <c r="Y160" s="119">
        <f t="shared" si="80"/>
        <v>245883.57238839328</v>
      </c>
      <c r="Z160" s="119">
        <f t="shared" si="80"/>
        <v>246512.5656861235</v>
      </c>
      <c r="AA160" s="119">
        <f t="shared" si="80"/>
        <v>246635.33247775445</v>
      </c>
      <c r="AB160" s="119">
        <f t="shared" si="80"/>
        <v>246575.06195144026</v>
      </c>
      <c r="AC160" s="119">
        <f t="shared" si="80"/>
        <v>246401.63312592788</v>
      </c>
      <c r="AD160" s="119">
        <f t="shared" si="80"/>
        <v>246531.14831031152</v>
      </c>
      <c r="AE160" s="119">
        <f t="shared" si="80"/>
        <v>246535.79396635856</v>
      </c>
      <c r="AF160" s="119">
        <f t="shared" si="80"/>
        <v>246510.90933850955</v>
      </c>
      <c r="AG160" s="119">
        <f t="shared" si="80"/>
        <v>246494.87118527686</v>
      </c>
      <c r="AH160" s="119">
        <f t="shared" si="80"/>
        <v>246518.18070011411</v>
      </c>
      <c r="AI160" s="119">
        <f t="shared" si="80"/>
        <v>246514.93879756477</v>
      </c>
      <c r="AJ160" s="119">
        <f t="shared" si="80"/>
        <v>246509.72500536634</v>
      </c>
      <c r="AK160" s="119">
        <f t="shared" si="81"/>
        <v>246509.42892208055</v>
      </c>
      <c r="AL160" s="119">
        <f t="shared" si="81"/>
        <v>246513.06835628144</v>
      </c>
      <c r="AM160" s="119">
        <f t="shared" si="81"/>
        <v>246511.79027032331</v>
      </c>
      <c r="AN160" s="119">
        <f t="shared" si="81"/>
        <v>246511.0031385129</v>
      </c>
      <c r="AO160" s="119">
        <f t="shared" si="81"/>
        <v>246511.32267179957</v>
      </c>
      <c r="AP160" s="119">
        <f t="shared" si="81"/>
        <v>246511.7961092293</v>
      </c>
      <c r="AQ160" s="119">
        <f t="shared" si="81"/>
        <v>246511.47804746628</v>
      </c>
    </row>
    <row r="161" spans="1:43">
      <c r="A161" s="138" t="s">
        <v>136</v>
      </c>
      <c r="L161" s="13"/>
      <c r="M161" s="13">
        <f t="shared" si="77"/>
        <v>132903.26000000004</v>
      </c>
      <c r="N161" s="13">
        <f t="shared" si="77"/>
        <v>107931.90400000001</v>
      </c>
      <c r="O161" s="13">
        <f t="shared" si="77"/>
        <v>194997.89900000003</v>
      </c>
      <c r="P161" s="13">
        <f t="shared" si="77"/>
        <v>217762.16399999999</v>
      </c>
      <c r="Q161" s="13">
        <f t="shared" si="77"/>
        <v>192797.83100000001</v>
      </c>
      <c r="R161" s="119">
        <f t="shared" si="82"/>
        <v>227256.80357762883</v>
      </c>
      <c r="S161" s="119">
        <f t="shared" si="78"/>
        <v>227299.42228491051</v>
      </c>
      <c r="T161" s="119">
        <f t="shared" si="79"/>
        <v>217866.79719112103</v>
      </c>
      <c r="U161" s="119">
        <f t="shared" si="80"/>
        <v>217113.14831337749</v>
      </c>
      <c r="V161" s="119">
        <f t="shared" si="80"/>
        <v>222384.04284175945</v>
      </c>
      <c r="W161" s="119">
        <f t="shared" si="80"/>
        <v>221165.8526577921</v>
      </c>
      <c r="X161" s="119">
        <f t="shared" si="80"/>
        <v>219632.46025101253</v>
      </c>
      <c r="Y161" s="119">
        <f t="shared" si="80"/>
        <v>220073.87601598538</v>
      </c>
      <c r="Z161" s="119">
        <f t="shared" si="80"/>
        <v>220814.05794163738</v>
      </c>
      <c r="AA161" s="119">
        <f t="shared" si="80"/>
        <v>220421.56171660681</v>
      </c>
      <c r="AB161" s="119">
        <f t="shared" si="80"/>
        <v>220235.48898131054</v>
      </c>
      <c r="AC161" s="119">
        <f t="shared" si="80"/>
        <v>220386.24616388502</v>
      </c>
      <c r="AD161" s="119">
        <f t="shared" si="80"/>
        <v>220464.33870085992</v>
      </c>
      <c r="AE161" s="119">
        <f t="shared" si="80"/>
        <v>220376.90889066554</v>
      </c>
      <c r="AF161" s="119">
        <f t="shared" si="80"/>
        <v>220365.74568418023</v>
      </c>
      <c r="AG161" s="119">
        <f t="shared" si="80"/>
        <v>220398.30985989765</v>
      </c>
      <c r="AH161" s="119">
        <f t="shared" si="80"/>
        <v>220401.32578390086</v>
      </c>
      <c r="AI161" s="119">
        <f t="shared" si="80"/>
        <v>220385.57255466108</v>
      </c>
      <c r="AJ161" s="119">
        <f t="shared" si="80"/>
        <v>220387.73847065997</v>
      </c>
      <c r="AK161" s="119">
        <f t="shared" si="81"/>
        <v>220393.23666727988</v>
      </c>
      <c r="AL161" s="119">
        <f t="shared" si="81"/>
        <v>220391.96836912542</v>
      </c>
      <c r="AM161" s="119">
        <f t="shared" si="81"/>
        <v>220389.62901543154</v>
      </c>
      <c r="AN161" s="119">
        <f t="shared" si="81"/>
        <v>220390.6431306242</v>
      </c>
      <c r="AO161" s="119">
        <f t="shared" si="81"/>
        <v>220391.36929561527</v>
      </c>
      <c r="AP161" s="119">
        <f t="shared" si="81"/>
        <v>220390.90245269908</v>
      </c>
      <c r="AQ161" s="119">
        <f t="shared" si="81"/>
        <v>220390.63597359252</v>
      </c>
    </row>
    <row r="162" spans="1:43">
      <c r="A162" s="138" t="s">
        <v>137</v>
      </c>
      <c r="L162" s="13"/>
      <c r="M162" s="13">
        <f t="shared" si="77"/>
        <v>104442.06</v>
      </c>
      <c r="N162" s="13">
        <f t="shared" si="77"/>
        <v>120520.96099999998</v>
      </c>
      <c r="O162" s="13">
        <f t="shared" si="77"/>
        <v>144408.212</v>
      </c>
      <c r="P162" s="13">
        <f t="shared" si="77"/>
        <v>209727.47699999998</v>
      </c>
      <c r="Q162" s="13">
        <f t="shared" si="77"/>
        <v>253012.77300000002</v>
      </c>
      <c r="R162" s="119">
        <f t="shared" si="82"/>
        <v>231773.21889633729</v>
      </c>
      <c r="S162" s="119">
        <f t="shared" si="78"/>
        <v>228966.19615943939</v>
      </c>
      <c r="T162" s="119">
        <f t="shared" si="79"/>
        <v>232564.77227560829</v>
      </c>
      <c r="U162" s="119">
        <f t="shared" si="80"/>
        <v>237462.90163638402</v>
      </c>
      <c r="V162" s="119">
        <f t="shared" si="80"/>
        <v>232691.77224194224</v>
      </c>
      <c r="W162" s="119">
        <f t="shared" si="80"/>
        <v>232921.41057834346</v>
      </c>
      <c r="X162" s="119">
        <f t="shared" si="80"/>
        <v>233910.2141830695</v>
      </c>
      <c r="Y162" s="119">
        <f t="shared" si="80"/>
        <v>234246.57465993482</v>
      </c>
      <c r="Z162" s="119">
        <f t="shared" si="80"/>
        <v>233442.49291582251</v>
      </c>
      <c r="AA162" s="119">
        <f t="shared" si="80"/>
        <v>233630.17308429259</v>
      </c>
      <c r="AB162" s="119">
        <f t="shared" si="80"/>
        <v>233807.36371077984</v>
      </c>
      <c r="AC162" s="119">
        <f t="shared" si="80"/>
        <v>233781.65109270744</v>
      </c>
      <c r="AD162" s="119">
        <f t="shared" si="80"/>
        <v>233665.42020090058</v>
      </c>
      <c r="AE162" s="119">
        <f t="shared" si="80"/>
        <v>233721.15202217014</v>
      </c>
      <c r="AF162" s="119">
        <f t="shared" si="80"/>
        <v>233743.8967566395</v>
      </c>
      <c r="AG162" s="119">
        <f t="shared" si="80"/>
        <v>233728.03001810441</v>
      </c>
      <c r="AH162" s="119">
        <f t="shared" si="80"/>
        <v>233714.62474945368</v>
      </c>
      <c r="AI162" s="119">
        <f t="shared" si="80"/>
        <v>233726.92588659195</v>
      </c>
      <c r="AJ162" s="119">
        <f t="shared" si="80"/>
        <v>233728.36935269742</v>
      </c>
      <c r="AK162" s="119">
        <f t="shared" si="81"/>
        <v>233724.48750171188</v>
      </c>
      <c r="AL162" s="119">
        <f t="shared" si="81"/>
        <v>233723.60187261371</v>
      </c>
      <c r="AM162" s="119">
        <f t="shared" si="81"/>
        <v>233725.84615340375</v>
      </c>
      <c r="AN162" s="119">
        <f t="shared" si="81"/>
        <v>233725.57622010671</v>
      </c>
      <c r="AO162" s="119">
        <f t="shared" si="81"/>
        <v>233724.877936959</v>
      </c>
      <c r="AP162" s="119">
        <f t="shared" si="81"/>
        <v>233724.97554577081</v>
      </c>
      <c r="AQ162" s="119">
        <f t="shared" si="81"/>
        <v>233725.31896406008</v>
      </c>
    </row>
    <row r="163" spans="1:43">
      <c r="A163" s="138" t="s">
        <v>138</v>
      </c>
      <c r="L163" s="13"/>
      <c r="M163" s="13">
        <f t="shared" si="77"/>
        <v>117899.66299999997</v>
      </c>
      <c r="N163" s="13">
        <f t="shared" si="77"/>
        <v>136764.07900000003</v>
      </c>
      <c r="O163" s="13">
        <f t="shared" si="77"/>
        <v>165436.41100000002</v>
      </c>
      <c r="P163" s="13">
        <f t="shared" si="77"/>
        <v>276099.03899999999</v>
      </c>
      <c r="Q163" s="13">
        <f t="shared" si="77"/>
        <v>221744.90700000001</v>
      </c>
      <c r="R163" s="119">
        <f t="shared" si="82"/>
        <v>254825.70564439503</v>
      </c>
      <c r="S163" s="119">
        <f t="shared" si="78"/>
        <v>250577.92356731647</v>
      </c>
      <c r="T163" s="119">
        <f t="shared" si="79"/>
        <v>252653.14732303901</v>
      </c>
      <c r="U163" s="119">
        <f t="shared" si="80"/>
        <v>245865.35014536761</v>
      </c>
      <c r="V163" s="119">
        <f t="shared" si="80"/>
        <v>250980.53167002951</v>
      </c>
      <c r="W163" s="119">
        <f t="shared" si="80"/>
        <v>250019.23817643811</v>
      </c>
      <c r="X163" s="119">
        <f t="shared" si="80"/>
        <v>249879.56682871855</v>
      </c>
      <c r="Y163" s="119">
        <f t="shared" si="80"/>
        <v>249186.17170513843</v>
      </c>
      <c r="Z163" s="119">
        <f t="shared" si="80"/>
        <v>250016.37709508114</v>
      </c>
      <c r="AA163" s="119">
        <f t="shared" si="80"/>
        <v>249775.33845134405</v>
      </c>
      <c r="AB163" s="119">
        <f t="shared" si="80"/>
        <v>249714.36352007056</v>
      </c>
      <c r="AC163" s="119">
        <f t="shared" si="80"/>
        <v>249673.06269290854</v>
      </c>
      <c r="AD163" s="119">
        <f t="shared" si="80"/>
        <v>249794.78543985111</v>
      </c>
      <c r="AE163" s="119">
        <f t="shared" si="80"/>
        <v>249739.38752604357</v>
      </c>
      <c r="AF163" s="119">
        <f t="shared" si="80"/>
        <v>249730.39979471845</v>
      </c>
      <c r="AG163" s="119">
        <f t="shared" si="80"/>
        <v>249734.40886338043</v>
      </c>
      <c r="AH163" s="119">
        <f t="shared" si="80"/>
        <v>249749.7454059984</v>
      </c>
      <c r="AI163" s="119">
        <f t="shared" si="80"/>
        <v>249738.48539753523</v>
      </c>
      <c r="AJ163" s="119">
        <f t="shared" si="80"/>
        <v>249738.25986540815</v>
      </c>
      <c r="AK163" s="119">
        <f t="shared" si="81"/>
        <v>249740.22488308061</v>
      </c>
      <c r="AL163" s="119">
        <f t="shared" si="81"/>
        <v>249741.67888800558</v>
      </c>
      <c r="AM163" s="119">
        <f t="shared" si="81"/>
        <v>249739.66225850736</v>
      </c>
      <c r="AN163" s="119">
        <f t="shared" si="81"/>
        <v>249739.95647375041</v>
      </c>
      <c r="AO163" s="119">
        <f t="shared" si="81"/>
        <v>249740.380625836</v>
      </c>
      <c r="AP163" s="119">
        <f t="shared" si="81"/>
        <v>249740.41956152485</v>
      </c>
      <c r="AQ163" s="119">
        <f t="shared" si="81"/>
        <v>249740.10472990465</v>
      </c>
    </row>
    <row r="164" spans="1:43">
      <c r="A164" s="138" t="s">
        <v>139</v>
      </c>
      <c r="L164" s="13"/>
      <c r="M164" s="13">
        <f t="shared" si="77"/>
        <v>130012.57000000004</v>
      </c>
      <c r="N164" s="13">
        <f t="shared" si="77"/>
        <v>124177.06599999999</v>
      </c>
      <c r="O164" s="13">
        <f t="shared" si="77"/>
        <v>171711.58800000002</v>
      </c>
      <c r="P164" s="13">
        <f t="shared" si="77"/>
        <v>170998.65</v>
      </c>
      <c r="Q164" s="13">
        <f t="shared" si="77"/>
        <v>206092.54199999996</v>
      </c>
      <c r="R164" s="119">
        <f t="shared" si="82"/>
        <v>214353.79889499815</v>
      </c>
      <c r="S164" s="119">
        <f t="shared" si="78"/>
        <v>208287.68992707733</v>
      </c>
      <c r="T164" s="119">
        <f t="shared" si="79"/>
        <v>201400.91421018372</v>
      </c>
      <c r="U164" s="119">
        <f t="shared" si="80"/>
        <v>208308.9081781753</v>
      </c>
      <c r="V164" s="119">
        <f t="shared" si="80"/>
        <v>208087.82780260863</v>
      </c>
      <c r="W164" s="119">
        <f t="shared" si="80"/>
        <v>206521.33502951125</v>
      </c>
      <c r="X164" s="119">
        <f t="shared" si="80"/>
        <v>206079.74630511971</v>
      </c>
      <c r="Y164" s="119">
        <f t="shared" si="80"/>
        <v>207249.45432885372</v>
      </c>
      <c r="Z164" s="119">
        <f t="shared" si="80"/>
        <v>206984.59086652333</v>
      </c>
      <c r="AA164" s="119">
        <f t="shared" si="80"/>
        <v>206708.78163250201</v>
      </c>
      <c r="AB164" s="119">
        <f t="shared" si="80"/>
        <v>206755.64328324969</v>
      </c>
      <c r="AC164" s="119">
        <f t="shared" si="80"/>
        <v>206924.61752778222</v>
      </c>
      <c r="AD164" s="119">
        <f t="shared" si="80"/>
        <v>206843.40832751431</v>
      </c>
      <c r="AE164" s="119">
        <f t="shared" si="80"/>
        <v>206808.11269276205</v>
      </c>
      <c r="AF164" s="119">
        <f t="shared" si="80"/>
        <v>206832.94545782704</v>
      </c>
      <c r="AG164" s="119">
        <f t="shared" si="80"/>
        <v>206852.27100147141</v>
      </c>
      <c r="AH164" s="119">
        <f t="shared" si="80"/>
        <v>206834.18436989372</v>
      </c>
      <c r="AI164" s="119">
        <f t="shared" si="80"/>
        <v>206831.87838048858</v>
      </c>
      <c r="AJ164" s="119">
        <f t="shared" si="80"/>
        <v>206837.81980242018</v>
      </c>
      <c r="AK164" s="119">
        <f t="shared" si="81"/>
        <v>206839.03838856847</v>
      </c>
      <c r="AL164" s="119">
        <f t="shared" si="81"/>
        <v>206835.73023534272</v>
      </c>
      <c r="AM164" s="119">
        <f t="shared" si="81"/>
        <v>206836.116701705</v>
      </c>
      <c r="AN164" s="119">
        <f t="shared" si="81"/>
        <v>206837.17628200911</v>
      </c>
      <c r="AO164" s="119">
        <f t="shared" si="81"/>
        <v>206837.01540190633</v>
      </c>
      <c r="AP164" s="119">
        <f t="shared" si="81"/>
        <v>206836.50965524084</v>
      </c>
      <c r="AQ164" s="119">
        <f t="shared" si="81"/>
        <v>206836.70451021529</v>
      </c>
    </row>
    <row r="165" spans="1:43">
      <c r="A165" s="138" t="s">
        <v>140</v>
      </c>
      <c r="L165" s="13"/>
      <c r="M165" s="13">
        <f t="shared" si="77"/>
        <v>71900.264999999985</v>
      </c>
      <c r="N165" s="13">
        <f t="shared" si="77"/>
        <v>117425.17699999997</v>
      </c>
      <c r="O165" s="13">
        <f t="shared" si="77"/>
        <v>172011.959</v>
      </c>
      <c r="P165" s="13">
        <f t="shared" si="77"/>
        <v>143121.02399999998</v>
      </c>
      <c r="Q165" s="13">
        <f t="shared" si="77"/>
        <v>212690.18999999997</v>
      </c>
      <c r="R165" s="119">
        <f t="shared" ref="R165:AQ165" si="83">R$134*(SUM(O165:Q165)/SUM(O$134:Q$134))</f>
        <v>153975.79785839701</v>
      </c>
      <c r="S165" s="119">
        <f t="shared" si="83"/>
        <v>142565.29698960655</v>
      </c>
      <c r="T165" s="119">
        <f t="shared" si="83"/>
        <v>144704.86799968354</v>
      </c>
      <c r="U165" s="119">
        <f t="shared" si="83"/>
        <v>134837.7236223254</v>
      </c>
      <c r="V165" s="119">
        <f t="shared" si="83"/>
        <v>132534.72265305385</v>
      </c>
      <c r="W165" s="119">
        <f t="shared" si="83"/>
        <v>130549.10385324959</v>
      </c>
      <c r="X165" s="119">
        <f t="shared" si="83"/>
        <v>126064.45434778965</v>
      </c>
      <c r="Y165" s="119">
        <f t="shared" si="83"/>
        <v>123285.01854296062</v>
      </c>
      <c r="Z165" s="119">
        <f t="shared" si="83"/>
        <v>120354.64470133162</v>
      </c>
      <c r="AA165" s="119">
        <f t="shared" si="83"/>
        <v>117124.96555994821</v>
      </c>
      <c r="AB165" s="119">
        <f t="shared" si="83"/>
        <v>114292.87019888243</v>
      </c>
      <c r="AC165" s="119">
        <f t="shared" si="83"/>
        <v>111444.09190566312</v>
      </c>
      <c r="AD165" s="119">
        <f t="shared" si="83"/>
        <v>108621.16367832785</v>
      </c>
      <c r="AE165" s="119">
        <f t="shared" si="83"/>
        <v>105927.09711233852</v>
      </c>
      <c r="AF165" s="119">
        <f t="shared" si="83"/>
        <v>103276.75907708594</v>
      </c>
      <c r="AG165" s="119">
        <f t="shared" si="83"/>
        <v>100689.28836538771</v>
      </c>
      <c r="AH165" s="119">
        <f t="shared" si="83"/>
        <v>98176.412314926871</v>
      </c>
      <c r="AI165" s="119">
        <f t="shared" si="83"/>
        <v>95720.938743587074</v>
      </c>
      <c r="AJ165" s="119">
        <f t="shared" si="83"/>
        <v>93327.199658120167</v>
      </c>
      <c r="AK165" s="119">
        <f t="shared" si="83"/>
        <v>90994.836167272049</v>
      </c>
      <c r="AL165" s="119">
        <f t="shared" si="83"/>
        <v>88719.660374157669</v>
      </c>
      <c r="AM165" s="119">
        <f t="shared" si="83"/>
        <v>86501.604234464321</v>
      </c>
      <c r="AN165" s="119">
        <f t="shared" si="83"/>
        <v>84339.205735554671</v>
      </c>
      <c r="AO165" s="119">
        <f t="shared" si="83"/>
        <v>82230.653387877683</v>
      </c>
      <c r="AP165" s="119">
        <f t="shared" si="83"/>
        <v>80174.888565087953</v>
      </c>
      <c r="AQ165" s="119">
        <f t="shared" si="83"/>
        <v>78170.538817214998</v>
      </c>
    </row>
    <row r="166" spans="1:43" ht="12" thickBot="1">
      <c r="A166" s="138" t="s">
        <v>141</v>
      </c>
      <c r="L166" s="13"/>
      <c r="M166" s="13">
        <f>SUM(M154:M165)</f>
        <v>1128186.9839999999</v>
      </c>
      <c r="N166" s="13">
        <f>SUM(N154:N165)</f>
        <v>1189051.9369999999</v>
      </c>
      <c r="O166" s="13">
        <f>SUM(O154:O165)</f>
        <v>1732762.5009999999</v>
      </c>
      <c r="P166" s="13">
        <f>SUM(P154:P165)</f>
        <v>2464335.8849999998</v>
      </c>
      <c r="Q166" s="13">
        <f>SUM(Q154:Q165)</f>
        <v>2462787.3849999998</v>
      </c>
      <c r="R166" s="119">
        <v>2500000</v>
      </c>
      <c r="S166" s="119">
        <v>2500000</v>
      </c>
      <c r="T166" s="119">
        <v>2500000</v>
      </c>
      <c r="U166" s="119">
        <v>2500000</v>
      </c>
      <c r="V166" s="119">
        <v>2500000</v>
      </c>
      <c r="W166" s="119">
        <v>2500000</v>
      </c>
      <c r="X166" s="119">
        <v>2500000</v>
      </c>
      <c r="Y166" s="119">
        <v>2500000</v>
      </c>
      <c r="Z166" s="119">
        <v>2500000</v>
      </c>
      <c r="AA166" s="119">
        <v>2500000</v>
      </c>
      <c r="AB166" s="119">
        <v>2500000</v>
      </c>
      <c r="AC166" s="119">
        <v>2500000</v>
      </c>
      <c r="AD166" s="119">
        <v>2500000</v>
      </c>
      <c r="AE166" s="119">
        <v>2500000</v>
      </c>
      <c r="AF166" s="119">
        <v>2500000</v>
      </c>
      <c r="AG166" s="119">
        <v>2500000</v>
      </c>
      <c r="AH166" s="119">
        <v>2500000</v>
      </c>
      <c r="AI166" s="119">
        <v>2500000</v>
      </c>
      <c r="AJ166" s="119">
        <v>2500000</v>
      </c>
      <c r="AK166" s="119">
        <v>2500000</v>
      </c>
      <c r="AL166" s="119">
        <v>2500000</v>
      </c>
      <c r="AM166" s="119">
        <v>2500000</v>
      </c>
      <c r="AN166" s="119">
        <v>2500000</v>
      </c>
      <c r="AO166" s="119">
        <v>2500000</v>
      </c>
      <c r="AP166" s="119">
        <v>2500000</v>
      </c>
      <c r="AQ166" s="119">
        <v>2500000</v>
      </c>
    </row>
    <row r="167" spans="1:43">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141"/>
      <c r="AH167" s="141"/>
      <c r="AI167" s="141"/>
      <c r="AJ167" s="141"/>
      <c r="AK167" s="141"/>
      <c r="AL167" s="141"/>
      <c r="AM167" s="141"/>
      <c r="AN167" s="141"/>
      <c r="AO167" s="141"/>
      <c r="AP167" s="141"/>
      <c r="AQ167" s="14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8D07-485D-4013-B44E-A39331CF6713}">
  <dimension ref="A1:AO510"/>
  <sheetViews>
    <sheetView workbookViewId="0">
      <pane xSplit="1" ySplit="6" topLeftCell="AA129" activePane="bottomRight" state="frozen"/>
      <selection activeCell="A7" sqref="A7"/>
      <selection pane="topRight" activeCell="A7" sqref="A7"/>
      <selection pane="bottomLeft" activeCell="A7" sqref="A7"/>
      <selection pane="bottomRight" activeCell="A7" sqref="A7"/>
    </sheetView>
  </sheetViews>
  <sheetFormatPr defaultRowHeight="12.75"/>
  <cols>
    <col min="2" max="16" width="12.5" style="148" customWidth="1"/>
    <col min="17" max="17" width="9.33203125" style="148"/>
    <col min="18" max="20" width="12.5" style="148" customWidth="1"/>
    <col min="21" max="21" width="9.33203125" style="148"/>
    <col min="22" max="25" width="11.6640625" style="149" customWidth="1"/>
    <col min="27" max="29" width="11.6640625" customWidth="1"/>
    <col min="31" max="34" width="12.5" customWidth="1"/>
    <col min="35" max="37" width="12.5" style="164" customWidth="1"/>
  </cols>
  <sheetData>
    <row r="1" spans="1:41">
      <c r="B1" s="147" t="s">
        <v>159</v>
      </c>
      <c r="C1" s="147" t="s">
        <v>160</v>
      </c>
      <c r="D1" s="147" t="s">
        <v>161</v>
      </c>
      <c r="E1" s="147" t="s">
        <v>161</v>
      </c>
      <c r="F1" s="147" t="s">
        <v>161</v>
      </c>
      <c r="G1" s="147" t="s">
        <v>161</v>
      </c>
      <c r="H1" s="147" t="s">
        <v>162</v>
      </c>
      <c r="I1" s="147" t="s">
        <v>162</v>
      </c>
      <c r="J1" s="147" t="s">
        <v>163</v>
      </c>
      <c r="K1" s="147" t="s">
        <v>164</v>
      </c>
      <c r="L1" s="147" t="s">
        <v>165</v>
      </c>
      <c r="M1" s="147" t="s">
        <v>166</v>
      </c>
      <c r="N1" s="147" t="s">
        <v>167</v>
      </c>
      <c r="O1" s="147" t="s">
        <v>168</v>
      </c>
      <c r="P1" s="147" t="s">
        <v>169</v>
      </c>
      <c r="AI1"/>
      <c r="AJ1"/>
      <c r="AK1"/>
    </row>
    <row r="2" spans="1:41">
      <c r="B2" s="147"/>
      <c r="C2" s="147"/>
      <c r="D2" s="147"/>
      <c r="E2" s="147"/>
      <c r="F2" s="147"/>
      <c r="G2" s="147"/>
      <c r="H2" s="147"/>
      <c r="I2" s="147"/>
      <c r="J2" s="147"/>
      <c r="K2" s="147"/>
      <c r="L2" s="147"/>
      <c r="M2" s="147"/>
      <c r="N2" s="147"/>
      <c r="O2" s="147"/>
      <c r="P2" s="147"/>
      <c r="R2" s="147" t="s">
        <v>170</v>
      </c>
      <c r="S2" s="147" t="s">
        <v>170</v>
      </c>
      <c r="T2" s="147" t="s">
        <v>171</v>
      </c>
      <c r="AI2"/>
      <c r="AJ2"/>
      <c r="AK2"/>
    </row>
    <row r="3" spans="1:41">
      <c r="B3" s="149" t="s">
        <v>172</v>
      </c>
      <c r="C3" s="149" t="s">
        <v>173</v>
      </c>
      <c r="D3" s="149" t="s">
        <v>174</v>
      </c>
      <c r="E3" s="149" t="s">
        <v>175</v>
      </c>
      <c r="F3" s="149" t="s">
        <v>176</v>
      </c>
      <c r="G3" s="149" t="s">
        <v>177</v>
      </c>
      <c r="H3" s="149" t="s">
        <v>178</v>
      </c>
      <c r="I3" s="149" t="s">
        <v>179</v>
      </c>
      <c r="J3" s="149" t="s">
        <v>180</v>
      </c>
      <c r="K3" s="149" t="s">
        <v>180</v>
      </c>
      <c r="L3" s="149" t="s">
        <v>172</v>
      </c>
      <c r="M3" s="149" t="s">
        <v>173</v>
      </c>
      <c r="N3" s="149" t="s">
        <v>172</v>
      </c>
      <c r="O3" s="149" t="s">
        <v>181</v>
      </c>
      <c r="P3" s="147"/>
      <c r="R3" s="147"/>
      <c r="S3" s="147"/>
      <c r="T3" s="147"/>
      <c r="AI3"/>
      <c r="AJ3"/>
      <c r="AK3"/>
    </row>
    <row r="4" spans="1:41" ht="12.75" customHeight="1">
      <c r="B4" s="149">
        <v>40</v>
      </c>
      <c r="C4" s="149">
        <v>10</v>
      </c>
      <c r="D4" s="149">
        <v>56</v>
      </c>
      <c r="E4" s="149">
        <v>70</v>
      </c>
      <c r="F4" s="149">
        <v>9</v>
      </c>
      <c r="G4" s="149">
        <v>50</v>
      </c>
      <c r="H4" s="149">
        <v>39</v>
      </c>
      <c r="I4" s="149">
        <v>39</v>
      </c>
      <c r="J4" s="149">
        <v>100</v>
      </c>
      <c r="K4" s="149">
        <v>26</v>
      </c>
      <c r="L4" s="149">
        <v>7</v>
      </c>
      <c r="M4" s="149">
        <v>12</v>
      </c>
      <c r="N4" s="149">
        <v>10</v>
      </c>
      <c r="O4" s="149">
        <v>105</v>
      </c>
      <c r="P4" s="149"/>
      <c r="R4" s="148" t="s">
        <v>182</v>
      </c>
      <c r="S4" s="150" t="s">
        <v>183</v>
      </c>
      <c r="T4" s="150"/>
      <c r="AE4" s="151" t="s">
        <v>184</v>
      </c>
      <c r="AF4" s="151" t="s">
        <v>185</v>
      </c>
      <c r="AG4" s="151" t="s">
        <v>186</v>
      </c>
      <c r="AH4" s="151" t="s">
        <v>186</v>
      </c>
      <c r="AI4" s="151" t="s">
        <v>184</v>
      </c>
      <c r="AJ4" s="151" t="s">
        <v>187</v>
      </c>
      <c r="AK4" s="151" t="s">
        <v>188</v>
      </c>
      <c r="AL4" s="151" t="s">
        <v>189</v>
      </c>
      <c r="AM4" s="152" t="s">
        <v>190</v>
      </c>
      <c r="AN4" s="151" t="s">
        <v>191</v>
      </c>
      <c r="AO4" s="151" t="s">
        <v>192</v>
      </c>
    </row>
    <row r="5" spans="1:41" ht="26.25" customHeight="1">
      <c r="B5" s="149" t="s">
        <v>193</v>
      </c>
      <c r="C5" s="149" t="s">
        <v>194</v>
      </c>
      <c r="D5" s="149" t="s">
        <v>195</v>
      </c>
      <c r="E5" s="149" t="s">
        <v>195</v>
      </c>
      <c r="F5" s="149" t="s">
        <v>195</v>
      </c>
      <c r="G5" s="149" t="s">
        <v>195</v>
      </c>
      <c r="H5" s="149" t="s">
        <v>193</v>
      </c>
      <c r="I5" s="149" t="s">
        <v>195</v>
      </c>
      <c r="J5" s="149" t="s">
        <v>195</v>
      </c>
      <c r="K5" s="149" t="s">
        <v>195</v>
      </c>
      <c r="L5" s="149" t="s">
        <v>193</v>
      </c>
      <c r="M5" s="149" t="s">
        <v>193</v>
      </c>
      <c r="N5" s="149" t="s">
        <v>193</v>
      </c>
      <c r="O5" s="149" t="s">
        <v>195</v>
      </c>
      <c r="P5" s="149"/>
      <c r="R5" s="147" t="s">
        <v>196</v>
      </c>
      <c r="S5" s="150"/>
      <c r="T5" s="150"/>
      <c r="V5" s="149" t="s">
        <v>195</v>
      </c>
      <c r="W5" s="149" t="s">
        <v>193</v>
      </c>
      <c r="X5" s="149" t="s">
        <v>194</v>
      </c>
      <c r="Y5" s="149" t="s">
        <v>197</v>
      </c>
      <c r="AA5" s="153" t="s">
        <v>195</v>
      </c>
      <c r="AB5" s="153" t="s">
        <v>193</v>
      </c>
      <c r="AC5" s="153" t="s">
        <v>194</v>
      </c>
      <c r="AE5" s="151"/>
      <c r="AF5" s="151"/>
      <c r="AG5" s="151"/>
      <c r="AH5" s="151"/>
      <c r="AI5" s="151"/>
      <c r="AJ5" s="151"/>
      <c r="AK5" s="151"/>
      <c r="AL5" s="151"/>
      <c r="AM5" s="152"/>
      <c r="AN5" s="151"/>
      <c r="AO5" s="151"/>
    </row>
    <row r="6" spans="1:41">
      <c r="R6" s="147"/>
      <c r="AE6" s="153" t="s">
        <v>198</v>
      </c>
      <c r="AF6" s="153" t="s">
        <v>198</v>
      </c>
      <c r="AG6" s="153" t="s">
        <v>198</v>
      </c>
      <c r="AH6" s="153" t="s">
        <v>199</v>
      </c>
      <c r="AI6" s="153" t="s">
        <v>200</v>
      </c>
      <c r="AJ6" s="153" t="s">
        <v>201</v>
      </c>
      <c r="AK6" s="153" t="s">
        <v>200</v>
      </c>
      <c r="AL6" s="154">
        <v>0.1</v>
      </c>
      <c r="AM6" s="155">
        <v>0.95</v>
      </c>
      <c r="AN6" s="153" t="s">
        <v>198</v>
      </c>
    </row>
    <row r="7" spans="1:41">
      <c r="A7" s="156">
        <f>'BD Plant List'!A6</f>
        <v>39814</v>
      </c>
      <c r="AI7"/>
      <c r="AJ7"/>
      <c r="AK7"/>
    </row>
    <row r="8" spans="1:41">
      <c r="A8" s="156">
        <f>'BD Plant List'!A7</f>
        <v>39845</v>
      </c>
      <c r="AI8"/>
      <c r="AJ8"/>
      <c r="AK8"/>
    </row>
    <row r="9" spans="1:41">
      <c r="A9" s="156">
        <f>'BD Plant List'!A8</f>
        <v>39873</v>
      </c>
      <c r="AI9"/>
      <c r="AJ9"/>
      <c r="AK9"/>
    </row>
    <row r="10" spans="1:41">
      <c r="A10" s="156">
        <f>'BD Plant List'!A9</f>
        <v>39904</v>
      </c>
      <c r="AI10"/>
      <c r="AJ10"/>
      <c r="AK10"/>
    </row>
    <row r="11" spans="1:41">
      <c r="A11" s="156">
        <f>'BD Plant List'!A10</f>
        <v>39934</v>
      </c>
      <c r="AI11"/>
      <c r="AJ11"/>
      <c r="AK11"/>
    </row>
    <row r="12" spans="1:41">
      <c r="A12" s="156">
        <f>'BD Plant List'!A11</f>
        <v>39965</v>
      </c>
      <c r="AI12"/>
      <c r="AJ12"/>
      <c r="AK12"/>
    </row>
    <row r="13" spans="1:41">
      <c r="A13" s="156">
        <f>'BD Plant List'!A12</f>
        <v>39995</v>
      </c>
      <c r="AI13"/>
      <c r="AJ13"/>
      <c r="AK13"/>
    </row>
    <row r="14" spans="1:41">
      <c r="A14" s="156">
        <f>'BD Plant List'!A13</f>
        <v>40026</v>
      </c>
      <c r="AI14"/>
      <c r="AJ14"/>
      <c r="AK14"/>
    </row>
    <row r="15" spans="1:41">
      <c r="A15" s="156">
        <f>'BD Plant List'!A14</f>
        <v>40057</v>
      </c>
      <c r="AI15"/>
      <c r="AJ15"/>
      <c r="AK15"/>
    </row>
    <row r="16" spans="1:41">
      <c r="A16" s="156">
        <f>'BD Plant List'!A15</f>
        <v>40087</v>
      </c>
      <c r="AI16"/>
      <c r="AJ16"/>
      <c r="AK16"/>
    </row>
    <row r="17" spans="1:25" customFormat="1">
      <c r="A17" s="156">
        <f>'BD Plant List'!A16</f>
        <v>40118</v>
      </c>
      <c r="B17" s="148"/>
      <c r="C17" s="148"/>
      <c r="D17" s="148"/>
      <c r="E17" s="148"/>
      <c r="F17" s="148"/>
      <c r="G17" s="148"/>
      <c r="H17" s="148"/>
      <c r="I17" s="148"/>
      <c r="J17" s="148"/>
      <c r="K17" s="148"/>
      <c r="L17" s="148"/>
      <c r="M17" s="148"/>
      <c r="N17" s="148"/>
      <c r="O17" s="148"/>
      <c r="P17" s="148"/>
      <c r="Q17" s="148"/>
      <c r="R17" s="148"/>
      <c r="S17" s="148"/>
      <c r="T17" s="148"/>
      <c r="U17" s="148"/>
      <c r="V17" s="149"/>
      <c r="W17" s="149"/>
      <c r="X17" s="149"/>
      <c r="Y17" s="149"/>
    </row>
    <row r="18" spans="1:25" customFormat="1">
      <c r="A18" s="156">
        <f>'BD Plant List'!A17</f>
        <v>40148</v>
      </c>
      <c r="B18" s="148"/>
      <c r="C18" s="148"/>
      <c r="D18" s="148"/>
      <c r="E18" s="148"/>
      <c r="F18" s="148"/>
      <c r="G18" s="148"/>
      <c r="H18" s="148"/>
      <c r="I18" s="148"/>
      <c r="J18" s="148"/>
      <c r="K18" s="148"/>
      <c r="L18" s="148"/>
      <c r="M18" s="148"/>
      <c r="N18" s="148"/>
      <c r="O18" s="148"/>
      <c r="P18" s="148"/>
      <c r="Q18" s="148"/>
      <c r="R18" s="148"/>
      <c r="S18" s="148"/>
      <c r="T18" s="148"/>
      <c r="U18" s="148"/>
      <c r="V18" s="149"/>
      <c r="W18" s="149"/>
      <c r="X18" s="149"/>
      <c r="Y18" s="149"/>
    </row>
    <row r="19" spans="1:25" customFormat="1">
      <c r="A19" s="156">
        <f>'BD Plant List'!A18</f>
        <v>40179</v>
      </c>
      <c r="B19" s="148"/>
      <c r="C19" s="148"/>
      <c r="D19" s="148"/>
      <c r="E19" s="148"/>
      <c r="F19" s="148"/>
      <c r="G19" s="148"/>
      <c r="H19" s="148"/>
      <c r="I19" s="148"/>
      <c r="J19" s="148"/>
      <c r="K19" s="148"/>
      <c r="L19" s="148"/>
      <c r="M19" s="148"/>
      <c r="N19" s="148"/>
      <c r="O19" s="148"/>
      <c r="P19" s="148"/>
      <c r="Q19" s="148"/>
      <c r="R19" s="148"/>
      <c r="S19" s="148"/>
      <c r="T19" s="148"/>
      <c r="U19" s="148"/>
      <c r="V19" s="149"/>
      <c r="W19" s="149"/>
      <c r="X19" s="149"/>
      <c r="Y19" s="149"/>
    </row>
    <row r="20" spans="1:25" customFormat="1">
      <c r="A20" s="156">
        <f>'BD Plant List'!A19</f>
        <v>40210</v>
      </c>
      <c r="B20" s="148"/>
      <c r="C20" s="148"/>
      <c r="D20" s="148"/>
      <c r="E20" s="148"/>
      <c r="F20" s="148"/>
      <c r="G20" s="148"/>
      <c r="H20" s="148"/>
      <c r="I20" s="148"/>
      <c r="J20" s="148"/>
      <c r="K20" s="148"/>
      <c r="L20" s="148"/>
      <c r="M20" s="148"/>
      <c r="N20" s="148"/>
      <c r="O20" s="148"/>
      <c r="P20" s="148"/>
      <c r="Q20" s="148"/>
      <c r="R20" s="148"/>
      <c r="S20" s="148"/>
      <c r="T20" s="148"/>
      <c r="U20" s="148"/>
      <c r="V20" s="149"/>
      <c r="W20" s="149"/>
      <c r="X20" s="149"/>
      <c r="Y20" s="149"/>
    </row>
    <row r="21" spans="1:25" customFormat="1">
      <c r="A21" s="156">
        <f>'BD Plant List'!A20</f>
        <v>40238</v>
      </c>
      <c r="B21" s="148"/>
      <c r="C21" s="148"/>
      <c r="D21" s="148"/>
      <c r="E21" s="148"/>
      <c r="F21" s="148"/>
      <c r="G21" s="148"/>
      <c r="H21" s="148"/>
      <c r="I21" s="148"/>
      <c r="J21" s="148"/>
      <c r="K21" s="148"/>
      <c r="L21" s="148"/>
      <c r="M21" s="148"/>
      <c r="N21" s="148"/>
      <c r="O21" s="148"/>
      <c r="P21" s="148"/>
      <c r="Q21" s="148"/>
      <c r="R21" s="148"/>
      <c r="S21" s="148"/>
      <c r="T21" s="148"/>
      <c r="U21" s="148"/>
      <c r="V21" s="149"/>
      <c r="W21" s="149"/>
      <c r="X21" s="149"/>
      <c r="Y21" s="149"/>
    </row>
    <row r="22" spans="1:25" customFormat="1">
      <c r="A22" s="156">
        <f>'BD Plant List'!A21</f>
        <v>40269</v>
      </c>
      <c r="B22" s="148"/>
      <c r="C22" s="148"/>
      <c r="D22" s="148"/>
      <c r="E22" s="148"/>
      <c r="F22" s="148"/>
      <c r="G22" s="148"/>
      <c r="H22" s="148"/>
      <c r="I22" s="148"/>
      <c r="J22" s="148"/>
      <c r="K22" s="148"/>
      <c r="L22" s="148"/>
      <c r="M22" s="148"/>
      <c r="N22" s="148"/>
      <c r="O22" s="148"/>
      <c r="P22" s="148"/>
      <c r="Q22" s="148"/>
      <c r="R22" s="148"/>
      <c r="S22" s="148"/>
      <c r="T22" s="148"/>
      <c r="U22" s="148"/>
      <c r="V22" s="149"/>
      <c r="W22" s="149"/>
      <c r="X22" s="149"/>
      <c r="Y22" s="149"/>
    </row>
    <row r="23" spans="1:25" customFormat="1">
      <c r="A23" s="156">
        <f>'BD Plant List'!A22</f>
        <v>40299</v>
      </c>
      <c r="B23" s="148"/>
      <c r="C23" s="148"/>
      <c r="D23" s="148"/>
      <c r="E23" s="148"/>
      <c r="F23" s="148"/>
      <c r="G23" s="148"/>
      <c r="H23" s="148"/>
      <c r="I23" s="148"/>
      <c r="J23" s="148"/>
      <c r="K23" s="148"/>
      <c r="L23" s="148"/>
      <c r="M23" s="148"/>
      <c r="N23" s="148"/>
      <c r="O23" s="148"/>
      <c r="P23" s="148"/>
      <c r="Q23" s="148"/>
      <c r="R23" s="148"/>
      <c r="S23" s="148"/>
      <c r="T23" s="148"/>
      <c r="U23" s="148"/>
      <c r="V23" s="149"/>
      <c r="W23" s="149"/>
      <c r="X23" s="149"/>
      <c r="Y23" s="149"/>
    </row>
    <row r="24" spans="1:25" customFormat="1">
      <c r="A24" s="156">
        <f>'BD Plant List'!A23</f>
        <v>40330</v>
      </c>
      <c r="B24" s="148"/>
      <c r="C24" s="148"/>
      <c r="D24" s="148"/>
      <c r="E24" s="148"/>
      <c r="F24" s="148"/>
      <c r="G24" s="148"/>
      <c r="H24" s="148"/>
      <c r="I24" s="148"/>
      <c r="J24" s="148"/>
      <c r="K24" s="148"/>
      <c r="L24" s="148"/>
      <c r="M24" s="148"/>
      <c r="N24" s="148"/>
      <c r="O24" s="148"/>
      <c r="P24" s="148"/>
      <c r="Q24" s="148"/>
      <c r="R24" s="148"/>
      <c r="S24" s="148"/>
      <c r="T24" s="148"/>
      <c r="U24" s="148"/>
      <c r="V24" s="149"/>
      <c r="W24" s="149"/>
      <c r="X24" s="149"/>
      <c r="Y24" s="149"/>
    </row>
    <row r="25" spans="1:25" customFormat="1">
      <c r="A25" s="156">
        <f>'BD Plant List'!A24</f>
        <v>40360</v>
      </c>
      <c r="B25" s="148"/>
      <c r="C25" s="148"/>
      <c r="D25" s="148"/>
      <c r="E25" s="148"/>
      <c r="F25" s="148"/>
      <c r="G25" s="148"/>
      <c r="H25" s="148"/>
      <c r="I25" s="148"/>
      <c r="J25" s="148"/>
      <c r="K25" s="148"/>
      <c r="L25" s="148"/>
      <c r="M25" s="148"/>
      <c r="N25" s="148"/>
      <c r="O25" s="148"/>
      <c r="P25" s="148"/>
      <c r="Q25" s="148"/>
      <c r="R25" s="148"/>
      <c r="S25" s="148"/>
      <c r="T25" s="148"/>
      <c r="U25" s="148"/>
      <c r="V25" s="149"/>
      <c r="W25" s="149"/>
      <c r="X25" s="149"/>
      <c r="Y25" s="149"/>
    </row>
    <row r="26" spans="1:25" customFormat="1">
      <c r="A26" s="156">
        <f>'BD Plant List'!A25</f>
        <v>40391</v>
      </c>
      <c r="B26" s="148"/>
      <c r="C26" s="148"/>
      <c r="D26" s="148"/>
      <c r="E26" s="148"/>
      <c r="F26" s="148"/>
      <c r="G26" s="148"/>
      <c r="H26" s="148"/>
      <c r="I26" s="148"/>
      <c r="J26" s="148"/>
      <c r="K26" s="148"/>
      <c r="L26" s="148"/>
      <c r="M26" s="148"/>
      <c r="N26" s="148"/>
      <c r="O26" s="148"/>
      <c r="P26" s="148"/>
      <c r="Q26" s="148"/>
      <c r="R26" s="148"/>
      <c r="S26" s="148"/>
      <c r="T26" s="148"/>
      <c r="U26" s="148"/>
      <c r="V26" s="149"/>
      <c r="W26" s="149"/>
      <c r="X26" s="149"/>
      <c r="Y26" s="149"/>
    </row>
    <row r="27" spans="1:25" customFormat="1">
      <c r="A27" s="156">
        <f>'BD Plant List'!A26</f>
        <v>40422</v>
      </c>
      <c r="B27" s="148"/>
      <c r="C27" s="148"/>
      <c r="D27" s="148"/>
      <c r="E27" s="148"/>
      <c r="F27" s="148"/>
      <c r="G27" s="148"/>
      <c r="H27" s="148"/>
      <c r="I27" s="148"/>
      <c r="J27" s="148"/>
      <c r="K27" s="148"/>
      <c r="L27" s="148"/>
      <c r="M27" s="148"/>
      <c r="N27" s="148"/>
      <c r="O27" s="148"/>
      <c r="P27" s="148"/>
      <c r="Q27" s="148"/>
      <c r="R27" s="148"/>
      <c r="S27" s="148"/>
      <c r="T27" s="148"/>
      <c r="U27" s="148"/>
      <c r="V27" s="149"/>
      <c r="W27" s="149"/>
      <c r="X27" s="149"/>
      <c r="Y27" s="149"/>
    </row>
    <row r="28" spans="1:25" customFormat="1">
      <c r="A28" s="156">
        <f>'BD Plant List'!A27</f>
        <v>40452</v>
      </c>
      <c r="B28" s="148"/>
      <c r="C28" s="148"/>
      <c r="D28" s="148"/>
      <c r="E28" s="148"/>
      <c r="F28" s="148"/>
      <c r="G28" s="148"/>
      <c r="H28" s="148"/>
      <c r="I28" s="148"/>
      <c r="J28" s="148"/>
      <c r="K28" s="148"/>
      <c r="L28" s="148"/>
      <c r="M28" s="148"/>
      <c r="N28" s="148"/>
      <c r="O28" s="148"/>
      <c r="P28" s="148"/>
      <c r="Q28" s="148"/>
      <c r="R28" s="148"/>
      <c r="S28" s="148"/>
      <c r="T28" s="148"/>
      <c r="U28" s="148"/>
      <c r="V28" s="149"/>
      <c r="W28" s="149"/>
      <c r="X28" s="149"/>
      <c r="Y28" s="149"/>
    </row>
    <row r="29" spans="1:25" customFormat="1">
      <c r="A29" s="156">
        <f>'BD Plant List'!A28</f>
        <v>40483</v>
      </c>
      <c r="B29" s="148"/>
      <c r="C29" s="148"/>
      <c r="D29" s="148"/>
      <c r="E29" s="148"/>
      <c r="F29" s="148"/>
      <c r="G29" s="148"/>
      <c r="H29" s="148"/>
      <c r="I29" s="148"/>
      <c r="J29" s="148"/>
      <c r="K29" s="148"/>
      <c r="L29" s="148"/>
      <c r="M29" s="148"/>
      <c r="N29" s="148"/>
      <c r="O29" s="148"/>
      <c r="P29" s="148"/>
      <c r="Q29" s="148"/>
      <c r="R29" s="148"/>
      <c r="S29" s="148"/>
      <c r="T29" s="148"/>
      <c r="U29" s="148"/>
      <c r="V29" s="149"/>
      <c r="W29" s="149"/>
      <c r="X29" s="149"/>
      <c r="Y29" s="149"/>
    </row>
    <row r="30" spans="1:25" customFormat="1">
      <c r="A30" s="156">
        <f>'BD Plant List'!A29</f>
        <v>40513</v>
      </c>
      <c r="B30" s="148"/>
      <c r="C30" s="148"/>
      <c r="D30" s="148"/>
      <c r="E30" s="148"/>
      <c r="F30" s="148"/>
      <c r="G30" s="148"/>
      <c r="H30" s="148"/>
      <c r="I30" s="148"/>
      <c r="J30" s="148"/>
      <c r="K30" s="148"/>
      <c r="L30" s="148"/>
      <c r="M30" s="148"/>
      <c r="N30" s="148"/>
      <c r="O30" s="148"/>
      <c r="P30" s="148"/>
      <c r="Q30" s="148"/>
      <c r="R30" s="148"/>
      <c r="S30" s="148"/>
      <c r="T30" s="148"/>
      <c r="U30" s="148"/>
      <c r="V30" s="149"/>
      <c r="W30" s="149"/>
      <c r="X30" s="149"/>
      <c r="Y30" s="149"/>
    </row>
    <row r="31" spans="1:25" customFormat="1">
      <c r="A31" s="156">
        <f>'BD Plant List'!A30</f>
        <v>40544</v>
      </c>
      <c r="B31" s="148"/>
      <c r="C31" s="148"/>
      <c r="D31" s="148"/>
      <c r="E31" s="148"/>
      <c r="F31" s="148"/>
      <c r="G31" s="148"/>
      <c r="H31" s="148"/>
      <c r="I31" s="148"/>
      <c r="J31" s="148"/>
      <c r="K31" s="148"/>
      <c r="L31" s="148"/>
      <c r="M31" s="148"/>
      <c r="N31" s="148"/>
      <c r="O31" s="148"/>
      <c r="P31" s="148"/>
      <c r="Q31" s="148"/>
      <c r="R31" s="148"/>
      <c r="S31" s="148"/>
      <c r="T31" s="148"/>
      <c r="U31" s="148"/>
      <c r="V31" s="149"/>
      <c r="W31" s="149"/>
      <c r="X31" s="149"/>
      <c r="Y31" s="149"/>
    </row>
    <row r="32" spans="1:25" customFormat="1">
      <c r="A32" s="156">
        <f>'BD Plant List'!A31</f>
        <v>40575</v>
      </c>
      <c r="B32" s="148"/>
      <c r="C32" s="148"/>
      <c r="D32" s="148"/>
      <c r="E32" s="148"/>
      <c r="F32" s="148"/>
      <c r="G32" s="148"/>
      <c r="H32" s="148"/>
      <c r="I32" s="148"/>
      <c r="J32" s="148"/>
      <c r="K32" s="148"/>
      <c r="L32" s="148"/>
      <c r="M32" s="148"/>
      <c r="N32" s="148"/>
      <c r="O32" s="148"/>
      <c r="P32" s="148"/>
      <c r="Q32" s="148"/>
      <c r="R32" s="148"/>
      <c r="S32" s="148"/>
      <c r="T32" s="148"/>
      <c r="U32" s="148"/>
      <c r="V32" s="149"/>
      <c r="W32" s="149"/>
      <c r="X32" s="149"/>
      <c r="Y32" s="149"/>
    </row>
    <row r="33" spans="1:25" customFormat="1">
      <c r="A33" s="156">
        <f>'BD Plant List'!A32</f>
        <v>40603</v>
      </c>
      <c r="B33" s="148"/>
      <c r="C33" s="148"/>
      <c r="D33" s="148"/>
      <c r="E33" s="148"/>
      <c r="F33" s="148"/>
      <c r="G33" s="148"/>
      <c r="H33" s="148"/>
      <c r="I33" s="148"/>
      <c r="J33" s="148"/>
      <c r="K33" s="148"/>
      <c r="L33" s="148"/>
      <c r="M33" s="148"/>
      <c r="N33" s="148"/>
      <c r="O33" s="148"/>
      <c r="P33" s="148"/>
      <c r="Q33" s="148"/>
      <c r="R33" s="148"/>
      <c r="S33" s="148"/>
      <c r="T33" s="148"/>
      <c r="U33" s="148"/>
      <c r="V33" s="149"/>
      <c r="W33" s="149"/>
      <c r="X33" s="149"/>
      <c r="Y33" s="149"/>
    </row>
    <row r="34" spans="1:25" customFormat="1">
      <c r="A34" s="156">
        <f>'BD Plant List'!A33</f>
        <v>40634</v>
      </c>
      <c r="B34" s="148"/>
      <c r="C34" s="148"/>
      <c r="D34" s="148"/>
      <c r="E34" s="148"/>
      <c r="F34" s="148"/>
      <c r="G34" s="148"/>
      <c r="H34" s="148"/>
      <c r="I34" s="148"/>
      <c r="J34" s="148"/>
      <c r="K34" s="148"/>
      <c r="L34" s="148"/>
      <c r="M34" s="148"/>
      <c r="N34" s="148"/>
      <c r="O34" s="148"/>
      <c r="P34" s="148"/>
      <c r="Q34" s="148"/>
      <c r="R34" s="148"/>
      <c r="S34" s="148"/>
      <c r="T34" s="148"/>
      <c r="U34" s="148"/>
      <c r="V34" s="149"/>
      <c r="W34" s="149"/>
      <c r="X34" s="149"/>
      <c r="Y34" s="149"/>
    </row>
    <row r="35" spans="1:25" customFormat="1">
      <c r="A35" s="156">
        <f>'BD Plant List'!A34</f>
        <v>40664</v>
      </c>
      <c r="B35" s="148"/>
      <c r="C35" s="148"/>
      <c r="D35" s="148"/>
      <c r="E35" s="148"/>
      <c r="F35" s="148"/>
      <c r="G35" s="148"/>
      <c r="H35" s="148"/>
      <c r="I35" s="148"/>
      <c r="J35" s="148"/>
      <c r="K35" s="148"/>
      <c r="L35" s="148"/>
      <c r="M35" s="148"/>
      <c r="N35" s="148"/>
      <c r="O35" s="148"/>
      <c r="P35" s="148"/>
      <c r="Q35" s="148"/>
      <c r="R35" s="148"/>
      <c r="S35" s="148"/>
      <c r="T35" s="148"/>
      <c r="U35" s="148"/>
      <c r="V35" s="149"/>
      <c r="W35" s="149"/>
      <c r="X35" s="149"/>
      <c r="Y35" s="149"/>
    </row>
    <row r="36" spans="1:25" customFormat="1">
      <c r="A36" s="156">
        <f>'BD Plant List'!A35</f>
        <v>40695</v>
      </c>
      <c r="B36" s="148"/>
      <c r="C36" s="148"/>
      <c r="D36" s="148"/>
      <c r="E36" s="148"/>
      <c r="F36" s="148"/>
      <c r="G36" s="148"/>
      <c r="H36" s="148"/>
      <c r="I36" s="148"/>
      <c r="J36" s="148"/>
      <c r="K36" s="148"/>
      <c r="L36" s="148"/>
      <c r="M36" s="148"/>
      <c r="N36" s="148"/>
      <c r="O36" s="148"/>
      <c r="P36" s="148"/>
      <c r="Q36" s="148"/>
      <c r="R36" s="148"/>
      <c r="S36" s="148"/>
      <c r="T36" s="148"/>
      <c r="U36" s="148"/>
      <c r="V36" s="149"/>
      <c r="W36" s="149"/>
      <c r="X36" s="149"/>
      <c r="Y36" s="149"/>
    </row>
    <row r="37" spans="1:25" customFormat="1">
      <c r="A37" s="156">
        <f>'BD Plant List'!A36</f>
        <v>40725</v>
      </c>
      <c r="B37" s="148"/>
      <c r="C37" s="148"/>
      <c r="D37" s="148"/>
      <c r="E37" s="148"/>
      <c r="F37" s="148"/>
      <c r="G37" s="148"/>
      <c r="H37" s="148"/>
      <c r="I37" s="148"/>
      <c r="J37" s="148"/>
      <c r="K37" s="148"/>
      <c r="L37" s="148"/>
      <c r="M37" s="148"/>
      <c r="N37" s="148"/>
      <c r="O37" s="148"/>
      <c r="P37" s="148"/>
      <c r="Q37" s="148"/>
      <c r="R37" s="148"/>
      <c r="S37" s="148"/>
      <c r="T37" s="148"/>
      <c r="U37" s="148"/>
      <c r="V37" s="149"/>
      <c r="W37" s="149"/>
      <c r="X37" s="149"/>
      <c r="Y37" s="149"/>
    </row>
    <row r="38" spans="1:25" customFormat="1">
      <c r="A38" s="156">
        <f>'BD Plant List'!A37</f>
        <v>40756</v>
      </c>
      <c r="B38" s="148"/>
      <c r="C38" s="148"/>
      <c r="D38" s="148"/>
      <c r="E38" s="148"/>
      <c r="F38" s="148"/>
      <c r="G38" s="148"/>
      <c r="H38" s="148"/>
      <c r="I38" s="148"/>
      <c r="J38" s="148"/>
      <c r="K38" s="148"/>
      <c r="L38" s="148"/>
      <c r="M38" s="148"/>
      <c r="N38" s="148"/>
      <c r="O38" s="148"/>
      <c r="P38" s="148"/>
      <c r="Q38" s="148"/>
      <c r="R38" s="148"/>
      <c r="S38" s="148"/>
      <c r="T38" s="148"/>
      <c r="U38" s="148"/>
      <c r="V38" s="149"/>
      <c r="W38" s="149"/>
      <c r="X38" s="149"/>
      <c r="Y38" s="149"/>
    </row>
    <row r="39" spans="1:25" customFormat="1">
      <c r="A39" s="156">
        <f>'BD Plant List'!A38</f>
        <v>40787</v>
      </c>
      <c r="B39" s="148"/>
      <c r="C39" s="148"/>
      <c r="D39" s="148"/>
      <c r="E39" s="148"/>
      <c r="F39" s="148"/>
      <c r="G39" s="148"/>
      <c r="H39" s="148"/>
      <c r="I39" s="148"/>
      <c r="J39" s="148"/>
      <c r="K39" s="148"/>
      <c r="L39" s="148"/>
      <c r="M39" s="148"/>
      <c r="N39" s="148"/>
      <c r="O39" s="148"/>
      <c r="P39" s="148"/>
      <c r="Q39" s="148"/>
      <c r="R39" s="148"/>
      <c r="S39" s="148"/>
      <c r="T39" s="148"/>
      <c r="U39" s="148"/>
      <c r="V39" s="149"/>
      <c r="W39" s="149"/>
      <c r="X39" s="149"/>
      <c r="Y39" s="149"/>
    </row>
    <row r="40" spans="1:25" customFormat="1">
      <c r="A40" s="156">
        <f>'BD Plant List'!A39</f>
        <v>40817</v>
      </c>
      <c r="B40" s="148"/>
      <c r="C40" s="148"/>
      <c r="D40" s="148"/>
      <c r="E40" s="148"/>
      <c r="F40" s="148"/>
      <c r="G40" s="148"/>
      <c r="H40" s="148"/>
      <c r="I40" s="148"/>
      <c r="J40" s="148"/>
      <c r="K40" s="148"/>
      <c r="L40" s="148"/>
      <c r="M40" s="148"/>
      <c r="N40" s="148"/>
      <c r="O40" s="148"/>
      <c r="P40" s="148"/>
      <c r="Q40" s="148"/>
      <c r="R40" s="148"/>
      <c r="S40" s="148"/>
      <c r="T40" s="148"/>
      <c r="U40" s="148"/>
      <c r="V40" s="149"/>
      <c r="W40" s="149"/>
      <c r="X40" s="149"/>
      <c r="Y40" s="149"/>
    </row>
    <row r="41" spans="1:25" customFormat="1">
      <c r="A41" s="156">
        <f>'BD Plant List'!A40</f>
        <v>40848</v>
      </c>
      <c r="B41" s="148"/>
      <c r="C41" s="148"/>
      <c r="D41" s="148"/>
      <c r="E41" s="148"/>
      <c r="F41" s="148"/>
      <c r="G41" s="148"/>
      <c r="H41" s="148"/>
      <c r="I41" s="148"/>
      <c r="J41" s="148"/>
      <c r="K41" s="148"/>
      <c r="L41" s="148"/>
      <c r="M41" s="148"/>
      <c r="N41" s="148"/>
      <c r="O41" s="148"/>
      <c r="P41" s="148"/>
      <c r="Q41" s="148"/>
      <c r="R41" s="148"/>
      <c r="S41" s="148"/>
      <c r="T41" s="148"/>
      <c r="U41" s="148"/>
      <c r="V41" s="149"/>
      <c r="W41" s="149"/>
      <c r="X41" s="149"/>
      <c r="Y41" s="149"/>
    </row>
    <row r="42" spans="1:25" customFormat="1">
      <c r="A42" s="156">
        <f>'BD Plant List'!A41</f>
        <v>40878</v>
      </c>
      <c r="B42" s="148"/>
      <c r="C42" s="148"/>
      <c r="D42" s="148"/>
      <c r="E42" s="148"/>
      <c r="F42" s="148"/>
      <c r="G42" s="148"/>
      <c r="H42" s="148"/>
      <c r="I42" s="148"/>
      <c r="J42" s="148"/>
      <c r="K42" s="148"/>
      <c r="L42" s="148"/>
      <c r="M42" s="148"/>
      <c r="N42" s="148"/>
      <c r="O42" s="148"/>
      <c r="P42" s="148"/>
      <c r="Q42" s="148"/>
      <c r="R42" s="148"/>
      <c r="S42" s="148"/>
      <c r="T42" s="148"/>
      <c r="U42" s="148"/>
      <c r="V42" s="149"/>
      <c r="W42" s="149"/>
      <c r="X42" s="149"/>
      <c r="Y42" s="149"/>
    </row>
    <row r="43" spans="1:25" customFormat="1">
      <c r="A43" s="156">
        <f>'BD Plant List'!A42</f>
        <v>40909</v>
      </c>
      <c r="B43" s="148"/>
      <c r="C43" s="148"/>
      <c r="D43" s="148"/>
      <c r="E43" s="148"/>
      <c r="F43" s="148"/>
      <c r="G43" s="148"/>
      <c r="H43" s="148"/>
      <c r="I43" s="148"/>
      <c r="J43" s="148"/>
      <c r="K43" s="148"/>
      <c r="L43" s="148"/>
      <c r="M43" s="148"/>
      <c r="N43" s="148"/>
      <c r="O43" s="148"/>
      <c r="P43" s="148"/>
      <c r="Q43" s="148"/>
      <c r="R43" s="148"/>
      <c r="S43" s="148"/>
      <c r="T43" s="148"/>
      <c r="U43" s="148"/>
      <c r="V43" s="149"/>
      <c r="W43" s="149"/>
      <c r="X43" s="149"/>
      <c r="Y43" s="149"/>
    </row>
    <row r="44" spans="1:25" customFormat="1">
      <c r="A44" s="156">
        <f>'BD Plant List'!A43</f>
        <v>40940</v>
      </c>
      <c r="B44" s="148"/>
      <c r="C44" s="148"/>
      <c r="D44" s="148"/>
      <c r="E44" s="148"/>
      <c r="F44" s="148"/>
      <c r="G44" s="148"/>
      <c r="H44" s="148"/>
      <c r="I44" s="148"/>
      <c r="J44" s="148"/>
      <c r="K44" s="148"/>
      <c r="L44" s="148"/>
      <c r="M44" s="148"/>
      <c r="N44" s="148"/>
      <c r="O44" s="148"/>
      <c r="P44" s="148"/>
      <c r="Q44" s="148"/>
      <c r="R44" s="148"/>
      <c r="S44" s="148"/>
      <c r="T44" s="148"/>
      <c r="U44" s="148"/>
      <c r="V44" s="149"/>
      <c r="W44" s="149"/>
      <c r="X44" s="149"/>
      <c r="Y44" s="149"/>
    </row>
    <row r="45" spans="1:25" customFormat="1">
      <c r="A45" s="156">
        <f>'BD Plant List'!A44</f>
        <v>40969</v>
      </c>
      <c r="B45" s="148"/>
      <c r="C45" s="148"/>
      <c r="D45" s="148"/>
      <c r="E45" s="148"/>
      <c r="F45" s="148"/>
      <c r="G45" s="148"/>
      <c r="H45" s="148"/>
      <c r="I45" s="148"/>
      <c r="J45" s="148"/>
      <c r="K45" s="148"/>
      <c r="L45" s="148"/>
      <c r="M45" s="148"/>
      <c r="N45" s="148"/>
      <c r="O45" s="148"/>
      <c r="P45" s="148"/>
      <c r="Q45" s="148"/>
      <c r="R45" s="148"/>
      <c r="S45" s="148"/>
      <c r="T45" s="148"/>
      <c r="U45" s="148"/>
      <c r="V45" s="149"/>
      <c r="W45" s="149"/>
      <c r="X45" s="149"/>
      <c r="Y45" s="149"/>
    </row>
    <row r="46" spans="1:25" customFormat="1">
      <c r="A46" s="156">
        <f>'BD Plant List'!A45</f>
        <v>41000</v>
      </c>
      <c r="B46" s="148"/>
      <c r="C46" s="148"/>
      <c r="D46" s="148"/>
      <c r="E46" s="148"/>
      <c r="F46" s="148"/>
      <c r="G46" s="148"/>
      <c r="H46" s="148"/>
      <c r="I46" s="148"/>
      <c r="J46" s="148"/>
      <c r="K46" s="148"/>
      <c r="L46" s="148"/>
      <c r="M46" s="148"/>
      <c r="N46" s="148"/>
      <c r="O46" s="148"/>
      <c r="P46" s="148"/>
      <c r="Q46" s="148"/>
      <c r="R46" s="148"/>
      <c r="S46" s="148"/>
      <c r="T46" s="148"/>
      <c r="U46" s="148"/>
      <c r="V46" s="149"/>
      <c r="W46" s="149"/>
      <c r="X46" s="149"/>
      <c r="Y46" s="149"/>
    </row>
    <row r="47" spans="1:25" customFormat="1">
      <c r="A47" s="156">
        <f>'BD Plant List'!A46</f>
        <v>41030</v>
      </c>
      <c r="B47" s="148"/>
      <c r="C47" s="148"/>
      <c r="D47" s="148"/>
      <c r="E47" s="148"/>
      <c r="F47" s="148"/>
      <c r="G47" s="148"/>
      <c r="H47" s="148"/>
      <c r="I47" s="148"/>
      <c r="J47" s="148"/>
      <c r="K47" s="148"/>
      <c r="L47" s="148"/>
      <c r="M47" s="148"/>
      <c r="N47" s="148"/>
      <c r="O47" s="148"/>
      <c r="P47" s="148"/>
      <c r="Q47" s="148"/>
      <c r="R47" s="148"/>
      <c r="S47" s="148"/>
      <c r="T47" s="148"/>
      <c r="U47" s="148"/>
      <c r="V47" s="149"/>
      <c r="W47" s="149"/>
      <c r="X47" s="149"/>
      <c r="Y47" s="149"/>
    </row>
    <row r="48" spans="1:25" customFormat="1">
      <c r="A48" s="156">
        <f>'BD Plant List'!A47</f>
        <v>41061</v>
      </c>
      <c r="B48" s="148"/>
      <c r="C48" s="148"/>
      <c r="D48" s="148"/>
      <c r="E48" s="148"/>
      <c r="F48" s="148"/>
      <c r="G48" s="148"/>
      <c r="H48" s="148"/>
      <c r="I48" s="148"/>
      <c r="J48" s="148"/>
      <c r="K48" s="148"/>
      <c r="L48" s="148"/>
      <c r="M48" s="148"/>
      <c r="N48" s="148"/>
      <c r="O48" s="148"/>
      <c r="P48" s="148"/>
      <c r="Q48" s="148"/>
      <c r="R48" s="148"/>
      <c r="S48" s="148"/>
      <c r="T48" s="148"/>
      <c r="U48" s="148"/>
      <c r="V48" s="149"/>
      <c r="W48" s="149"/>
      <c r="X48" s="149"/>
      <c r="Y48" s="149"/>
    </row>
    <row r="49" spans="1:25" customFormat="1">
      <c r="A49" s="156">
        <f>'BD Plant List'!A48</f>
        <v>41091</v>
      </c>
      <c r="B49" s="148"/>
      <c r="C49" s="148"/>
      <c r="D49" s="148"/>
      <c r="E49" s="148"/>
      <c r="F49" s="148"/>
      <c r="G49" s="148"/>
      <c r="H49" s="148"/>
      <c r="I49" s="148"/>
      <c r="J49" s="148"/>
      <c r="K49" s="148"/>
      <c r="L49" s="148"/>
      <c r="M49" s="148"/>
      <c r="N49" s="148"/>
      <c r="O49" s="148"/>
      <c r="P49" s="148"/>
      <c r="Q49" s="148"/>
      <c r="R49" s="148"/>
      <c r="S49" s="148"/>
      <c r="T49" s="148"/>
      <c r="U49" s="148"/>
      <c r="V49" s="149"/>
      <c r="W49" s="149"/>
      <c r="X49" s="149"/>
      <c r="Y49" s="149"/>
    </row>
    <row r="50" spans="1:25" customFormat="1">
      <c r="A50" s="156">
        <f>'BD Plant List'!A49</f>
        <v>41122</v>
      </c>
      <c r="B50" s="148"/>
      <c r="C50" s="148"/>
      <c r="D50" s="148"/>
      <c r="E50" s="148"/>
      <c r="F50" s="148"/>
      <c r="G50" s="148"/>
      <c r="H50" s="148"/>
      <c r="I50" s="148"/>
      <c r="J50" s="148"/>
      <c r="K50" s="148"/>
      <c r="L50" s="148"/>
      <c r="M50" s="148"/>
      <c r="N50" s="148"/>
      <c r="O50" s="148"/>
      <c r="P50" s="148"/>
      <c r="Q50" s="148"/>
      <c r="R50" s="148"/>
      <c r="S50" s="148"/>
      <c r="T50" s="148"/>
      <c r="U50" s="148"/>
      <c r="V50" s="149"/>
      <c r="W50" s="149"/>
      <c r="X50" s="149"/>
      <c r="Y50" s="149"/>
    </row>
    <row r="51" spans="1:25" customFormat="1">
      <c r="A51" s="156">
        <f>'BD Plant List'!A50</f>
        <v>41153</v>
      </c>
      <c r="B51" s="148"/>
      <c r="C51" s="148"/>
      <c r="D51" s="148"/>
      <c r="E51" s="148"/>
      <c r="F51" s="148"/>
      <c r="G51" s="148"/>
      <c r="H51" s="148"/>
      <c r="I51" s="148"/>
      <c r="J51" s="148"/>
      <c r="K51" s="148"/>
      <c r="L51" s="148"/>
      <c r="M51" s="148"/>
      <c r="N51" s="148"/>
      <c r="O51" s="148"/>
      <c r="P51" s="148"/>
      <c r="Q51" s="148"/>
      <c r="R51" s="148"/>
      <c r="S51" s="148"/>
      <c r="T51" s="148"/>
      <c r="U51" s="148"/>
      <c r="V51" s="149"/>
      <c r="W51" s="149"/>
      <c r="X51" s="149"/>
      <c r="Y51" s="149"/>
    </row>
    <row r="52" spans="1:25" customFormat="1">
      <c r="A52" s="156">
        <f>'BD Plant List'!A51</f>
        <v>41183</v>
      </c>
      <c r="B52" s="148"/>
      <c r="C52" s="148"/>
      <c r="D52" s="148"/>
      <c r="E52" s="148"/>
      <c r="F52" s="148"/>
      <c r="G52" s="148"/>
      <c r="H52" s="148"/>
      <c r="I52" s="148"/>
      <c r="J52" s="148"/>
      <c r="K52" s="148"/>
      <c r="L52" s="148"/>
      <c r="M52" s="148"/>
      <c r="N52" s="148"/>
      <c r="O52" s="148"/>
      <c r="P52" s="148"/>
      <c r="Q52" s="148"/>
      <c r="R52" s="148"/>
      <c r="S52" s="148"/>
      <c r="T52" s="148"/>
      <c r="U52" s="148"/>
      <c r="V52" s="149"/>
      <c r="W52" s="149"/>
      <c r="X52" s="149"/>
      <c r="Y52" s="149"/>
    </row>
    <row r="53" spans="1:25" customFormat="1">
      <c r="A53" s="156">
        <f>'BD Plant List'!A52</f>
        <v>41214</v>
      </c>
      <c r="B53" s="148"/>
      <c r="C53" s="148"/>
      <c r="D53" s="148"/>
      <c r="E53" s="148"/>
      <c r="F53" s="148"/>
      <c r="G53" s="148"/>
      <c r="H53" s="148"/>
      <c r="I53" s="148"/>
      <c r="J53" s="148"/>
      <c r="K53" s="148"/>
      <c r="L53" s="148"/>
      <c r="M53" s="148"/>
      <c r="N53" s="148"/>
      <c r="O53" s="148"/>
      <c r="P53" s="148"/>
      <c r="Q53" s="148"/>
      <c r="R53" s="148"/>
      <c r="S53" s="148"/>
      <c r="T53" s="148"/>
      <c r="U53" s="148"/>
      <c r="V53" s="149"/>
      <c r="W53" s="149"/>
      <c r="X53" s="149"/>
      <c r="Y53" s="149"/>
    </row>
    <row r="54" spans="1:25" customFormat="1">
      <c r="A54" s="156">
        <f>'BD Plant List'!A53</f>
        <v>41244</v>
      </c>
      <c r="B54" s="148"/>
      <c r="C54" s="148"/>
      <c r="D54" s="148"/>
      <c r="E54" s="148"/>
      <c r="F54" s="148"/>
      <c r="G54" s="148"/>
      <c r="H54" s="148"/>
      <c r="I54" s="148"/>
      <c r="J54" s="148"/>
      <c r="K54" s="148"/>
      <c r="L54" s="148"/>
      <c r="M54" s="148"/>
      <c r="N54" s="148"/>
      <c r="O54" s="148"/>
      <c r="P54" s="148"/>
      <c r="Q54" s="148"/>
      <c r="R54" s="148"/>
      <c r="S54" s="148"/>
      <c r="T54" s="148"/>
      <c r="U54" s="148"/>
      <c r="V54" s="149"/>
      <c r="W54" s="149"/>
      <c r="X54" s="149"/>
      <c r="Y54" s="149"/>
    </row>
    <row r="55" spans="1:25" customFormat="1">
      <c r="A55" s="156">
        <f>'BD Plant List'!A54</f>
        <v>41275</v>
      </c>
      <c r="B55" s="148"/>
      <c r="C55" s="148"/>
      <c r="D55" s="148"/>
      <c r="E55" s="148"/>
      <c r="F55" s="148"/>
      <c r="G55" s="148"/>
      <c r="H55" s="148"/>
      <c r="I55" s="148"/>
      <c r="J55" s="148"/>
      <c r="K55" s="148"/>
      <c r="L55" s="148"/>
      <c r="M55" s="148"/>
      <c r="N55" s="148"/>
      <c r="O55" s="148"/>
      <c r="P55" s="148"/>
      <c r="Q55" s="148"/>
      <c r="R55" s="148"/>
      <c r="S55" s="148"/>
      <c r="T55" s="148"/>
      <c r="U55" s="148"/>
      <c r="V55" s="149"/>
      <c r="W55" s="149"/>
      <c r="X55" s="149"/>
      <c r="Y55" s="149"/>
    </row>
    <row r="56" spans="1:25" customFormat="1">
      <c r="A56" s="156">
        <f>'BD Plant List'!A55</f>
        <v>41306</v>
      </c>
      <c r="B56" s="148"/>
      <c r="C56" s="148"/>
      <c r="D56" s="148"/>
      <c r="E56" s="148"/>
      <c r="F56" s="148"/>
      <c r="G56" s="148"/>
      <c r="H56" s="148"/>
      <c r="I56" s="148"/>
      <c r="J56" s="148"/>
      <c r="K56" s="148"/>
      <c r="L56" s="148"/>
      <c r="M56" s="148"/>
      <c r="N56" s="148"/>
      <c r="O56" s="148"/>
      <c r="P56" s="148"/>
      <c r="Q56" s="148"/>
      <c r="R56" s="148"/>
      <c r="S56" s="148"/>
      <c r="T56" s="148"/>
      <c r="U56" s="148"/>
      <c r="V56" s="149"/>
      <c r="W56" s="149"/>
      <c r="X56" s="149"/>
      <c r="Y56" s="149"/>
    </row>
    <row r="57" spans="1:25" customFormat="1">
      <c r="A57" s="156">
        <f>'BD Plant List'!A56</f>
        <v>41334</v>
      </c>
      <c r="B57" s="148"/>
      <c r="C57" s="148"/>
      <c r="D57" s="148"/>
      <c r="E57" s="148"/>
      <c r="F57" s="148"/>
      <c r="G57" s="148"/>
      <c r="H57" s="148"/>
      <c r="I57" s="148"/>
      <c r="J57" s="148"/>
      <c r="K57" s="148"/>
      <c r="L57" s="148"/>
      <c r="M57" s="148"/>
      <c r="N57" s="148"/>
      <c r="O57" s="148"/>
      <c r="P57" s="148"/>
      <c r="Q57" s="148"/>
      <c r="R57" s="148"/>
      <c r="S57" s="148"/>
      <c r="T57" s="148"/>
      <c r="U57" s="148"/>
      <c r="V57" s="149"/>
      <c r="W57" s="149"/>
      <c r="X57" s="149"/>
      <c r="Y57" s="149"/>
    </row>
    <row r="58" spans="1:25" customFormat="1">
      <c r="A58" s="156">
        <f>'BD Plant List'!A57</f>
        <v>41365</v>
      </c>
      <c r="B58" s="148"/>
      <c r="C58" s="148"/>
      <c r="D58" s="148"/>
      <c r="E58" s="148"/>
      <c r="F58" s="148"/>
      <c r="G58" s="148"/>
      <c r="H58" s="148"/>
      <c r="I58" s="148"/>
      <c r="J58" s="148"/>
      <c r="K58" s="148"/>
      <c r="L58" s="148"/>
      <c r="M58" s="148"/>
      <c r="N58" s="148"/>
      <c r="O58" s="148"/>
      <c r="P58" s="148"/>
      <c r="Q58" s="148"/>
      <c r="R58" s="148"/>
      <c r="S58" s="148"/>
      <c r="T58" s="148"/>
      <c r="U58" s="148"/>
      <c r="V58" s="149"/>
      <c r="W58" s="149"/>
      <c r="X58" s="149"/>
      <c r="Y58" s="149"/>
    </row>
    <row r="59" spans="1:25" customFormat="1">
      <c r="A59" s="156">
        <f>'BD Plant List'!A58</f>
        <v>41395</v>
      </c>
      <c r="B59" s="148"/>
      <c r="C59" s="148"/>
      <c r="D59" s="148"/>
      <c r="E59" s="148"/>
      <c r="F59" s="148"/>
      <c r="G59" s="148"/>
      <c r="H59" s="148"/>
      <c r="I59" s="148"/>
      <c r="J59" s="148"/>
      <c r="K59" s="148"/>
      <c r="L59" s="148"/>
      <c r="M59" s="148"/>
      <c r="N59" s="148"/>
      <c r="O59" s="148"/>
      <c r="P59" s="148"/>
      <c r="Q59" s="148"/>
      <c r="R59" s="148"/>
      <c r="S59" s="148"/>
      <c r="T59" s="148"/>
      <c r="U59" s="148"/>
      <c r="V59" s="149"/>
      <c r="W59" s="149"/>
      <c r="X59" s="149"/>
      <c r="Y59" s="149"/>
    </row>
    <row r="60" spans="1:25" customFormat="1">
      <c r="A60" s="156">
        <f>'BD Plant List'!A59</f>
        <v>41426</v>
      </c>
      <c r="B60" s="148"/>
      <c r="C60" s="148"/>
      <c r="D60" s="148"/>
      <c r="E60" s="148"/>
      <c r="F60" s="148"/>
      <c r="G60" s="148"/>
      <c r="H60" s="148"/>
      <c r="I60" s="148"/>
      <c r="J60" s="148"/>
      <c r="K60" s="148"/>
      <c r="L60" s="148"/>
      <c r="M60" s="148"/>
      <c r="N60" s="148"/>
      <c r="O60" s="148"/>
      <c r="P60" s="148"/>
      <c r="Q60" s="148"/>
      <c r="R60" s="148"/>
      <c r="S60" s="148"/>
      <c r="T60" s="148"/>
      <c r="U60" s="148"/>
      <c r="V60" s="149"/>
      <c r="W60" s="149"/>
      <c r="X60" s="149"/>
      <c r="Y60" s="149"/>
    </row>
    <row r="61" spans="1:25" customFormat="1">
      <c r="A61" s="156">
        <f>'BD Plant List'!A60</f>
        <v>41456</v>
      </c>
      <c r="B61" s="148"/>
      <c r="C61" s="148"/>
      <c r="D61" s="148"/>
      <c r="E61" s="148"/>
      <c r="F61" s="148"/>
      <c r="G61" s="148"/>
      <c r="H61" s="148"/>
      <c r="I61" s="148"/>
      <c r="J61" s="148"/>
      <c r="K61" s="148"/>
      <c r="L61" s="148"/>
      <c r="M61" s="148"/>
      <c r="N61" s="148"/>
      <c r="O61" s="148"/>
      <c r="P61" s="148"/>
      <c r="Q61" s="148"/>
      <c r="R61" s="148"/>
      <c r="S61" s="148"/>
      <c r="T61" s="148"/>
      <c r="U61" s="148"/>
      <c r="V61" s="149"/>
      <c r="W61" s="149"/>
      <c r="X61" s="149"/>
      <c r="Y61" s="149"/>
    </row>
    <row r="62" spans="1:25" customFormat="1">
      <c r="A62" s="156">
        <f>'BD Plant List'!A61</f>
        <v>41487</v>
      </c>
      <c r="B62" s="148"/>
      <c r="C62" s="148"/>
      <c r="D62" s="148"/>
      <c r="E62" s="148"/>
      <c r="F62" s="148"/>
      <c r="G62" s="148"/>
      <c r="H62" s="148"/>
      <c r="I62" s="148"/>
      <c r="J62" s="148"/>
      <c r="K62" s="148"/>
      <c r="L62" s="148"/>
      <c r="M62" s="148"/>
      <c r="N62" s="148"/>
      <c r="O62" s="148"/>
      <c r="P62" s="148"/>
      <c r="Q62" s="148"/>
      <c r="R62" s="148"/>
      <c r="S62" s="148"/>
      <c r="T62" s="148"/>
      <c r="U62" s="148"/>
      <c r="V62" s="149"/>
      <c r="W62" s="149"/>
      <c r="X62" s="149"/>
      <c r="Y62" s="149"/>
    </row>
    <row r="63" spans="1:25" customFormat="1">
      <c r="A63" s="156">
        <f>'BD Plant List'!A62</f>
        <v>41518</v>
      </c>
      <c r="B63" s="148"/>
      <c r="C63" s="148"/>
      <c r="D63" s="148"/>
      <c r="E63" s="148"/>
      <c r="F63" s="148"/>
      <c r="G63" s="148"/>
      <c r="H63" s="148"/>
      <c r="I63" s="148"/>
      <c r="J63" s="148"/>
      <c r="K63" s="148"/>
      <c r="L63" s="148"/>
      <c r="M63" s="148"/>
      <c r="N63" s="148"/>
      <c r="O63" s="148"/>
      <c r="P63" s="148"/>
      <c r="Q63" s="148"/>
      <c r="R63" s="148"/>
      <c r="S63" s="148"/>
      <c r="T63" s="148"/>
      <c r="U63" s="148"/>
      <c r="V63" s="149"/>
      <c r="W63" s="149"/>
      <c r="X63" s="149"/>
      <c r="Y63" s="149"/>
    </row>
    <row r="64" spans="1:25" customFormat="1">
      <c r="A64" s="156">
        <f>'BD Plant List'!A63</f>
        <v>41548</v>
      </c>
      <c r="B64" s="148"/>
      <c r="C64" s="148"/>
      <c r="D64" s="148"/>
      <c r="E64" s="148"/>
      <c r="F64" s="148"/>
      <c r="G64" s="148"/>
      <c r="H64" s="148"/>
      <c r="I64" s="148"/>
      <c r="J64" s="148"/>
      <c r="K64" s="148"/>
      <c r="L64" s="148"/>
      <c r="M64" s="148"/>
      <c r="N64" s="148"/>
      <c r="O64" s="148"/>
      <c r="P64" s="148"/>
      <c r="Q64" s="148"/>
      <c r="R64" s="148"/>
      <c r="S64" s="148"/>
      <c r="T64" s="148"/>
      <c r="U64" s="148"/>
      <c r="V64" s="149"/>
      <c r="W64" s="149"/>
      <c r="X64" s="149"/>
      <c r="Y64" s="149"/>
    </row>
    <row r="65" spans="1:25" customFormat="1">
      <c r="A65" s="156">
        <f>'BD Plant List'!A64</f>
        <v>41579</v>
      </c>
      <c r="B65" s="148"/>
      <c r="C65" s="148"/>
      <c r="D65" s="148"/>
      <c r="E65" s="148"/>
      <c r="F65" s="148"/>
      <c r="G65" s="148"/>
      <c r="H65" s="148"/>
      <c r="I65" s="148"/>
      <c r="J65" s="148"/>
      <c r="K65" s="148"/>
      <c r="L65" s="148"/>
      <c r="M65" s="148"/>
      <c r="N65" s="148"/>
      <c r="O65" s="148"/>
      <c r="P65" s="148"/>
      <c r="Q65" s="148"/>
      <c r="R65" s="148"/>
      <c r="S65" s="148"/>
      <c r="T65" s="148"/>
      <c r="U65" s="148"/>
      <c r="V65" s="149"/>
      <c r="W65" s="149"/>
      <c r="X65" s="149"/>
      <c r="Y65" s="149"/>
    </row>
    <row r="66" spans="1:25" customFormat="1">
      <c r="A66" s="156">
        <f>'BD Plant List'!A65</f>
        <v>41609</v>
      </c>
      <c r="B66" s="148"/>
      <c r="C66" s="148"/>
      <c r="D66" s="148"/>
      <c r="E66" s="148"/>
      <c r="F66" s="148"/>
      <c r="G66" s="148"/>
      <c r="H66" s="148"/>
      <c r="I66" s="148"/>
      <c r="J66" s="148"/>
      <c r="K66" s="148"/>
      <c r="L66" s="148"/>
      <c r="M66" s="148"/>
      <c r="N66" s="148"/>
      <c r="O66" s="148"/>
      <c r="P66" s="148"/>
      <c r="Q66" s="148"/>
      <c r="R66" s="148"/>
      <c r="S66" s="148"/>
      <c r="T66" s="148"/>
      <c r="U66" s="148"/>
      <c r="V66" s="149"/>
      <c r="W66" s="149"/>
      <c r="X66" s="149"/>
      <c r="Y66" s="149"/>
    </row>
    <row r="67" spans="1:25" customFormat="1">
      <c r="A67" s="156">
        <f>'BD Plant List'!A66</f>
        <v>41640</v>
      </c>
      <c r="B67" s="148"/>
      <c r="C67" s="148"/>
      <c r="D67" s="148"/>
      <c r="E67" s="148"/>
      <c r="F67" s="148"/>
      <c r="G67" s="148"/>
      <c r="H67" s="148"/>
      <c r="I67" s="148"/>
      <c r="J67" s="148"/>
      <c r="K67" s="148"/>
      <c r="L67" s="148"/>
      <c r="M67" s="148"/>
      <c r="N67" s="148"/>
      <c r="O67" s="148"/>
      <c r="P67" s="148"/>
      <c r="Q67" s="148"/>
      <c r="R67" s="148"/>
      <c r="S67" s="148"/>
      <c r="T67" s="148"/>
      <c r="U67" s="148"/>
      <c r="V67" s="149"/>
      <c r="W67" s="149"/>
      <c r="X67" s="149"/>
      <c r="Y67" s="149"/>
    </row>
    <row r="68" spans="1:25" customFormat="1">
      <c r="A68" s="156">
        <f>'BD Plant List'!A67</f>
        <v>41671</v>
      </c>
      <c r="B68" s="148"/>
      <c r="C68" s="148"/>
      <c r="D68" s="148"/>
      <c r="E68" s="148"/>
      <c r="F68" s="148"/>
      <c r="G68" s="148"/>
      <c r="H68" s="148"/>
      <c r="I68" s="148"/>
      <c r="J68" s="148"/>
      <c r="K68" s="148"/>
      <c r="L68" s="148"/>
      <c r="M68" s="148"/>
      <c r="N68" s="148"/>
      <c r="O68" s="148"/>
      <c r="P68" s="148"/>
      <c r="Q68" s="148"/>
      <c r="R68" s="148"/>
      <c r="S68" s="148"/>
      <c r="T68" s="148"/>
      <c r="U68" s="148"/>
      <c r="V68" s="149"/>
      <c r="W68" s="149"/>
      <c r="X68" s="149"/>
      <c r="Y68" s="149"/>
    </row>
    <row r="69" spans="1:25" customFormat="1">
      <c r="A69" s="156">
        <f>'BD Plant List'!A68</f>
        <v>41699</v>
      </c>
      <c r="B69" s="148"/>
      <c r="C69" s="148"/>
      <c r="D69" s="148"/>
      <c r="E69" s="148"/>
      <c r="F69" s="148"/>
      <c r="G69" s="148"/>
      <c r="H69" s="148"/>
      <c r="I69" s="148"/>
      <c r="J69" s="148"/>
      <c r="K69" s="148"/>
      <c r="L69" s="148"/>
      <c r="M69" s="148"/>
      <c r="N69" s="148"/>
      <c r="O69" s="148"/>
      <c r="P69" s="148"/>
      <c r="Q69" s="148"/>
      <c r="R69" s="148"/>
      <c r="S69" s="148"/>
      <c r="T69" s="148"/>
      <c r="U69" s="148"/>
      <c r="V69" s="149"/>
      <c r="W69" s="149"/>
      <c r="X69" s="149"/>
      <c r="Y69" s="149"/>
    </row>
    <row r="70" spans="1:25" customFormat="1">
      <c r="A70" s="156">
        <f>'BD Plant List'!A69</f>
        <v>41730</v>
      </c>
      <c r="B70" s="148"/>
      <c r="C70" s="148"/>
      <c r="D70" s="148"/>
      <c r="E70" s="148"/>
      <c r="F70" s="148"/>
      <c r="G70" s="148"/>
      <c r="H70" s="148"/>
      <c r="I70" s="148"/>
      <c r="J70" s="148"/>
      <c r="K70" s="148"/>
      <c r="L70" s="148"/>
      <c r="M70" s="148"/>
      <c r="N70" s="148"/>
      <c r="O70" s="148"/>
      <c r="P70" s="148"/>
      <c r="Q70" s="148"/>
      <c r="R70" s="148"/>
      <c r="S70" s="148"/>
      <c r="T70" s="148"/>
      <c r="U70" s="148"/>
      <c r="V70" s="149"/>
      <c r="W70" s="149"/>
      <c r="X70" s="149"/>
      <c r="Y70" s="149"/>
    </row>
    <row r="71" spans="1:25" customFormat="1">
      <c r="A71" s="156">
        <f>'BD Plant List'!A70</f>
        <v>41760</v>
      </c>
      <c r="B71" s="148"/>
      <c r="C71" s="148"/>
      <c r="D71" s="148"/>
      <c r="E71" s="148"/>
      <c r="F71" s="148"/>
      <c r="G71" s="148"/>
      <c r="H71" s="148"/>
      <c r="I71" s="148"/>
      <c r="J71" s="148"/>
      <c r="K71" s="148"/>
      <c r="L71" s="148"/>
      <c r="M71" s="148"/>
      <c r="N71" s="148"/>
      <c r="O71" s="148"/>
      <c r="P71" s="148"/>
      <c r="Q71" s="148"/>
      <c r="R71" s="148"/>
      <c r="S71" s="148"/>
      <c r="T71" s="148"/>
      <c r="U71" s="148"/>
      <c r="V71" s="149"/>
      <c r="W71" s="149"/>
      <c r="X71" s="149"/>
      <c r="Y71" s="149"/>
    </row>
    <row r="72" spans="1:25" customFormat="1">
      <c r="A72" s="156">
        <f>'BD Plant List'!A71</f>
        <v>41791</v>
      </c>
      <c r="B72" s="148"/>
      <c r="C72" s="148"/>
      <c r="D72" s="148"/>
      <c r="E72" s="148"/>
      <c r="F72" s="148"/>
      <c r="G72" s="148"/>
      <c r="H72" s="148"/>
      <c r="I72" s="148"/>
      <c r="J72" s="148"/>
      <c r="K72" s="148"/>
      <c r="L72" s="148"/>
      <c r="M72" s="148"/>
      <c r="N72" s="148"/>
      <c r="O72" s="148"/>
      <c r="P72" s="148"/>
      <c r="Q72" s="148"/>
      <c r="R72" s="148"/>
      <c r="S72" s="148"/>
      <c r="T72" s="148"/>
      <c r="U72" s="148"/>
      <c r="V72" s="149"/>
      <c r="W72" s="149"/>
      <c r="X72" s="149"/>
      <c r="Y72" s="149"/>
    </row>
    <row r="73" spans="1:25" customFormat="1">
      <c r="A73" s="156">
        <f>'BD Plant List'!A72</f>
        <v>41821</v>
      </c>
      <c r="B73" s="148"/>
      <c r="C73" s="148"/>
      <c r="D73" s="148"/>
      <c r="E73" s="148"/>
      <c r="F73" s="148"/>
      <c r="G73" s="148"/>
      <c r="H73" s="148"/>
      <c r="I73" s="148"/>
      <c r="J73" s="148"/>
      <c r="K73" s="148"/>
      <c r="L73" s="148"/>
      <c r="M73" s="148"/>
      <c r="N73" s="148"/>
      <c r="O73" s="148"/>
      <c r="P73" s="148"/>
      <c r="Q73" s="148"/>
      <c r="R73" s="148"/>
      <c r="S73" s="148"/>
      <c r="T73" s="148"/>
      <c r="U73" s="148"/>
      <c r="V73" s="149"/>
      <c r="W73" s="149"/>
      <c r="X73" s="149"/>
      <c r="Y73" s="149"/>
    </row>
    <row r="74" spans="1:25" customFormat="1">
      <c r="A74" s="156">
        <f>'BD Plant List'!A73</f>
        <v>41852</v>
      </c>
      <c r="B74" s="148"/>
      <c r="C74" s="148"/>
      <c r="D74" s="148"/>
      <c r="E74" s="148"/>
      <c r="F74" s="148"/>
      <c r="G74" s="148"/>
      <c r="H74" s="148"/>
      <c r="I74" s="148"/>
      <c r="J74" s="148"/>
      <c r="K74" s="148"/>
      <c r="L74" s="148"/>
      <c r="M74" s="148"/>
      <c r="N74" s="148"/>
      <c r="O74" s="148"/>
      <c r="P74" s="148"/>
      <c r="Q74" s="148"/>
      <c r="R74" s="148"/>
      <c r="S74" s="148"/>
      <c r="T74" s="148"/>
      <c r="U74" s="148"/>
      <c r="V74" s="149"/>
      <c r="W74" s="149"/>
      <c r="X74" s="149"/>
      <c r="Y74" s="149"/>
    </row>
    <row r="75" spans="1:25" customFormat="1">
      <c r="A75" s="156">
        <f>'BD Plant List'!A74</f>
        <v>41883</v>
      </c>
      <c r="B75" s="148"/>
      <c r="C75" s="148"/>
      <c r="D75" s="148"/>
      <c r="E75" s="148"/>
      <c r="F75" s="148"/>
      <c r="G75" s="148"/>
      <c r="H75" s="148"/>
      <c r="I75" s="148"/>
      <c r="J75" s="148"/>
      <c r="K75" s="148"/>
      <c r="L75" s="148"/>
      <c r="M75" s="148"/>
      <c r="N75" s="148"/>
      <c r="O75" s="148"/>
      <c r="P75" s="148"/>
      <c r="Q75" s="148"/>
      <c r="R75" s="148"/>
      <c r="S75" s="148"/>
      <c r="T75" s="148"/>
      <c r="U75" s="148"/>
      <c r="V75" s="149"/>
      <c r="W75" s="149"/>
      <c r="X75" s="149"/>
      <c r="Y75" s="149"/>
    </row>
    <row r="76" spans="1:25" customFormat="1">
      <c r="A76" s="156">
        <f>'BD Plant List'!A75</f>
        <v>41913</v>
      </c>
      <c r="B76" s="148"/>
      <c r="C76" s="148"/>
      <c r="D76" s="148"/>
      <c r="E76" s="148"/>
      <c r="F76" s="148"/>
      <c r="G76" s="148"/>
      <c r="H76" s="148"/>
      <c r="I76" s="148"/>
      <c r="J76" s="148"/>
      <c r="K76" s="148"/>
      <c r="L76" s="148"/>
      <c r="M76" s="148"/>
      <c r="N76" s="148"/>
      <c r="O76" s="148"/>
      <c r="P76" s="148"/>
      <c r="Q76" s="148"/>
      <c r="R76" s="148"/>
      <c r="S76" s="148"/>
      <c r="T76" s="148"/>
      <c r="U76" s="148"/>
      <c r="V76" s="149"/>
      <c r="W76" s="149"/>
      <c r="X76" s="149"/>
      <c r="Y76" s="149"/>
    </row>
    <row r="77" spans="1:25" customFormat="1">
      <c r="A77" s="156">
        <f>'BD Plant List'!A76</f>
        <v>41944</v>
      </c>
      <c r="B77" s="148"/>
      <c r="C77" s="148"/>
      <c r="D77" s="148"/>
      <c r="E77" s="148"/>
      <c r="F77" s="148"/>
      <c r="G77" s="148"/>
      <c r="H77" s="148"/>
      <c r="I77" s="148"/>
      <c r="J77" s="148"/>
      <c r="K77" s="148"/>
      <c r="L77" s="148"/>
      <c r="M77" s="148"/>
      <c r="N77" s="148"/>
      <c r="O77" s="148"/>
      <c r="P77" s="148"/>
      <c r="Q77" s="148"/>
      <c r="R77" s="148"/>
      <c r="S77" s="148"/>
      <c r="T77" s="148"/>
      <c r="U77" s="148"/>
      <c r="V77" s="149"/>
      <c r="W77" s="149"/>
      <c r="X77" s="149"/>
      <c r="Y77" s="149"/>
    </row>
    <row r="78" spans="1:25" customFormat="1">
      <c r="A78" s="156">
        <f>'BD Plant List'!A77</f>
        <v>41974</v>
      </c>
      <c r="B78" s="148"/>
      <c r="C78" s="148"/>
      <c r="D78" s="148"/>
      <c r="E78" s="148"/>
      <c r="F78" s="148"/>
      <c r="G78" s="148"/>
      <c r="H78" s="148"/>
      <c r="I78" s="148"/>
      <c r="J78" s="148"/>
      <c r="K78" s="148"/>
      <c r="L78" s="148"/>
      <c r="M78" s="148"/>
      <c r="N78" s="148"/>
      <c r="O78" s="148"/>
      <c r="P78" s="148"/>
      <c r="Q78" s="148"/>
      <c r="R78" s="148"/>
      <c r="S78" s="148"/>
      <c r="T78" s="148"/>
      <c r="U78" s="148"/>
      <c r="V78" s="149"/>
      <c r="W78" s="149"/>
      <c r="X78" s="149"/>
      <c r="Y78" s="149"/>
    </row>
    <row r="79" spans="1:25" customFormat="1">
      <c r="A79" s="156">
        <f>'BD Plant List'!A78</f>
        <v>42005</v>
      </c>
      <c r="B79" s="148"/>
      <c r="C79" s="148"/>
      <c r="D79" s="148"/>
      <c r="E79" s="148"/>
      <c r="F79" s="148"/>
      <c r="G79" s="148"/>
      <c r="H79" s="148"/>
      <c r="I79" s="148"/>
      <c r="J79" s="148"/>
      <c r="K79" s="148"/>
      <c r="L79" s="148"/>
      <c r="M79" s="148"/>
      <c r="N79" s="148"/>
      <c r="O79" s="148"/>
      <c r="P79" s="148"/>
      <c r="Q79" s="148"/>
      <c r="R79" s="148"/>
      <c r="S79" s="148"/>
      <c r="T79" s="148"/>
      <c r="U79" s="148"/>
      <c r="V79" s="149"/>
      <c r="W79" s="149"/>
      <c r="X79" s="149"/>
      <c r="Y79" s="149"/>
    </row>
    <row r="80" spans="1:25" customFormat="1">
      <c r="A80" s="156">
        <f>'BD Plant List'!A79</f>
        <v>42036</v>
      </c>
      <c r="B80" s="148"/>
      <c r="C80" s="148"/>
      <c r="D80" s="148"/>
      <c r="E80" s="148"/>
      <c r="F80" s="148"/>
      <c r="G80" s="148"/>
      <c r="H80" s="148"/>
      <c r="I80" s="148"/>
      <c r="J80" s="148"/>
      <c r="K80" s="148"/>
      <c r="L80" s="148"/>
      <c r="M80" s="148"/>
      <c r="N80" s="148"/>
      <c r="O80" s="148"/>
      <c r="P80" s="148"/>
      <c r="Q80" s="148"/>
      <c r="R80" s="148"/>
      <c r="S80" s="148"/>
      <c r="T80" s="148"/>
      <c r="U80" s="148"/>
      <c r="V80" s="149"/>
      <c r="W80" s="149"/>
      <c r="X80" s="149"/>
      <c r="Y80" s="149"/>
    </row>
    <row r="81" spans="1:25" customFormat="1">
      <c r="A81" s="156">
        <f>'BD Plant List'!A80</f>
        <v>42064</v>
      </c>
      <c r="B81" s="148"/>
      <c r="C81" s="148"/>
      <c r="D81" s="148"/>
      <c r="E81" s="148"/>
      <c r="F81" s="148"/>
      <c r="G81" s="148"/>
      <c r="H81" s="148"/>
      <c r="I81" s="148"/>
      <c r="J81" s="148"/>
      <c r="K81" s="148"/>
      <c r="L81" s="148"/>
      <c r="M81" s="148"/>
      <c r="N81" s="148"/>
      <c r="O81" s="148"/>
      <c r="P81" s="148"/>
      <c r="Q81" s="148"/>
      <c r="R81" s="148"/>
      <c r="S81" s="148"/>
      <c r="T81" s="148"/>
      <c r="U81" s="148"/>
      <c r="V81" s="149"/>
      <c r="W81" s="149"/>
      <c r="X81" s="149"/>
      <c r="Y81" s="149"/>
    </row>
    <row r="82" spans="1:25" customFormat="1">
      <c r="A82" s="156">
        <f>'BD Plant List'!A81</f>
        <v>42095</v>
      </c>
      <c r="B82" s="148"/>
      <c r="C82" s="148"/>
      <c r="D82" s="148"/>
      <c r="E82" s="148"/>
      <c r="F82" s="148"/>
      <c r="G82" s="148"/>
      <c r="H82" s="148"/>
      <c r="I82" s="148"/>
      <c r="J82" s="148"/>
      <c r="K82" s="148"/>
      <c r="L82" s="148"/>
      <c r="M82" s="148"/>
      <c r="N82" s="148"/>
      <c r="O82" s="148"/>
      <c r="P82" s="148"/>
      <c r="Q82" s="148"/>
      <c r="R82" s="148"/>
      <c r="S82" s="148"/>
      <c r="T82" s="148"/>
      <c r="U82" s="148"/>
      <c r="V82" s="149"/>
      <c r="W82" s="149"/>
      <c r="X82" s="149"/>
      <c r="Y82" s="149"/>
    </row>
    <row r="83" spans="1:25" customFormat="1">
      <c r="A83" s="156">
        <f>'BD Plant List'!A82</f>
        <v>42125</v>
      </c>
      <c r="B83" s="148"/>
      <c r="C83" s="148"/>
      <c r="D83" s="148"/>
      <c r="E83" s="148"/>
      <c r="F83" s="148"/>
      <c r="G83" s="148"/>
      <c r="H83" s="148"/>
      <c r="I83" s="148"/>
      <c r="J83" s="148"/>
      <c r="K83" s="148"/>
      <c r="L83" s="148"/>
      <c r="M83" s="148"/>
      <c r="N83" s="148"/>
      <c r="O83" s="148"/>
      <c r="P83" s="148"/>
      <c r="Q83" s="148"/>
      <c r="R83" s="148"/>
      <c r="S83" s="148"/>
      <c r="T83" s="148"/>
      <c r="U83" s="148"/>
      <c r="V83" s="149"/>
      <c r="W83" s="149"/>
      <c r="X83" s="149"/>
      <c r="Y83" s="149"/>
    </row>
    <row r="84" spans="1:25" customFormat="1">
      <c r="A84" s="156">
        <f>'BD Plant List'!A83</f>
        <v>42156</v>
      </c>
      <c r="B84" s="148"/>
      <c r="C84" s="148"/>
      <c r="D84" s="148"/>
      <c r="E84" s="148"/>
      <c r="F84" s="148"/>
      <c r="G84" s="148"/>
      <c r="H84" s="148"/>
      <c r="I84" s="148"/>
      <c r="J84" s="148"/>
      <c r="K84" s="148"/>
      <c r="L84" s="148"/>
      <c r="M84" s="148"/>
      <c r="N84" s="148"/>
      <c r="O84" s="148"/>
      <c r="P84" s="148"/>
      <c r="Q84" s="148"/>
      <c r="R84" s="148"/>
      <c r="S84" s="148"/>
      <c r="T84" s="148"/>
      <c r="U84" s="148"/>
      <c r="V84" s="149"/>
      <c r="W84" s="149"/>
      <c r="X84" s="149"/>
      <c r="Y84" s="149"/>
    </row>
    <row r="85" spans="1:25" customFormat="1">
      <c r="A85" s="156">
        <f>'BD Plant List'!A84</f>
        <v>42186</v>
      </c>
      <c r="B85" s="148"/>
      <c r="C85" s="148"/>
      <c r="D85" s="148"/>
      <c r="E85" s="148"/>
      <c r="F85" s="148"/>
      <c r="G85" s="148"/>
      <c r="H85" s="148"/>
      <c r="I85" s="148"/>
      <c r="J85" s="148"/>
      <c r="K85" s="148"/>
      <c r="L85" s="148"/>
      <c r="M85" s="148"/>
      <c r="N85" s="148"/>
      <c r="O85" s="148"/>
      <c r="P85" s="148"/>
      <c r="Q85" s="148"/>
      <c r="R85" s="148"/>
      <c r="S85" s="148"/>
      <c r="T85" s="148"/>
      <c r="U85" s="148"/>
      <c r="V85" s="149"/>
      <c r="W85" s="149"/>
      <c r="X85" s="149"/>
      <c r="Y85" s="149"/>
    </row>
    <row r="86" spans="1:25" customFormat="1">
      <c r="A86" s="156">
        <f>'BD Plant List'!A85</f>
        <v>42217</v>
      </c>
      <c r="B86" s="148"/>
      <c r="C86" s="148"/>
      <c r="D86" s="148"/>
      <c r="E86" s="148"/>
      <c r="F86" s="148"/>
      <c r="G86" s="148"/>
      <c r="H86" s="148"/>
      <c r="I86" s="148"/>
      <c r="J86" s="148"/>
      <c r="K86" s="148"/>
      <c r="L86" s="148"/>
      <c r="M86" s="148"/>
      <c r="N86" s="148"/>
      <c r="O86" s="148"/>
      <c r="P86" s="148"/>
      <c r="Q86" s="148"/>
      <c r="R86" s="148"/>
      <c r="S86" s="148"/>
      <c r="T86" s="148"/>
      <c r="U86" s="148"/>
      <c r="V86" s="149"/>
      <c r="W86" s="149"/>
      <c r="X86" s="149"/>
      <c r="Y86" s="149"/>
    </row>
    <row r="87" spans="1:25" customFormat="1">
      <c r="A87" s="156">
        <f>'BD Plant List'!A86</f>
        <v>42248</v>
      </c>
      <c r="B87" s="148"/>
      <c r="C87" s="148"/>
      <c r="D87" s="148"/>
      <c r="E87" s="148"/>
      <c r="F87" s="148"/>
      <c r="G87" s="148"/>
      <c r="H87" s="148"/>
      <c r="I87" s="148"/>
      <c r="J87" s="148"/>
      <c r="K87" s="148"/>
      <c r="L87" s="148"/>
      <c r="M87" s="148"/>
      <c r="N87" s="148"/>
      <c r="O87" s="148"/>
      <c r="P87" s="148"/>
      <c r="Q87" s="148"/>
      <c r="R87" s="148"/>
      <c r="S87" s="148"/>
      <c r="T87" s="148"/>
      <c r="U87" s="148"/>
      <c r="V87" s="149"/>
      <c r="W87" s="149"/>
      <c r="X87" s="149"/>
      <c r="Y87" s="149"/>
    </row>
    <row r="88" spans="1:25" customFormat="1">
      <c r="A88" s="156">
        <f>'BD Plant List'!A87</f>
        <v>42278</v>
      </c>
      <c r="B88" s="148"/>
      <c r="C88" s="148"/>
      <c r="D88" s="148"/>
      <c r="E88" s="148"/>
      <c r="F88" s="148"/>
      <c r="G88" s="148"/>
      <c r="H88" s="148"/>
      <c r="I88" s="148"/>
      <c r="J88" s="148"/>
      <c r="K88" s="148"/>
      <c r="L88" s="148"/>
      <c r="M88" s="148"/>
      <c r="N88" s="148"/>
      <c r="O88" s="148"/>
      <c r="P88" s="148"/>
      <c r="Q88" s="148"/>
      <c r="R88" s="148"/>
      <c r="S88" s="148"/>
      <c r="T88" s="148"/>
      <c r="U88" s="148"/>
      <c r="V88" s="149"/>
      <c r="W88" s="149"/>
      <c r="X88" s="149"/>
      <c r="Y88" s="149"/>
    </row>
    <row r="89" spans="1:25" customFormat="1">
      <c r="A89" s="156">
        <f>'BD Plant List'!A88</f>
        <v>42309</v>
      </c>
      <c r="B89" s="148"/>
      <c r="C89" s="148"/>
      <c r="D89" s="148"/>
      <c r="E89" s="148"/>
      <c r="F89" s="148"/>
      <c r="G89" s="148"/>
      <c r="H89" s="148"/>
      <c r="I89" s="148"/>
      <c r="J89" s="148"/>
      <c r="K89" s="148"/>
      <c r="L89" s="148"/>
      <c r="M89" s="148"/>
      <c r="N89" s="148"/>
      <c r="O89" s="148"/>
      <c r="P89" s="148"/>
      <c r="Q89" s="148"/>
      <c r="R89" s="148"/>
      <c r="S89" s="148"/>
      <c r="T89" s="148"/>
      <c r="U89" s="148"/>
      <c r="V89" s="149"/>
      <c r="W89" s="149"/>
      <c r="X89" s="149"/>
      <c r="Y89" s="149"/>
    </row>
    <row r="90" spans="1:25" customFormat="1">
      <c r="A90" s="156">
        <f>'BD Plant List'!A89</f>
        <v>42339</v>
      </c>
      <c r="B90" s="148"/>
      <c r="C90" s="148"/>
      <c r="D90" s="148"/>
      <c r="E90" s="148"/>
      <c r="F90" s="148"/>
      <c r="G90" s="148"/>
      <c r="H90" s="148"/>
      <c r="I90" s="148"/>
      <c r="J90" s="148"/>
      <c r="K90" s="148"/>
      <c r="L90" s="148"/>
      <c r="M90" s="148"/>
      <c r="N90" s="148"/>
      <c r="O90" s="148"/>
      <c r="P90" s="148"/>
      <c r="Q90" s="148"/>
      <c r="R90" s="148"/>
      <c r="S90" s="148"/>
      <c r="T90" s="148"/>
      <c r="U90" s="148"/>
      <c r="V90" s="149"/>
      <c r="W90" s="149"/>
      <c r="X90" s="149"/>
      <c r="Y90" s="149"/>
    </row>
    <row r="91" spans="1:25" customFormat="1">
      <c r="A91" s="156">
        <f>'BD Plant List'!A90</f>
        <v>42370</v>
      </c>
      <c r="B91" s="148"/>
      <c r="C91" s="148"/>
      <c r="D91" s="148"/>
      <c r="E91" s="148"/>
      <c r="F91" s="148"/>
      <c r="G91" s="148"/>
      <c r="H91" s="148"/>
      <c r="I91" s="148"/>
      <c r="J91" s="148"/>
      <c r="K91" s="148"/>
      <c r="L91" s="148"/>
      <c r="M91" s="148"/>
      <c r="N91" s="148"/>
      <c r="O91" s="148"/>
      <c r="P91" s="148"/>
      <c r="Q91" s="148"/>
      <c r="R91" s="148"/>
      <c r="S91" s="148"/>
      <c r="T91" s="148"/>
      <c r="U91" s="148"/>
      <c r="V91" s="149"/>
      <c r="W91" s="149"/>
      <c r="X91" s="149"/>
      <c r="Y91" s="149"/>
    </row>
    <row r="92" spans="1:25" customFormat="1">
      <c r="A92" s="156">
        <f>'BD Plant List'!A91</f>
        <v>42401</v>
      </c>
      <c r="B92" s="148"/>
      <c r="C92" s="148"/>
      <c r="D92" s="148"/>
      <c r="E92" s="148"/>
      <c r="F92" s="148"/>
      <c r="G92" s="148"/>
      <c r="H92" s="148"/>
      <c r="I92" s="148"/>
      <c r="J92" s="148"/>
      <c r="K92" s="148"/>
      <c r="L92" s="148"/>
      <c r="M92" s="148"/>
      <c r="N92" s="148"/>
      <c r="O92" s="148"/>
      <c r="P92" s="148"/>
      <c r="Q92" s="148"/>
      <c r="R92" s="148"/>
      <c r="S92" s="148"/>
      <c r="T92" s="148"/>
      <c r="U92" s="148"/>
      <c r="V92" s="149"/>
      <c r="W92" s="149"/>
      <c r="X92" s="149"/>
      <c r="Y92" s="149"/>
    </row>
    <row r="93" spans="1:25" customFormat="1">
      <c r="A93" s="156">
        <f>'BD Plant List'!A92</f>
        <v>42430</v>
      </c>
      <c r="B93" s="148"/>
      <c r="C93" s="148"/>
      <c r="D93" s="148"/>
      <c r="E93" s="148"/>
      <c r="F93" s="148"/>
      <c r="G93" s="148"/>
      <c r="H93" s="148"/>
      <c r="I93" s="148"/>
      <c r="J93" s="148"/>
      <c r="K93" s="148"/>
      <c r="L93" s="148"/>
      <c r="M93" s="148"/>
      <c r="N93" s="148"/>
      <c r="O93" s="148"/>
      <c r="P93" s="148"/>
      <c r="Q93" s="148"/>
      <c r="R93" s="148"/>
      <c r="S93" s="148"/>
      <c r="T93" s="148"/>
      <c r="U93" s="148"/>
      <c r="V93" s="149"/>
      <c r="W93" s="149"/>
      <c r="X93" s="149"/>
      <c r="Y93" s="149"/>
    </row>
    <row r="94" spans="1:25" customFormat="1">
      <c r="A94" s="156">
        <f>'BD Plant List'!A93</f>
        <v>42461</v>
      </c>
      <c r="B94" s="148"/>
      <c r="C94" s="148"/>
      <c r="D94" s="148"/>
      <c r="E94" s="148"/>
      <c r="F94" s="148"/>
      <c r="G94" s="148"/>
      <c r="H94" s="148"/>
      <c r="I94" s="148"/>
      <c r="J94" s="148"/>
      <c r="K94" s="148"/>
      <c r="L94" s="148"/>
      <c r="M94" s="148"/>
      <c r="N94" s="148"/>
      <c r="O94" s="148"/>
      <c r="P94" s="148"/>
      <c r="Q94" s="148"/>
      <c r="R94" s="148"/>
      <c r="S94" s="148"/>
      <c r="T94" s="148"/>
      <c r="U94" s="148"/>
      <c r="V94" s="149"/>
      <c r="W94" s="149"/>
      <c r="X94" s="149"/>
      <c r="Y94" s="149"/>
    </row>
    <row r="95" spans="1:25" customFormat="1">
      <c r="A95" s="156">
        <f>'BD Plant List'!A94</f>
        <v>42491</v>
      </c>
      <c r="B95" s="148"/>
      <c r="C95" s="148"/>
      <c r="D95" s="148"/>
      <c r="E95" s="148"/>
      <c r="F95" s="148"/>
      <c r="G95" s="148"/>
      <c r="H95" s="148"/>
      <c r="I95" s="148"/>
      <c r="J95" s="148"/>
      <c r="K95" s="148"/>
      <c r="L95" s="148"/>
      <c r="M95" s="148"/>
      <c r="N95" s="148"/>
      <c r="O95" s="148"/>
      <c r="P95" s="148"/>
      <c r="Q95" s="148"/>
      <c r="R95" s="148"/>
      <c r="S95" s="148"/>
      <c r="T95" s="148"/>
      <c r="U95" s="148"/>
      <c r="V95" s="149"/>
      <c r="W95" s="149"/>
      <c r="X95" s="149"/>
      <c r="Y95" s="149"/>
    </row>
    <row r="96" spans="1:25" customFormat="1">
      <c r="A96" s="156">
        <f>'BD Plant List'!A95</f>
        <v>42522</v>
      </c>
      <c r="B96" s="148"/>
      <c r="C96" s="148"/>
      <c r="D96" s="148"/>
      <c r="E96" s="148"/>
      <c r="F96" s="148"/>
      <c r="G96" s="148"/>
      <c r="H96" s="148"/>
      <c r="I96" s="148"/>
      <c r="J96" s="148"/>
      <c r="K96" s="148"/>
      <c r="L96" s="148"/>
      <c r="M96" s="148"/>
      <c r="N96" s="148"/>
      <c r="O96" s="148"/>
      <c r="P96" s="148"/>
      <c r="Q96" s="148"/>
      <c r="R96" s="148"/>
      <c r="S96" s="148"/>
      <c r="T96" s="148"/>
      <c r="U96" s="148"/>
      <c r="V96" s="149"/>
      <c r="W96" s="149"/>
      <c r="X96" s="149"/>
      <c r="Y96" s="149"/>
    </row>
    <row r="97" spans="1:25" customFormat="1">
      <c r="A97" s="156">
        <f>'BD Plant List'!A96</f>
        <v>42552</v>
      </c>
      <c r="B97" s="148"/>
      <c r="C97" s="148"/>
      <c r="D97" s="148"/>
      <c r="E97" s="148"/>
      <c r="F97" s="148"/>
      <c r="G97" s="148"/>
      <c r="H97" s="148"/>
      <c r="I97" s="148"/>
      <c r="J97" s="148"/>
      <c r="K97" s="148"/>
      <c r="L97" s="148"/>
      <c r="M97" s="148"/>
      <c r="N97" s="148"/>
      <c r="O97" s="148"/>
      <c r="P97" s="148"/>
      <c r="Q97" s="148"/>
      <c r="R97" s="148"/>
      <c r="S97" s="148"/>
      <c r="T97" s="148"/>
      <c r="U97" s="148"/>
      <c r="V97" s="149"/>
      <c r="W97" s="149"/>
      <c r="X97" s="149"/>
      <c r="Y97" s="149"/>
    </row>
    <row r="98" spans="1:25" customFormat="1">
      <c r="A98" s="156">
        <f>'BD Plant List'!A97</f>
        <v>42583</v>
      </c>
      <c r="B98" s="148"/>
      <c r="C98" s="148"/>
      <c r="D98" s="148"/>
      <c r="E98" s="148"/>
      <c r="F98" s="148"/>
      <c r="G98" s="148"/>
      <c r="H98" s="148"/>
      <c r="I98" s="148"/>
      <c r="J98" s="148"/>
      <c r="K98" s="148"/>
      <c r="L98" s="148"/>
      <c r="M98" s="148"/>
      <c r="N98" s="148"/>
      <c r="O98" s="148"/>
      <c r="P98" s="148"/>
      <c r="Q98" s="148"/>
      <c r="R98" s="148"/>
      <c r="S98" s="148"/>
      <c r="T98" s="148"/>
      <c r="U98" s="148"/>
      <c r="V98" s="149"/>
      <c r="W98" s="149"/>
      <c r="X98" s="149"/>
      <c r="Y98" s="149"/>
    </row>
    <row r="99" spans="1:25" customFormat="1">
      <c r="A99" s="156">
        <f>'BD Plant List'!A98</f>
        <v>42614</v>
      </c>
      <c r="B99" s="148"/>
      <c r="C99" s="148"/>
      <c r="D99" s="148"/>
      <c r="E99" s="148"/>
      <c r="F99" s="148"/>
      <c r="G99" s="148"/>
      <c r="H99" s="148"/>
      <c r="I99" s="148"/>
      <c r="J99" s="148"/>
      <c r="K99" s="148"/>
      <c r="L99" s="148"/>
      <c r="M99" s="148"/>
      <c r="N99" s="148"/>
      <c r="O99" s="148"/>
      <c r="P99" s="148"/>
      <c r="Q99" s="148"/>
      <c r="R99" s="148"/>
      <c r="S99" s="148"/>
      <c r="T99" s="148"/>
      <c r="U99" s="148"/>
      <c r="V99" s="149"/>
      <c r="W99" s="149"/>
      <c r="X99" s="149"/>
      <c r="Y99" s="149"/>
    </row>
    <row r="100" spans="1:25" customFormat="1">
      <c r="A100" s="156">
        <f>'BD Plant List'!A99</f>
        <v>42644</v>
      </c>
      <c r="B100" s="148"/>
      <c r="C100" s="148"/>
      <c r="D100" s="148"/>
      <c r="E100" s="148"/>
      <c r="F100" s="148"/>
      <c r="G100" s="148"/>
      <c r="H100" s="148"/>
      <c r="I100" s="148"/>
      <c r="J100" s="148"/>
      <c r="K100" s="148"/>
      <c r="L100" s="148"/>
      <c r="M100" s="148"/>
      <c r="N100" s="148"/>
      <c r="O100" s="148"/>
      <c r="P100" s="148"/>
      <c r="Q100" s="148"/>
      <c r="R100" s="148"/>
      <c r="S100" s="148"/>
      <c r="T100" s="148"/>
      <c r="U100" s="148"/>
      <c r="V100" s="149"/>
      <c r="W100" s="149"/>
      <c r="X100" s="149"/>
      <c r="Y100" s="149"/>
    </row>
    <row r="101" spans="1:25" customFormat="1">
      <c r="A101" s="156">
        <f>'BD Plant List'!A100</f>
        <v>42675</v>
      </c>
      <c r="B101" s="148"/>
      <c r="C101" s="148"/>
      <c r="D101" s="148"/>
      <c r="E101" s="148"/>
      <c r="F101" s="148"/>
      <c r="G101" s="148"/>
      <c r="H101" s="148"/>
      <c r="I101" s="148"/>
      <c r="J101" s="148"/>
      <c r="K101" s="148"/>
      <c r="L101" s="148"/>
      <c r="M101" s="148"/>
      <c r="N101" s="148"/>
      <c r="O101" s="148"/>
      <c r="P101" s="148"/>
      <c r="Q101" s="148"/>
      <c r="R101" s="148"/>
      <c r="S101" s="148"/>
      <c r="T101" s="148"/>
      <c r="U101" s="148"/>
      <c r="V101" s="149"/>
      <c r="W101" s="149"/>
      <c r="X101" s="149"/>
      <c r="Y101" s="149"/>
    </row>
    <row r="102" spans="1:25" customFormat="1">
      <c r="A102" s="156">
        <f>'BD Plant List'!A101</f>
        <v>42705</v>
      </c>
      <c r="B102" s="148"/>
      <c r="C102" s="148"/>
      <c r="D102" s="148"/>
      <c r="E102" s="148"/>
      <c r="F102" s="148"/>
      <c r="G102" s="148"/>
      <c r="H102" s="148"/>
      <c r="I102" s="148"/>
      <c r="J102" s="148"/>
      <c r="K102" s="148"/>
      <c r="L102" s="148"/>
      <c r="M102" s="148"/>
      <c r="N102" s="148"/>
      <c r="O102" s="148"/>
      <c r="P102" s="148"/>
      <c r="Q102" s="148"/>
      <c r="R102" s="148"/>
      <c r="S102" s="148"/>
      <c r="T102" s="148"/>
      <c r="U102" s="148"/>
      <c r="V102" s="149"/>
      <c r="W102" s="149"/>
      <c r="X102" s="149"/>
      <c r="Y102" s="149"/>
    </row>
    <row r="103" spans="1:25" customFormat="1">
      <c r="A103" s="156">
        <f>'BD Plant List'!A102</f>
        <v>42736</v>
      </c>
      <c r="B103" s="148"/>
      <c r="C103" s="148"/>
      <c r="D103" s="148"/>
      <c r="E103" s="148"/>
      <c r="F103" s="148"/>
      <c r="G103" s="148"/>
      <c r="H103" s="148"/>
      <c r="I103" s="148"/>
      <c r="J103" s="148"/>
      <c r="K103" s="148"/>
      <c r="L103" s="148"/>
      <c r="M103" s="148"/>
      <c r="N103" s="148"/>
      <c r="O103" s="148"/>
      <c r="P103" s="148"/>
      <c r="Q103" s="148"/>
      <c r="R103" s="148"/>
      <c r="S103" s="148"/>
      <c r="T103" s="148"/>
      <c r="U103" s="148"/>
      <c r="V103" s="149"/>
      <c r="W103" s="149"/>
      <c r="X103" s="149"/>
      <c r="Y103" s="149"/>
    </row>
    <row r="104" spans="1:25" customFormat="1">
      <c r="A104" s="156">
        <f>'BD Plant List'!A103</f>
        <v>42767</v>
      </c>
      <c r="B104" s="148"/>
      <c r="C104" s="148"/>
      <c r="D104" s="148"/>
      <c r="E104" s="148"/>
      <c r="F104" s="148"/>
      <c r="G104" s="148"/>
      <c r="H104" s="148"/>
      <c r="I104" s="148"/>
      <c r="J104" s="148"/>
      <c r="K104" s="148"/>
      <c r="L104" s="148"/>
      <c r="M104" s="148"/>
      <c r="N104" s="148"/>
      <c r="O104" s="148"/>
      <c r="P104" s="148"/>
      <c r="Q104" s="148"/>
      <c r="R104" s="148"/>
      <c r="S104" s="148"/>
      <c r="T104" s="148"/>
      <c r="U104" s="148"/>
      <c r="V104" s="149"/>
      <c r="W104" s="149"/>
      <c r="X104" s="149"/>
      <c r="Y104" s="149"/>
    </row>
    <row r="105" spans="1:25" customFormat="1">
      <c r="A105" s="156">
        <f>'BD Plant List'!A104</f>
        <v>42795</v>
      </c>
      <c r="B105" s="148"/>
      <c r="C105" s="148"/>
      <c r="D105" s="148"/>
      <c r="E105" s="148"/>
      <c r="F105" s="148"/>
      <c r="G105" s="148"/>
      <c r="H105" s="148"/>
      <c r="I105" s="148"/>
      <c r="J105" s="148"/>
      <c r="K105" s="148"/>
      <c r="L105" s="148"/>
      <c r="M105" s="148"/>
      <c r="N105" s="148"/>
      <c r="O105" s="148"/>
      <c r="P105" s="148"/>
      <c r="Q105" s="148"/>
      <c r="R105" s="148"/>
      <c r="S105" s="148"/>
      <c r="T105" s="148"/>
      <c r="U105" s="148"/>
      <c r="V105" s="149"/>
      <c r="W105" s="149"/>
      <c r="X105" s="149"/>
      <c r="Y105" s="149"/>
    </row>
    <row r="106" spans="1:25" customFormat="1">
      <c r="A106" s="156">
        <f>'BD Plant List'!A105</f>
        <v>42826</v>
      </c>
      <c r="B106" s="148"/>
      <c r="C106" s="148"/>
      <c r="D106" s="148"/>
      <c r="E106" s="148"/>
      <c r="F106" s="148"/>
      <c r="G106" s="148"/>
      <c r="H106" s="148"/>
      <c r="I106" s="148"/>
      <c r="J106" s="148"/>
      <c r="K106" s="148"/>
      <c r="L106" s="148"/>
      <c r="M106" s="148"/>
      <c r="N106" s="148"/>
      <c r="O106" s="148"/>
      <c r="P106" s="148"/>
      <c r="Q106" s="148"/>
      <c r="R106" s="148"/>
      <c r="S106" s="148"/>
      <c r="T106" s="148"/>
      <c r="U106" s="148"/>
      <c r="V106" s="149"/>
      <c r="W106" s="149"/>
      <c r="X106" s="149"/>
      <c r="Y106" s="149"/>
    </row>
    <row r="107" spans="1:25" customFormat="1">
      <c r="A107" s="156">
        <f>'BD Plant List'!A106</f>
        <v>42856</v>
      </c>
      <c r="B107" s="148"/>
      <c r="C107" s="148"/>
      <c r="D107" s="148"/>
      <c r="E107" s="148"/>
      <c r="F107" s="148"/>
      <c r="G107" s="148"/>
      <c r="H107" s="148"/>
      <c r="I107" s="148"/>
      <c r="J107" s="148"/>
      <c r="K107" s="148"/>
      <c r="L107" s="148"/>
      <c r="M107" s="148"/>
      <c r="N107" s="148"/>
      <c r="O107" s="148"/>
      <c r="P107" s="148"/>
      <c r="Q107" s="148"/>
      <c r="R107" s="148"/>
      <c r="S107" s="148"/>
      <c r="T107" s="148"/>
      <c r="U107" s="148"/>
      <c r="V107" s="149"/>
      <c r="W107" s="149"/>
      <c r="X107" s="149"/>
      <c r="Y107" s="149"/>
    </row>
    <row r="108" spans="1:25" customFormat="1">
      <c r="A108" s="156">
        <f>'BD Plant List'!A107</f>
        <v>42887</v>
      </c>
      <c r="B108" s="148"/>
      <c r="C108" s="148"/>
      <c r="D108" s="148"/>
      <c r="E108" s="148"/>
      <c r="F108" s="148"/>
      <c r="G108" s="148"/>
      <c r="H108" s="148"/>
      <c r="I108" s="148"/>
      <c r="J108" s="148"/>
      <c r="K108" s="148"/>
      <c r="L108" s="148"/>
      <c r="M108" s="148"/>
      <c r="N108" s="148"/>
      <c r="O108" s="148"/>
      <c r="P108" s="148"/>
      <c r="Q108" s="148"/>
      <c r="R108" s="148"/>
      <c r="S108" s="148"/>
      <c r="T108" s="148"/>
      <c r="U108" s="148"/>
      <c r="V108" s="149"/>
      <c r="W108" s="149"/>
      <c r="X108" s="149"/>
      <c r="Y108" s="149"/>
    </row>
    <row r="109" spans="1:25" customFormat="1">
      <c r="A109" s="156">
        <f>'BD Plant List'!A108</f>
        <v>42917</v>
      </c>
      <c r="B109" s="148"/>
      <c r="C109" s="148"/>
      <c r="D109" s="148"/>
      <c r="E109" s="148"/>
      <c r="F109" s="148"/>
      <c r="G109" s="148"/>
      <c r="H109" s="148"/>
      <c r="I109" s="148"/>
      <c r="J109" s="148"/>
      <c r="K109" s="148"/>
      <c r="L109" s="148"/>
      <c r="M109" s="148"/>
      <c r="N109" s="148"/>
      <c r="O109" s="148"/>
      <c r="P109" s="148"/>
      <c r="Q109" s="148"/>
      <c r="R109" s="148"/>
      <c r="S109" s="148"/>
      <c r="T109" s="148"/>
      <c r="U109" s="148"/>
      <c r="V109" s="149"/>
      <c r="W109" s="149"/>
      <c r="X109" s="149"/>
      <c r="Y109" s="149"/>
    </row>
    <row r="110" spans="1:25" customFormat="1">
      <c r="A110" s="156">
        <f>'BD Plant List'!A109</f>
        <v>42948</v>
      </c>
      <c r="B110" s="148"/>
      <c r="C110" s="148"/>
      <c r="D110" s="148"/>
      <c r="E110" s="148"/>
      <c r="F110" s="148"/>
      <c r="G110" s="148"/>
      <c r="H110" s="148"/>
      <c r="I110" s="148"/>
      <c r="J110" s="148"/>
      <c r="K110" s="148"/>
      <c r="L110" s="148"/>
      <c r="M110" s="148"/>
      <c r="N110" s="148"/>
      <c r="O110" s="148"/>
      <c r="P110" s="148"/>
      <c r="Q110" s="148"/>
      <c r="R110" s="148"/>
      <c r="S110" s="148"/>
      <c r="T110" s="148"/>
      <c r="U110" s="148"/>
      <c r="V110" s="149"/>
      <c r="W110" s="149"/>
      <c r="X110" s="149"/>
      <c r="Y110" s="149"/>
    </row>
    <row r="111" spans="1:25" customFormat="1">
      <c r="A111" s="156">
        <f>'BD Plant List'!A110</f>
        <v>42979</v>
      </c>
      <c r="B111" s="148"/>
      <c r="C111" s="148"/>
      <c r="D111" s="148"/>
      <c r="E111" s="148"/>
      <c r="F111" s="148"/>
      <c r="G111" s="148"/>
      <c r="H111" s="148"/>
      <c r="I111" s="148"/>
      <c r="J111" s="148"/>
      <c r="K111" s="148"/>
      <c r="L111" s="148"/>
      <c r="M111" s="148"/>
      <c r="N111" s="148"/>
      <c r="O111" s="148"/>
      <c r="P111" s="148"/>
      <c r="Q111" s="148"/>
      <c r="R111" s="148"/>
      <c r="S111" s="148"/>
      <c r="T111" s="148"/>
      <c r="U111" s="148"/>
      <c r="V111" s="149"/>
      <c r="W111" s="149"/>
      <c r="X111" s="149"/>
      <c r="Y111" s="149"/>
    </row>
    <row r="112" spans="1:25" customFormat="1">
      <c r="A112" s="156">
        <f>'BD Plant List'!A111</f>
        <v>43009</v>
      </c>
      <c r="B112" s="148"/>
      <c r="C112" s="148"/>
      <c r="D112" s="148"/>
      <c r="E112" s="148"/>
      <c r="F112" s="148"/>
      <c r="G112" s="148"/>
      <c r="H112" s="148"/>
      <c r="I112" s="148"/>
      <c r="J112" s="148"/>
      <c r="K112" s="148"/>
      <c r="L112" s="148"/>
      <c r="M112" s="148"/>
      <c r="N112" s="148"/>
      <c r="O112" s="148"/>
      <c r="P112" s="148"/>
      <c r="Q112" s="148"/>
      <c r="R112" s="148"/>
      <c r="S112" s="148"/>
      <c r="T112" s="148"/>
      <c r="U112" s="148"/>
      <c r="V112" s="149"/>
      <c r="W112" s="149"/>
      <c r="X112" s="149"/>
      <c r="Y112" s="149"/>
    </row>
    <row r="113" spans="1:29" customFormat="1">
      <c r="A113" s="156">
        <f>'BD Plant List'!A112</f>
        <v>43040</v>
      </c>
      <c r="B113" s="148"/>
      <c r="C113" s="148"/>
      <c r="D113" s="148"/>
      <c r="E113" s="148"/>
      <c r="F113" s="148"/>
      <c r="G113" s="148"/>
      <c r="H113" s="148"/>
      <c r="I113" s="148"/>
      <c r="J113" s="148"/>
      <c r="K113" s="148"/>
      <c r="L113" s="148"/>
      <c r="M113" s="148"/>
      <c r="N113" s="148"/>
      <c r="O113" s="148"/>
      <c r="P113" s="148"/>
      <c r="Q113" s="148"/>
      <c r="R113" s="148"/>
      <c r="S113" s="148"/>
      <c r="T113" s="148"/>
      <c r="U113" s="148"/>
      <c r="V113" s="149"/>
      <c r="W113" s="149"/>
      <c r="X113" s="149"/>
      <c r="Y113" s="149"/>
    </row>
    <row r="114" spans="1:29" customFormat="1">
      <c r="A114" s="156">
        <f>'BD Plant List'!A113</f>
        <v>43070</v>
      </c>
      <c r="B114" s="148"/>
      <c r="C114" s="148"/>
      <c r="D114" s="148"/>
      <c r="E114" s="148"/>
      <c r="F114" s="148"/>
      <c r="G114" s="148"/>
      <c r="H114" s="148"/>
      <c r="I114" s="148"/>
      <c r="J114" s="148"/>
      <c r="K114" s="148"/>
      <c r="L114" s="148"/>
      <c r="M114" s="148"/>
      <c r="N114" s="148"/>
      <c r="O114" s="148"/>
      <c r="P114" s="148"/>
      <c r="Q114" s="148"/>
      <c r="R114" s="148"/>
      <c r="S114" s="148"/>
      <c r="T114" s="148"/>
      <c r="U114" s="148"/>
      <c r="V114" s="149"/>
      <c r="W114" s="149"/>
      <c r="X114" s="149"/>
      <c r="Y114" s="149"/>
    </row>
    <row r="115" spans="1:29" customFormat="1">
      <c r="A115" s="156">
        <f>'BD Plant List'!A114</f>
        <v>43101</v>
      </c>
      <c r="B115" s="148"/>
      <c r="C115" s="148"/>
      <c r="D115" s="148"/>
      <c r="E115" s="148"/>
      <c r="F115" s="148"/>
      <c r="G115" s="148"/>
      <c r="H115" s="148"/>
      <c r="I115" s="148"/>
      <c r="J115" s="148"/>
      <c r="K115" s="148"/>
      <c r="L115" s="148"/>
      <c r="M115" s="148"/>
      <c r="N115" s="148"/>
      <c r="O115" s="148"/>
      <c r="P115" s="148"/>
      <c r="Q115" s="148"/>
      <c r="R115" s="148"/>
      <c r="S115" s="148"/>
      <c r="T115" s="148"/>
      <c r="U115" s="148"/>
      <c r="V115" s="149"/>
      <c r="W115" s="149"/>
      <c r="X115" s="149"/>
      <c r="Y115" s="149"/>
    </row>
    <row r="116" spans="1:29" customFormat="1">
      <c r="A116" s="156">
        <f>'BD Plant List'!A115</f>
        <v>43132</v>
      </c>
      <c r="B116" s="148"/>
      <c r="C116" s="148"/>
      <c r="D116" s="148"/>
      <c r="E116" s="148"/>
      <c r="F116" s="148"/>
      <c r="G116" s="148"/>
      <c r="H116" s="148"/>
      <c r="I116" s="148"/>
      <c r="J116" s="148"/>
      <c r="K116" s="148"/>
      <c r="L116" s="148"/>
      <c r="M116" s="148"/>
      <c r="N116" s="148"/>
      <c r="O116" s="148"/>
      <c r="P116" s="148"/>
      <c r="Q116" s="148"/>
      <c r="R116" s="148"/>
      <c r="S116" s="148"/>
      <c r="T116" s="148"/>
      <c r="U116" s="148"/>
      <c r="V116" s="149"/>
      <c r="W116" s="149"/>
      <c r="X116" s="149"/>
      <c r="Y116" s="149"/>
    </row>
    <row r="117" spans="1:29" customFormat="1">
      <c r="A117" s="156">
        <f>'BD Plant List'!A116</f>
        <v>43160</v>
      </c>
      <c r="B117" s="148"/>
      <c r="C117" s="148"/>
      <c r="D117" s="148"/>
      <c r="E117" s="148"/>
      <c r="F117" s="148"/>
      <c r="G117" s="148"/>
      <c r="H117" s="148"/>
      <c r="I117" s="148"/>
      <c r="J117" s="148"/>
      <c r="K117" s="148"/>
      <c r="L117" s="148"/>
      <c r="M117" s="148"/>
      <c r="N117" s="148"/>
      <c r="O117" s="148"/>
      <c r="P117" s="148"/>
      <c r="Q117" s="148"/>
      <c r="R117" s="148"/>
      <c r="S117" s="148"/>
      <c r="T117" s="148"/>
      <c r="U117" s="148"/>
      <c r="V117" s="149"/>
      <c r="W117" s="149"/>
      <c r="X117" s="149"/>
      <c r="Y117" s="149"/>
    </row>
    <row r="118" spans="1:29" customFormat="1">
      <c r="A118" s="156">
        <f>'BD Plant List'!A117</f>
        <v>43191</v>
      </c>
      <c r="B118" s="148"/>
      <c r="C118" s="148"/>
      <c r="D118" s="148"/>
      <c r="E118" s="148"/>
      <c r="F118" s="148"/>
      <c r="G118" s="148"/>
      <c r="H118" s="148"/>
      <c r="I118" s="148"/>
      <c r="J118" s="148"/>
      <c r="K118" s="148"/>
      <c r="L118" s="148"/>
      <c r="M118" s="148"/>
      <c r="N118" s="148"/>
      <c r="O118" s="148"/>
      <c r="P118" s="148"/>
      <c r="Q118" s="148"/>
      <c r="R118" s="148"/>
      <c r="S118" s="148"/>
      <c r="T118" s="148"/>
      <c r="U118" s="148"/>
      <c r="V118" s="149"/>
      <c r="W118" s="149"/>
      <c r="X118" s="149"/>
      <c r="Y118" s="149"/>
    </row>
    <row r="119" spans="1:29" customFormat="1">
      <c r="A119" s="156">
        <f>'BD Plant List'!A118</f>
        <v>43221</v>
      </c>
      <c r="B119" s="148"/>
      <c r="C119" s="148"/>
      <c r="D119" s="148"/>
      <c r="E119" s="148"/>
      <c r="F119" s="148"/>
      <c r="G119" s="148"/>
      <c r="H119" s="148"/>
      <c r="I119" s="148"/>
      <c r="J119" s="148"/>
      <c r="K119" s="148"/>
      <c r="L119" s="148"/>
      <c r="M119" s="148"/>
      <c r="N119" s="148"/>
      <c r="O119" s="148"/>
      <c r="P119" s="148"/>
      <c r="Q119" s="148"/>
      <c r="R119" s="148"/>
      <c r="S119" s="148"/>
      <c r="T119" s="148"/>
      <c r="U119" s="148"/>
      <c r="V119" s="149"/>
      <c r="W119" s="149"/>
      <c r="X119" s="149"/>
      <c r="Y119" s="149"/>
    </row>
    <row r="120" spans="1:29" customFormat="1">
      <c r="A120" s="156">
        <f>'BD Plant List'!A119</f>
        <v>43252</v>
      </c>
      <c r="B120" s="148"/>
      <c r="C120" s="148"/>
      <c r="D120" s="148"/>
      <c r="E120" s="148"/>
      <c r="F120" s="148"/>
      <c r="G120" s="148"/>
      <c r="H120" s="148"/>
      <c r="I120" s="148"/>
      <c r="J120" s="148"/>
      <c r="K120" s="148"/>
      <c r="L120" s="148"/>
      <c r="M120" s="148"/>
      <c r="N120" s="148"/>
      <c r="O120" s="148"/>
      <c r="P120" s="148"/>
      <c r="Q120" s="148"/>
      <c r="R120" s="148"/>
      <c r="S120" s="148"/>
      <c r="T120" s="148"/>
      <c r="U120" s="148"/>
      <c r="V120" s="149"/>
      <c r="W120" s="149"/>
      <c r="X120" s="149"/>
      <c r="Y120" s="149"/>
    </row>
    <row r="121" spans="1:29" customFormat="1">
      <c r="A121" s="156">
        <f>'BD Plant List'!A120</f>
        <v>43282</v>
      </c>
      <c r="B121" s="148"/>
      <c r="C121" s="148"/>
      <c r="D121" s="148"/>
      <c r="E121" s="148"/>
      <c r="F121" s="148"/>
      <c r="G121" s="148"/>
      <c r="H121" s="148"/>
      <c r="I121" s="148"/>
      <c r="J121" s="148"/>
      <c r="K121" s="148"/>
      <c r="L121" s="148"/>
      <c r="M121" s="148"/>
      <c r="N121" s="148"/>
      <c r="O121" s="148"/>
      <c r="P121" s="148"/>
      <c r="Q121" s="148"/>
      <c r="R121" s="148"/>
      <c r="S121" s="148"/>
      <c r="T121" s="148"/>
      <c r="U121" s="148"/>
      <c r="V121" s="149"/>
      <c r="W121" s="149"/>
      <c r="X121" s="149"/>
      <c r="Y121" s="149"/>
    </row>
    <row r="122" spans="1:29" customFormat="1">
      <c r="A122" s="156">
        <f>'BD Plant List'!A121</f>
        <v>43313</v>
      </c>
      <c r="B122" s="148"/>
      <c r="C122" s="148"/>
      <c r="D122" s="148"/>
      <c r="E122" s="148"/>
      <c r="F122" s="148"/>
      <c r="G122" s="148"/>
      <c r="H122" s="148"/>
      <c r="I122" s="148"/>
      <c r="J122" s="148"/>
      <c r="K122" s="148"/>
      <c r="L122" s="148"/>
      <c r="M122" s="148"/>
      <c r="N122" s="148"/>
      <c r="O122" s="148"/>
      <c r="P122" s="148"/>
      <c r="Q122" s="148"/>
      <c r="R122" s="148"/>
      <c r="S122" s="148"/>
      <c r="T122" s="148"/>
      <c r="U122" s="148"/>
      <c r="V122" s="149"/>
      <c r="W122" s="149"/>
      <c r="X122" s="149"/>
      <c r="Y122" s="149"/>
    </row>
    <row r="123" spans="1:29" customFormat="1">
      <c r="A123" s="156">
        <f>'BD Plant List'!A122</f>
        <v>43344</v>
      </c>
      <c r="B123" s="148"/>
      <c r="C123" s="148"/>
      <c r="D123" s="148"/>
      <c r="E123" s="148"/>
      <c r="F123" s="148"/>
      <c r="G123" s="148"/>
      <c r="H123" s="148"/>
      <c r="I123" s="148"/>
      <c r="J123" s="148"/>
      <c r="K123" s="148"/>
      <c r="L123" s="148"/>
      <c r="M123" s="148"/>
      <c r="N123" s="148"/>
      <c r="O123" s="148"/>
      <c r="P123" s="148"/>
      <c r="Q123" s="148"/>
      <c r="R123" s="148"/>
      <c r="S123" s="148"/>
      <c r="T123" s="148"/>
      <c r="U123" s="148"/>
      <c r="V123" s="149"/>
      <c r="W123" s="149"/>
      <c r="X123" s="149"/>
      <c r="Y123" s="149"/>
    </row>
    <row r="124" spans="1:29" customFormat="1">
      <c r="A124" s="156">
        <f>'BD Plant List'!A123</f>
        <v>43374</v>
      </c>
      <c r="B124" s="148"/>
      <c r="C124" s="148"/>
      <c r="D124" s="148"/>
      <c r="E124" s="148"/>
      <c r="F124" s="148"/>
      <c r="G124" s="148"/>
      <c r="H124" s="148"/>
      <c r="I124" s="148"/>
      <c r="J124" s="148"/>
      <c r="K124" s="148"/>
      <c r="L124" s="148"/>
      <c r="M124" s="148"/>
      <c r="N124" s="148"/>
      <c r="O124" s="148"/>
      <c r="P124" s="148"/>
      <c r="Q124" s="148"/>
      <c r="R124" s="148"/>
      <c r="S124" s="148"/>
      <c r="T124" s="148"/>
      <c r="U124" s="148"/>
      <c r="V124" s="149"/>
      <c r="W124" s="149"/>
      <c r="X124" s="149"/>
      <c r="Y124" s="149"/>
    </row>
    <row r="125" spans="1:29" customFormat="1">
      <c r="A125" s="156">
        <f>'BD Plant List'!A124</f>
        <v>43405</v>
      </c>
      <c r="B125" s="148"/>
      <c r="C125" s="148"/>
      <c r="D125" s="148"/>
      <c r="E125" s="148"/>
      <c r="F125" s="148"/>
      <c r="G125" s="148"/>
      <c r="H125" s="148"/>
      <c r="I125" s="148"/>
      <c r="J125" s="148"/>
      <c r="K125" s="148"/>
      <c r="L125" s="148"/>
      <c r="M125" s="148"/>
      <c r="N125" s="148"/>
      <c r="O125" s="148"/>
      <c r="P125" s="148"/>
      <c r="Q125" s="148"/>
      <c r="R125" s="148"/>
      <c r="S125" s="148"/>
      <c r="T125" s="148"/>
      <c r="U125" s="148"/>
      <c r="V125" s="149"/>
      <c r="W125" s="149"/>
      <c r="X125" s="149"/>
      <c r="Y125" s="149"/>
    </row>
    <row r="126" spans="1:29" customFormat="1">
      <c r="A126" s="156">
        <f>'BD Plant List'!A125</f>
        <v>43435</v>
      </c>
      <c r="B126" s="148"/>
      <c r="C126" s="148"/>
      <c r="D126" s="148"/>
      <c r="E126" s="148"/>
      <c r="F126" s="148"/>
      <c r="G126" s="148"/>
      <c r="H126" s="148"/>
      <c r="I126" s="148"/>
      <c r="J126" s="148"/>
      <c r="K126" s="148"/>
      <c r="L126" s="148"/>
      <c r="M126" s="148"/>
      <c r="N126" s="148"/>
      <c r="O126" s="148"/>
      <c r="P126" s="148"/>
      <c r="Q126" s="148"/>
      <c r="R126" s="148"/>
      <c r="S126" s="148"/>
      <c r="T126" s="148"/>
      <c r="U126" s="148"/>
      <c r="V126" s="149"/>
      <c r="W126" s="149"/>
      <c r="X126" s="149"/>
      <c r="Y126" s="149"/>
    </row>
    <row r="127" spans="1:29" customFormat="1">
      <c r="A127" s="156">
        <f>'BD Plant List'!A126</f>
        <v>43466</v>
      </c>
      <c r="B127" s="148">
        <f t="shared" ref="B127:O142" si="0">B$4</f>
        <v>40</v>
      </c>
      <c r="C127" s="148">
        <f t="shared" si="0"/>
        <v>10</v>
      </c>
      <c r="D127" s="148">
        <f t="shared" si="0"/>
        <v>56</v>
      </c>
      <c r="E127" s="148">
        <f t="shared" si="0"/>
        <v>70</v>
      </c>
      <c r="F127" s="148">
        <f t="shared" si="0"/>
        <v>9</v>
      </c>
      <c r="G127" s="148">
        <f t="shared" si="0"/>
        <v>50</v>
      </c>
      <c r="H127" s="148">
        <f t="shared" si="0"/>
        <v>39</v>
      </c>
      <c r="I127" s="148">
        <f t="shared" si="0"/>
        <v>39</v>
      </c>
      <c r="J127" s="148">
        <f t="shared" si="0"/>
        <v>100</v>
      </c>
      <c r="K127" s="148">
        <f t="shared" si="0"/>
        <v>26</v>
      </c>
      <c r="L127" s="148">
        <f t="shared" si="0"/>
        <v>7</v>
      </c>
      <c r="M127" s="148">
        <f t="shared" si="0"/>
        <v>12</v>
      </c>
      <c r="N127" s="148">
        <f t="shared" si="0"/>
        <v>10</v>
      </c>
      <c r="O127" s="148">
        <f t="shared" si="0"/>
        <v>105</v>
      </c>
      <c r="P127" s="148">
        <f t="shared" ref="P127:P138" si="1">SUM(B127:O127)</f>
        <v>573</v>
      </c>
      <c r="Q127" s="148"/>
      <c r="R127" s="148">
        <f>'Fuel Ethanol'!L26</f>
        <v>76891</v>
      </c>
      <c r="S127" s="157">
        <f t="shared" ref="S127:S138" si="2">R127*264.17/1000000</f>
        <v>20.312295470000002</v>
      </c>
      <c r="T127" s="154">
        <f t="shared" ref="T127:T138" si="3">S127/((P127/365)*(A127-A126))</f>
        <v>0.4173837666244441</v>
      </c>
      <c r="U127" s="148"/>
      <c r="V127" s="149">
        <f t="shared" ref="V127:V138" si="4">O127+K127+J127+I127+G127+F127+E127+D127</f>
        <v>455</v>
      </c>
      <c r="W127" s="149">
        <f t="shared" ref="W127:W138" si="5">B127+H127+L127+M127+N127</f>
        <v>108</v>
      </c>
      <c r="X127" s="149">
        <f t="shared" ref="X127:X138" si="6">C127</f>
        <v>10</v>
      </c>
      <c r="Y127" s="149">
        <f t="shared" ref="Y127:Y138" si="7">SUM(V127:X127)</f>
        <v>573</v>
      </c>
      <c r="AA127" s="158">
        <f t="shared" ref="AA127:AC138" si="8">V127/$Y127</f>
        <v>0.79406631762652702</v>
      </c>
      <c r="AB127" s="158">
        <f t="shared" si="8"/>
        <v>0.18848167539267016</v>
      </c>
      <c r="AC127" s="158">
        <f t="shared" si="8"/>
        <v>1.7452006980802792E-2</v>
      </c>
    </row>
    <row r="128" spans="1:29" customFormat="1">
      <c r="A128" s="156">
        <f>'BD Plant List'!A127</f>
        <v>43497</v>
      </c>
      <c r="B128" s="148">
        <f t="shared" si="0"/>
        <v>40</v>
      </c>
      <c r="C128" s="148">
        <f t="shared" si="0"/>
        <v>10</v>
      </c>
      <c r="D128" s="148">
        <f t="shared" si="0"/>
        <v>56</v>
      </c>
      <c r="E128" s="148">
        <f t="shared" si="0"/>
        <v>70</v>
      </c>
      <c r="F128" s="148">
        <f t="shared" si="0"/>
        <v>9</v>
      </c>
      <c r="G128" s="148">
        <f t="shared" si="0"/>
        <v>50</v>
      </c>
      <c r="H128" s="148">
        <f t="shared" si="0"/>
        <v>39</v>
      </c>
      <c r="I128" s="148">
        <f t="shared" si="0"/>
        <v>39</v>
      </c>
      <c r="J128" s="148">
        <f t="shared" si="0"/>
        <v>100</v>
      </c>
      <c r="K128" s="148">
        <f t="shared" si="0"/>
        <v>26</v>
      </c>
      <c r="L128" s="148">
        <f t="shared" si="0"/>
        <v>7</v>
      </c>
      <c r="M128" s="148">
        <f t="shared" si="0"/>
        <v>12</v>
      </c>
      <c r="N128" s="148">
        <f t="shared" si="0"/>
        <v>10</v>
      </c>
      <c r="O128" s="148">
        <f t="shared" si="0"/>
        <v>105</v>
      </c>
      <c r="P128" s="148">
        <f t="shared" si="1"/>
        <v>573</v>
      </c>
      <c r="Q128" s="148"/>
      <c r="R128" s="148">
        <f>'Fuel Ethanol'!L27</f>
        <v>62850</v>
      </c>
      <c r="S128" s="157">
        <f t="shared" si="2"/>
        <v>16.603084500000001</v>
      </c>
      <c r="T128" s="154">
        <f t="shared" si="3"/>
        <v>0.34116567260597874</v>
      </c>
      <c r="U128" s="148"/>
      <c r="V128" s="149">
        <f t="shared" si="4"/>
        <v>455</v>
      </c>
      <c r="W128" s="149">
        <f t="shared" si="5"/>
        <v>108</v>
      </c>
      <c r="X128" s="149">
        <f t="shared" si="6"/>
        <v>10</v>
      </c>
      <c r="Y128" s="149">
        <f t="shared" si="7"/>
        <v>573</v>
      </c>
      <c r="AA128" s="158">
        <f t="shared" si="8"/>
        <v>0.79406631762652702</v>
      </c>
      <c r="AB128" s="158">
        <f t="shared" si="8"/>
        <v>0.18848167539267016</v>
      </c>
      <c r="AC128" s="158">
        <f t="shared" si="8"/>
        <v>1.7452006980802792E-2</v>
      </c>
    </row>
    <row r="129" spans="1:41">
      <c r="A129" s="156">
        <f>'BD Plant List'!A128</f>
        <v>43525</v>
      </c>
      <c r="B129" s="148">
        <f t="shared" si="0"/>
        <v>40</v>
      </c>
      <c r="C129" s="148">
        <f t="shared" si="0"/>
        <v>10</v>
      </c>
      <c r="D129" s="148">
        <f t="shared" si="0"/>
        <v>56</v>
      </c>
      <c r="E129" s="148">
        <f t="shared" si="0"/>
        <v>70</v>
      </c>
      <c r="F129" s="148">
        <f t="shared" si="0"/>
        <v>9</v>
      </c>
      <c r="G129" s="148">
        <f t="shared" si="0"/>
        <v>50</v>
      </c>
      <c r="H129" s="148">
        <f t="shared" si="0"/>
        <v>39</v>
      </c>
      <c r="I129" s="148">
        <f t="shared" si="0"/>
        <v>39</v>
      </c>
      <c r="J129" s="148">
        <f t="shared" si="0"/>
        <v>100</v>
      </c>
      <c r="K129" s="148">
        <f t="shared" si="0"/>
        <v>26</v>
      </c>
      <c r="L129" s="148">
        <f t="shared" si="0"/>
        <v>7</v>
      </c>
      <c r="M129" s="148">
        <f t="shared" si="0"/>
        <v>12</v>
      </c>
      <c r="N129" s="148">
        <f t="shared" si="0"/>
        <v>10</v>
      </c>
      <c r="O129" s="148">
        <f t="shared" si="0"/>
        <v>105</v>
      </c>
      <c r="P129" s="148">
        <f t="shared" si="1"/>
        <v>573</v>
      </c>
      <c r="R129" s="148">
        <f>'Fuel Ethanol'!L28</f>
        <v>84270</v>
      </c>
      <c r="S129" s="157">
        <f t="shared" si="2"/>
        <v>22.261605900000003</v>
      </c>
      <c r="T129" s="154">
        <f t="shared" si="3"/>
        <v>0.50645014669035149</v>
      </c>
      <c r="V129" s="149">
        <f t="shared" si="4"/>
        <v>455</v>
      </c>
      <c r="W129" s="149">
        <f t="shared" si="5"/>
        <v>108</v>
      </c>
      <c r="X129" s="149">
        <f t="shared" si="6"/>
        <v>10</v>
      </c>
      <c r="Y129" s="149">
        <f t="shared" si="7"/>
        <v>573</v>
      </c>
      <c r="AA129" s="158">
        <f t="shared" si="8"/>
        <v>0.79406631762652702</v>
      </c>
      <c r="AB129" s="158">
        <f t="shared" si="8"/>
        <v>0.18848167539267016</v>
      </c>
      <c r="AC129" s="158">
        <f t="shared" si="8"/>
        <v>1.7452006980802792E-2</v>
      </c>
      <c r="AI129"/>
      <c r="AJ129"/>
      <c r="AK129"/>
    </row>
    <row r="130" spans="1:41">
      <c r="A130" s="156">
        <f>'BD Plant List'!A129</f>
        <v>43556</v>
      </c>
      <c r="B130" s="148">
        <f t="shared" si="0"/>
        <v>40</v>
      </c>
      <c r="C130" s="148">
        <f t="shared" si="0"/>
        <v>10</v>
      </c>
      <c r="D130" s="148">
        <f t="shared" si="0"/>
        <v>56</v>
      </c>
      <c r="E130" s="148">
        <f t="shared" si="0"/>
        <v>70</v>
      </c>
      <c r="F130" s="148">
        <f t="shared" si="0"/>
        <v>9</v>
      </c>
      <c r="G130" s="148">
        <f t="shared" si="0"/>
        <v>50</v>
      </c>
      <c r="H130" s="148">
        <f t="shared" si="0"/>
        <v>39</v>
      </c>
      <c r="I130" s="148">
        <f t="shared" si="0"/>
        <v>39</v>
      </c>
      <c r="J130" s="148">
        <f t="shared" si="0"/>
        <v>100</v>
      </c>
      <c r="K130" s="148">
        <f t="shared" si="0"/>
        <v>26</v>
      </c>
      <c r="L130" s="148">
        <f t="shared" si="0"/>
        <v>7</v>
      </c>
      <c r="M130" s="148">
        <f t="shared" si="0"/>
        <v>12</v>
      </c>
      <c r="N130" s="148">
        <f t="shared" si="0"/>
        <v>10</v>
      </c>
      <c r="O130" s="148">
        <f t="shared" si="0"/>
        <v>105</v>
      </c>
      <c r="P130" s="148">
        <f t="shared" si="1"/>
        <v>573</v>
      </c>
      <c r="R130" s="148">
        <f>'Fuel Ethanol'!L29</f>
        <v>119100</v>
      </c>
      <c r="S130" s="157">
        <f t="shared" si="2"/>
        <v>31.462647000000004</v>
      </c>
      <c r="T130" s="154">
        <f t="shared" si="3"/>
        <v>0.64650487839891913</v>
      </c>
      <c r="V130" s="149">
        <f t="shared" si="4"/>
        <v>455</v>
      </c>
      <c r="W130" s="149">
        <f t="shared" si="5"/>
        <v>108</v>
      </c>
      <c r="X130" s="149">
        <f t="shared" si="6"/>
        <v>10</v>
      </c>
      <c r="Y130" s="149">
        <f t="shared" si="7"/>
        <v>573</v>
      </c>
      <c r="AA130" s="158">
        <f t="shared" si="8"/>
        <v>0.79406631762652702</v>
      </c>
      <c r="AB130" s="158">
        <f t="shared" si="8"/>
        <v>0.18848167539267016</v>
      </c>
      <c r="AC130" s="158">
        <f t="shared" si="8"/>
        <v>1.7452006980802792E-2</v>
      </c>
      <c r="AI130"/>
      <c r="AJ130"/>
      <c r="AK130"/>
    </row>
    <row r="131" spans="1:41">
      <c r="A131" s="156">
        <f>'BD Plant List'!A130</f>
        <v>43586</v>
      </c>
      <c r="B131" s="148">
        <f t="shared" si="0"/>
        <v>40</v>
      </c>
      <c r="C131" s="148">
        <f t="shared" si="0"/>
        <v>10</v>
      </c>
      <c r="D131" s="148">
        <f t="shared" si="0"/>
        <v>56</v>
      </c>
      <c r="E131" s="148">
        <f t="shared" si="0"/>
        <v>70</v>
      </c>
      <c r="F131" s="148">
        <f t="shared" si="0"/>
        <v>9</v>
      </c>
      <c r="G131" s="148">
        <f t="shared" si="0"/>
        <v>50</v>
      </c>
      <c r="H131" s="148">
        <f t="shared" si="0"/>
        <v>39</v>
      </c>
      <c r="I131" s="148">
        <f t="shared" si="0"/>
        <v>39</v>
      </c>
      <c r="J131" s="148">
        <f t="shared" si="0"/>
        <v>100</v>
      </c>
      <c r="K131" s="148">
        <f t="shared" si="0"/>
        <v>26</v>
      </c>
      <c r="L131" s="148">
        <f t="shared" si="0"/>
        <v>7</v>
      </c>
      <c r="M131" s="148">
        <f t="shared" si="0"/>
        <v>12</v>
      </c>
      <c r="N131" s="148">
        <f t="shared" si="0"/>
        <v>10</v>
      </c>
      <c r="O131" s="148">
        <f t="shared" si="0"/>
        <v>105</v>
      </c>
      <c r="P131" s="148">
        <f t="shared" si="1"/>
        <v>573</v>
      </c>
      <c r="R131" s="148">
        <f>'Fuel Ethanol'!L30</f>
        <v>82226</v>
      </c>
      <c r="S131" s="157">
        <f t="shared" si="2"/>
        <v>21.721642420000002</v>
      </c>
      <c r="T131" s="154">
        <f t="shared" si="3"/>
        <v>0.46122161043048282</v>
      </c>
      <c r="V131" s="149">
        <f t="shared" si="4"/>
        <v>455</v>
      </c>
      <c r="W131" s="149">
        <f t="shared" si="5"/>
        <v>108</v>
      </c>
      <c r="X131" s="149">
        <f t="shared" si="6"/>
        <v>10</v>
      </c>
      <c r="Y131" s="149">
        <f t="shared" si="7"/>
        <v>573</v>
      </c>
      <c r="AA131" s="158">
        <f t="shared" si="8"/>
        <v>0.79406631762652702</v>
      </c>
      <c r="AB131" s="158">
        <f t="shared" si="8"/>
        <v>0.18848167539267016</v>
      </c>
      <c r="AC131" s="158">
        <f t="shared" si="8"/>
        <v>1.7452006980802792E-2</v>
      </c>
      <c r="AI131"/>
      <c r="AJ131"/>
      <c r="AK131"/>
    </row>
    <row r="132" spans="1:41">
      <c r="A132" s="156">
        <f>'BD Plant List'!A131</f>
        <v>43617</v>
      </c>
      <c r="B132" s="148">
        <f t="shared" si="0"/>
        <v>40</v>
      </c>
      <c r="C132" s="148">
        <f t="shared" si="0"/>
        <v>10</v>
      </c>
      <c r="D132" s="148">
        <f t="shared" si="0"/>
        <v>56</v>
      </c>
      <c r="E132" s="148">
        <f t="shared" si="0"/>
        <v>70</v>
      </c>
      <c r="F132" s="148">
        <f t="shared" si="0"/>
        <v>9</v>
      </c>
      <c r="G132" s="148">
        <f t="shared" si="0"/>
        <v>50</v>
      </c>
      <c r="H132" s="148">
        <f t="shared" si="0"/>
        <v>39</v>
      </c>
      <c r="I132" s="148">
        <f t="shared" si="0"/>
        <v>39</v>
      </c>
      <c r="J132" s="148">
        <f t="shared" si="0"/>
        <v>100</v>
      </c>
      <c r="K132" s="148">
        <f t="shared" si="0"/>
        <v>26</v>
      </c>
      <c r="L132" s="148">
        <f t="shared" si="0"/>
        <v>7</v>
      </c>
      <c r="M132" s="148">
        <f t="shared" si="0"/>
        <v>12</v>
      </c>
      <c r="N132" s="148">
        <f t="shared" si="0"/>
        <v>10</v>
      </c>
      <c r="O132" s="148">
        <f t="shared" si="0"/>
        <v>105</v>
      </c>
      <c r="P132" s="148">
        <f t="shared" si="1"/>
        <v>573</v>
      </c>
      <c r="R132" s="148">
        <f>'Fuel Ethanol'!L31</f>
        <v>106400</v>
      </c>
      <c r="S132" s="157">
        <f t="shared" si="2"/>
        <v>28.107688</v>
      </c>
      <c r="T132" s="154">
        <f t="shared" si="3"/>
        <v>0.57756607104655744</v>
      </c>
      <c r="V132" s="149">
        <f t="shared" si="4"/>
        <v>455</v>
      </c>
      <c r="W132" s="149">
        <f t="shared" si="5"/>
        <v>108</v>
      </c>
      <c r="X132" s="149">
        <f t="shared" si="6"/>
        <v>10</v>
      </c>
      <c r="Y132" s="149">
        <f t="shared" si="7"/>
        <v>573</v>
      </c>
      <c r="AA132" s="158">
        <f t="shared" si="8"/>
        <v>0.79406631762652702</v>
      </c>
      <c r="AB132" s="158">
        <f t="shared" si="8"/>
        <v>0.18848167539267016</v>
      </c>
      <c r="AC132" s="158">
        <f t="shared" si="8"/>
        <v>1.7452006980802792E-2</v>
      </c>
      <c r="AI132"/>
      <c r="AJ132"/>
      <c r="AK132"/>
    </row>
    <row r="133" spans="1:41">
      <c r="A133" s="156">
        <f>'BD Plant List'!A132</f>
        <v>43647</v>
      </c>
      <c r="B133" s="148">
        <f t="shared" si="0"/>
        <v>40</v>
      </c>
      <c r="C133" s="148">
        <f t="shared" si="0"/>
        <v>10</v>
      </c>
      <c r="D133" s="148">
        <f t="shared" si="0"/>
        <v>56</v>
      </c>
      <c r="E133" s="148">
        <f t="shared" si="0"/>
        <v>70</v>
      </c>
      <c r="F133" s="148">
        <f t="shared" si="0"/>
        <v>9</v>
      </c>
      <c r="G133" s="148">
        <f t="shared" si="0"/>
        <v>50</v>
      </c>
      <c r="H133" s="148">
        <f t="shared" si="0"/>
        <v>39</v>
      </c>
      <c r="I133" s="148">
        <f t="shared" si="0"/>
        <v>39</v>
      </c>
      <c r="J133" s="148">
        <f t="shared" si="0"/>
        <v>100</v>
      </c>
      <c r="K133" s="148">
        <f t="shared" si="0"/>
        <v>26</v>
      </c>
      <c r="L133" s="148">
        <f t="shared" si="0"/>
        <v>7</v>
      </c>
      <c r="M133" s="148">
        <f t="shared" si="0"/>
        <v>12</v>
      </c>
      <c r="N133" s="148">
        <f t="shared" si="0"/>
        <v>10</v>
      </c>
      <c r="O133" s="148">
        <f t="shared" si="0"/>
        <v>105</v>
      </c>
      <c r="P133" s="148">
        <f t="shared" si="1"/>
        <v>573</v>
      </c>
      <c r="R133" s="148">
        <f>'Fuel Ethanol'!L32</f>
        <v>126724</v>
      </c>
      <c r="S133" s="157">
        <f t="shared" si="2"/>
        <v>33.476679080000004</v>
      </c>
      <c r="T133" s="154">
        <f t="shared" si="3"/>
        <v>0.7108195383478767</v>
      </c>
      <c r="V133" s="149">
        <f t="shared" si="4"/>
        <v>455</v>
      </c>
      <c r="W133" s="149">
        <f t="shared" si="5"/>
        <v>108</v>
      </c>
      <c r="X133" s="149">
        <f t="shared" si="6"/>
        <v>10</v>
      </c>
      <c r="Y133" s="149">
        <f t="shared" si="7"/>
        <v>573</v>
      </c>
      <c r="AA133" s="158">
        <f t="shared" si="8"/>
        <v>0.79406631762652702</v>
      </c>
      <c r="AB133" s="158">
        <f t="shared" si="8"/>
        <v>0.18848167539267016</v>
      </c>
      <c r="AC133" s="158">
        <f t="shared" si="8"/>
        <v>1.7452006980802792E-2</v>
      </c>
      <c r="AI133"/>
      <c r="AJ133"/>
      <c r="AK133"/>
    </row>
    <row r="134" spans="1:41">
      <c r="A134" s="156">
        <f>'BD Plant List'!A133</f>
        <v>43678</v>
      </c>
      <c r="B134" s="148">
        <f t="shared" si="0"/>
        <v>40</v>
      </c>
      <c r="C134" s="148">
        <f t="shared" si="0"/>
        <v>10</v>
      </c>
      <c r="D134" s="148">
        <f t="shared" si="0"/>
        <v>56</v>
      </c>
      <c r="E134" s="148">
        <f t="shared" si="0"/>
        <v>70</v>
      </c>
      <c r="F134" s="148">
        <f t="shared" si="0"/>
        <v>9</v>
      </c>
      <c r="G134" s="148">
        <f t="shared" si="0"/>
        <v>50</v>
      </c>
      <c r="H134" s="148">
        <f t="shared" si="0"/>
        <v>39</v>
      </c>
      <c r="I134" s="148">
        <f t="shared" si="0"/>
        <v>39</v>
      </c>
      <c r="J134" s="148">
        <f t="shared" si="0"/>
        <v>100</v>
      </c>
      <c r="K134" s="148">
        <f t="shared" si="0"/>
        <v>26</v>
      </c>
      <c r="L134" s="148">
        <f t="shared" si="0"/>
        <v>7</v>
      </c>
      <c r="M134" s="148">
        <f t="shared" si="0"/>
        <v>12</v>
      </c>
      <c r="N134" s="148">
        <f t="shared" si="0"/>
        <v>10</v>
      </c>
      <c r="O134" s="148">
        <f t="shared" si="0"/>
        <v>105</v>
      </c>
      <c r="P134" s="148">
        <f t="shared" si="1"/>
        <v>573</v>
      </c>
      <c r="R134" s="148">
        <f>'Fuel Ethanol'!L33</f>
        <v>113403</v>
      </c>
      <c r="S134" s="157">
        <f t="shared" si="2"/>
        <v>29.957670510000003</v>
      </c>
      <c r="T134" s="154">
        <f t="shared" si="3"/>
        <v>0.61558012363621017</v>
      </c>
      <c r="V134" s="149">
        <f t="shared" si="4"/>
        <v>455</v>
      </c>
      <c r="W134" s="149">
        <f t="shared" si="5"/>
        <v>108</v>
      </c>
      <c r="X134" s="149">
        <f t="shared" si="6"/>
        <v>10</v>
      </c>
      <c r="Y134" s="149">
        <f t="shared" si="7"/>
        <v>573</v>
      </c>
      <c r="AA134" s="158">
        <f t="shared" si="8"/>
        <v>0.79406631762652702</v>
      </c>
      <c r="AB134" s="158">
        <f t="shared" si="8"/>
        <v>0.18848167539267016</v>
      </c>
      <c r="AC134" s="158">
        <f t="shared" si="8"/>
        <v>1.7452006980802792E-2</v>
      </c>
      <c r="AI134"/>
      <c r="AJ134"/>
      <c r="AK134"/>
    </row>
    <row r="135" spans="1:41">
      <c r="A135" s="156">
        <f>'BD Plant List'!A134</f>
        <v>43709</v>
      </c>
      <c r="B135" s="148">
        <f t="shared" si="0"/>
        <v>40</v>
      </c>
      <c r="C135" s="148">
        <f t="shared" si="0"/>
        <v>10</v>
      </c>
      <c r="D135" s="148">
        <f t="shared" si="0"/>
        <v>56</v>
      </c>
      <c r="E135" s="148">
        <f t="shared" si="0"/>
        <v>70</v>
      </c>
      <c r="F135" s="148">
        <f t="shared" si="0"/>
        <v>9</v>
      </c>
      <c r="G135" s="148">
        <f t="shared" si="0"/>
        <v>50</v>
      </c>
      <c r="H135" s="148">
        <f t="shared" si="0"/>
        <v>39</v>
      </c>
      <c r="I135" s="148">
        <f t="shared" si="0"/>
        <v>39</v>
      </c>
      <c r="J135" s="148">
        <f t="shared" si="0"/>
        <v>100</v>
      </c>
      <c r="K135" s="148">
        <f t="shared" si="0"/>
        <v>26</v>
      </c>
      <c r="L135" s="148">
        <f t="shared" si="0"/>
        <v>7</v>
      </c>
      <c r="M135" s="148">
        <f t="shared" si="0"/>
        <v>12</v>
      </c>
      <c r="N135" s="148">
        <f t="shared" si="0"/>
        <v>10</v>
      </c>
      <c r="O135" s="148">
        <f t="shared" si="0"/>
        <v>105</v>
      </c>
      <c r="P135" s="148">
        <f t="shared" si="1"/>
        <v>573</v>
      </c>
      <c r="R135" s="148">
        <f>'Fuel Ethanol'!L34</f>
        <v>117434</v>
      </c>
      <c r="S135" s="157">
        <f t="shared" si="2"/>
        <v>31.022539780000002</v>
      </c>
      <c r="T135" s="154">
        <f t="shared" si="3"/>
        <v>0.63746140965490061</v>
      </c>
      <c r="V135" s="149">
        <f t="shared" si="4"/>
        <v>455</v>
      </c>
      <c r="W135" s="149">
        <f t="shared" si="5"/>
        <v>108</v>
      </c>
      <c r="X135" s="149">
        <f t="shared" si="6"/>
        <v>10</v>
      </c>
      <c r="Y135" s="149">
        <f t="shared" si="7"/>
        <v>573</v>
      </c>
      <c r="AA135" s="158">
        <f t="shared" si="8"/>
        <v>0.79406631762652702</v>
      </c>
      <c r="AB135" s="158">
        <f t="shared" si="8"/>
        <v>0.18848167539267016</v>
      </c>
      <c r="AC135" s="158">
        <f t="shared" si="8"/>
        <v>1.7452006980802792E-2</v>
      </c>
      <c r="AI135"/>
      <c r="AJ135"/>
      <c r="AK135"/>
    </row>
    <row r="136" spans="1:41">
      <c r="A136" s="156">
        <f>'BD Plant List'!A135</f>
        <v>43739</v>
      </c>
      <c r="B136" s="148">
        <f t="shared" si="0"/>
        <v>40</v>
      </c>
      <c r="C136" s="148">
        <f t="shared" si="0"/>
        <v>10</v>
      </c>
      <c r="D136" s="148">
        <f t="shared" si="0"/>
        <v>56</v>
      </c>
      <c r="E136" s="148">
        <f t="shared" si="0"/>
        <v>70</v>
      </c>
      <c r="F136" s="148">
        <f t="shared" si="0"/>
        <v>9</v>
      </c>
      <c r="G136" s="148">
        <f t="shared" si="0"/>
        <v>50</v>
      </c>
      <c r="H136" s="148">
        <f t="shared" si="0"/>
        <v>39</v>
      </c>
      <c r="I136" s="148">
        <f t="shared" si="0"/>
        <v>39</v>
      </c>
      <c r="J136" s="148">
        <f t="shared" si="0"/>
        <v>100</v>
      </c>
      <c r="K136" s="148">
        <f t="shared" si="0"/>
        <v>26</v>
      </c>
      <c r="L136" s="148">
        <f t="shared" si="0"/>
        <v>7</v>
      </c>
      <c r="M136" s="148">
        <f t="shared" si="0"/>
        <v>12</v>
      </c>
      <c r="N136" s="148">
        <f t="shared" si="0"/>
        <v>10</v>
      </c>
      <c r="O136" s="148">
        <f t="shared" si="0"/>
        <v>105</v>
      </c>
      <c r="P136" s="148">
        <f t="shared" si="1"/>
        <v>573</v>
      </c>
      <c r="R136" s="148">
        <f>'Fuel Ethanol'!L35</f>
        <v>107915</v>
      </c>
      <c r="S136" s="157">
        <f t="shared" si="2"/>
        <v>28.50790555</v>
      </c>
      <c r="T136" s="154">
        <f t="shared" si="3"/>
        <v>0.60531620277777776</v>
      </c>
      <c r="V136" s="149">
        <f t="shared" si="4"/>
        <v>455</v>
      </c>
      <c r="W136" s="149">
        <f t="shared" si="5"/>
        <v>108</v>
      </c>
      <c r="X136" s="149">
        <f t="shared" si="6"/>
        <v>10</v>
      </c>
      <c r="Y136" s="149">
        <f t="shared" si="7"/>
        <v>573</v>
      </c>
      <c r="AA136" s="158">
        <f t="shared" si="8"/>
        <v>0.79406631762652702</v>
      </c>
      <c r="AB136" s="158">
        <f t="shared" si="8"/>
        <v>0.18848167539267016</v>
      </c>
      <c r="AC136" s="158">
        <f t="shared" si="8"/>
        <v>1.7452006980802792E-2</v>
      </c>
      <c r="AI136"/>
      <c r="AJ136"/>
      <c r="AK136"/>
    </row>
    <row r="137" spans="1:41">
      <c r="A137" s="156">
        <f>'BD Plant List'!A136</f>
        <v>43770</v>
      </c>
      <c r="B137" s="148">
        <f t="shared" si="0"/>
        <v>40</v>
      </c>
      <c r="C137" s="148">
        <f t="shared" si="0"/>
        <v>10</v>
      </c>
      <c r="D137" s="148">
        <f t="shared" si="0"/>
        <v>56</v>
      </c>
      <c r="E137" s="148">
        <f t="shared" si="0"/>
        <v>70</v>
      </c>
      <c r="F137" s="148">
        <f t="shared" si="0"/>
        <v>9</v>
      </c>
      <c r="G137" s="148">
        <f t="shared" si="0"/>
        <v>50</v>
      </c>
      <c r="H137" s="148">
        <f t="shared" si="0"/>
        <v>39</v>
      </c>
      <c r="I137" s="148">
        <f t="shared" si="0"/>
        <v>39</v>
      </c>
      <c r="J137" s="148">
        <f t="shared" si="0"/>
        <v>100</v>
      </c>
      <c r="K137" s="148">
        <f t="shared" si="0"/>
        <v>26</v>
      </c>
      <c r="L137" s="148">
        <f t="shared" si="0"/>
        <v>7</v>
      </c>
      <c r="M137" s="148">
        <f t="shared" si="0"/>
        <v>12</v>
      </c>
      <c r="N137" s="148">
        <f t="shared" si="0"/>
        <v>10</v>
      </c>
      <c r="O137" s="148">
        <f t="shared" si="0"/>
        <v>105</v>
      </c>
      <c r="P137" s="148">
        <f t="shared" si="1"/>
        <v>573</v>
      </c>
      <c r="R137" s="148">
        <f>'Fuel Ethanol'!L36</f>
        <v>96916</v>
      </c>
      <c r="S137" s="157">
        <f t="shared" si="2"/>
        <v>25.602299720000001</v>
      </c>
      <c r="T137" s="154">
        <f t="shared" si="3"/>
        <v>0.52608452388673088</v>
      </c>
      <c r="V137" s="149">
        <f t="shared" si="4"/>
        <v>455</v>
      </c>
      <c r="W137" s="149">
        <f t="shared" si="5"/>
        <v>108</v>
      </c>
      <c r="X137" s="149">
        <f t="shared" si="6"/>
        <v>10</v>
      </c>
      <c r="Y137" s="149">
        <f t="shared" si="7"/>
        <v>573</v>
      </c>
      <c r="AA137" s="158">
        <f t="shared" si="8"/>
        <v>0.79406631762652702</v>
      </c>
      <c r="AB137" s="158">
        <f t="shared" si="8"/>
        <v>0.18848167539267016</v>
      </c>
      <c r="AC137" s="158">
        <f t="shared" si="8"/>
        <v>1.7452006980802792E-2</v>
      </c>
      <c r="AI137"/>
      <c r="AJ137"/>
      <c r="AK137"/>
    </row>
    <row r="138" spans="1:41">
      <c r="A138" s="156">
        <f>'BD Plant List'!A137</f>
        <v>43800</v>
      </c>
      <c r="B138" s="148">
        <f t="shared" si="0"/>
        <v>40</v>
      </c>
      <c r="C138" s="148">
        <f t="shared" si="0"/>
        <v>10</v>
      </c>
      <c r="D138" s="148">
        <f t="shared" si="0"/>
        <v>56</v>
      </c>
      <c r="E138" s="148">
        <f t="shared" si="0"/>
        <v>70</v>
      </c>
      <c r="F138" s="148">
        <f t="shared" si="0"/>
        <v>9</v>
      </c>
      <c r="G138" s="148">
        <f t="shared" si="0"/>
        <v>50</v>
      </c>
      <c r="H138" s="148">
        <f t="shared" si="0"/>
        <v>39</v>
      </c>
      <c r="I138" s="148">
        <f t="shared" si="0"/>
        <v>39</v>
      </c>
      <c r="J138" s="148">
        <f t="shared" si="0"/>
        <v>100</v>
      </c>
      <c r="K138" s="148">
        <f t="shared" si="0"/>
        <v>26</v>
      </c>
      <c r="L138" s="148">
        <f t="shared" si="0"/>
        <v>7</v>
      </c>
      <c r="M138" s="148">
        <f t="shared" si="0"/>
        <v>12</v>
      </c>
      <c r="N138" s="148">
        <f t="shared" si="0"/>
        <v>10</v>
      </c>
      <c r="O138" s="148">
        <f t="shared" si="0"/>
        <v>105</v>
      </c>
      <c r="P138" s="148">
        <f t="shared" si="1"/>
        <v>573</v>
      </c>
      <c r="R138" s="148">
        <f>'Fuel Ethanol'!L37</f>
        <v>115839</v>
      </c>
      <c r="S138" s="157">
        <f t="shared" si="2"/>
        <v>30.601188630000003</v>
      </c>
      <c r="T138" s="154">
        <f t="shared" si="3"/>
        <v>0.64976345840314131</v>
      </c>
      <c r="V138" s="149">
        <f t="shared" si="4"/>
        <v>455</v>
      </c>
      <c r="W138" s="149">
        <f t="shared" si="5"/>
        <v>108</v>
      </c>
      <c r="X138" s="149">
        <f t="shared" si="6"/>
        <v>10</v>
      </c>
      <c r="Y138" s="149">
        <f t="shared" si="7"/>
        <v>573</v>
      </c>
      <c r="AA138" s="158">
        <f t="shared" si="8"/>
        <v>0.79406631762652702</v>
      </c>
      <c r="AB138" s="158">
        <f t="shared" si="8"/>
        <v>0.18848167539267016</v>
      </c>
      <c r="AC138" s="158">
        <f t="shared" si="8"/>
        <v>1.7452006980802792E-2</v>
      </c>
      <c r="AI138"/>
      <c r="AJ138"/>
      <c r="AK138"/>
    </row>
    <row r="139" spans="1:41">
      <c r="A139" s="156">
        <f>'BD Plant List'!A138</f>
        <v>43831</v>
      </c>
      <c r="B139" s="148">
        <f>B$4</f>
        <v>40</v>
      </c>
      <c r="C139" s="148">
        <f t="shared" si="0"/>
        <v>10</v>
      </c>
      <c r="D139" s="148">
        <f t="shared" si="0"/>
        <v>56</v>
      </c>
      <c r="E139" s="148">
        <f t="shared" si="0"/>
        <v>70</v>
      </c>
      <c r="F139" s="148">
        <f t="shared" si="0"/>
        <v>9</v>
      </c>
      <c r="G139" s="148">
        <f t="shared" si="0"/>
        <v>50</v>
      </c>
      <c r="H139" s="148">
        <f t="shared" si="0"/>
        <v>39</v>
      </c>
      <c r="I139" s="148">
        <f t="shared" si="0"/>
        <v>39</v>
      </c>
      <c r="J139" s="148">
        <f t="shared" si="0"/>
        <v>100</v>
      </c>
      <c r="K139" s="148">
        <f t="shared" si="0"/>
        <v>26</v>
      </c>
      <c r="L139" s="148">
        <f t="shared" si="0"/>
        <v>7</v>
      </c>
      <c r="M139" s="148">
        <f t="shared" si="0"/>
        <v>12</v>
      </c>
      <c r="N139" s="148">
        <f t="shared" si="0"/>
        <v>10</v>
      </c>
      <c r="O139" s="148">
        <f t="shared" si="0"/>
        <v>105</v>
      </c>
      <c r="P139" s="148">
        <f>SUM(B139:O139)</f>
        <v>573</v>
      </c>
      <c r="R139" s="148">
        <f>'Fuel Ethanol'!M26</f>
        <v>158166</v>
      </c>
      <c r="S139" s="157">
        <f>R139*264.17/1000000</f>
        <v>41.782712220000001</v>
      </c>
      <c r="T139" s="154">
        <f>S139/((P139/365)*(A139-A138))</f>
        <v>0.85856499241682138</v>
      </c>
      <c r="V139" s="149">
        <f>O139+K139+J139+I139+G139+F139+E139+D139</f>
        <v>455</v>
      </c>
      <c r="W139" s="149">
        <f>B139+H139+L139+M139+N139</f>
        <v>108</v>
      </c>
      <c r="X139" s="149">
        <f>C139</f>
        <v>10</v>
      </c>
      <c r="Y139" s="149">
        <f t="shared" ref="Y139:Y202" si="9">SUM(V139:X139)</f>
        <v>573</v>
      </c>
      <c r="AA139" s="158">
        <f>V139/$Y139</f>
        <v>0.79406631762652702</v>
      </c>
      <c r="AB139" s="158">
        <f>W139/$Y139</f>
        <v>0.18848167539267016</v>
      </c>
      <c r="AC139" s="158">
        <f>X139/$Y139</f>
        <v>1.7452006980802792E-2</v>
      </c>
      <c r="AE139" s="148">
        <v>125292</v>
      </c>
      <c r="AF139" s="148">
        <v>378741</v>
      </c>
      <c r="AG139" s="148">
        <f>AF139*AA139</f>
        <v>300745.47120418848</v>
      </c>
      <c r="AH139" s="159">
        <f>AG139*39.3679/1000000</f>
        <v>11.839717635819373</v>
      </c>
      <c r="AI139" s="159">
        <f>AE139*2204.622/1000000</f>
        <v>276.22149962399993</v>
      </c>
      <c r="AJ139" s="157">
        <f>AI139/AH139</f>
        <v>23.330074932558468</v>
      </c>
      <c r="AK139" s="157">
        <f>AH139*$AM$6</f>
        <v>11.247731754028404</v>
      </c>
      <c r="AN139" s="148">
        <f>R139*0.79</f>
        <v>124951.14</v>
      </c>
      <c r="AO139" s="160">
        <f>AN139/AF139</f>
        <v>0.32991183948925518</v>
      </c>
    </row>
    <row r="140" spans="1:41">
      <c r="A140" s="156">
        <f>'BD Plant List'!A139</f>
        <v>43862</v>
      </c>
      <c r="B140" s="148">
        <f t="shared" ref="B140:O172" si="10">B$4</f>
        <v>40</v>
      </c>
      <c r="C140" s="148">
        <f t="shared" si="0"/>
        <v>10</v>
      </c>
      <c r="D140" s="148">
        <f t="shared" si="0"/>
        <v>56</v>
      </c>
      <c r="E140" s="148">
        <f t="shared" si="0"/>
        <v>70</v>
      </c>
      <c r="F140" s="148">
        <f t="shared" si="0"/>
        <v>9</v>
      </c>
      <c r="G140" s="148">
        <f t="shared" si="0"/>
        <v>50</v>
      </c>
      <c r="H140" s="148">
        <f t="shared" si="0"/>
        <v>39</v>
      </c>
      <c r="I140" s="148">
        <f t="shared" si="0"/>
        <v>39</v>
      </c>
      <c r="J140" s="148">
        <f t="shared" si="0"/>
        <v>100</v>
      </c>
      <c r="K140" s="148">
        <f t="shared" si="0"/>
        <v>26</v>
      </c>
      <c r="L140" s="148">
        <f t="shared" si="0"/>
        <v>7</v>
      </c>
      <c r="M140" s="148">
        <f t="shared" si="0"/>
        <v>12</v>
      </c>
      <c r="N140" s="148">
        <f t="shared" si="0"/>
        <v>10</v>
      </c>
      <c r="O140" s="148">
        <f t="shared" si="0"/>
        <v>105</v>
      </c>
      <c r="P140" s="148">
        <f t="shared" ref="P140:P203" si="11">SUM(B140:O140)</f>
        <v>573</v>
      </c>
      <c r="R140" s="148">
        <f>'Fuel Ethanol'!M27</f>
        <v>149497</v>
      </c>
      <c r="S140" s="157">
        <f t="shared" ref="S140:S203" si="12">R140*264.17/1000000</f>
        <v>39.492622490000002</v>
      </c>
      <c r="T140" s="154">
        <f t="shared" ref="T140:T203" si="13">S140/((P140/365)*(A140-A139))</f>
        <v>0.81150747108315036</v>
      </c>
      <c r="V140" s="149">
        <f t="shared" ref="V140:V203" si="14">O140+K140+J140+I140+G140+F140+E140+D140</f>
        <v>455</v>
      </c>
      <c r="W140" s="149">
        <f t="shared" ref="W140:W203" si="15">B140+H140+L140+M140+N140</f>
        <v>108</v>
      </c>
      <c r="X140" s="149">
        <f t="shared" ref="X140:X203" si="16">C140</f>
        <v>10</v>
      </c>
      <c r="Y140" s="149">
        <f t="shared" si="9"/>
        <v>573</v>
      </c>
      <c r="AA140" s="158">
        <f t="shared" ref="AA140:AC203" si="17">V140/$Y140</f>
        <v>0.79406631762652702</v>
      </c>
      <c r="AB140" s="158">
        <f t="shared" si="17"/>
        <v>0.18848167539267016</v>
      </c>
      <c r="AC140" s="158">
        <f t="shared" si="17"/>
        <v>1.7452006980802792E-2</v>
      </c>
      <c r="AE140" s="148">
        <v>117402</v>
      </c>
      <c r="AF140" s="148">
        <v>364425</v>
      </c>
      <c r="AG140" s="148">
        <f t="shared" ref="AG140:AG203" si="18">AF140*AA140</f>
        <v>289377.6178010471</v>
      </c>
      <c r="AH140" s="159">
        <f t="shared" ref="AH140:AH203" si="19">AG140*39.3679/1000000</f>
        <v>11.392189119829842</v>
      </c>
      <c r="AI140" s="159">
        <f t="shared" ref="AI140:AI200" si="20">AE140*2204.622/1000000</f>
        <v>258.82703204399996</v>
      </c>
      <c r="AJ140" s="157">
        <f t="shared" ref="AJ140:AJ200" si="21">AI140/AH140</f>
        <v>22.719692354252796</v>
      </c>
      <c r="AK140" s="157">
        <f t="shared" ref="AK140:AK203" si="22">AH140*$AM$6</f>
        <v>10.822579663838349</v>
      </c>
      <c r="AN140" s="148">
        <f t="shared" ref="AN140:AN203" si="23">R140*0.79</f>
        <v>118102.63</v>
      </c>
      <c r="AO140" s="160">
        <f t="shared" ref="AO140:AO181" si="24">AN140/AF140</f>
        <v>0.32407938533305897</v>
      </c>
    </row>
    <row r="141" spans="1:41">
      <c r="A141" s="156">
        <f>'BD Plant List'!A140</f>
        <v>43891</v>
      </c>
      <c r="B141" s="148">
        <f t="shared" si="10"/>
        <v>40</v>
      </c>
      <c r="C141" s="148">
        <f t="shared" si="0"/>
        <v>10</v>
      </c>
      <c r="D141" s="148">
        <f t="shared" si="0"/>
        <v>56</v>
      </c>
      <c r="E141" s="148">
        <f t="shared" si="0"/>
        <v>70</v>
      </c>
      <c r="F141" s="148">
        <f t="shared" si="0"/>
        <v>9</v>
      </c>
      <c r="G141" s="148">
        <f t="shared" si="0"/>
        <v>50</v>
      </c>
      <c r="H141" s="148">
        <f t="shared" si="0"/>
        <v>39</v>
      </c>
      <c r="I141" s="148">
        <f t="shared" si="0"/>
        <v>39</v>
      </c>
      <c r="J141" s="148">
        <f t="shared" si="0"/>
        <v>100</v>
      </c>
      <c r="K141" s="148">
        <f t="shared" si="0"/>
        <v>26</v>
      </c>
      <c r="L141" s="148">
        <f t="shared" si="0"/>
        <v>7</v>
      </c>
      <c r="M141" s="148">
        <f t="shared" si="0"/>
        <v>12</v>
      </c>
      <c r="N141" s="148">
        <f t="shared" si="0"/>
        <v>10</v>
      </c>
      <c r="O141" s="148">
        <f t="shared" si="0"/>
        <v>105</v>
      </c>
      <c r="P141" s="148">
        <f t="shared" si="11"/>
        <v>573</v>
      </c>
      <c r="R141" s="148">
        <f>'Fuel Ethanol'!M28</f>
        <v>147191</v>
      </c>
      <c r="S141" s="157">
        <f t="shared" si="12"/>
        <v>38.883446469999996</v>
      </c>
      <c r="T141" s="154">
        <f t="shared" si="13"/>
        <v>0.85409267386110588</v>
      </c>
      <c r="V141" s="149">
        <f t="shared" si="14"/>
        <v>455</v>
      </c>
      <c r="W141" s="149">
        <f t="shared" si="15"/>
        <v>108</v>
      </c>
      <c r="X141" s="149">
        <f t="shared" si="16"/>
        <v>10</v>
      </c>
      <c r="Y141" s="149">
        <f t="shared" si="9"/>
        <v>573</v>
      </c>
      <c r="AA141" s="158">
        <f t="shared" si="17"/>
        <v>0.79406631762652702</v>
      </c>
      <c r="AB141" s="158">
        <f t="shared" si="17"/>
        <v>0.18848167539267016</v>
      </c>
      <c r="AC141" s="158">
        <f t="shared" si="17"/>
        <v>1.7452006980802792E-2</v>
      </c>
      <c r="AE141" s="148">
        <v>118072</v>
      </c>
      <c r="AF141" s="148">
        <v>358112</v>
      </c>
      <c r="AG141" s="148">
        <f t="shared" si="18"/>
        <v>284364.67713787087</v>
      </c>
      <c r="AH141" s="159">
        <f t="shared" si="19"/>
        <v>11.194840173095987</v>
      </c>
      <c r="AI141" s="159">
        <f t="shared" si="20"/>
        <v>260.304128784</v>
      </c>
      <c r="AJ141" s="157">
        <f t="shared" si="21"/>
        <v>23.252152309380548</v>
      </c>
      <c r="AK141" s="157">
        <f t="shared" si="22"/>
        <v>10.635098164441187</v>
      </c>
      <c r="AN141" s="148">
        <f t="shared" si="23"/>
        <v>116280.89</v>
      </c>
      <c r="AO141" s="160">
        <f t="shared" si="24"/>
        <v>0.32470537150388706</v>
      </c>
    </row>
    <row r="142" spans="1:41">
      <c r="A142" s="156">
        <f>'BD Plant List'!A141</f>
        <v>43922</v>
      </c>
      <c r="B142" s="148">
        <f t="shared" si="10"/>
        <v>40</v>
      </c>
      <c r="C142" s="148">
        <f t="shared" si="0"/>
        <v>10</v>
      </c>
      <c r="D142" s="148">
        <f t="shared" si="0"/>
        <v>56</v>
      </c>
      <c r="E142" s="148">
        <f t="shared" si="0"/>
        <v>70</v>
      </c>
      <c r="F142" s="148">
        <f t="shared" si="0"/>
        <v>9</v>
      </c>
      <c r="G142" s="148">
        <f t="shared" si="0"/>
        <v>50</v>
      </c>
      <c r="H142" s="148">
        <f t="shared" si="0"/>
        <v>39</v>
      </c>
      <c r="I142" s="148">
        <f t="shared" si="0"/>
        <v>39</v>
      </c>
      <c r="J142" s="148">
        <f t="shared" si="0"/>
        <v>100</v>
      </c>
      <c r="K142" s="148">
        <f t="shared" si="0"/>
        <v>26</v>
      </c>
      <c r="L142" s="148">
        <f t="shared" si="0"/>
        <v>7</v>
      </c>
      <c r="M142" s="148">
        <f t="shared" si="0"/>
        <v>12</v>
      </c>
      <c r="N142" s="148">
        <f t="shared" si="0"/>
        <v>10</v>
      </c>
      <c r="O142" s="148">
        <f t="shared" si="0"/>
        <v>105</v>
      </c>
      <c r="P142" s="148">
        <f t="shared" si="11"/>
        <v>573</v>
      </c>
      <c r="R142" s="148">
        <f>'Fuel Ethanol'!M29</f>
        <v>85451</v>
      </c>
      <c r="S142" s="157">
        <f t="shared" si="12"/>
        <v>22.573590670000002</v>
      </c>
      <c r="T142" s="154">
        <f t="shared" si="13"/>
        <v>0.46384960843044531</v>
      </c>
      <c r="V142" s="149">
        <f t="shared" si="14"/>
        <v>455</v>
      </c>
      <c r="W142" s="149">
        <f t="shared" si="15"/>
        <v>108</v>
      </c>
      <c r="X142" s="149">
        <f t="shared" si="16"/>
        <v>10</v>
      </c>
      <c r="Y142" s="149">
        <f t="shared" si="9"/>
        <v>573</v>
      </c>
      <c r="AA142" s="158">
        <f t="shared" si="17"/>
        <v>0.79406631762652702</v>
      </c>
      <c r="AB142" s="158">
        <f t="shared" si="17"/>
        <v>0.18848167539267016</v>
      </c>
      <c r="AC142" s="158">
        <f t="shared" si="17"/>
        <v>1.7452006980802792E-2</v>
      </c>
      <c r="AE142" s="148">
        <v>75875</v>
      </c>
      <c r="AF142" s="148">
        <v>230969</v>
      </c>
      <c r="AG142" s="148">
        <f t="shared" si="18"/>
        <v>183404.70331588131</v>
      </c>
      <c r="AH142" s="159">
        <f t="shared" si="19"/>
        <v>7.2202580196692843</v>
      </c>
      <c r="AI142" s="159">
        <f t="shared" si="20"/>
        <v>167.27569424999999</v>
      </c>
      <c r="AJ142" s="157">
        <f t="shared" si="21"/>
        <v>23.167550770943482</v>
      </c>
      <c r="AK142" s="157">
        <f t="shared" si="22"/>
        <v>6.8592451186858199</v>
      </c>
      <c r="AN142" s="148">
        <f t="shared" si="23"/>
        <v>67506.290000000008</v>
      </c>
      <c r="AO142" s="160">
        <f t="shared" si="24"/>
        <v>0.29227424459559509</v>
      </c>
    </row>
    <row r="143" spans="1:41">
      <c r="A143" s="156">
        <f>'BD Plant List'!A142</f>
        <v>43952</v>
      </c>
      <c r="B143" s="148">
        <f t="shared" si="10"/>
        <v>40</v>
      </c>
      <c r="C143" s="148">
        <f t="shared" si="10"/>
        <v>10</v>
      </c>
      <c r="D143" s="148">
        <f t="shared" si="10"/>
        <v>56</v>
      </c>
      <c r="E143" s="148">
        <f t="shared" si="10"/>
        <v>70</v>
      </c>
      <c r="F143" s="148">
        <f t="shared" si="10"/>
        <v>9</v>
      </c>
      <c r="G143" s="148">
        <f t="shared" si="10"/>
        <v>50</v>
      </c>
      <c r="H143" s="148">
        <f t="shared" si="10"/>
        <v>39</v>
      </c>
      <c r="I143" s="148">
        <f t="shared" si="10"/>
        <v>39</v>
      </c>
      <c r="J143" s="148">
        <f t="shared" si="10"/>
        <v>100</v>
      </c>
      <c r="K143" s="148">
        <f t="shared" si="10"/>
        <v>26</v>
      </c>
      <c r="L143" s="148">
        <f t="shared" si="10"/>
        <v>7</v>
      </c>
      <c r="M143" s="148">
        <f t="shared" si="10"/>
        <v>12</v>
      </c>
      <c r="N143" s="148">
        <f t="shared" si="10"/>
        <v>10</v>
      </c>
      <c r="O143" s="148">
        <f t="shared" si="10"/>
        <v>105</v>
      </c>
      <c r="P143" s="148">
        <f t="shared" si="11"/>
        <v>573</v>
      </c>
      <c r="R143" s="148">
        <f>'Fuel Ethanol'!M30</f>
        <v>88331</v>
      </c>
      <c r="S143" s="157">
        <f t="shared" si="12"/>
        <v>23.33440027</v>
      </c>
      <c r="T143" s="154">
        <f t="shared" si="13"/>
        <v>0.49546574162594526</v>
      </c>
      <c r="V143" s="149">
        <f t="shared" si="14"/>
        <v>455</v>
      </c>
      <c r="W143" s="149">
        <f t="shared" si="15"/>
        <v>108</v>
      </c>
      <c r="X143" s="149">
        <f t="shared" si="16"/>
        <v>10</v>
      </c>
      <c r="Y143" s="149">
        <f t="shared" si="9"/>
        <v>573</v>
      </c>
      <c r="AA143" s="158">
        <f t="shared" si="17"/>
        <v>0.79406631762652702</v>
      </c>
      <c r="AB143" s="158">
        <f t="shared" si="17"/>
        <v>0.18848167539267016</v>
      </c>
      <c r="AC143" s="158">
        <f t="shared" si="17"/>
        <v>1.7452006980802792E-2</v>
      </c>
      <c r="AE143" s="148">
        <v>67378</v>
      </c>
      <c r="AF143" s="148">
        <v>225932</v>
      </c>
      <c r="AG143" s="148">
        <f t="shared" si="18"/>
        <v>179404.99127399651</v>
      </c>
      <c r="AH143" s="159">
        <f t="shared" si="19"/>
        <v>7.0627977559755664</v>
      </c>
      <c r="AI143" s="159">
        <f t="shared" si="20"/>
        <v>148.54302111600001</v>
      </c>
      <c r="AJ143" s="157">
        <f t="shared" si="21"/>
        <v>21.031753456386792</v>
      </c>
      <c r="AK143" s="157">
        <f t="shared" si="22"/>
        <v>6.7096578681767873</v>
      </c>
      <c r="AN143" s="148">
        <f t="shared" si="23"/>
        <v>69781.490000000005</v>
      </c>
      <c r="AO143" s="160">
        <f t="shared" si="24"/>
        <v>0.30886058637112052</v>
      </c>
    </row>
    <row r="144" spans="1:41">
      <c r="A144" s="156">
        <f>'BD Plant List'!A143</f>
        <v>43983</v>
      </c>
      <c r="B144" s="148">
        <f t="shared" si="10"/>
        <v>40</v>
      </c>
      <c r="C144" s="148">
        <f t="shared" si="10"/>
        <v>10</v>
      </c>
      <c r="D144" s="148">
        <f t="shared" si="10"/>
        <v>56</v>
      </c>
      <c r="E144" s="148">
        <f t="shared" si="10"/>
        <v>70</v>
      </c>
      <c r="F144" s="148">
        <f t="shared" si="10"/>
        <v>9</v>
      </c>
      <c r="G144" s="148">
        <f t="shared" si="10"/>
        <v>50</v>
      </c>
      <c r="H144" s="148">
        <f t="shared" si="10"/>
        <v>39</v>
      </c>
      <c r="I144" s="148">
        <f t="shared" si="10"/>
        <v>39</v>
      </c>
      <c r="J144" s="148">
        <f t="shared" si="10"/>
        <v>100</v>
      </c>
      <c r="K144" s="148">
        <f t="shared" si="10"/>
        <v>26</v>
      </c>
      <c r="L144" s="148">
        <f t="shared" si="10"/>
        <v>7</v>
      </c>
      <c r="M144" s="148">
        <f t="shared" si="10"/>
        <v>12</v>
      </c>
      <c r="N144" s="148">
        <f t="shared" si="10"/>
        <v>10</v>
      </c>
      <c r="O144" s="148">
        <f t="shared" si="10"/>
        <v>105</v>
      </c>
      <c r="P144" s="148">
        <f t="shared" si="11"/>
        <v>573</v>
      </c>
      <c r="R144" s="148">
        <f>'Fuel Ethanol'!M31</f>
        <v>129908</v>
      </c>
      <c r="S144" s="157">
        <f t="shared" si="12"/>
        <v>34.317796360000003</v>
      </c>
      <c r="T144" s="154">
        <f t="shared" si="13"/>
        <v>0.70517343193154314</v>
      </c>
      <c r="V144" s="149">
        <f t="shared" si="14"/>
        <v>455</v>
      </c>
      <c r="W144" s="149">
        <f t="shared" si="15"/>
        <v>108</v>
      </c>
      <c r="X144" s="149">
        <f t="shared" si="16"/>
        <v>10</v>
      </c>
      <c r="Y144" s="149">
        <f t="shared" si="9"/>
        <v>573</v>
      </c>
      <c r="AA144" s="158">
        <f t="shared" si="17"/>
        <v>0.79406631762652702</v>
      </c>
      <c r="AB144" s="158">
        <f t="shared" si="17"/>
        <v>0.18848167539267016</v>
      </c>
      <c r="AC144" s="158">
        <f t="shared" si="17"/>
        <v>1.7452006980802792E-2</v>
      </c>
      <c r="AE144" s="148">
        <v>103386</v>
      </c>
      <c r="AF144" s="148">
        <v>318577</v>
      </c>
      <c r="AG144" s="148">
        <f t="shared" si="18"/>
        <v>252971.26527050609</v>
      </c>
      <c r="AH144" s="159">
        <f t="shared" si="19"/>
        <v>9.9589474740427573</v>
      </c>
      <c r="AI144" s="159">
        <f t="shared" si="20"/>
        <v>227.92705009199997</v>
      </c>
      <c r="AJ144" s="157">
        <f t="shared" si="21"/>
        <v>22.886660531755446</v>
      </c>
      <c r="AK144" s="157">
        <f t="shared" si="22"/>
        <v>9.4610001003406197</v>
      </c>
      <c r="AN144" s="148">
        <f t="shared" si="23"/>
        <v>102627.32</v>
      </c>
      <c r="AO144" s="160">
        <f t="shared" si="24"/>
        <v>0.32214290422723552</v>
      </c>
    </row>
    <row r="145" spans="1:41">
      <c r="A145" s="156">
        <f>'BD Plant List'!A144</f>
        <v>44013</v>
      </c>
      <c r="B145" s="148">
        <f t="shared" si="10"/>
        <v>40</v>
      </c>
      <c r="C145" s="148">
        <f t="shared" si="10"/>
        <v>10</v>
      </c>
      <c r="D145" s="148">
        <f t="shared" si="10"/>
        <v>56</v>
      </c>
      <c r="E145" s="148">
        <f t="shared" si="10"/>
        <v>70</v>
      </c>
      <c r="F145" s="148">
        <f t="shared" si="10"/>
        <v>9</v>
      </c>
      <c r="G145" s="148">
        <f t="shared" si="10"/>
        <v>50</v>
      </c>
      <c r="H145" s="148">
        <f t="shared" si="10"/>
        <v>39</v>
      </c>
      <c r="I145" s="148">
        <f t="shared" si="10"/>
        <v>39</v>
      </c>
      <c r="J145" s="148">
        <f t="shared" si="10"/>
        <v>100</v>
      </c>
      <c r="K145" s="148">
        <f t="shared" si="10"/>
        <v>26</v>
      </c>
      <c r="L145" s="148">
        <f t="shared" si="10"/>
        <v>7</v>
      </c>
      <c r="M145" s="148">
        <f t="shared" si="10"/>
        <v>12</v>
      </c>
      <c r="N145" s="148">
        <f t="shared" si="10"/>
        <v>10</v>
      </c>
      <c r="O145" s="148">
        <f t="shared" si="10"/>
        <v>105</v>
      </c>
      <c r="P145" s="148">
        <f t="shared" si="11"/>
        <v>573</v>
      </c>
      <c r="R145" s="148">
        <f>'Fuel Ethanol'!M32</f>
        <v>150008</v>
      </c>
      <c r="S145" s="157">
        <f t="shared" si="12"/>
        <v>39.627613359999998</v>
      </c>
      <c r="T145" s="154">
        <f t="shared" si="13"/>
        <v>0.84142401840604986</v>
      </c>
      <c r="V145" s="149">
        <f t="shared" si="14"/>
        <v>455</v>
      </c>
      <c r="W145" s="149">
        <f t="shared" si="15"/>
        <v>108</v>
      </c>
      <c r="X145" s="149">
        <f t="shared" si="16"/>
        <v>10</v>
      </c>
      <c r="Y145" s="149">
        <f t="shared" si="9"/>
        <v>573</v>
      </c>
      <c r="AA145" s="158">
        <f t="shared" si="17"/>
        <v>0.79406631762652702</v>
      </c>
      <c r="AB145" s="158">
        <f t="shared" si="17"/>
        <v>0.18848167539267016</v>
      </c>
      <c r="AC145" s="158">
        <f t="shared" si="17"/>
        <v>1.7452006980802792E-2</v>
      </c>
      <c r="AE145" s="148">
        <v>120928</v>
      </c>
      <c r="AF145" s="148">
        <v>371659</v>
      </c>
      <c r="AG145" s="148">
        <f t="shared" si="18"/>
        <v>295121.89354275743</v>
      </c>
      <c r="AH145" s="159">
        <f t="shared" si="19"/>
        <v>11.618329192801921</v>
      </c>
      <c r="AI145" s="159">
        <f t="shared" si="20"/>
        <v>266.60052921599998</v>
      </c>
      <c r="AJ145" s="157">
        <f t="shared" si="21"/>
        <v>22.946546339999646</v>
      </c>
      <c r="AK145" s="157">
        <f t="shared" si="22"/>
        <v>11.037412733161824</v>
      </c>
      <c r="AN145" s="148">
        <f t="shared" si="23"/>
        <v>118506.32</v>
      </c>
      <c r="AO145" s="160">
        <f t="shared" si="24"/>
        <v>0.3188576625347429</v>
      </c>
    </row>
    <row r="146" spans="1:41">
      <c r="A146" s="156">
        <f>'BD Plant List'!A145</f>
        <v>44044</v>
      </c>
      <c r="B146" s="148">
        <f t="shared" si="10"/>
        <v>40</v>
      </c>
      <c r="C146" s="148">
        <f t="shared" si="10"/>
        <v>10</v>
      </c>
      <c r="D146" s="148">
        <f t="shared" si="10"/>
        <v>56</v>
      </c>
      <c r="E146" s="148">
        <f t="shared" si="10"/>
        <v>70</v>
      </c>
      <c r="F146" s="148">
        <f t="shared" si="10"/>
        <v>9</v>
      </c>
      <c r="G146" s="148">
        <f t="shared" si="10"/>
        <v>50</v>
      </c>
      <c r="H146" s="148">
        <f t="shared" si="10"/>
        <v>39</v>
      </c>
      <c r="I146" s="148">
        <f t="shared" si="10"/>
        <v>39</v>
      </c>
      <c r="J146" s="148">
        <f t="shared" si="10"/>
        <v>100</v>
      </c>
      <c r="K146" s="148">
        <f t="shared" si="10"/>
        <v>26</v>
      </c>
      <c r="L146" s="148">
        <f t="shared" si="10"/>
        <v>7</v>
      </c>
      <c r="M146" s="148">
        <f t="shared" si="10"/>
        <v>12</v>
      </c>
      <c r="N146" s="148">
        <f t="shared" si="10"/>
        <v>10</v>
      </c>
      <c r="O146" s="148">
        <f t="shared" si="10"/>
        <v>105</v>
      </c>
      <c r="P146" s="148">
        <f t="shared" si="11"/>
        <v>573</v>
      </c>
      <c r="R146" s="148">
        <f>'Fuel Ethanol'!M33</f>
        <v>146424</v>
      </c>
      <c r="S146" s="157">
        <f t="shared" si="12"/>
        <v>38.680828080000005</v>
      </c>
      <c r="T146" s="154">
        <f t="shared" si="13"/>
        <v>0.7948264510048979</v>
      </c>
      <c r="V146" s="149">
        <f t="shared" si="14"/>
        <v>455</v>
      </c>
      <c r="W146" s="149">
        <f t="shared" si="15"/>
        <v>108</v>
      </c>
      <c r="X146" s="149">
        <f t="shared" si="16"/>
        <v>10</v>
      </c>
      <c r="Y146" s="149">
        <f t="shared" si="9"/>
        <v>573</v>
      </c>
      <c r="AA146" s="158">
        <f t="shared" si="17"/>
        <v>0.79406631762652702</v>
      </c>
      <c r="AB146" s="158">
        <f t="shared" si="17"/>
        <v>0.18848167539267016</v>
      </c>
      <c r="AC146" s="158">
        <f t="shared" si="17"/>
        <v>1.7452006980802792E-2</v>
      </c>
      <c r="AE146" s="148">
        <v>114377</v>
      </c>
      <c r="AF146" s="148">
        <v>360641</v>
      </c>
      <c r="AG146" s="148">
        <f t="shared" si="18"/>
        <v>286372.87085514836</v>
      </c>
      <c r="AH146" s="159">
        <f t="shared" si="19"/>
        <v>11.273898542538396</v>
      </c>
      <c r="AI146" s="159">
        <f t="shared" si="20"/>
        <v>252.15805049399998</v>
      </c>
      <c r="AJ146" s="157">
        <f t="shared" si="21"/>
        <v>22.366535368627229</v>
      </c>
      <c r="AK146" s="157">
        <f t="shared" si="22"/>
        <v>10.710203615411475</v>
      </c>
      <c r="AN146" s="148">
        <f t="shared" si="23"/>
        <v>115674.96</v>
      </c>
      <c r="AO146" s="160">
        <f t="shared" si="24"/>
        <v>0.32074822330239772</v>
      </c>
    </row>
    <row r="147" spans="1:41">
      <c r="A147" s="156">
        <f>'BD Plant List'!A146</f>
        <v>44075</v>
      </c>
      <c r="B147" s="148">
        <f t="shared" si="10"/>
        <v>40</v>
      </c>
      <c r="C147" s="148">
        <f t="shared" si="10"/>
        <v>10</v>
      </c>
      <c r="D147" s="148">
        <f t="shared" si="10"/>
        <v>56</v>
      </c>
      <c r="E147" s="148">
        <f t="shared" si="10"/>
        <v>70</v>
      </c>
      <c r="F147" s="148">
        <f t="shared" si="10"/>
        <v>9</v>
      </c>
      <c r="G147" s="148">
        <f t="shared" si="10"/>
        <v>50</v>
      </c>
      <c r="H147" s="148">
        <f t="shared" si="10"/>
        <v>39</v>
      </c>
      <c r="I147" s="148">
        <f t="shared" si="10"/>
        <v>39</v>
      </c>
      <c r="J147" s="148">
        <f t="shared" si="10"/>
        <v>100</v>
      </c>
      <c r="K147" s="148">
        <f t="shared" si="10"/>
        <v>26</v>
      </c>
      <c r="L147" s="148">
        <f t="shared" si="10"/>
        <v>7</v>
      </c>
      <c r="M147" s="148">
        <f t="shared" si="10"/>
        <v>12</v>
      </c>
      <c r="N147" s="148">
        <f t="shared" si="10"/>
        <v>10</v>
      </c>
      <c r="O147" s="148">
        <f t="shared" si="10"/>
        <v>105</v>
      </c>
      <c r="P147" s="148">
        <f t="shared" si="11"/>
        <v>573</v>
      </c>
      <c r="R147" s="148">
        <f>'Fuel Ethanol'!M34</f>
        <v>134745</v>
      </c>
      <c r="S147" s="157">
        <f t="shared" si="12"/>
        <v>35.595586650000001</v>
      </c>
      <c r="T147" s="154">
        <f t="shared" si="13"/>
        <v>0.73142988950346222</v>
      </c>
      <c r="V147" s="149">
        <f t="shared" si="14"/>
        <v>455</v>
      </c>
      <c r="W147" s="149">
        <f t="shared" si="15"/>
        <v>108</v>
      </c>
      <c r="X147" s="149">
        <f t="shared" si="16"/>
        <v>10</v>
      </c>
      <c r="Y147" s="149">
        <f t="shared" si="9"/>
        <v>573</v>
      </c>
      <c r="AA147" s="158">
        <f t="shared" si="17"/>
        <v>0.79406631762652702</v>
      </c>
      <c r="AB147" s="158">
        <f t="shared" si="17"/>
        <v>0.18848167539267016</v>
      </c>
      <c r="AC147" s="158">
        <f t="shared" si="17"/>
        <v>1.7452006980802792E-2</v>
      </c>
      <c r="AE147" s="148">
        <v>104546</v>
      </c>
      <c r="AF147" s="148">
        <v>326873</v>
      </c>
      <c r="AG147" s="148">
        <f t="shared" si="18"/>
        <v>259558.83944153576</v>
      </c>
      <c r="AH147" s="159">
        <f t="shared" si="19"/>
        <v>10.218286435250436</v>
      </c>
      <c r="AI147" s="159">
        <f t="shared" si="20"/>
        <v>230.484411612</v>
      </c>
      <c r="AJ147" s="157">
        <f t="shared" si="21"/>
        <v>22.556072691100987</v>
      </c>
      <c r="AK147" s="157">
        <f t="shared" si="22"/>
        <v>9.7073721134879136</v>
      </c>
      <c r="AN147" s="148">
        <f t="shared" si="23"/>
        <v>106448.55</v>
      </c>
      <c r="AO147" s="160">
        <f t="shared" si="24"/>
        <v>0.32565721243418699</v>
      </c>
    </row>
    <row r="148" spans="1:41">
      <c r="A148" s="156">
        <f>'BD Plant List'!A147</f>
        <v>44105</v>
      </c>
      <c r="B148" s="148">
        <f t="shared" si="10"/>
        <v>40</v>
      </c>
      <c r="C148" s="148">
        <f t="shared" si="10"/>
        <v>10</v>
      </c>
      <c r="D148" s="148">
        <f t="shared" si="10"/>
        <v>56</v>
      </c>
      <c r="E148" s="148">
        <f t="shared" si="10"/>
        <v>70</v>
      </c>
      <c r="F148" s="148">
        <f t="shared" si="10"/>
        <v>9</v>
      </c>
      <c r="G148" s="148">
        <f t="shared" si="10"/>
        <v>50</v>
      </c>
      <c r="H148" s="148">
        <f t="shared" si="10"/>
        <v>39</v>
      </c>
      <c r="I148" s="148">
        <f t="shared" si="10"/>
        <v>39</v>
      </c>
      <c r="J148" s="148">
        <f t="shared" si="10"/>
        <v>100</v>
      </c>
      <c r="K148" s="148">
        <f t="shared" si="10"/>
        <v>26</v>
      </c>
      <c r="L148" s="148">
        <f t="shared" si="10"/>
        <v>7</v>
      </c>
      <c r="M148" s="148">
        <f t="shared" si="10"/>
        <v>12</v>
      </c>
      <c r="N148" s="148">
        <f t="shared" si="10"/>
        <v>10</v>
      </c>
      <c r="O148" s="148">
        <f t="shared" si="10"/>
        <v>105</v>
      </c>
      <c r="P148" s="148">
        <f t="shared" si="11"/>
        <v>573</v>
      </c>
      <c r="R148" s="148">
        <f>'Fuel Ethanol'!M35</f>
        <v>139203</v>
      </c>
      <c r="S148" s="157">
        <f t="shared" si="12"/>
        <v>36.773256510000003</v>
      </c>
      <c r="T148" s="154">
        <f t="shared" si="13"/>
        <v>0.78081667400523558</v>
      </c>
      <c r="V148" s="149">
        <f t="shared" si="14"/>
        <v>455</v>
      </c>
      <c r="W148" s="149">
        <f t="shared" si="15"/>
        <v>108</v>
      </c>
      <c r="X148" s="149">
        <f t="shared" si="16"/>
        <v>10</v>
      </c>
      <c r="Y148" s="149">
        <f t="shared" si="9"/>
        <v>573</v>
      </c>
      <c r="AA148" s="158">
        <f t="shared" si="17"/>
        <v>0.79406631762652702</v>
      </c>
      <c r="AB148" s="158">
        <f t="shared" si="17"/>
        <v>0.18848167539267016</v>
      </c>
      <c r="AC148" s="158">
        <f t="shared" si="17"/>
        <v>1.7452006980802792E-2</v>
      </c>
      <c r="AE148" s="148">
        <v>109318</v>
      </c>
      <c r="AF148" s="148">
        <v>325261</v>
      </c>
      <c r="AG148" s="148">
        <f t="shared" si="18"/>
        <v>258278.80453752179</v>
      </c>
      <c r="AH148" s="159">
        <f t="shared" si="19"/>
        <v>10.167894149152703</v>
      </c>
      <c r="AI148" s="159">
        <f t="shared" si="20"/>
        <v>241.00486779599998</v>
      </c>
      <c r="AJ148" s="157">
        <f t="shared" si="21"/>
        <v>23.702535083538717</v>
      </c>
      <c r="AK148" s="157">
        <f t="shared" si="22"/>
        <v>9.6594994416950666</v>
      </c>
      <c r="AN148" s="148">
        <f t="shared" si="23"/>
        <v>109970.37000000001</v>
      </c>
      <c r="AO148" s="160">
        <f t="shared" si="24"/>
        <v>0.33809884984673849</v>
      </c>
    </row>
    <row r="149" spans="1:41">
      <c r="A149" s="156">
        <f>'BD Plant List'!A148</f>
        <v>44136</v>
      </c>
      <c r="B149" s="148">
        <f t="shared" si="10"/>
        <v>40</v>
      </c>
      <c r="C149" s="148">
        <f t="shared" si="10"/>
        <v>10</v>
      </c>
      <c r="D149" s="148">
        <f t="shared" si="10"/>
        <v>56</v>
      </c>
      <c r="E149" s="148">
        <f t="shared" si="10"/>
        <v>70</v>
      </c>
      <c r="F149" s="148">
        <f t="shared" si="10"/>
        <v>9</v>
      </c>
      <c r="G149" s="148">
        <f t="shared" si="10"/>
        <v>50</v>
      </c>
      <c r="H149" s="148">
        <f t="shared" si="10"/>
        <v>39</v>
      </c>
      <c r="I149" s="148">
        <f t="shared" si="10"/>
        <v>39</v>
      </c>
      <c r="J149" s="148">
        <f t="shared" si="10"/>
        <v>100</v>
      </c>
      <c r="K149" s="148">
        <f t="shared" si="10"/>
        <v>26</v>
      </c>
      <c r="L149" s="148">
        <f t="shared" si="10"/>
        <v>7</v>
      </c>
      <c r="M149" s="148">
        <f t="shared" si="10"/>
        <v>12</v>
      </c>
      <c r="N149" s="148">
        <f t="shared" si="10"/>
        <v>10</v>
      </c>
      <c r="O149" s="148">
        <f t="shared" si="10"/>
        <v>105</v>
      </c>
      <c r="P149" s="148">
        <f t="shared" si="11"/>
        <v>573</v>
      </c>
      <c r="R149" s="148">
        <f>'Fuel Ethanol'!M36</f>
        <v>155234</v>
      </c>
      <c r="S149" s="157">
        <f t="shared" si="12"/>
        <v>41.008165779999999</v>
      </c>
      <c r="T149" s="154">
        <f t="shared" si="13"/>
        <v>0.84264935594775647</v>
      </c>
      <c r="V149" s="149">
        <f t="shared" si="14"/>
        <v>455</v>
      </c>
      <c r="W149" s="149">
        <f t="shared" si="15"/>
        <v>108</v>
      </c>
      <c r="X149" s="149">
        <f t="shared" si="16"/>
        <v>10</v>
      </c>
      <c r="Y149" s="149">
        <f t="shared" si="9"/>
        <v>573</v>
      </c>
      <c r="AA149" s="158">
        <f t="shared" si="17"/>
        <v>0.79406631762652702</v>
      </c>
      <c r="AB149" s="158">
        <f t="shared" si="17"/>
        <v>0.18848167539267016</v>
      </c>
      <c r="AC149" s="158">
        <f t="shared" si="17"/>
        <v>1.7452006980802792E-2</v>
      </c>
      <c r="AE149" s="148">
        <v>119815</v>
      </c>
      <c r="AF149" s="148">
        <v>371642</v>
      </c>
      <c r="AG149" s="148">
        <f t="shared" si="18"/>
        <v>295108.39441535773</v>
      </c>
      <c r="AH149" s="159">
        <f t="shared" si="19"/>
        <v>11.617797760504361</v>
      </c>
      <c r="AI149" s="159">
        <f t="shared" si="20"/>
        <v>264.14678492999997</v>
      </c>
      <c r="AJ149" s="157">
        <f t="shared" si="21"/>
        <v>22.736390353427243</v>
      </c>
      <c r="AK149" s="157">
        <f t="shared" si="22"/>
        <v>11.036907872479143</v>
      </c>
      <c r="AN149" s="148">
        <f t="shared" si="23"/>
        <v>122634.86</v>
      </c>
      <c r="AO149" s="160">
        <f t="shared" si="24"/>
        <v>0.32998116466922467</v>
      </c>
    </row>
    <row r="150" spans="1:41">
      <c r="A150" s="156">
        <f>'BD Plant List'!A149</f>
        <v>44166</v>
      </c>
      <c r="B150" s="148">
        <f t="shared" si="10"/>
        <v>40</v>
      </c>
      <c r="C150" s="148">
        <f t="shared" si="10"/>
        <v>10</v>
      </c>
      <c r="D150" s="148">
        <f t="shared" si="10"/>
        <v>56</v>
      </c>
      <c r="E150" s="148">
        <f t="shared" si="10"/>
        <v>70</v>
      </c>
      <c r="F150" s="148">
        <f t="shared" si="10"/>
        <v>9</v>
      </c>
      <c r="G150" s="148">
        <f t="shared" si="10"/>
        <v>50</v>
      </c>
      <c r="H150" s="148">
        <f t="shared" si="10"/>
        <v>39</v>
      </c>
      <c r="I150" s="148">
        <f t="shared" si="10"/>
        <v>39</v>
      </c>
      <c r="J150" s="148">
        <f t="shared" si="10"/>
        <v>100</v>
      </c>
      <c r="K150" s="148">
        <f t="shared" si="10"/>
        <v>26</v>
      </c>
      <c r="L150" s="148">
        <f t="shared" si="10"/>
        <v>7</v>
      </c>
      <c r="M150" s="148">
        <f t="shared" si="10"/>
        <v>12</v>
      </c>
      <c r="N150" s="148">
        <f t="shared" si="10"/>
        <v>10</v>
      </c>
      <c r="O150" s="148">
        <f t="shared" si="10"/>
        <v>105</v>
      </c>
      <c r="P150" s="148">
        <f t="shared" si="11"/>
        <v>573</v>
      </c>
      <c r="R150" s="148">
        <f>'Fuel Ethanol'!M37</f>
        <v>139070</v>
      </c>
      <c r="S150" s="157">
        <f t="shared" si="12"/>
        <v>36.738121899999996</v>
      </c>
      <c r="T150" s="154">
        <f t="shared" si="13"/>
        <v>0.78007065116346697</v>
      </c>
      <c r="V150" s="149">
        <f t="shared" si="14"/>
        <v>455</v>
      </c>
      <c r="W150" s="149">
        <f t="shared" si="15"/>
        <v>108</v>
      </c>
      <c r="X150" s="149">
        <f t="shared" si="16"/>
        <v>10</v>
      </c>
      <c r="Y150" s="149">
        <f t="shared" si="9"/>
        <v>573</v>
      </c>
      <c r="AA150" s="158">
        <f t="shared" si="17"/>
        <v>0.79406631762652702</v>
      </c>
      <c r="AB150" s="158">
        <f t="shared" si="17"/>
        <v>0.18848167539267016</v>
      </c>
      <c r="AC150" s="158">
        <f t="shared" si="17"/>
        <v>1.7452006980802792E-2</v>
      </c>
      <c r="AE150" s="148">
        <v>97268</v>
      </c>
      <c r="AF150" s="148">
        <v>333253</v>
      </c>
      <c r="AG150" s="148">
        <f t="shared" si="18"/>
        <v>264624.98254799302</v>
      </c>
      <c r="AH150" s="159">
        <f t="shared" si="19"/>
        <v>10.417729850451135</v>
      </c>
      <c r="AI150" s="159">
        <f t="shared" si="20"/>
        <v>214.43917269599999</v>
      </c>
      <c r="AJ150" s="157">
        <f t="shared" si="21"/>
        <v>20.584059653525554</v>
      </c>
      <c r="AK150" s="157">
        <f t="shared" si="22"/>
        <v>9.8968433579285779</v>
      </c>
      <c r="AN150" s="148">
        <f t="shared" si="23"/>
        <v>109865.3</v>
      </c>
      <c r="AO150" s="160">
        <f t="shared" si="24"/>
        <v>0.32967535175977414</v>
      </c>
    </row>
    <row r="151" spans="1:41">
      <c r="A151" s="156">
        <f>'BD Plant List'!A150</f>
        <v>44197</v>
      </c>
      <c r="B151" s="148">
        <f t="shared" si="10"/>
        <v>40</v>
      </c>
      <c r="C151" s="148">
        <f t="shared" si="10"/>
        <v>10</v>
      </c>
      <c r="D151" s="148">
        <f t="shared" si="10"/>
        <v>56</v>
      </c>
      <c r="E151" s="148">
        <f t="shared" si="10"/>
        <v>70</v>
      </c>
      <c r="F151" s="148">
        <f t="shared" si="10"/>
        <v>9</v>
      </c>
      <c r="G151" s="148">
        <f t="shared" si="10"/>
        <v>50</v>
      </c>
      <c r="H151" s="148">
        <f t="shared" si="10"/>
        <v>39</v>
      </c>
      <c r="I151" s="148">
        <f t="shared" si="10"/>
        <v>39</v>
      </c>
      <c r="J151" s="148">
        <f t="shared" si="10"/>
        <v>100</v>
      </c>
      <c r="K151" s="148">
        <f t="shared" si="10"/>
        <v>26</v>
      </c>
      <c r="L151" s="148">
        <f t="shared" si="10"/>
        <v>7</v>
      </c>
      <c r="M151" s="148">
        <f t="shared" si="10"/>
        <v>12</v>
      </c>
      <c r="N151" s="148">
        <f t="shared" si="10"/>
        <v>10</v>
      </c>
      <c r="O151" s="148">
        <f t="shared" si="10"/>
        <v>105</v>
      </c>
      <c r="P151" s="148">
        <f t="shared" si="11"/>
        <v>573</v>
      </c>
      <c r="R151" s="148">
        <f>'Fuel Ethanol'!N26</f>
        <v>116631</v>
      </c>
      <c r="S151" s="157">
        <f t="shared" si="12"/>
        <v>30.810411270000003</v>
      </c>
      <c r="T151" s="154">
        <f t="shared" si="13"/>
        <v>0.63310252285931434</v>
      </c>
      <c r="V151" s="149">
        <f t="shared" si="14"/>
        <v>455</v>
      </c>
      <c r="W151" s="149">
        <f t="shared" si="15"/>
        <v>108</v>
      </c>
      <c r="X151" s="149">
        <f t="shared" si="16"/>
        <v>10</v>
      </c>
      <c r="Y151" s="149">
        <f t="shared" si="9"/>
        <v>573</v>
      </c>
      <c r="AA151" s="158">
        <f t="shared" si="17"/>
        <v>0.79406631762652702</v>
      </c>
      <c r="AB151" s="158">
        <f t="shared" si="17"/>
        <v>0.18848167539267016</v>
      </c>
      <c r="AC151" s="158">
        <f t="shared" si="17"/>
        <v>1.7452006980802792E-2</v>
      </c>
      <c r="AE151" s="148">
        <v>89492</v>
      </c>
      <c r="AF151" s="148">
        <v>276701</v>
      </c>
      <c r="AG151" s="148">
        <f t="shared" si="18"/>
        <v>219718.94415357764</v>
      </c>
      <c r="AH151" s="159">
        <f t="shared" si="19"/>
        <v>8.6498734215436297</v>
      </c>
      <c r="AI151" s="159">
        <f t="shared" si="20"/>
        <v>197.296032024</v>
      </c>
      <c r="AJ151" s="157">
        <f t="shared" si="21"/>
        <v>22.809123603197325</v>
      </c>
      <c r="AK151" s="157">
        <f t="shared" si="22"/>
        <v>8.2173797504664474</v>
      </c>
      <c r="AN151" s="148">
        <f t="shared" si="23"/>
        <v>92138.49</v>
      </c>
      <c r="AO151" s="160">
        <f t="shared" si="24"/>
        <v>0.33298936397049522</v>
      </c>
    </row>
    <row r="152" spans="1:41">
      <c r="A152" s="156">
        <f>'BD Plant List'!A151</f>
        <v>44228</v>
      </c>
      <c r="B152" s="148">
        <f t="shared" si="10"/>
        <v>40</v>
      </c>
      <c r="C152" s="148">
        <f t="shared" si="10"/>
        <v>10</v>
      </c>
      <c r="D152" s="148">
        <f t="shared" si="10"/>
        <v>56</v>
      </c>
      <c r="E152" s="148">
        <f t="shared" si="10"/>
        <v>70</v>
      </c>
      <c r="F152" s="148">
        <f t="shared" si="10"/>
        <v>9</v>
      </c>
      <c r="G152" s="148">
        <f t="shared" si="10"/>
        <v>50</v>
      </c>
      <c r="H152" s="148">
        <f t="shared" si="10"/>
        <v>39</v>
      </c>
      <c r="I152" s="148">
        <f t="shared" si="10"/>
        <v>39</v>
      </c>
      <c r="J152" s="148">
        <f t="shared" si="10"/>
        <v>100</v>
      </c>
      <c r="K152" s="148">
        <f t="shared" si="10"/>
        <v>26</v>
      </c>
      <c r="L152" s="148">
        <f t="shared" si="10"/>
        <v>7</v>
      </c>
      <c r="M152" s="148">
        <f t="shared" si="10"/>
        <v>12</v>
      </c>
      <c r="N152" s="148">
        <f t="shared" si="10"/>
        <v>10</v>
      </c>
      <c r="O152" s="148">
        <f t="shared" si="10"/>
        <v>105</v>
      </c>
      <c r="P152" s="148">
        <f t="shared" si="11"/>
        <v>573</v>
      </c>
      <c r="R152" s="148">
        <f>'Fuel Ethanol'!N27</f>
        <v>108904</v>
      </c>
      <c r="S152" s="157">
        <f t="shared" si="12"/>
        <v>28.769169680000005</v>
      </c>
      <c r="T152" s="154">
        <f t="shared" si="13"/>
        <v>0.59115841542532233</v>
      </c>
      <c r="V152" s="149">
        <f t="shared" si="14"/>
        <v>455</v>
      </c>
      <c r="W152" s="149">
        <f t="shared" si="15"/>
        <v>108</v>
      </c>
      <c r="X152" s="149">
        <f t="shared" si="16"/>
        <v>10</v>
      </c>
      <c r="Y152" s="149">
        <f t="shared" si="9"/>
        <v>573</v>
      </c>
      <c r="AA152" s="158">
        <f t="shared" si="17"/>
        <v>0.79406631762652702</v>
      </c>
      <c r="AB152" s="158">
        <f t="shared" si="17"/>
        <v>0.18848167539267016</v>
      </c>
      <c r="AC152" s="158">
        <f t="shared" si="17"/>
        <v>1.7452006980802792E-2</v>
      </c>
      <c r="AE152" s="148">
        <v>82510</v>
      </c>
      <c r="AF152" s="148">
        <v>258007</v>
      </c>
      <c r="AG152" s="148">
        <f t="shared" si="18"/>
        <v>204874.66841186734</v>
      </c>
      <c r="AH152" s="159">
        <f t="shared" si="19"/>
        <v>8.065485458571553</v>
      </c>
      <c r="AI152" s="159">
        <f t="shared" si="20"/>
        <v>181.90336121999999</v>
      </c>
      <c r="AJ152" s="157">
        <f t="shared" si="21"/>
        <v>22.553305954656846</v>
      </c>
      <c r="AK152" s="157">
        <f t="shared" si="22"/>
        <v>7.6622111856429749</v>
      </c>
      <c r="AN152" s="148">
        <f t="shared" si="23"/>
        <v>86034.16</v>
      </c>
      <c r="AO152" s="160">
        <f t="shared" si="24"/>
        <v>0.33345668915959648</v>
      </c>
    </row>
    <row r="153" spans="1:41">
      <c r="A153" s="156">
        <f>'BD Plant List'!A152</f>
        <v>44256</v>
      </c>
      <c r="B153" s="148">
        <f t="shared" si="10"/>
        <v>40</v>
      </c>
      <c r="C153" s="148">
        <f t="shared" si="10"/>
        <v>10</v>
      </c>
      <c r="D153" s="148">
        <f t="shared" si="10"/>
        <v>56</v>
      </c>
      <c r="E153" s="148">
        <f t="shared" si="10"/>
        <v>70</v>
      </c>
      <c r="F153" s="148">
        <f t="shared" si="10"/>
        <v>9</v>
      </c>
      <c r="G153" s="148">
        <f t="shared" si="10"/>
        <v>50</v>
      </c>
      <c r="H153" s="148">
        <f t="shared" si="10"/>
        <v>39</v>
      </c>
      <c r="I153" s="148">
        <f t="shared" si="10"/>
        <v>39</v>
      </c>
      <c r="J153" s="148">
        <f t="shared" si="10"/>
        <v>100</v>
      </c>
      <c r="K153" s="148">
        <f t="shared" si="10"/>
        <v>26</v>
      </c>
      <c r="L153" s="148">
        <f t="shared" si="10"/>
        <v>7</v>
      </c>
      <c r="M153" s="148">
        <f t="shared" si="10"/>
        <v>12</v>
      </c>
      <c r="N153" s="148">
        <f t="shared" si="10"/>
        <v>10</v>
      </c>
      <c r="O153" s="148">
        <f t="shared" si="10"/>
        <v>105</v>
      </c>
      <c r="P153" s="148">
        <f t="shared" si="11"/>
        <v>573</v>
      </c>
      <c r="R153" s="148">
        <f>'Fuel Ethanol'!N28</f>
        <v>137014</v>
      </c>
      <c r="S153" s="157">
        <f t="shared" si="12"/>
        <v>36.194988380000005</v>
      </c>
      <c r="T153" s="154">
        <f t="shared" si="13"/>
        <v>0.82343372966217898</v>
      </c>
      <c r="V153" s="149">
        <f t="shared" si="14"/>
        <v>455</v>
      </c>
      <c r="W153" s="149">
        <f t="shared" si="15"/>
        <v>108</v>
      </c>
      <c r="X153" s="149">
        <f t="shared" si="16"/>
        <v>10</v>
      </c>
      <c r="Y153" s="149">
        <f t="shared" si="9"/>
        <v>573</v>
      </c>
      <c r="AA153" s="158">
        <f t="shared" si="17"/>
        <v>0.79406631762652702</v>
      </c>
      <c r="AB153" s="158">
        <f t="shared" si="17"/>
        <v>0.18848167539267016</v>
      </c>
      <c r="AC153" s="158">
        <f t="shared" si="17"/>
        <v>1.7452006980802792E-2</v>
      </c>
      <c r="AE153" s="148">
        <v>105454</v>
      </c>
      <c r="AF153" s="148">
        <v>330050</v>
      </c>
      <c r="AG153" s="148">
        <f t="shared" si="18"/>
        <v>262081.58813263525</v>
      </c>
      <c r="AH153" s="159">
        <f t="shared" si="19"/>
        <v>10.317601753446771</v>
      </c>
      <c r="AI153" s="159">
        <f t="shared" si="20"/>
        <v>232.48620838799999</v>
      </c>
      <c r="AJ153" s="157">
        <f t="shared" si="21"/>
        <v>22.532969767934102</v>
      </c>
      <c r="AK153" s="157">
        <f t="shared" si="22"/>
        <v>9.8017216657744317</v>
      </c>
      <c r="AN153" s="148">
        <f t="shared" si="23"/>
        <v>108241.06</v>
      </c>
      <c r="AO153" s="160">
        <f t="shared" si="24"/>
        <v>0.32795352219360702</v>
      </c>
    </row>
    <row r="154" spans="1:41">
      <c r="A154" s="156">
        <f>'BD Plant List'!A153</f>
        <v>44287</v>
      </c>
      <c r="B154" s="148">
        <f t="shared" si="10"/>
        <v>40</v>
      </c>
      <c r="C154" s="148">
        <f t="shared" si="10"/>
        <v>10</v>
      </c>
      <c r="D154" s="148">
        <f t="shared" si="10"/>
        <v>56</v>
      </c>
      <c r="E154" s="148">
        <f t="shared" si="10"/>
        <v>70</v>
      </c>
      <c r="F154" s="148">
        <f t="shared" si="10"/>
        <v>9</v>
      </c>
      <c r="G154" s="148">
        <f t="shared" si="10"/>
        <v>50</v>
      </c>
      <c r="H154" s="148">
        <f t="shared" si="10"/>
        <v>39</v>
      </c>
      <c r="I154" s="148">
        <f t="shared" si="10"/>
        <v>39</v>
      </c>
      <c r="J154" s="148">
        <f t="shared" si="10"/>
        <v>100</v>
      </c>
      <c r="K154" s="148">
        <f t="shared" si="10"/>
        <v>26</v>
      </c>
      <c r="L154" s="148">
        <f t="shared" si="10"/>
        <v>7</v>
      </c>
      <c r="M154" s="148">
        <f t="shared" si="10"/>
        <v>12</v>
      </c>
      <c r="N154" s="148">
        <f t="shared" si="10"/>
        <v>10</v>
      </c>
      <c r="O154" s="148">
        <f t="shared" si="10"/>
        <v>105</v>
      </c>
      <c r="P154" s="148">
        <f t="shared" si="11"/>
        <v>573</v>
      </c>
      <c r="R154" s="148">
        <f>'Fuel Ethanol'!N29</f>
        <v>130068</v>
      </c>
      <c r="S154" s="157">
        <f t="shared" si="12"/>
        <v>34.36006356</v>
      </c>
      <c r="T154" s="154">
        <f t="shared" si="13"/>
        <v>0.70604195233913181</v>
      </c>
      <c r="V154" s="149">
        <f t="shared" si="14"/>
        <v>455</v>
      </c>
      <c r="W154" s="149">
        <f t="shared" si="15"/>
        <v>108</v>
      </c>
      <c r="X154" s="149">
        <f t="shared" si="16"/>
        <v>10</v>
      </c>
      <c r="Y154" s="149">
        <f t="shared" si="9"/>
        <v>573</v>
      </c>
      <c r="AA154" s="158">
        <f t="shared" si="17"/>
        <v>0.79406631762652702</v>
      </c>
      <c r="AB154" s="158">
        <f t="shared" si="17"/>
        <v>0.18848167539267016</v>
      </c>
      <c r="AC154" s="158">
        <f t="shared" si="17"/>
        <v>1.7452006980802792E-2</v>
      </c>
      <c r="AE154" s="148">
        <v>99970</v>
      </c>
      <c r="AF154" s="148">
        <v>309729</v>
      </c>
      <c r="AG154" s="148">
        <f t="shared" si="18"/>
        <v>245945.3664921466</v>
      </c>
      <c r="AH154" s="159">
        <f t="shared" si="19"/>
        <v>9.6823525935261774</v>
      </c>
      <c r="AI154" s="159">
        <f t="shared" si="20"/>
        <v>220.39606133999996</v>
      </c>
      <c r="AJ154" s="157">
        <f t="shared" si="21"/>
        <v>22.762655998229331</v>
      </c>
      <c r="AK154" s="157">
        <f t="shared" si="22"/>
        <v>9.1982349638498686</v>
      </c>
      <c r="AN154" s="148">
        <f t="shared" si="23"/>
        <v>102753.72</v>
      </c>
      <c r="AO154" s="160">
        <f t="shared" si="24"/>
        <v>0.33175362978603878</v>
      </c>
    </row>
    <row r="155" spans="1:41">
      <c r="A155" s="156">
        <f>'BD Plant List'!A154</f>
        <v>44317</v>
      </c>
      <c r="B155" s="148">
        <f t="shared" si="10"/>
        <v>40</v>
      </c>
      <c r="C155" s="148">
        <f t="shared" si="10"/>
        <v>10</v>
      </c>
      <c r="D155" s="148">
        <f t="shared" si="10"/>
        <v>56</v>
      </c>
      <c r="E155" s="148">
        <f t="shared" si="10"/>
        <v>70</v>
      </c>
      <c r="F155" s="148">
        <f t="shared" si="10"/>
        <v>9</v>
      </c>
      <c r="G155" s="148">
        <f t="shared" si="10"/>
        <v>50</v>
      </c>
      <c r="H155" s="148">
        <f t="shared" si="10"/>
        <v>39</v>
      </c>
      <c r="I155" s="148">
        <f t="shared" si="10"/>
        <v>39</v>
      </c>
      <c r="J155" s="148">
        <f t="shared" si="10"/>
        <v>100</v>
      </c>
      <c r="K155" s="148">
        <f t="shared" si="10"/>
        <v>26</v>
      </c>
      <c r="L155" s="148">
        <f t="shared" si="10"/>
        <v>7</v>
      </c>
      <c r="M155" s="148">
        <f t="shared" si="10"/>
        <v>12</v>
      </c>
      <c r="N155" s="148">
        <f t="shared" si="10"/>
        <v>10</v>
      </c>
      <c r="O155" s="148">
        <f t="shared" si="10"/>
        <v>105</v>
      </c>
      <c r="P155" s="148">
        <f t="shared" si="11"/>
        <v>573</v>
      </c>
      <c r="R155" s="148">
        <f>'Fuel Ethanol'!N30</f>
        <v>143350</v>
      </c>
      <c r="S155" s="157">
        <f t="shared" si="12"/>
        <v>37.868769499999999</v>
      </c>
      <c r="T155" s="154">
        <f t="shared" si="13"/>
        <v>0.80407800276323438</v>
      </c>
      <c r="V155" s="149">
        <f t="shared" si="14"/>
        <v>455</v>
      </c>
      <c r="W155" s="149">
        <f t="shared" si="15"/>
        <v>108</v>
      </c>
      <c r="X155" s="149">
        <f t="shared" si="16"/>
        <v>10</v>
      </c>
      <c r="Y155" s="149">
        <f t="shared" si="9"/>
        <v>573</v>
      </c>
      <c r="AA155" s="158">
        <f t="shared" si="17"/>
        <v>0.79406631762652702</v>
      </c>
      <c r="AB155" s="158">
        <f t="shared" si="17"/>
        <v>0.18848167539267016</v>
      </c>
      <c r="AC155" s="158">
        <f t="shared" si="17"/>
        <v>1.7452006980802792E-2</v>
      </c>
      <c r="AE155" s="148">
        <v>109562</v>
      </c>
      <c r="AF155" s="148">
        <v>342690</v>
      </c>
      <c r="AG155" s="148">
        <f t="shared" si="18"/>
        <v>272118.58638743457</v>
      </c>
      <c r="AH155" s="159">
        <f t="shared" si="19"/>
        <v>10.712737297041885</v>
      </c>
      <c r="AI155" s="159">
        <f t="shared" si="20"/>
        <v>241.54279556399999</v>
      </c>
      <c r="AJ155" s="157">
        <f t="shared" si="21"/>
        <v>22.547252757770636</v>
      </c>
      <c r="AK155" s="157">
        <f t="shared" si="22"/>
        <v>10.177100432189791</v>
      </c>
      <c r="AN155" s="148">
        <f t="shared" si="23"/>
        <v>113246.5</v>
      </c>
      <c r="AO155" s="160">
        <f t="shared" si="24"/>
        <v>0.3304633925705448</v>
      </c>
    </row>
    <row r="156" spans="1:41">
      <c r="A156" s="156">
        <f>'BD Plant List'!A155</f>
        <v>44348</v>
      </c>
      <c r="B156" s="148">
        <f t="shared" si="10"/>
        <v>40</v>
      </c>
      <c r="C156" s="148">
        <f t="shared" si="10"/>
        <v>10</v>
      </c>
      <c r="D156" s="148">
        <f t="shared" si="10"/>
        <v>56</v>
      </c>
      <c r="E156" s="148">
        <f t="shared" si="10"/>
        <v>70</v>
      </c>
      <c r="F156" s="148">
        <f t="shared" si="10"/>
        <v>9</v>
      </c>
      <c r="G156" s="148">
        <f t="shared" si="10"/>
        <v>50</v>
      </c>
      <c r="H156" s="148">
        <f t="shared" si="10"/>
        <v>39</v>
      </c>
      <c r="I156" s="148">
        <f t="shared" si="10"/>
        <v>39</v>
      </c>
      <c r="J156" s="148">
        <f t="shared" si="10"/>
        <v>100</v>
      </c>
      <c r="K156" s="148">
        <f t="shared" si="10"/>
        <v>26</v>
      </c>
      <c r="L156" s="148">
        <f t="shared" si="10"/>
        <v>7</v>
      </c>
      <c r="M156" s="148">
        <f t="shared" si="10"/>
        <v>12</v>
      </c>
      <c r="N156" s="148">
        <f t="shared" si="10"/>
        <v>10</v>
      </c>
      <c r="O156" s="148">
        <f t="shared" si="10"/>
        <v>105</v>
      </c>
      <c r="P156" s="148">
        <f t="shared" si="11"/>
        <v>573</v>
      </c>
      <c r="R156" s="148">
        <f>'Fuel Ethanol'!N31</f>
        <v>134140</v>
      </c>
      <c r="S156" s="157">
        <f t="shared" si="12"/>
        <v>35.435763800000004</v>
      </c>
      <c r="T156" s="154">
        <f t="shared" si="13"/>
        <v>0.72814579671226709</v>
      </c>
      <c r="V156" s="149">
        <f t="shared" si="14"/>
        <v>455</v>
      </c>
      <c r="W156" s="149">
        <f t="shared" si="15"/>
        <v>108</v>
      </c>
      <c r="X156" s="149">
        <f t="shared" si="16"/>
        <v>10</v>
      </c>
      <c r="Y156" s="149">
        <f t="shared" si="9"/>
        <v>573</v>
      </c>
      <c r="AA156" s="158">
        <f t="shared" si="17"/>
        <v>0.79406631762652702</v>
      </c>
      <c r="AB156" s="158">
        <f t="shared" si="17"/>
        <v>0.18848167539267016</v>
      </c>
      <c r="AC156" s="158">
        <f t="shared" si="17"/>
        <v>1.7452006980802792E-2</v>
      </c>
      <c r="AE156" s="148">
        <v>106738</v>
      </c>
      <c r="AF156" s="148">
        <v>322587</v>
      </c>
      <c r="AG156" s="148">
        <f t="shared" si="18"/>
        <v>256155.47120418848</v>
      </c>
      <c r="AH156" s="159">
        <f t="shared" si="19"/>
        <v>10.084302974819371</v>
      </c>
      <c r="AI156" s="159">
        <f t="shared" si="20"/>
        <v>235.31694303599997</v>
      </c>
      <c r="AJ156" s="157">
        <f t="shared" si="21"/>
        <v>23.334973534967094</v>
      </c>
      <c r="AK156" s="157">
        <f t="shared" si="22"/>
        <v>9.5800878260784028</v>
      </c>
      <c r="AN156" s="148">
        <f t="shared" si="23"/>
        <v>105970.6</v>
      </c>
      <c r="AO156" s="160">
        <f t="shared" si="24"/>
        <v>0.3285023885029465</v>
      </c>
    </row>
    <row r="157" spans="1:41">
      <c r="A157" s="156">
        <f>'BD Plant List'!A156</f>
        <v>44378</v>
      </c>
      <c r="B157" s="148">
        <f t="shared" si="10"/>
        <v>40</v>
      </c>
      <c r="C157" s="148">
        <f t="shared" si="10"/>
        <v>10</v>
      </c>
      <c r="D157" s="148">
        <f t="shared" si="10"/>
        <v>56</v>
      </c>
      <c r="E157" s="148">
        <f t="shared" si="10"/>
        <v>70</v>
      </c>
      <c r="F157" s="148">
        <f t="shared" si="10"/>
        <v>9</v>
      </c>
      <c r="G157" s="148">
        <f t="shared" si="10"/>
        <v>50</v>
      </c>
      <c r="H157" s="148">
        <f t="shared" si="10"/>
        <v>39</v>
      </c>
      <c r="I157" s="148">
        <f t="shared" si="10"/>
        <v>39</v>
      </c>
      <c r="J157" s="148">
        <f t="shared" si="10"/>
        <v>100</v>
      </c>
      <c r="K157" s="148">
        <f t="shared" si="10"/>
        <v>26</v>
      </c>
      <c r="L157" s="148">
        <f t="shared" si="10"/>
        <v>7</v>
      </c>
      <c r="M157" s="148">
        <f t="shared" si="10"/>
        <v>12</v>
      </c>
      <c r="N157" s="148">
        <f t="shared" si="10"/>
        <v>10</v>
      </c>
      <c r="O157" s="148">
        <f t="shared" si="10"/>
        <v>105</v>
      </c>
      <c r="P157" s="148">
        <f t="shared" si="11"/>
        <v>573</v>
      </c>
      <c r="R157" s="148">
        <f>'Fuel Ethanol'!N32</f>
        <v>155200</v>
      </c>
      <c r="S157" s="157">
        <f t="shared" si="12"/>
        <v>40.999184</v>
      </c>
      <c r="T157" s="154">
        <f t="shared" si="13"/>
        <v>0.87054695520651537</v>
      </c>
      <c r="V157" s="149">
        <f t="shared" si="14"/>
        <v>455</v>
      </c>
      <c r="W157" s="149">
        <f t="shared" si="15"/>
        <v>108</v>
      </c>
      <c r="X157" s="149">
        <f t="shared" si="16"/>
        <v>10</v>
      </c>
      <c r="Y157" s="149">
        <f t="shared" si="9"/>
        <v>573</v>
      </c>
      <c r="AA157" s="158">
        <f t="shared" si="17"/>
        <v>0.79406631762652702</v>
      </c>
      <c r="AB157" s="158">
        <f t="shared" si="17"/>
        <v>0.18848167539267016</v>
      </c>
      <c r="AC157" s="158">
        <f t="shared" si="17"/>
        <v>1.7452006980802792E-2</v>
      </c>
      <c r="AE157" s="148">
        <v>118842</v>
      </c>
      <c r="AF157" s="148">
        <v>375282</v>
      </c>
      <c r="AG157" s="148">
        <f t="shared" si="18"/>
        <v>297998.79581151833</v>
      </c>
      <c r="AH157" s="159">
        <f t="shared" si="19"/>
        <v>11.731586793628273</v>
      </c>
      <c r="AI157" s="159">
        <f t="shared" si="20"/>
        <v>262.00168772399996</v>
      </c>
      <c r="AJ157" s="157">
        <f t="shared" si="21"/>
        <v>22.33301362662209</v>
      </c>
      <c r="AK157" s="157">
        <f t="shared" si="22"/>
        <v>11.145007453946858</v>
      </c>
      <c r="AN157" s="148">
        <f t="shared" si="23"/>
        <v>122608</v>
      </c>
      <c r="AO157" s="160">
        <f t="shared" si="24"/>
        <v>0.32670898151256922</v>
      </c>
    </row>
    <row r="158" spans="1:41">
      <c r="A158" s="156">
        <f>'BD Plant List'!A157</f>
        <v>44409</v>
      </c>
      <c r="B158" s="148">
        <f t="shared" si="10"/>
        <v>40</v>
      </c>
      <c r="C158" s="148">
        <f t="shared" si="10"/>
        <v>10</v>
      </c>
      <c r="D158" s="148">
        <f t="shared" si="10"/>
        <v>56</v>
      </c>
      <c r="E158" s="148">
        <f t="shared" si="10"/>
        <v>70</v>
      </c>
      <c r="F158" s="148">
        <f t="shared" si="10"/>
        <v>9</v>
      </c>
      <c r="G158" s="148">
        <f t="shared" si="10"/>
        <v>50</v>
      </c>
      <c r="H158" s="148">
        <f t="shared" si="10"/>
        <v>39</v>
      </c>
      <c r="I158" s="148">
        <f t="shared" si="10"/>
        <v>39</v>
      </c>
      <c r="J158" s="148">
        <f t="shared" si="10"/>
        <v>100</v>
      </c>
      <c r="K158" s="148">
        <f t="shared" si="10"/>
        <v>26</v>
      </c>
      <c r="L158" s="148">
        <f t="shared" si="10"/>
        <v>7</v>
      </c>
      <c r="M158" s="148">
        <f t="shared" si="10"/>
        <v>12</v>
      </c>
      <c r="N158" s="148">
        <f t="shared" si="10"/>
        <v>10</v>
      </c>
      <c r="O158" s="148">
        <f t="shared" si="10"/>
        <v>105</v>
      </c>
      <c r="P158" s="148">
        <f t="shared" si="11"/>
        <v>573</v>
      </c>
      <c r="R158" s="148">
        <f>'Fuel Ethanol'!N33</f>
        <v>148267</v>
      </c>
      <c r="S158" s="157">
        <f t="shared" si="12"/>
        <v>39.167693390000004</v>
      </c>
      <c r="T158" s="154">
        <f t="shared" si="13"/>
        <v>0.80483072044981141</v>
      </c>
      <c r="V158" s="149">
        <f t="shared" si="14"/>
        <v>455</v>
      </c>
      <c r="W158" s="149">
        <f t="shared" si="15"/>
        <v>108</v>
      </c>
      <c r="X158" s="149">
        <f t="shared" si="16"/>
        <v>10</v>
      </c>
      <c r="Y158" s="149">
        <f t="shared" si="9"/>
        <v>573</v>
      </c>
      <c r="AA158" s="158">
        <f t="shared" si="17"/>
        <v>0.79406631762652702</v>
      </c>
      <c r="AB158" s="158">
        <f t="shared" si="17"/>
        <v>0.18848167539267016</v>
      </c>
      <c r="AC158" s="158">
        <f t="shared" si="17"/>
        <v>1.7452006980802792E-2</v>
      </c>
      <c r="AE158" s="148">
        <v>112527</v>
      </c>
      <c r="AF158" s="148">
        <v>350079</v>
      </c>
      <c r="AG158" s="148">
        <f t="shared" si="18"/>
        <v>277985.94240837696</v>
      </c>
      <c r="AH158" s="159">
        <f t="shared" si="19"/>
        <v>10.943722782138742</v>
      </c>
      <c r="AI158" s="159">
        <f t="shared" si="20"/>
        <v>248.07949979399996</v>
      </c>
      <c r="AJ158" s="157">
        <f t="shared" si="21"/>
        <v>22.668657159233849</v>
      </c>
      <c r="AK158" s="157">
        <f t="shared" si="22"/>
        <v>10.396536643031805</v>
      </c>
      <c r="AN158" s="148">
        <f t="shared" si="23"/>
        <v>117130.93000000001</v>
      </c>
      <c r="AO158" s="160">
        <f t="shared" si="24"/>
        <v>0.33458427954833053</v>
      </c>
    </row>
    <row r="159" spans="1:41">
      <c r="A159" s="156">
        <f>'BD Plant List'!A158</f>
        <v>44440</v>
      </c>
      <c r="B159" s="148">
        <f t="shared" si="10"/>
        <v>40</v>
      </c>
      <c r="C159" s="148">
        <f t="shared" si="10"/>
        <v>10</v>
      </c>
      <c r="D159" s="148">
        <f t="shared" si="10"/>
        <v>56</v>
      </c>
      <c r="E159" s="148">
        <f t="shared" si="10"/>
        <v>70</v>
      </c>
      <c r="F159" s="148">
        <f t="shared" si="10"/>
        <v>9</v>
      </c>
      <c r="G159" s="148">
        <f t="shared" si="10"/>
        <v>50</v>
      </c>
      <c r="H159" s="148">
        <f t="shared" si="10"/>
        <v>39</v>
      </c>
      <c r="I159" s="148">
        <f t="shared" si="10"/>
        <v>39</v>
      </c>
      <c r="J159" s="148">
        <f t="shared" si="10"/>
        <v>100</v>
      </c>
      <c r="K159" s="148">
        <f t="shared" si="10"/>
        <v>26</v>
      </c>
      <c r="L159" s="148">
        <f t="shared" si="10"/>
        <v>7</v>
      </c>
      <c r="M159" s="148">
        <f t="shared" si="10"/>
        <v>12</v>
      </c>
      <c r="N159" s="148">
        <f t="shared" si="10"/>
        <v>10</v>
      </c>
      <c r="O159" s="148">
        <f t="shared" si="10"/>
        <v>105</v>
      </c>
      <c r="P159" s="148">
        <f t="shared" si="11"/>
        <v>573</v>
      </c>
      <c r="R159" s="148">
        <f>'Fuel Ethanol'!N34</f>
        <v>142231</v>
      </c>
      <c r="S159" s="157">
        <f t="shared" si="12"/>
        <v>37.573163270000002</v>
      </c>
      <c r="T159" s="154">
        <f t="shared" si="13"/>
        <v>0.77206578807352355</v>
      </c>
      <c r="V159" s="149">
        <f t="shared" si="14"/>
        <v>455</v>
      </c>
      <c r="W159" s="149">
        <f t="shared" si="15"/>
        <v>108</v>
      </c>
      <c r="X159" s="149">
        <f t="shared" si="16"/>
        <v>10</v>
      </c>
      <c r="Y159" s="149">
        <f t="shared" si="9"/>
        <v>573</v>
      </c>
      <c r="AA159" s="158">
        <f t="shared" si="17"/>
        <v>0.79406631762652702</v>
      </c>
      <c r="AB159" s="158">
        <f t="shared" si="17"/>
        <v>0.18848167539267016</v>
      </c>
      <c r="AC159" s="158">
        <f t="shared" si="17"/>
        <v>1.7452006980802792E-2</v>
      </c>
      <c r="AE159" s="148">
        <v>109738</v>
      </c>
      <c r="AF159" s="148">
        <v>346711</v>
      </c>
      <c r="AG159" s="148">
        <f t="shared" si="18"/>
        <v>275311.52705061081</v>
      </c>
      <c r="AH159" s="159">
        <f t="shared" si="19"/>
        <v>10.83843666577574</v>
      </c>
      <c r="AI159" s="159">
        <f t="shared" si="20"/>
        <v>241.93080903599997</v>
      </c>
      <c r="AJ159" s="157">
        <f t="shared" si="21"/>
        <v>22.321559510509374</v>
      </c>
      <c r="AK159" s="157">
        <f t="shared" si="22"/>
        <v>10.296514832486952</v>
      </c>
      <c r="AN159" s="148">
        <f t="shared" si="23"/>
        <v>112362.49</v>
      </c>
      <c r="AO159" s="160">
        <f t="shared" si="24"/>
        <v>0.32408112231801128</v>
      </c>
    </row>
    <row r="160" spans="1:41">
      <c r="A160" s="156">
        <f>'BD Plant List'!A159</f>
        <v>44470</v>
      </c>
      <c r="B160" s="148">
        <f t="shared" si="10"/>
        <v>40</v>
      </c>
      <c r="C160" s="148">
        <f t="shared" si="10"/>
        <v>10</v>
      </c>
      <c r="D160" s="148">
        <f t="shared" si="10"/>
        <v>56</v>
      </c>
      <c r="E160" s="148">
        <f t="shared" si="10"/>
        <v>70</v>
      </c>
      <c r="F160" s="148">
        <f t="shared" si="10"/>
        <v>9</v>
      </c>
      <c r="G160" s="148">
        <f t="shared" si="10"/>
        <v>50</v>
      </c>
      <c r="H160" s="148">
        <f t="shared" si="10"/>
        <v>39</v>
      </c>
      <c r="I160" s="148">
        <f t="shared" si="10"/>
        <v>39</v>
      </c>
      <c r="J160" s="148">
        <f t="shared" si="10"/>
        <v>100</v>
      </c>
      <c r="K160" s="148">
        <f t="shared" si="10"/>
        <v>26</v>
      </c>
      <c r="L160" s="148">
        <f t="shared" si="10"/>
        <v>7</v>
      </c>
      <c r="M160" s="148">
        <f t="shared" si="10"/>
        <v>12</v>
      </c>
      <c r="N160" s="148">
        <f t="shared" si="10"/>
        <v>10</v>
      </c>
      <c r="O160" s="148">
        <f t="shared" si="10"/>
        <v>105</v>
      </c>
      <c r="P160" s="148">
        <f t="shared" si="11"/>
        <v>573</v>
      </c>
      <c r="R160" s="148">
        <f>'Fuel Ethanol'!N35</f>
        <v>121464</v>
      </c>
      <c r="S160" s="157">
        <f t="shared" si="12"/>
        <v>32.087144880000004</v>
      </c>
      <c r="T160" s="154">
        <f t="shared" si="13"/>
        <v>0.68131517633507854</v>
      </c>
      <c r="V160" s="149">
        <f t="shared" si="14"/>
        <v>455</v>
      </c>
      <c r="W160" s="149">
        <f t="shared" si="15"/>
        <v>108</v>
      </c>
      <c r="X160" s="149">
        <f t="shared" si="16"/>
        <v>10</v>
      </c>
      <c r="Y160" s="149">
        <f t="shared" si="9"/>
        <v>573</v>
      </c>
      <c r="AA160" s="158">
        <f t="shared" si="17"/>
        <v>0.79406631762652702</v>
      </c>
      <c r="AB160" s="158">
        <f t="shared" si="17"/>
        <v>0.18848167539267016</v>
      </c>
      <c r="AC160" s="158">
        <f t="shared" si="17"/>
        <v>1.7452006980802792E-2</v>
      </c>
      <c r="AE160" s="148">
        <v>100938</v>
      </c>
      <c r="AF160" s="148">
        <v>294105</v>
      </c>
      <c r="AG160" s="148">
        <f t="shared" si="18"/>
        <v>233538.87434554973</v>
      </c>
      <c r="AH160" s="159">
        <f t="shared" si="19"/>
        <v>9.1939350513481664</v>
      </c>
      <c r="AI160" s="159">
        <f t="shared" si="20"/>
        <v>222.53013543599999</v>
      </c>
      <c r="AJ160" s="157">
        <f t="shared" si="21"/>
        <v>24.204014297813529</v>
      </c>
      <c r="AK160" s="157">
        <f t="shared" si="22"/>
        <v>8.7342382987807579</v>
      </c>
      <c r="AN160" s="148">
        <f t="shared" si="23"/>
        <v>95956.56</v>
      </c>
      <c r="AO160" s="160">
        <f t="shared" si="24"/>
        <v>0.32626633345233846</v>
      </c>
    </row>
    <row r="161" spans="1:41">
      <c r="A161" s="156">
        <f>'BD Plant List'!A160</f>
        <v>44501</v>
      </c>
      <c r="B161" s="148">
        <f t="shared" ref="B161:O193" si="25">B$4</f>
        <v>40</v>
      </c>
      <c r="C161" s="148">
        <f t="shared" si="25"/>
        <v>10</v>
      </c>
      <c r="D161" s="148">
        <f t="shared" si="25"/>
        <v>56</v>
      </c>
      <c r="E161" s="148">
        <f t="shared" si="25"/>
        <v>70</v>
      </c>
      <c r="F161" s="148">
        <f t="shared" si="25"/>
        <v>9</v>
      </c>
      <c r="G161" s="148">
        <f t="shared" si="25"/>
        <v>50</v>
      </c>
      <c r="H161" s="148">
        <f t="shared" si="25"/>
        <v>39</v>
      </c>
      <c r="I161" s="148">
        <f t="shared" si="25"/>
        <v>39</v>
      </c>
      <c r="J161" s="148">
        <f t="shared" si="25"/>
        <v>100</v>
      </c>
      <c r="K161" s="148">
        <f t="shared" si="25"/>
        <v>26</v>
      </c>
      <c r="L161" s="148">
        <f t="shared" si="25"/>
        <v>7</v>
      </c>
      <c r="M161" s="148">
        <f t="shared" si="25"/>
        <v>12</v>
      </c>
      <c r="N161" s="148">
        <f t="shared" si="25"/>
        <v>10</v>
      </c>
      <c r="O161" s="148">
        <f t="shared" si="25"/>
        <v>105</v>
      </c>
      <c r="P161" s="148">
        <f t="shared" si="11"/>
        <v>573</v>
      </c>
      <c r="R161" s="148">
        <f>'Fuel Ethanol'!N36</f>
        <v>154607</v>
      </c>
      <c r="S161" s="157">
        <f t="shared" si="12"/>
        <v>40.842531190000003</v>
      </c>
      <c r="T161" s="154">
        <f t="shared" si="13"/>
        <v>0.83924584160051796</v>
      </c>
      <c r="V161" s="149">
        <f t="shared" si="14"/>
        <v>455</v>
      </c>
      <c r="W161" s="149">
        <f t="shared" si="15"/>
        <v>108</v>
      </c>
      <c r="X161" s="149">
        <f t="shared" si="16"/>
        <v>10</v>
      </c>
      <c r="Y161" s="149">
        <f t="shared" si="9"/>
        <v>573</v>
      </c>
      <c r="AA161" s="158">
        <f t="shared" si="17"/>
        <v>0.79406631762652702</v>
      </c>
      <c r="AB161" s="158">
        <f t="shared" si="17"/>
        <v>0.18848167539267016</v>
      </c>
      <c r="AC161" s="158">
        <f t="shared" si="17"/>
        <v>1.7452006980802792E-2</v>
      </c>
      <c r="AE161" s="148">
        <v>116592</v>
      </c>
      <c r="AF161" s="148">
        <v>369616</v>
      </c>
      <c r="AG161" s="148">
        <f t="shared" si="18"/>
        <v>293499.61605584639</v>
      </c>
      <c r="AH161" s="159">
        <f t="shared" si="19"/>
        <v>11.554463534924954</v>
      </c>
      <c r="AI161" s="159">
        <f t="shared" si="20"/>
        <v>257.04128822399997</v>
      </c>
      <c r="AJ161" s="157">
        <f t="shared" si="21"/>
        <v>22.246059927149137</v>
      </c>
      <c r="AK161" s="157">
        <f t="shared" si="22"/>
        <v>10.976740358178706</v>
      </c>
      <c r="AN161" s="148">
        <f t="shared" si="23"/>
        <v>122139.53</v>
      </c>
      <c r="AO161" s="160">
        <f t="shared" si="24"/>
        <v>0.33044979113458289</v>
      </c>
    </row>
    <row r="162" spans="1:41">
      <c r="A162" s="156">
        <f>'BD Plant List'!A161</f>
        <v>44531</v>
      </c>
      <c r="B162" s="148">
        <f t="shared" si="25"/>
        <v>40</v>
      </c>
      <c r="C162" s="148">
        <f t="shared" si="25"/>
        <v>10</v>
      </c>
      <c r="D162" s="148">
        <f t="shared" si="25"/>
        <v>56</v>
      </c>
      <c r="E162" s="148">
        <f t="shared" si="25"/>
        <v>70</v>
      </c>
      <c r="F162" s="148">
        <f t="shared" si="25"/>
        <v>9</v>
      </c>
      <c r="G162" s="148">
        <f t="shared" si="25"/>
        <v>50</v>
      </c>
      <c r="H162" s="148">
        <f t="shared" si="25"/>
        <v>39</v>
      </c>
      <c r="I162" s="148">
        <f t="shared" si="25"/>
        <v>39</v>
      </c>
      <c r="J162" s="148">
        <f t="shared" si="25"/>
        <v>100</v>
      </c>
      <c r="K162" s="148">
        <f t="shared" si="25"/>
        <v>26</v>
      </c>
      <c r="L162" s="148">
        <f t="shared" si="25"/>
        <v>7</v>
      </c>
      <c r="M162" s="148">
        <f t="shared" si="25"/>
        <v>12</v>
      </c>
      <c r="N162" s="148">
        <f t="shared" si="25"/>
        <v>10</v>
      </c>
      <c r="O162" s="148">
        <f t="shared" si="25"/>
        <v>105</v>
      </c>
      <c r="P162" s="148">
        <f t="shared" si="11"/>
        <v>573</v>
      </c>
      <c r="R162" s="148">
        <f>'Fuel Ethanol'!N37</f>
        <v>150595</v>
      </c>
      <c r="S162" s="157">
        <f t="shared" si="12"/>
        <v>39.782681150000009</v>
      </c>
      <c r="T162" s="154">
        <f t="shared" si="13"/>
        <v>0.84471661545956966</v>
      </c>
      <c r="V162" s="149">
        <f t="shared" si="14"/>
        <v>455</v>
      </c>
      <c r="W162" s="149">
        <f t="shared" si="15"/>
        <v>108</v>
      </c>
      <c r="X162" s="149">
        <f t="shared" si="16"/>
        <v>10</v>
      </c>
      <c r="Y162" s="149">
        <f t="shared" si="9"/>
        <v>573</v>
      </c>
      <c r="AA162" s="158">
        <f t="shared" si="17"/>
        <v>0.79406631762652702</v>
      </c>
      <c r="AB162" s="158">
        <f t="shared" si="17"/>
        <v>0.18848167539267016</v>
      </c>
      <c r="AC162" s="158">
        <f t="shared" si="17"/>
        <v>1.7452006980802792E-2</v>
      </c>
      <c r="AE162" s="148">
        <v>112185</v>
      </c>
      <c r="AF162" s="148">
        <v>365542</v>
      </c>
      <c r="AG162" s="148">
        <f t="shared" si="18"/>
        <v>290264.58987783594</v>
      </c>
      <c r="AH162" s="159">
        <f t="shared" si="19"/>
        <v>11.427107347851656</v>
      </c>
      <c r="AI162" s="159">
        <f t="shared" si="20"/>
        <v>247.32551906999998</v>
      </c>
      <c r="AJ162" s="157">
        <f t="shared" si="21"/>
        <v>21.643755636591461</v>
      </c>
      <c r="AK162" s="157">
        <f t="shared" si="22"/>
        <v>10.855751980459074</v>
      </c>
      <c r="AN162" s="148">
        <f t="shared" si="23"/>
        <v>118970.05</v>
      </c>
      <c r="AO162" s="160">
        <f t="shared" si="24"/>
        <v>0.32546205360806696</v>
      </c>
    </row>
    <row r="163" spans="1:41">
      <c r="A163" s="156">
        <f>'BD Plant List'!A162</f>
        <v>44562</v>
      </c>
      <c r="B163" s="148">
        <f t="shared" si="25"/>
        <v>40</v>
      </c>
      <c r="C163" s="148">
        <f t="shared" si="25"/>
        <v>10</v>
      </c>
      <c r="D163" s="148">
        <f t="shared" si="25"/>
        <v>56</v>
      </c>
      <c r="E163" s="148">
        <f t="shared" si="25"/>
        <v>70</v>
      </c>
      <c r="F163" s="148">
        <f t="shared" si="25"/>
        <v>9</v>
      </c>
      <c r="G163" s="148">
        <f t="shared" si="25"/>
        <v>50</v>
      </c>
      <c r="H163" s="148">
        <f t="shared" si="25"/>
        <v>39</v>
      </c>
      <c r="I163" s="148">
        <f t="shared" si="25"/>
        <v>39</v>
      </c>
      <c r="J163" s="148">
        <f t="shared" si="25"/>
        <v>100</v>
      </c>
      <c r="K163" s="148">
        <f t="shared" si="25"/>
        <v>26</v>
      </c>
      <c r="L163" s="148">
        <f t="shared" si="25"/>
        <v>7</v>
      </c>
      <c r="M163" s="148">
        <f t="shared" si="25"/>
        <v>12</v>
      </c>
      <c r="N163" s="148">
        <f t="shared" si="25"/>
        <v>10</v>
      </c>
      <c r="O163" s="148">
        <f t="shared" si="25"/>
        <v>105</v>
      </c>
      <c r="P163" s="148">
        <f t="shared" si="11"/>
        <v>573</v>
      </c>
      <c r="R163" s="148">
        <f>'Fuel Ethanol'!O26</f>
        <v>139729</v>
      </c>
      <c r="S163" s="157">
        <f t="shared" si="12"/>
        <v>36.912209930000003</v>
      </c>
      <c r="T163" s="154">
        <f t="shared" si="13"/>
        <v>0.75848430019985358</v>
      </c>
      <c r="V163" s="149">
        <f t="shared" si="14"/>
        <v>455</v>
      </c>
      <c r="W163" s="149">
        <f t="shared" si="15"/>
        <v>108</v>
      </c>
      <c r="X163" s="149">
        <f t="shared" si="16"/>
        <v>10</v>
      </c>
      <c r="Y163" s="149">
        <f t="shared" si="9"/>
        <v>573</v>
      </c>
      <c r="AA163" s="158">
        <f t="shared" si="17"/>
        <v>0.79406631762652702</v>
      </c>
      <c r="AB163" s="158">
        <f t="shared" si="17"/>
        <v>0.18848167539267016</v>
      </c>
      <c r="AC163" s="158">
        <f t="shared" si="17"/>
        <v>1.7452006980802792E-2</v>
      </c>
      <c r="AE163" s="148">
        <v>106057</v>
      </c>
      <c r="AF163" s="148">
        <v>334774</v>
      </c>
      <c r="AG163" s="148">
        <f t="shared" si="18"/>
        <v>265832.75741710298</v>
      </c>
      <c r="AH163" s="159">
        <f t="shared" si="19"/>
        <v>10.465277410720768</v>
      </c>
      <c r="AI163" s="159">
        <f t="shared" si="20"/>
        <v>233.815595454</v>
      </c>
      <c r="AJ163" s="157">
        <f t="shared" si="21"/>
        <v>22.34203512029946</v>
      </c>
      <c r="AK163" s="157">
        <f t="shared" si="22"/>
        <v>9.9420135401847283</v>
      </c>
      <c r="AN163" s="148">
        <f t="shared" si="23"/>
        <v>110385.91</v>
      </c>
      <c r="AO163" s="160">
        <f t="shared" si="24"/>
        <v>0.32973262559219058</v>
      </c>
    </row>
    <row r="164" spans="1:41">
      <c r="A164" s="156">
        <f>'BD Plant List'!A163</f>
        <v>44593</v>
      </c>
      <c r="B164" s="148">
        <f t="shared" si="25"/>
        <v>40</v>
      </c>
      <c r="C164" s="148">
        <f t="shared" si="25"/>
        <v>10</v>
      </c>
      <c r="D164" s="148">
        <f t="shared" si="25"/>
        <v>56</v>
      </c>
      <c r="E164" s="148">
        <f t="shared" si="25"/>
        <v>70</v>
      </c>
      <c r="F164" s="148">
        <f t="shared" si="25"/>
        <v>9</v>
      </c>
      <c r="G164" s="148">
        <f t="shared" si="25"/>
        <v>50</v>
      </c>
      <c r="H164" s="148">
        <f t="shared" si="25"/>
        <v>39</v>
      </c>
      <c r="I164" s="148">
        <f t="shared" si="25"/>
        <v>39</v>
      </c>
      <c r="J164" s="148">
        <f t="shared" si="25"/>
        <v>100</v>
      </c>
      <c r="K164" s="148">
        <f t="shared" si="25"/>
        <v>26</v>
      </c>
      <c r="L164" s="148">
        <f t="shared" si="25"/>
        <v>7</v>
      </c>
      <c r="M164" s="148">
        <f t="shared" si="25"/>
        <v>12</v>
      </c>
      <c r="N164" s="148">
        <f t="shared" si="25"/>
        <v>10</v>
      </c>
      <c r="O164" s="148">
        <f t="shared" si="25"/>
        <v>105</v>
      </c>
      <c r="P164" s="148">
        <f t="shared" si="11"/>
        <v>573</v>
      </c>
      <c r="R164" s="148">
        <f>'Fuel Ethanol'!O27</f>
        <v>128540</v>
      </c>
      <c r="S164" s="157">
        <f t="shared" si="12"/>
        <v>33.956411800000005</v>
      </c>
      <c r="T164" s="154">
        <f t="shared" si="13"/>
        <v>0.6977475824466588</v>
      </c>
      <c r="V164" s="149">
        <f t="shared" si="14"/>
        <v>455</v>
      </c>
      <c r="W164" s="149">
        <f t="shared" si="15"/>
        <v>108</v>
      </c>
      <c r="X164" s="149">
        <f t="shared" si="16"/>
        <v>10</v>
      </c>
      <c r="Y164" s="149">
        <f t="shared" si="9"/>
        <v>573</v>
      </c>
      <c r="AA164" s="158">
        <f t="shared" si="17"/>
        <v>0.79406631762652702</v>
      </c>
      <c r="AB164" s="158">
        <f t="shared" si="17"/>
        <v>0.18848167539267016</v>
      </c>
      <c r="AC164" s="158">
        <f t="shared" si="17"/>
        <v>1.7452006980802792E-2</v>
      </c>
      <c r="AE164" s="148">
        <v>96914</v>
      </c>
      <c r="AF164" s="148">
        <v>306133</v>
      </c>
      <c r="AG164" s="148">
        <f t="shared" si="18"/>
        <v>243089.90401396158</v>
      </c>
      <c r="AH164" s="159">
        <f t="shared" si="19"/>
        <v>9.5699390322312379</v>
      </c>
      <c r="AI164" s="159">
        <f t="shared" si="20"/>
        <v>213.65873650799998</v>
      </c>
      <c r="AJ164" s="157">
        <f t="shared" si="21"/>
        <v>22.326029015274226</v>
      </c>
      <c r="AK164" s="157">
        <f t="shared" si="22"/>
        <v>9.0914420806196752</v>
      </c>
      <c r="AN164" s="148">
        <f t="shared" si="23"/>
        <v>101546.6</v>
      </c>
      <c r="AO164" s="160">
        <f t="shared" si="24"/>
        <v>0.33170746048286204</v>
      </c>
    </row>
    <row r="165" spans="1:41">
      <c r="A165" s="156">
        <f>'BD Plant List'!A164</f>
        <v>44621</v>
      </c>
      <c r="B165" s="148">
        <f t="shared" si="25"/>
        <v>40</v>
      </c>
      <c r="C165" s="148">
        <f t="shared" si="25"/>
        <v>10</v>
      </c>
      <c r="D165" s="148">
        <f t="shared" si="25"/>
        <v>56</v>
      </c>
      <c r="E165" s="148">
        <f t="shared" si="25"/>
        <v>70</v>
      </c>
      <c r="F165" s="148">
        <f t="shared" si="25"/>
        <v>9</v>
      </c>
      <c r="G165" s="148">
        <f t="shared" si="25"/>
        <v>50</v>
      </c>
      <c r="H165" s="148">
        <f t="shared" si="25"/>
        <v>39</v>
      </c>
      <c r="I165" s="148">
        <f t="shared" si="25"/>
        <v>39</v>
      </c>
      <c r="J165" s="148">
        <f t="shared" si="25"/>
        <v>100</v>
      </c>
      <c r="K165" s="148">
        <f t="shared" si="25"/>
        <v>26</v>
      </c>
      <c r="L165" s="148">
        <f t="shared" si="25"/>
        <v>7</v>
      </c>
      <c r="M165" s="148">
        <f t="shared" si="25"/>
        <v>12</v>
      </c>
      <c r="N165" s="148">
        <f t="shared" si="25"/>
        <v>10</v>
      </c>
      <c r="O165" s="148">
        <f t="shared" si="25"/>
        <v>105</v>
      </c>
      <c r="P165" s="148">
        <f t="shared" si="11"/>
        <v>573</v>
      </c>
      <c r="R165" s="148">
        <f>'Fuel Ethanol'!O28</f>
        <v>147011</v>
      </c>
      <c r="S165" s="157">
        <f t="shared" si="12"/>
        <v>38.835895870000002</v>
      </c>
      <c r="T165" s="154">
        <f t="shared" si="13"/>
        <v>0.88351421045562195</v>
      </c>
      <c r="V165" s="149">
        <f t="shared" si="14"/>
        <v>455</v>
      </c>
      <c r="W165" s="149">
        <f t="shared" si="15"/>
        <v>108</v>
      </c>
      <c r="X165" s="149">
        <f t="shared" si="16"/>
        <v>10</v>
      </c>
      <c r="Y165" s="149">
        <f t="shared" si="9"/>
        <v>573</v>
      </c>
      <c r="AA165" s="158">
        <f t="shared" si="17"/>
        <v>0.79406631762652702</v>
      </c>
      <c r="AB165" s="158">
        <f t="shared" si="17"/>
        <v>0.18848167539267016</v>
      </c>
      <c r="AC165" s="158">
        <f t="shared" si="17"/>
        <v>1.7452006980802792E-2</v>
      </c>
      <c r="AE165" s="148">
        <v>109810</v>
      </c>
      <c r="AF165" s="148">
        <v>354342</v>
      </c>
      <c r="AG165" s="148">
        <f t="shared" si="18"/>
        <v>281371.04712041887</v>
      </c>
      <c r="AH165" s="159">
        <f t="shared" si="19"/>
        <v>11.076987245931939</v>
      </c>
      <c r="AI165" s="159">
        <f t="shared" si="20"/>
        <v>242.08954181999999</v>
      </c>
      <c r="AJ165" s="157">
        <f t="shared" si="21"/>
        <v>21.855179250920255</v>
      </c>
      <c r="AK165" s="157">
        <f t="shared" si="22"/>
        <v>10.523137883635341</v>
      </c>
      <c r="AN165" s="148">
        <f t="shared" si="23"/>
        <v>116138.69</v>
      </c>
      <c r="AO165" s="160">
        <f t="shared" si="24"/>
        <v>0.3277587471990337</v>
      </c>
    </row>
    <row r="166" spans="1:41">
      <c r="A166" s="156">
        <f>'BD Plant List'!A165</f>
        <v>44652</v>
      </c>
      <c r="B166" s="148">
        <f t="shared" si="25"/>
        <v>40</v>
      </c>
      <c r="C166" s="148">
        <f t="shared" si="25"/>
        <v>10</v>
      </c>
      <c r="D166" s="148">
        <f t="shared" si="25"/>
        <v>56</v>
      </c>
      <c r="E166" s="148">
        <f t="shared" si="25"/>
        <v>70</v>
      </c>
      <c r="F166" s="148">
        <f t="shared" si="25"/>
        <v>9</v>
      </c>
      <c r="G166" s="148">
        <f t="shared" si="25"/>
        <v>50</v>
      </c>
      <c r="H166" s="148">
        <f t="shared" si="25"/>
        <v>39</v>
      </c>
      <c r="I166" s="148">
        <f t="shared" si="25"/>
        <v>39</v>
      </c>
      <c r="J166" s="148">
        <f t="shared" si="25"/>
        <v>100</v>
      </c>
      <c r="K166" s="148">
        <f t="shared" si="25"/>
        <v>26</v>
      </c>
      <c r="L166" s="148">
        <f t="shared" si="25"/>
        <v>7</v>
      </c>
      <c r="M166" s="148">
        <f t="shared" si="25"/>
        <v>12</v>
      </c>
      <c r="N166" s="148">
        <f t="shared" si="25"/>
        <v>10</v>
      </c>
      <c r="O166" s="148">
        <f t="shared" si="25"/>
        <v>105</v>
      </c>
      <c r="P166" s="148">
        <f t="shared" si="11"/>
        <v>573</v>
      </c>
      <c r="R166" s="148">
        <f>'Fuel Ethanol'!O29</f>
        <v>134215</v>
      </c>
      <c r="S166" s="157">
        <f t="shared" si="12"/>
        <v>35.455576550000004</v>
      </c>
      <c r="T166" s="154">
        <f t="shared" si="13"/>
        <v>0.72855291565332436</v>
      </c>
      <c r="V166" s="149">
        <f t="shared" si="14"/>
        <v>455</v>
      </c>
      <c r="W166" s="149">
        <f t="shared" si="15"/>
        <v>108</v>
      </c>
      <c r="X166" s="149">
        <f t="shared" si="16"/>
        <v>10</v>
      </c>
      <c r="Y166" s="149">
        <f t="shared" si="9"/>
        <v>573</v>
      </c>
      <c r="AA166" s="158">
        <f t="shared" si="17"/>
        <v>0.79406631762652702</v>
      </c>
      <c r="AB166" s="158">
        <f t="shared" si="17"/>
        <v>0.18848167539267016</v>
      </c>
      <c r="AC166" s="158">
        <f t="shared" si="17"/>
        <v>1.7452006980802792E-2</v>
      </c>
      <c r="AE166" s="148">
        <v>97426</v>
      </c>
      <c r="AF166" s="148">
        <v>318471</v>
      </c>
      <c r="AG166" s="148">
        <f t="shared" si="18"/>
        <v>252887.09424083767</v>
      </c>
      <c r="AH166" s="159">
        <f t="shared" si="19"/>
        <v>9.9556338373638731</v>
      </c>
      <c r="AI166" s="159">
        <f t="shared" si="20"/>
        <v>214.78750297199997</v>
      </c>
      <c r="AJ166" s="157">
        <f t="shared" si="21"/>
        <v>21.574467932508153</v>
      </c>
      <c r="AK166" s="157">
        <f t="shared" si="22"/>
        <v>9.4578521454956785</v>
      </c>
      <c r="AN166" s="148">
        <f t="shared" si="23"/>
        <v>106029.85</v>
      </c>
      <c r="AO166" s="160">
        <f t="shared" si="24"/>
        <v>0.33293408191012686</v>
      </c>
    </row>
    <row r="167" spans="1:41">
      <c r="A167" s="156">
        <f>'BD Plant List'!A166</f>
        <v>44682</v>
      </c>
      <c r="B167" s="148">
        <f t="shared" si="25"/>
        <v>40</v>
      </c>
      <c r="C167" s="148">
        <f t="shared" si="25"/>
        <v>10</v>
      </c>
      <c r="D167" s="148">
        <f t="shared" si="25"/>
        <v>56</v>
      </c>
      <c r="E167" s="148">
        <f t="shared" si="25"/>
        <v>70</v>
      </c>
      <c r="F167" s="148">
        <f t="shared" si="25"/>
        <v>9</v>
      </c>
      <c r="G167" s="148">
        <f t="shared" si="25"/>
        <v>50</v>
      </c>
      <c r="H167" s="148">
        <f t="shared" si="25"/>
        <v>39</v>
      </c>
      <c r="I167" s="148">
        <f t="shared" si="25"/>
        <v>39</v>
      </c>
      <c r="J167" s="148">
        <f t="shared" si="25"/>
        <v>100</v>
      </c>
      <c r="K167" s="148">
        <f t="shared" si="25"/>
        <v>26</v>
      </c>
      <c r="L167" s="148">
        <f t="shared" si="25"/>
        <v>7</v>
      </c>
      <c r="M167" s="148">
        <f t="shared" si="25"/>
        <v>12</v>
      </c>
      <c r="N167" s="148">
        <f t="shared" si="25"/>
        <v>10</v>
      </c>
      <c r="O167" s="148">
        <f t="shared" si="25"/>
        <v>105</v>
      </c>
      <c r="P167" s="148">
        <f t="shared" si="11"/>
        <v>573</v>
      </c>
      <c r="R167" s="148">
        <f>'Fuel Ethanol'!O30</f>
        <v>143661</v>
      </c>
      <c r="S167" s="157">
        <f t="shared" si="12"/>
        <v>37.950926370000005</v>
      </c>
      <c r="T167" s="154">
        <f t="shared" si="13"/>
        <v>0.80582246219022691</v>
      </c>
      <c r="V167" s="149">
        <f t="shared" si="14"/>
        <v>455</v>
      </c>
      <c r="W167" s="149">
        <f t="shared" si="15"/>
        <v>108</v>
      </c>
      <c r="X167" s="149">
        <f t="shared" si="16"/>
        <v>10</v>
      </c>
      <c r="Y167" s="149">
        <f t="shared" si="9"/>
        <v>573</v>
      </c>
      <c r="AA167" s="158">
        <f t="shared" si="17"/>
        <v>0.79406631762652702</v>
      </c>
      <c r="AB167" s="158">
        <f t="shared" si="17"/>
        <v>0.18848167539267016</v>
      </c>
      <c r="AC167" s="158">
        <f t="shared" si="17"/>
        <v>1.7452006980802792E-2</v>
      </c>
      <c r="AE167" s="148">
        <v>106239</v>
      </c>
      <c r="AF167" s="148">
        <v>345483</v>
      </c>
      <c r="AG167" s="148">
        <f t="shared" si="18"/>
        <v>274336.41361256543</v>
      </c>
      <c r="AH167" s="159">
        <f t="shared" si="19"/>
        <v>10.800048497458116</v>
      </c>
      <c r="AI167" s="159">
        <f t="shared" si="20"/>
        <v>234.21683665800001</v>
      </c>
      <c r="AJ167" s="157">
        <f t="shared" si="21"/>
        <v>21.686646750996069</v>
      </c>
      <c r="AK167" s="157">
        <f t="shared" si="22"/>
        <v>10.26004607258521</v>
      </c>
      <c r="AN167" s="148">
        <f t="shared" si="23"/>
        <v>113492.19</v>
      </c>
      <c r="AO167" s="160">
        <f t="shared" si="24"/>
        <v>0.32850296541363833</v>
      </c>
    </row>
    <row r="168" spans="1:41">
      <c r="A168" s="156">
        <f>'BD Plant List'!A167</f>
        <v>44713</v>
      </c>
      <c r="B168" s="148">
        <f t="shared" si="25"/>
        <v>40</v>
      </c>
      <c r="C168" s="148">
        <f t="shared" si="25"/>
        <v>10</v>
      </c>
      <c r="D168" s="148">
        <f t="shared" si="25"/>
        <v>56</v>
      </c>
      <c r="E168" s="148">
        <f t="shared" si="25"/>
        <v>70</v>
      </c>
      <c r="F168" s="148">
        <f t="shared" si="25"/>
        <v>9</v>
      </c>
      <c r="G168" s="148">
        <f t="shared" si="25"/>
        <v>50</v>
      </c>
      <c r="H168" s="148">
        <f t="shared" si="25"/>
        <v>39</v>
      </c>
      <c r="I168" s="148">
        <f t="shared" si="25"/>
        <v>39</v>
      </c>
      <c r="J168" s="148">
        <f t="shared" si="25"/>
        <v>100</v>
      </c>
      <c r="K168" s="148">
        <f t="shared" si="25"/>
        <v>26</v>
      </c>
      <c r="L168" s="148">
        <f t="shared" si="25"/>
        <v>7</v>
      </c>
      <c r="M168" s="148">
        <f t="shared" si="25"/>
        <v>12</v>
      </c>
      <c r="N168" s="148">
        <f t="shared" si="25"/>
        <v>10</v>
      </c>
      <c r="O168" s="148">
        <f t="shared" si="25"/>
        <v>105</v>
      </c>
      <c r="P168" s="148">
        <f t="shared" si="11"/>
        <v>573</v>
      </c>
      <c r="R168" s="148">
        <f>'Fuel Ethanol'!O31</f>
        <v>138122</v>
      </c>
      <c r="S168" s="157">
        <f t="shared" si="12"/>
        <v>36.487688740000003</v>
      </c>
      <c r="T168" s="154">
        <f t="shared" si="13"/>
        <v>0.74976109835613358</v>
      </c>
      <c r="V168" s="149">
        <f t="shared" si="14"/>
        <v>455</v>
      </c>
      <c r="W168" s="149">
        <f t="shared" si="15"/>
        <v>108</v>
      </c>
      <c r="X168" s="149">
        <f t="shared" si="16"/>
        <v>10</v>
      </c>
      <c r="Y168" s="149">
        <f t="shared" si="9"/>
        <v>573</v>
      </c>
      <c r="AA168" s="158">
        <f t="shared" si="17"/>
        <v>0.79406631762652702</v>
      </c>
      <c r="AB168" s="158">
        <f t="shared" si="17"/>
        <v>0.18848167539267016</v>
      </c>
      <c r="AC168" s="158">
        <f t="shared" si="17"/>
        <v>1.7452006980802792E-2</v>
      </c>
      <c r="AE168" s="148">
        <v>102213</v>
      </c>
      <c r="AF168" s="148">
        <v>332897</v>
      </c>
      <c r="AG168" s="148">
        <f t="shared" si="18"/>
        <v>264342.29493891797</v>
      </c>
      <c r="AH168" s="159">
        <f t="shared" si="19"/>
        <v>10.406601032925829</v>
      </c>
      <c r="AI168" s="159">
        <f t="shared" si="20"/>
        <v>225.34102848599997</v>
      </c>
      <c r="AJ168" s="157">
        <f t="shared" si="21"/>
        <v>21.653662687080551</v>
      </c>
      <c r="AK168" s="157">
        <f t="shared" si="22"/>
        <v>9.8862709812795373</v>
      </c>
      <c r="AN168" s="148">
        <f t="shared" si="23"/>
        <v>109116.38</v>
      </c>
      <c r="AO168" s="160">
        <f t="shared" si="24"/>
        <v>0.32777820166598076</v>
      </c>
    </row>
    <row r="169" spans="1:41">
      <c r="A169" s="156">
        <f>'BD Plant List'!A168</f>
        <v>44743</v>
      </c>
      <c r="B169" s="148">
        <f t="shared" si="25"/>
        <v>40</v>
      </c>
      <c r="C169" s="148">
        <f t="shared" si="25"/>
        <v>10</v>
      </c>
      <c r="D169" s="148">
        <f t="shared" si="25"/>
        <v>56</v>
      </c>
      <c r="E169" s="148">
        <f t="shared" si="25"/>
        <v>70</v>
      </c>
      <c r="F169" s="148">
        <f t="shared" si="25"/>
        <v>9</v>
      </c>
      <c r="G169" s="148">
        <f t="shared" si="25"/>
        <v>50</v>
      </c>
      <c r="H169" s="148">
        <f t="shared" si="25"/>
        <v>39</v>
      </c>
      <c r="I169" s="148">
        <f t="shared" si="25"/>
        <v>39</v>
      </c>
      <c r="J169" s="148">
        <f t="shared" si="25"/>
        <v>100</v>
      </c>
      <c r="K169" s="148">
        <f t="shared" si="25"/>
        <v>26</v>
      </c>
      <c r="L169" s="148">
        <f t="shared" si="25"/>
        <v>7</v>
      </c>
      <c r="M169" s="148">
        <f t="shared" si="25"/>
        <v>12</v>
      </c>
      <c r="N169" s="148">
        <f t="shared" si="25"/>
        <v>10</v>
      </c>
      <c r="O169" s="148">
        <f t="shared" si="25"/>
        <v>105</v>
      </c>
      <c r="P169" s="148">
        <f t="shared" si="11"/>
        <v>573</v>
      </c>
      <c r="R169" s="148">
        <f>'Fuel Ethanol'!O32</f>
        <v>148829</v>
      </c>
      <c r="S169" s="157">
        <f t="shared" si="12"/>
        <v>39.316156929999998</v>
      </c>
      <c r="T169" s="154">
        <f t="shared" si="13"/>
        <v>0.83481077832751593</v>
      </c>
      <c r="V169" s="149">
        <f t="shared" si="14"/>
        <v>455</v>
      </c>
      <c r="W169" s="149">
        <f t="shared" si="15"/>
        <v>108</v>
      </c>
      <c r="X169" s="149">
        <f t="shared" si="16"/>
        <v>10</v>
      </c>
      <c r="Y169" s="149">
        <f t="shared" si="9"/>
        <v>573</v>
      </c>
      <c r="AA169" s="158">
        <f t="shared" si="17"/>
        <v>0.79406631762652702</v>
      </c>
      <c r="AB169" s="158">
        <f t="shared" si="17"/>
        <v>0.18848167539267016</v>
      </c>
      <c r="AC169" s="158">
        <f t="shared" si="17"/>
        <v>1.7452006980802792E-2</v>
      </c>
      <c r="AE169" s="148">
        <v>112755</v>
      </c>
      <c r="AF169" s="148">
        <v>357801</v>
      </c>
      <c r="AG169" s="148">
        <f t="shared" si="18"/>
        <v>284117.72251308901</v>
      </c>
      <c r="AH169" s="159">
        <f t="shared" si="19"/>
        <v>11.185118088123037</v>
      </c>
      <c r="AI169" s="159">
        <f t="shared" si="20"/>
        <v>248.58215360999998</v>
      </c>
      <c r="AJ169" s="157">
        <f t="shared" si="21"/>
        <v>22.224365594669756</v>
      </c>
      <c r="AK169" s="157">
        <f t="shared" si="22"/>
        <v>10.625862183716885</v>
      </c>
      <c r="AN169" s="148">
        <f t="shared" si="23"/>
        <v>117574.91</v>
      </c>
      <c r="AO169" s="160">
        <f t="shared" si="24"/>
        <v>0.32860419618726611</v>
      </c>
    </row>
    <row r="170" spans="1:41">
      <c r="A170" s="156">
        <f>'BD Plant List'!A169</f>
        <v>44774</v>
      </c>
      <c r="B170" s="148">
        <f t="shared" si="25"/>
        <v>40</v>
      </c>
      <c r="C170" s="148">
        <f t="shared" si="25"/>
        <v>10</v>
      </c>
      <c r="D170" s="148">
        <f t="shared" si="25"/>
        <v>56</v>
      </c>
      <c r="E170" s="148">
        <f t="shared" si="25"/>
        <v>70</v>
      </c>
      <c r="F170" s="148">
        <f t="shared" si="25"/>
        <v>9</v>
      </c>
      <c r="G170" s="148">
        <f t="shared" si="25"/>
        <v>50</v>
      </c>
      <c r="H170" s="148">
        <f t="shared" si="25"/>
        <v>39</v>
      </c>
      <c r="I170" s="148">
        <f t="shared" si="25"/>
        <v>39</v>
      </c>
      <c r="J170" s="148">
        <f t="shared" si="25"/>
        <v>100</v>
      </c>
      <c r="K170" s="148">
        <f t="shared" si="25"/>
        <v>26</v>
      </c>
      <c r="L170" s="148">
        <f t="shared" si="25"/>
        <v>7</v>
      </c>
      <c r="M170" s="148">
        <f t="shared" si="25"/>
        <v>12</v>
      </c>
      <c r="N170" s="148">
        <f t="shared" si="25"/>
        <v>10</v>
      </c>
      <c r="O170" s="148">
        <f t="shared" si="25"/>
        <v>105</v>
      </c>
      <c r="P170" s="148">
        <f t="shared" si="11"/>
        <v>573</v>
      </c>
      <c r="R170" s="148">
        <f>'Fuel Ethanol'!O33</f>
        <v>147066</v>
      </c>
      <c r="S170" s="157">
        <f t="shared" si="12"/>
        <v>38.850425219999998</v>
      </c>
      <c r="T170" s="154">
        <f t="shared" si="13"/>
        <v>0.79831138914034783</v>
      </c>
      <c r="V170" s="149">
        <f t="shared" si="14"/>
        <v>455</v>
      </c>
      <c r="W170" s="149">
        <f t="shared" si="15"/>
        <v>108</v>
      </c>
      <c r="X170" s="149">
        <f t="shared" si="16"/>
        <v>10</v>
      </c>
      <c r="Y170" s="149">
        <f t="shared" si="9"/>
        <v>573</v>
      </c>
      <c r="AA170" s="158">
        <f t="shared" si="17"/>
        <v>0.79406631762652702</v>
      </c>
      <c r="AB170" s="158">
        <f t="shared" si="17"/>
        <v>0.18848167539267016</v>
      </c>
      <c r="AC170" s="158">
        <f t="shared" si="17"/>
        <v>1.7452006980802792E-2</v>
      </c>
      <c r="AE170" s="148">
        <v>110254</v>
      </c>
      <c r="AF170" s="148">
        <v>356357</v>
      </c>
      <c r="AG170" s="148">
        <f t="shared" si="18"/>
        <v>282971.0907504363</v>
      </c>
      <c r="AH170" s="159">
        <f t="shared" si="19"/>
        <v>11.139977603554101</v>
      </c>
      <c r="AI170" s="159">
        <f t="shared" si="20"/>
        <v>243.06839398799997</v>
      </c>
      <c r="AJ170" s="157">
        <f t="shared" si="21"/>
        <v>21.819468821055025</v>
      </c>
      <c r="AK170" s="157">
        <f t="shared" si="22"/>
        <v>10.582978723376396</v>
      </c>
      <c r="AN170" s="148">
        <f t="shared" si="23"/>
        <v>116182.14</v>
      </c>
      <c r="AO170" s="160">
        <f t="shared" si="24"/>
        <v>0.32602738265278919</v>
      </c>
    </row>
    <row r="171" spans="1:41">
      <c r="A171" s="156">
        <f>'BD Plant List'!A170</f>
        <v>44805</v>
      </c>
      <c r="B171" s="148">
        <f t="shared" si="25"/>
        <v>40</v>
      </c>
      <c r="C171" s="148">
        <f t="shared" si="25"/>
        <v>10</v>
      </c>
      <c r="D171" s="148">
        <f t="shared" si="25"/>
        <v>56</v>
      </c>
      <c r="E171" s="148">
        <f t="shared" si="25"/>
        <v>70</v>
      </c>
      <c r="F171" s="148">
        <f t="shared" si="25"/>
        <v>9</v>
      </c>
      <c r="G171" s="148">
        <f t="shared" si="25"/>
        <v>50</v>
      </c>
      <c r="H171" s="148">
        <f t="shared" si="25"/>
        <v>39</v>
      </c>
      <c r="I171" s="148">
        <f t="shared" si="25"/>
        <v>39</v>
      </c>
      <c r="J171" s="148">
        <f t="shared" si="25"/>
        <v>100</v>
      </c>
      <c r="K171" s="148">
        <f t="shared" si="25"/>
        <v>26</v>
      </c>
      <c r="L171" s="148">
        <f t="shared" si="25"/>
        <v>7</v>
      </c>
      <c r="M171" s="148">
        <f t="shared" si="25"/>
        <v>12</v>
      </c>
      <c r="N171" s="148">
        <f t="shared" si="25"/>
        <v>10</v>
      </c>
      <c r="O171" s="148">
        <f t="shared" si="25"/>
        <v>105</v>
      </c>
      <c r="P171" s="148">
        <f t="shared" si="11"/>
        <v>573</v>
      </c>
      <c r="R171" s="148">
        <f>'Fuel Ethanol'!O34</f>
        <v>127518</v>
      </c>
      <c r="S171" s="157">
        <f t="shared" si="12"/>
        <v>33.686430059999999</v>
      </c>
      <c r="T171" s="154">
        <f t="shared" si="13"/>
        <v>0.69219990834318523</v>
      </c>
      <c r="V171" s="149">
        <f t="shared" si="14"/>
        <v>455</v>
      </c>
      <c r="W171" s="149">
        <f t="shared" si="15"/>
        <v>108</v>
      </c>
      <c r="X171" s="149">
        <f t="shared" si="16"/>
        <v>10</v>
      </c>
      <c r="Y171" s="149">
        <f t="shared" si="9"/>
        <v>573</v>
      </c>
      <c r="AA171" s="158">
        <f t="shared" si="17"/>
        <v>0.79406631762652702</v>
      </c>
      <c r="AB171" s="158">
        <f t="shared" si="17"/>
        <v>0.18848167539267016</v>
      </c>
      <c r="AC171" s="158">
        <f t="shared" si="17"/>
        <v>1.7452006980802792E-2</v>
      </c>
      <c r="AE171" s="148">
        <v>99088</v>
      </c>
      <c r="AF171" s="148">
        <v>309156</v>
      </c>
      <c r="AG171" s="148">
        <f t="shared" si="18"/>
        <v>245490.3664921466</v>
      </c>
      <c r="AH171" s="159">
        <f t="shared" si="19"/>
        <v>9.6644401990261777</v>
      </c>
      <c r="AI171" s="159">
        <f t="shared" si="20"/>
        <v>218.45158473599997</v>
      </c>
      <c r="AJ171" s="157">
        <f t="shared" si="21"/>
        <v>22.603645967824594</v>
      </c>
      <c r="AK171" s="157">
        <f t="shared" si="22"/>
        <v>9.181218189074869</v>
      </c>
      <c r="AN171" s="148">
        <f t="shared" si="23"/>
        <v>100739.22</v>
      </c>
      <c r="AO171" s="160">
        <f t="shared" si="24"/>
        <v>0.32585238520358656</v>
      </c>
    </row>
    <row r="172" spans="1:41">
      <c r="A172" s="156">
        <f>'BD Plant List'!A171</f>
        <v>44835</v>
      </c>
      <c r="B172" s="148">
        <f t="shared" si="25"/>
        <v>40</v>
      </c>
      <c r="C172" s="148">
        <f t="shared" si="25"/>
        <v>10</v>
      </c>
      <c r="D172" s="148">
        <f t="shared" si="25"/>
        <v>56</v>
      </c>
      <c r="E172" s="148">
        <f t="shared" si="25"/>
        <v>70</v>
      </c>
      <c r="F172" s="148">
        <f t="shared" si="25"/>
        <v>9</v>
      </c>
      <c r="G172" s="148">
        <f t="shared" si="25"/>
        <v>50</v>
      </c>
      <c r="H172" s="148">
        <f t="shared" si="25"/>
        <v>39</v>
      </c>
      <c r="I172" s="148">
        <f t="shared" si="25"/>
        <v>39</v>
      </c>
      <c r="J172" s="148">
        <f t="shared" si="25"/>
        <v>100</v>
      </c>
      <c r="K172" s="148">
        <f t="shared" si="25"/>
        <v>26</v>
      </c>
      <c r="L172" s="148">
        <f t="shared" si="25"/>
        <v>7</v>
      </c>
      <c r="M172" s="148">
        <f t="shared" si="25"/>
        <v>12</v>
      </c>
      <c r="N172" s="148">
        <f t="shared" si="25"/>
        <v>10</v>
      </c>
      <c r="O172" s="148">
        <f t="shared" si="25"/>
        <v>105</v>
      </c>
      <c r="P172" s="148">
        <f t="shared" si="11"/>
        <v>573</v>
      </c>
      <c r="R172" s="148">
        <f>'Fuel Ethanol'!O35</f>
        <v>138048</v>
      </c>
      <c r="S172" s="157">
        <f t="shared" si="12"/>
        <v>36.468140160000004</v>
      </c>
      <c r="T172" s="154">
        <f t="shared" si="13"/>
        <v>0.77433805458987781</v>
      </c>
      <c r="V172" s="149">
        <f t="shared" si="14"/>
        <v>455</v>
      </c>
      <c r="W172" s="149">
        <f t="shared" si="15"/>
        <v>108</v>
      </c>
      <c r="X172" s="149">
        <f t="shared" si="16"/>
        <v>10</v>
      </c>
      <c r="Y172" s="149">
        <f t="shared" si="9"/>
        <v>573</v>
      </c>
      <c r="AA172" s="158">
        <f t="shared" si="17"/>
        <v>0.79406631762652702</v>
      </c>
      <c r="AB172" s="158">
        <f t="shared" si="17"/>
        <v>0.18848167539267016</v>
      </c>
      <c r="AC172" s="158">
        <f t="shared" si="17"/>
        <v>1.7452006980802792E-2</v>
      </c>
      <c r="AE172" s="148">
        <v>108175</v>
      </c>
      <c r="AF172" s="148">
        <v>333649</v>
      </c>
      <c r="AG172" s="148">
        <f t="shared" si="18"/>
        <v>264939.43280977313</v>
      </c>
      <c r="AH172" s="159">
        <f t="shared" si="19"/>
        <v>10.430109096911869</v>
      </c>
      <c r="AI172" s="159">
        <f t="shared" si="20"/>
        <v>238.48498484999999</v>
      </c>
      <c r="AJ172" s="157">
        <f t="shared" si="21"/>
        <v>22.865051806659459</v>
      </c>
      <c r="AK172" s="157">
        <f t="shared" si="22"/>
        <v>9.9086036420662751</v>
      </c>
      <c r="AN172" s="148">
        <f t="shared" si="23"/>
        <v>109057.92</v>
      </c>
      <c r="AO172" s="160">
        <f t="shared" si="24"/>
        <v>0.32686421958405387</v>
      </c>
    </row>
    <row r="173" spans="1:41">
      <c r="A173" s="156">
        <f>'BD Plant List'!A172</f>
        <v>44866</v>
      </c>
      <c r="B173" s="148">
        <f t="shared" si="25"/>
        <v>40</v>
      </c>
      <c r="C173" s="148">
        <f t="shared" si="25"/>
        <v>10</v>
      </c>
      <c r="D173" s="148">
        <f t="shared" si="25"/>
        <v>56</v>
      </c>
      <c r="E173" s="148">
        <f t="shared" si="25"/>
        <v>70</v>
      </c>
      <c r="F173" s="148">
        <f t="shared" si="25"/>
        <v>9</v>
      </c>
      <c r="G173" s="148">
        <f t="shared" si="25"/>
        <v>50</v>
      </c>
      <c r="H173" s="148">
        <f t="shared" si="25"/>
        <v>39</v>
      </c>
      <c r="I173" s="148">
        <f t="shared" si="25"/>
        <v>39</v>
      </c>
      <c r="J173" s="148">
        <f t="shared" si="25"/>
        <v>100</v>
      </c>
      <c r="K173" s="148">
        <f t="shared" si="25"/>
        <v>26</v>
      </c>
      <c r="L173" s="148">
        <f t="shared" si="25"/>
        <v>7</v>
      </c>
      <c r="M173" s="148">
        <f t="shared" si="25"/>
        <v>12</v>
      </c>
      <c r="N173" s="148">
        <f t="shared" si="25"/>
        <v>10</v>
      </c>
      <c r="O173" s="148">
        <f t="shared" si="25"/>
        <v>105</v>
      </c>
      <c r="P173" s="148">
        <f t="shared" si="11"/>
        <v>573</v>
      </c>
      <c r="R173" s="148">
        <f>'Fuel Ethanol'!O36</f>
        <v>148365</v>
      </c>
      <c r="S173" s="157">
        <f t="shared" si="12"/>
        <v>39.193582050000003</v>
      </c>
      <c r="T173" s="154">
        <f t="shared" si="13"/>
        <v>0.80536268919945952</v>
      </c>
      <c r="V173" s="149">
        <f t="shared" si="14"/>
        <v>455</v>
      </c>
      <c r="W173" s="149">
        <f t="shared" si="15"/>
        <v>108</v>
      </c>
      <c r="X173" s="149">
        <f t="shared" si="16"/>
        <v>10</v>
      </c>
      <c r="Y173" s="149">
        <f t="shared" si="9"/>
        <v>573</v>
      </c>
      <c r="AA173" s="158">
        <f t="shared" si="17"/>
        <v>0.79406631762652702</v>
      </c>
      <c r="AB173" s="158">
        <f t="shared" si="17"/>
        <v>0.18848167539267016</v>
      </c>
      <c r="AC173" s="158">
        <f t="shared" si="17"/>
        <v>1.7452006980802792E-2</v>
      </c>
      <c r="AE173" s="148">
        <v>114234</v>
      </c>
      <c r="AF173" s="148">
        <v>358635</v>
      </c>
      <c r="AG173" s="148">
        <f t="shared" si="18"/>
        <v>284779.97382198949</v>
      </c>
      <c r="AH173" s="159">
        <f t="shared" si="19"/>
        <v>11.211189531426699</v>
      </c>
      <c r="AI173" s="159">
        <f t="shared" si="20"/>
        <v>251.84278954799998</v>
      </c>
      <c r="AJ173" s="157">
        <f t="shared" si="21"/>
        <v>22.463520828190948</v>
      </c>
      <c r="AK173" s="157">
        <f t="shared" si="22"/>
        <v>10.650630054855364</v>
      </c>
      <c r="AN173" s="148">
        <f t="shared" si="23"/>
        <v>117208.35</v>
      </c>
      <c r="AO173" s="160">
        <f t="shared" si="24"/>
        <v>0.32681793466895315</v>
      </c>
    </row>
    <row r="174" spans="1:41">
      <c r="A174" s="156">
        <f>'BD Plant List'!A173</f>
        <v>44896</v>
      </c>
      <c r="B174" s="148">
        <f t="shared" si="25"/>
        <v>40</v>
      </c>
      <c r="C174" s="148">
        <f t="shared" si="25"/>
        <v>10</v>
      </c>
      <c r="D174" s="148">
        <f t="shared" si="25"/>
        <v>56</v>
      </c>
      <c r="E174" s="148">
        <f t="shared" si="25"/>
        <v>70</v>
      </c>
      <c r="F174" s="148">
        <f t="shared" si="25"/>
        <v>9</v>
      </c>
      <c r="G174" s="148">
        <f t="shared" si="25"/>
        <v>50</v>
      </c>
      <c r="H174" s="148">
        <f t="shared" si="25"/>
        <v>39</v>
      </c>
      <c r="I174" s="148">
        <f t="shared" si="25"/>
        <v>39</v>
      </c>
      <c r="J174" s="148">
        <f t="shared" si="25"/>
        <v>100</v>
      </c>
      <c r="K174" s="148">
        <f t="shared" si="25"/>
        <v>26</v>
      </c>
      <c r="L174" s="148">
        <f t="shared" si="25"/>
        <v>7</v>
      </c>
      <c r="M174" s="148">
        <f t="shared" si="25"/>
        <v>12</v>
      </c>
      <c r="N174" s="148">
        <f t="shared" si="25"/>
        <v>10</v>
      </c>
      <c r="O174" s="148">
        <f t="shared" si="25"/>
        <v>105</v>
      </c>
      <c r="P174" s="148">
        <f t="shared" si="11"/>
        <v>573</v>
      </c>
      <c r="R174" s="148">
        <f>'Fuel Ethanol'!O37</f>
        <v>150449</v>
      </c>
      <c r="S174" s="157">
        <f t="shared" si="12"/>
        <v>39.744112330000007</v>
      </c>
      <c r="T174" s="154">
        <f t="shared" si="13"/>
        <v>0.84389767309191399</v>
      </c>
      <c r="V174" s="149">
        <f t="shared" si="14"/>
        <v>455</v>
      </c>
      <c r="W174" s="149">
        <f t="shared" si="15"/>
        <v>108</v>
      </c>
      <c r="X174" s="149">
        <f t="shared" si="16"/>
        <v>10</v>
      </c>
      <c r="Y174" s="149">
        <f t="shared" si="9"/>
        <v>573</v>
      </c>
      <c r="AA174" s="158">
        <f t="shared" si="17"/>
        <v>0.79406631762652702</v>
      </c>
      <c r="AB174" s="158">
        <f t="shared" si="17"/>
        <v>0.18848167539267016</v>
      </c>
      <c r="AC174" s="158">
        <f t="shared" si="17"/>
        <v>1.7452006980802792E-2</v>
      </c>
      <c r="AE174" s="148">
        <v>116925</v>
      </c>
      <c r="AF174" s="148">
        <v>365518</v>
      </c>
      <c r="AG174" s="148">
        <f t="shared" si="18"/>
        <v>290245.5322862129</v>
      </c>
      <c r="AH174" s="159">
        <f t="shared" si="19"/>
        <v>11.4263570904904</v>
      </c>
      <c r="AI174" s="159">
        <f t="shared" si="20"/>
        <v>257.77542734999997</v>
      </c>
      <c r="AJ174" s="157">
        <f t="shared" si="21"/>
        <v>22.559720942428264</v>
      </c>
      <c r="AK174" s="157">
        <f t="shared" si="22"/>
        <v>10.855039235965879</v>
      </c>
      <c r="AN174" s="148">
        <f t="shared" si="23"/>
        <v>118854.71</v>
      </c>
      <c r="AO174" s="160">
        <f t="shared" si="24"/>
        <v>0.32516787134970099</v>
      </c>
    </row>
    <row r="175" spans="1:41">
      <c r="A175" s="156">
        <f>'BD Plant List'!A174</f>
        <v>44927</v>
      </c>
      <c r="B175" s="148">
        <f t="shared" si="25"/>
        <v>40</v>
      </c>
      <c r="C175" s="148">
        <f t="shared" si="25"/>
        <v>10</v>
      </c>
      <c r="D175" s="148">
        <f t="shared" si="25"/>
        <v>56</v>
      </c>
      <c r="E175" s="148">
        <f t="shared" si="25"/>
        <v>70</v>
      </c>
      <c r="F175" s="148">
        <f t="shared" si="25"/>
        <v>9</v>
      </c>
      <c r="G175" s="148">
        <f t="shared" si="25"/>
        <v>50</v>
      </c>
      <c r="H175" s="148">
        <f t="shared" si="25"/>
        <v>39</v>
      </c>
      <c r="I175" s="148">
        <f t="shared" si="25"/>
        <v>39</v>
      </c>
      <c r="J175" s="148">
        <f t="shared" si="25"/>
        <v>100</v>
      </c>
      <c r="K175" s="148">
        <f t="shared" si="25"/>
        <v>26</v>
      </c>
      <c r="L175" s="148">
        <f t="shared" si="25"/>
        <v>7</v>
      </c>
      <c r="M175" s="148">
        <f t="shared" si="25"/>
        <v>12</v>
      </c>
      <c r="N175" s="148">
        <f t="shared" si="25"/>
        <v>10</v>
      </c>
      <c r="O175" s="148">
        <f t="shared" si="25"/>
        <v>105</v>
      </c>
      <c r="P175" s="148">
        <f t="shared" si="11"/>
        <v>573</v>
      </c>
      <c r="R175" s="148">
        <f>'Fuel Ethanol'!P26</f>
        <v>149788</v>
      </c>
      <c r="S175" s="157">
        <f t="shared" si="12"/>
        <v>39.569495959999998</v>
      </c>
      <c r="T175" s="154">
        <f t="shared" si="13"/>
        <v>0.81308709257445244</v>
      </c>
      <c r="V175" s="149">
        <f t="shared" si="14"/>
        <v>455</v>
      </c>
      <c r="W175" s="149">
        <f t="shared" si="15"/>
        <v>108</v>
      </c>
      <c r="X175" s="149">
        <f t="shared" si="16"/>
        <v>10</v>
      </c>
      <c r="Y175" s="149">
        <f t="shared" si="9"/>
        <v>573</v>
      </c>
      <c r="AA175" s="158">
        <f t="shared" si="17"/>
        <v>0.79406631762652702</v>
      </c>
      <c r="AB175" s="158">
        <f t="shared" si="17"/>
        <v>0.18848167539267016</v>
      </c>
      <c r="AC175" s="158">
        <f t="shared" si="17"/>
        <v>1.7452006980802792E-2</v>
      </c>
      <c r="AE175" s="148">
        <v>119833</v>
      </c>
      <c r="AF175" s="148">
        <v>366358</v>
      </c>
      <c r="AG175" s="148">
        <f t="shared" si="18"/>
        <v>290912.54799301917</v>
      </c>
      <c r="AH175" s="159">
        <f t="shared" si="19"/>
        <v>11.452616098134378</v>
      </c>
      <c r="AI175" s="159">
        <f t="shared" si="20"/>
        <v>264.18646812599997</v>
      </c>
      <c r="AJ175" s="157">
        <f t="shared" si="21"/>
        <v>23.067783453340038</v>
      </c>
      <c r="AK175" s="157">
        <f t="shared" si="22"/>
        <v>10.879985293227659</v>
      </c>
      <c r="AN175" s="148">
        <f t="shared" si="23"/>
        <v>118332.52</v>
      </c>
      <c r="AO175" s="160">
        <f t="shared" si="24"/>
        <v>0.32299695925843031</v>
      </c>
    </row>
    <row r="176" spans="1:41">
      <c r="A176" s="156">
        <f>'BD Plant List'!A175</f>
        <v>44958</v>
      </c>
      <c r="B176" s="148">
        <f t="shared" si="25"/>
        <v>40</v>
      </c>
      <c r="C176" s="148">
        <f t="shared" si="25"/>
        <v>10</v>
      </c>
      <c r="D176" s="148">
        <f t="shared" si="25"/>
        <v>56</v>
      </c>
      <c r="E176" s="148">
        <f t="shared" si="25"/>
        <v>70</v>
      </c>
      <c r="F176" s="148">
        <f t="shared" si="25"/>
        <v>9</v>
      </c>
      <c r="G176" s="148">
        <f t="shared" si="25"/>
        <v>50</v>
      </c>
      <c r="H176" s="148">
        <f t="shared" si="25"/>
        <v>39</v>
      </c>
      <c r="I176" s="148">
        <f t="shared" si="25"/>
        <v>39</v>
      </c>
      <c r="J176" s="148">
        <f t="shared" si="25"/>
        <v>100</v>
      </c>
      <c r="K176" s="148">
        <f t="shared" si="25"/>
        <v>26</v>
      </c>
      <c r="L176" s="148">
        <f t="shared" si="25"/>
        <v>7</v>
      </c>
      <c r="M176" s="148">
        <f t="shared" si="25"/>
        <v>12</v>
      </c>
      <c r="N176" s="148">
        <f t="shared" si="25"/>
        <v>10</v>
      </c>
      <c r="O176" s="148">
        <f t="shared" si="25"/>
        <v>105</v>
      </c>
      <c r="P176" s="148">
        <f t="shared" si="11"/>
        <v>573</v>
      </c>
      <c r="R176" s="148">
        <f>'Fuel Ethanol'!P27</f>
        <v>132431</v>
      </c>
      <c r="S176" s="157">
        <f t="shared" si="12"/>
        <v>34.984297270000006</v>
      </c>
      <c r="T176" s="154">
        <f t="shared" si="13"/>
        <v>0.71886891310870915</v>
      </c>
      <c r="V176" s="149">
        <f t="shared" si="14"/>
        <v>455</v>
      </c>
      <c r="W176" s="149">
        <f t="shared" si="15"/>
        <v>108</v>
      </c>
      <c r="X176" s="149">
        <f t="shared" si="16"/>
        <v>10</v>
      </c>
      <c r="Y176" s="149">
        <f t="shared" si="9"/>
        <v>573</v>
      </c>
      <c r="AA176" s="158">
        <f t="shared" si="17"/>
        <v>0.79406631762652702</v>
      </c>
      <c r="AB176" s="158">
        <f t="shared" si="17"/>
        <v>0.18848167539267016</v>
      </c>
      <c r="AC176" s="158">
        <f t="shared" si="17"/>
        <v>1.7452006980802792E-2</v>
      </c>
      <c r="AE176" s="148">
        <v>103666</v>
      </c>
      <c r="AF176" s="148">
        <v>320582</v>
      </c>
      <c r="AG176" s="148">
        <f t="shared" si="18"/>
        <v>254563.36823734728</v>
      </c>
      <c r="AH176" s="159">
        <f t="shared" si="19"/>
        <v>10.021625224431064</v>
      </c>
      <c r="AI176" s="159">
        <f t="shared" si="20"/>
        <v>228.54434425199997</v>
      </c>
      <c r="AJ176" s="157">
        <f t="shared" si="21"/>
        <v>22.80511784604025</v>
      </c>
      <c r="AK176" s="157">
        <f t="shared" si="22"/>
        <v>9.5205439632095104</v>
      </c>
      <c r="AN176" s="148">
        <f t="shared" si="23"/>
        <v>104620.49</v>
      </c>
      <c r="AO176" s="160">
        <f t="shared" si="24"/>
        <v>0.3263454903893544</v>
      </c>
    </row>
    <row r="177" spans="1:41">
      <c r="A177" s="156">
        <f>'BD Plant List'!A176</f>
        <v>44986</v>
      </c>
      <c r="B177" s="148">
        <f t="shared" si="25"/>
        <v>40</v>
      </c>
      <c r="C177" s="148">
        <f t="shared" si="25"/>
        <v>10</v>
      </c>
      <c r="D177" s="148">
        <f t="shared" si="25"/>
        <v>56</v>
      </c>
      <c r="E177" s="148">
        <f t="shared" si="25"/>
        <v>70</v>
      </c>
      <c r="F177" s="148">
        <f t="shared" si="25"/>
        <v>9</v>
      </c>
      <c r="G177" s="148">
        <f t="shared" si="25"/>
        <v>50</v>
      </c>
      <c r="H177" s="148">
        <f t="shared" si="25"/>
        <v>39</v>
      </c>
      <c r="I177" s="148">
        <f t="shared" si="25"/>
        <v>39</v>
      </c>
      <c r="J177" s="148">
        <f t="shared" si="25"/>
        <v>100</v>
      </c>
      <c r="K177" s="148">
        <f t="shared" si="25"/>
        <v>26</v>
      </c>
      <c r="L177" s="148">
        <f t="shared" si="25"/>
        <v>7</v>
      </c>
      <c r="M177" s="148">
        <f t="shared" si="25"/>
        <v>12</v>
      </c>
      <c r="N177" s="148">
        <f t="shared" si="25"/>
        <v>10</v>
      </c>
      <c r="O177" s="148">
        <f t="shared" si="25"/>
        <v>105</v>
      </c>
      <c r="P177" s="148">
        <f t="shared" si="11"/>
        <v>573</v>
      </c>
      <c r="R177" s="148">
        <f>'Fuel Ethanol'!P28</f>
        <v>155281</v>
      </c>
      <c r="S177" s="157">
        <f t="shared" si="12"/>
        <v>41.020581770000007</v>
      </c>
      <c r="T177" s="154">
        <f t="shared" si="13"/>
        <v>0.93321567851221643</v>
      </c>
      <c r="V177" s="149">
        <f t="shared" si="14"/>
        <v>455</v>
      </c>
      <c r="W177" s="149">
        <f t="shared" si="15"/>
        <v>108</v>
      </c>
      <c r="X177" s="149">
        <f t="shared" si="16"/>
        <v>10</v>
      </c>
      <c r="Y177" s="149">
        <f t="shared" si="9"/>
        <v>573</v>
      </c>
      <c r="AA177" s="158">
        <f t="shared" si="17"/>
        <v>0.79406631762652702</v>
      </c>
      <c r="AB177" s="158">
        <f t="shared" si="17"/>
        <v>0.18848167539267016</v>
      </c>
      <c r="AC177" s="158">
        <f t="shared" si="17"/>
        <v>1.7452006980802792E-2</v>
      </c>
      <c r="AE177" s="148">
        <v>120665</v>
      </c>
      <c r="AF177" s="148">
        <v>377267</v>
      </c>
      <c r="AG177" s="148">
        <f t="shared" si="18"/>
        <v>299575.01745200698</v>
      </c>
      <c r="AH177" s="159">
        <f t="shared" si="19"/>
        <v>11.793639329548865</v>
      </c>
      <c r="AI177" s="159">
        <f t="shared" si="20"/>
        <v>266.02071362999999</v>
      </c>
      <c r="AJ177" s="157">
        <f t="shared" si="21"/>
        <v>22.556287011718876</v>
      </c>
      <c r="AK177" s="157">
        <f t="shared" si="22"/>
        <v>11.203957363071421</v>
      </c>
      <c r="AN177" s="148">
        <f t="shared" si="23"/>
        <v>122671.99</v>
      </c>
      <c r="AO177" s="160">
        <f t="shared" si="24"/>
        <v>0.32515960844706798</v>
      </c>
    </row>
    <row r="178" spans="1:41">
      <c r="A178" s="156">
        <f>'BD Plant List'!A177</f>
        <v>45017</v>
      </c>
      <c r="B178" s="148">
        <f t="shared" si="25"/>
        <v>40</v>
      </c>
      <c r="C178" s="148">
        <f t="shared" si="25"/>
        <v>10</v>
      </c>
      <c r="D178" s="148">
        <f t="shared" si="25"/>
        <v>56</v>
      </c>
      <c r="E178" s="148">
        <f t="shared" si="25"/>
        <v>70</v>
      </c>
      <c r="F178" s="148">
        <f t="shared" si="25"/>
        <v>9</v>
      </c>
      <c r="G178" s="148">
        <f t="shared" si="25"/>
        <v>50</v>
      </c>
      <c r="H178" s="148">
        <f t="shared" si="25"/>
        <v>39</v>
      </c>
      <c r="I178" s="148">
        <f t="shared" si="25"/>
        <v>39</v>
      </c>
      <c r="J178" s="148">
        <f t="shared" si="25"/>
        <v>100</v>
      </c>
      <c r="K178" s="148">
        <f t="shared" si="25"/>
        <v>26</v>
      </c>
      <c r="L178" s="148">
        <f t="shared" si="25"/>
        <v>7</v>
      </c>
      <c r="M178" s="148">
        <f t="shared" si="25"/>
        <v>12</v>
      </c>
      <c r="N178" s="148">
        <f t="shared" si="25"/>
        <v>10</v>
      </c>
      <c r="O178" s="148">
        <f t="shared" si="25"/>
        <v>105</v>
      </c>
      <c r="P178" s="148">
        <f t="shared" si="11"/>
        <v>573</v>
      </c>
      <c r="R178" s="148">
        <f>'Fuel Ethanol'!P29</f>
        <v>134197</v>
      </c>
      <c r="S178" s="157">
        <f t="shared" si="12"/>
        <v>35.450821490000003</v>
      </c>
      <c r="T178" s="154">
        <f t="shared" si="13"/>
        <v>0.72845520710747058</v>
      </c>
      <c r="V178" s="149">
        <f t="shared" si="14"/>
        <v>455</v>
      </c>
      <c r="W178" s="149">
        <f t="shared" si="15"/>
        <v>108</v>
      </c>
      <c r="X178" s="149">
        <f t="shared" si="16"/>
        <v>10</v>
      </c>
      <c r="Y178" s="149">
        <f t="shared" si="9"/>
        <v>573</v>
      </c>
      <c r="AA178" s="158">
        <f t="shared" si="17"/>
        <v>0.79406631762652702</v>
      </c>
      <c r="AB178" s="158">
        <f t="shared" si="17"/>
        <v>0.18848167539267016</v>
      </c>
      <c r="AC178" s="158">
        <f t="shared" si="17"/>
        <v>1.7452006980802792E-2</v>
      </c>
      <c r="AE178" s="148">
        <v>103493</v>
      </c>
      <c r="AF178" s="148">
        <v>327601</v>
      </c>
      <c r="AG178" s="148">
        <f t="shared" si="18"/>
        <v>260136.91972076788</v>
      </c>
      <c r="AH178" s="159">
        <f t="shared" si="19"/>
        <v>10.241044241875219</v>
      </c>
      <c r="AI178" s="159">
        <f t="shared" si="20"/>
        <v>228.162944646</v>
      </c>
      <c r="AJ178" s="157">
        <f t="shared" si="21"/>
        <v>22.279265596085491</v>
      </c>
      <c r="AK178" s="157">
        <f t="shared" si="22"/>
        <v>9.7289920297814572</v>
      </c>
      <c r="AN178" s="148">
        <f t="shared" si="23"/>
        <v>106015.63</v>
      </c>
      <c r="AO178" s="160">
        <f t="shared" si="24"/>
        <v>0.32361204636127489</v>
      </c>
    </row>
    <row r="179" spans="1:41">
      <c r="A179" s="156">
        <f>'BD Plant List'!A178</f>
        <v>45047</v>
      </c>
      <c r="B179" s="148">
        <f t="shared" si="25"/>
        <v>40</v>
      </c>
      <c r="C179" s="148">
        <f t="shared" si="25"/>
        <v>10</v>
      </c>
      <c r="D179" s="148">
        <f t="shared" si="25"/>
        <v>56</v>
      </c>
      <c r="E179" s="148">
        <f t="shared" ref="C179:Q198" si="26">E$4</f>
        <v>70</v>
      </c>
      <c r="F179" s="148">
        <f t="shared" si="26"/>
        <v>9</v>
      </c>
      <c r="G179" s="148">
        <f t="shared" si="26"/>
        <v>50</v>
      </c>
      <c r="H179" s="148">
        <f t="shared" si="26"/>
        <v>39</v>
      </c>
      <c r="I179" s="148">
        <f t="shared" si="26"/>
        <v>39</v>
      </c>
      <c r="J179" s="148">
        <f t="shared" si="26"/>
        <v>100</v>
      </c>
      <c r="K179" s="148">
        <f t="shared" si="26"/>
        <v>26</v>
      </c>
      <c r="L179" s="148">
        <f t="shared" si="26"/>
        <v>7</v>
      </c>
      <c r="M179" s="148">
        <f t="shared" si="26"/>
        <v>12</v>
      </c>
      <c r="N179" s="148">
        <f t="shared" si="26"/>
        <v>10</v>
      </c>
      <c r="O179" s="148">
        <f t="shared" si="26"/>
        <v>105</v>
      </c>
      <c r="P179" s="148">
        <f t="shared" si="11"/>
        <v>573</v>
      </c>
      <c r="R179" s="148">
        <f>'Fuel Ethanol'!P30</f>
        <v>131166</v>
      </c>
      <c r="S179" s="157">
        <f t="shared" si="12"/>
        <v>34.65012222</v>
      </c>
      <c r="T179" s="154">
        <f t="shared" si="13"/>
        <v>0.73573557942408374</v>
      </c>
      <c r="V179" s="149">
        <f t="shared" si="14"/>
        <v>455</v>
      </c>
      <c r="W179" s="149">
        <f t="shared" si="15"/>
        <v>108</v>
      </c>
      <c r="X179" s="149">
        <f t="shared" si="16"/>
        <v>10</v>
      </c>
      <c r="Y179" s="149">
        <f t="shared" si="9"/>
        <v>573</v>
      </c>
      <c r="AA179" s="158">
        <f t="shared" si="17"/>
        <v>0.79406631762652702</v>
      </c>
      <c r="AB179" s="158">
        <f t="shared" si="17"/>
        <v>0.18848167539267016</v>
      </c>
      <c r="AC179" s="158">
        <f t="shared" si="17"/>
        <v>1.7452006980802792E-2</v>
      </c>
      <c r="AE179" s="148">
        <v>101573</v>
      </c>
      <c r="AF179" s="148">
        <v>317948</v>
      </c>
      <c r="AG179" s="148">
        <f t="shared" si="18"/>
        <v>252471.79755671902</v>
      </c>
      <c r="AH179" s="159">
        <f t="shared" si="19"/>
        <v>9.9392844790331587</v>
      </c>
      <c r="AI179" s="159">
        <f t="shared" si="20"/>
        <v>223.930070406</v>
      </c>
      <c r="AJ179" s="157">
        <f t="shared" si="21"/>
        <v>22.529797882169355</v>
      </c>
      <c r="AK179" s="157">
        <f t="shared" si="22"/>
        <v>9.4423202550814995</v>
      </c>
      <c r="AN179" s="148">
        <f t="shared" si="23"/>
        <v>103621.14</v>
      </c>
      <c r="AO179" s="160">
        <f t="shared" si="24"/>
        <v>0.32590593430372261</v>
      </c>
    </row>
    <row r="180" spans="1:41">
      <c r="A180" s="156">
        <f>'BD Plant List'!A179</f>
        <v>45078</v>
      </c>
      <c r="B180" s="148">
        <f t="shared" ref="B180:O243" si="27">B$4</f>
        <v>40</v>
      </c>
      <c r="C180" s="148">
        <f t="shared" si="26"/>
        <v>10</v>
      </c>
      <c r="D180" s="148">
        <f t="shared" si="26"/>
        <v>56</v>
      </c>
      <c r="E180" s="148">
        <f t="shared" si="26"/>
        <v>70</v>
      </c>
      <c r="F180" s="148">
        <f t="shared" si="26"/>
        <v>9</v>
      </c>
      <c r="G180" s="148">
        <f t="shared" si="26"/>
        <v>50</v>
      </c>
      <c r="H180" s="148">
        <f t="shared" si="26"/>
        <v>39</v>
      </c>
      <c r="I180" s="148">
        <f t="shared" si="26"/>
        <v>39</v>
      </c>
      <c r="J180" s="148">
        <f t="shared" si="26"/>
        <v>100</v>
      </c>
      <c r="K180" s="148">
        <f t="shared" si="26"/>
        <v>26</v>
      </c>
      <c r="L180" s="148">
        <f t="shared" si="26"/>
        <v>7</v>
      </c>
      <c r="M180" s="148">
        <f t="shared" si="26"/>
        <v>12</v>
      </c>
      <c r="N180" s="148">
        <f t="shared" si="26"/>
        <v>10</v>
      </c>
      <c r="O180" s="148">
        <f t="shared" si="26"/>
        <v>105</v>
      </c>
      <c r="P180" s="148">
        <f t="shared" si="11"/>
        <v>573</v>
      </c>
      <c r="R180" s="148">
        <f>'Fuel Ethanol'!P31</f>
        <v>138214</v>
      </c>
      <c r="S180" s="157">
        <f t="shared" si="12"/>
        <v>36.511992380000002</v>
      </c>
      <c r="T180" s="154">
        <f t="shared" si="13"/>
        <v>0.75026049759049707</v>
      </c>
      <c r="V180" s="149">
        <f t="shared" si="14"/>
        <v>455</v>
      </c>
      <c r="W180" s="149">
        <f t="shared" si="15"/>
        <v>108</v>
      </c>
      <c r="X180" s="149">
        <f t="shared" si="16"/>
        <v>10</v>
      </c>
      <c r="Y180" s="149">
        <f t="shared" si="9"/>
        <v>573</v>
      </c>
      <c r="AA180" s="158">
        <f t="shared" si="17"/>
        <v>0.79406631762652702</v>
      </c>
      <c r="AB180" s="158">
        <f t="shared" si="17"/>
        <v>0.18848167539267016</v>
      </c>
      <c r="AC180" s="158">
        <f t="shared" si="17"/>
        <v>1.7452006980802792E-2</v>
      </c>
      <c r="AE180" s="148">
        <v>100593</v>
      </c>
      <c r="AF180" s="148">
        <v>336240</v>
      </c>
      <c r="AG180" s="148">
        <f t="shared" si="18"/>
        <v>266996.85863874346</v>
      </c>
      <c r="AH180" s="159">
        <f t="shared" si="19"/>
        <v>10.511105631204188</v>
      </c>
      <c r="AI180" s="159">
        <f t="shared" si="20"/>
        <v>221.76954084599998</v>
      </c>
      <c r="AJ180" s="157">
        <f t="shared" si="21"/>
        <v>21.098593109713931</v>
      </c>
      <c r="AK180" s="157">
        <f t="shared" si="22"/>
        <v>9.9855503496439777</v>
      </c>
      <c r="AN180" s="148">
        <f t="shared" si="23"/>
        <v>109189.06</v>
      </c>
      <c r="AO180" s="160">
        <f t="shared" si="24"/>
        <v>0.32473548655722101</v>
      </c>
    </row>
    <row r="181" spans="1:41">
      <c r="A181" s="156">
        <f>'BD Plant List'!A180</f>
        <v>45108</v>
      </c>
      <c r="B181" s="148">
        <f t="shared" si="27"/>
        <v>40</v>
      </c>
      <c r="C181" s="148">
        <f t="shared" si="26"/>
        <v>10</v>
      </c>
      <c r="D181" s="148">
        <f t="shared" si="26"/>
        <v>56</v>
      </c>
      <c r="E181" s="148">
        <f t="shared" si="26"/>
        <v>70</v>
      </c>
      <c r="F181" s="148">
        <f t="shared" si="26"/>
        <v>9</v>
      </c>
      <c r="G181" s="148">
        <f t="shared" si="26"/>
        <v>50</v>
      </c>
      <c r="H181" s="148">
        <f t="shared" si="26"/>
        <v>39</v>
      </c>
      <c r="I181" s="148">
        <f t="shared" si="26"/>
        <v>39</v>
      </c>
      <c r="J181" s="148">
        <f t="shared" si="26"/>
        <v>100</v>
      </c>
      <c r="K181" s="148">
        <f t="shared" si="26"/>
        <v>26</v>
      </c>
      <c r="L181" s="148">
        <f t="shared" si="26"/>
        <v>7</v>
      </c>
      <c r="M181" s="148">
        <f t="shared" si="26"/>
        <v>12</v>
      </c>
      <c r="N181" s="148">
        <f t="shared" si="26"/>
        <v>10</v>
      </c>
      <c r="O181" s="148">
        <f t="shared" si="26"/>
        <v>105</v>
      </c>
      <c r="P181" s="148">
        <f t="shared" si="11"/>
        <v>573</v>
      </c>
      <c r="R181" s="148">
        <f>'Fuel Ethanol'!P32</f>
        <v>153288</v>
      </c>
      <c r="S181" s="157">
        <f t="shared" si="12"/>
        <v>40.494090960000001</v>
      </c>
      <c r="T181" s="154">
        <f t="shared" si="13"/>
        <v>0.85982217570680619</v>
      </c>
      <c r="V181" s="149">
        <f t="shared" si="14"/>
        <v>455</v>
      </c>
      <c r="W181" s="149">
        <f t="shared" si="15"/>
        <v>108</v>
      </c>
      <c r="X181" s="149">
        <f t="shared" si="16"/>
        <v>10</v>
      </c>
      <c r="Y181" s="149">
        <f t="shared" si="9"/>
        <v>573</v>
      </c>
      <c r="AA181" s="158">
        <f t="shared" si="17"/>
        <v>0.79406631762652702</v>
      </c>
      <c r="AB181" s="158">
        <f t="shared" si="17"/>
        <v>0.18848167539267016</v>
      </c>
      <c r="AC181" s="158">
        <f t="shared" si="17"/>
        <v>1.7452006980802792E-2</v>
      </c>
      <c r="AE181" s="148">
        <v>115510</v>
      </c>
      <c r="AF181" s="148">
        <v>366776</v>
      </c>
      <c r="AG181" s="148">
        <f t="shared" si="18"/>
        <v>291244.46771378705</v>
      </c>
      <c r="AH181" s="159">
        <f t="shared" si="19"/>
        <v>11.465683080509598</v>
      </c>
      <c r="AI181" s="159">
        <f t="shared" si="20"/>
        <v>254.65588721999998</v>
      </c>
      <c r="AJ181" s="157">
        <f t="shared" si="21"/>
        <v>22.210267406822627</v>
      </c>
      <c r="AK181" s="157">
        <f t="shared" si="22"/>
        <v>10.892398926484118</v>
      </c>
      <c r="AN181" s="148">
        <f t="shared" si="23"/>
        <v>121097.52</v>
      </c>
      <c r="AO181" s="160">
        <f t="shared" si="24"/>
        <v>0.33016751368682795</v>
      </c>
    </row>
    <row r="182" spans="1:41">
      <c r="A182" s="156">
        <f>'BD Plant List'!A181</f>
        <v>45139</v>
      </c>
      <c r="B182" s="148">
        <f t="shared" si="27"/>
        <v>40</v>
      </c>
      <c r="C182" s="148">
        <f t="shared" si="26"/>
        <v>10</v>
      </c>
      <c r="D182" s="148">
        <f t="shared" si="26"/>
        <v>56</v>
      </c>
      <c r="E182" s="148">
        <f t="shared" si="26"/>
        <v>70</v>
      </c>
      <c r="F182" s="148">
        <f t="shared" si="26"/>
        <v>9</v>
      </c>
      <c r="G182" s="148">
        <f t="shared" si="26"/>
        <v>50</v>
      </c>
      <c r="H182" s="148">
        <f t="shared" si="26"/>
        <v>39</v>
      </c>
      <c r="I182" s="148">
        <f t="shared" si="26"/>
        <v>39</v>
      </c>
      <c r="J182" s="148">
        <f t="shared" si="26"/>
        <v>100</v>
      </c>
      <c r="K182" s="148">
        <f t="shared" si="26"/>
        <v>26</v>
      </c>
      <c r="L182" s="148">
        <f t="shared" si="26"/>
        <v>7</v>
      </c>
      <c r="M182" s="148">
        <f t="shared" si="26"/>
        <v>12</v>
      </c>
      <c r="N182" s="148">
        <f t="shared" si="26"/>
        <v>10</v>
      </c>
      <c r="O182" s="148">
        <f t="shared" si="26"/>
        <v>105</v>
      </c>
      <c r="P182" s="148">
        <f t="shared" si="11"/>
        <v>573</v>
      </c>
      <c r="R182" s="148">
        <f>'Fuel Ethanol'!P33</f>
        <v>151728</v>
      </c>
      <c r="S182" s="157">
        <f t="shared" si="12"/>
        <v>40.081985760000002</v>
      </c>
      <c r="T182" s="154">
        <f t="shared" si="13"/>
        <v>0.82361790251646683</v>
      </c>
      <c r="V182" s="149">
        <f t="shared" si="14"/>
        <v>455</v>
      </c>
      <c r="W182" s="149">
        <f t="shared" si="15"/>
        <v>108</v>
      </c>
      <c r="X182" s="149">
        <f t="shared" si="16"/>
        <v>10</v>
      </c>
      <c r="Y182" s="149">
        <f t="shared" si="9"/>
        <v>573</v>
      </c>
      <c r="AA182" s="158">
        <f t="shared" si="17"/>
        <v>0.79406631762652702</v>
      </c>
      <c r="AB182" s="158">
        <f t="shared" si="17"/>
        <v>0.18848167539267016</v>
      </c>
      <c r="AC182" s="158">
        <f t="shared" si="17"/>
        <v>1.7452006980802792E-2</v>
      </c>
      <c r="AE182" s="148">
        <v>114594</v>
      </c>
      <c r="AF182" s="148">
        <v>363285</v>
      </c>
      <c r="AG182" s="148">
        <f t="shared" si="18"/>
        <v>288472.3821989529</v>
      </c>
      <c r="AH182" s="159">
        <f t="shared" si="19"/>
        <v>11.356551895170158</v>
      </c>
      <c r="AI182" s="159">
        <f t="shared" si="20"/>
        <v>252.63645346799998</v>
      </c>
      <c r="AJ182" s="157">
        <f t="shared" si="21"/>
        <v>22.245876723853485</v>
      </c>
      <c r="AK182" s="157">
        <f t="shared" si="22"/>
        <v>10.78872430041165</v>
      </c>
      <c r="AN182" s="161">
        <f t="shared" si="23"/>
        <v>119865.12000000001</v>
      </c>
    </row>
    <row r="183" spans="1:41">
      <c r="A183" s="156">
        <f>'BD Plant List'!A182</f>
        <v>45170</v>
      </c>
      <c r="B183" s="148">
        <f t="shared" si="27"/>
        <v>40</v>
      </c>
      <c r="C183" s="148">
        <f t="shared" si="26"/>
        <v>10</v>
      </c>
      <c r="D183" s="148">
        <f t="shared" si="26"/>
        <v>56</v>
      </c>
      <c r="E183" s="148">
        <f t="shared" si="26"/>
        <v>70</v>
      </c>
      <c r="F183" s="148">
        <f t="shared" si="26"/>
        <v>9</v>
      </c>
      <c r="G183" s="148">
        <f t="shared" si="26"/>
        <v>50</v>
      </c>
      <c r="H183" s="148">
        <f t="shared" si="26"/>
        <v>39</v>
      </c>
      <c r="I183" s="148">
        <f t="shared" si="26"/>
        <v>39</v>
      </c>
      <c r="J183" s="148">
        <f t="shared" si="26"/>
        <v>100</v>
      </c>
      <c r="K183" s="148">
        <f t="shared" si="26"/>
        <v>26</v>
      </c>
      <c r="L183" s="148">
        <f t="shared" si="26"/>
        <v>7</v>
      </c>
      <c r="M183" s="148">
        <f t="shared" si="26"/>
        <v>12</v>
      </c>
      <c r="N183" s="148">
        <f t="shared" si="26"/>
        <v>10</v>
      </c>
      <c r="O183" s="148">
        <f t="shared" si="26"/>
        <v>105</v>
      </c>
      <c r="P183" s="148">
        <f t="shared" si="11"/>
        <v>573</v>
      </c>
      <c r="R183" s="148">
        <f>'Fuel Ethanol'!P34</f>
        <v>136625</v>
      </c>
      <c r="S183" s="157">
        <f t="shared" si="12"/>
        <v>36.092226250000003</v>
      </c>
      <c r="T183" s="154">
        <f t="shared" si="13"/>
        <v>0.74163500429263074</v>
      </c>
      <c r="V183" s="149">
        <f t="shared" si="14"/>
        <v>455</v>
      </c>
      <c r="W183" s="149">
        <f t="shared" si="15"/>
        <v>108</v>
      </c>
      <c r="X183" s="149">
        <f t="shared" si="16"/>
        <v>10</v>
      </c>
      <c r="Y183" s="149">
        <f t="shared" si="9"/>
        <v>573</v>
      </c>
      <c r="AA183" s="158">
        <f t="shared" si="17"/>
        <v>0.79406631762652702</v>
      </c>
      <c r="AB183" s="158">
        <f t="shared" si="17"/>
        <v>0.18848167539267016</v>
      </c>
      <c r="AC183" s="158">
        <f t="shared" si="17"/>
        <v>1.7452006980802792E-2</v>
      </c>
      <c r="AE183" s="148">
        <v>105889</v>
      </c>
      <c r="AF183" s="148">
        <v>331540</v>
      </c>
      <c r="AG183" s="148">
        <f t="shared" si="18"/>
        <v>263264.74694589875</v>
      </c>
      <c r="AH183" s="159">
        <f t="shared" si="19"/>
        <v>10.364180231291447</v>
      </c>
      <c r="AI183" s="159">
        <f t="shared" si="20"/>
        <v>233.44521895799997</v>
      </c>
      <c r="AJ183" s="157">
        <f t="shared" si="21"/>
        <v>22.524233827310731</v>
      </c>
      <c r="AK183" s="157">
        <f t="shared" si="22"/>
        <v>9.8459712197268754</v>
      </c>
      <c r="AN183" s="161">
        <f t="shared" si="23"/>
        <v>107933.75</v>
      </c>
    </row>
    <row r="184" spans="1:41">
      <c r="A184" s="156">
        <f>'BD Plant List'!A183</f>
        <v>45200</v>
      </c>
      <c r="B184" s="148">
        <f t="shared" si="27"/>
        <v>40</v>
      </c>
      <c r="C184" s="148">
        <f t="shared" si="26"/>
        <v>10</v>
      </c>
      <c r="D184" s="148">
        <f t="shared" si="26"/>
        <v>56</v>
      </c>
      <c r="E184" s="148">
        <f t="shared" si="26"/>
        <v>70</v>
      </c>
      <c r="F184" s="148">
        <f t="shared" si="26"/>
        <v>9</v>
      </c>
      <c r="G184" s="148">
        <f t="shared" si="26"/>
        <v>50</v>
      </c>
      <c r="H184" s="148">
        <f t="shared" si="26"/>
        <v>39</v>
      </c>
      <c r="I184" s="148">
        <f t="shared" si="26"/>
        <v>39</v>
      </c>
      <c r="J184" s="148">
        <f t="shared" si="26"/>
        <v>100</v>
      </c>
      <c r="K184" s="148">
        <f t="shared" si="26"/>
        <v>26</v>
      </c>
      <c r="L184" s="148">
        <f t="shared" si="26"/>
        <v>7</v>
      </c>
      <c r="M184" s="148">
        <f t="shared" si="26"/>
        <v>12</v>
      </c>
      <c r="N184" s="148">
        <f t="shared" si="26"/>
        <v>10</v>
      </c>
      <c r="O184" s="148">
        <f t="shared" si="26"/>
        <v>105</v>
      </c>
      <c r="P184" s="148">
        <f t="shared" si="11"/>
        <v>573</v>
      </c>
      <c r="R184" s="148">
        <f>'Fuel Ethanol'!P35</f>
        <v>129366</v>
      </c>
      <c r="S184" s="157">
        <f t="shared" si="12"/>
        <v>34.174616219999997</v>
      </c>
      <c r="T184" s="154">
        <f t="shared" si="13"/>
        <v>0.7256390296858638</v>
      </c>
      <c r="V184" s="149">
        <f t="shared" si="14"/>
        <v>455</v>
      </c>
      <c r="W184" s="149">
        <f t="shared" si="15"/>
        <v>108</v>
      </c>
      <c r="X184" s="149">
        <f t="shared" si="16"/>
        <v>10</v>
      </c>
      <c r="Y184" s="149">
        <f t="shared" si="9"/>
        <v>573</v>
      </c>
      <c r="AA184" s="158">
        <f t="shared" si="17"/>
        <v>0.79406631762652702</v>
      </c>
      <c r="AB184" s="158">
        <f t="shared" si="17"/>
        <v>0.18848167539267016</v>
      </c>
      <c r="AC184" s="158">
        <f t="shared" si="17"/>
        <v>1.7452006980802792E-2</v>
      </c>
      <c r="AE184" s="148">
        <v>102886</v>
      </c>
      <c r="AF184" s="148">
        <v>311868</v>
      </c>
      <c r="AG184" s="148">
        <f t="shared" si="18"/>
        <v>247643.87434554973</v>
      </c>
      <c r="AH184" s="159">
        <f t="shared" si="19"/>
        <v>9.7492192808481679</v>
      </c>
      <c r="AI184" s="159">
        <f t="shared" si="20"/>
        <v>226.82473909199999</v>
      </c>
      <c r="AJ184" s="157">
        <f t="shared" si="21"/>
        <v>23.265938795487486</v>
      </c>
      <c r="AK184" s="157">
        <f t="shared" si="22"/>
        <v>9.2617583168057589</v>
      </c>
      <c r="AN184" s="161">
        <f t="shared" si="23"/>
        <v>102199.14</v>
      </c>
    </row>
    <row r="185" spans="1:41">
      <c r="A185" s="156">
        <f>'BD Plant List'!A184</f>
        <v>45231</v>
      </c>
      <c r="B185" s="148">
        <f t="shared" si="27"/>
        <v>40</v>
      </c>
      <c r="C185" s="148">
        <f t="shared" si="26"/>
        <v>10</v>
      </c>
      <c r="D185" s="148">
        <f t="shared" si="26"/>
        <v>56</v>
      </c>
      <c r="E185" s="148">
        <f t="shared" si="26"/>
        <v>70</v>
      </c>
      <c r="F185" s="148">
        <f t="shared" si="26"/>
        <v>9</v>
      </c>
      <c r="G185" s="148">
        <f t="shared" si="26"/>
        <v>50</v>
      </c>
      <c r="H185" s="148">
        <f t="shared" si="26"/>
        <v>39</v>
      </c>
      <c r="I185" s="148">
        <f t="shared" si="26"/>
        <v>39</v>
      </c>
      <c r="J185" s="148">
        <f t="shared" si="26"/>
        <v>100</v>
      </c>
      <c r="K185" s="148">
        <f t="shared" si="26"/>
        <v>26</v>
      </c>
      <c r="L185" s="148">
        <f t="shared" si="26"/>
        <v>7</v>
      </c>
      <c r="M185" s="148">
        <f t="shared" si="26"/>
        <v>12</v>
      </c>
      <c r="N185" s="148">
        <f t="shared" si="26"/>
        <v>10</v>
      </c>
      <c r="O185" s="148">
        <f t="shared" si="26"/>
        <v>105</v>
      </c>
      <c r="P185" s="148">
        <f t="shared" si="11"/>
        <v>573</v>
      </c>
      <c r="R185" s="148">
        <f>'Fuel Ethanol'!P36</f>
        <v>152552</v>
      </c>
      <c r="S185" s="157">
        <f t="shared" si="12"/>
        <v>40.299661840000006</v>
      </c>
      <c r="T185" s="154">
        <f t="shared" si="13"/>
        <v>0.82809078261554925</v>
      </c>
      <c r="V185" s="149">
        <f t="shared" si="14"/>
        <v>455</v>
      </c>
      <c r="W185" s="149">
        <f t="shared" si="15"/>
        <v>108</v>
      </c>
      <c r="X185" s="149">
        <f t="shared" si="16"/>
        <v>10</v>
      </c>
      <c r="Y185" s="149">
        <f t="shared" si="9"/>
        <v>573</v>
      </c>
      <c r="AA185" s="158">
        <f t="shared" si="17"/>
        <v>0.79406631762652702</v>
      </c>
      <c r="AB185" s="158">
        <f t="shared" si="17"/>
        <v>0.18848167539267016</v>
      </c>
      <c r="AC185" s="158">
        <f t="shared" si="17"/>
        <v>1.7452006980802792E-2</v>
      </c>
      <c r="AE185" s="148">
        <v>112464</v>
      </c>
      <c r="AF185" s="148">
        <v>362961</v>
      </c>
      <c r="AG185" s="148">
        <f t="shared" si="18"/>
        <v>288215.10471204185</v>
      </c>
      <c r="AH185" s="159">
        <f t="shared" si="19"/>
        <v>11.346423420793192</v>
      </c>
      <c r="AI185" s="159">
        <f t="shared" si="20"/>
        <v>247.94060860799999</v>
      </c>
      <c r="AJ185" s="157">
        <f t="shared" si="21"/>
        <v>21.851873441778121</v>
      </c>
      <c r="AK185" s="157">
        <f t="shared" si="22"/>
        <v>10.779102249753532</v>
      </c>
      <c r="AN185" s="161">
        <f t="shared" si="23"/>
        <v>120516.08</v>
      </c>
    </row>
    <row r="186" spans="1:41">
      <c r="A186" s="156">
        <f>'BD Plant List'!A185</f>
        <v>45261</v>
      </c>
      <c r="B186" s="148">
        <f t="shared" si="27"/>
        <v>40</v>
      </c>
      <c r="C186" s="148">
        <f t="shared" si="26"/>
        <v>10</v>
      </c>
      <c r="D186" s="148">
        <f t="shared" si="26"/>
        <v>56</v>
      </c>
      <c r="E186" s="148">
        <f t="shared" si="26"/>
        <v>70</v>
      </c>
      <c r="F186" s="148">
        <f t="shared" si="26"/>
        <v>9</v>
      </c>
      <c r="G186" s="148">
        <f t="shared" si="26"/>
        <v>50</v>
      </c>
      <c r="H186" s="148">
        <f t="shared" si="26"/>
        <v>39</v>
      </c>
      <c r="I186" s="148">
        <f t="shared" si="26"/>
        <v>39</v>
      </c>
      <c r="J186" s="148">
        <f t="shared" si="26"/>
        <v>100</v>
      </c>
      <c r="K186" s="148">
        <f t="shared" si="26"/>
        <v>26</v>
      </c>
      <c r="L186" s="148">
        <f t="shared" si="26"/>
        <v>7</v>
      </c>
      <c r="M186" s="148">
        <f t="shared" si="26"/>
        <v>12</v>
      </c>
      <c r="N186" s="148">
        <f t="shared" si="26"/>
        <v>10</v>
      </c>
      <c r="O186" s="148">
        <f t="shared" si="26"/>
        <v>105</v>
      </c>
      <c r="P186" s="148">
        <f t="shared" si="11"/>
        <v>573</v>
      </c>
      <c r="R186" s="148">
        <f>'Fuel Ethanol'!P37</f>
        <v>152162</v>
      </c>
      <c r="S186" s="157">
        <f t="shared" si="12"/>
        <v>40.196635540000003</v>
      </c>
      <c r="T186" s="154">
        <f t="shared" si="13"/>
        <v>0.85350622292611977</v>
      </c>
      <c r="V186" s="149">
        <f t="shared" si="14"/>
        <v>455</v>
      </c>
      <c r="W186" s="149">
        <f t="shared" si="15"/>
        <v>108</v>
      </c>
      <c r="X186" s="149">
        <f t="shared" si="16"/>
        <v>10</v>
      </c>
      <c r="Y186" s="149">
        <f t="shared" si="9"/>
        <v>573</v>
      </c>
      <c r="AA186" s="158">
        <f t="shared" si="17"/>
        <v>0.79406631762652702</v>
      </c>
      <c r="AB186" s="158">
        <f t="shared" si="17"/>
        <v>0.18848167539267016</v>
      </c>
      <c r="AC186" s="158">
        <f t="shared" si="17"/>
        <v>1.7452006980802792E-2</v>
      </c>
      <c r="AE186" s="148">
        <v>112601</v>
      </c>
      <c r="AF186" s="148">
        <v>363354</v>
      </c>
      <c r="AG186" s="148">
        <f t="shared" si="18"/>
        <v>288527.17277486908</v>
      </c>
      <c r="AH186" s="159">
        <f t="shared" si="19"/>
        <v>11.358708885083768</v>
      </c>
      <c r="AI186" s="159">
        <f t="shared" si="20"/>
        <v>248.242641822</v>
      </c>
      <c r="AJ186" s="157">
        <f t="shared" si="21"/>
        <v>21.854829130095208</v>
      </c>
      <c r="AK186" s="157">
        <f t="shared" si="22"/>
        <v>10.790773440829579</v>
      </c>
      <c r="AN186" s="161">
        <f t="shared" si="23"/>
        <v>120207.98000000001</v>
      </c>
    </row>
    <row r="187" spans="1:41">
      <c r="A187" s="156">
        <f>'BD Plant List'!A186</f>
        <v>45292</v>
      </c>
      <c r="B187" s="148">
        <f t="shared" si="27"/>
        <v>40</v>
      </c>
      <c r="C187" s="148">
        <f t="shared" si="26"/>
        <v>10</v>
      </c>
      <c r="D187" s="148">
        <f t="shared" si="26"/>
        <v>56</v>
      </c>
      <c r="E187" s="148">
        <f t="shared" si="26"/>
        <v>70</v>
      </c>
      <c r="F187" s="148">
        <f t="shared" si="26"/>
        <v>9</v>
      </c>
      <c r="G187" s="148">
        <f t="shared" si="26"/>
        <v>50</v>
      </c>
      <c r="H187" s="148">
        <f t="shared" si="26"/>
        <v>39</v>
      </c>
      <c r="I187" s="148">
        <f t="shared" si="26"/>
        <v>39</v>
      </c>
      <c r="J187" s="148">
        <f t="shared" si="26"/>
        <v>100</v>
      </c>
      <c r="K187" s="148">
        <f t="shared" si="26"/>
        <v>26</v>
      </c>
      <c r="L187" s="148">
        <f t="shared" si="26"/>
        <v>7</v>
      </c>
      <c r="M187" s="148">
        <f t="shared" si="26"/>
        <v>12</v>
      </c>
      <c r="N187" s="148">
        <f t="shared" si="26"/>
        <v>10</v>
      </c>
      <c r="O187" s="148">
        <f t="shared" si="26"/>
        <v>105</v>
      </c>
      <c r="P187" s="148">
        <f t="shared" si="11"/>
        <v>573</v>
      </c>
      <c r="R187" s="148">
        <f>'Fuel Ethanol'!Q26</f>
        <v>148957</v>
      </c>
      <c r="S187" s="157">
        <f t="shared" si="12"/>
        <v>39.349970690000006</v>
      </c>
      <c r="T187" s="154">
        <f t="shared" si="13"/>
        <v>0.80857621470753815</v>
      </c>
      <c r="V187" s="149">
        <f t="shared" si="14"/>
        <v>455</v>
      </c>
      <c r="W187" s="149">
        <f t="shared" si="15"/>
        <v>108</v>
      </c>
      <c r="X187" s="149">
        <f t="shared" si="16"/>
        <v>10</v>
      </c>
      <c r="Y187" s="149">
        <f t="shared" si="9"/>
        <v>573</v>
      </c>
      <c r="AA187" s="158">
        <f t="shared" si="17"/>
        <v>0.79406631762652702</v>
      </c>
      <c r="AB187" s="158">
        <f t="shared" si="17"/>
        <v>0.18848167539267016</v>
      </c>
      <c r="AC187" s="158">
        <f t="shared" si="17"/>
        <v>1.7452006980802792E-2</v>
      </c>
      <c r="AE187" s="148">
        <v>118431</v>
      </c>
      <c r="AF187" s="148">
        <v>353410</v>
      </c>
      <c r="AG187" s="148">
        <f t="shared" si="18"/>
        <v>280630.97731239093</v>
      </c>
      <c r="AH187" s="159">
        <f t="shared" si="19"/>
        <v>11.047852251736476</v>
      </c>
      <c r="AI187" s="159">
        <f t="shared" si="20"/>
        <v>261.09558808200001</v>
      </c>
      <c r="AJ187" s="157">
        <f t="shared" si="21"/>
        <v>23.633153497410468</v>
      </c>
      <c r="AK187" s="157">
        <f t="shared" si="22"/>
        <v>10.495459639149651</v>
      </c>
      <c r="AN187" s="161">
        <f t="shared" si="23"/>
        <v>117676.03</v>
      </c>
    </row>
    <row r="188" spans="1:41">
      <c r="A188" s="156">
        <f>'BD Plant List'!A187</f>
        <v>45323</v>
      </c>
      <c r="B188" s="148">
        <f t="shared" si="27"/>
        <v>40</v>
      </c>
      <c r="C188" s="148">
        <f t="shared" si="26"/>
        <v>10</v>
      </c>
      <c r="D188" s="148">
        <f t="shared" si="26"/>
        <v>56</v>
      </c>
      <c r="E188" s="148">
        <f t="shared" si="26"/>
        <v>70</v>
      </c>
      <c r="F188" s="148">
        <f t="shared" si="26"/>
        <v>9</v>
      </c>
      <c r="G188" s="148">
        <f t="shared" si="26"/>
        <v>50</v>
      </c>
      <c r="H188" s="148">
        <f t="shared" si="26"/>
        <v>39</v>
      </c>
      <c r="I188" s="148">
        <f t="shared" si="26"/>
        <v>39</v>
      </c>
      <c r="J188" s="148">
        <f t="shared" si="26"/>
        <v>100</v>
      </c>
      <c r="K188" s="148">
        <f t="shared" si="26"/>
        <v>26</v>
      </c>
      <c r="L188" s="148">
        <f t="shared" si="26"/>
        <v>7</v>
      </c>
      <c r="M188" s="148">
        <f t="shared" si="26"/>
        <v>12</v>
      </c>
      <c r="N188" s="148">
        <f t="shared" si="26"/>
        <v>10</v>
      </c>
      <c r="O188" s="148">
        <f t="shared" si="26"/>
        <v>105</v>
      </c>
      <c r="P188" s="148">
        <f t="shared" si="11"/>
        <v>573</v>
      </c>
      <c r="R188" s="148">
        <f>'Fuel Ethanol'!Q27</f>
        <v>142598</v>
      </c>
      <c r="S188" s="157">
        <f t="shared" si="12"/>
        <v>37.670113660000005</v>
      </c>
      <c r="T188" s="154">
        <f t="shared" si="13"/>
        <v>0.77405795675843048</v>
      </c>
      <c r="V188" s="149">
        <f t="shared" si="14"/>
        <v>455</v>
      </c>
      <c r="W188" s="149">
        <f t="shared" si="15"/>
        <v>108</v>
      </c>
      <c r="X188" s="149">
        <f t="shared" si="16"/>
        <v>10</v>
      </c>
      <c r="Y188" s="149">
        <f t="shared" si="9"/>
        <v>573</v>
      </c>
      <c r="AA188" s="158">
        <f t="shared" si="17"/>
        <v>0.79406631762652702</v>
      </c>
      <c r="AB188" s="158">
        <f t="shared" si="17"/>
        <v>0.18848167539267016</v>
      </c>
      <c r="AC188" s="158">
        <f t="shared" si="17"/>
        <v>1.7452006980802792E-2</v>
      </c>
      <c r="AE188" s="148">
        <v>109074</v>
      </c>
      <c r="AF188" s="148">
        <v>347905</v>
      </c>
      <c r="AG188" s="148">
        <f t="shared" si="18"/>
        <v>276259.6422338569</v>
      </c>
      <c r="AH188" s="159">
        <f t="shared" si="19"/>
        <v>10.875761969498255</v>
      </c>
      <c r="AI188" s="159">
        <f t="shared" si="20"/>
        <v>240.46694002800001</v>
      </c>
      <c r="AJ188" s="157">
        <f t="shared" si="21"/>
        <v>22.110353343738524</v>
      </c>
      <c r="AK188" s="157">
        <f t="shared" si="22"/>
        <v>10.331973871023342</v>
      </c>
      <c r="AN188" s="161">
        <f t="shared" si="23"/>
        <v>112652.42</v>
      </c>
    </row>
    <row r="189" spans="1:41">
      <c r="A189" s="156">
        <f>'BD Plant List'!A188</f>
        <v>45352</v>
      </c>
      <c r="B189" s="148">
        <f t="shared" si="27"/>
        <v>40</v>
      </c>
      <c r="C189" s="148">
        <f t="shared" si="26"/>
        <v>10</v>
      </c>
      <c r="D189" s="148">
        <f t="shared" si="26"/>
        <v>56</v>
      </c>
      <c r="E189" s="148">
        <f t="shared" si="26"/>
        <v>70</v>
      </c>
      <c r="F189" s="148">
        <f t="shared" si="26"/>
        <v>9</v>
      </c>
      <c r="G189" s="148">
        <f t="shared" si="26"/>
        <v>50</v>
      </c>
      <c r="H189" s="148">
        <f t="shared" si="26"/>
        <v>39</v>
      </c>
      <c r="I189" s="148">
        <f t="shared" si="26"/>
        <v>39</v>
      </c>
      <c r="J189" s="148">
        <f t="shared" si="26"/>
        <v>100</v>
      </c>
      <c r="K189" s="148">
        <f t="shared" si="26"/>
        <v>26</v>
      </c>
      <c r="L189" s="148">
        <f t="shared" si="26"/>
        <v>7</v>
      </c>
      <c r="M189" s="148">
        <f t="shared" si="26"/>
        <v>12</v>
      </c>
      <c r="N189" s="148">
        <f t="shared" si="26"/>
        <v>10</v>
      </c>
      <c r="O189" s="148">
        <f t="shared" si="26"/>
        <v>105</v>
      </c>
      <c r="P189" s="148">
        <f t="shared" si="11"/>
        <v>573</v>
      </c>
      <c r="R189" s="148">
        <f>'Fuel Ethanol'!Q28</f>
        <v>153372</v>
      </c>
      <c r="S189" s="157">
        <f t="shared" si="12"/>
        <v>40.516281240000005</v>
      </c>
      <c r="T189" s="154">
        <f t="shared" si="13"/>
        <v>0.88995863589095503</v>
      </c>
      <c r="V189" s="149">
        <f t="shared" si="14"/>
        <v>455</v>
      </c>
      <c r="W189" s="149">
        <f t="shared" si="15"/>
        <v>108</v>
      </c>
      <c r="X189" s="149">
        <f t="shared" si="16"/>
        <v>10</v>
      </c>
      <c r="Y189" s="149">
        <f t="shared" si="9"/>
        <v>573</v>
      </c>
      <c r="AA189" s="158">
        <f t="shared" si="17"/>
        <v>0.79406631762652702</v>
      </c>
      <c r="AB189" s="158">
        <f t="shared" si="17"/>
        <v>0.18848167539267016</v>
      </c>
      <c r="AC189" s="158">
        <f t="shared" si="17"/>
        <v>1.7452006980802792E-2</v>
      </c>
      <c r="AE189" s="148">
        <v>108285</v>
      </c>
      <c r="AF189" s="148">
        <v>371867</v>
      </c>
      <c r="AG189" s="148">
        <f t="shared" si="18"/>
        <v>295287.0593368237</v>
      </c>
      <c r="AH189" s="159">
        <f t="shared" si="19"/>
        <v>11.624831423266141</v>
      </c>
      <c r="AI189" s="159">
        <f t="shared" si="20"/>
        <v>238.72749326999997</v>
      </c>
      <c r="AJ189" s="157">
        <f t="shared" si="21"/>
        <v>20.535996142895165</v>
      </c>
      <c r="AK189" s="157">
        <f t="shared" si="22"/>
        <v>11.043589852102834</v>
      </c>
      <c r="AN189" s="161">
        <f t="shared" si="23"/>
        <v>121163.88</v>
      </c>
    </row>
    <row r="190" spans="1:41">
      <c r="A190" s="156">
        <f>'BD Plant List'!A189</f>
        <v>45383</v>
      </c>
      <c r="B190" s="148">
        <f t="shared" si="27"/>
        <v>40</v>
      </c>
      <c r="C190" s="148">
        <f t="shared" si="26"/>
        <v>10</v>
      </c>
      <c r="D190" s="148">
        <f t="shared" si="26"/>
        <v>56</v>
      </c>
      <c r="E190" s="148">
        <f t="shared" si="26"/>
        <v>70</v>
      </c>
      <c r="F190" s="148">
        <f t="shared" si="26"/>
        <v>9</v>
      </c>
      <c r="G190" s="148">
        <f t="shared" si="26"/>
        <v>50</v>
      </c>
      <c r="H190" s="148">
        <f t="shared" si="26"/>
        <v>39</v>
      </c>
      <c r="I190" s="148">
        <f t="shared" si="26"/>
        <v>39</v>
      </c>
      <c r="J190" s="148">
        <f t="shared" si="26"/>
        <v>100</v>
      </c>
      <c r="K190" s="148">
        <f t="shared" si="26"/>
        <v>26</v>
      </c>
      <c r="L190" s="148">
        <f t="shared" si="26"/>
        <v>7</v>
      </c>
      <c r="M190" s="148">
        <f t="shared" si="26"/>
        <v>12</v>
      </c>
      <c r="N190" s="148">
        <f t="shared" si="26"/>
        <v>10</v>
      </c>
      <c r="O190" s="148">
        <f t="shared" si="26"/>
        <v>105</v>
      </c>
      <c r="P190" s="148">
        <f t="shared" si="11"/>
        <v>573</v>
      </c>
      <c r="R190" s="148">
        <f>'Fuel Ethanol'!Q29</f>
        <v>140027</v>
      </c>
      <c r="S190" s="157">
        <f t="shared" si="12"/>
        <v>36.990932590000007</v>
      </c>
      <c r="T190" s="154">
        <f t="shared" si="13"/>
        <v>0.76010191945898786</v>
      </c>
      <c r="V190" s="149">
        <f t="shared" si="14"/>
        <v>455</v>
      </c>
      <c r="W190" s="149">
        <f t="shared" si="15"/>
        <v>108</v>
      </c>
      <c r="X190" s="149">
        <f t="shared" si="16"/>
        <v>10</v>
      </c>
      <c r="Y190" s="149">
        <f t="shared" si="9"/>
        <v>573</v>
      </c>
      <c r="AA190" s="158">
        <f t="shared" si="17"/>
        <v>0.79406631762652702</v>
      </c>
      <c r="AB190" s="158">
        <f t="shared" si="17"/>
        <v>0.18848167539267016</v>
      </c>
      <c r="AC190" s="158">
        <f t="shared" si="17"/>
        <v>1.7452006980802792E-2</v>
      </c>
      <c r="AE190" s="148">
        <v>104764</v>
      </c>
      <c r="AF190" s="148">
        <v>335534</v>
      </c>
      <c r="AG190" s="148">
        <f t="shared" si="18"/>
        <v>266436.24781849911</v>
      </c>
      <c r="AH190" s="159">
        <f t="shared" si="19"/>
        <v>10.489035560493891</v>
      </c>
      <c r="AI190" s="159">
        <f t="shared" si="20"/>
        <v>230.96501920799997</v>
      </c>
      <c r="AJ190" s="157">
        <f t="shared" si="21"/>
        <v>22.019662139187623</v>
      </c>
      <c r="AK190" s="157">
        <f t="shared" si="22"/>
        <v>9.9645837824691963</v>
      </c>
      <c r="AN190" s="161">
        <f t="shared" si="23"/>
        <v>110621.33</v>
      </c>
    </row>
    <row r="191" spans="1:41">
      <c r="A191" s="156">
        <f>'BD Plant List'!A190</f>
        <v>45413</v>
      </c>
      <c r="B191" s="148">
        <f t="shared" si="27"/>
        <v>40</v>
      </c>
      <c r="C191" s="148">
        <f t="shared" si="26"/>
        <v>10</v>
      </c>
      <c r="D191" s="148">
        <f t="shared" si="26"/>
        <v>56</v>
      </c>
      <c r="E191" s="148">
        <f t="shared" si="26"/>
        <v>70</v>
      </c>
      <c r="F191" s="148">
        <f t="shared" si="26"/>
        <v>9</v>
      </c>
      <c r="G191" s="148">
        <f t="shared" si="26"/>
        <v>50</v>
      </c>
      <c r="H191" s="148">
        <f t="shared" si="26"/>
        <v>39</v>
      </c>
      <c r="I191" s="148">
        <f t="shared" si="26"/>
        <v>39</v>
      </c>
      <c r="J191" s="148">
        <f t="shared" si="26"/>
        <v>100</v>
      </c>
      <c r="K191" s="148">
        <f t="shared" si="26"/>
        <v>26</v>
      </c>
      <c r="L191" s="148">
        <f t="shared" si="26"/>
        <v>7</v>
      </c>
      <c r="M191" s="148">
        <f t="shared" si="26"/>
        <v>12</v>
      </c>
      <c r="N191" s="148">
        <f t="shared" si="26"/>
        <v>10</v>
      </c>
      <c r="O191" s="148">
        <f t="shared" si="26"/>
        <v>105</v>
      </c>
      <c r="P191" s="148">
        <f t="shared" si="11"/>
        <v>573</v>
      </c>
      <c r="R191" s="148">
        <f>'Fuel Ethanol'!Q30</f>
        <v>144909</v>
      </c>
      <c r="S191" s="157">
        <f t="shared" si="12"/>
        <v>38.280610530000004</v>
      </c>
      <c r="T191" s="154">
        <f t="shared" si="13"/>
        <v>0.81282273667539273</v>
      </c>
      <c r="V191" s="149">
        <f t="shared" si="14"/>
        <v>455</v>
      </c>
      <c r="W191" s="149">
        <f t="shared" si="15"/>
        <v>108</v>
      </c>
      <c r="X191" s="149">
        <f t="shared" si="16"/>
        <v>10</v>
      </c>
      <c r="Y191" s="149">
        <f t="shared" si="9"/>
        <v>573</v>
      </c>
      <c r="AA191" s="158">
        <f t="shared" si="17"/>
        <v>0.79406631762652702</v>
      </c>
      <c r="AB191" s="158">
        <f t="shared" si="17"/>
        <v>0.18848167539267016</v>
      </c>
      <c r="AC191" s="158">
        <f t="shared" si="17"/>
        <v>1.7452006980802792E-2</v>
      </c>
      <c r="AE191" s="148">
        <v>108197</v>
      </c>
      <c r="AF191" s="148">
        <v>335979</v>
      </c>
      <c r="AG191" s="148">
        <f t="shared" si="18"/>
        <v>266789.60732984293</v>
      </c>
      <c r="AH191" s="159">
        <f t="shared" si="19"/>
        <v>10.502946582400524</v>
      </c>
      <c r="AI191" s="159">
        <f t="shared" si="20"/>
        <v>238.53348653399999</v>
      </c>
      <c r="AJ191" s="157">
        <f t="shared" si="21"/>
        <v>22.711101562080064</v>
      </c>
      <c r="AK191" s="157">
        <f t="shared" si="22"/>
        <v>9.977799253280498</v>
      </c>
      <c r="AN191" s="161">
        <f t="shared" si="23"/>
        <v>114478.11</v>
      </c>
    </row>
    <row r="192" spans="1:41">
      <c r="A192" s="156">
        <f>'BD Plant List'!A191</f>
        <v>45444</v>
      </c>
      <c r="B192" s="148">
        <f t="shared" si="27"/>
        <v>40</v>
      </c>
      <c r="C192" s="148">
        <f t="shared" si="26"/>
        <v>10</v>
      </c>
      <c r="D192" s="148">
        <f t="shared" si="26"/>
        <v>56</v>
      </c>
      <c r="E192" s="148">
        <f t="shared" si="26"/>
        <v>70</v>
      </c>
      <c r="F192" s="148">
        <f t="shared" si="26"/>
        <v>9</v>
      </c>
      <c r="G192" s="148">
        <f t="shared" si="26"/>
        <v>50</v>
      </c>
      <c r="H192" s="148">
        <f t="shared" si="26"/>
        <v>39</v>
      </c>
      <c r="I192" s="148">
        <f t="shared" si="26"/>
        <v>39</v>
      </c>
      <c r="J192" s="148">
        <f t="shared" si="26"/>
        <v>100</v>
      </c>
      <c r="K192" s="148">
        <f t="shared" si="26"/>
        <v>26</v>
      </c>
      <c r="L192" s="148">
        <f t="shared" si="26"/>
        <v>7</v>
      </c>
      <c r="M192" s="148">
        <f t="shared" si="26"/>
        <v>12</v>
      </c>
      <c r="N192" s="148">
        <f t="shared" si="26"/>
        <v>10</v>
      </c>
      <c r="O192" s="148">
        <f t="shared" si="26"/>
        <v>105</v>
      </c>
      <c r="P192" s="148">
        <f t="shared" si="11"/>
        <v>573</v>
      </c>
      <c r="R192" s="148">
        <f>'Fuel Ethanol'!Q31</f>
        <v>142682</v>
      </c>
      <c r="S192" s="157">
        <f t="shared" si="12"/>
        <v>37.692303940000002</v>
      </c>
      <c r="T192" s="154">
        <f t="shared" si="13"/>
        <v>0.77451392997241453</v>
      </c>
      <c r="V192" s="149">
        <f t="shared" si="14"/>
        <v>455</v>
      </c>
      <c r="W192" s="149">
        <f t="shared" si="15"/>
        <v>108</v>
      </c>
      <c r="X192" s="149">
        <f t="shared" si="16"/>
        <v>10</v>
      </c>
      <c r="Y192" s="149">
        <f t="shared" si="9"/>
        <v>573</v>
      </c>
      <c r="AA192" s="158">
        <f t="shared" si="17"/>
        <v>0.79406631762652702</v>
      </c>
      <c r="AB192" s="158">
        <f t="shared" si="17"/>
        <v>0.18848167539267016</v>
      </c>
      <c r="AC192" s="158">
        <f t="shared" si="17"/>
        <v>1.7452006980802792E-2</v>
      </c>
      <c r="AE192" s="148">
        <v>101597</v>
      </c>
      <c r="AF192" s="148">
        <v>335862</v>
      </c>
      <c r="AG192" s="148">
        <f t="shared" si="18"/>
        <v>266696.7015706806</v>
      </c>
      <c r="AH192" s="159">
        <f t="shared" si="19"/>
        <v>10.499289077764395</v>
      </c>
      <c r="AI192" s="159">
        <f t="shared" si="20"/>
        <v>223.98298133399999</v>
      </c>
      <c r="AJ192" s="157">
        <f t="shared" si="21"/>
        <v>21.333156909485961</v>
      </c>
      <c r="AK192" s="157">
        <f t="shared" si="22"/>
        <v>9.9743246238761749</v>
      </c>
      <c r="AN192" s="161">
        <f t="shared" si="23"/>
        <v>112718.78</v>
      </c>
    </row>
    <row r="193" spans="1:40">
      <c r="A193" s="156">
        <f>'BD Plant List'!A192</f>
        <v>45474</v>
      </c>
      <c r="B193" s="148">
        <f t="shared" si="27"/>
        <v>40</v>
      </c>
      <c r="C193" s="148">
        <f t="shared" si="26"/>
        <v>10</v>
      </c>
      <c r="D193" s="148">
        <f t="shared" si="26"/>
        <v>56</v>
      </c>
      <c r="E193" s="148">
        <f t="shared" si="26"/>
        <v>70</v>
      </c>
      <c r="F193" s="148">
        <f t="shared" si="26"/>
        <v>9</v>
      </c>
      <c r="G193" s="148">
        <f t="shared" si="26"/>
        <v>50</v>
      </c>
      <c r="H193" s="148">
        <f t="shared" si="26"/>
        <v>39</v>
      </c>
      <c r="I193" s="148">
        <f t="shared" si="26"/>
        <v>39</v>
      </c>
      <c r="J193" s="148">
        <f t="shared" si="26"/>
        <v>100</v>
      </c>
      <c r="K193" s="148">
        <f t="shared" si="26"/>
        <v>26</v>
      </c>
      <c r="L193" s="148">
        <f t="shared" si="26"/>
        <v>7</v>
      </c>
      <c r="M193" s="148">
        <f t="shared" si="26"/>
        <v>12</v>
      </c>
      <c r="N193" s="148">
        <f t="shared" si="26"/>
        <v>10</v>
      </c>
      <c r="O193" s="148">
        <f t="shared" si="26"/>
        <v>105</v>
      </c>
      <c r="P193" s="148">
        <f t="shared" si="11"/>
        <v>573</v>
      </c>
      <c r="R193" s="148">
        <f>'Fuel Ethanol'!Q32</f>
        <v>154666</v>
      </c>
      <c r="S193" s="157">
        <f t="shared" si="12"/>
        <v>40.858117219999997</v>
      </c>
      <c r="T193" s="154">
        <f t="shared" si="13"/>
        <v>0.8675516454508434</v>
      </c>
      <c r="V193" s="149">
        <f t="shared" si="14"/>
        <v>455</v>
      </c>
      <c r="W193" s="149">
        <f t="shared" si="15"/>
        <v>108</v>
      </c>
      <c r="X193" s="149">
        <f t="shared" si="16"/>
        <v>10</v>
      </c>
      <c r="Y193" s="149">
        <f t="shared" si="9"/>
        <v>573</v>
      </c>
      <c r="AA193" s="158">
        <f t="shared" si="17"/>
        <v>0.79406631762652702</v>
      </c>
      <c r="AB193" s="158">
        <f t="shared" si="17"/>
        <v>0.18848167539267016</v>
      </c>
      <c r="AC193" s="158">
        <f t="shared" si="17"/>
        <v>1.7452006980802792E-2</v>
      </c>
      <c r="AE193" s="148">
        <v>115356</v>
      </c>
      <c r="AF193" s="148">
        <v>381749</v>
      </c>
      <c r="AG193" s="148">
        <f t="shared" si="18"/>
        <v>303134.02268760907</v>
      </c>
      <c r="AH193" s="159">
        <f t="shared" si="19"/>
        <v>11.933749891763526</v>
      </c>
      <c r="AI193" s="159">
        <f t="shared" si="20"/>
        <v>254.31637543199997</v>
      </c>
      <c r="AJ193" s="157">
        <f t="shared" si="21"/>
        <v>21.310684213980792</v>
      </c>
      <c r="AK193" s="157">
        <f t="shared" si="22"/>
        <v>11.33706239717535</v>
      </c>
      <c r="AN193" s="161">
        <f t="shared" si="23"/>
        <v>122186.14</v>
      </c>
    </row>
    <row r="194" spans="1:40">
      <c r="A194" s="156">
        <f>'BD Plant List'!A193</f>
        <v>45505</v>
      </c>
      <c r="B194" s="148">
        <f t="shared" si="27"/>
        <v>40</v>
      </c>
      <c r="C194" s="148">
        <f t="shared" si="26"/>
        <v>10</v>
      </c>
      <c r="D194" s="148">
        <f t="shared" si="26"/>
        <v>56</v>
      </c>
      <c r="E194" s="148">
        <f t="shared" si="26"/>
        <v>70</v>
      </c>
      <c r="F194" s="148">
        <f t="shared" si="26"/>
        <v>9</v>
      </c>
      <c r="G194" s="148">
        <f t="shared" si="26"/>
        <v>50</v>
      </c>
      <c r="H194" s="148">
        <f t="shared" si="26"/>
        <v>39</v>
      </c>
      <c r="I194" s="148">
        <f t="shared" si="26"/>
        <v>39</v>
      </c>
      <c r="J194" s="148">
        <f t="shared" si="26"/>
        <v>100</v>
      </c>
      <c r="K194" s="148">
        <f t="shared" si="26"/>
        <v>26</v>
      </c>
      <c r="L194" s="148">
        <f t="shared" si="26"/>
        <v>7</v>
      </c>
      <c r="M194" s="148">
        <f t="shared" si="26"/>
        <v>12</v>
      </c>
      <c r="N194" s="148">
        <f t="shared" si="26"/>
        <v>10</v>
      </c>
      <c r="O194" s="148">
        <f t="shared" si="26"/>
        <v>105</v>
      </c>
      <c r="P194" s="148">
        <f t="shared" si="11"/>
        <v>573</v>
      </c>
      <c r="R194" s="148">
        <f>'Fuel Ethanol'!Q33</f>
        <v>160518</v>
      </c>
      <c r="S194" s="157">
        <f t="shared" si="12"/>
        <v>42.40404006</v>
      </c>
      <c r="T194" s="154">
        <f t="shared" si="13"/>
        <v>0.87133224240837692</v>
      </c>
      <c r="V194" s="149">
        <f t="shared" si="14"/>
        <v>455</v>
      </c>
      <c r="W194" s="149">
        <f t="shared" si="15"/>
        <v>108</v>
      </c>
      <c r="X194" s="149">
        <f t="shared" si="16"/>
        <v>10</v>
      </c>
      <c r="Y194" s="149">
        <f t="shared" si="9"/>
        <v>573</v>
      </c>
      <c r="AA194" s="158">
        <f t="shared" si="17"/>
        <v>0.79406631762652702</v>
      </c>
      <c r="AB194" s="158">
        <f t="shared" si="17"/>
        <v>0.18848167539267016</v>
      </c>
      <c r="AC194" s="158">
        <f t="shared" si="17"/>
        <v>1.7452006980802792E-2</v>
      </c>
      <c r="AE194" s="148">
        <v>119890</v>
      </c>
      <c r="AF194" s="148">
        <v>392334</v>
      </c>
      <c r="AG194" s="148">
        <f t="shared" si="18"/>
        <v>311539.21465968585</v>
      </c>
      <c r="AH194" s="159">
        <f t="shared" si="19"/>
        <v>12.264644648801045</v>
      </c>
      <c r="AI194" s="159">
        <f t="shared" si="20"/>
        <v>264.31213157999997</v>
      </c>
      <c r="AJ194" s="157">
        <f t="shared" si="21"/>
        <v>21.550737028963844</v>
      </c>
      <c r="AK194" s="157">
        <f t="shared" si="22"/>
        <v>11.651412416360992</v>
      </c>
      <c r="AN194" s="161">
        <f t="shared" si="23"/>
        <v>126809.22</v>
      </c>
    </row>
    <row r="195" spans="1:40">
      <c r="A195" s="156">
        <f>'BD Plant List'!A194</f>
        <v>45536</v>
      </c>
      <c r="B195" s="148">
        <f t="shared" si="27"/>
        <v>40</v>
      </c>
      <c r="C195" s="148">
        <f t="shared" si="26"/>
        <v>10</v>
      </c>
      <c r="D195" s="148">
        <f t="shared" si="26"/>
        <v>56</v>
      </c>
      <c r="E195" s="148">
        <f t="shared" si="26"/>
        <v>70</v>
      </c>
      <c r="F195" s="148">
        <f t="shared" si="26"/>
        <v>9</v>
      </c>
      <c r="G195" s="148">
        <f t="shared" si="26"/>
        <v>50</v>
      </c>
      <c r="H195" s="148">
        <f t="shared" si="26"/>
        <v>39</v>
      </c>
      <c r="I195" s="148">
        <f t="shared" si="26"/>
        <v>39</v>
      </c>
      <c r="J195" s="148">
        <f t="shared" si="26"/>
        <v>100</v>
      </c>
      <c r="K195" s="148">
        <f t="shared" si="26"/>
        <v>26</v>
      </c>
      <c r="L195" s="148">
        <f t="shared" si="26"/>
        <v>7</v>
      </c>
      <c r="M195" s="148">
        <f t="shared" si="26"/>
        <v>12</v>
      </c>
      <c r="N195" s="148">
        <f t="shared" si="26"/>
        <v>10</v>
      </c>
      <c r="O195" s="148">
        <f t="shared" si="26"/>
        <v>105</v>
      </c>
      <c r="P195" s="148">
        <f t="shared" si="11"/>
        <v>573</v>
      </c>
      <c r="R195" s="148">
        <f>'Fuel Ethanol'!Q34</f>
        <v>136191</v>
      </c>
      <c r="S195" s="157">
        <f t="shared" si="12"/>
        <v>35.977576469999995</v>
      </c>
      <c r="T195" s="154">
        <f t="shared" si="13"/>
        <v>0.73927914268704598</v>
      </c>
      <c r="V195" s="149">
        <f t="shared" si="14"/>
        <v>455</v>
      </c>
      <c r="W195" s="149">
        <f t="shared" si="15"/>
        <v>108</v>
      </c>
      <c r="X195" s="149">
        <f t="shared" si="16"/>
        <v>10</v>
      </c>
      <c r="Y195" s="149">
        <f t="shared" si="9"/>
        <v>573</v>
      </c>
      <c r="AA195" s="158">
        <f t="shared" si="17"/>
        <v>0.79406631762652702</v>
      </c>
      <c r="AB195" s="158">
        <f t="shared" si="17"/>
        <v>0.18848167539267016</v>
      </c>
      <c r="AC195" s="158">
        <f t="shared" si="17"/>
        <v>1.7452006980802792E-2</v>
      </c>
      <c r="AE195" s="148">
        <v>102005</v>
      </c>
      <c r="AF195" s="148">
        <v>330767</v>
      </c>
      <c r="AG195" s="148">
        <f t="shared" si="18"/>
        <v>262650.93368237343</v>
      </c>
      <c r="AH195" s="159">
        <f t="shared" si="19"/>
        <v>10.340015692114308</v>
      </c>
      <c r="AI195" s="159">
        <f t="shared" si="20"/>
        <v>224.88246710999999</v>
      </c>
      <c r="AJ195" s="157">
        <f t="shared" si="21"/>
        <v>21.748754915478898</v>
      </c>
      <c r="AK195" s="157">
        <f t="shared" si="22"/>
        <v>9.8230149075085915</v>
      </c>
      <c r="AN195" s="161">
        <f t="shared" si="23"/>
        <v>107590.89</v>
      </c>
    </row>
    <row r="196" spans="1:40">
      <c r="A196" s="156">
        <f>'BD Plant List'!A195</f>
        <v>45566</v>
      </c>
      <c r="B196" s="148">
        <f t="shared" si="27"/>
        <v>40</v>
      </c>
      <c r="C196" s="148">
        <f t="shared" si="26"/>
        <v>10</v>
      </c>
      <c r="D196" s="148">
        <f t="shared" si="26"/>
        <v>56</v>
      </c>
      <c r="E196" s="148">
        <f t="shared" si="26"/>
        <v>70</v>
      </c>
      <c r="F196" s="148">
        <f t="shared" si="26"/>
        <v>9</v>
      </c>
      <c r="G196" s="148">
        <f t="shared" si="26"/>
        <v>50</v>
      </c>
      <c r="H196" s="148">
        <f t="shared" si="26"/>
        <v>39</v>
      </c>
      <c r="I196" s="148">
        <f t="shared" si="26"/>
        <v>39</v>
      </c>
      <c r="J196" s="148">
        <f t="shared" si="26"/>
        <v>100</v>
      </c>
      <c r="K196" s="148">
        <f t="shared" si="26"/>
        <v>26</v>
      </c>
      <c r="L196" s="148">
        <f t="shared" si="26"/>
        <v>7</v>
      </c>
      <c r="M196" s="148">
        <f t="shared" si="26"/>
        <v>12</v>
      </c>
      <c r="N196" s="148">
        <f t="shared" si="26"/>
        <v>10</v>
      </c>
      <c r="O196" s="148">
        <f t="shared" si="26"/>
        <v>105</v>
      </c>
      <c r="P196" s="148">
        <f t="shared" si="11"/>
        <v>573</v>
      </c>
      <c r="R196" s="148">
        <f>'Fuel Ethanol'!Q35</f>
        <v>139687</v>
      </c>
      <c r="S196" s="157">
        <f t="shared" si="12"/>
        <v>36.901114790000001</v>
      </c>
      <c r="T196" s="154">
        <f t="shared" si="13"/>
        <v>0.78353152404595694</v>
      </c>
      <c r="V196" s="149">
        <f t="shared" si="14"/>
        <v>455</v>
      </c>
      <c r="W196" s="149">
        <f t="shared" si="15"/>
        <v>108</v>
      </c>
      <c r="X196" s="149">
        <f t="shared" si="16"/>
        <v>10</v>
      </c>
      <c r="Y196" s="149">
        <f t="shared" si="9"/>
        <v>573</v>
      </c>
      <c r="AA196" s="158">
        <f t="shared" si="17"/>
        <v>0.79406631762652702</v>
      </c>
      <c r="AB196" s="158">
        <f t="shared" si="17"/>
        <v>0.18848167539267016</v>
      </c>
      <c r="AC196" s="158">
        <f t="shared" si="17"/>
        <v>1.7452006980802792E-2</v>
      </c>
      <c r="AE196" s="148">
        <v>99714</v>
      </c>
      <c r="AF196" s="148">
        <v>328336</v>
      </c>
      <c r="AG196" s="148">
        <f t="shared" si="18"/>
        <v>260720.55846422337</v>
      </c>
      <c r="AH196" s="159">
        <f t="shared" si="19"/>
        <v>10.2640208735637</v>
      </c>
      <c r="AI196" s="159">
        <f t="shared" si="20"/>
        <v>219.83167810799998</v>
      </c>
      <c r="AJ196" s="157">
        <f t="shared" si="21"/>
        <v>21.417695931835507</v>
      </c>
      <c r="AK196" s="157">
        <f t="shared" si="22"/>
        <v>9.7508198298855149</v>
      </c>
      <c r="AN196" s="161">
        <f t="shared" si="23"/>
        <v>110352.73000000001</v>
      </c>
    </row>
    <row r="197" spans="1:40">
      <c r="A197" s="156">
        <f>'BD Plant List'!A196</f>
        <v>45597</v>
      </c>
      <c r="B197" s="148">
        <f t="shared" si="27"/>
        <v>40</v>
      </c>
      <c r="C197" s="148">
        <f t="shared" si="26"/>
        <v>10</v>
      </c>
      <c r="D197" s="148">
        <f t="shared" si="26"/>
        <v>56</v>
      </c>
      <c r="E197" s="148">
        <f t="shared" si="26"/>
        <v>70</v>
      </c>
      <c r="F197" s="148">
        <f t="shared" si="26"/>
        <v>9</v>
      </c>
      <c r="G197" s="148">
        <f t="shared" si="26"/>
        <v>50</v>
      </c>
      <c r="H197" s="148">
        <f t="shared" si="26"/>
        <v>39</v>
      </c>
      <c r="I197" s="148">
        <f t="shared" si="26"/>
        <v>39</v>
      </c>
      <c r="J197" s="148">
        <f t="shared" si="26"/>
        <v>100</v>
      </c>
      <c r="K197" s="148">
        <f t="shared" si="26"/>
        <v>26</v>
      </c>
      <c r="L197" s="148">
        <f t="shared" si="26"/>
        <v>7</v>
      </c>
      <c r="M197" s="148">
        <f t="shared" si="26"/>
        <v>12</v>
      </c>
      <c r="N197" s="148">
        <f t="shared" si="26"/>
        <v>10</v>
      </c>
      <c r="O197" s="148">
        <f t="shared" si="26"/>
        <v>105</v>
      </c>
      <c r="P197" s="148">
        <f t="shared" si="11"/>
        <v>573</v>
      </c>
      <c r="R197" s="148">
        <f>'Fuel Ethanol'!Q36</f>
        <v>149096</v>
      </c>
      <c r="S197" s="157">
        <f t="shared" si="12"/>
        <v>39.38669032</v>
      </c>
      <c r="T197" s="154">
        <f t="shared" si="13"/>
        <v>0.80933074181163089</v>
      </c>
      <c r="V197" s="149">
        <f t="shared" si="14"/>
        <v>455</v>
      </c>
      <c r="W197" s="149">
        <f t="shared" si="15"/>
        <v>108</v>
      </c>
      <c r="X197" s="149">
        <f t="shared" si="16"/>
        <v>10</v>
      </c>
      <c r="Y197" s="149">
        <f t="shared" si="9"/>
        <v>573</v>
      </c>
      <c r="AA197" s="158">
        <f t="shared" si="17"/>
        <v>0.79406631762652702</v>
      </c>
      <c r="AB197" s="158">
        <f t="shared" si="17"/>
        <v>0.18848167539267016</v>
      </c>
      <c r="AC197" s="158">
        <f t="shared" si="17"/>
        <v>1.7452006980802792E-2</v>
      </c>
      <c r="AE197" s="148">
        <v>106518</v>
      </c>
      <c r="AF197" s="148">
        <v>357808</v>
      </c>
      <c r="AG197" s="148">
        <f t="shared" si="18"/>
        <v>284123.28097731236</v>
      </c>
      <c r="AH197" s="159">
        <f t="shared" si="19"/>
        <v>11.185336913186735</v>
      </c>
      <c r="AI197" s="159">
        <f t="shared" si="20"/>
        <v>234.83192619599998</v>
      </c>
      <c r="AJ197" s="157">
        <f t="shared" si="21"/>
        <v>20.994622515049098</v>
      </c>
      <c r="AK197" s="157">
        <f t="shared" si="22"/>
        <v>10.626070067527397</v>
      </c>
      <c r="AN197" s="161">
        <f t="shared" si="23"/>
        <v>117785.84000000001</v>
      </c>
    </row>
    <row r="198" spans="1:40">
      <c r="A198" s="156">
        <f>'BD Plant List'!A197</f>
        <v>45627</v>
      </c>
      <c r="B198" s="148">
        <f t="shared" si="27"/>
        <v>40</v>
      </c>
      <c r="C198" s="148">
        <f t="shared" si="26"/>
        <v>10</v>
      </c>
      <c r="D198" s="148">
        <f t="shared" si="26"/>
        <v>56</v>
      </c>
      <c r="E198" s="148">
        <f t="shared" si="26"/>
        <v>70</v>
      </c>
      <c r="F198" s="148">
        <f t="shared" si="26"/>
        <v>9</v>
      </c>
      <c r="G198" s="148">
        <f t="shared" si="26"/>
        <v>50</v>
      </c>
      <c r="H198" s="148">
        <f t="shared" si="26"/>
        <v>39</v>
      </c>
      <c r="I198" s="148">
        <f t="shared" si="26"/>
        <v>39</v>
      </c>
      <c r="J198" s="148">
        <f t="shared" si="26"/>
        <v>100</v>
      </c>
      <c r="K198" s="148">
        <f t="shared" si="26"/>
        <v>26</v>
      </c>
      <c r="L198" s="148">
        <f t="shared" si="26"/>
        <v>7</v>
      </c>
      <c r="M198" s="148">
        <f t="shared" ref="M198:Y218" si="28">M$4</f>
        <v>12</v>
      </c>
      <c r="N198" s="148">
        <f t="shared" si="28"/>
        <v>10</v>
      </c>
      <c r="O198" s="148">
        <f t="shared" si="28"/>
        <v>105</v>
      </c>
      <c r="P198" s="148">
        <f t="shared" si="11"/>
        <v>573</v>
      </c>
      <c r="R198" s="148">
        <f>'Fuel Ethanol'!Q37</f>
        <v>144741</v>
      </c>
      <c r="S198" s="157">
        <f t="shared" si="12"/>
        <v>38.236229969999997</v>
      </c>
      <c r="T198" s="154">
        <f t="shared" si="13"/>
        <v>0.81188039203315865</v>
      </c>
      <c r="V198" s="149">
        <f t="shared" si="14"/>
        <v>455</v>
      </c>
      <c r="W198" s="149">
        <f t="shared" si="15"/>
        <v>108</v>
      </c>
      <c r="X198" s="149">
        <f t="shared" si="16"/>
        <v>10</v>
      </c>
      <c r="Y198" s="149">
        <f t="shared" si="9"/>
        <v>573</v>
      </c>
      <c r="AA198" s="158">
        <f t="shared" si="17"/>
        <v>0.79406631762652702</v>
      </c>
      <c r="AB198" s="158">
        <f t="shared" si="17"/>
        <v>0.18848167539267016</v>
      </c>
      <c r="AC198" s="158">
        <f t="shared" si="17"/>
        <v>1.7452006980802792E-2</v>
      </c>
      <c r="AE198" s="148">
        <v>101245</v>
      </c>
      <c r="AF198" s="148">
        <v>345456</v>
      </c>
      <c r="AG198" s="148">
        <f t="shared" si="18"/>
        <v>274314.97382198949</v>
      </c>
      <c r="AH198" s="159">
        <f t="shared" si="19"/>
        <v>10.799204457926701</v>
      </c>
      <c r="AI198" s="159">
        <f t="shared" si="20"/>
        <v>223.20695438999999</v>
      </c>
      <c r="AJ198" s="157">
        <f t="shared" si="21"/>
        <v>20.668833084844906</v>
      </c>
      <c r="AK198" s="157">
        <f t="shared" si="22"/>
        <v>10.259244235030366</v>
      </c>
      <c r="AN198" s="161">
        <f t="shared" si="23"/>
        <v>114345.39</v>
      </c>
    </row>
    <row r="199" spans="1:40">
      <c r="A199" s="156">
        <f>'BD Plant List'!A198</f>
        <v>45658</v>
      </c>
      <c r="B199" s="148">
        <f t="shared" si="27"/>
        <v>40</v>
      </c>
      <c r="C199" s="148">
        <f t="shared" si="27"/>
        <v>10</v>
      </c>
      <c r="D199" s="148">
        <f t="shared" si="27"/>
        <v>56</v>
      </c>
      <c r="E199" s="148">
        <f t="shared" si="27"/>
        <v>70</v>
      </c>
      <c r="F199" s="148">
        <f t="shared" si="27"/>
        <v>9</v>
      </c>
      <c r="G199" s="148">
        <f t="shared" si="27"/>
        <v>50</v>
      </c>
      <c r="H199" s="148">
        <f t="shared" si="27"/>
        <v>39</v>
      </c>
      <c r="I199" s="148">
        <f t="shared" si="27"/>
        <v>39</v>
      </c>
      <c r="J199" s="148">
        <f t="shared" si="27"/>
        <v>100</v>
      </c>
      <c r="K199" s="148">
        <f t="shared" si="27"/>
        <v>26</v>
      </c>
      <c r="L199" s="148">
        <f t="shared" si="27"/>
        <v>7</v>
      </c>
      <c r="M199" s="148">
        <f t="shared" si="27"/>
        <v>12</v>
      </c>
      <c r="N199" s="148">
        <f t="shared" si="27"/>
        <v>10</v>
      </c>
      <c r="O199" s="148">
        <f t="shared" si="27"/>
        <v>105</v>
      </c>
      <c r="P199" s="148">
        <f t="shared" si="11"/>
        <v>573</v>
      </c>
      <c r="R199" s="148">
        <f>'Fuel Ethanol'!R26</f>
        <v>141528</v>
      </c>
      <c r="S199" s="157">
        <f t="shared" si="12"/>
        <v>37.387451760000005</v>
      </c>
      <c r="T199" s="154">
        <f t="shared" si="13"/>
        <v>0.76824972653268031</v>
      </c>
      <c r="V199" s="149">
        <f t="shared" si="14"/>
        <v>455</v>
      </c>
      <c r="W199" s="149">
        <f t="shared" si="15"/>
        <v>108</v>
      </c>
      <c r="X199" s="149">
        <f t="shared" si="16"/>
        <v>10</v>
      </c>
      <c r="Y199" s="149">
        <f t="shared" si="9"/>
        <v>573</v>
      </c>
      <c r="AA199" s="158">
        <f t="shared" si="17"/>
        <v>0.79406631762652702</v>
      </c>
      <c r="AB199" s="158">
        <f t="shared" si="17"/>
        <v>0.18848167539267016</v>
      </c>
      <c r="AC199" s="158">
        <f t="shared" si="17"/>
        <v>1.7452006980802792E-2</v>
      </c>
      <c r="AE199" s="148">
        <v>102062</v>
      </c>
      <c r="AF199" s="148">
        <v>338279</v>
      </c>
      <c r="AG199" s="148">
        <f t="shared" si="18"/>
        <v>268615.95986038394</v>
      </c>
      <c r="AH199" s="159">
        <f t="shared" si="19"/>
        <v>10.574846246187608</v>
      </c>
      <c r="AI199" s="159">
        <f t="shared" si="20"/>
        <v>225.00813056399997</v>
      </c>
      <c r="AJ199" s="157">
        <f t="shared" si="21"/>
        <v>21.27767395626379</v>
      </c>
      <c r="AK199" s="157">
        <f t="shared" si="22"/>
        <v>10.046103933878227</v>
      </c>
      <c r="AN199" s="161">
        <f t="shared" si="23"/>
        <v>111807.12000000001</v>
      </c>
    </row>
    <row r="200" spans="1:40">
      <c r="A200" s="156">
        <f>'BD Plant List'!A199</f>
        <v>45689</v>
      </c>
      <c r="B200" s="148">
        <f t="shared" si="27"/>
        <v>40</v>
      </c>
      <c r="C200" s="148">
        <f t="shared" si="27"/>
        <v>10</v>
      </c>
      <c r="D200" s="148">
        <f t="shared" si="27"/>
        <v>56</v>
      </c>
      <c r="E200" s="148">
        <f t="shared" si="27"/>
        <v>70</v>
      </c>
      <c r="F200" s="148">
        <f t="shared" si="27"/>
        <v>9</v>
      </c>
      <c r="G200" s="148">
        <f t="shared" si="27"/>
        <v>50</v>
      </c>
      <c r="H200" s="148">
        <f t="shared" si="27"/>
        <v>39</v>
      </c>
      <c r="I200" s="148">
        <f t="shared" si="27"/>
        <v>39</v>
      </c>
      <c r="J200" s="148">
        <f t="shared" si="27"/>
        <v>100</v>
      </c>
      <c r="K200" s="148">
        <f t="shared" si="27"/>
        <v>26</v>
      </c>
      <c r="L200" s="148">
        <f t="shared" si="27"/>
        <v>7</v>
      </c>
      <c r="M200" s="148">
        <f t="shared" si="27"/>
        <v>12</v>
      </c>
      <c r="N200" s="148">
        <f t="shared" si="27"/>
        <v>10</v>
      </c>
      <c r="O200" s="148">
        <f t="shared" si="27"/>
        <v>105</v>
      </c>
      <c r="P200" s="148">
        <f t="shared" si="11"/>
        <v>573</v>
      </c>
      <c r="R200" s="148">
        <f>'Fuel Ethanol'!R27</f>
        <v>139170</v>
      </c>
      <c r="S200" s="157">
        <f t="shared" si="12"/>
        <v>36.764538899999998</v>
      </c>
      <c r="T200" s="154">
        <f t="shared" si="13"/>
        <v>0.75544990702584014</v>
      </c>
      <c r="V200" s="149">
        <f t="shared" si="14"/>
        <v>455</v>
      </c>
      <c r="W200" s="149">
        <f t="shared" si="15"/>
        <v>108</v>
      </c>
      <c r="X200" s="149">
        <f t="shared" si="16"/>
        <v>10</v>
      </c>
      <c r="Y200" s="149">
        <f t="shared" si="9"/>
        <v>573</v>
      </c>
      <c r="AA200" s="158">
        <f t="shared" si="17"/>
        <v>0.79406631762652702</v>
      </c>
      <c r="AB200" s="158">
        <f t="shared" si="17"/>
        <v>0.18848167539267016</v>
      </c>
      <c r="AC200" s="158">
        <f t="shared" si="17"/>
        <v>1.7452006980802792E-2</v>
      </c>
      <c r="AE200" s="148">
        <v>98935</v>
      </c>
      <c r="AF200" s="148">
        <v>337221</v>
      </c>
      <c r="AG200" s="148">
        <f t="shared" si="18"/>
        <v>267775.83769633505</v>
      </c>
      <c r="AH200" s="159">
        <f t="shared" si="19"/>
        <v>10.541772400845549</v>
      </c>
      <c r="AI200" s="159">
        <f t="shared" si="20"/>
        <v>218.11427756999998</v>
      </c>
      <c r="AJ200" s="157">
        <f t="shared" si="21"/>
        <v>20.690474929292268</v>
      </c>
      <c r="AK200" s="157">
        <f t="shared" si="22"/>
        <v>10.014683780803271</v>
      </c>
      <c r="AN200" s="161">
        <f t="shared" si="23"/>
        <v>109944.3</v>
      </c>
    </row>
    <row r="201" spans="1:40">
      <c r="A201" s="156">
        <f>'BD Plant List'!A200</f>
        <v>45717</v>
      </c>
      <c r="B201" s="148">
        <f t="shared" si="27"/>
        <v>40</v>
      </c>
      <c r="C201" s="148">
        <f t="shared" si="27"/>
        <v>10</v>
      </c>
      <c r="D201" s="148">
        <f t="shared" si="27"/>
        <v>56</v>
      </c>
      <c r="E201" s="148">
        <f t="shared" si="27"/>
        <v>70</v>
      </c>
      <c r="F201" s="148">
        <f t="shared" si="27"/>
        <v>9</v>
      </c>
      <c r="G201" s="148">
        <f t="shared" si="27"/>
        <v>50</v>
      </c>
      <c r="H201" s="148">
        <f t="shared" si="27"/>
        <v>39</v>
      </c>
      <c r="I201" s="148">
        <f t="shared" si="27"/>
        <v>39</v>
      </c>
      <c r="J201" s="148">
        <f t="shared" si="27"/>
        <v>100</v>
      </c>
      <c r="K201" s="148">
        <f t="shared" si="27"/>
        <v>26</v>
      </c>
      <c r="L201" s="148">
        <f t="shared" si="27"/>
        <v>7</v>
      </c>
      <c r="M201" s="148">
        <f t="shared" si="27"/>
        <v>12</v>
      </c>
      <c r="N201" s="148">
        <f t="shared" si="27"/>
        <v>10</v>
      </c>
      <c r="O201" s="148">
        <f t="shared" si="27"/>
        <v>105</v>
      </c>
      <c r="P201" s="148">
        <f t="shared" si="11"/>
        <v>573</v>
      </c>
      <c r="R201" s="148">
        <f>'Fuel Ethanol'!R28</f>
        <v>144964.6308873418</v>
      </c>
      <c r="S201" s="157">
        <f t="shared" si="12"/>
        <v>38.295306541509085</v>
      </c>
      <c r="T201" s="154">
        <f t="shared" si="13"/>
        <v>0.87121583692662763</v>
      </c>
      <c r="V201" s="149">
        <f t="shared" si="14"/>
        <v>455</v>
      </c>
      <c r="W201" s="149">
        <f t="shared" si="15"/>
        <v>108</v>
      </c>
      <c r="X201" s="149">
        <f t="shared" si="16"/>
        <v>10</v>
      </c>
      <c r="Y201" s="149">
        <f t="shared" si="9"/>
        <v>573</v>
      </c>
      <c r="AA201" s="158">
        <f t="shared" si="17"/>
        <v>0.79406631762652702</v>
      </c>
      <c r="AB201" s="158">
        <f t="shared" si="17"/>
        <v>0.18848167539267016</v>
      </c>
      <c r="AC201" s="158">
        <f t="shared" si="17"/>
        <v>1.7452006980802792E-2</v>
      </c>
      <c r="AE201" s="148"/>
      <c r="AF201" s="161">
        <f t="shared" ref="AF201:AF264" si="29">AN201/0.3</f>
        <v>381740.19467000011</v>
      </c>
      <c r="AG201" s="161">
        <f t="shared" si="18"/>
        <v>303127.03067164059</v>
      </c>
      <c r="AH201" s="162">
        <f t="shared" si="19"/>
        <v>11.933474630778079</v>
      </c>
      <c r="AI201" s="159"/>
      <c r="AJ201" s="157"/>
      <c r="AK201" s="157">
        <f t="shared" si="22"/>
        <v>11.336800899239174</v>
      </c>
      <c r="AN201" s="161">
        <f t="shared" si="23"/>
        <v>114522.05840100003</v>
      </c>
    </row>
    <row r="202" spans="1:40">
      <c r="A202" s="156">
        <f>'BD Plant List'!A201</f>
        <v>45748</v>
      </c>
      <c r="B202" s="148">
        <f t="shared" si="27"/>
        <v>40</v>
      </c>
      <c r="C202" s="148">
        <f t="shared" si="27"/>
        <v>10</v>
      </c>
      <c r="D202" s="148">
        <f t="shared" si="27"/>
        <v>56</v>
      </c>
      <c r="E202" s="148">
        <f t="shared" si="27"/>
        <v>70</v>
      </c>
      <c r="F202" s="148">
        <f t="shared" si="27"/>
        <v>9</v>
      </c>
      <c r="G202" s="148">
        <f t="shared" si="27"/>
        <v>50</v>
      </c>
      <c r="H202" s="148">
        <f t="shared" si="27"/>
        <v>39</v>
      </c>
      <c r="I202" s="148">
        <f t="shared" si="27"/>
        <v>39</v>
      </c>
      <c r="J202" s="148">
        <f t="shared" si="27"/>
        <v>100</v>
      </c>
      <c r="K202" s="148">
        <f t="shared" si="27"/>
        <v>26</v>
      </c>
      <c r="L202" s="148">
        <f t="shared" si="27"/>
        <v>7</v>
      </c>
      <c r="M202" s="148">
        <f t="shared" si="27"/>
        <v>12</v>
      </c>
      <c r="N202" s="148">
        <f t="shared" si="27"/>
        <v>10</v>
      </c>
      <c r="O202" s="148">
        <f t="shared" si="27"/>
        <v>105</v>
      </c>
      <c r="P202" s="148">
        <f t="shared" si="11"/>
        <v>573</v>
      </c>
      <c r="R202" s="148">
        <f>'Fuel Ethanol'!R29</f>
        <v>131714.80717227529</v>
      </c>
      <c r="S202" s="157">
        <f t="shared" si="12"/>
        <v>34.795100610699969</v>
      </c>
      <c r="T202" s="154">
        <f t="shared" si="13"/>
        <v>0.71498123756716137</v>
      </c>
      <c r="V202" s="149">
        <f t="shared" si="14"/>
        <v>455</v>
      </c>
      <c r="W202" s="149">
        <f t="shared" si="15"/>
        <v>108</v>
      </c>
      <c r="X202" s="149">
        <f t="shared" si="16"/>
        <v>10</v>
      </c>
      <c r="Y202" s="149">
        <f t="shared" si="9"/>
        <v>573</v>
      </c>
      <c r="AA202" s="158">
        <f t="shared" si="17"/>
        <v>0.79406631762652702</v>
      </c>
      <c r="AB202" s="158">
        <f t="shared" si="17"/>
        <v>0.18848167539267016</v>
      </c>
      <c r="AC202" s="158">
        <f t="shared" si="17"/>
        <v>1.7452006980802792E-2</v>
      </c>
      <c r="AE202" s="148"/>
      <c r="AF202" s="161">
        <f t="shared" si="29"/>
        <v>346848.99222032499</v>
      </c>
      <c r="AG202" s="161">
        <f t="shared" si="18"/>
        <v>275421.10202486539</v>
      </c>
      <c r="AH202" s="162">
        <f t="shared" si="19"/>
        <v>10.842750402404697</v>
      </c>
      <c r="AI202" s="159"/>
      <c r="AJ202" s="157"/>
      <c r="AK202" s="157">
        <f t="shared" si="22"/>
        <v>10.300612882284462</v>
      </c>
      <c r="AN202" s="161">
        <f t="shared" si="23"/>
        <v>104054.69766609749</v>
      </c>
    </row>
    <row r="203" spans="1:40">
      <c r="A203" s="156">
        <f>'BD Plant List'!A202</f>
        <v>45778</v>
      </c>
      <c r="B203" s="148">
        <f t="shared" si="27"/>
        <v>40</v>
      </c>
      <c r="C203" s="148">
        <f t="shared" si="27"/>
        <v>10</v>
      </c>
      <c r="D203" s="148">
        <f t="shared" si="27"/>
        <v>56</v>
      </c>
      <c r="E203" s="148">
        <f t="shared" si="27"/>
        <v>70</v>
      </c>
      <c r="F203" s="148">
        <f t="shared" si="27"/>
        <v>9</v>
      </c>
      <c r="G203" s="148">
        <f t="shared" si="27"/>
        <v>50</v>
      </c>
      <c r="H203" s="148">
        <f t="shared" si="27"/>
        <v>39</v>
      </c>
      <c r="I203" s="148">
        <f t="shared" si="27"/>
        <v>39</v>
      </c>
      <c r="J203" s="148">
        <f t="shared" si="27"/>
        <v>100</v>
      </c>
      <c r="K203" s="148">
        <f t="shared" si="27"/>
        <v>26</v>
      </c>
      <c r="L203" s="148">
        <f t="shared" si="27"/>
        <v>7</v>
      </c>
      <c r="M203" s="148">
        <f t="shared" si="27"/>
        <v>12</v>
      </c>
      <c r="N203" s="148">
        <f t="shared" si="27"/>
        <v>10</v>
      </c>
      <c r="O203" s="148">
        <f t="shared" si="27"/>
        <v>105</v>
      </c>
      <c r="P203" s="148">
        <f t="shared" si="11"/>
        <v>573</v>
      </c>
      <c r="R203" s="148">
        <f>'Fuel Ethanol'!R30</f>
        <v>137726.64777135264</v>
      </c>
      <c r="S203" s="157">
        <f t="shared" si="12"/>
        <v>36.383248541758235</v>
      </c>
      <c r="T203" s="154">
        <f t="shared" si="13"/>
        <v>0.77253552750097465</v>
      </c>
      <c r="V203" s="149">
        <f t="shared" si="14"/>
        <v>455</v>
      </c>
      <c r="W203" s="149">
        <f t="shared" si="15"/>
        <v>108</v>
      </c>
      <c r="X203" s="149">
        <f t="shared" si="16"/>
        <v>10</v>
      </c>
      <c r="Y203" s="149">
        <f t="shared" ref="Y203:Y266" si="30">SUM(V203:X203)</f>
        <v>573</v>
      </c>
      <c r="AA203" s="158">
        <f t="shared" si="17"/>
        <v>0.79406631762652702</v>
      </c>
      <c r="AB203" s="158">
        <f t="shared" si="17"/>
        <v>0.18848167539267016</v>
      </c>
      <c r="AC203" s="158">
        <f t="shared" si="17"/>
        <v>1.7452006980802792E-2</v>
      </c>
      <c r="AE203" s="148"/>
      <c r="AF203" s="161">
        <f t="shared" si="29"/>
        <v>362680.172464562</v>
      </c>
      <c r="AG203" s="161">
        <f t="shared" si="18"/>
        <v>287992.10902508849</v>
      </c>
      <c r="AH203" s="162">
        <f t="shared" si="19"/>
        <v>11.337644548888781</v>
      </c>
      <c r="AI203" s="159"/>
      <c r="AJ203" s="157"/>
      <c r="AK203" s="157">
        <f t="shared" si="22"/>
        <v>10.770762321444341</v>
      </c>
      <c r="AN203" s="161">
        <f t="shared" si="23"/>
        <v>108804.05173936859</v>
      </c>
    </row>
    <row r="204" spans="1:40">
      <c r="A204" s="156">
        <f>'BD Plant List'!A203</f>
        <v>45809</v>
      </c>
      <c r="B204" s="148">
        <f t="shared" si="27"/>
        <v>40</v>
      </c>
      <c r="C204" s="148">
        <f t="shared" si="27"/>
        <v>10</v>
      </c>
      <c r="D204" s="148">
        <f t="shared" si="27"/>
        <v>56</v>
      </c>
      <c r="E204" s="148">
        <f t="shared" si="27"/>
        <v>70</v>
      </c>
      <c r="F204" s="148">
        <f t="shared" si="27"/>
        <v>9</v>
      </c>
      <c r="G204" s="148">
        <f t="shared" si="27"/>
        <v>50</v>
      </c>
      <c r="H204" s="148">
        <f t="shared" si="27"/>
        <v>39</v>
      </c>
      <c r="I204" s="148">
        <f t="shared" si="27"/>
        <v>39</v>
      </c>
      <c r="J204" s="148">
        <f t="shared" si="27"/>
        <v>100</v>
      </c>
      <c r="K204" s="148">
        <f t="shared" si="27"/>
        <v>26</v>
      </c>
      <c r="L204" s="148">
        <f t="shared" si="27"/>
        <v>7</v>
      </c>
      <c r="M204" s="148">
        <f t="shared" si="27"/>
        <v>12</v>
      </c>
      <c r="N204" s="148">
        <f t="shared" si="27"/>
        <v>10</v>
      </c>
      <c r="O204" s="148">
        <f t="shared" si="27"/>
        <v>105</v>
      </c>
      <c r="P204" s="148">
        <f t="shared" ref="P204:P267" si="31">SUM(B204:O204)</f>
        <v>573</v>
      </c>
      <c r="R204" s="148">
        <f>'Fuel Ethanol'!R31</f>
        <v>135298.33280867556</v>
      </c>
      <c r="S204" s="157">
        <f t="shared" ref="S204:S267" si="32">R204*264.17/1000000</f>
        <v>35.741760578067826</v>
      </c>
      <c r="T204" s="154">
        <f t="shared" ref="T204:T267" si="33">S204/((P204/365)*(A204-A203))</f>
        <v>0.73443351973173199</v>
      </c>
      <c r="V204" s="149">
        <f t="shared" ref="V204:V267" si="34">O204+K204+J204+I204+G204+F204+E204+D204</f>
        <v>455</v>
      </c>
      <c r="W204" s="149">
        <f t="shared" ref="W204:W267" si="35">B204+H204+L204+M204+N204</f>
        <v>108</v>
      </c>
      <c r="X204" s="149">
        <f t="shared" ref="X204:X267" si="36">C204</f>
        <v>10</v>
      </c>
      <c r="Y204" s="149">
        <f t="shared" si="30"/>
        <v>573</v>
      </c>
      <c r="AA204" s="158">
        <f t="shared" ref="AA204:AC267" si="37">V204/$Y204</f>
        <v>0.79406631762652702</v>
      </c>
      <c r="AB204" s="158">
        <f t="shared" si="37"/>
        <v>0.18848167539267016</v>
      </c>
      <c r="AC204" s="158">
        <f t="shared" si="37"/>
        <v>1.7452006980802792E-2</v>
      </c>
      <c r="AE204" s="148"/>
      <c r="AF204" s="161">
        <f t="shared" si="29"/>
        <v>356285.6097295123</v>
      </c>
      <c r="AG204" s="161">
        <f t="shared" ref="AG204:AG267" si="38">AF204*AA204</f>
        <v>282914.40214123577</v>
      </c>
      <c r="AH204" s="162">
        <f t="shared" ref="AH204:AH267" si="39">AG204*39.3679/1000000</f>
        <v>11.137745892055955</v>
      </c>
      <c r="AI204" s="159"/>
      <c r="AJ204" s="157"/>
      <c r="AK204" s="157">
        <f t="shared" ref="AK204:AK267" si="40">AH204*$AM$6</f>
        <v>10.580858597453156</v>
      </c>
      <c r="AN204" s="161">
        <f t="shared" ref="AN204:AN267" si="41">R204*0.79</f>
        <v>106885.68291885369</v>
      </c>
    </row>
    <row r="205" spans="1:40">
      <c r="A205" s="156">
        <f>'BD Plant List'!A204</f>
        <v>45839</v>
      </c>
      <c r="B205" s="148">
        <f t="shared" si="27"/>
        <v>40</v>
      </c>
      <c r="C205" s="148">
        <f t="shared" si="27"/>
        <v>10</v>
      </c>
      <c r="D205" s="148">
        <f t="shared" si="27"/>
        <v>56</v>
      </c>
      <c r="E205" s="148">
        <f t="shared" si="27"/>
        <v>70</v>
      </c>
      <c r="F205" s="148">
        <f t="shared" si="27"/>
        <v>9</v>
      </c>
      <c r="G205" s="148">
        <f t="shared" si="27"/>
        <v>50</v>
      </c>
      <c r="H205" s="148">
        <f t="shared" si="27"/>
        <v>39</v>
      </c>
      <c r="I205" s="148">
        <f t="shared" si="27"/>
        <v>39</v>
      </c>
      <c r="J205" s="148">
        <f t="shared" si="27"/>
        <v>100</v>
      </c>
      <c r="K205" s="148">
        <f t="shared" si="27"/>
        <v>26</v>
      </c>
      <c r="L205" s="148">
        <f t="shared" si="27"/>
        <v>7</v>
      </c>
      <c r="M205" s="148">
        <f t="shared" si="27"/>
        <v>12</v>
      </c>
      <c r="N205" s="148">
        <f t="shared" si="27"/>
        <v>10</v>
      </c>
      <c r="O205" s="148">
        <f t="shared" si="27"/>
        <v>105</v>
      </c>
      <c r="P205" s="148">
        <f t="shared" si="31"/>
        <v>573</v>
      </c>
      <c r="R205" s="148">
        <f>'Fuel Ethanol'!R32</f>
        <v>149686.49031063766</v>
      </c>
      <c r="S205" s="157">
        <f t="shared" si="32"/>
        <v>39.542680145361153</v>
      </c>
      <c r="T205" s="154">
        <f t="shared" si="33"/>
        <v>0.83962060808940198</v>
      </c>
      <c r="V205" s="149">
        <f t="shared" si="34"/>
        <v>455</v>
      </c>
      <c r="W205" s="149">
        <f t="shared" si="35"/>
        <v>108</v>
      </c>
      <c r="X205" s="149">
        <f t="shared" si="36"/>
        <v>10</v>
      </c>
      <c r="Y205" s="149">
        <f t="shared" si="30"/>
        <v>573</v>
      </c>
      <c r="AA205" s="158">
        <f t="shared" si="37"/>
        <v>0.79406631762652702</v>
      </c>
      <c r="AB205" s="158">
        <f t="shared" si="37"/>
        <v>0.18848167539267016</v>
      </c>
      <c r="AC205" s="158">
        <f t="shared" si="37"/>
        <v>1.7452006980802792E-2</v>
      </c>
      <c r="AE205" s="148"/>
      <c r="AF205" s="161">
        <f t="shared" si="29"/>
        <v>394174.42448467918</v>
      </c>
      <c r="AG205" s="161">
        <f t="shared" si="38"/>
        <v>313000.63375310478</v>
      </c>
      <c r="AH205" s="162">
        <f t="shared" si="39"/>
        <v>12.322177649528854</v>
      </c>
      <c r="AI205" s="159"/>
      <c r="AJ205" s="157"/>
      <c r="AK205" s="157">
        <f t="shared" si="40"/>
        <v>11.706068767052411</v>
      </c>
      <c r="AN205" s="161">
        <f t="shared" si="41"/>
        <v>118252.32734540376</v>
      </c>
    </row>
    <row r="206" spans="1:40">
      <c r="A206" s="156">
        <f>'BD Plant List'!A205</f>
        <v>45870</v>
      </c>
      <c r="B206" s="148">
        <f t="shared" si="27"/>
        <v>40</v>
      </c>
      <c r="C206" s="148">
        <f t="shared" si="27"/>
        <v>10</v>
      </c>
      <c r="D206" s="148">
        <f t="shared" si="27"/>
        <v>56</v>
      </c>
      <c r="E206" s="148">
        <f t="shared" si="27"/>
        <v>70</v>
      </c>
      <c r="F206" s="148">
        <f t="shared" si="27"/>
        <v>9</v>
      </c>
      <c r="G206" s="148">
        <f t="shared" si="27"/>
        <v>50</v>
      </c>
      <c r="H206" s="148">
        <f t="shared" si="27"/>
        <v>39</v>
      </c>
      <c r="I206" s="148">
        <f t="shared" si="27"/>
        <v>39</v>
      </c>
      <c r="J206" s="148">
        <f t="shared" si="27"/>
        <v>100</v>
      </c>
      <c r="K206" s="148">
        <f t="shared" si="27"/>
        <v>26</v>
      </c>
      <c r="L206" s="148">
        <f t="shared" si="27"/>
        <v>7</v>
      </c>
      <c r="M206" s="148">
        <f t="shared" si="27"/>
        <v>12</v>
      </c>
      <c r="N206" s="148">
        <f t="shared" si="27"/>
        <v>10</v>
      </c>
      <c r="O206" s="148">
        <f t="shared" si="27"/>
        <v>105</v>
      </c>
      <c r="P206" s="148">
        <f t="shared" si="31"/>
        <v>573</v>
      </c>
      <c r="R206" s="148">
        <f>'Fuel Ethanol'!R33</f>
        <v>148609.30466442188</v>
      </c>
      <c r="S206" s="157">
        <f t="shared" si="32"/>
        <v>39.258120013200333</v>
      </c>
      <c r="T206" s="154">
        <f t="shared" si="33"/>
        <v>0.80668883661645674</v>
      </c>
      <c r="V206" s="149">
        <f t="shared" si="34"/>
        <v>455</v>
      </c>
      <c r="W206" s="149">
        <f t="shared" si="35"/>
        <v>108</v>
      </c>
      <c r="X206" s="149">
        <f t="shared" si="36"/>
        <v>10</v>
      </c>
      <c r="Y206" s="149">
        <f t="shared" si="30"/>
        <v>573</v>
      </c>
      <c r="AA206" s="158">
        <f t="shared" si="37"/>
        <v>0.79406631762652702</v>
      </c>
      <c r="AB206" s="158">
        <f t="shared" si="37"/>
        <v>0.18848167539267016</v>
      </c>
      <c r="AC206" s="158">
        <f t="shared" si="37"/>
        <v>1.7452006980802792E-2</v>
      </c>
      <c r="AE206" s="148"/>
      <c r="AF206" s="161">
        <f t="shared" si="29"/>
        <v>391337.835616311</v>
      </c>
      <c r="AG206" s="161">
        <f t="shared" si="38"/>
        <v>310748.19407577923</v>
      </c>
      <c r="AH206" s="162">
        <f t="shared" si="39"/>
        <v>12.233503829555868</v>
      </c>
      <c r="AI206" s="159"/>
      <c r="AJ206" s="157"/>
      <c r="AK206" s="157">
        <f t="shared" si="40"/>
        <v>11.621828638078075</v>
      </c>
      <c r="AN206" s="161">
        <f t="shared" si="41"/>
        <v>117401.35068489329</v>
      </c>
    </row>
    <row r="207" spans="1:40">
      <c r="A207" s="156">
        <f>'BD Plant List'!A206</f>
        <v>45901</v>
      </c>
      <c r="B207" s="148">
        <f t="shared" si="27"/>
        <v>40</v>
      </c>
      <c r="C207" s="148">
        <f t="shared" si="27"/>
        <v>10</v>
      </c>
      <c r="D207" s="148">
        <f t="shared" si="27"/>
        <v>56</v>
      </c>
      <c r="E207" s="148">
        <f t="shared" si="27"/>
        <v>70</v>
      </c>
      <c r="F207" s="148">
        <f t="shared" si="27"/>
        <v>9</v>
      </c>
      <c r="G207" s="148">
        <f t="shared" si="27"/>
        <v>50</v>
      </c>
      <c r="H207" s="148">
        <f t="shared" si="27"/>
        <v>39</v>
      </c>
      <c r="I207" s="148">
        <f t="shared" si="27"/>
        <v>39</v>
      </c>
      <c r="J207" s="148">
        <f t="shared" si="27"/>
        <v>100</v>
      </c>
      <c r="K207" s="148">
        <f t="shared" si="27"/>
        <v>26</v>
      </c>
      <c r="L207" s="148">
        <f t="shared" si="27"/>
        <v>7</v>
      </c>
      <c r="M207" s="148">
        <f t="shared" si="27"/>
        <v>12</v>
      </c>
      <c r="N207" s="148">
        <f t="shared" si="27"/>
        <v>10</v>
      </c>
      <c r="O207" s="148">
        <f t="shared" si="27"/>
        <v>105</v>
      </c>
      <c r="P207" s="148">
        <f t="shared" si="31"/>
        <v>573</v>
      </c>
      <c r="R207" s="148">
        <f>'Fuel Ethanol'!R34</f>
        <v>132707.36379179015</v>
      </c>
      <c r="S207" s="157">
        <f t="shared" si="32"/>
        <v>35.057304292877205</v>
      </c>
      <c r="T207" s="154">
        <f t="shared" si="33"/>
        <v>0.72036908556551138</v>
      </c>
      <c r="V207" s="149">
        <f t="shared" si="34"/>
        <v>455</v>
      </c>
      <c r="W207" s="149">
        <f t="shared" si="35"/>
        <v>108</v>
      </c>
      <c r="X207" s="149">
        <f t="shared" si="36"/>
        <v>10</v>
      </c>
      <c r="Y207" s="149">
        <f t="shared" si="30"/>
        <v>573</v>
      </c>
      <c r="AA207" s="158">
        <f t="shared" si="37"/>
        <v>0.79406631762652702</v>
      </c>
      <c r="AB207" s="158">
        <f t="shared" si="37"/>
        <v>0.18848167539267016</v>
      </c>
      <c r="AC207" s="158">
        <f t="shared" si="37"/>
        <v>1.7452006980802792E-2</v>
      </c>
      <c r="AE207" s="148"/>
      <c r="AF207" s="161">
        <f t="shared" si="29"/>
        <v>349462.72465171409</v>
      </c>
      <c r="AG207" s="161">
        <f t="shared" si="38"/>
        <v>277496.57891191955</v>
      </c>
      <c r="AH207" s="162">
        <f t="shared" si="39"/>
        <v>10.924457568946558</v>
      </c>
      <c r="AI207" s="159"/>
      <c r="AJ207" s="157"/>
      <c r="AK207" s="157">
        <f t="shared" si="40"/>
        <v>10.37823469049923</v>
      </c>
      <c r="AN207" s="161">
        <f t="shared" si="41"/>
        <v>104838.81739551423</v>
      </c>
    </row>
    <row r="208" spans="1:40">
      <c r="A208" s="156">
        <f>'BD Plant List'!A207</f>
        <v>45931</v>
      </c>
      <c r="B208" s="148">
        <f t="shared" si="27"/>
        <v>40</v>
      </c>
      <c r="C208" s="148">
        <f t="shared" si="27"/>
        <v>10</v>
      </c>
      <c r="D208" s="148">
        <f t="shared" si="27"/>
        <v>56</v>
      </c>
      <c r="E208" s="148">
        <f t="shared" si="27"/>
        <v>70</v>
      </c>
      <c r="F208" s="148">
        <f t="shared" si="27"/>
        <v>9</v>
      </c>
      <c r="G208" s="148">
        <f t="shared" si="27"/>
        <v>50</v>
      </c>
      <c r="H208" s="148">
        <f t="shared" si="27"/>
        <v>39</v>
      </c>
      <c r="I208" s="148">
        <f t="shared" si="27"/>
        <v>39</v>
      </c>
      <c r="J208" s="148">
        <f t="shared" si="27"/>
        <v>100</v>
      </c>
      <c r="K208" s="148">
        <f t="shared" si="27"/>
        <v>26</v>
      </c>
      <c r="L208" s="148">
        <f t="shared" si="27"/>
        <v>7</v>
      </c>
      <c r="M208" s="148">
        <f t="shared" si="27"/>
        <v>12</v>
      </c>
      <c r="N208" s="148">
        <f t="shared" si="27"/>
        <v>10</v>
      </c>
      <c r="O208" s="148">
        <f t="shared" si="27"/>
        <v>105</v>
      </c>
      <c r="P208" s="148">
        <f t="shared" si="31"/>
        <v>573</v>
      </c>
      <c r="R208" s="148">
        <f>'Fuel Ethanol'!R35</f>
        <v>129283.06791372014</v>
      </c>
      <c r="S208" s="157">
        <f t="shared" si="32"/>
        <v>34.152708050767451</v>
      </c>
      <c r="T208" s="154">
        <f t="shared" si="33"/>
        <v>0.72517384750029779</v>
      </c>
      <c r="V208" s="149">
        <f t="shared" si="34"/>
        <v>455</v>
      </c>
      <c r="W208" s="149">
        <f t="shared" si="35"/>
        <v>108</v>
      </c>
      <c r="X208" s="149">
        <f t="shared" si="36"/>
        <v>10</v>
      </c>
      <c r="Y208" s="149">
        <f t="shared" si="30"/>
        <v>573</v>
      </c>
      <c r="AA208" s="158">
        <f t="shared" si="37"/>
        <v>0.79406631762652702</v>
      </c>
      <c r="AB208" s="158">
        <f t="shared" si="37"/>
        <v>0.18848167539267016</v>
      </c>
      <c r="AC208" s="158">
        <f t="shared" si="37"/>
        <v>1.7452006980802792E-2</v>
      </c>
      <c r="AE208" s="148"/>
      <c r="AF208" s="161">
        <f t="shared" si="29"/>
        <v>340445.41217279644</v>
      </c>
      <c r="AG208" s="161">
        <f t="shared" si="38"/>
        <v>270336.23479689768</v>
      </c>
      <c r="AH208" s="162">
        <f t="shared" si="39"/>
        <v>10.642569857860789</v>
      </c>
      <c r="AI208" s="159"/>
      <c r="AJ208" s="157"/>
      <c r="AK208" s="157">
        <f t="shared" si="40"/>
        <v>10.110441364967748</v>
      </c>
      <c r="AN208" s="161">
        <f t="shared" si="41"/>
        <v>102133.62365183892</v>
      </c>
    </row>
    <row r="209" spans="1:40">
      <c r="A209" s="156">
        <f>'BD Plant List'!A208</f>
        <v>45962</v>
      </c>
      <c r="B209" s="148">
        <f t="shared" si="27"/>
        <v>40</v>
      </c>
      <c r="C209" s="148">
        <f t="shared" si="27"/>
        <v>10</v>
      </c>
      <c r="D209" s="148">
        <f t="shared" si="27"/>
        <v>56</v>
      </c>
      <c r="E209" s="148">
        <f t="shared" si="27"/>
        <v>70</v>
      </c>
      <c r="F209" s="148">
        <f t="shared" si="27"/>
        <v>9</v>
      </c>
      <c r="G209" s="148">
        <f t="shared" si="27"/>
        <v>50</v>
      </c>
      <c r="H209" s="148">
        <f t="shared" si="27"/>
        <v>39</v>
      </c>
      <c r="I209" s="148">
        <f t="shared" si="27"/>
        <v>39</v>
      </c>
      <c r="J209" s="148">
        <f t="shared" si="27"/>
        <v>100</v>
      </c>
      <c r="K209" s="148">
        <f t="shared" si="27"/>
        <v>26</v>
      </c>
      <c r="L209" s="148">
        <f t="shared" si="27"/>
        <v>7</v>
      </c>
      <c r="M209" s="148">
        <f t="shared" si="27"/>
        <v>12</v>
      </c>
      <c r="N209" s="148">
        <f t="shared" si="27"/>
        <v>10</v>
      </c>
      <c r="O209" s="148">
        <f t="shared" si="27"/>
        <v>105</v>
      </c>
      <c r="P209" s="148">
        <f t="shared" si="31"/>
        <v>573</v>
      </c>
      <c r="R209" s="148">
        <f>'Fuel Ethanol'!R36</f>
        <v>147885.55527133553</v>
      </c>
      <c r="S209" s="157">
        <f t="shared" si="32"/>
        <v>39.06692713602871</v>
      </c>
      <c r="T209" s="154">
        <f t="shared" si="33"/>
        <v>0.80276014212973468</v>
      </c>
      <c r="V209" s="149">
        <f t="shared" si="34"/>
        <v>455</v>
      </c>
      <c r="W209" s="149">
        <f t="shared" si="35"/>
        <v>108</v>
      </c>
      <c r="X209" s="149">
        <f t="shared" si="36"/>
        <v>10</v>
      </c>
      <c r="Y209" s="149">
        <f t="shared" si="30"/>
        <v>573</v>
      </c>
      <c r="AA209" s="158">
        <f t="shared" si="37"/>
        <v>0.79406631762652702</v>
      </c>
      <c r="AB209" s="158">
        <f t="shared" si="37"/>
        <v>0.18848167539267016</v>
      </c>
      <c r="AC209" s="158">
        <f t="shared" si="37"/>
        <v>1.7452006980802792E-2</v>
      </c>
      <c r="AE209" s="148"/>
      <c r="AF209" s="161">
        <f t="shared" si="29"/>
        <v>389431.96221451694</v>
      </c>
      <c r="AG209" s="161">
        <f t="shared" si="38"/>
        <v>309234.80420175428</v>
      </c>
      <c r="AH209" s="162">
        <f t="shared" si="39"/>
        <v>12.173924848334241</v>
      </c>
      <c r="AI209" s="159"/>
      <c r="AJ209" s="157"/>
      <c r="AK209" s="157">
        <f t="shared" si="40"/>
        <v>11.565228605917529</v>
      </c>
      <c r="AN209" s="161">
        <f t="shared" si="41"/>
        <v>116829.58866435508</v>
      </c>
    </row>
    <row r="210" spans="1:40">
      <c r="A210" s="156">
        <f>'BD Plant List'!A209</f>
        <v>45992</v>
      </c>
      <c r="B210" s="148">
        <f t="shared" si="27"/>
        <v>40</v>
      </c>
      <c r="C210" s="148">
        <f t="shared" si="27"/>
        <v>10</v>
      </c>
      <c r="D210" s="148">
        <f t="shared" si="27"/>
        <v>56</v>
      </c>
      <c r="E210" s="148">
        <f t="shared" si="27"/>
        <v>70</v>
      </c>
      <c r="F210" s="148">
        <f t="shared" si="27"/>
        <v>9</v>
      </c>
      <c r="G210" s="148">
        <f t="shared" si="27"/>
        <v>50</v>
      </c>
      <c r="H210" s="148">
        <f t="shared" si="27"/>
        <v>39</v>
      </c>
      <c r="I210" s="148">
        <f t="shared" si="27"/>
        <v>39</v>
      </c>
      <c r="J210" s="148">
        <f t="shared" si="27"/>
        <v>100</v>
      </c>
      <c r="K210" s="148">
        <f t="shared" si="27"/>
        <v>26</v>
      </c>
      <c r="L210" s="148">
        <f t="shared" si="27"/>
        <v>7</v>
      </c>
      <c r="M210" s="148">
        <f t="shared" si="27"/>
        <v>12</v>
      </c>
      <c r="N210" s="148">
        <f t="shared" si="27"/>
        <v>10</v>
      </c>
      <c r="O210" s="148">
        <f t="shared" si="27"/>
        <v>105</v>
      </c>
      <c r="P210" s="148">
        <f t="shared" si="31"/>
        <v>573</v>
      </c>
      <c r="R210" s="148">
        <f>'Fuel Ethanol'!R37</f>
        <v>126677.02802304109</v>
      </c>
      <c r="S210" s="157">
        <f t="shared" si="32"/>
        <v>33.464270492846765</v>
      </c>
      <c r="T210" s="154">
        <f t="shared" si="33"/>
        <v>0.71055606340250543</v>
      </c>
      <c r="V210" s="149">
        <f t="shared" si="34"/>
        <v>455</v>
      </c>
      <c r="W210" s="149">
        <f t="shared" si="35"/>
        <v>108</v>
      </c>
      <c r="X210" s="149">
        <f t="shared" si="36"/>
        <v>10</v>
      </c>
      <c r="Y210" s="149">
        <f t="shared" si="30"/>
        <v>573</v>
      </c>
      <c r="AA210" s="158">
        <f t="shared" si="37"/>
        <v>0.79406631762652702</v>
      </c>
      <c r="AB210" s="158">
        <f t="shared" si="37"/>
        <v>0.18848167539267016</v>
      </c>
      <c r="AC210" s="158">
        <f t="shared" si="37"/>
        <v>1.7452006980802792E-2</v>
      </c>
      <c r="AE210" s="148"/>
      <c r="AF210" s="161">
        <f t="shared" si="29"/>
        <v>333582.8404606749</v>
      </c>
      <c r="AG210" s="161">
        <f t="shared" si="38"/>
        <v>264886.89774800534</v>
      </c>
      <c r="AH210" s="162">
        <f t="shared" si="39"/>
        <v>10.428040901853699</v>
      </c>
      <c r="AI210" s="159"/>
      <c r="AJ210" s="157"/>
      <c r="AK210" s="157">
        <f t="shared" si="40"/>
        <v>9.9066388567610133</v>
      </c>
      <c r="AN210" s="161">
        <f t="shared" si="41"/>
        <v>100074.85213820246</v>
      </c>
    </row>
    <row r="211" spans="1:40">
      <c r="A211" s="156">
        <f>'BD Plant List'!A210</f>
        <v>46023</v>
      </c>
      <c r="B211" s="148">
        <f t="shared" si="27"/>
        <v>40</v>
      </c>
      <c r="C211" s="148">
        <f t="shared" si="27"/>
        <v>10</v>
      </c>
      <c r="D211" s="148">
        <f t="shared" si="27"/>
        <v>56</v>
      </c>
      <c r="E211" s="148">
        <f t="shared" si="27"/>
        <v>70</v>
      </c>
      <c r="F211" s="148">
        <f t="shared" si="27"/>
        <v>9</v>
      </c>
      <c r="G211" s="148">
        <f t="shared" si="27"/>
        <v>50</v>
      </c>
      <c r="H211" s="148">
        <f t="shared" si="27"/>
        <v>39</v>
      </c>
      <c r="I211" s="148">
        <f t="shared" si="27"/>
        <v>39</v>
      </c>
      <c r="J211" s="148">
        <f t="shared" si="27"/>
        <v>100</v>
      </c>
      <c r="K211" s="148">
        <f t="shared" si="27"/>
        <v>26</v>
      </c>
      <c r="L211" s="148">
        <f t="shared" si="27"/>
        <v>7</v>
      </c>
      <c r="M211" s="148">
        <f t="shared" si="27"/>
        <v>12</v>
      </c>
      <c r="N211" s="148">
        <f t="shared" si="27"/>
        <v>10</v>
      </c>
      <c r="O211" s="148">
        <f t="shared" si="27"/>
        <v>105</v>
      </c>
      <c r="P211" s="148">
        <f t="shared" si="31"/>
        <v>573</v>
      </c>
      <c r="R211" s="148">
        <f>'Fuel Ethanol'!S26</f>
        <v>137128.22793053769</v>
      </c>
      <c r="S211" s="157">
        <f t="shared" si="32"/>
        <v>36.225163972410144</v>
      </c>
      <c r="T211" s="154">
        <f t="shared" si="33"/>
        <v>0.74436665258850987</v>
      </c>
      <c r="V211" s="149">
        <f t="shared" si="34"/>
        <v>455</v>
      </c>
      <c r="W211" s="149">
        <f t="shared" si="35"/>
        <v>108</v>
      </c>
      <c r="X211" s="149">
        <f t="shared" si="36"/>
        <v>10</v>
      </c>
      <c r="Y211" s="149">
        <f t="shared" si="30"/>
        <v>573</v>
      </c>
      <c r="AA211" s="158">
        <f t="shared" si="37"/>
        <v>0.79406631762652702</v>
      </c>
      <c r="AB211" s="158">
        <f t="shared" si="37"/>
        <v>0.18848167539267016</v>
      </c>
      <c r="AC211" s="158">
        <f t="shared" si="37"/>
        <v>1.7452006980802792E-2</v>
      </c>
      <c r="AE211" s="148"/>
      <c r="AF211" s="161">
        <f t="shared" si="29"/>
        <v>361104.33355041593</v>
      </c>
      <c r="AG211" s="161">
        <f t="shared" si="38"/>
        <v>286740.78842135996</v>
      </c>
      <c r="AH211" s="162">
        <f t="shared" si="39"/>
        <v>11.288382684493257</v>
      </c>
      <c r="AI211" s="159"/>
      <c r="AJ211" s="157"/>
      <c r="AK211" s="157">
        <f t="shared" si="40"/>
        <v>10.723963550268595</v>
      </c>
      <c r="AN211" s="161">
        <f t="shared" si="41"/>
        <v>108331.30006512477</v>
      </c>
    </row>
    <row r="212" spans="1:40">
      <c r="A212" s="156">
        <f>'BD Plant List'!A211</f>
        <v>46054</v>
      </c>
      <c r="B212" s="148">
        <f t="shared" si="27"/>
        <v>40</v>
      </c>
      <c r="C212" s="148">
        <f t="shared" si="27"/>
        <v>10</v>
      </c>
      <c r="D212" s="148">
        <f t="shared" si="27"/>
        <v>56</v>
      </c>
      <c r="E212" s="148">
        <f t="shared" si="27"/>
        <v>70</v>
      </c>
      <c r="F212" s="148">
        <f t="shared" si="27"/>
        <v>9</v>
      </c>
      <c r="G212" s="148">
        <f t="shared" si="27"/>
        <v>50</v>
      </c>
      <c r="H212" s="148">
        <f t="shared" si="27"/>
        <v>39</v>
      </c>
      <c r="I212" s="148">
        <f t="shared" si="27"/>
        <v>39</v>
      </c>
      <c r="J212" s="148">
        <f t="shared" si="27"/>
        <v>100</v>
      </c>
      <c r="K212" s="148">
        <f t="shared" si="27"/>
        <v>26</v>
      </c>
      <c r="L212" s="148">
        <f t="shared" si="27"/>
        <v>7</v>
      </c>
      <c r="M212" s="148">
        <f t="shared" si="27"/>
        <v>12</v>
      </c>
      <c r="N212" s="148">
        <f t="shared" si="27"/>
        <v>10</v>
      </c>
      <c r="O212" s="148">
        <f t="shared" si="27"/>
        <v>105</v>
      </c>
      <c r="P212" s="148">
        <f t="shared" si="31"/>
        <v>573</v>
      </c>
      <c r="R212" s="148">
        <f>'Fuel Ethanol'!S27</f>
        <v>128318.24252121904</v>
      </c>
      <c r="S212" s="157">
        <f t="shared" si="32"/>
        <v>33.897830126830435</v>
      </c>
      <c r="T212" s="154">
        <f t="shared" si="33"/>
        <v>0.69654382684755434</v>
      </c>
      <c r="V212" s="149">
        <f t="shared" si="34"/>
        <v>455</v>
      </c>
      <c r="W212" s="149">
        <f t="shared" si="35"/>
        <v>108</v>
      </c>
      <c r="X212" s="149">
        <f t="shared" si="36"/>
        <v>10</v>
      </c>
      <c r="Y212" s="149">
        <f t="shared" si="30"/>
        <v>573</v>
      </c>
      <c r="AA212" s="158">
        <f t="shared" si="37"/>
        <v>0.79406631762652702</v>
      </c>
      <c r="AB212" s="158">
        <f t="shared" si="37"/>
        <v>0.18848167539267016</v>
      </c>
      <c r="AC212" s="158">
        <f t="shared" si="37"/>
        <v>1.7452006980802792E-2</v>
      </c>
      <c r="AE212" s="148"/>
      <c r="AF212" s="161">
        <f t="shared" si="29"/>
        <v>337904.70530587685</v>
      </c>
      <c r="AG212" s="161">
        <f t="shared" si="38"/>
        <v>268318.74505091441</v>
      </c>
      <c r="AH212" s="162">
        <f t="shared" si="39"/>
        <v>10.563145523289894</v>
      </c>
      <c r="AI212" s="159"/>
      <c r="AJ212" s="157"/>
      <c r="AK212" s="157">
        <f t="shared" si="40"/>
        <v>10.034988247125398</v>
      </c>
      <c r="AN212" s="161">
        <f t="shared" si="41"/>
        <v>101371.41159176306</v>
      </c>
    </row>
    <row r="213" spans="1:40">
      <c r="A213" s="156">
        <f>'BD Plant List'!A212</f>
        <v>46082</v>
      </c>
      <c r="B213" s="148">
        <f t="shared" si="27"/>
        <v>40</v>
      </c>
      <c r="C213" s="148">
        <f t="shared" si="27"/>
        <v>10</v>
      </c>
      <c r="D213" s="148">
        <f t="shared" si="27"/>
        <v>56</v>
      </c>
      <c r="E213" s="148">
        <f t="shared" si="27"/>
        <v>70</v>
      </c>
      <c r="F213" s="148">
        <f t="shared" si="27"/>
        <v>9</v>
      </c>
      <c r="G213" s="148">
        <f t="shared" si="27"/>
        <v>50</v>
      </c>
      <c r="H213" s="148">
        <f t="shared" si="27"/>
        <v>39</v>
      </c>
      <c r="I213" s="148">
        <f t="shared" si="27"/>
        <v>39</v>
      </c>
      <c r="J213" s="148">
        <f t="shared" si="27"/>
        <v>100</v>
      </c>
      <c r="K213" s="148">
        <f t="shared" si="27"/>
        <v>26</v>
      </c>
      <c r="L213" s="148">
        <f t="shared" si="27"/>
        <v>7</v>
      </c>
      <c r="M213" s="148">
        <f t="shared" si="27"/>
        <v>12</v>
      </c>
      <c r="N213" s="148">
        <f t="shared" si="27"/>
        <v>10</v>
      </c>
      <c r="O213" s="148">
        <f t="shared" si="27"/>
        <v>105</v>
      </c>
      <c r="P213" s="148">
        <f t="shared" si="31"/>
        <v>573</v>
      </c>
      <c r="R213" s="148">
        <f>'Fuel Ethanol'!S28</f>
        <v>142004.9237725494</v>
      </c>
      <c r="S213" s="157">
        <f t="shared" si="32"/>
        <v>37.513440712994374</v>
      </c>
      <c r="T213" s="154">
        <f t="shared" si="33"/>
        <v>0.8534284380605176</v>
      </c>
      <c r="V213" s="149">
        <f t="shared" si="34"/>
        <v>455</v>
      </c>
      <c r="W213" s="149">
        <f t="shared" si="35"/>
        <v>108</v>
      </c>
      <c r="X213" s="149">
        <f t="shared" si="36"/>
        <v>10</v>
      </c>
      <c r="Y213" s="149">
        <f t="shared" si="30"/>
        <v>573</v>
      </c>
      <c r="AA213" s="158">
        <f t="shared" si="37"/>
        <v>0.79406631762652702</v>
      </c>
      <c r="AB213" s="158">
        <f t="shared" si="37"/>
        <v>0.18848167539267016</v>
      </c>
      <c r="AC213" s="158">
        <f t="shared" si="37"/>
        <v>1.7452006980802792E-2</v>
      </c>
      <c r="AE213" s="148"/>
      <c r="AF213" s="161">
        <f t="shared" si="29"/>
        <v>373946.29926771345</v>
      </c>
      <c r="AG213" s="161">
        <f t="shared" si="38"/>
        <v>296938.16084958048</v>
      </c>
      <c r="AH213" s="162">
        <f t="shared" si="39"/>
        <v>11.6898318225102</v>
      </c>
      <c r="AI213" s="159"/>
      <c r="AJ213" s="157"/>
      <c r="AK213" s="157">
        <f t="shared" si="40"/>
        <v>11.105340231384689</v>
      </c>
      <c r="AN213" s="161">
        <f t="shared" si="41"/>
        <v>112183.88978031403</v>
      </c>
    </row>
    <row r="214" spans="1:40">
      <c r="A214" s="156">
        <f>'BD Plant List'!A213</f>
        <v>46113</v>
      </c>
      <c r="B214" s="148">
        <f t="shared" si="27"/>
        <v>40</v>
      </c>
      <c r="C214" s="148">
        <f t="shared" si="27"/>
        <v>10</v>
      </c>
      <c r="D214" s="148">
        <f t="shared" si="27"/>
        <v>56</v>
      </c>
      <c r="E214" s="148">
        <f t="shared" si="27"/>
        <v>70</v>
      </c>
      <c r="F214" s="148">
        <f t="shared" si="27"/>
        <v>9</v>
      </c>
      <c r="G214" s="148">
        <f t="shared" si="27"/>
        <v>50</v>
      </c>
      <c r="H214" s="148">
        <f t="shared" si="27"/>
        <v>39</v>
      </c>
      <c r="I214" s="148">
        <f t="shared" si="27"/>
        <v>39</v>
      </c>
      <c r="J214" s="148">
        <f t="shared" si="27"/>
        <v>100</v>
      </c>
      <c r="K214" s="148">
        <f t="shared" si="27"/>
        <v>26</v>
      </c>
      <c r="L214" s="148">
        <f t="shared" si="27"/>
        <v>7</v>
      </c>
      <c r="M214" s="148">
        <f t="shared" si="27"/>
        <v>12</v>
      </c>
      <c r="N214" s="148">
        <f t="shared" si="27"/>
        <v>10</v>
      </c>
      <c r="O214" s="148">
        <f t="shared" si="27"/>
        <v>105</v>
      </c>
      <c r="P214" s="148">
        <f t="shared" si="31"/>
        <v>573</v>
      </c>
      <c r="R214" s="148">
        <f>'Fuel Ethanol'!S29</f>
        <v>127707.03271276213</v>
      </c>
      <c r="S214" s="157">
        <f t="shared" si="32"/>
        <v>33.736366831730372</v>
      </c>
      <c r="T214" s="154">
        <f t="shared" si="33"/>
        <v>0.69322602564778391</v>
      </c>
      <c r="V214" s="149">
        <f t="shared" si="34"/>
        <v>455</v>
      </c>
      <c r="W214" s="149">
        <f t="shared" si="35"/>
        <v>108</v>
      </c>
      <c r="X214" s="149">
        <f t="shared" si="36"/>
        <v>10</v>
      </c>
      <c r="Y214" s="149">
        <f t="shared" si="30"/>
        <v>573</v>
      </c>
      <c r="AA214" s="158">
        <f t="shared" si="37"/>
        <v>0.79406631762652702</v>
      </c>
      <c r="AB214" s="158">
        <f t="shared" si="37"/>
        <v>0.18848167539267016</v>
      </c>
      <c r="AC214" s="158">
        <f t="shared" si="37"/>
        <v>1.7452006980802792E-2</v>
      </c>
      <c r="AE214" s="148"/>
      <c r="AF214" s="161">
        <f t="shared" si="29"/>
        <v>336295.18614360696</v>
      </c>
      <c r="AG214" s="161">
        <f t="shared" si="38"/>
        <v>267040.6800965814</v>
      </c>
      <c r="AH214" s="162">
        <f t="shared" si="39"/>
        <v>10.512830789974208</v>
      </c>
      <c r="AI214" s="159"/>
      <c r="AJ214" s="157"/>
      <c r="AK214" s="157">
        <f t="shared" si="40"/>
        <v>9.9871892504754971</v>
      </c>
      <c r="AN214" s="161">
        <f t="shared" si="41"/>
        <v>100888.55584308208</v>
      </c>
    </row>
    <row r="215" spans="1:40">
      <c r="A215" s="156">
        <f>'BD Plant List'!A214</f>
        <v>46143</v>
      </c>
      <c r="B215" s="148">
        <f t="shared" si="27"/>
        <v>40</v>
      </c>
      <c r="C215" s="148">
        <f t="shared" si="27"/>
        <v>10</v>
      </c>
      <c r="D215" s="148">
        <f t="shared" si="27"/>
        <v>56</v>
      </c>
      <c r="E215" s="148">
        <f t="shared" si="27"/>
        <v>70</v>
      </c>
      <c r="F215" s="148">
        <f t="shared" si="27"/>
        <v>9</v>
      </c>
      <c r="G215" s="148">
        <f t="shared" si="27"/>
        <v>50</v>
      </c>
      <c r="H215" s="148">
        <f t="shared" si="27"/>
        <v>39</v>
      </c>
      <c r="I215" s="148">
        <f t="shared" si="27"/>
        <v>39</v>
      </c>
      <c r="J215" s="148">
        <f t="shared" si="27"/>
        <v>100</v>
      </c>
      <c r="K215" s="148">
        <f t="shared" si="27"/>
        <v>26</v>
      </c>
      <c r="L215" s="148">
        <f t="shared" si="27"/>
        <v>7</v>
      </c>
      <c r="M215" s="148">
        <f t="shared" si="27"/>
        <v>12</v>
      </c>
      <c r="N215" s="148">
        <f t="shared" ref="N215:Z234" si="42">N$4</f>
        <v>10</v>
      </c>
      <c r="O215" s="148">
        <f t="shared" si="42"/>
        <v>105</v>
      </c>
      <c r="P215" s="148">
        <f t="shared" si="31"/>
        <v>573</v>
      </c>
      <c r="R215" s="148">
        <f>'Fuel Ethanol'!S30</f>
        <v>131799.31280642323</v>
      </c>
      <c r="S215" s="157">
        <f t="shared" si="32"/>
        <v>34.817424464072822</v>
      </c>
      <c r="T215" s="154">
        <f t="shared" si="33"/>
        <v>0.73928795400736347</v>
      </c>
      <c r="V215" s="149">
        <f t="shared" si="34"/>
        <v>455</v>
      </c>
      <c r="W215" s="149">
        <f t="shared" si="35"/>
        <v>108</v>
      </c>
      <c r="X215" s="149">
        <f t="shared" si="36"/>
        <v>10</v>
      </c>
      <c r="Y215" s="149">
        <f t="shared" si="30"/>
        <v>573</v>
      </c>
      <c r="AA215" s="158">
        <f t="shared" si="37"/>
        <v>0.79406631762652702</v>
      </c>
      <c r="AB215" s="158">
        <f t="shared" si="37"/>
        <v>0.18848167539267016</v>
      </c>
      <c r="AC215" s="158">
        <f t="shared" si="37"/>
        <v>1.7452006980802792E-2</v>
      </c>
      <c r="AE215" s="148"/>
      <c r="AF215" s="161">
        <f t="shared" si="29"/>
        <v>347071.52372358122</v>
      </c>
      <c r="AG215" s="161">
        <f t="shared" si="38"/>
        <v>275597.80679621198</v>
      </c>
      <c r="AH215" s="162">
        <f t="shared" si="39"/>
        <v>10.849706898172593</v>
      </c>
      <c r="AI215" s="159"/>
      <c r="AJ215" s="157"/>
      <c r="AK215" s="157">
        <f t="shared" si="40"/>
        <v>10.307221553263963</v>
      </c>
      <c r="AN215" s="161">
        <f t="shared" si="41"/>
        <v>104121.45711707436</v>
      </c>
    </row>
    <row r="216" spans="1:40">
      <c r="A216" s="156">
        <f>'BD Plant List'!A215</f>
        <v>46174</v>
      </c>
      <c r="B216" s="148">
        <f t="shared" ref="B216:O279" si="43">B$4</f>
        <v>40</v>
      </c>
      <c r="C216" s="148">
        <f t="shared" si="43"/>
        <v>10</v>
      </c>
      <c r="D216" s="148">
        <f t="shared" si="43"/>
        <v>56</v>
      </c>
      <c r="E216" s="148">
        <f t="shared" si="43"/>
        <v>70</v>
      </c>
      <c r="F216" s="148">
        <f t="shared" si="43"/>
        <v>9</v>
      </c>
      <c r="G216" s="148">
        <f t="shared" si="43"/>
        <v>50</v>
      </c>
      <c r="H216" s="148">
        <f t="shared" si="43"/>
        <v>39</v>
      </c>
      <c r="I216" s="148">
        <f t="shared" si="43"/>
        <v>39</v>
      </c>
      <c r="J216" s="148">
        <f t="shared" si="43"/>
        <v>100</v>
      </c>
      <c r="K216" s="148">
        <f t="shared" si="43"/>
        <v>26</v>
      </c>
      <c r="L216" s="148">
        <f t="shared" si="43"/>
        <v>7</v>
      </c>
      <c r="M216" s="148">
        <f t="shared" si="43"/>
        <v>12</v>
      </c>
      <c r="N216" s="148">
        <f t="shared" si="43"/>
        <v>10</v>
      </c>
      <c r="O216" s="148">
        <f t="shared" si="43"/>
        <v>105</v>
      </c>
      <c r="P216" s="148">
        <f t="shared" si="31"/>
        <v>573</v>
      </c>
      <c r="R216" s="148">
        <f>'Fuel Ethanol'!S31</f>
        <v>131055.43848298427</v>
      </c>
      <c r="S216" s="157">
        <f t="shared" si="32"/>
        <v>34.620915184049956</v>
      </c>
      <c r="T216" s="154">
        <f t="shared" si="33"/>
        <v>0.71140201779982171</v>
      </c>
      <c r="V216" s="149">
        <f t="shared" si="34"/>
        <v>455</v>
      </c>
      <c r="W216" s="149">
        <f t="shared" si="35"/>
        <v>108</v>
      </c>
      <c r="X216" s="149">
        <f t="shared" si="36"/>
        <v>10</v>
      </c>
      <c r="Y216" s="149">
        <f t="shared" si="30"/>
        <v>573</v>
      </c>
      <c r="AA216" s="158">
        <f t="shared" si="37"/>
        <v>0.79406631762652702</v>
      </c>
      <c r="AB216" s="158">
        <f t="shared" si="37"/>
        <v>0.18848167539267016</v>
      </c>
      <c r="AC216" s="158">
        <f t="shared" si="37"/>
        <v>1.7452006980802792E-2</v>
      </c>
      <c r="AE216" s="148"/>
      <c r="AF216" s="161">
        <f t="shared" si="29"/>
        <v>345112.65467185865</v>
      </c>
      <c r="AG216" s="161">
        <f t="shared" si="38"/>
        <v>274042.33486159804</v>
      </c>
      <c r="AH216" s="162">
        <f t="shared" si="39"/>
        <v>10.788471234597905</v>
      </c>
      <c r="AI216" s="159"/>
      <c r="AJ216" s="157"/>
      <c r="AK216" s="157">
        <f t="shared" si="40"/>
        <v>10.249047672868009</v>
      </c>
      <c r="AN216" s="161">
        <f t="shared" si="41"/>
        <v>103533.79640155759</v>
      </c>
    </row>
    <row r="217" spans="1:40">
      <c r="A217" s="156">
        <f>'BD Plant List'!A216</f>
        <v>46204</v>
      </c>
      <c r="B217" s="148">
        <f t="shared" si="43"/>
        <v>40</v>
      </c>
      <c r="C217" s="148">
        <f t="shared" si="43"/>
        <v>10</v>
      </c>
      <c r="D217" s="148">
        <f t="shared" si="43"/>
        <v>56</v>
      </c>
      <c r="E217" s="148">
        <f t="shared" si="43"/>
        <v>70</v>
      </c>
      <c r="F217" s="148">
        <f t="shared" si="43"/>
        <v>9</v>
      </c>
      <c r="G217" s="148">
        <f t="shared" si="43"/>
        <v>50</v>
      </c>
      <c r="H217" s="148">
        <f t="shared" si="43"/>
        <v>39</v>
      </c>
      <c r="I217" s="148">
        <f t="shared" si="43"/>
        <v>39</v>
      </c>
      <c r="J217" s="148">
        <f t="shared" si="43"/>
        <v>100</v>
      </c>
      <c r="K217" s="148">
        <f t="shared" si="43"/>
        <v>26</v>
      </c>
      <c r="L217" s="148">
        <f t="shared" si="43"/>
        <v>7</v>
      </c>
      <c r="M217" s="148">
        <f t="shared" si="43"/>
        <v>12</v>
      </c>
      <c r="N217" s="148">
        <f t="shared" si="43"/>
        <v>10</v>
      </c>
      <c r="O217" s="148">
        <f t="shared" si="43"/>
        <v>105</v>
      </c>
      <c r="P217" s="148">
        <f t="shared" si="31"/>
        <v>573</v>
      </c>
      <c r="R217" s="148">
        <f>'Fuel Ethanol'!S32</f>
        <v>143385.86160088089</v>
      </c>
      <c r="S217" s="157">
        <f t="shared" si="32"/>
        <v>37.878243059104705</v>
      </c>
      <c r="T217" s="154">
        <f t="shared" si="33"/>
        <v>0.80427915745044887</v>
      </c>
      <c r="V217" s="149">
        <f t="shared" si="34"/>
        <v>455</v>
      </c>
      <c r="W217" s="149">
        <f t="shared" si="35"/>
        <v>108</v>
      </c>
      <c r="X217" s="149">
        <f t="shared" si="36"/>
        <v>10</v>
      </c>
      <c r="Y217" s="149">
        <f t="shared" si="30"/>
        <v>573</v>
      </c>
      <c r="AA217" s="158">
        <f t="shared" si="37"/>
        <v>0.79406631762652702</v>
      </c>
      <c r="AB217" s="158">
        <f t="shared" si="37"/>
        <v>0.18848167539267016</v>
      </c>
      <c r="AC217" s="158">
        <f t="shared" si="37"/>
        <v>1.7452006980802792E-2</v>
      </c>
      <c r="AE217" s="148"/>
      <c r="AF217" s="161">
        <f t="shared" si="29"/>
        <v>377582.76888231974</v>
      </c>
      <c r="AG217" s="161">
        <f t="shared" si="38"/>
        <v>299825.75888561166</v>
      </c>
      <c r="AH217" s="162">
        <f t="shared" si="39"/>
        <v>11.803510493232871</v>
      </c>
      <c r="AI217" s="159"/>
      <c r="AJ217" s="157"/>
      <c r="AK217" s="157">
        <f t="shared" si="40"/>
        <v>11.213334968571226</v>
      </c>
      <c r="AN217" s="161">
        <f t="shared" si="41"/>
        <v>113274.83066469591</v>
      </c>
    </row>
    <row r="218" spans="1:40">
      <c r="A218" s="156">
        <f>'BD Plant List'!A217</f>
        <v>46235</v>
      </c>
      <c r="B218" s="148">
        <f t="shared" si="43"/>
        <v>40</v>
      </c>
      <c r="C218" s="148">
        <f t="shared" si="43"/>
        <v>10</v>
      </c>
      <c r="D218" s="148">
        <f t="shared" si="43"/>
        <v>56</v>
      </c>
      <c r="E218" s="148">
        <f t="shared" si="43"/>
        <v>70</v>
      </c>
      <c r="F218" s="148">
        <f t="shared" si="43"/>
        <v>9</v>
      </c>
      <c r="G218" s="148">
        <f t="shared" si="43"/>
        <v>50</v>
      </c>
      <c r="H218" s="148">
        <f t="shared" si="43"/>
        <v>39</v>
      </c>
      <c r="I218" s="148">
        <f t="shared" si="43"/>
        <v>39</v>
      </c>
      <c r="J218" s="148">
        <f t="shared" si="43"/>
        <v>100</v>
      </c>
      <c r="K218" s="148">
        <f t="shared" si="43"/>
        <v>26</v>
      </c>
      <c r="L218" s="148">
        <f t="shared" si="43"/>
        <v>7</v>
      </c>
      <c r="M218" s="148">
        <f t="shared" si="43"/>
        <v>12</v>
      </c>
      <c r="N218" s="148">
        <f t="shared" si="43"/>
        <v>10</v>
      </c>
      <c r="O218" s="148">
        <f t="shared" si="43"/>
        <v>105</v>
      </c>
      <c r="P218" s="148">
        <f t="shared" si="31"/>
        <v>573</v>
      </c>
      <c r="R218" s="148">
        <f>'Fuel Ethanol'!S33</f>
        <v>143729.10995109097</v>
      </c>
      <c r="S218" s="157">
        <f t="shared" si="32"/>
        <v>37.968918975779708</v>
      </c>
      <c r="T218" s="154">
        <f t="shared" si="33"/>
        <v>0.78019790723186355</v>
      </c>
      <c r="V218" s="149">
        <f t="shared" si="34"/>
        <v>455</v>
      </c>
      <c r="W218" s="149">
        <f t="shared" si="35"/>
        <v>108</v>
      </c>
      <c r="X218" s="149">
        <f t="shared" si="36"/>
        <v>10</v>
      </c>
      <c r="Y218" s="149">
        <f t="shared" si="30"/>
        <v>573</v>
      </c>
      <c r="AA218" s="158">
        <f t="shared" si="37"/>
        <v>0.79406631762652702</v>
      </c>
      <c r="AB218" s="158">
        <f t="shared" si="37"/>
        <v>0.18848167539267016</v>
      </c>
      <c r="AC218" s="158">
        <f t="shared" si="37"/>
        <v>1.7452006980802792E-2</v>
      </c>
      <c r="AE218" s="148"/>
      <c r="AF218" s="161">
        <f t="shared" si="29"/>
        <v>378486.65620453958</v>
      </c>
      <c r="AG218" s="161">
        <f t="shared" si="38"/>
        <v>300543.50536311604</v>
      </c>
      <c r="AH218" s="162">
        <f t="shared" si="39"/>
        <v>11.831766664784617</v>
      </c>
      <c r="AI218" s="159"/>
      <c r="AJ218" s="157"/>
      <c r="AK218" s="157">
        <f t="shared" si="40"/>
        <v>11.240178331545385</v>
      </c>
      <c r="AN218" s="161">
        <f t="shared" si="41"/>
        <v>113545.99686136187</v>
      </c>
    </row>
    <row r="219" spans="1:40">
      <c r="A219" s="156">
        <f>'BD Plant List'!A218</f>
        <v>46266</v>
      </c>
      <c r="B219" s="148">
        <f t="shared" si="43"/>
        <v>40</v>
      </c>
      <c r="C219" s="148">
        <f t="shared" si="43"/>
        <v>10</v>
      </c>
      <c r="D219" s="148">
        <f t="shared" si="43"/>
        <v>56</v>
      </c>
      <c r="E219" s="148">
        <f t="shared" si="43"/>
        <v>70</v>
      </c>
      <c r="F219" s="148">
        <f t="shared" si="43"/>
        <v>9</v>
      </c>
      <c r="G219" s="148">
        <f t="shared" si="43"/>
        <v>50</v>
      </c>
      <c r="H219" s="148">
        <f t="shared" si="43"/>
        <v>39</v>
      </c>
      <c r="I219" s="148">
        <f t="shared" si="43"/>
        <v>39</v>
      </c>
      <c r="J219" s="148">
        <f t="shared" si="43"/>
        <v>100</v>
      </c>
      <c r="K219" s="148">
        <f t="shared" si="43"/>
        <v>26</v>
      </c>
      <c r="L219" s="148">
        <f t="shared" si="43"/>
        <v>7</v>
      </c>
      <c r="M219" s="148">
        <f t="shared" si="43"/>
        <v>12</v>
      </c>
      <c r="N219" s="148">
        <f t="shared" si="43"/>
        <v>10</v>
      </c>
      <c r="O219" s="148">
        <f t="shared" si="43"/>
        <v>105</v>
      </c>
      <c r="P219" s="148">
        <f t="shared" si="31"/>
        <v>573</v>
      </c>
      <c r="R219" s="148">
        <f>'Fuel Ethanol'!S34</f>
        <v>126025.45789574044</v>
      </c>
      <c r="S219" s="157">
        <f t="shared" si="32"/>
        <v>33.292145212317756</v>
      </c>
      <c r="T219" s="154">
        <f t="shared" si="33"/>
        <v>0.68409801286359173</v>
      </c>
      <c r="V219" s="149">
        <f t="shared" si="34"/>
        <v>455</v>
      </c>
      <c r="W219" s="149">
        <f t="shared" si="35"/>
        <v>108</v>
      </c>
      <c r="X219" s="149">
        <f t="shared" si="36"/>
        <v>10</v>
      </c>
      <c r="Y219" s="149">
        <f t="shared" si="30"/>
        <v>573</v>
      </c>
      <c r="AA219" s="158">
        <f t="shared" si="37"/>
        <v>0.79406631762652702</v>
      </c>
      <c r="AB219" s="158">
        <f t="shared" si="37"/>
        <v>0.18848167539267016</v>
      </c>
      <c r="AC219" s="158">
        <f t="shared" si="37"/>
        <v>1.7452006980802792E-2</v>
      </c>
      <c r="AE219" s="148"/>
      <c r="AF219" s="161">
        <f t="shared" si="29"/>
        <v>331867.0391254499</v>
      </c>
      <c r="AG219" s="161">
        <f t="shared" si="38"/>
        <v>263524.43769996456</v>
      </c>
      <c r="AH219" s="162">
        <f t="shared" si="39"/>
        <v>10.374403710928435</v>
      </c>
      <c r="AI219" s="159"/>
      <c r="AJ219" s="157"/>
      <c r="AK219" s="157">
        <f t="shared" si="40"/>
        <v>9.8556835253820125</v>
      </c>
      <c r="AN219" s="161">
        <f t="shared" si="41"/>
        <v>99560.111737634958</v>
      </c>
    </row>
    <row r="220" spans="1:40">
      <c r="A220" s="156">
        <f>'BD Plant List'!A219</f>
        <v>46296</v>
      </c>
      <c r="B220" s="148">
        <f t="shared" si="43"/>
        <v>40</v>
      </c>
      <c r="C220" s="148">
        <f t="shared" si="43"/>
        <v>10</v>
      </c>
      <c r="D220" s="148">
        <f t="shared" si="43"/>
        <v>56</v>
      </c>
      <c r="E220" s="148">
        <f t="shared" si="43"/>
        <v>70</v>
      </c>
      <c r="F220" s="148">
        <f t="shared" si="43"/>
        <v>9</v>
      </c>
      <c r="G220" s="148">
        <f t="shared" si="43"/>
        <v>50</v>
      </c>
      <c r="H220" s="148">
        <f t="shared" si="43"/>
        <v>39</v>
      </c>
      <c r="I220" s="148">
        <f t="shared" si="43"/>
        <v>39</v>
      </c>
      <c r="J220" s="148">
        <f t="shared" si="43"/>
        <v>100</v>
      </c>
      <c r="K220" s="148">
        <f t="shared" si="43"/>
        <v>26</v>
      </c>
      <c r="L220" s="148">
        <f t="shared" si="43"/>
        <v>7</v>
      </c>
      <c r="M220" s="148">
        <f t="shared" si="43"/>
        <v>12</v>
      </c>
      <c r="N220" s="148">
        <f t="shared" si="43"/>
        <v>10</v>
      </c>
      <c r="O220" s="148">
        <f t="shared" si="43"/>
        <v>105</v>
      </c>
      <c r="P220" s="148">
        <f t="shared" si="31"/>
        <v>573</v>
      </c>
      <c r="R220" s="148">
        <f>'Fuel Ethanol'!S35</f>
        <v>126815.7639511271</v>
      </c>
      <c r="S220" s="157">
        <f t="shared" si="32"/>
        <v>33.500920362969246</v>
      </c>
      <c r="T220" s="154">
        <f t="shared" si="33"/>
        <v>0.7113342601793935</v>
      </c>
      <c r="V220" s="149">
        <f t="shared" si="34"/>
        <v>455</v>
      </c>
      <c r="W220" s="149">
        <f t="shared" si="35"/>
        <v>108</v>
      </c>
      <c r="X220" s="149">
        <f t="shared" si="36"/>
        <v>10</v>
      </c>
      <c r="Y220" s="149">
        <f t="shared" si="30"/>
        <v>573</v>
      </c>
      <c r="AA220" s="158">
        <f t="shared" si="37"/>
        <v>0.79406631762652702</v>
      </c>
      <c r="AB220" s="158">
        <f t="shared" si="37"/>
        <v>0.18848167539267016</v>
      </c>
      <c r="AC220" s="158">
        <f t="shared" si="37"/>
        <v>1.7452006980802792E-2</v>
      </c>
      <c r="AE220" s="148"/>
      <c r="AF220" s="161">
        <f t="shared" si="29"/>
        <v>333948.17840463476</v>
      </c>
      <c r="AG220" s="161">
        <f t="shared" si="38"/>
        <v>265177.00030385482</v>
      </c>
      <c r="AH220" s="162">
        <f t="shared" si="39"/>
        <v>10.439461630262125</v>
      </c>
      <c r="AI220" s="159"/>
      <c r="AJ220" s="157"/>
      <c r="AK220" s="157">
        <f t="shared" si="40"/>
        <v>9.9174885487490183</v>
      </c>
      <c r="AN220" s="161">
        <f t="shared" si="41"/>
        <v>100184.45352139042</v>
      </c>
    </row>
    <row r="221" spans="1:40">
      <c r="A221" s="156">
        <f>'BD Plant List'!A220</f>
        <v>46327</v>
      </c>
      <c r="B221" s="148">
        <f t="shared" si="43"/>
        <v>40</v>
      </c>
      <c r="C221" s="148">
        <f t="shared" si="43"/>
        <v>10</v>
      </c>
      <c r="D221" s="148">
        <f t="shared" si="43"/>
        <v>56</v>
      </c>
      <c r="E221" s="148">
        <f t="shared" si="43"/>
        <v>70</v>
      </c>
      <c r="F221" s="148">
        <f t="shared" si="43"/>
        <v>9</v>
      </c>
      <c r="G221" s="148">
        <f t="shared" si="43"/>
        <v>50</v>
      </c>
      <c r="H221" s="148">
        <f t="shared" si="43"/>
        <v>39</v>
      </c>
      <c r="I221" s="148">
        <f t="shared" si="43"/>
        <v>39</v>
      </c>
      <c r="J221" s="148">
        <f t="shared" si="43"/>
        <v>100</v>
      </c>
      <c r="K221" s="148">
        <f t="shared" si="43"/>
        <v>26</v>
      </c>
      <c r="L221" s="148">
        <f t="shared" si="43"/>
        <v>7</v>
      </c>
      <c r="M221" s="148">
        <f t="shared" si="43"/>
        <v>12</v>
      </c>
      <c r="N221" s="148">
        <f t="shared" si="43"/>
        <v>10</v>
      </c>
      <c r="O221" s="148">
        <f t="shared" si="43"/>
        <v>105</v>
      </c>
      <c r="P221" s="148">
        <f t="shared" si="31"/>
        <v>573</v>
      </c>
      <c r="R221" s="148">
        <f>'Fuel Ethanol'!S36</f>
        <v>141359.4597373576</v>
      </c>
      <c r="S221" s="157">
        <f t="shared" si="32"/>
        <v>37.342928478817761</v>
      </c>
      <c r="T221" s="154">
        <f t="shared" si="33"/>
        <v>0.76733484742264713</v>
      </c>
      <c r="V221" s="149">
        <f t="shared" si="34"/>
        <v>455</v>
      </c>
      <c r="W221" s="149">
        <f t="shared" si="35"/>
        <v>108</v>
      </c>
      <c r="X221" s="149">
        <f t="shared" si="36"/>
        <v>10</v>
      </c>
      <c r="Y221" s="149">
        <f t="shared" si="30"/>
        <v>573</v>
      </c>
      <c r="AA221" s="158">
        <f t="shared" si="37"/>
        <v>0.79406631762652702</v>
      </c>
      <c r="AB221" s="158">
        <f t="shared" si="37"/>
        <v>0.18848167539267016</v>
      </c>
      <c r="AC221" s="158">
        <f t="shared" si="37"/>
        <v>1.7452006980802792E-2</v>
      </c>
      <c r="AE221" s="148"/>
      <c r="AF221" s="161">
        <f t="shared" si="29"/>
        <v>372246.57730837504</v>
      </c>
      <c r="AG221" s="161">
        <f t="shared" si="38"/>
        <v>295588.46889233968</v>
      </c>
      <c r="AH221" s="162">
        <f t="shared" si="39"/>
        <v>11.636697284506738</v>
      </c>
      <c r="AI221" s="159"/>
      <c r="AJ221" s="157"/>
      <c r="AK221" s="157">
        <f t="shared" si="40"/>
        <v>11.054862420281401</v>
      </c>
      <c r="AN221" s="161">
        <f t="shared" si="41"/>
        <v>111673.97319251251</v>
      </c>
    </row>
    <row r="222" spans="1:40">
      <c r="A222" s="156">
        <f>'BD Plant List'!A221</f>
        <v>46357</v>
      </c>
      <c r="B222" s="148">
        <f t="shared" si="43"/>
        <v>40</v>
      </c>
      <c r="C222" s="148">
        <f t="shared" si="43"/>
        <v>10</v>
      </c>
      <c r="D222" s="148">
        <f t="shared" si="43"/>
        <v>56</v>
      </c>
      <c r="E222" s="148">
        <f t="shared" si="43"/>
        <v>70</v>
      </c>
      <c r="F222" s="148">
        <f t="shared" si="43"/>
        <v>9</v>
      </c>
      <c r="G222" s="148">
        <f t="shared" si="43"/>
        <v>50</v>
      </c>
      <c r="H222" s="148">
        <f t="shared" si="43"/>
        <v>39</v>
      </c>
      <c r="I222" s="148">
        <f t="shared" si="43"/>
        <v>39</v>
      </c>
      <c r="J222" s="148">
        <f t="shared" si="43"/>
        <v>100</v>
      </c>
      <c r="K222" s="148">
        <f t="shared" si="43"/>
        <v>26</v>
      </c>
      <c r="L222" s="148">
        <f t="shared" si="43"/>
        <v>7</v>
      </c>
      <c r="M222" s="148">
        <f t="shared" si="43"/>
        <v>12</v>
      </c>
      <c r="N222" s="148">
        <f t="shared" si="43"/>
        <v>10</v>
      </c>
      <c r="O222" s="148">
        <f t="shared" si="43"/>
        <v>105</v>
      </c>
      <c r="P222" s="148">
        <f t="shared" si="31"/>
        <v>573</v>
      </c>
      <c r="R222" s="148">
        <f>'Fuel Ethanol'!S37</f>
        <v>135716.05510582472</v>
      </c>
      <c r="S222" s="157">
        <f t="shared" si="32"/>
        <v>35.852110277305719</v>
      </c>
      <c r="T222" s="154">
        <f t="shared" si="33"/>
        <v>0.76125772258386193</v>
      </c>
      <c r="V222" s="149">
        <f t="shared" si="34"/>
        <v>455</v>
      </c>
      <c r="W222" s="149">
        <f t="shared" si="35"/>
        <v>108</v>
      </c>
      <c r="X222" s="149">
        <f t="shared" si="36"/>
        <v>10</v>
      </c>
      <c r="Y222" s="149">
        <f t="shared" si="30"/>
        <v>573</v>
      </c>
      <c r="AA222" s="158">
        <f t="shared" si="37"/>
        <v>0.79406631762652702</v>
      </c>
      <c r="AB222" s="158">
        <f t="shared" si="37"/>
        <v>0.18848167539267016</v>
      </c>
      <c r="AC222" s="158">
        <f t="shared" si="37"/>
        <v>1.7452006980802792E-2</v>
      </c>
      <c r="AE222" s="148"/>
      <c r="AF222" s="161">
        <f t="shared" si="29"/>
        <v>357385.6117786718</v>
      </c>
      <c r="AG222" s="161">
        <f t="shared" si="38"/>
        <v>283787.87671779346</v>
      </c>
      <c r="AH222" s="162">
        <f t="shared" si="39"/>
        <v>11.172132751838422</v>
      </c>
      <c r="AI222" s="159"/>
      <c r="AJ222" s="157"/>
      <c r="AK222" s="157">
        <f t="shared" si="40"/>
        <v>10.6135261142465</v>
      </c>
      <c r="AN222" s="161">
        <f t="shared" si="41"/>
        <v>107215.68353360154</v>
      </c>
    </row>
    <row r="223" spans="1:40">
      <c r="A223" s="156">
        <f>'BD Plant List'!A222</f>
        <v>46388</v>
      </c>
      <c r="B223" s="148">
        <f t="shared" si="43"/>
        <v>40</v>
      </c>
      <c r="C223" s="148">
        <f t="shared" si="43"/>
        <v>10</v>
      </c>
      <c r="D223" s="148">
        <f t="shared" si="43"/>
        <v>56</v>
      </c>
      <c r="E223" s="148">
        <f t="shared" si="43"/>
        <v>70</v>
      </c>
      <c r="F223" s="148">
        <f t="shared" si="43"/>
        <v>9</v>
      </c>
      <c r="G223" s="148">
        <f t="shared" si="43"/>
        <v>50</v>
      </c>
      <c r="H223" s="148">
        <f t="shared" si="43"/>
        <v>39</v>
      </c>
      <c r="I223" s="148">
        <f t="shared" si="43"/>
        <v>39</v>
      </c>
      <c r="J223" s="148">
        <f t="shared" si="43"/>
        <v>100</v>
      </c>
      <c r="K223" s="148">
        <f t="shared" si="43"/>
        <v>26</v>
      </c>
      <c r="L223" s="148">
        <f t="shared" si="43"/>
        <v>7</v>
      </c>
      <c r="M223" s="148">
        <f t="shared" si="43"/>
        <v>12</v>
      </c>
      <c r="N223" s="148">
        <f t="shared" si="43"/>
        <v>10</v>
      </c>
      <c r="O223" s="148">
        <f t="shared" si="43"/>
        <v>105</v>
      </c>
      <c r="P223" s="148">
        <f t="shared" si="31"/>
        <v>573</v>
      </c>
      <c r="R223" s="148">
        <f>'Fuel Ethanol'!T26</f>
        <v>135323.94811717243</v>
      </c>
      <c r="S223" s="157">
        <f t="shared" si="32"/>
        <v>35.748527374113443</v>
      </c>
      <c r="T223" s="154">
        <f t="shared" si="33"/>
        <v>0.73457256609533328</v>
      </c>
      <c r="V223" s="149">
        <f t="shared" si="34"/>
        <v>455</v>
      </c>
      <c r="W223" s="149">
        <f t="shared" si="35"/>
        <v>108</v>
      </c>
      <c r="X223" s="149">
        <f t="shared" si="36"/>
        <v>10</v>
      </c>
      <c r="Y223" s="149">
        <f t="shared" si="30"/>
        <v>573</v>
      </c>
      <c r="AA223" s="158">
        <f t="shared" si="37"/>
        <v>0.79406631762652702</v>
      </c>
      <c r="AB223" s="158">
        <f t="shared" si="37"/>
        <v>0.18848167539267016</v>
      </c>
      <c r="AC223" s="158">
        <f t="shared" si="37"/>
        <v>1.7452006980802792E-2</v>
      </c>
      <c r="AE223" s="148"/>
      <c r="AF223" s="161">
        <f t="shared" si="29"/>
        <v>356353.06337522075</v>
      </c>
      <c r="AG223" s="161">
        <f t="shared" si="38"/>
        <v>282967.96480929398</v>
      </c>
      <c r="AH223" s="162">
        <f t="shared" si="39"/>
        <v>11.139854541815804</v>
      </c>
      <c r="AI223" s="159"/>
      <c r="AJ223" s="157"/>
      <c r="AK223" s="157">
        <f t="shared" si="40"/>
        <v>10.582861814725014</v>
      </c>
      <c r="AN223" s="161">
        <f t="shared" si="41"/>
        <v>106905.91901256623</v>
      </c>
    </row>
    <row r="224" spans="1:40">
      <c r="A224" s="156">
        <f>'BD Plant List'!A223</f>
        <v>46419</v>
      </c>
      <c r="B224" s="148">
        <f t="shared" si="43"/>
        <v>40</v>
      </c>
      <c r="C224" s="148">
        <f t="shared" si="43"/>
        <v>10</v>
      </c>
      <c r="D224" s="148">
        <f t="shared" si="43"/>
        <v>56</v>
      </c>
      <c r="E224" s="148">
        <f t="shared" si="43"/>
        <v>70</v>
      </c>
      <c r="F224" s="148">
        <f t="shared" si="43"/>
        <v>9</v>
      </c>
      <c r="G224" s="148">
        <f t="shared" si="43"/>
        <v>50</v>
      </c>
      <c r="H224" s="148">
        <f t="shared" si="43"/>
        <v>39</v>
      </c>
      <c r="I224" s="148">
        <f t="shared" si="43"/>
        <v>39</v>
      </c>
      <c r="J224" s="148">
        <f t="shared" si="43"/>
        <v>100</v>
      </c>
      <c r="K224" s="148">
        <f t="shared" si="43"/>
        <v>26</v>
      </c>
      <c r="L224" s="148">
        <f t="shared" si="43"/>
        <v>7</v>
      </c>
      <c r="M224" s="148">
        <f t="shared" si="43"/>
        <v>12</v>
      </c>
      <c r="N224" s="148">
        <f t="shared" si="43"/>
        <v>10</v>
      </c>
      <c r="O224" s="148">
        <f t="shared" si="43"/>
        <v>105</v>
      </c>
      <c r="P224" s="148">
        <f t="shared" si="31"/>
        <v>573</v>
      </c>
      <c r="R224" s="148">
        <f>'Fuel Ethanol'!T27</f>
        <v>127148.28377269214</v>
      </c>
      <c r="S224" s="157">
        <f t="shared" si="32"/>
        <v>33.588762124232083</v>
      </c>
      <c r="T224" s="154">
        <f t="shared" si="33"/>
        <v>0.69019299529047506</v>
      </c>
      <c r="V224" s="149">
        <f t="shared" si="34"/>
        <v>455</v>
      </c>
      <c r="W224" s="149">
        <f t="shared" si="35"/>
        <v>108</v>
      </c>
      <c r="X224" s="149">
        <f t="shared" si="36"/>
        <v>10</v>
      </c>
      <c r="Y224" s="149">
        <f t="shared" si="30"/>
        <v>573</v>
      </c>
      <c r="AA224" s="158">
        <f t="shared" si="37"/>
        <v>0.79406631762652702</v>
      </c>
      <c r="AB224" s="158">
        <f t="shared" si="37"/>
        <v>0.18848167539267016</v>
      </c>
      <c r="AC224" s="158">
        <f t="shared" si="37"/>
        <v>1.7452006980802792E-2</v>
      </c>
      <c r="AE224" s="148"/>
      <c r="AF224" s="161">
        <f t="shared" si="29"/>
        <v>334823.81393475598</v>
      </c>
      <c r="AG224" s="161">
        <f t="shared" si="38"/>
        <v>265872.31298484112</v>
      </c>
      <c r="AH224" s="162">
        <f t="shared" si="39"/>
        <v>10.466834630355926</v>
      </c>
      <c r="AI224" s="159"/>
      <c r="AJ224" s="157"/>
      <c r="AK224" s="157">
        <f t="shared" si="40"/>
        <v>9.9434928988381301</v>
      </c>
      <c r="AN224" s="161">
        <f t="shared" si="41"/>
        <v>100447.1441804268</v>
      </c>
    </row>
    <row r="225" spans="1:40">
      <c r="A225" s="156">
        <f>'BD Plant List'!A224</f>
        <v>46447</v>
      </c>
      <c r="B225" s="148">
        <f t="shared" si="43"/>
        <v>40</v>
      </c>
      <c r="C225" s="148">
        <f t="shared" si="43"/>
        <v>10</v>
      </c>
      <c r="D225" s="148">
        <f t="shared" si="43"/>
        <v>56</v>
      </c>
      <c r="E225" s="148">
        <f t="shared" si="43"/>
        <v>70</v>
      </c>
      <c r="F225" s="148">
        <f t="shared" si="43"/>
        <v>9</v>
      </c>
      <c r="G225" s="148">
        <f t="shared" si="43"/>
        <v>50</v>
      </c>
      <c r="H225" s="148">
        <f t="shared" si="43"/>
        <v>39</v>
      </c>
      <c r="I225" s="148">
        <f t="shared" si="43"/>
        <v>39</v>
      </c>
      <c r="J225" s="148">
        <f t="shared" si="43"/>
        <v>100</v>
      </c>
      <c r="K225" s="148">
        <f t="shared" si="43"/>
        <v>26</v>
      </c>
      <c r="L225" s="148">
        <f t="shared" si="43"/>
        <v>7</v>
      </c>
      <c r="M225" s="148">
        <f t="shared" si="43"/>
        <v>12</v>
      </c>
      <c r="N225" s="148">
        <f t="shared" si="43"/>
        <v>10</v>
      </c>
      <c r="O225" s="148">
        <f t="shared" si="43"/>
        <v>105</v>
      </c>
      <c r="P225" s="148">
        <f t="shared" si="31"/>
        <v>573</v>
      </c>
      <c r="R225" s="148">
        <f>'Fuel Ethanol'!T28</f>
        <v>139594.43067535243</v>
      </c>
      <c r="S225" s="157">
        <f t="shared" si="32"/>
        <v>36.876660751507856</v>
      </c>
      <c r="T225" s="154">
        <f t="shared" si="33"/>
        <v>0.83894173362630053</v>
      </c>
      <c r="V225" s="149">
        <f t="shared" si="34"/>
        <v>455</v>
      </c>
      <c r="W225" s="149">
        <f t="shared" si="35"/>
        <v>108</v>
      </c>
      <c r="X225" s="149">
        <f t="shared" si="36"/>
        <v>10</v>
      </c>
      <c r="Y225" s="149">
        <f t="shared" si="30"/>
        <v>573</v>
      </c>
      <c r="AA225" s="158">
        <f t="shared" si="37"/>
        <v>0.79406631762652702</v>
      </c>
      <c r="AB225" s="158">
        <f t="shared" si="37"/>
        <v>0.18848167539267016</v>
      </c>
      <c r="AC225" s="158">
        <f t="shared" si="37"/>
        <v>1.7452006980802792E-2</v>
      </c>
      <c r="AE225" s="148"/>
      <c r="AF225" s="161">
        <f t="shared" si="29"/>
        <v>367598.66744509479</v>
      </c>
      <c r="AG225" s="161">
        <f t="shared" si="38"/>
        <v>291897.72022254474</v>
      </c>
      <c r="AH225" s="162">
        <f t="shared" si="39"/>
        <v>11.491400259949119</v>
      </c>
      <c r="AI225" s="159"/>
      <c r="AJ225" s="157"/>
      <c r="AK225" s="157">
        <f t="shared" si="40"/>
        <v>10.916830246951662</v>
      </c>
      <c r="AN225" s="161">
        <f t="shared" si="41"/>
        <v>110279.60023352843</v>
      </c>
    </row>
    <row r="226" spans="1:40">
      <c r="A226" s="156">
        <f>'BD Plant List'!A225</f>
        <v>46478</v>
      </c>
      <c r="B226" s="148">
        <f t="shared" si="43"/>
        <v>40</v>
      </c>
      <c r="C226" s="148">
        <f t="shared" si="43"/>
        <v>10</v>
      </c>
      <c r="D226" s="148">
        <f t="shared" si="43"/>
        <v>56</v>
      </c>
      <c r="E226" s="148">
        <f t="shared" si="43"/>
        <v>70</v>
      </c>
      <c r="F226" s="148">
        <f t="shared" si="43"/>
        <v>9</v>
      </c>
      <c r="G226" s="148">
        <f t="shared" si="43"/>
        <v>50</v>
      </c>
      <c r="H226" s="148">
        <f t="shared" si="43"/>
        <v>39</v>
      </c>
      <c r="I226" s="148">
        <f t="shared" si="43"/>
        <v>39</v>
      </c>
      <c r="J226" s="148">
        <f t="shared" si="43"/>
        <v>100</v>
      </c>
      <c r="K226" s="148">
        <f t="shared" si="43"/>
        <v>26</v>
      </c>
      <c r="L226" s="148">
        <f t="shared" si="43"/>
        <v>7</v>
      </c>
      <c r="M226" s="148">
        <f t="shared" si="43"/>
        <v>12</v>
      </c>
      <c r="N226" s="148">
        <f t="shared" si="43"/>
        <v>10</v>
      </c>
      <c r="O226" s="148">
        <f t="shared" si="43"/>
        <v>105</v>
      </c>
      <c r="P226" s="148">
        <f t="shared" si="31"/>
        <v>573</v>
      </c>
      <c r="R226" s="148">
        <f>'Fuel Ethanol'!T29</f>
        <v>125069.11737679105</v>
      </c>
      <c r="S226" s="157">
        <f t="shared" si="32"/>
        <v>33.039508737426893</v>
      </c>
      <c r="T226" s="154">
        <f t="shared" si="33"/>
        <v>0.6789067550053941</v>
      </c>
      <c r="V226" s="149">
        <f t="shared" si="34"/>
        <v>455</v>
      </c>
      <c r="W226" s="149">
        <f t="shared" si="35"/>
        <v>108</v>
      </c>
      <c r="X226" s="149">
        <f t="shared" si="36"/>
        <v>10</v>
      </c>
      <c r="Y226" s="149">
        <f t="shared" si="30"/>
        <v>573</v>
      </c>
      <c r="AA226" s="158">
        <f t="shared" si="37"/>
        <v>0.79406631762652702</v>
      </c>
      <c r="AB226" s="158">
        <f t="shared" si="37"/>
        <v>0.18848167539267016</v>
      </c>
      <c r="AC226" s="158">
        <f t="shared" si="37"/>
        <v>1.7452006980802792E-2</v>
      </c>
      <c r="AE226" s="148"/>
      <c r="AF226" s="161">
        <f t="shared" si="29"/>
        <v>329348.67575888312</v>
      </c>
      <c r="AG226" s="161">
        <f t="shared" si="38"/>
        <v>261524.69017502933</v>
      </c>
      <c r="AH226" s="162">
        <f t="shared" si="39"/>
        <v>10.295677850341535</v>
      </c>
      <c r="AI226" s="159"/>
      <c r="AJ226" s="157"/>
      <c r="AK226" s="157">
        <f t="shared" si="40"/>
        <v>9.7808939578244587</v>
      </c>
      <c r="AN226" s="161">
        <f t="shared" si="41"/>
        <v>98804.60272766494</v>
      </c>
    </row>
    <row r="227" spans="1:40">
      <c r="A227" s="156">
        <f>'BD Plant List'!A226</f>
        <v>46508</v>
      </c>
      <c r="B227" s="148">
        <f t="shared" si="43"/>
        <v>40</v>
      </c>
      <c r="C227" s="148">
        <f t="shared" si="43"/>
        <v>10</v>
      </c>
      <c r="D227" s="148">
        <f t="shared" si="43"/>
        <v>56</v>
      </c>
      <c r="E227" s="148">
        <f t="shared" si="43"/>
        <v>70</v>
      </c>
      <c r="F227" s="148">
        <f t="shared" si="43"/>
        <v>9</v>
      </c>
      <c r="G227" s="148">
        <f t="shared" si="43"/>
        <v>50</v>
      </c>
      <c r="H227" s="148">
        <f t="shared" si="43"/>
        <v>39</v>
      </c>
      <c r="I227" s="148">
        <f t="shared" si="43"/>
        <v>39</v>
      </c>
      <c r="J227" s="148">
        <f t="shared" si="43"/>
        <v>100</v>
      </c>
      <c r="K227" s="148">
        <f t="shared" si="43"/>
        <v>26</v>
      </c>
      <c r="L227" s="148">
        <f t="shared" si="43"/>
        <v>7</v>
      </c>
      <c r="M227" s="148">
        <f t="shared" si="43"/>
        <v>12</v>
      </c>
      <c r="N227" s="148">
        <f t="shared" si="43"/>
        <v>10</v>
      </c>
      <c r="O227" s="148">
        <f t="shared" si="43"/>
        <v>105</v>
      </c>
      <c r="P227" s="148">
        <f t="shared" si="31"/>
        <v>573</v>
      </c>
      <c r="R227" s="148">
        <f>'Fuel Ethanol'!T30</f>
        <v>127871.0063477534</v>
      </c>
      <c r="S227" s="157">
        <f t="shared" si="32"/>
        <v>33.779683746886015</v>
      </c>
      <c r="T227" s="154">
        <f t="shared" si="33"/>
        <v>0.71725331981462448</v>
      </c>
      <c r="V227" s="149">
        <f t="shared" si="34"/>
        <v>455</v>
      </c>
      <c r="W227" s="149">
        <f t="shared" si="35"/>
        <v>108</v>
      </c>
      <c r="X227" s="149">
        <f t="shared" si="36"/>
        <v>10</v>
      </c>
      <c r="Y227" s="149">
        <f t="shared" si="30"/>
        <v>573</v>
      </c>
      <c r="AA227" s="158">
        <f t="shared" si="37"/>
        <v>0.79406631762652702</v>
      </c>
      <c r="AB227" s="158">
        <f t="shared" si="37"/>
        <v>0.18848167539267016</v>
      </c>
      <c r="AC227" s="158">
        <f t="shared" si="37"/>
        <v>1.7452006980802792E-2</v>
      </c>
      <c r="AE227" s="148"/>
      <c r="AF227" s="161">
        <f t="shared" si="29"/>
        <v>336726.9833824173</v>
      </c>
      <c r="AG227" s="161">
        <f t="shared" si="38"/>
        <v>267383.55573996488</v>
      </c>
      <c r="AH227" s="162">
        <f t="shared" si="39"/>
        <v>10.526329084015364</v>
      </c>
      <c r="AI227" s="159"/>
      <c r="AJ227" s="157"/>
      <c r="AK227" s="157">
        <f t="shared" si="40"/>
        <v>10.000012629814595</v>
      </c>
      <c r="AN227" s="161">
        <f t="shared" si="41"/>
        <v>101018.09501472519</v>
      </c>
    </row>
    <row r="228" spans="1:40">
      <c r="A228" s="156">
        <f>'BD Plant List'!A227</f>
        <v>46539</v>
      </c>
      <c r="B228" s="148">
        <f t="shared" si="43"/>
        <v>40</v>
      </c>
      <c r="C228" s="148">
        <f t="shared" si="43"/>
        <v>10</v>
      </c>
      <c r="D228" s="148">
        <f t="shared" si="43"/>
        <v>56</v>
      </c>
      <c r="E228" s="148">
        <f t="shared" si="43"/>
        <v>70</v>
      </c>
      <c r="F228" s="148">
        <f t="shared" si="43"/>
        <v>9</v>
      </c>
      <c r="G228" s="148">
        <f t="shared" si="43"/>
        <v>50</v>
      </c>
      <c r="H228" s="148">
        <f t="shared" si="43"/>
        <v>39</v>
      </c>
      <c r="I228" s="148">
        <f t="shared" si="43"/>
        <v>39</v>
      </c>
      <c r="J228" s="148">
        <f t="shared" si="43"/>
        <v>100</v>
      </c>
      <c r="K228" s="148">
        <f t="shared" si="43"/>
        <v>26</v>
      </c>
      <c r="L228" s="148">
        <f t="shared" si="43"/>
        <v>7</v>
      </c>
      <c r="M228" s="148">
        <f t="shared" si="43"/>
        <v>12</v>
      </c>
      <c r="N228" s="148">
        <f t="shared" si="43"/>
        <v>10</v>
      </c>
      <c r="O228" s="148">
        <f t="shared" si="43"/>
        <v>105</v>
      </c>
      <c r="P228" s="148">
        <f t="shared" si="31"/>
        <v>573</v>
      </c>
      <c r="R228" s="148">
        <f>'Fuel Ethanol'!T31</f>
        <v>128257.43360960799</v>
      </c>
      <c r="S228" s="157">
        <f t="shared" si="32"/>
        <v>33.881766236650144</v>
      </c>
      <c r="T228" s="154">
        <f t="shared" si="33"/>
        <v>0.6962137407181952</v>
      </c>
      <c r="V228" s="149">
        <f t="shared" si="34"/>
        <v>455</v>
      </c>
      <c r="W228" s="149">
        <f t="shared" si="35"/>
        <v>108</v>
      </c>
      <c r="X228" s="149">
        <f t="shared" si="36"/>
        <v>10</v>
      </c>
      <c r="Y228" s="149">
        <f t="shared" si="30"/>
        <v>573</v>
      </c>
      <c r="AA228" s="158">
        <f t="shared" si="37"/>
        <v>0.79406631762652702</v>
      </c>
      <c r="AB228" s="158">
        <f t="shared" si="37"/>
        <v>0.18848167539267016</v>
      </c>
      <c r="AC228" s="158">
        <f t="shared" si="37"/>
        <v>1.7452006980802792E-2</v>
      </c>
      <c r="AE228" s="148"/>
      <c r="AF228" s="161">
        <f t="shared" si="29"/>
        <v>337744.57517196774</v>
      </c>
      <c r="AG228" s="161">
        <f t="shared" si="38"/>
        <v>268191.59110514016</v>
      </c>
      <c r="AH228" s="162">
        <f t="shared" si="39"/>
        <v>10.558139739468047</v>
      </c>
      <c r="AI228" s="159"/>
      <c r="AJ228" s="157"/>
      <c r="AK228" s="157">
        <f t="shared" si="40"/>
        <v>10.030232752494644</v>
      </c>
      <c r="AN228" s="161">
        <f t="shared" si="41"/>
        <v>101323.37255159032</v>
      </c>
    </row>
    <row r="229" spans="1:40">
      <c r="A229" s="156">
        <f>'BD Plant List'!A228</f>
        <v>46569</v>
      </c>
      <c r="B229" s="148">
        <f t="shared" si="43"/>
        <v>40</v>
      </c>
      <c r="C229" s="148">
        <f t="shared" si="43"/>
        <v>10</v>
      </c>
      <c r="D229" s="148">
        <f t="shared" si="43"/>
        <v>56</v>
      </c>
      <c r="E229" s="148">
        <f t="shared" si="43"/>
        <v>70</v>
      </c>
      <c r="F229" s="148">
        <f t="shared" si="43"/>
        <v>9</v>
      </c>
      <c r="G229" s="148">
        <f t="shared" si="43"/>
        <v>50</v>
      </c>
      <c r="H229" s="148">
        <f t="shared" si="43"/>
        <v>39</v>
      </c>
      <c r="I229" s="148">
        <f t="shared" si="43"/>
        <v>39</v>
      </c>
      <c r="J229" s="148">
        <f t="shared" si="43"/>
        <v>100</v>
      </c>
      <c r="K229" s="148">
        <f t="shared" si="43"/>
        <v>26</v>
      </c>
      <c r="L229" s="148">
        <f t="shared" si="43"/>
        <v>7</v>
      </c>
      <c r="M229" s="148">
        <f t="shared" si="43"/>
        <v>12</v>
      </c>
      <c r="N229" s="148">
        <f t="shared" si="43"/>
        <v>10</v>
      </c>
      <c r="O229" s="148">
        <f t="shared" si="43"/>
        <v>105</v>
      </c>
      <c r="P229" s="148">
        <f t="shared" si="31"/>
        <v>573</v>
      </c>
      <c r="R229" s="148">
        <f>'Fuel Ethanol'!T32</f>
        <v>140860.90387205113</v>
      </c>
      <c r="S229" s="157">
        <f t="shared" si="32"/>
        <v>37.211224975879752</v>
      </c>
      <c r="T229" s="154">
        <f t="shared" si="33"/>
        <v>0.79011617895265318</v>
      </c>
      <c r="V229" s="149">
        <f t="shared" si="34"/>
        <v>455</v>
      </c>
      <c r="W229" s="149">
        <f t="shared" si="35"/>
        <v>108</v>
      </c>
      <c r="X229" s="149">
        <f t="shared" si="36"/>
        <v>10</v>
      </c>
      <c r="Y229" s="149">
        <f t="shared" si="30"/>
        <v>573</v>
      </c>
      <c r="AA229" s="158">
        <f t="shared" si="37"/>
        <v>0.79406631762652702</v>
      </c>
      <c r="AB229" s="158">
        <f t="shared" si="37"/>
        <v>0.18848167539267016</v>
      </c>
      <c r="AC229" s="158">
        <f t="shared" si="37"/>
        <v>1.7452006980802792E-2</v>
      </c>
      <c r="AE229" s="148"/>
      <c r="AF229" s="161">
        <f t="shared" si="29"/>
        <v>370933.7135297347</v>
      </c>
      <c r="AG229" s="161">
        <f t="shared" si="38"/>
        <v>294545.96798608947</v>
      </c>
      <c r="AH229" s="162">
        <f t="shared" si="39"/>
        <v>11.595656213079572</v>
      </c>
      <c r="AI229" s="159"/>
      <c r="AJ229" s="157"/>
      <c r="AK229" s="157">
        <f t="shared" si="40"/>
        <v>11.015873402425592</v>
      </c>
      <c r="AN229" s="161">
        <f t="shared" si="41"/>
        <v>111280.1140589204</v>
      </c>
    </row>
    <row r="230" spans="1:40">
      <c r="A230" s="156">
        <f>'BD Plant List'!A229</f>
        <v>46600</v>
      </c>
      <c r="B230" s="148">
        <f t="shared" si="43"/>
        <v>40</v>
      </c>
      <c r="C230" s="148">
        <f t="shared" si="43"/>
        <v>10</v>
      </c>
      <c r="D230" s="148">
        <f t="shared" si="43"/>
        <v>56</v>
      </c>
      <c r="E230" s="148">
        <f t="shared" si="43"/>
        <v>70</v>
      </c>
      <c r="F230" s="148">
        <f t="shared" si="43"/>
        <v>9</v>
      </c>
      <c r="G230" s="148">
        <f t="shared" si="43"/>
        <v>50</v>
      </c>
      <c r="H230" s="148">
        <f t="shared" si="43"/>
        <v>39</v>
      </c>
      <c r="I230" s="148">
        <f t="shared" si="43"/>
        <v>39</v>
      </c>
      <c r="J230" s="148">
        <f t="shared" si="43"/>
        <v>100</v>
      </c>
      <c r="K230" s="148">
        <f t="shared" si="43"/>
        <v>26</v>
      </c>
      <c r="L230" s="148">
        <f t="shared" si="43"/>
        <v>7</v>
      </c>
      <c r="M230" s="148">
        <f t="shared" si="43"/>
        <v>12</v>
      </c>
      <c r="N230" s="148">
        <f t="shared" si="43"/>
        <v>10</v>
      </c>
      <c r="O230" s="148">
        <f t="shared" si="43"/>
        <v>105</v>
      </c>
      <c r="P230" s="148">
        <f t="shared" si="31"/>
        <v>573</v>
      </c>
      <c r="R230" s="148">
        <f>'Fuel Ethanol'!T33</f>
        <v>141694.79730604796</v>
      </c>
      <c r="S230" s="157">
        <f t="shared" si="32"/>
        <v>37.431514604338687</v>
      </c>
      <c r="T230" s="154">
        <f t="shared" si="33"/>
        <v>0.76915514443413946</v>
      </c>
      <c r="V230" s="149">
        <f t="shared" si="34"/>
        <v>455</v>
      </c>
      <c r="W230" s="149">
        <f t="shared" si="35"/>
        <v>108</v>
      </c>
      <c r="X230" s="149">
        <f t="shared" si="36"/>
        <v>10</v>
      </c>
      <c r="Y230" s="149">
        <f t="shared" si="30"/>
        <v>573</v>
      </c>
      <c r="AA230" s="158">
        <f t="shared" si="37"/>
        <v>0.79406631762652702</v>
      </c>
      <c r="AB230" s="158">
        <f t="shared" si="37"/>
        <v>0.18848167539267016</v>
      </c>
      <c r="AC230" s="158">
        <f t="shared" si="37"/>
        <v>1.7452006980802792E-2</v>
      </c>
      <c r="AE230" s="148"/>
      <c r="AF230" s="161">
        <f t="shared" si="29"/>
        <v>373129.63290592632</v>
      </c>
      <c r="AG230" s="161">
        <f t="shared" si="38"/>
        <v>296289.67359894671</v>
      </c>
      <c r="AH230" s="162">
        <f t="shared" si="39"/>
        <v>11.664302241275974</v>
      </c>
      <c r="AI230" s="159"/>
      <c r="AJ230" s="157"/>
      <c r="AK230" s="157">
        <f t="shared" si="40"/>
        <v>11.081087129212175</v>
      </c>
      <c r="AN230" s="161">
        <f t="shared" si="41"/>
        <v>111938.88987177789</v>
      </c>
    </row>
    <row r="231" spans="1:40">
      <c r="A231" s="156">
        <f>'BD Plant List'!A230</f>
        <v>46631</v>
      </c>
      <c r="B231" s="148">
        <f t="shared" si="43"/>
        <v>40</v>
      </c>
      <c r="C231" s="148">
        <f t="shared" si="43"/>
        <v>10</v>
      </c>
      <c r="D231" s="148">
        <f t="shared" si="43"/>
        <v>56</v>
      </c>
      <c r="E231" s="148">
        <f t="shared" si="43"/>
        <v>70</v>
      </c>
      <c r="F231" s="148">
        <f t="shared" si="43"/>
        <v>9</v>
      </c>
      <c r="G231" s="148">
        <f t="shared" si="43"/>
        <v>50</v>
      </c>
      <c r="H231" s="148">
        <f t="shared" si="43"/>
        <v>39</v>
      </c>
      <c r="I231" s="148">
        <f t="shared" si="43"/>
        <v>39</v>
      </c>
      <c r="J231" s="148">
        <f t="shared" si="43"/>
        <v>100</v>
      </c>
      <c r="K231" s="148">
        <f t="shared" si="43"/>
        <v>26</v>
      </c>
      <c r="L231" s="148">
        <f t="shared" si="43"/>
        <v>7</v>
      </c>
      <c r="M231" s="148">
        <f t="shared" si="43"/>
        <v>12</v>
      </c>
      <c r="N231" s="148">
        <f t="shared" si="43"/>
        <v>10</v>
      </c>
      <c r="O231" s="148">
        <f t="shared" si="43"/>
        <v>105</v>
      </c>
      <c r="P231" s="148">
        <f t="shared" si="31"/>
        <v>573</v>
      </c>
      <c r="R231" s="148">
        <f>'Fuel Ethanol'!T34</f>
        <v>124577.6449516678</v>
      </c>
      <c r="S231" s="157">
        <f t="shared" si="32"/>
        <v>32.909676466882082</v>
      </c>
      <c r="T231" s="154">
        <f t="shared" si="33"/>
        <v>0.67623891856172713</v>
      </c>
      <c r="V231" s="149">
        <f t="shared" si="34"/>
        <v>455</v>
      </c>
      <c r="W231" s="149">
        <f t="shared" si="35"/>
        <v>108</v>
      </c>
      <c r="X231" s="149">
        <f t="shared" si="36"/>
        <v>10</v>
      </c>
      <c r="Y231" s="149">
        <f t="shared" si="30"/>
        <v>573</v>
      </c>
      <c r="AA231" s="158">
        <f t="shared" si="37"/>
        <v>0.79406631762652702</v>
      </c>
      <c r="AB231" s="158">
        <f t="shared" si="37"/>
        <v>0.18848167539267016</v>
      </c>
      <c r="AC231" s="158">
        <f t="shared" si="37"/>
        <v>1.7452006980802792E-2</v>
      </c>
      <c r="AE231" s="148"/>
      <c r="AF231" s="161">
        <f t="shared" si="29"/>
        <v>328054.46503939189</v>
      </c>
      <c r="AG231" s="161">
        <f t="shared" si="38"/>
        <v>260497.00103477016</v>
      </c>
      <c r="AH231" s="162">
        <f t="shared" si="39"/>
        <v>10.255219887036727</v>
      </c>
      <c r="AI231" s="159"/>
      <c r="AJ231" s="157"/>
      <c r="AK231" s="157">
        <f t="shared" si="40"/>
        <v>9.7424588926848905</v>
      </c>
      <c r="AN231" s="161">
        <f t="shared" si="41"/>
        <v>98416.339511817569</v>
      </c>
    </row>
    <row r="232" spans="1:40">
      <c r="A232" s="156">
        <f>'BD Plant List'!A231</f>
        <v>46661</v>
      </c>
      <c r="B232" s="148">
        <f t="shared" si="43"/>
        <v>40</v>
      </c>
      <c r="C232" s="148">
        <f t="shared" si="43"/>
        <v>10</v>
      </c>
      <c r="D232" s="148">
        <f t="shared" si="43"/>
        <v>56</v>
      </c>
      <c r="E232" s="148">
        <f t="shared" si="43"/>
        <v>70</v>
      </c>
      <c r="F232" s="148">
        <f t="shared" si="43"/>
        <v>9</v>
      </c>
      <c r="G232" s="148">
        <f t="shared" si="43"/>
        <v>50</v>
      </c>
      <c r="H232" s="148">
        <f t="shared" si="43"/>
        <v>39</v>
      </c>
      <c r="I232" s="148">
        <f t="shared" si="43"/>
        <v>39</v>
      </c>
      <c r="J232" s="148">
        <f t="shared" si="43"/>
        <v>100</v>
      </c>
      <c r="K232" s="148">
        <f t="shared" si="43"/>
        <v>26</v>
      </c>
      <c r="L232" s="148">
        <f t="shared" si="43"/>
        <v>7</v>
      </c>
      <c r="M232" s="148">
        <f t="shared" si="43"/>
        <v>12</v>
      </c>
      <c r="N232" s="148">
        <f t="shared" si="43"/>
        <v>10</v>
      </c>
      <c r="O232" s="148">
        <f t="shared" si="43"/>
        <v>105</v>
      </c>
      <c r="P232" s="148">
        <f t="shared" si="31"/>
        <v>573</v>
      </c>
      <c r="R232" s="148">
        <f>'Fuel Ethanol'!T35</f>
        <v>123078.39992585877</v>
      </c>
      <c r="S232" s="157">
        <f t="shared" si="32"/>
        <v>32.513620908414111</v>
      </c>
      <c r="T232" s="154">
        <f t="shared" si="33"/>
        <v>0.69037065919552931</v>
      </c>
      <c r="V232" s="149">
        <f t="shared" si="34"/>
        <v>455</v>
      </c>
      <c r="W232" s="149">
        <f t="shared" si="35"/>
        <v>108</v>
      </c>
      <c r="X232" s="149">
        <f t="shared" si="36"/>
        <v>10</v>
      </c>
      <c r="Y232" s="149">
        <f t="shared" si="30"/>
        <v>573</v>
      </c>
      <c r="AA232" s="158">
        <f t="shared" si="37"/>
        <v>0.79406631762652702</v>
      </c>
      <c r="AB232" s="158">
        <f t="shared" si="37"/>
        <v>0.18848167539267016</v>
      </c>
      <c r="AC232" s="158">
        <f t="shared" si="37"/>
        <v>1.7452006980802792E-2</v>
      </c>
      <c r="AE232" s="148"/>
      <c r="AF232" s="161">
        <f t="shared" si="29"/>
        <v>324106.4531380948</v>
      </c>
      <c r="AG232" s="161">
        <f t="shared" si="38"/>
        <v>257362.01776236147</v>
      </c>
      <c r="AH232" s="162">
        <f t="shared" si="39"/>
        <v>10.13180217906687</v>
      </c>
      <c r="AI232" s="159"/>
      <c r="AJ232" s="157"/>
      <c r="AK232" s="157">
        <f t="shared" si="40"/>
        <v>9.6252120701135269</v>
      </c>
      <c r="AN232" s="161">
        <f t="shared" si="41"/>
        <v>97231.935941428441</v>
      </c>
    </row>
    <row r="233" spans="1:40">
      <c r="A233" s="156">
        <f>'BD Plant List'!A232</f>
        <v>46692</v>
      </c>
      <c r="B233" s="148">
        <f t="shared" si="43"/>
        <v>40</v>
      </c>
      <c r="C233" s="148">
        <f t="shared" si="43"/>
        <v>10</v>
      </c>
      <c r="D233" s="148">
        <f t="shared" si="43"/>
        <v>56</v>
      </c>
      <c r="E233" s="148">
        <f t="shared" si="43"/>
        <v>70</v>
      </c>
      <c r="F233" s="148">
        <f t="shared" si="43"/>
        <v>9</v>
      </c>
      <c r="G233" s="148">
        <f t="shared" si="43"/>
        <v>50</v>
      </c>
      <c r="H233" s="148">
        <f t="shared" si="43"/>
        <v>39</v>
      </c>
      <c r="I233" s="148">
        <f t="shared" si="43"/>
        <v>39</v>
      </c>
      <c r="J233" s="148">
        <f t="shared" si="43"/>
        <v>100</v>
      </c>
      <c r="K233" s="148">
        <f t="shared" si="43"/>
        <v>26</v>
      </c>
      <c r="L233" s="148">
        <f t="shared" si="43"/>
        <v>7</v>
      </c>
      <c r="M233" s="148">
        <f t="shared" si="43"/>
        <v>12</v>
      </c>
      <c r="N233" s="148">
        <f t="shared" si="43"/>
        <v>10</v>
      </c>
      <c r="O233" s="148">
        <f t="shared" si="43"/>
        <v>105</v>
      </c>
      <c r="P233" s="148">
        <f t="shared" si="31"/>
        <v>573</v>
      </c>
      <c r="R233" s="148">
        <f>'Fuel Ethanol'!T36</f>
        <v>138485.98139014616</v>
      </c>
      <c r="S233" s="157">
        <f t="shared" si="32"/>
        <v>36.583841703834914</v>
      </c>
      <c r="T233" s="154">
        <f t="shared" si="33"/>
        <v>0.75173688126441152</v>
      </c>
      <c r="V233" s="149">
        <f t="shared" si="34"/>
        <v>455</v>
      </c>
      <c r="W233" s="149">
        <f t="shared" si="35"/>
        <v>108</v>
      </c>
      <c r="X233" s="149">
        <f t="shared" si="36"/>
        <v>10</v>
      </c>
      <c r="Y233" s="149">
        <f t="shared" si="30"/>
        <v>573</v>
      </c>
      <c r="AA233" s="158">
        <f t="shared" si="37"/>
        <v>0.79406631762652702</v>
      </c>
      <c r="AB233" s="158">
        <f t="shared" si="37"/>
        <v>0.18848167539267016</v>
      </c>
      <c r="AC233" s="158">
        <f t="shared" si="37"/>
        <v>1.7452006980802792E-2</v>
      </c>
      <c r="AE233" s="148"/>
      <c r="AF233" s="161">
        <f t="shared" si="29"/>
        <v>364679.75099405157</v>
      </c>
      <c r="AG233" s="161">
        <f t="shared" si="38"/>
        <v>289579.90698480536</v>
      </c>
      <c r="AH233" s="162">
        <f t="shared" si="39"/>
        <v>11.400152820187119</v>
      </c>
      <c r="AI233" s="159"/>
      <c r="AJ233" s="157"/>
      <c r="AK233" s="157">
        <f t="shared" si="40"/>
        <v>10.830145179177762</v>
      </c>
      <c r="AN233" s="161">
        <f t="shared" si="41"/>
        <v>109403.92529821547</v>
      </c>
    </row>
    <row r="234" spans="1:40">
      <c r="A234" s="156">
        <f>'BD Plant List'!A233</f>
        <v>46722</v>
      </c>
      <c r="B234" s="148">
        <f t="shared" si="43"/>
        <v>40</v>
      </c>
      <c r="C234" s="148">
        <f t="shared" si="43"/>
        <v>10</v>
      </c>
      <c r="D234" s="148">
        <f t="shared" si="43"/>
        <v>56</v>
      </c>
      <c r="E234" s="148">
        <f t="shared" ref="C234:Q254" si="44">E$4</f>
        <v>70</v>
      </c>
      <c r="F234" s="148">
        <f t="shared" si="44"/>
        <v>9</v>
      </c>
      <c r="G234" s="148">
        <f t="shared" si="44"/>
        <v>50</v>
      </c>
      <c r="H234" s="148">
        <f t="shared" si="44"/>
        <v>39</v>
      </c>
      <c r="I234" s="148">
        <f t="shared" si="44"/>
        <v>39</v>
      </c>
      <c r="J234" s="148">
        <f t="shared" si="44"/>
        <v>100</v>
      </c>
      <c r="K234" s="148">
        <f t="shared" si="44"/>
        <v>26</v>
      </c>
      <c r="L234" s="148">
        <f t="shared" si="44"/>
        <v>7</v>
      </c>
      <c r="M234" s="148">
        <f t="shared" si="44"/>
        <v>12</v>
      </c>
      <c r="N234" s="148">
        <f t="shared" si="44"/>
        <v>10</v>
      </c>
      <c r="O234" s="148">
        <f t="shared" si="44"/>
        <v>105</v>
      </c>
      <c r="P234" s="148">
        <f t="shared" si="31"/>
        <v>573</v>
      </c>
      <c r="R234" s="148">
        <f>'Fuel Ethanol'!T37</f>
        <v>131080.69479993125</v>
      </c>
      <c r="S234" s="157">
        <f t="shared" si="32"/>
        <v>34.627587145297838</v>
      </c>
      <c r="T234" s="154">
        <f t="shared" si="33"/>
        <v>0.73525708598218209</v>
      </c>
      <c r="V234" s="149">
        <f t="shared" si="34"/>
        <v>455</v>
      </c>
      <c r="W234" s="149">
        <f t="shared" si="35"/>
        <v>108</v>
      </c>
      <c r="X234" s="149">
        <f t="shared" si="36"/>
        <v>10</v>
      </c>
      <c r="Y234" s="149">
        <f t="shared" si="30"/>
        <v>573</v>
      </c>
      <c r="AA234" s="158">
        <f t="shared" si="37"/>
        <v>0.79406631762652702</v>
      </c>
      <c r="AB234" s="158">
        <f t="shared" si="37"/>
        <v>0.18848167539267016</v>
      </c>
      <c r="AC234" s="158">
        <f t="shared" si="37"/>
        <v>1.7452006980802792E-2</v>
      </c>
      <c r="AE234" s="148"/>
      <c r="AF234" s="161">
        <f t="shared" si="29"/>
        <v>345179.16297315236</v>
      </c>
      <c r="AG234" s="161">
        <f t="shared" si="38"/>
        <v>274095.14686349791</v>
      </c>
      <c r="AH234" s="162">
        <f t="shared" si="39"/>
        <v>10.790550332207498</v>
      </c>
      <c r="AI234" s="159"/>
      <c r="AJ234" s="157"/>
      <c r="AK234" s="157">
        <f t="shared" si="40"/>
        <v>10.251022815597123</v>
      </c>
      <c r="AN234" s="161">
        <f t="shared" si="41"/>
        <v>103553.7488919457</v>
      </c>
    </row>
    <row r="235" spans="1:40">
      <c r="A235" s="156">
        <f>'BD Plant List'!A234</f>
        <v>46753</v>
      </c>
      <c r="B235" s="148">
        <f t="shared" ref="B235:O298" si="45">B$4</f>
        <v>40</v>
      </c>
      <c r="C235" s="148">
        <f t="shared" si="44"/>
        <v>10</v>
      </c>
      <c r="D235" s="148">
        <f t="shared" si="44"/>
        <v>56</v>
      </c>
      <c r="E235" s="148">
        <f t="shared" si="44"/>
        <v>70</v>
      </c>
      <c r="F235" s="148">
        <f t="shared" si="44"/>
        <v>9</v>
      </c>
      <c r="G235" s="148">
        <f t="shared" si="44"/>
        <v>50</v>
      </c>
      <c r="H235" s="148">
        <f t="shared" si="44"/>
        <v>39</v>
      </c>
      <c r="I235" s="148">
        <f t="shared" si="44"/>
        <v>39</v>
      </c>
      <c r="J235" s="148">
        <f t="shared" si="44"/>
        <v>100</v>
      </c>
      <c r="K235" s="148">
        <f t="shared" si="44"/>
        <v>26</v>
      </c>
      <c r="L235" s="148">
        <f t="shared" si="44"/>
        <v>7</v>
      </c>
      <c r="M235" s="148">
        <f t="shared" si="44"/>
        <v>12</v>
      </c>
      <c r="N235" s="148">
        <f t="shared" si="44"/>
        <v>10</v>
      </c>
      <c r="O235" s="148">
        <f t="shared" si="44"/>
        <v>105</v>
      </c>
      <c r="P235" s="148">
        <f t="shared" si="31"/>
        <v>573</v>
      </c>
      <c r="R235" s="148">
        <f>'Fuel Ethanol'!U26</f>
        <v>133280.37240071385</v>
      </c>
      <c r="S235" s="157">
        <f t="shared" si="32"/>
        <v>35.208675977096583</v>
      </c>
      <c r="T235" s="154">
        <f t="shared" si="33"/>
        <v>0.72347952100660085</v>
      </c>
      <c r="V235" s="149">
        <f t="shared" si="34"/>
        <v>455</v>
      </c>
      <c r="W235" s="149">
        <f t="shared" si="35"/>
        <v>108</v>
      </c>
      <c r="X235" s="149">
        <f t="shared" si="36"/>
        <v>10</v>
      </c>
      <c r="Y235" s="149">
        <f t="shared" si="30"/>
        <v>573</v>
      </c>
      <c r="AA235" s="158">
        <f t="shared" si="37"/>
        <v>0.79406631762652702</v>
      </c>
      <c r="AB235" s="158">
        <f t="shared" si="37"/>
        <v>0.18848167539267016</v>
      </c>
      <c r="AC235" s="158">
        <f t="shared" si="37"/>
        <v>1.7452006980802792E-2</v>
      </c>
      <c r="AE235" s="148"/>
      <c r="AF235" s="161">
        <f t="shared" si="29"/>
        <v>350971.64732187981</v>
      </c>
      <c r="AG235" s="161">
        <f t="shared" si="38"/>
        <v>278694.76358020125</v>
      </c>
      <c r="AH235" s="162">
        <f t="shared" si="39"/>
        <v>10.971627583149004</v>
      </c>
      <c r="AI235" s="159"/>
      <c r="AJ235" s="157"/>
      <c r="AK235" s="157">
        <f t="shared" si="40"/>
        <v>10.423046203991554</v>
      </c>
      <c r="AN235" s="161">
        <f t="shared" si="41"/>
        <v>105291.49419656394</v>
      </c>
    </row>
    <row r="236" spans="1:40">
      <c r="A236" s="156">
        <f>'BD Plant List'!A235</f>
        <v>46784</v>
      </c>
      <c r="B236" s="148">
        <f t="shared" si="45"/>
        <v>40</v>
      </c>
      <c r="C236" s="148">
        <f t="shared" si="44"/>
        <v>10</v>
      </c>
      <c r="D236" s="148">
        <f t="shared" si="44"/>
        <v>56</v>
      </c>
      <c r="E236" s="148">
        <f t="shared" si="44"/>
        <v>70</v>
      </c>
      <c r="F236" s="148">
        <f t="shared" si="44"/>
        <v>9</v>
      </c>
      <c r="G236" s="148">
        <f t="shared" si="44"/>
        <v>50</v>
      </c>
      <c r="H236" s="148">
        <f t="shared" si="44"/>
        <v>39</v>
      </c>
      <c r="I236" s="148">
        <f t="shared" si="44"/>
        <v>39</v>
      </c>
      <c r="J236" s="148">
        <f t="shared" si="44"/>
        <v>100</v>
      </c>
      <c r="K236" s="148">
        <f t="shared" si="44"/>
        <v>26</v>
      </c>
      <c r="L236" s="148">
        <f t="shared" si="44"/>
        <v>7</v>
      </c>
      <c r="M236" s="148">
        <f t="shared" si="44"/>
        <v>12</v>
      </c>
      <c r="N236" s="148">
        <f t="shared" si="44"/>
        <v>10</v>
      </c>
      <c r="O236" s="148">
        <f t="shared" si="44"/>
        <v>105</v>
      </c>
      <c r="P236" s="148">
        <f t="shared" si="31"/>
        <v>573</v>
      </c>
      <c r="R236" s="148">
        <f>'Fuel Ethanol'!U27</f>
        <v>127195.04196486945</v>
      </c>
      <c r="S236" s="157">
        <f t="shared" si="32"/>
        <v>33.601114235859562</v>
      </c>
      <c r="T236" s="154">
        <f t="shared" si="33"/>
        <v>0.69044681056627477</v>
      </c>
      <c r="V236" s="149">
        <f t="shared" si="34"/>
        <v>455</v>
      </c>
      <c r="W236" s="149">
        <f t="shared" si="35"/>
        <v>108</v>
      </c>
      <c r="X236" s="149">
        <f t="shared" si="36"/>
        <v>10</v>
      </c>
      <c r="Y236" s="149">
        <f t="shared" si="30"/>
        <v>573</v>
      </c>
      <c r="AA236" s="158">
        <f t="shared" si="37"/>
        <v>0.79406631762652702</v>
      </c>
      <c r="AB236" s="158">
        <f t="shared" si="37"/>
        <v>0.18848167539267016</v>
      </c>
      <c r="AC236" s="158">
        <f t="shared" si="37"/>
        <v>1.7452006980802792E-2</v>
      </c>
      <c r="AE236" s="148"/>
      <c r="AF236" s="161">
        <f t="shared" si="29"/>
        <v>334946.9438408229</v>
      </c>
      <c r="AG236" s="161">
        <f t="shared" si="38"/>
        <v>265970.08629594138</v>
      </c>
      <c r="AH236" s="162">
        <f t="shared" si="39"/>
        <v>10.47068376028999</v>
      </c>
      <c r="AI236" s="159"/>
      <c r="AJ236" s="157"/>
      <c r="AK236" s="157">
        <f t="shared" si="40"/>
        <v>9.9471495722754906</v>
      </c>
      <c r="AN236" s="161">
        <f t="shared" si="41"/>
        <v>100484.08315224687</v>
      </c>
    </row>
    <row r="237" spans="1:40">
      <c r="A237" s="156">
        <f>'BD Plant List'!A236</f>
        <v>46813</v>
      </c>
      <c r="B237" s="148">
        <f t="shared" si="45"/>
        <v>40</v>
      </c>
      <c r="C237" s="148">
        <f t="shared" si="44"/>
        <v>10</v>
      </c>
      <c r="D237" s="148">
        <f t="shared" si="44"/>
        <v>56</v>
      </c>
      <c r="E237" s="148">
        <f t="shared" si="44"/>
        <v>70</v>
      </c>
      <c r="F237" s="148">
        <f t="shared" si="44"/>
        <v>9</v>
      </c>
      <c r="G237" s="148">
        <f t="shared" si="44"/>
        <v>50</v>
      </c>
      <c r="H237" s="148">
        <f t="shared" si="44"/>
        <v>39</v>
      </c>
      <c r="I237" s="148">
        <f t="shared" si="44"/>
        <v>39</v>
      </c>
      <c r="J237" s="148">
        <f t="shared" si="44"/>
        <v>100</v>
      </c>
      <c r="K237" s="148">
        <f t="shared" si="44"/>
        <v>26</v>
      </c>
      <c r="L237" s="148">
        <f t="shared" si="44"/>
        <v>7</v>
      </c>
      <c r="M237" s="148">
        <f t="shared" si="44"/>
        <v>12</v>
      </c>
      <c r="N237" s="148">
        <f t="shared" si="44"/>
        <v>10</v>
      </c>
      <c r="O237" s="148">
        <f t="shared" si="44"/>
        <v>105</v>
      </c>
      <c r="P237" s="148">
        <f t="shared" si="31"/>
        <v>573</v>
      </c>
      <c r="R237" s="148">
        <f>'Fuel Ethanol'!U28</f>
        <v>137304.99136107037</v>
      </c>
      <c r="S237" s="157">
        <f t="shared" si="32"/>
        <v>36.271859567853959</v>
      </c>
      <c r="T237" s="154">
        <f t="shared" si="33"/>
        <v>0.79672797389821826</v>
      </c>
      <c r="V237" s="149">
        <f t="shared" si="34"/>
        <v>455</v>
      </c>
      <c r="W237" s="149">
        <f t="shared" si="35"/>
        <v>108</v>
      </c>
      <c r="X237" s="149">
        <f t="shared" si="36"/>
        <v>10</v>
      </c>
      <c r="Y237" s="149">
        <f t="shared" si="30"/>
        <v>573</v>
      </c>
      <c r="AA237" s="158">
        <f t="shared" si="37"/>
        <v>0.79406631762652702</v>
      </c>
      <c r="AB237" s="158">
        <f t="shared" si="37"/>
        <v>0.18848167539267016</v>
      </c>
      <c r="AC237" s="158">
        <f t="shared" si="37"/>
        <v>1.7452006980802792E-2</v>
      </c>
      <c r="AE237" s="148"/>
      <c r="AF237" s="161">
        <f t="shared" si="29"/>
        <v>361569.810584152</v>
      </c>
      <c r="AG237" s="161">
        <f t="shared" si="38"/>
        <v>287110.40805547847</v>
      </c>
      <c r="AH237" s="162">
        <f t="shared" si="39"/>
        <v>11.302933833287272</v>
      </c>
      <c r="AI237" s="159"/>
      <c r="AJ237" s="157"/>
      <c r="AK237" s="157">
        <f t="shared" si="40"/>
        <v>10.737787141622908</v>
      </c>
      <c r="AN237" s="161">
        <f t="shared" si="41"/>
        <v>108470.9431752456</v>
      </c>
    </row>
    <row r="238" spans="1:40">
      <c r="A238" s="156">
        <f>'BD Plant List'!A237</f>
        <v>46844</v>
      </c>
      <c r="B238" s="148">
        <f t="shared" si="45"/>
        <v>40</v>
      </c>
      <c r="C238" s="148">
        <f t="shared" si="44"/>
        <v>10</v>
      </c>
      <c r="D238" s="148">
        <f t="shared" si="44"/>
        <v>56</v>
      </c>
      <c r="E238" s="148">
        <f t="shared" si="44"/>
        <v>70</v>
      </c>
      <c r="F238" s="148">
        <f t="shared" si="44"/>
        <v>9</v>
      </c>
      <c r="G238" s="148">
        <f t="shared" si="44"/>
        <v>50</v>
      </c>
      <c r="H238" s="148">
        <f t="shared" si="44"/>
        <v>39</v>
      </c>
      <c r="I238" s="148">
        <f t="shared" si="44"/>
        <v>39</v>
      </c>
      <c r="J238" s="148">
        <f t="shared" si="44"/>
        <v>100</v>
      </c>
      <c r="K238" s="148">
        <f t="shared" si="44"/>
        <v>26</v>
      </c>
      <c r="L238" s="148">
        <f t="shared" si="44"/>
        <v>7</v>
      </c>
      <c r="M238" s="148">
        <f t="shared" si="44"/>
        <v>12</v>
      </c>
      <c r="N238" s="148">
        <f t="shared" si="44"/>
        <v>10</v>
      </c>
      <c r="O238" s="148">
        <f t="shared" si="44"/>
        <v>105</v>
      </c>
      <c r="P238" s="148">
        <f t="shared" si="31"/>
        <v>573</v>
      </c>
      <c r="R238" s="148">
        <f>'Fuel Ethanol'!U29</f>
        <v>124184.28138914274</v>
      </c>
      <c r="S238" s="157">
        <f t="shared" si="32"/>
        <v>32.805761614569839</v>
      </c>
      <c r="T238" s="154">
        <f t="shared" si="33"/>
        <v>0.67410364180138438</v>
      </c>
      <c r="V238" s="149">
        <f t="shared" si="34"/>
        <v>455</v>
      </c>
      <c r="W238" s="149">
        <f t="shared" si="35"/>
        <v>108</v>
      </c>
      <c r="X238" s="149">
        <f t="shared" si="36"/>
        <v>10</v>
      </c>
      <c r="Y238" s="149">
        <f t="shared" si="30"/>
        <v>573</v>
      </c>
      <c r="AA238" s="158">
        <f t="shared" si="37"/>
        <v>0.79406631762652702</v>
      </c>
      <c r="AB238" s="158">
        <f t="shared" si="37"/>
        <v>0.18848167539267016</v>
      </c>
      <c r="AC238" s="158">
        <f t="shared" si="37"/>
        <v>1.7452006980802792E-2</v>
      </c>
      <c r="AE238" s="148"/>
      <c r="AF238" s="161">
        <f t="shared" si="29"/>
        <v>327018.60765807587</v>
      </c>
      <c r="AG238" s="161">
        <f t="shared" si="38"/>
        <v>259674.46157840229</v>
      </c>
      <c r="AH238" s="162">
        <f t="shared" si="39"/>
        <v>10.222838235972384</v>
      </c>
      <c r="AI238" s="159"/>
      <c r="AJ238" s="157"/>
      <c r="AK238" s="157">
        <f t="shared" si="40"/>
        <v>9.711696324173765</v>
      </c>
      <c r="AN238" s="161">
        <f t="shared" si="41"/>
        <v>98105.582297422763</v>
      </c>
    </row>
    <row r="239" spans="1:40">
      <c r="A239" s="156">
        <f>'BD Plant List'!A238</f>
        <v>46874</v>
      </c>
      <c r="B239" s="148">
        <f t="shared" si="45"/>
        <v>40</v>
      </c>
      <c r="C239" s="148">
        <f t="shared" si="44"/>
        <v>10</v>
      </c>
      <c r="D239" s="148">
        <f t="shared" si="44"/>
        <v>56</v>
      </c>
      <c r="E239" s="148">
        <f t="shared" si="44"/>
        <v>70</v>
      </c>
      <c r="F239" s="148">
        <f t="shared" si="44"/>
        <v>9</v>
      </c>
      <c r="G239" s="148">
        <f t="shared" si="44"/>
        <v>50</v>
      </c>
      <c r="H239" s="148">
        <f t="shared" si="44"/>
        <v>39</v>
      </c>
      <c r="I239" s="148">
        <f t="shared" si="44"/>
        <v>39</v>
      </c>
      <c r="J239" s="148">
        <f t="shared" si="44"/>
        <v>100</v>
      </c>
      <c r="K239" s="148">
        <f t="shared" si="44"/>
        <v>26</v>
      </c>
      <c r="L239" s="148">
        <f t="shared" si="44"/>
        <v>7</v>
      </c>
      <c r="M239" s="148">
        <f t="shared" si="44"/>
        <v>12</v>
      </c>
      <c r="N239" s="148">
        <f t="shared" si="44"/>
        <v>10</v>
      </c>
      <c r="O239" s="148">
        <f t="shared" si="44"/>
        <v>105</v>
      </c>
      <c r="P239" s="148">
        <f t="shared" si="31"/>
        <v>573</v>
      </c>
      <c r="R239" s="148">
        <f>'Fuel Ethanol'!U30</f>
        <v>128395.7505425756</v>
      </c>
      <c r="S239" s="157">
        <f t="shared" si="32"/>
        <v>33.918305420832198</v>
      </c>
      <c r="T239" s="154">
        <f t="shared" si="33"/>
        <v>0.72019671196066037</v>
      </c>
      <c r="V239" s="149">
        <f t="shared" si="34"/>
        <v>455</v>
      </c>
      <c r="W239" s="149">
        <f t="shared" si="35"/>
        <v>108</v>
      </c>
      <c r="X239" s="149">
        <f t="shared" si="36"/>
        <v>10</v>
      </c>
      <c r="Y239" s="149">
        <f t="shared" si="30"/>
        <v>573</v>
      </c>
      <c r="AA239" s="158">
        <f t="shared" si="37"/>
        <v>0.79406631762652702</v>
      </c>
      <c r="AB239" s="158">
        <f t="shared" si="37"/>
        <v>0.18848167539267016</v>
      </c>
      <c r="AC239" s="158">
        <f t="shared" si="37"/>
        <v>1.7452006980802792E-2</v>
      </c>
      <c r="AE239" s="148"/>
      <c r="AF239" s="161">
        <f t="shared" si="29"/>
        <v>338108.80976211576</v>
      </c>
      <c r="AG239" s="161">
        <f t="shared" si="38"/>
        <v>268480.81752489123</v>
      </c>
      <c r="AH239" s="162">
        <f t="shared" si="39"/>
        <v>10.569525976238165</v>
      </c>
      <c r="AI239" s="159"/>
      <c r="AJ239" s="157"/>
      <c r="AK239" s="157">
        <f t="shared" si="40"/>
        <v>10.041049677426257</v>
      </c>
      <c r="AN239" s="161">
        <f t="shared" si="41"/>
        <v>101432.64292863473</v>
      </c>
    </row>
    <row r="240" spans="1:40">
      <c r="A240" s="156">
        <f>'BD Plant List'!A239</f>
        <v>46905</v>
      </c>
      <c r="B240" s="148">
        <f t="shared" si="45"/>
        <v>40</v>
      </c>
      <c r="C240" s="148">
        <f t="shared" si="44"/>
        <v>10</v>
      </c>
      <c r="D240" s="148">
        <f t="shared" si="44"/>
        <v>56</v>
      </c>
      <c r="E240" s="148">
        <f t="shared" si="44"/>
        <v>70</v>
      </c>
      <c r="F240" s="148">
        <f t="shared" si="44"/>
        <v>9</v>
      </c>
      <c r="G240" s="148">
        <f t="shared" si="44"/>
        <v>50</v>
      </c>
      <c r="H240" s="148">
        <f t="shared" si="44"/>
        <v>39</v>
      </c>
      <c r="I240" s="148">
        <f t="shared" si="44"/>
        <v>39</v>
      </c>
      <c r="J240" s="148">
        <f t="shared" si="44"/>
        <v>100</v>
      </c>
      <c r="K240" s="148">
        <f t="shared" si="44"/>
        <v>26</v>
      </c>
      <c r="L240" s="148">
        <f t="shared" si="44"/>
        <v>7</v>
      </c>
      <c r="M240" s="148">
        <f t="shared" si="44"/>
        <v>12</v>
      </c>
      <c r="N240" s="148">
        <f t="shared" si="44"/>
        <v>10</v>
      </c>
      <c r="O240" s="148">
        <f t="shared" si="44"/>
        <v>105</v>
      </c>
      <c r="P240" s="148">
        <f t="shared" si="31"/>
        <v>573</v>
      </c>
      <c r="R240" s="148">
        <f>'Fuel Ethanol'!U31</f>
        <v>127208.93464592376</v>
      </c>
      <c r="S240" s="157">
        <f t="shared" si="32"/>
        <v>33.604784265413677</v>
      </c>
      <c r="T240" s="154">
        <f t="shared" si="33"/>
        <v>0.6905222235475984</v>
      </c>
      <c r="V240" s="149">
        <f t="shared" si="34"/>
        <v>455</v>
      </c>
      <c r="W240" s="149">
        <f t="shared" si="35"/>
        <v>108</v>
      </c>
      <c r="X240" s="149">
        <f t="shared" si="36"/>
        <v>10</v>
      </c>
      <c r="Y240" s="149">
        <f t="shared" si="30"/>
        <v>573</v>
      </c>
      <c r="AA240" s="158">
        <f t="shared" si="37"/>
        <v>0.79406631762652702</v>
      </c>
      <c r="AB240" s="158">
        <f t="shared" si="37"/>
        <v>0.18848167539267016</v>
      </c>
      <c r="AC240" s="158">
        <f t="shared" si="37"/>
        <v>1.7452006980802792E-2</v>
      </c>
      <c r="AE240" s="148"/>
      <c r="AF240" s="161">
        <f t="shared" si="29"/>
        <v>334983.52790093259</v>
      </c>
      <c r="AG240" s="161">
        <f t="shared" si="38"/>
        <v>265999.13646583649</v>
      </c>
      <c r="AH240" s="162">
        <f t="shared" si="39"/>
        <v>10.471827404473403</v>
      </c>
      <c r="AI240" s="159"/>
      <c r="AJ240" s="157"/>
      <c r="AK240" s="157">
        <f t="shared" si="40"/>
        <v>9.9482360342497334</v>
      </c>
      <c r="AN240" s="161">
        <f t="shared" si="41"/>
        <v>100495.05837027977</v>
      </c>
    </row>
    <row r="241" spans="1:40">
      <c r="A241" s="156">
        <f>'BD Plant List'!A240</f>
        <v>46935</v>
      </c>
      <c r="B241" s="148">
        <f t="shared" si="45"/>
        <v>40</v>
      </c>
      <c r="C241" s="148">
        <f t="shared" si="44"/>
        <v>10</v>
      </c>
      <c r="D241" s="148">
        <f t="shared" si="44"/>
        <v>56</v>
      </c>
      <c r="E241" s="148">
        <f t="shared" si="44"/>
        <v>70</v>
      </c>
      <c r="F241" s="148">
        <f t="shared" si="44"/>
        <v>9</v>
      </c>
      <c r="G241" s="148">
        <f t="shared" si="44"/>
        <v>50</v>
      </c>
      <c r="H241" s="148">
        <f t="shared" si="44"/>
        <v>39</v>
      </c>
      <c r="I241" s="148">
        <f t="shared" si="44"/>
        <v>39</v>
      </c>
      <c r="J241" s="148">
        <f t="shared" si="44"/>
        <v>100</v>
      </c>
      <c r="K241" s="148">
        <f t="shared" si="44"/>
        <v>26</v>
      </c>
      <c r="L241" s="148">
        <f t="shared" si="44"/>
        <v>7</v>
      </c>
      <c r="M241" s="148">
        <f t="shared" si="44"/>
        <v>12</v>
      </c>
      <c r="N241" s="148">
        <f t="shared" si="44"/>
        <v>10</v>
      </c>
      <c r="O241" s="148">
        <f t="shared" si="44"/>
        <v>105</v>
      </c>
      <c r="P241" s="148">
        <f t="shared" si="31"/>
        <v>573</v>
      </c>
      <c r="R241" s="148">
        <f>'Fuel Ethanol'!U32</f>
        <v>139356.09752475913</v>
      </c>
      <c r="S241" s="157">
        <f t="shared" si="32"/>
        <v>36.813700283115615</v>
      </c>
      <c r="T241" s="154">
        <f t="shared" si="33"/>
        <v>0.78167542776830701</v>
      </c>
      <c r="V241" s="149">
        <f t="shared" si="34"/>
        <v>455</v>
      </c>
      <c r="W241" s="149">
        <f t="shared" si="35"/>
        <v>108</v>
      </c>
      <c r="X241" s="149">
        <f t="shared" si="36"/>
        <v>10</v>
      </c>
      <c r="Y241" s="149">
        <f t="shared" si="30"/>
        <v>573</v>
      </c>
      <c r="AA241" s="158">
        <f t="shared" si="37"/>
        <v>0.79406631762652702</v>
      </c>
      <c r="AB241" s="158">
        <f t="shared" si="37"/>
        <v>0.18848167539267016</v>
      </c>
      <c r="AC241" s="158">
        <f t="shared" si="37"/>
        <v>1.7452006980802792E-2</v>
      </c>
      <c r="AE241" s="148"/>
      <c r="AF241" s="161">
        <f t="shared" si="29"/>
        <v>366971.05681519909</v>
      </c>
      <c r="AG241" s="161">
        <f t="shared" si="38"/>
        <v>291399.3557607602</v>
      </c>
      <c r="AH241" s="162">
        <f t="shared" si="39"/>
        <v>11.471780697654031</v>
      </c>
      <c r="AI241" s="159"/>
      <c r="AJ241" s="157"/>
      <c r="AK241" s="157">
        <f t="shared" si="40"/>
        <v>10.89819166277133</v>
      </c>
      <c r="AN241" s="161">
        <f t="shared" si="41"/>
        <v>110091.31704455972</v>
      </c>
    </row>
    <row r="242" spans="1:40">
      <c r="A242" s="156">
        <f>'BD Plant List'!A241</f>
        <v>46966</v>
      </c>
      <c r="B242" s="148">
        <f t="shared" si="45"/>
        <v>40</v>
      </c>
      <c r="C242" s="148">
        <f t="shared" si="44"/>
        <v>10</v>
      </c>
      <c r="D242" s="148">
        <f t="shared" si="44"/>
        <v>56</v>
      </c>
      <c r="E242" s="148">
        <f t="shared" si="44"/>
        <v>70</v>
      </c>
      <c r="F242" s="148">
        <f t="shared" si="44"/>
        <v>9</v>
      </c>
      <c r="G242" s="148">
        <f t="shared" si="44"/>
        <v>50</v>
      </c>
      <c r="H242" s="148">
        <f t="shared" si="44"/>
        <v>39</v>
      </c>
      <c r="I242" s="148">
        <f t="shared" si="44"/>
        <v>39</v>
      </c>
      <c r="J242" s="148">
        <f t="shared" si="44"/>
        <v>100</v>
      </c>
      <c r="K242" s="148">
        <f t="shared" si="44"/>
        <v>26</v>
      </c>
      <c r="L242" s="148">
        <f t="shared" si="44"/>
        <v>7</v>
      </c>
      <c r="M242" s="148">
        <f t="shared" si="44"/>
        <v>12</v>
      </c>
      <c r="N242" s="148">
        <f t="shared" si="44"/>
        <v>10</v>
      </c>
      <c r="O242" s="148">
        <f t="shared" si="44"/>
        <v>105</v>
      </c>
      <c r="P242" s="148">
        <f t="shared" si="31"/>
        <v>573</v>
      </c>
      <c r="R242" s="148">
        <f>'Fuel Ethanol'!U33</f>
        <v>140765.27596302403</v>
      </c>
      <c r="S242" s="157">
        <f t="shared" si="32"/>
        <v>37.185962951152064</v>
      </c>
      <c r="T242" s="154">
        <f t="shared" si="33"/>
        <v>0.76410946783597944</v>
      </c>
      <c r="V242" s="149">
        <f t="shared" si="34"/>
        <v>455</v>
      </c>
      <c r="W242" s="149">
        <f t="shared" si="35"/>
        <v>108</v>
      </c>
      <c r="X242" s="149">
        <f t="shared" si="36"/>
        <v>10</v>
      </c>
      <c r="Y242" s="149">
        <f t="shared" si="30"/>
        <v>573</v>
      </c>
      <c r="AA242" s="158">
        <f t="shared" si="37"/>
        <v>0.79406631762652702</v>
      </c>
      <c r="AB242" s="158">
        <f t="shared" si="37"/>
        <v>0.18848167539267016</v>
      </c>
      <c r="AC242" s="158">
        <f t="shared" si="37"/>
        <v>1.7452006980802792E-2</v>
      </c>
      <c r="AE242" s="148"/>
      <c r="AF242" s="161">
        <f t="shared" si="29"/>
        <v>370681.89336929668</v>
      </c>
      <c r="AG242" s="161">
        <f t="shared" si="38"/>
        <v>294346.00607858633</v>
      </c>
      <c r="AH242" s="162">
        <f t="shared" si="39"/>
        <v>11.587784132701179</v>
      </c>
      <c r="AI242" s="159"/>
      <c r="AJ242" s="157"/>
      <c r="AK242" s="157">
        <f t="shared" si="40"/>
        <v>11.008394926066119</v>
      </c>
      <c r="AN242" s="161">
        <f t="shared" si="41"/>
        <v>111204.56801078899</v>
      </c>
    </row>
    <row r="243" spans="1:40">
      <c r="A243" s="156">
        <f>'BD Plant List'!A242</f>
        <v>46997</v>
      </c>
      <c r="B243" s="148">
        <f t="shared" si="45"/>
        <v>40</v>
      </c>
      <c r="C243" s="148">
        <f t="shared" si="44"/>
        <v>10</v>
      </c>
      <c r="D243" s="148">
        <f t="shared" si="44"/>
        <v>56</v>
      </c>
      <c r="E243" s="148">
        <f t="shared" si="44"/>
        <v>70</v>
      </c>
      <c r="F243" s="148">
        <f t="shared" si="44"/>
        <v>9</v>
      </c>
      <c r="G243" s="148">
        <f t="shared" si="44"/>
        <v>50</v>
      </c>
      <c r="H243" s="148">
        <f t="shared" si="44"/>
        <v>39</v>
      </c>
      <c r="I243" s="148">
        <f t="shared" si="44"/>
        <v>39</v>
      </c>
      <c r="J243" s="148">
        <f t="shared" si="44"/>
        <v>100</v>
      </c>
      <c r="K243" s="148">
        <f t="shared" si="44"/>
        <v>26</v>
      </c>
      <c r="L243" s="148">
        <f t="shared" si="44"/>
        <v>7</v>
      </c>
      <c r="M243" s="148">
        <f t="shared" si="44"/>
        <v>12</v>
      </c>
      <c r="N243" s="148">
        <f t="shared" si="44"/>
        <v>10</v>
      </c>
      <c r="O243" s="148">
        <f t="shared" si="44"/>
        <v>105</v>
      </c>
      <c r="P243" s="148">
        <f t="shared" si="31"/>
        <v>573</v>
      </c>
      <c r="R243" s="148">
        <f>'Fuel Ethanol'!U34</f>
        <v>122996.58271373644</v>
      </c>
      <c r="S243" s="157">
        <f t="shared" si="32"/>
        <v>32.492007255487756</v>
      </c>
      <c r="T243" s="154">
        <f t="shared" si="33"/>
        <v>0.66765651344103083</v>
      </c>
      <c r="V243" s="149">
        <f t="shared" si="34"/>
        <v>455</v>
      </c>
      <c r="W243" s="149">
        <f t="shared" si="35"/>
        <v>108</v>
      </c>
      <c r="X243" s="149">
        <f t="shared" si="36"/>
        <v>10</v>
      </c>
      <c r="Y243" s="149">
        <f t="shared" si="30"/>
        <v>573</v>
      </c>
      <c r="AA243" s="158">
        <f t="shared" si="37"/>
        <v>0.79406631762652702</v>
      </c>
      <c r="AB243" s="158">
        <f t="shared" si="37"/>
        <v>0.18848167539267016</v>
      </c>
      <c r="AC243" s="158">
        <f t="shared" si="37"/>
        <v>1.7452006980802792E-2</v>
      </c>
      <c r="AE243" s="148"/>
      <c r="AF243" s="161">
        <f t="shared" si="29"/>
        <v>323891.00114617264</v>
      </c>
      <c r="AG243" s="161">
        <f t="shared" si="38"/>
        <v>257190.93459251054</v>
      </c>
      <c r="AH243" s="162">
        <f t="shared" si="39"/>
        <v>10.125066993944495</v>
      </c>
      <c r="AI243" s="159"/>
      <c r="AJ243" s="157"/>
      <c r="AK243" s="157">
        <f t="shared" si="40"/>
        <v>9.61881364424727</v>
      </c>
      <c r="AN243" s="161">
        <f t="shared" si="41"/>
        <v>97167.300343851792</v>
      </c>
    </row>
    <row r="244" spans="1:40">
      <c r="A244" s="156">
        <f>'BD Plant List'!A243</f>
        <v>47027</v>
      </c>
      <c r="B244" s="148">
        <f t="shared" si="45"/>
        <v>40</v>
      </c>
      <c r="C244" s="148">
        <f t="shared" si="44"/>
        <v>10</v>
      </c>
      <c r="D244" s="148">
        <f t="shared" si="44"/>
        <v>56</v>
      </c>
      <c r="E244" s="148">
        <f t="shared" si="44"/>
        <v>70</v>
      </c>
      <c r="F244" s="148">
        <f t="shared" si="44"/>
        <v>9</v>
      </c>
      <c r="G244" s="148">
        <f t="shared" si="44"/>
        <v>50</v>
      </c>
      <c r="H244" s="148">
        <f t="shared" si="44"/>
        <v>39</v>
      </c>
      <c r="I244" s="148">
        <f t="shared" si="44"/>
        <v>39</v>
      </c>
      <c r="J244" s="148">
        <f t="shared" si="44"/>
        <v>100</v>
      </c>
      <c r="K244" s="148">
        <f t="shared" si="44"/>
        <v>26</v>
      </c>
      <c r="L244" s="148">
        <f t="shared" si="44"/>
        <v>7</v>
      </c>
      <c r="M244" s="148">
        <f t="shared" si="44"/>
        <v>12</v>
      </c>
      <c r="N244" s="148">
        <f t="shared" si="44"/>
        <v>10</v>
      </c>
      <c r="O244" s="148">
        <f t="shared" si="44"/>
        <v>105</v>
      </c>
      <c r="P244" s="148">
        <f t="shared" si="31"/>
        <v>573</v>
      </c>
      <c r="R244" s="148">
        <f>'Fuel Ethanol'!U35</f>
        <v>122845.71170800527</v>
      </c>
      <c r="S244" s="157">
        <f t="shared" si="32"/>
        <v>32.452151661903756</v>
      </c>
      <c r="T244" s="154">
        <f t="shared" si="33"/>
        <v>0.68906546577049854</v>
      </c>
      <c r="V244" s="149">
        <f t="shared" si="34"/>
        <v>455</v>
      </c>
      <c r="W244" s="149">
        <f t="shared" si="35"/>
        <v>108</v>
      </c>
      <c r="X244" s="149">
        <f t="shared" si="36"/>
        <v>10</v>
      </c>
      <c r="Y244" s="149">
        <f t="shared" si="30"/>
        <v>573</v>
      </c>
      <c r="AA244" s="158">
        <f t="shared" si="37"/>
        <v>0.79406631762652702</v>
      </c>
      <c r="AB244" s="158">
        <f t="shared" si="37"/>
        <v>0.18848167539267016</v>
      </c>
      <c r="AC244" s="158">
        <f t="shared" si="37"/>
        <v>1.7452006980802792E-2</v>
      </c>
      <c r="AE244" s="148"/>
      <c r="AF244" s="161">
        <f t="shared" si="29"/>
        <v>323493.70749774727</v>
      </c>
      <c r="AG244" s="161">
        <f t="shared" si="38"/>
        <v>256875.457088089</v>
      </c>
      <c r="AH244" s="162">
        <f t="shared" si="39"/>
        <v>10.112647307098179</v>
      </c>
      <c r="AI244" s="159"/>
      <c r="AJ244" s="157"/>
      <c r="AK244" s="157">
        <f t="shared" si="40"/>
        <v>9.6070149417432695</v>
      </c>
      <c r="AN244" s="161">
        <f t="shared" si="41"/>
        <v>97048.112249324171</v>
      </c>
    </row>
    <row r="245" spans="1:40">
      <c r="A245" s="156">
        <f>'BD Plant List'!A244</f>
        <v>47058</v>
      </c>
      <c r="B245" s="148">
        <f t="shared" si="45"/>
        <v>40</v>
      </c>
      <c r="C245" s="148">
        <f t="shared" si="44"/>
        <v>10</v>
      </c>
      <c r="D245" s="148">
        <f t="shared" si="44"/>
        <v>56</v>
      </c>
      <c r="E245" s="148">
        <f t="shared" si="44"/>
        <v>70</v>
      </c>
      <c r="F245" s="148">
        <f t="shared" si="44"/>
        <v>9</v>
      </c>
      <c r="G245" s="148">
        <f t="shared" si="44"/>
        <v>50</v>
      </c>
      <c r="H245" s="148">
        <f t="shared" si="44"/>
        <v>39</v>
      </c>
      <c r="I245" s="148">
        <f t="shared" si="44"/>
        <v>39</v>
      </c>
      <c r="J245" s="148">
        <f t="shared" si="44"/>
        <v>100</v>
      </c>
      <c r="K245" s="148">
        <f t="shared" si="44"/>
        <v>26</v>
      </c>
      <c r="L245" s="148">
        <f t="shared" si="44"/>
        <v>7</v>
      </c>
      <c r="M245" s="148">
        <f t="shared" si="44"/>
        <v>12</v>
      </c>
      <c r="N245" s="148">
        <f t="shared" si="44"/>
        <v>10</v>
      </c>
      <c r="O245" s="148">
        <f t="shared" si="44"/>
        <v>105</v>
      </c>
      <c r="P245" s="148">
        <f t="shared" si="31"/>
        <v>573</v>
      </c>
      <c r="R245" s="148">
        <f>'Fuel Ethanol'!U36</f>
        <v>136568.91063863016</v>
      </c>
      <c r="S245" s="157">
        <f t="shared" si="32"/>
        <v>36.07740912340693</v>
      </c>
      <c r="T245" s="154">
        <f t="shared" si="33"/>
        <v>0.74133053707389118</v>
      </c>
      <c r="V245" s="149">
        <f t="shared" si="34"/>
        <v>455</v>
      </c>
      <c r="W245" s="149">
        <f t="shared" si="35"/>
        <v>108</v>
      </c>
      <c r="X245" s="149">
        <f t="shared" si="36"/>
        <v>10</v>
      </c>
      <c r="Y245" s="149">
        <f t="shared" si="30"/>
        <v>573</v>
      </c>
      <c r="AA245" s="158">
        <f t="shared" si="37"/>
        <v>0.79406631762652702</v>
      </c>
      <c r="AB245" s="158">
        <f t="shared" si="37"/>
        <v>0.18848167539267016</v>
      </c>
      <c r="AC245" s="158">
        <f t="shared" si="37"/>
        <v>1.7452006980802792E-2</v>
      </c>
      <c r="AE245" s="148"/>
      <c r="AF245" s="161">
        <f t="shared" si="29"/>
        <v>359631.46468172612</v>
      </c>
      <c r="AG245" s="161">
        <f t="shared" si="38"/>
        <v>285571.23286245269</v>
      </c>
      <c r="AH245" s="162">
        <f t="shared" si="39"/>
        <v>11.242339738205752</v>
      </c>
      <c r="AI245" s="159"/>
      <c r="AJ245" s="157"/>
      <c r="AK245" s="157">
        <f t="shared" si="40"/>
        <v>10.680222751295464</v>
      </c>
      <c r="AN245" s="161">
        <f t="shared" si="41"/>
        <v>107889.43940451783</v>
      </c>
    </row>
    <row r="246" spans="1:40">
      <c r="A246" s="156">
        <f>'BD Plant List'!A245</f>
        <v>47088</v>
      </c>
      <c r="B246" s="148">
        <f t="shared" si="45"/>
        <v>40</v>
      </c>
      <c r="C246" s="148">
        <f t="shared" si="44"/>
        <v>10</v>
      </c>
      <c r="D246" s="148">
        <f t="shared" si="44"/>
        <v>56</v>
      </c>
      <c r="E246" s="148">
        <f t="shared" si="44"/>
        <v>70</v>
      </c>
      <c r="F246" s="148">
        <f t="shared" si="44"/>
        <v>9</v>
      </c>
      <c r="G246" s="148">
        <f t="shared" si="44"/>
        <v>50</v>
      </c>
      <c r="H246" s="148">
        <f t="shared" si="44"/>
        <v>39</v>
      </c>
      <c r="I246" s="148">
        <f t="shared" si="44"/>
        <v>39</v>
      </c>
      <c r="J246" s="148">
        <f t="shared" si="44"/>
        <v>100</v>
      </c>
      <c r="K246" s="148">
        <f t="shared" si="44"/>
        <v>26</v>
      </c>
      <c r="L246" s="148">
        <f t="shared" si="44"/>
        <v>7</v>
      </c>
      <c r="M246" s="148">
        <f t="shared" si="44"/>
        <v>12</v>
      </c>
      <c r="N246" s="148">
        <f t="shared" si="44"/>
        <v>10</v>
      </c>
      <c r="O246" s="148">
        <f t="shared" si="44"/>
        <v>105</v>
      </c>
      <c r="P246" s="148">
        <f t="shared" si="31"/>
        <v>573</v>
      </c>
      <c r="R246" s="148">
        <f>'Fuel Ethanol'!U37</f>
        <v>127427.1252389946</v>
      </c>
      <c r="S246" s="157">
        <f t="shared" si="32"/>
        <v>33.662423674385202</v>
      </c>
      <c r="T246" s="154">
        <f t="shared" si="33"/>
        <v>0.71476350442993586</v>
      </c>
      <c r="V246" s="149">
        <f t="shared" si="34"/>
        <v>455</v>
      </c>
      <c r="W246" s="149">
        <f t="shared" si="35"/>
        <v>108</v>
      </c>
      <c r="X246" s="149">
        <f t="shared" si="36"/>
        <v>10</v>
      </c>
      <c r="Y246" s="149">
        <f t="shared" si="30"/>
        <v>573</v>
      </c>
      <c r="AA246" s="158">
        <f t="shared" si="37"/>
        <v>0.79406631762652702</v>
      </c>
      <c r="AB246" s="158">
        <f t="shared" si="37"/>
        <v>0.18848167539267016</v>
      </c>
      <c r="AC246" s="158">
        <f t="shared" si="37"/>
        <v>1.7452006980802792E-2</v>
      </c>
      <c r="AE246" s="148"/>
      <c r="AF246" s="161">
        <f t="shared" si="29"/>
        <v>335558.09646268579</v>
      </c>
      <c r="AG246" s="161">
        <f t="shared" si="38"/>
        <v>266455.38200789184</v>
      </c>
      <c r="AH246" s="162">
        <f t="shared" si="39"/>
        <v>10.489788833348484</v>
      </c>
      <c r="AI246" s="159"/>
      <c r="AJ246" s="157"/>
      <c r="AK246" s="157">
        <f t="shared" si="40"/>
        <v>9.965299391681059</v>
      </c>
      <c r="AN246" s="161">
        <f t="shared" si="41"/>
        <v>100667.42893880574</v>
      </c>
    </row>
    <row r="247" spans="1:40">
      <c r="A247" s="156">
        <f>'BD Plant List'!A246</f>
        <v>47119</v>
      </c>
      <c r="B247" s="148">
        <f t="shared" si="45"/>
        <v>40</v>
      </c>
      <c r="C247" s="148">
        <f t="shared" si="44"/>
        <v>10</v>
      </c>
      <c r="D247" s="148">
        <f t="shared" si="44"/>
        <v>56</v>
      </c>
      <c r="E247" s="148">
        <f t="shared" si="44"/>
        <v>70</v>
      </c>
      <c r="F247" s="148">
        <f t="shared" si="44"/>
        <v>9</v>
      </c>
      <c r="G247" s="148">
        <f t="shared" si="44"/>
        <v>50</v>
      </c>
      <c r="H247" s="148">
        <f t="shared" si="44"/>
        <v>39</v>
      </c>
      <c r="I247" s="148">
        <f t="shared" si="44"/>
        <v>39</v>
      </c>
      <c r="J247" s="148">
        <f t="shared" si="44"/>
        <v>100</v>
      </c>
      <c r="K247" s="148">
        <f t="shared" si="44"/>
        <v>26</v>
      </c>
      <c r="L247" s="148">
        <f t="shared" si="44"/>
        <v>7</v>
      </c>
      <c r="M247" s="148">
        <f t="shared" si="44"/>
        <v>12</v>
      </c>
      <c r="N247" s="148">
        <f t="shared" si="44"/>
        <v>10</v>
      </c>
      <c r="O247" s="148">
        <f t="shared" si="44"/>
        <v>105</v>
      </c>
      <c r="P247" s="148">
        <f t="shared" si="31"/>
        <v>573</v>
      </c>
      <c r="R247" s="148">
        <f>'Fuel Ethanol'!V26</f>
        <v>132145.23401917054</v>
      </c>
      <c r="S247" s="157">
        <f t="shared" si="32"/>
        <v>34.908806470844283</v>
      </c>
      <c r="T247" s="154">
        <f t="shared" si="33"/>
        <v>0.71731770319530275</v>
      </c>
      <c r="V247" s="149">
        <f t="shared" si="34"/>
        <v>455</v>
      </c>
      <c r="W247" s="149">
        <f t="shared" si="35"/>
        <v>108</v>
      </c>
      <c r="X247" s="149">
        <f t="shared" si="36"/>
        <v>10</v>
      </c>
      <c r="Y247" s="149">
        <f t="shared" si="30"/>
        <v>573</v>
      </c>
      <c r="AA247" s="158">
        <f t="shared" si="37"/>
        <v>0.79406631762652702</v>
      </c>
      <c r="AB247" s="158">
        <f t="shared" si="37"/>
        <v>0.18848167539267016</v>
      </c>
      <c r="AC247" s="158">
        <f t="shared" si="37"/>
        <v>1.7452006980802792E-2</v>
      </c>
      <c r="AE247" s="148"/>
      <c r="AF247" s="161">
        <f t="shared" si="29"/>
        <v>347982.44958381576</v>
      </c>
      <c r="AG247" s="161">
        <f t="shared" si="38"/>
        <v>276321.14233967918</v>
      </c>
      <c r="AH247" s="162">
        <f t="shared" si="39"/>
        <v>10.878183099514255</v>
      </c>
      <c r="AI247" s="159"/>
      <c r="AJ247" s="157"/>
      <c r="AK247" s="157">
        <f t="shared" si="40"/>
        <v>10.334273944538541</v>
      </c>
      <c r="AN247" s="161">
        <f t="shared" si="41"/>
        <v>104394.73487514473</v>
      </c>
    </row>
    <row r="248" spans="1:40">
      <c r="A248" s="156">
        <f>'BD Plant List'!A247</f>
        <v>47150</v>
      </c>
      <c r="B248" s="148">
        <f t="shared" si="45"/>
        <v>40</v>
      </c>
      <c r="C248" s="148">
        <f t="shared" si="44"/>
        <v>10</v>
      </c>
      <c r="D248" s="148">
        <f t="shared" si="44"/>
        <v>56</v>
      </c>
      <c r="E248" s="148">
        <f t="shared" si="44"/>
        <v>70</v>
      </c>
      <c r="F248" s="148">
        <f t="shared" si="44"/>
        <v>9</v>
      </c>
      <c r="G248" s="148">
        <f t="shared" si="44"/>
        <v>50</v>
      </c>
      <c r="H248" s="148">
        <f t="shared" si="44"/>
        <v>39</v>
      </c>
      <c r="I248" s="148">
        <f t="shared" si="44"/>
        <v>39</v>
      </c>
      <c r="J248" s="148">
        <f t="shared" si="44"/>
        <v>100</v>
      </c>
      <c r="K248" s="148">
        <f t="shared" si="44"/>
        <v>26</v>
      </c>
      <c r="L248" s="148">
        <f t="shared" si="44"/>
        <v>7</v>
      </c>
      <c r="M248" s="148">
        <f t="shared" si="44"/>
        <v>12</v>
      </c>
      <c r="N248" s="148">
        <f t="shared" si="44"/>
        <v>10</v>
      </c>
      <c r="O248" s="148">
        <f t="shared" si="44"/>
        <v>105</v>
      </c>
      <c r="P248" s="148">
        <f t="shared" si="31"/>
        <v>573</v>
      </c>
      <c r="R248" s="148">
        <f>'Fuel Ethanol'!V27</f>
        <v>126004.98044606658</v>
      </c>
      <c r="S248" s="157">
        <f t="shared" si="32"/>
        <v>33.28673568443741</v>
      </c>
      <c r="T248" s="154">
        <f t="shared" si="33"/>
        <v>0.68398685609523469</v>
      </c>
      <c r="V248" s="149">
        <f t="shared" si="34"/>
        <v>455</v>
      </c>
      <c r="W248" s="149">
        <f t="shared" si="35"/>
        <v>108</v>
      </c>
      <c r="X248" s="149">
        <f t="shared" si="36"/>
        <v>10</v>
      </c>
      <c r="Y248" s="149">
        <f t="shared" si="30"/>
        <v>573</v>
      </c>
      <c r="AA248" s="158">
        <f t="shared" si="37"/>
        <v>0.79406631762652702</v>
      </c>
      <c r="AB248" s="158">
        <f t="shared" si="37"/>
        <v>0.18848167539267016</v>
      </c>
      <c r="AC248" s="158">
        <f t="shared" si="37"/>
        <v>1.7452006980802792E-2</v>
      </c>
      <c r="AE248" s="148"/>
      <c r="AF248" s="161">
        <f t="shared" si="29"/>
        <v>331813.11517464201</v>
      </c>
      <c r="AG248" s="161">
        <f t="shared" si="38"/>
        <v>263481.61850691464</v>
      </c>
      <c r="AH248" s="162">
        <f t="shared" si="39"/>
        <v>10.372718009218366</v>
      </c>
      <c r="AI248" s="159"/>
      <c r="AJ248" s="157"/>
      <c r="AK248" s="157">
        <f t="shared" si="40"/>
        <v>9.8540821087574475</v>
      </c>
      <c r="AN248" s="161">
        <f t="shared" si="41"/>
        <v>99543.934552392602</v>
      </c>
    </row>
    <row r="249" spans="1:40">
      <c r="A249" s="156">
        <f>'BD Plant List'!A248</f>
        <v>47178</v>
      </c>
      <c r="B249" s="148">
        <f t="shared" si="45"/>
        <v>40</v>
      </c>
      <c r="C249" s="148">
        <f t="shared" si="44"/>
        <v>10</v>
      </c>
      <c r="D249" s="148">
        <f t="shared" si="44"/>
        <v>56</v>
      </c>
      <c r="E249" s="148">
        <f t="shared" si="44"/>
        <v>70</v>
      </c>
      <c r="F249" s="148">
        <f t="shared" si="44"/>
        <v>9</v>
      </c>
      <c r="G249" s="148">
        <f t="shared" si="44"/>
        <v>50</v>
      </c>
      <c r="H249" s="148">
        <f t="shared" si="44"/>
        <v>39</v>
      </c>
      <c r="I249" s="148">
        <f t="shared" si="44"/>
        <v>39</v>
      </c>
      <c r="J249" s="148">
        <f t="shared" si="44"/>
        <v>100</v>
      </c>
      <c r="K249" s="148">
        <f t="shared" si="44"/>
        <v>26</v>
      </c>
      <c r="L249" s="148">
        <f t="shared" si="44"/>
        <v>7</v>
      </c>
      <c r="M249" s="148">
        <f t="shared" si="44"/>
        <v>12</v>
      </c>
      <c r="N249" s="148">
        <f t="shared" si="44"/>
        <v>10</v>
      </c>
      <c r="O249" s="148">
        <f t="shared" si="44"/>
        <v>105</v>
      </c>
      <c r="P249" s="148">
        <f t="shared" si="31"/>
        <v>573</v>
      </c>
      <c r="R249" s="148">
        <f>'Fuel Ethanol'!V28</f>
        <v>136155.61745304029</v>
      </c>
      <c r="S249" s="157">
        <f t="shared" si="32"/>
        <v>35.968229462569653</v>
      </c>
      <c r="T249" s="154">
        <f t="shared" si="33"/>
        <v>0.81827497842420349</v>
      </c>
      <c r="V249" s="149">
        <f t="shared" si="34"/>
        <v>455</v>
      </c>
      <c r="W249" s="149">
        <f t="shared" si="35"/>
        <v>108</v>
      </c>
      <c r="X249" s="149">
        <f t="shared" si="36"/>
        <v>10</v>
      </c>
      <c r="Y249" s="149">
        <f t="shared" si="30"/>
        <v>573</v>
      </c>
      <c r="AA249" s="158">
        <f t="shared" si="37"/>
        <v>0.79406631762652702</v>
      </c>
      <c r="AB249" s="158">
        <f t="shared" si="37"/>
        <v>0.18848167539267016</v>
      </c>
      <c r="AC249" s="158">
        <f t="shared" si="37"/>
        <v>1.7452006980802792E-2</v>
      </c>
      <c r="AE249" s="148"/>
      <c r="AF249" s="161">
        <f t="shared" si="29"/>
        <v>358543.12595967285</v>
      </c>
      <c r="AG249" s="161">
        <f t="shared" si="38"/>
        <v>284707.01974110148</v>
      </c>
      <c r="AH249" s="162">
        <f t="shared" si="39"/>
        <v>11.208317482465709</v>
      </c>
      <c r="AI249" s="159"/>
      <c r="AJ249" s="157"/>
      <c r="AK249" s="157">
        <f t="shared" si="40"/>
        <v>10.647901608342423</v>
      </c>
      <c r="AN249" s="161">
        <f t="shared" si="41"/>
        <v>107562.93778790184</v>
      </c>
    </row>
    <row r="250" spans="1:40">
      <c r="A250" s="156">
        <f>'BD Plant List'!A249</f>
        <v>47209</v>
      </c>
      <c r="B250" s="148">
        <f t="shared" si="45"/>
        <v>40</v>
      </c>
      <c r="C250" s="148">
        <f t="shared" si="44"/>
        <v>10</v>
      </c>
      <c r="D250" s="148">
        <f t="shared" si="44"/>
        <v>56</v>
      </c>
      <c r="E250" s="148">
        <f t="shared" si="44"/>
        <v>70</v>
      </c>
      <c r="F250" s="148">
        <f t="shared" si="44"/>
        <v>9</v>
      </c>
      <c r="G250" s="148">
        <f t="shared" si="44"/>
        <v>50</v>
      </c>
      <c r="H250" s="148">
        <f t="shared" si="44"/>
        <v>39</v>
      </c>
      <c r="I250" s="148">
        <f t="shared" si="44"/>
        <v>39</v>
      </c>
      <c r="J250" s="148">
        <f t="shared" si="44"/>
        <v>100</v>
      </c>
      <c r="K250" s="148">
        <f t="shared" si="44"/>
        <v>26</v>
      </c>
      <c r="L250" s="148">
        <f t="shared" si="44"/>
        <v>7</v>
      </c>
      <c r="M250" s="148">
        <f t="shared" si="44"/>
        <v>12</v>
      </c>
      <c r="N250" s="148">
        <f t="shared" si="44"/>
        <v>10</v>
      </c>
      <c r="O250" s="148">
        <f t="shared" si="44"/>
        <v>105</v>
      </c>
      <c r="P250" s="148">
        <f t="shared" si="31"/>
        <v>573</v>
      </c>
      <c r="R250" s="148">
        <f>'Fuel Ethanol'!V29</f>
        <v>122828.16410184739</v>
      </c>
      <c r="S250" s="157">
        <f t="shared" si="32"/>
        <v>32.447516110785024</v>
      </c>
      <c r="T250" s="154">
        <f t="shared" si="33"/>
        <v>0.66674229468200941</v>
      </c>
      <c r="V250" s="149">
        <f t="shared" si="34"/>
        <v>455</v>
      </c>
      <c r="W250" s="149">
        <f t="shared" si="35"/>
        <v>108</v>
      </c>
      <c r="X250" s="149">
        <f t="shared" si="36"/>
        <v>10</v>
      </c>
      <c r="Y250" s="149">
        <f t="shared" si="30"/>
        <v>573</v>
      </c>
      <c r="AA250" s="158">
        <f t="shared" si="37"/>
        <v>0.79406631762652702</v>
      </c>
      <c r="AB250" s="158">
        <f t="shared" si="37"/>
        <v>0.18848167539267016</v>
      </c>
      <c r="AC250" s="158">
        <f t="shared" si="37"/>
        <v>1.7452006980802792E-2</v>
      </c>
      <c r="AE250" s="148"/>
      <c r="AF250" s="161">
        <f t="shared" si="29"/>
        <v>323447.4988015315</v>
      </c>
      <c r="AG250" s="161">
        <f t="shared" si="38"/>
        <v>256838.76431884264</v>
      </c>
      <c r="AH250" s="162">
        <f t="shared" si="39"/>
        <v>10.111202789827766</v>
      </c>
      <c r="AI250" s="159"/>
      <c r="AJ250" s="157"/>
      <c r="AK250" s="157">
        <f t="shared" si="40"/>
        <v>9.6056426503363781</v>
      </c>
      <c r="AN250" s="161">
        <f t="shared" si="41"/>
        <v>97034.249640459442</v>
      </c>
    </row>
    <row r="251" spans="1:40">
      <c r="A251" s="156">
        <f>'BD Plant List'!A250</f>
        <v>47239</v>
      </c>
      <c r="B251" s="148">
        <f t="shared" si="45"/>
        <v>40</v>
      </c>
      <c r="C251" s="148">
        <f t="shared" si="44"/>
        <v>10</v>
      </c>
      <c r="D251" s="148">
        <f t="shared" si="44"/>
        <v>56</v>
      </c>
      <c r="E251" s="148">
        <f t="shared" si="44"/>
        <v>70</v>
      </c>
      <c r="F251" s="148">
        <f t="shared" si="44"/>
        <v>9</v>
      </c>
      <c r="G251" s="148">
        <f t="shared" si="44"/>
        <v>50</v>
      </c>
      <c r="H251" s="148">
        <f t="shared" si="44"/>
        <v>39</v>
      </c>
      <c r="I251" s="148">
        <f t="shared" si="44"/>
        <v>39</v>
      </c>
      <c r="J251" s="148">
        <f t="shared" si="44"/>
        <v>100</v>
      </c>
      <c r="K251" s="148">
        <f t="shared" si="44"/>
        <v>26</v>
      </c>
      <c r="L251" s="148">
        <f t="shared" si="44"/>
        <v>7</v>
      </c>
      <c r="M251" s="148">
        <f t="shared" si="44"/>
        <v>12</v>
      </c>
      <c r="N251" s="148">
        <f t="shared" si="44"/>
        <v>10</v>
      </c>
      <c r="O251" s="148">
        <f t="shared" si="44"/>
        <v>105</v>
      </c>
      <c r="P251" s="148">
        <f t="shared" si="31"/>
        <v>573</v>
      </c>
      <c r="R251" s="148">
        <f>'Fuel Ethanol'!V30</f>
        <v>126961.46632968279</v>
      </c>
      <c r="S251" s="157">
        <f t="shared" si="32"/>
        <v>33.539410560312305</v>
      </c>
      <c r="T251" s="154">
        <f t="shared" si="33"/>
        <v>0.71215153313054047</v>
      </c>
      <c r="V251" s="149">
        <f t="shared" si="34"/>
        <v>455</v>
      </c>
      <c r="W251" s="149">
        <f t="shared" si="35"/>
        <v>108</v>
      </c>
      <c r="X251" s="149">
        <f t="shared" si="36"/>
        <v>10</v>
      </c>
      <c r="Y251" s="149">
        <f t="shared" si="30"/>
        <v>573</v>
      </c>
      <c r="AA251" s="158">
        <f t="shared" si="37"/>
        <v>0.79406631762652702</v>
      </c>
      <c r="AB251" s="158">
        <f t="shared" si="37"/>
        <v>0.18848167539267016</v>
      </c>
      <c r="AC251" s="158">
        <f t="shared" si="37"/>
        <v>1.7452006980802792E-2</v>
      </c>
      <c r="AE251" s="148"/>
      <c r="AF251" s="161">
        <f t="shared" si="29"/>
        <v>334331.8613348314</v>
      </c>
      <c r="AG251" s="161">
        <f t="shared" si="38"/>
        <v>265481.66999537224</v>
      </c>
      <c r="AH251" s="162">
        <f t="shared" si="39"/>
        <v>10.451455836210815</v>
      </c>
      <c r="AI251" s="159"/>
      <c r="AJ251" s="157"/>
      <c r="AK251" s="157">
        <f t="shared" si="40"/>
        <v>9.9288830444002745</v>
      </c>
      <c r="AN251" s="161">
        <f t="shared" si="41"/>
        <v>100299.55840044942</v>
      </c>
    </row>
    <row r="252" spans="1:40">
      <c r="A252" s="156">
        <f>'BD Plant List'!A251</f>
        <v>47270</v>
      </c>
      <c r="B252" s="148">
        <f t="shared" si="45"/>
        <v>40</v>
      </c>
      <c r="C252" s="148">
        <f t="shared" si="44"/>
        <v>10</v>
      </c>
      <c r="D252" s="148">
        <f t="shared" si="44"/>
        <v>56</v>
      </c>
      <c r="E252" s="148">
        <f t="shared" si="44"/>
        <v>70</v>
      </c>
      <c r="F252" s="148">
        <f t="shared" si="44"/>
        <v>9</v>
      </c>
      <c r="G252" s="148">
        <f t="shared" si="44"/>
        <v>50</v>
      </c>
      <c r="H252" s="148">
        <f t="shared" si="44"/>
        <v>39</v>
      </c>
      <c r="I252" s="148">
        <f t="shared" si="44"/>
        <v>39</v>
      </c>
      <c r="J252" s="148">
        <f t="shared" si="44"/>
        <v>100</v>
      </c>
      <c r="K252" s="148">
        <f t="shared" si="44"/>
        <v>26</v>
      </c>
      <c r="L252" s="148">
        <f t="shared" si="44"/>
        <v>7</v>
      </c>
      <c r="M252" s="148">
        <f t="shared" si="44"/>
        <v>12</v>
      </c>
      <c r="N252" s="148">
        <f t="shared" si="44"/>
        <v>10</v>
      </c>
      <c r="O252" s="148">
        <f t="shared" si="44"/>
        <v>105</v>
      </c>
      <c r="P252" s="148">
        <f t="shared" si="31"/>
        <v>573</v>
      </c>
      <c r="R252" s="148">
        <f>'Fuel Ethanol'!V31</f>
        <v>126002.22079205578</v>
      </c>
      <c r="S252" s="157">
        <f t="shared" si="32"/>
        <v>33.286006666637377</v>
      </c>
      <c r="T252" s="154">
        <f t="shared" si="33"/>
        <v>0.68397187599632048</v>
      </c>
      <c r="V252" s="149">
        <f t="shared" si="34"/>
        <v>455</v>
      </c>
      <c r="W252" s="149">
        <f t="shared" si="35"/>
        <v>108</v>
      </c>
      <c r="X252" s="149">
        <f t="shared" si="36"/>
        <v>10</v>
      </c>
      <c r="Y252" s="149">
        <f t="shared" si="30"/>
        <v>573</v>
      </c>
      <c r="AA252" s="158">
        <f t="shared" si="37"/>
        <v>0.79406631762652702</v>
      </c>
      <c r="AB252" s="158">
        <f t="shared" si="37"/>
        <v>0.18848167539267016</v>
      </c>
      <c r="AC252" s="158">
        <f t="shared" si="37"/>
        <v>1.7452006980802792E-2</v>
      </c>
      <c r="AE252" s="148"/>
      <c r="AF252" s="161">
        <f t="shared" si="29"/>
        <v>331805.84808574693</v>
      </c>
      <c r="AG252" s="161">
        <f t="shared" si="38"/>
        <v>263475.84795639588</v>
      </c>
      <c r="AH252" s="162">
        <f t="shared" si="39"/>
        <v>10.372490834762598</v>
      </c>
      <c r="AI252" s="159"/>
      <c r="AJ252" s="157"/>
      <c r="AK252" s="157">
        <f t="shared" si="40"/>
        <v>9.8538662930244669</v>
      </c>
      <c r="AN252" s="161">
        <f t="shared" si="41"/>
        <v>99541.754425724081</v>
      </c>
    </row>
    <row r="253" spans="1:40">
      <c r="A253" s="156">
        <f>'BD Plant List'!A252</f>
        <v>47300</v>
      </c>
      <c r="B253" s="148">
        <f t="shared" si="45"/>
        <v>40</v>
      </c>
      <c r="C253" s="148">
        <f t="shared" si="44"/>
        <v>10</v>
      </c>
      <c r="D253" s="148">
        <f t="shared" si="44"/>
        <v>56</v>
      </c>
      <c r="E253" s="148">
        <f t="shared" si="44"/>
        <v>70</v>
      </c>
      <c r="F253" s="148">
        <f t="shared" si="44"/>
        <v>9</v>
      </c>
      <c r="G253" s="148">
        <f t="shared" si="44"/>
        <v>50</v>
      </c>
      <c r="H253" s="148">
        <f t="shared" si="44"/>
        <v>39</v>
      </c>
      <c r="I253" s="148">
        <f t="shared" si="44"/>
        <v>39</v>
      </c>
      <c r="J253" s="148">
        <f t="shared" si="44"/>
        <v>100</v>
      </c>
      <c r="K253" s="148">
        <f t="shared" si="44"/>
        <v>26</v>
      </c>
      <c r="L253" s="148">
        <f t="shared" si="44"/>
        <v>7</v>
      </c>
      <c r="M253" s="148">
        <f t="shared" ref="M253:Y273" si="46">M$4</f>
        <v>12</v>
      </c>
      <c r="N253" s="148">
        <f t="shared" si="46"/>
        <v>10</v>
      </c>
      <c r="O253" s="148">
        <f t="shared" si="46"/>
        <v>105</v>
      </c>
      <c r="P253" s="148">
        <f t="shared" si="31"/>
        <v>573</v>
      </c>
      <c r="R253" s="148">
        <f>'Fuel Ethanol'!V32</f>
        <v>138430.32531472115</v>
      </c>
      <c r="S253" s="157">
        <f t="shared" si="32"/>
        <v>36.569139038389892</v>
      </c>
      <c r="T253" s="154">
        <f t="shared" si="33"/>
        <v>0.77648259156557942</v>
      </c>
      <c r="V253" s="149">
        <f t="shared" si="34"/>
        <v>455</v>
      </c>
      <c r="W253" s="149">
        <f t="shared" si="35"/>
        <v>108</v>
      </c>
      <c r="X253" s="149">
        <f t="shared" si="36"/>
        <v>10</v>
      </c>
      <c r="Y253" s="149">
        <f t="shared" si="30"/>
        <v>573</v>
      </c>
      <c r="AA253" s="158">
        <f t="shared" si="37"/>
        <v>0.79406631762652702</v>
      </c>
      <c r="AB253" s="158">
        <f t="shared" si="37"/>
        <v>0.18848167539267016</v>
      </c>
      <c r="AC253" s="158">
        <f t="shared" si="37"/>
        <v>1.7452006980802792E-2</v>
      </c>
      <c r="AE253" s="148"/>
      <c r="AF253" s="161">
        <f t="shared" si="29"/>
        <v>364533.18999543239</v>
      </c>
      <c r="AG253" s="161">
        <f t="shared" si="38"/>
        <v>289463.52783232415</v>
      </c>
      <c r="AH253" s="162">
        <f t="shared" si="39"/>
        <v>11.395571217350152</v>
      </c>
      <c r="AI253" s="159"/>
      <c r="AJ253" s="157"/>
      <c r="AK253" s="157">
        <f t="shared" si="40"/>
        <v>10.825792656482644</v>
      </c>
      <c r="AN253" s="161">
        <f t="shared" si="41"/>
        <v>109359.95699862971</v>
      </c>
    </row>
    <row r="254" spans="1:40">
      <c r="A254" s="156">
        <f>'BD Plant List'!A253</f>
        <v>47331</v>
      </c>
      <c r="B254" s="148">
        <f t="shared" si="45"/>
        <v>40</v>
      </c>
      <c r="C254" s="148">
        <f t="shared" si="45"/>
        <v>10</v>
      </c>
      <c r="D254" s="148">
        <f t="shared" si="45"/>
        <v>56</v>
      </c>
      <c r="E254" s="148">
        <f t="shared" si="45"/>
        <v>70</v>
      </c>
      <c r="F254" s="148">
        <f t="shared" si="45"/>
        <v>9</v>
      </c>
      <c r="G254" s="148">
        <f t="shared" si="45"/>
        <v>50</v>
      </c>
      <c r="H254" s="148">
        <f t="shared" si="45"/>
        <v>39</v>
      </c>
      <c r="I254" s="148">
        <f t="shared" si="45"/>
        <v>39</v>
      </c>
      <c r="J254" s="148">
        <f t="shared" si="45"/>
        <v>100</v>
      </c>
      <c r="K254" s="148">
        <f t="shared" si="45"/>
        <v>26</v>
      </c>
      <c r="L254" s="148">
        <f t="shared" si="45"/>
        <v>7</v>
      </c>
      <c r="M254" s="148">
        <f t="shared" si="45"/>
        <v>12</v>
      </c>
      <c r="N254" s="148">
        <f t="shared" si="45"/>
        <v>10</v>
      </c>
      <c r="O254" s="148">
        <f t="shared" si="45"/>
        <v>105</v>
      </c>
      <c r="P254" s="148">
        <f t="shared" si="31"/>
        <v>573</v>
      </c>
      <c r="R254" s="148">
        <f>'Fuel Ethanol'!V33</f>
        <v>138794.7311581739</v>
      </c>
      <c r="S254" s="157">
        <f t="shared" si="32"/>
        <v>36.665404130054803</v>
      </c>
      <c r="T254" s="154">
        <f t="shared" si="33"/>
        <v>0.75341285297922655</v>
      </c>
      <c r="V254" s="149">
        <f t="shared" si="34"/>
        <v>455</v>
      </c>
      <c r="W254" s="149">
        <f t="shared" si="35"/>
        <v>108</v>
      </c>
      <c r="X254" s="149">
        <f t="shared" si="36"/>
        <v>10</v>
      </c>
      <c r="Y254" s="149">
        <f t="shared" si="30"/>
        <v>573</v>
      </c>
      <c r="AA254" s="158">
        <f t="shared" si="37"/>
        <v>0.79406631762652702</v>
      </c>
      <c r="AB254" s="158">
        <f t="shared" si="37"/>
        <v>0.18848167539267016</v>
      </c>
      <c r="AC254" s="158">
        <f t="shared" si="37"/>
        <v>1.7452006980802792E-2</v>
      </c>
      <c r="AE254" s="148"/>
      <c r="AF254" s="161">
        <f t="shared" si="29"/>
        <v>365492.79204985796</v>
      </c>
      <c r="AG254" s="161">
        <f t="shared" si="38"/>
        <v>290225.51550206868</v>
      </c>
      <c r="AH254" s="162">
        <f t="shared" si="39"/>
        <v>11.425569071733889</v>
      </c>
      <c r="AI254" s="159"/>
      <c r="AJ254" s="157"/>
      <c r="AK254" s="157">
        <f t="shared" si="40"/>
        <v>10.854290618147195</v>
      </c>
      <c r="AN254" s="161">
        <f t="shared" si="41"/>
        <v>109647.83761495739</v>
      </c>
    </row>
    <row r="255" spans="1:40">
      <c r="A255" s="156">
        <f>'BD Plant List'!A254</f>
        <v>47362</v>
      </c>
      <c r="B255" s="148">
        <f t="shared" si="45"/>
        <v>40</v>
      </c>
      <c r="C255" s="148">
        <f t="shared" si="45"/>
        <v>10</v>
      </c>
      <c r="D255" s="148">
        <f t="shared" si="45"/>
        <v>56</v>
      </c>
      <c r="E255" s="148">
        <f t="shared" si="45"/>
        <v>70</v>
      </c>
      <c r="F255" s="148">
        <f t="shared" si="45"/>
        <v>9</v>
      </c>
      <c r="G255" s="148">
        <f t="shared" si="45"/>
        <v>50</v>
      </c>
      <c r="H255" s="148">
        <f t="shared" si="45"/>
        <v>39</v>
      </c>
      <c r="I255" s="148">
        <f t="shared" si="45"/>
        <v>39</v>
      </c>
      <c r="J255" s="148">
        <f t="shared" si="45"/>
        <v>100</v>
      </c>
      <c r="K255" s="148">
        <f t="shared" si="45"/>
        <v>26</v>
      </c>
      <c r="L255" s="148">
        <f t="shared" si="45"/>
        <v>7</v>
      </c>
      <c r="M255" s="148">
        <f t="shared" si="45"/>
        <v>12</v>
      </c>
      <c r="N255" s="148">
        <f t="shared" si="45"/>
        <v>10</v>
      </c>
      <c r="O255" s="148">
        <f t="shared" si="45"/>
        <v>105</v>
      </c>
      <c r="P255" s="148">
        <f t="shared" si="31"/>
        <v>573</v>
      </c>
      <c r="R255" s="148">
        <f>'Fuel Ethanol'!V34</f>
        <v>122256.32509412433</v>
      </c>
      <c r="S255" s="157">
        <f t="shared" si="32"/>
        <v>32.296453400114828</v>
      </c>
      <c r="T255" s="154">
        <f t="shared" si="33"/>
        <v>0.66363820813161689</v>
      </c>
      <c r="V255" s="149">
        <f t="shared" si="34"/>
        <v>455</v>
      </c>
      <c r="W255" s="149">
        <f t="shared" si="35"/>
        <v>108</v>
      </c>
      <c r="X255" s="149">
        <f t="shared" si="36"/>
        <v>10</v>
      </c>
      <c r="Y255" s="149">
        <f t="shared" si="30"/>
        <v>573</v>
      </c>
      <c r="AA255" s="158">
        <f t="shared" si="37"/>
        <v>0.79406631762652702</v>
      </c>
      <c r="AB255" s="158">
        <f t="shared" si="37"/>
        <v>0.18848167539267016</v>
      </c>
      <c r="AC255" s="158">
        <f t="shared" si="37"/>
        <v>1.7452006980802792E-2</v>
      </c>
      <c r="AE255" s="148"/>
      <c r="AF255" s="161">
        <f t="shared" si="29"/>
        <v>321941.65608119412</v>
      </c>
      <c r="AG255" s="161">
        <f t="shared" si="38"/>
        <v>255643.02533497961</v>
      </c>
      <c r="AH255" s="162">
        <f t="shared" si="39"/>
        <v>10.064129057084944</v>
      </c>
      <c r="AI255" s="159"/>
      <c r="AJ255" s="157"/>
      <c r="AK255" s="157">
        <f t="shared" si="40"/>
        <v>9.5609226042306972</v>
      </c>
      <c r="AN255" s="161">
        <f t="shared" si="41"/>
        <v>96582.496824358226</v>
      </c>
    </row>
    <row r="256" spans="1:40">
      <c r="A256" s="156">
        <f>'BD Plant List'!A255</f>
        <v>47392</v>
      </c>
      <c r="B256" s="148">
        <f t="shared" si="45"/>
        <v>40</v>
      </c>
      <c r="C256" s="148">
        <f t="shared" si="45"/>
        <v>10</v>
      </c>
      <c r="D256" s="148">
        <f t="shared" si="45"/>
        <v>56</v>
      </c>
      <c r="E256" s="148">
        <f t="shared" si="45"/>
        <v>70</v>
      </c>
      <c r="F256" s="148">
        <f t="shared" si="45"/>
        <v>9</v>
      </c>
      <c r="G256" s="148">
        <f t="shared" si="45"/>
        <v>50</v>
      </c>
      <c r="H256" s="148">
        <f t="shared" si="45"/>
        <v>39</v>
      </c>
      <c r="I256" s="148">
        <f t="shared" si="45"/>
        <v>39</v>
      </c>
      <c r="J256" s="148">
        <f t="shared" si="45"/>
        <v>100</v>
      </c>
      <c r="K256" s="148">
        <f t="shared" si="45"/>
        <v>26</v>
      </c>
      <c r="L256" s="148">
        <f t="shared" si="45"/>
        <v>7</v>
      </c>
      <c r="M256" s="148">
        <f t="shared" si="45"/>
        <v>12</v>
      </c>
      <c r="N256" s="148">
        <f t="shared" si="45"/>
        <v>10</v>
      </c>
      <c r="O256" s="148">
        <f t="shared" si="45"/>
        <v>105</v>
      </c>
      <c r="P256" s="148">
        <f t="shared" si="31"/>
        <v>573</v>
      </c>
      <c r="R256" s="148">
        <f>'Fuel Ethanol'!V35</f>
        <v>121221.85591436282</v>
      </c>
      <c r="S256" s="157">
        <f t="shared" si="32"/>
        <v>32.023177676897227</v>
      </c>
      <c r="T256" s="154">
        <f t="shared" si="33"/>
        <v>0.67995694311038313</v>
      </c>
      <c r="V256" s="149">
        <f t="shared" si="34"/>
        <v>455</v>
      </c>
      <c r="W256" s="149">
        <f t="shared" si="35"/>
        <v>108</v>
      </c>
      <c r="X256" s="149">
        <f t="shared" si="36"/>
        <v>10</v>
      </c>
      <c r="Y256" s="149">
        <f t="shared" si="30"/>
        <v>573</v>
      </c>
      <c r="AA256" s="158">
        <f t="shared" si="37"/>
        <v>0.79406631762652702</v>
      </c>
      <c r="AB256" s="158">
        <f t="shared" si="37"/>
        <v>0.18848167539267016</v>
      </c>
      <c r="AC256" s="158">
        <f t="shared" si="37"/>
        <v>1.7452006980802792E-2</v>
      </c>
      <c r="AE256" s="148"/>
      <c r="AF256" s="161">
        <f t="shared" si="29"/>
        <v>319217.55390782212</v>
      </c>
      <c r="AG256" s="161">
        <f t="shared" si="38"/>
        <v>253479.90755333169</v>
      </c>
      <c r="AH256" s="162">
        <f t="shared" si="39"/>
        <v>9.9789716525688057</v>
      </c>
      <c r="AI256" s="159"/>
      <c r="AJ256" s="157"/>
      <c r="AK256" s="157">
        <f t="shared" si="40"/>
        <v>9.4800230699403656</v>
      </c>
      <c r="AN256" s="161">
        <f t="shared" si="41"/>
        <v>95765.26617234663</v>
      </c>
    </row>
    <row r="257" spans="1:40">
      <c r="A257" s="156">
        <f>'BD Plant List'!A256</f>
        <v>47423</v>
      </c>
      <c r="B257" s="148">
        <f t="shared" si="45"/>
        <v>40</v>
      </c>
      <c r="C257" s="148">
        <f t="shared" si="45"/>
        <v>10</v>
      </c>
      <c r="D257" s="148">
        <f t="shared" si="45"/>
        <v>56</v>
      </c>
      <c r="E257" s="148">
        <f t="shared" si="45"/>
        <v>70</v>
      </c>
      <c r="F257" s="148">
        <f t="shared" si="45"/>
        <v>9</v>
      </c>
      <c r="G257" s="148">
        <f t="shared" si="45"/>
        <v>50</v>
      </c>
      <c r="H257" s="148">
        <f t="shared" si="45"/>
        <v>39</v>
      </c>
      <c r="I257" s="148">
        <f t="shared" si="45"/>
        <v>39</v>
      </c>
      <c r="J257" s="148">
        <f t="shared" si="45"/>
        <v>100</v>
      </c>
      <c r="K257" s="148">
        <f t="shared" si="45"/>
        <v>26</v>
      </c>
      <c r="L257" s="148">
        <f t="shared" si="45"/>
        <v>7</v>
      </c>
      <c r="M257" s="148">
        <f t="shared" si="45"/>
        <v>12</v>
      </c>
      <c r="N257" s="148">
        <f t="shared" si="45"/>
        <v>10</v>
      </c>
      <c r="O257" s="148">
        <f t="shared" si="45"/>
        <v>105</v>
      </c>
      <c r="P257" s="148">
        <f t="shared" si="31"/>
        <v>573</v>
      </c>
      <c r="R257" s="148">
        <f>'Fuel Ethanol'!V36</f>
        <v>136259.67280828085</v>
      </c>
      <c r="S257" s="157">
        <f t="shared" si="32"/>
        <v>35.995717765763558</v>
      </c>
      <c r="T257" s="154">
        <f t="shared" si="33"/>
        <v>0.73965191603353586</v>
      </c>
      <c r="V257" s="149">
        <f t="shared" si="34"/>
        <v>455</v>
      </c>
      <c r="W257" s="149">
        <f t="shared" si="35"/>
        <v>108</v>
      </c>
      <c r="X257" s="149">
        <f t="shared" si="36"/>
        <v>10</v>
      </c>
      <c r="Y257" s="149">
        <f t="shared" si="30"/>
        <v>573</v>
      </c>
      <c r="AA257" s="158">
        <f t="shared" si="37"/>
        <v>0.79406631762652702</v>
      </c>
      <c r="AB257" s="158">
        <f t="shared" si="37"/>
        <v>0.18848167539267016</v>
      </c>
      <c r="AC257" s="158">
        <f t="shared" si="37"/>
        <v>1.7452006980802792E-2</v>
      </c>
      <c r="AE257" s="148"/>
      <c r="AF257" s="161">
        <f t="shared" si="29"/>
        <v>358817.1383951396</v>
      </c>
      <c r="AG257" s="161">
        <f t="shared" si="38"/>
        <v>284924.60378671641</v>
      </c>
      <c r="AH257" s="162">
        <f t="shared" si="39"/>
        <v>11.216883309415072</v>
      </c>
      <c r="AI257" s="159"/>
      <c r="AJ257" s="157"/>
      <c r="AK257" s="157">
        <f t="shared" si="40"/>
        <v>10.656039143944318</v>
      </c>
      <c r="AN257" s="161">
        <f t="shared" si="41"/>
        <v>107645.14151854187</v>
      </c>
    </row>
    <row r="258" spans="1:40">
      <c r="A258" s="156">
        <f>'BD Plant List'!A257</f>
        <v>47453</v>
      </c>
      <c r="B258" s="148">
        <f t="shared" si="45"/>
        <v>40</v>
      </c>
      <c r="C258" s="148">
        <f t="shared" si="45"/>
        <v>10</v>
      </c>
      <c r="D258" s="148">
        <f t="shared" si="45"/>
        <v>56</v>
      </c>
      <c r="E258" s="148">
        <f t="shared" si="45"/>
        <v>70</v>
      </c>
      <c r="F258" s="148">
        <f t="shared" si="45"/>
        <v>9</v>
      </c>
      <c r="G258" s="148">
        <f t="shared" si="45"/>
        <v>50</v>
      </c>
      <c r="H258" s="148">
        <f t="shared" si="45"/>
        <v>39</v>
      </c>
      <c r="I258" s="148">
        <f t="shared" si="45"/>
        <v>39</v>
      </c>
      <c r="J258" s="148">
        <f t="shared" si="45"/>
        <v>100</v>
      </c>
      <c r="K258" s="148">
        <f t="shared" si="45"/>
        <v>26</v>
      </c>
      <c r="L258" s="148">
        <f t="shared" si="45"/>
        <v>7</v>
      </c>
      <c r="M258" s="148">
        <f t="shared" si="45"/>
        <v>12</v>
      </c>
      <c r="N258" s="148">
        <f t="shared" si="45"/>
        <v>10</v>
      </c>
      <c r="O258" s="148">
        <f t="shared" si="45"/>
        <v>105</v>
      </c>
      <c r="P258" s="148">
        <f t="shared" si="31"/>
        <v>573</v>
      </c>
      <c r="R258" s="148">
        <f>'Fuel Ethanol'!V37</f>
        <v>125780.2557576329</v>
      </c>
      <c r="S258" s="157">
        <f t="shared" si="32"/>
        <v>33.22737016349388</v>
      </c>
      <c r="T258" s="154">
        <f t="shared" si="33"/>
        <v>0.70552589352386652</v>
      </c>
      <c r="V258" s="149">
        <f t="shared" si="34"/>
        <v>455</v>
      </c>
      <c r="W258" s="149">
        <f t="shared" si="35"/>
        <v>108</v>
      </c>
      <c r="X258" s="149">
        <f t="shared" si="36"/>
        <v>10</v>
      </c>
      <c r="Y258" s="149">
        <f t="shared" si="30"/>
        <v>573</v>
      </c>
      <c r="AA258" s="158">
        <f t="shared" si="37"/>
        <v>0.79406631762652702</v>
      </c>
      <c r="AB258" s="158">
        <f t="shared" si="37"/>
        <v>0.18848167539267016</v>
      </c>
      <c r="AC258" s="158">
        <f t="shared" si="37"/>
        <v>1.7452006980802792E-2</v>
      </c>
      <c r="AE258" s="148"/>
      <c r="AF258" s="161">
        <f t="shared" si="29"/>
        <v>331221.34016176668</v>
      </c>
      <c r="AG258" s="161">
        <f t="shared" si="38"/>
        <v>263011.70990157739</v>
      </c>
      <c r="AH258" s="162">
        <f t="shared" si="39"/>
        <v>10.354218694234309</v>
      </c>
      <c r="AI258" s="159"/>
      <c r="AJ258" s="157"/>
      <c r="AK258" s="157">
        <f t="shared" si="40"/>
        <v>9.8365077595225934</v>
      </c>
      <c r="AN258" s="161">
        <f t="shared" si="41"/>
        <v>99366.402048529999</v>
      </c>
    </row>
    <row r="259" spans="1:40">
      <c r="A259" s="156">
        <f>'BD Plant List'!A258</f>
        <v>47484</v>
      </c>
      <c r="B259" s="148">
        <f t="shared" si="45"/>
        <v>40</v>
      </c>
      <c r="C259" s="148">
        <f t="shared" si="45"/>
        <v>10</v>
      </c>
      <c r="D259" s="148">
        <f t="shared" si="45"/>
        <v>56</v>
      </c>
      <c r="E259" s="148">
        <f t="shared" si="45"/>
        <v>70</v>
      </c>
      <c r="F259" s="148">
        <f t="shared" si="45"/>
        <v>9</v>
      </c>
      <c r="G259" s="148">
        <f t="shared" si="45"/>
        <v>50</v>
      </c>
      <c r="H259" s="148">
        <f t="shared" si="45"/>
        <v>39</v>
      </c>
      <c r="I259" s="148">
        <f t="shared" si="45"/>
        <v>39</v>
      </c>
      <c r="J259" s="148">
        <f t="shared" si="45"/>
        <v>100</v>
      </c>
      <c r="K259" s="148">
        <f t="shared" si="45"/>
        <v>26</v>
      </c>
      <c r="L259" s="148">
        <f t="shared" si="45"/>
        <v>7</v>
      </c>
      <c r="M259" s="148">
        <f t="shared" si="45"/>
        <v>12</v>
      </c>
      <c r="N259" s="148">
        <f t="shared" si="45"/>
        <v>10</v>
      </c>
      <c r="O259" s="148">
        <f t="shared" si="45"/>
        <v>105</v>
      </c>
      <c r="P259" s="148">
        <f t="shared" si="31"/>
        <v>573</v>
      </c>
      <c r="R259" s="148">
        <f>'Fuel Ethanol'!W26</f>
        <v>130965.8286096135</v>
      </c>
      <c r="S259" s="157">
        <f t="shared" si="32"/>
        <v>34.597242943801596</v>
      </c>
      <c r="T259" s="154">
        <f t="shared" si="33"/>
        <v>0.71091559277642191</v>
      </c>
      <c r="V259" s="149">
        <f t="shared" si="34"/>
        <v>455</v>
      </c>
      <c r="W259" s="149">
        <f t="shared" si="35"/>
        <v>108</v>
      </c>
      <c r="X259" s="149">
        <f t="shared" si="36"/>
        <v>10</v>
      </c>
      <c r="Y259" s="149">
        <f t="shared" si="30"/>
        <v>573</v>
      </c>
      <c r="AA259" s="158">
        <f t="shared" si="37"/>
        <v>0.79406631762652702</v>
      </c>
      <c r="AB259" s="158">
        <f t="shared" si="37"/>
        <v>0.18848167539267016</v>
      </c>
      <c r="AC259" s="158">
        <f t="shared" si="37"/>
        <v>1.7452006980802792E-2</v>
      </c>
      <c r="AE259" s="148"/>
      <c r="AF259" s="161">
        <f t="shared" si="29"/>
        <v>344876.68200531561</v>
      </c>
      <c r="AG259" s="161">
        <f t="shared" si="38"/>
        <v>273854.95691521571</v>
      </c>
      <c r="AH259" s="162">
        <f t="shared" si="39"/>
        <v>10.78109455834252</v>
      </c>
      <c r="AI259" s="159"/>
      <c r="AJ259" s="157"/>
      <c r="AK259" s="157">
        <f t="shared" si="40"/>
        <v>10.242039830425394</v>
      </c>
      <c r="AN259" s="161">
        <f t="shared" si="41"/>
        <v>103463.00460159467</v>
      </c>
    </row>
    <row r="260" spans="1:40">
      <c r="A260" s="156">
        <f>'BD Plant List'!A259</f>
        <v>47515</v>
      </c>
      <c r="B260" s="148">
        <f t="shared" si="45"/>
        <v>40</v>
      </c>
      <c r="C260" s="148">
        <f t="shared" si="45"/>
        <v>10</v>
      </c>
      <c r="D260" s="148">
        <f t="shared" si="45"/>
        <v>56</v>
      </c>
      <c r="E260" s="148">
        <f t="shared" si="45"/>
        <v>70</v>
      </c>
      <c r="F260" s="148">
        <f t="shared" si="45"/>
        <v>9</v>
      </c>
      <c r="G260" s="148">
        <f t="shared" si="45"/>
        <v>50</v>
      </c>
      <c r="H260" s="148">
        <f t="shared" si="45"/>
        <v>39</v>
      </c>
      <c r="I260" s="148">
        <f t="shared" si="45"/>
        <v>39</v>
      </c>
      <c r="J260" s="148">
        <f t="shared" si="45"/>
        <v>100</v>
      </c>
      <c r="K260" s="148">
        <f t="shared" si="45"/>
        <v>26</v>
      </c>
      <c r="L260" s="148">
        <f t="shared" si="45"/>
        <v>7</v>
      </c>
      <c r="M260" s="148">
        <f t="shared" si="45"/>
        <v>12</v>
      </c>
      <c r="N260" s="148">
        <f t="shared" si="45"/>
        <v>10</v>
      </c>
      <c r="O260" s="148">
        <f t="shared" si="45"/>
        <v>105</v>
      </c>
      <c r="P260" s="148">
        <f t="shared" si="31"/>
        <v>573</v>
      </c>
      <c r="R260" s="148">
        <f>'Fuel Ethanol'!W27</f>
        <v>123853.29569015274</v>
      </c>
      <c r="S260" s="157">
        <f t="shared" si="32"/>
        <v>32.718325122467654</v>
      </c>
      <c r="T260" s="154">
        <f t="shared" si="33"/>
        <v>0.67230696783767907</v>
      </c>
      <c r="V260" s="149">
        <f t="shared" si="34"/>
        <v>455</v>
      </c>
      <c r="W260" s="149">
        <f t="shared" si="35"/>
        <v>108</v>
      </c>
      <c r="X260" s="149">
        <f t="shared" si="36"/>
        <v>10</v>
      </c>
      <c r="Y260" s="149">
        <f t="shared" si="30"/>
        <v>573</v>
      </c>
      <c r="AA260" s="158">
        <f t="shared" si="37"/>
        <v>0.79406631762652702</v>
      </c>
      <c r="AB260" s="158">
        <f t="shared" si="37"/>
        <v>0.18848167539267016</v>
      </c>
      <c r="AC260" s="158">
        <f t="shared" si="37"/>
        <v>1.7452006980802792E-2</v>
      </c>
      <c r="AE260" s="148"/>
      <c r="AF260" s="161">
        <f t="shared" si="29"/>
        <v>326147.0119840689</v>
      </c>
      <c r="AG260" s="161">
        <f t="shared" si="38"/>
        <v>258982.35681108438</v>
      </c>
      <c r="AH260" s="162">
        <f t="shared" si="39"/>
        <v>10.195591524703088</v>
      </c>
      <c r="AI260" s="159"/>
      <c r="AJ260" s="157"/>
      <c r="AK260" s="157">
        <f t="shared" si="40"/>
        <v>9.6858119484679328</v>
      </c>
      <c r="AN260" s="161">
        <f t="shared" si="41"/>
        <v>97844.103595220673</v>
      </c>
    </row>
    <row r="261" spans="1:40">
      <c r="A261" s="156">
        <f>'BD Plant List'!A260</f>
        <v>47543</v>
      </c>
      <c r="B261" s="148">
        <f t="shared" si="45"/>
        <v>40</v>
      </c>
      <c r="C261" s="148">
        <f t="shared" si="45"/>
        <v>10</v>
      </c>
      <c r="D261" s="148">
        <f t="shared" si="45"/>
        <v>56</v>
      </c>
      <c r="E261" s="148">
        <f t="shared" si="45"/>
        <v>70</v>
      </c>
      <c r="F261" s="148">
        <f t="shared" si="45"/>
        <v>9</v>
      </c>
      <c r="G261" s="148">
        <f t="shared" si="45"/>
        <v>50</v>
      </c>
      <c r="H261" s="148">
        <f t="shared" si="45"/>
        <v>39</v>
      </c>
      <c r="I261" s="148">
        <f t="shared" si="45"/>
        <v>39</v>
      </c>
      <c r="J261" s="148">
        <f t="shared" si="45"/>
        <v>100</v>
      </c>
      <c r="K261" s="148">
        <f t="shared" si="45"/>
        <v>26</v>
      </c>
      <c r="L261" s="148">
        <f t="shared" si="45"/>
        <v>7</v>
      </c>
      <c r="M261" s="148">
        <f t="shared" si="45"/>
        <v>12</v>
      </c>
      <c r="N261" s="148">
        <f t="shared" si="45"/>
        <v>10</v>
      </c>
      <c r="O261" s="148">
        <f t="shared" si="45"/>
        <v>105</v>
      </c>
      <c r="P261" s="148">
        <f t="shared" si="31"/>
        <v>573</v>
      </c>
      <c r="R261" s="148">
        <f>'Fuel Ethanol'!W28</f>
        <v>135149.45287968029</v>
      </c>
      <c r="S261" s="157">
        <f t="shared" si="32"/>
        <v>35.702430967225141</v>
      </c>
      <c r="T261" s="154">
        <f t="shared" si="33"/>
        <v>0.81222807922196305</v>
      </c>
      <c r="V261" s="149">
        <f t="shared" si="34"/>
        <v>455</v>
      </c>
      <c r="W261" s="149">
        <f t="shared" si="35"/>
        <v>108</v>
      </c>
      <c r="X261" s="149">
        <f t="shared" si="36"/>
        <v>10</v>
      </c>
      <c r="Y261" s="149">
        <f t="shared" si="30"/>
        <v>573</v>
      </c>
      <c r="AA261" s="158">
        <f t="shared" si="37"/>
        <v>0.79406631762652702</v>
      </c>
      <c r="AB261" s="158">
        <f t="shared" si="37"/>
        <v>0.18848167539267016</v>
      </c>
      <c r="AC261" s="158">
        <f t="shared" si="37"/>
        <v>1.7452006980802792E-2</v>
      </c>
      <c r="AE261" s="148"/>
      <c r="AF261" s="161">
        <f t="shared" si="29"/>
        <v>355893.55924982484</v>
      </c>
      <c r="AG261" s="161">
        <f t="shared" si="38"/>
        <v>282603.08806050662</v>
      </c>
      <c r="AH261" s="162">
        <f t="shared" si="39"/>
        <v>11.125490110457218</v>
      </c>
      <c r="AI261" s="159"/>
      <c r="AJ261" s="157"/>
      <c r="AK261" s="157">
        <f t="shared" si="40"/>
        <v>10.569215604934357</v>
      </c>
      <c r="AN261" s="161">
        <f t="shared" si="41"/>
        <v>106768.06777494744</v>
      </c>
    </row>
    <row r="262" spans="1:40">
      <c r="A262" s="156">
        <f>'BD Plant List'!A261</f>
        <v>47574</v>
      </c>
      <c r="B262" s="148">
        <f t="shared" si="45"/>
        <v>40</v>
      </c>
      <c r="C262" s="148">
        <f t="shared" si="45"/>
        <v>10</v>
      </c>
      <c r="D262" s="148">
        <f t="shared" si="45"/>
        <v>56</v>
      </c>
      <c r="E262" s="148">
        <f t="shared" si="45"/>
        <v>70</v>
      </c>
      <c r="F262" s="148">
        <f t="shared" si="45"/>
        <v>9</v>
      </c>
      <c r="G262" s="148">
        <f t="shared" si="45"/>
        <v>50</v>
      </c>
      <c r="H262" s="148">
        <f t="shared" si="45"/>
        <v>39</v>
      </c>
      <c r="I262" s="148">
        <f t="shared" si="45"/>
        <v>39</v>
      </c>
      <c r="J262" s="148">
        <f t="shared" si="45"/>
        <v>100</v>
      </c>
      <c r="K262" s="148">
        <f t="shared" si="45"/>
        <v>26</v>
      </c>
      <c r="L262" s="148">
        <f t="shared" si="45"/>
        <v>7</v>
      </c>
      <c r="M262" s="148">
        <f t="shared" si="45"/>
        <v>12</v>
      </c>
      <c r="N262" s="148">
        <f t="shared" si="45"/>
        <v>10</v>
      </c>
      <c r="O262" s="148">
        <f t="shared" si="45"/>
        <v>105</v>
      </c>
      <c r="P262" s="148">
        <f t="shared" si="31"/>
        <v>573</v>
      </c>
      <c r="R262" s="148">
        <f>'Fuel Ethanol'!W29</f>
        <v>121691.63643375499</v>
      </c>
      <c r="S262" s="157">
        <f t="shared" si="32"/>
        <v>32.147279596705054</v>
      </c>
      <c r="T262" s="154">
        <f t="shared" si="33"/>
        <v>0.6605729354724621</v>
      </c>
      <c r="V262" s="149">
        <f t="shared" si="34"/>
        <v>455</v>
      </c>
      <c r="W262" s="149">
        <f t="shared" si="35"/>
        <v>108</v>
      </c>
      <c r="X262" s="149">
        <f t="shared" si="36"/>
        <v>10</v>
      </c>
      <c r="Y262" s="149">
        <f t="shared" si="30"/>
        <v>573</v>
      </c>
      <c r="AA262" s="158">
        <f t="shared" si="37"/>
        <v>0.79406631762652702</v>
      </c>
      <c r="AB262" s="158">
        <f t="shared" si="37"/>
        <v>0.18848167539267016</v>
      </c>
      <c r="AC262" s="158">
        <f t="shared" si="37"/>
        <v>1.7452006980802792E-2</v>
      </c>
      <c r="AE262" s="148"/>
      <c r="AF262" s="161">
        <f t="shared" si="29"/>
        <v>320454.64260888816</v>
      </c>
      <c r="AG262" s="161">
        <f t="shared" si="38"/>
        <v>254462.23802276459</v>
      </c>
      <c r="AH262" s="162">
        <f t="shared" si="39"/>
        <v>10.017643940256395</v>
      </c>
      <c r="AI262" s="159"/>
      <c r="AJ262" s="157"/>
      <c r="AK262" s="157">
        <f t="shared" si="40"/>
        <v>9.516761743243574</v>
      </c>
      <c r="AN262" s="161">
        <f t="shared" si="41"/>
        <v>96136.392782666444</v>
      </c>
    </row>
    <row r="263" spans="1:40">
      <c r="A263" s="156">
        <f>'BD Plant List'!A262</f>
        <v>47604</v>
      </c>
      <c r="B263" s="148">
        <f t="shared" si="45"/>
        <v>40</v>
      </c>
      <c r="C263" s="148">
        <f t="shared" si="45"/>
        <v>10</v>
      </c>
      <c r="D263" s="148">
        <f t="shared" si="45"/>
        <v>56</v>
      </c>
      <c r="E263" s="148">
        <f t="shared" si="45"/>
        <v>70</v>
      </c>
      <c r="F263" s="148">
        <f t="shared" si="45"/>
        <v>9</v>
      </c>
      <c r="G263" s="148">
        <f t="shared" si="45"/>
        <v>50</v>
      </c>
      <c r="H263" s="148">
        <f t="shared" si="45"/>
        <v>39</v>
      </c>
      <c r="I263" s="148">
        <f t="shared" si="45"/>
        <v>39</v>
      </c>
      <c r="J263" s="148">
        <f t="shared" si="45"/>
        <v>100</v>
      </c>
      <c r="K263" s="148">
        <f t="shared" si="45"/>
        <v>26</v>
      </c>
      <c r="L263" s="148">
        <f t="shared" si="45"/>
        <v>7</v>
      </c>
      <c r="M263" s="148">
        <f t="shared" si="45"/>
        <v>12</v>
      </c>
      <c r="N263" s="148">
        <f t="shared" si="45"/>
        <v>10</v>
      </c>
      <c r="O263" s="148">
        <f t="shared" si="45"/>
        <v>105</v>
      </c>
      <c r="P263" s="148">
        <f t="shared" si="31"/>
        <v>573</v>
      </c>
      <c r="R263" s="148">
        <f>'Fuel Ethanol'!W30</f>
        <v>125402.10845487627</v>
      </c>
      <c r="S263" s="157">
        <f t="shared" si="32"/>
        <v>33.127474990524668</v>
      </c>
      <c r="T263" s="154">
        <f t="shared" si="33"/>
        <v>0.7034047918290578</v>
      </c>
      <c r="V263" s="149">
        <f t="shared" si="34"/>
        <v>455</v>
      </c>
      <c r="W263" s="149">
        <f t="shared" si="35"/>
        <v>108</v>
      </c>
      <c r="X263" s="149">
        <f t="shared" si="36"/>
        <v>10</v>
      </c>
      <c r="Y263" s="149">
        <f t="shared" si="30"/>
        <v>573</v>
      </c>
      <c r="AA263" s="158">
        <f t="shared" si="37"/>
        <v>0.79406631762652702</v>
      </c>
      <c r="AB263" s="158">
        <f t="shared" si="37"/>
        <v>0.18848167539267016</v>
      </c>
      <c r="AC263" s="158">
        <f t="shared" si="37"/>
        <v>1.7452006980802792E-2</v>
      </c>
      <c r="AE263" s="148"/>
      <c r="AF263" s="161">
        <f t="shared" si="29"/>
        <v>330225.55226450751</v>
      </c>
      <c r="AG263" s="161">
        <f t="shared" si="38"/>
        <v>262220.98827286373</v>
      </c>
      <c r="AH263" s="162">
        <f t="shared" si="39"/>
        <v>10.323089644227272</v>
      </c>
      <c r="AI263" s="159"/>
      <c r="AJ263" s="157"/>
      <c r="AK263" s="157">
        <f t="shared" si="40"/>
        <v>9.8069351620159075</v>
      </c>
      <c r="AN263" s="161">
        <f t="shared" si="41"/>
        <v>99067.665679352256</v>
      </c>
    </row>
    <row r="264" spans="1:40">
      <c r="A264" s="156">
        <f>'BD Plant List'!A263</f>
        <v>47635</v>
      </c>
      <c r="B264" s="148">
        <f t="shared" si="45"/>
        <v>40</v>
      </c>
      <c r="C264" s="148">
        <f t="shared" si="45"/>
        <v>10</v>
      </c>
      <c r="D264" s="148">
        <f t="shared" si="45"/>
        <v>56</v>
      </c>
      <c r="E264" s="148">
        <f t="shared" si="45"/>
        <v>70</v>
      </c>
      <c r="F264" s="148">
        <f t="shared" si="45"/>
        <v>9</v>
      </c>
      <c r="G264" s="148">
        <f t="shared" si="45"/>
        <v>50</v>
      </c>
      <c r="H264" s="148">
        <f t="shared" si="45"/>
        <v>39</v>
      </c>
      <c r="I264" s="148">
        <f t="shared" si="45"/>
        <v>39</v>
      </c>
      <c r="J264" s="148">
        <f t="shared" si="45"/>
        <v>100</v>
      </c>
      <c r="K264" s="148">
        <f t="shared" si="45"/>
        <v>26</v>
      </c>
      <c r="L264" s="148">
        <f t="shared" si="45"/>
        <v>7</v>
      </c>
      <c r="M264" s="148">
        <f t="shared" si="45"/>
        <v>12</v>
      </c>
      <c r="N264" s="148">
        <f t="shared" si="45"/>
        <v>10</v>
      </c>
      <c r="O264" s="148">
        <f t="shared" si="45"/>
        <v>105</v>
      </c>
      <c r="P264" s="148">
        <f t="shared" si="31"/>
        <v>573</v>
      </c>
      <c r="R264" s="148">
        <f>'Fuel Ethanol'!W31</f>
        <v>124792.5386319924</v>
      </c>
      <c r="S264" s="157">
        <f t="shared" si="32"/>
        <v>32.966444930413438</v>
      </c>
      <c r="T264" s="154">
        <f t="shared" si="33"/>
        <v>0.67740541572937585</v>
      </c>
      <c r="V264" s="149">
        <f t="shared" si="34"/>
        <v>455</v>
      </c>
      <c r="W264" s="149">
        <f t="shared" si="35"/>
        <v>108</v>
      </c>
      <c r="X264" s="149">
        <f t="shared" si="36"/>
        <v>10</v>
      </c>
      <c r="Y264" s="149">
        <f t="shared" si="30"/>
        <v>573</v>
      </c>
      <c r="AA264" s="158">
        <f t="shared" si="37"/>
        <v>0.79406631762652702</v>
      </c>
      <c r="AB264" s="158">
        <f t="shared" si="37"/>
        <v>0.18848167539267016</v>
      </c>
      <c r="AC264" s="158">
        <f t="shared" si="37"/>
        <v>1.7452006980802792E-2</v>
      </c>
      <c r="AE264" s="148"/>
      <c r="AF264" s="161">
        <f t="shared" si="29"/>
        <v>328620.35173091333</v>
      </c>
      <c r="AG264" s="161">
        <f t="shared" si="38"/>
        <v>260946.35259610045</v>
      </c>
      <c r="AH264" s="162">
        <f t="shared" si="39"/>
        <v>10.272909914368022</v>
      </c>
      <c r="AI264" s="159"/>
      <c r="AJ264" s="157"/>
      <c r="AK264" s="157">
        <f t="shared" si="40"/>
        <v>9.7592644186496198</v>
      </c>
      <c r="AN264" s="161">
        <f t="shared" si="41"/>
        <v>98586.105519274002</v>
      </c>
    </row>
    <row r="265" spans="1:40">
      <c r="A265" s="156">
        <f>'BD Plant List'!A264</f>
        <v>47665</v>
      </c>
      <c r="B265" s="148">
        <f t="shared" si="45"/>
        <v>40</v>
      </c>
      <c r="C265" s="148">
        <f t="shared" si="45"/>
        <v>10</v>
      </c>
      <c r="D265" s="148">
        <f t="shared" si="45"/>
        <v>56</v>
      </c>
      <c r="E265" s="148">
        <f t="shared" si="45"/>
        <v>70</v>
      </c>
      <c r="F265" s="148">
        <f t="shared" si="45"/>
        <v>9</v>
      </c>
      <c r="G265" s="148">
        <f t="shared" si="45"/>
        <v>50</v>
      </c>
      <c r="H265" s="148">
        <f t="shared" si="45"/>
        <v>39</v>
      </c>
      <c r="I265" s="148">
        <f t="shared" si="45"/>
        <v>39</v>
      </c>
      <c r="J265" s="148">
        <f t="shared" si="45"/>
        <v>100</v>
      </c>
      <c r="K265" s="148">
        <f t="shared" si="45"/>
        <v>26</v>
      </c>
      <c r="L265" s="148">
        <f t="shared" si="45"/>
        <v>7</v>
      </c>
      <c r="M265" s="148">
        <f t="shared" si="45"/>
        <v>12</v>
      </c>
      <c r="N265" s="148">
        <f t="shared" si="45"/>
        <v>10</v>
      </c>
      <c r="O265" s="148">
        <f t="shared" si="45"/>
        <v>105</v>
      </c>
      <c r="P265" s="148">
        <f t="shared" si="31"/>
        <v>573</v>
      </c>
      <c r="R265" s="148">
        <f>'Fuel Ethanol'!W32</f>
        <v>136847.33709534211</v>
      </c>
      <c r="S265" s="157">
        <f t="shared" si="32"/>
        <v>36.150961040476531</v>
      </c>
      <c r="T265" s="154">
        <f t="shared" si="33"/>
        <v>0.76760330307003677</v>
      </c>
      <c r="V265" s="149">
        <f t="shared" si="34"/>
        <v>455</v>
      </c>
      <c r="W265" s="149">
        <f t="shared" si="35"/>
        <v>108</v>
      </c>
      <c r="X265" s="149">
        <f t="shared" si="36"/>
        <v>10</v>
      </c>
      <c r="Y265" s="149">
        <f t="shared" si="30"/>
        <v>573</v>
      </c>
      <c r="AA265" s="158">
        <f t="shared" si="37"/>
        <v>0.79406631762652702</v>
      </c>
      <c r="AB265" s="158">
        <f t="shared" si="37"/>
        <v>0.18848167539267016</v>
      </c>
      <c r="AC265" s="158">
        <f t="shared" si="37"/>
        <v>1.7452006980802792E-2</v>
      </c>
      <c r="AE265" s="148"/>
      <c r="AF265" s="161">
        <f t="shared" ref="AF265:AF328" si="47">AN265/0.3</f>
        <v>360364.65435106761</v>
      </c>
      <c r="AG265" s="161">
        <f t="shared" si="38"/>
        <v>286153.4340833085</v>
      </c>
      <c r="AH265" s="162">
        <f t="shared" si="39"/>
        <v>11.265259777648282</v>
      </c>
      <c r="AI265" s="159"/>
      <c r="AJ265" s="157"/>
      <c r="AK265" s="157">
        <f t="shared" si="40"/>
        <v>10.701996788765868</v>
      </c>
      <c r="AN265" s="161">
        <f t="shared" si="41"/>
        <v>108109.39630532028</v>
      </c>
    </row>
    <row r="266" spans="1:40">
      <c r="A266" s="156">
        <f>'BD Plant List'!A265</f>
        <v>47696</v>
      </c>
      <c r="B266" s="148">
        <f t="shared" si="45"/>
        <v>40</v>
      </c>
      <c r="C266" s="148">
        <f t="shared" si="45"/>
        <v>10</v>
      </c>
      <c r="D266" s="148">
        <f t="shared" si="45"/>
        <v>56</v>
      </c>
      <c r="E266" s="148">
        <f t="shared" si="45"/>
        <v>70</v>
      </c>
      <c r="F266" s="148">
        <f t="shared" si="45"/>
        <v>9</v>
      </c>
      <c r="G266" s="148">
        <f t="shared" si="45"/>
        <v>50</v>
      </c>
      <c r="H266" s="148">
        <f t="shared" si="45"/>
        <v>39</v>
      </c>
      <c r="I266" s="148">
        <f t="shared" si="45"/>
        <v>39</v>
      </c>
      <c r="J266" s="148">
        <f t="shared" si="45"/>
        <v>100</v>
      </c>
      <c r="K266" s="148">
        <f t="shared" si="45"/>
        <v>26</v>
      </c>
      <c r="L266" s="148">
        <f t="shared" si="45"/>
        <v>7</v>
      </c>
      <c r="M266" s="148">
        <f t="shared" si="45"/>
        <v>12</v>
      </c>
      <c r="N266" s="148">
        <f t="shared" si="45"/>
        <v>10</v>
      </c>
      <c r="O266" s="148">
        <f t="shared" si="45"/>
        <v>105</v>
      </c>
      <c r="P266" s="148">
        <f t="shared" si="31"/>
        <v>573</v>
      </c>
      <c r="R266" s="148">
        <f>'Fuel Ethanol'!W33</f>
        <v>137565.79823432231</v>
      </c>
      <c r="S266" s="157">
        <f t="shared" si="32"/>
        <v>36.340756919560924</v>
      </c>
      <c r="T266" s="154">
        <f t="shared" si="33"/>
        <v>0.74674189470470842</v>
      </c>
      <c r="V266" s="149">
        <f t="shared" si="34"/>
        <v>455</v>
      </c>
      <c r="W266" s="149">
        <f t="shared" si="35"/>
        <v>108</v>
      </c>
      <c r="X266" s="149">
        <f t="shared" si="36"/>
        <v>10</v>
      </c>
      <c r="Y266" s="149">
        <f t="shared" si="30"/>
        <v>573</v>
      </c>
      <c r="AA266" s="158">
        <f t="shared" si="37"/>
        <v>0.79406631762652702</v>
      </c>
      <c r="AB266" s="158">
        <f t="shared" si="37"/>
        <v>0.18848167539267016</v>
      </c>
      <c r="AC266" s="158">
        <f t="shared" si="37"/>
        <v>1.7452006980802792E-2</v>
      </c>
      <c r="AE266" s="148"/>
      <c r="AF266" s="161">
        <f t="shared" si="47"/>
        <v>362256.6020170488</v>
      </c>
      <c r="AG266" s="161">
        <f t="shared" si="38"/>
        <v>287655.76599957625</v>
      </c>
      <c r="AH266" s="162">
        <f t="shared" si="39"/>
        <v>11.324403430294717</v>
      </c>
      <c r="AI266" s="159"/>
      <c r="AJ266" s="157"/>
      <c r="AK266" s="157">
        <f t="shared" si="40"/>
        <v>10.758183258779981</v>
      </c>
      <c r="AN266" s="161">
        <f t="shared" si="41"/>
        <v>108676.98060511463</v>
      </c>
    </row>
    <row r="267" spans="1:40">
      <c r="A267" s="156">
        <f>'BD Plant List'!A266</f>
        <v>47727</v>
      </c>
      <c r="B267" s="148">
        <f t="shared" si="45"/>
        <v>40</v>
      </c>
      <c r="C267" s="148">
        <f t="shared" si="45"/>
        <v>10</v>
      </c>
      <c r="D267" s="148">
        <f t="shared" si="45"/>
        <v>56</v>
      </c>
      <c r="E267" s="148">
        <f t="shared" si="45"/>
        <v>70</v>
      </c>
      <c r="F267" s="148">
        <f t="shared" si="45"/>
        <v>9</v>
      </c>
      <c r="G267" s="148">
        <f t="shared" si="45"/>
        <v>50</v>
      </c>
      <c r="H267" s="148">
        <f t="shared" si="45"/>
        <v>39</v>
      </c>
      <c r="I267" s="148">
        <f t="shared" si="45"/>
        <v>39</v>
      </c>
      <c r="J267" s="148">
        <f t="shared" si="45"/>
        <v>100</v>
      </c>
      <c r="K267" s="148">
        <f t="shared" si="45"/>
        <v>26</v>
      </c>
      <c r="L267" s="148">
        <f t="shared" si="45"/>
        <v>7</v>
      </c>
      <c r="M267" s="148">
        <f t="shared" si="45"/>
        <v>12</v>
      </c>
      <c r="N267" s="148">
        <f t="shared" si="45"/>
        <v>10</v>
      </c>
      <c r="O267" s="148">
        <f t="shared" si="45"/>
        <v>105</v>
      </c>
      <c r="P267" s="148">
        <f t="shared" si="31"/>
        <v>573</v>
      </c>
      <c r="R267" s="148">
        <f>'Fuel Ethanol'!W34</f>
        <v>120734.10619156237</v>
      </c>
      <c r="S267" s="157">
        <f t="shared" si="32"/>
        <v>31.894328832625035</v>
      </c>
      <c r="T267" s="154">
        <f t="shared" si="33"/>
        <v>0.65537521949603883</v>
      </c>
      <c r="V267" s="149">
        <f t="shared" si="34"/>
        <v>455</v>
      </c>
      <c r="W267" s="149">
        <f t="shared" si="35"/>
        <v>108</v>
      </c>
      <c r="X267" s="149">
        <f t="shared" si="36"/>
        <v>10</v>
      </c>
      <c r="Y267" s="149">
        <f t="shared" ref="Y267:Y330" si="48">SUM(V267:X267)</f>
        <v>573</v>
      </c>
      <c r="AA267" s="158">
        <f t="shared" si="37"/>
        <v>0.79406631762652702</v>
      </c>
      <c r="AB267" s="158">
        <f t="shared" si="37"/>
        <v>0.18848167539267016</v>
      </c>
      <c r="AC267" s="158">
        <f t="shared" si="37"/>
        <v>1.7452006980802792E-2</v>
      </c>
      <c r="AE267" s="148"/>
      <c r="AF267" s="161">
        <f t="shared" si="47"/>
        <v>317933.14630444761</v>
      </c>
      <c r="AG267" s="161">
        <f t="shared" si="38"/>
        <v>252460.00273738857</v>
      </c>
      <c r="AH267" s="162">
        <f t="shared" si="39"/>
        <v>9.9388201417652393</v>
      </c>
      <c r="AI267" s="159"/>
      <c r="AJ267" s="157"/>
      <c r="AK267" s="157">
        <f t="shared" si="40"/>
        <v>9.4418791346769773</v>
      </c>
      <c r="AN267" s="161">
        <f t="shared" si="41"/>
        <v>95379.943891334275</v>
      </c>
    </row>
    <row r="268" spans="1:40">
      <c r="A268" s="156">
        <f>'BD Plant List'!A267</f>
        <v>47757</v>
      </c>
      <c r="B268" s="148">
        <f t="shared" si="45"/>
        <v>40</v>
      </c>
      <c r="C268" s="148">
        <f t="shared" si="45"/>
        <v>10</v>
      </c>
      <c r="D268" s="148">
        <f t="shared" si="45"/>
        <v>56</v>
      </c>
      <c r="E268" s="148">
        <f t="shared" si="45"/>
        <v>70</v>
      </c>
      <c r="F268" s="148">
        <f t="shared" si="45"/>
        <v>9</v>
      </c>
      <c r="G268" s="148">
        <f t="shared" si="45"/>
        <v>50</v>
      </c>
      <c r="H268" s="148">
        <f t="shared" si="45"/>
        <v>39</v>
      </c>
      <c r="I268" s="148">
        <f t="shared" si="45"/>
        <v>39</v>
      </c>
      <c r="J268" s="148">
        <f t="shared" si="45"/>
        <v>100</v>
      </c>
      <c r="K268" s="148">
        <f t="shared" si="45"/>
        <v>26</v>
      </c>
      <c r="L268" s="148">
        <f t="shared" si="45"/>
        <v>7</v>
      </c>
      <c r="M268" s="148">
        <f t="shared" si="45"/>
        <v>12</v>
      </c>
      <c r="N268" s="148">
        <f t="shared" si="45"/>
        <v>10</v>
      </c>
      <c r="O268" s="148">
        <f t="shared" si="45"/>
        <v>105</v>
      </c>
      <c r="P268" s="148">
        <f t="shared" ref="P268:P331" si="49">SUM(B268:O268)</f>
        <v>573</v>
      </c>
      <c r="R268" s="148">
        <f>'Fuel Ethanol'!W35</f>
        <v>120272.87531838111</v>
      </c>
      <c r="S268" s="157">
        <f t="shared" ref="S268:S331" si="50">R268*264.17/1000000</f>
        <v>31.772485472856737</v>
      </c>
      <c r="T268" s="154">
        <f t="shared" ref="T268:T331" si="51">S268/((P268/365)*(A268-A267))</f>
        <v>0.67463392656153043</v>
      </c>
      <c r="V268" s="149">
        <f t="shared" ref="V268:V331" si="52">O268+K268+J268+I268+G268+F268+E268+D268</f>
        <v>455</v>
      </c>
      <c r="W268" s="149">
        <f t="shared" ref="W268:W331" si="53">B268+H268+L268+M268+N268</f>
        <v>108</v>
      </c>
      <c r="X268" s="149">
        <f t="shared" ref="X268:X331" si="54">C268</f>
        <v>10</v>
      </c>
      <c r="Y268" s="149">
        <f t="shared" si="48"/>
        <v>573</v>
      </c>
      <c r="AA268" s="158">
        <f t="shared" ref="AA268:AC331" si="55">V268/$Y268</f>
        <v>0.79406631762652702</v>
      </c>
      <c r="AB268" s="158">
        <f t="shared" si="55"/>
        <v>0.18848167539267016</v>
      </c>
      <c r="AC268" s="158">
        <f t="shared" si="55"/>
        <v>1.7452006980802792E-2</v>
      </c>
      <c r="AE268" s="148"/>
      <c r="AF268" s="161">
        <f t="shared" si="47"/>
        <v>316718.57167173695</v>
      </c>
      <c r="AG268" s="161">
        <f t="shared" ref="AG268:AG331" si="56">AF268*AA268</f>
        <v>251495.54993130945</v>
      </c>
      <c r="AH268" s="162">
        <f t="shared" ref="AH268:AH331" si="57">AG268*39.3679/1000000</f>
        <v>9.9008516601407983</v>
      </c>
      <c r="AI268" s="159"/>
      <c r="AJ268" s="157"/>
      <c r="AK268" s="157">
        <f t="shared" ref="AK268:AK331" si="58">AH268*$AM$6</f>
        <v>9.4058090771337586</v>
      </c>
      <c r="AN268" s="161">
        <f t="shared" ref="AN268:AN331" si="59">R268*0.79</f>
        <v>95015.571501521074</v>
      </c>
    </row>
    <row r="269" spans="1:40">
      <c r="A269" s="156">
        <f>'BD Plant List'!A268</f>
        <v>47788</v>
      </c>
      <c r="B269" s="148">
        <f t="shared" si="45"/>
        <v>40</v>
      </c>
      <c r="C269" s="148">
        <f t="shared" si="45"/>
        <v>10</v>
      </c>
      <c r="D269" s="148">
        <f t="shared" si="45"/>
        <v>56</v>
      </c>
      <c r="E269" s="148">
        <f t="shared" si="45"/>
        <v>70</v>
      </c>
      <c r="F269" s="148">
        <f t="shared" si="45"/>
        <v>9</v>
      </c>
      <c r="G269" s="148">
        <f t="shared" si="45"/>
        <v>50</v>
      </c>
      <c r="H269" s="148">
        <f t="shared" si="45"/>
        <v>39</v>
      </c>
      <c r="I269" s="148">
        <f t="shared" si="45"/>
        <v>39</v>
      </c>
      <c r="J269" s="148">
        <f t="shared" si="45"/>
        <v>100</v>
      </c>
      <c r="K269" s="148">
        <f t="shared" si="45"/>
        <v>26</v>
      </c>
      <c r="L269" s="148">
        <f t="shared" si="45"/>
        <v>7</v>
      </c>
      <c r="M269" s="148">
        <f t="shared" si="45"/>
        <v>12</v>
      </c>
      <c r="N269" s="148">
        <f t="shared" si="45"/>
        <v>10</v>
      </c>
      <c r="O269" s="148">
        <f t="shared" si="45"/>
        <v>105</v>
      </c>
      <c r="P269" s="148">
        <f t="shared" si="49"/>
        <v>573</v>
      </c>
      <c r="R269" s="148">
        <f>'Fuel Ethanol'!W36</f>
        <v>134568.50968511397</v>
      </c>
      <c r="S269" s="157">
        <f t="shared" si="50"/>
        <v>35.548963203516557</v>
      </c>
      <c r="T269" s="154">
        <f t="shared" si="51"/>
        <v>0.73047185550208538</v>
      </c>
      <c r="V269" s="149">
        <f t="shared" si="52"/>
        <v>455</v>
      </c>
      <c r="W269" s="149">
        <f t="shared" si="53"/>
        <v>108</v>
      </c>
      <c r="X269" s="149">
        <f t="shared" si="54"/>
        <v>10</v>
      </c>
      <c r="Y269" s="149">
        <f t="shared" si="48"/>
        <v>573</v>
      </c>
      <c r="AA269" s="158">
        <f t="shared" si="55"/>
        <v>0.79406631762652702</v>
      </c>
      <c r="AB269" s="158">
        <f t="shared" si="55"/>
        <v>0.18848167539267016</v>
      </c>
      <c r="AC269" s="158">
        <f t="shared" si="55"/>
        <v>1.7452006980802792E-2</v>
      </c>
      <c r="AE269" s="148"/>
      <c r="AF269" s="161">
        <f t="shared" si="47"/>
        <v>354363.74217080016</v>
      </c>
      <c r="AG269" s="161">
        <f t="shared" si="56"/>
        <v>281388.31184592331</v>
      </c>
      <c r="AH269" s="162">
        <f t="shared" si="57"/>
        <v>11.077666921919125</v>
      </c>
      <c r="AI269" s="159"/>
      <c r="AJ269" s="157"/>
      <c r="AK269" s="157">
        <f t="shared" si="58"/>
        <v>10.523783575823169</v>
      </c>
      <c r="AN269" s="161">
        <f t="shared" si="59"/>
        <v>106309.12265124005</v>
      </c>
    </row>
    <row r="270" spans="1:40">
      <c r="A270" s="156">
        <f>'BD Plant List'!A269</f>
        <v>47818</v>
      </c>
      <c r="B270" s="148">
        <f t="shared" si="45"/>
        <v>40</v>
      </c>
      <c r="C270" s="148">
        <f t="shared" si="45"/>
        <v>10</v>
      </c>
      <c r="D270" s="148">
        <f t="shared" si="45"/>
        <v>56</v>
      </c>
      <c r="E270" s="148">
        <f t="shared" si="45"/>
        <v>70</v>
      </c>
      <c r="F270" s="148">
        <f t="shared" si="45"/>
        <v>9</v>
      </c>
      <c r="G270" s="148">
        <f t="shared" si="45"/>
        <v>50</v>
      </c>
      <c r="H270" s="148">
        <f t="shared" si="45"/>
        <v>39</v>
      </c>
      <c r="I270" s="148">
        <f t="shared" si="45"/>
        <v>39</v>
      </c>
      <c r="J270" s="148">
        <f t="shared" si="45"/>
        <v>100</v>
      </c>
      <c r="K270" s="148">
        <f t="shared" si="45"/>
        <v>26</v>
      </c>
      <c r="L270" s="148">
        <f t="shared" si="45"/>
        <v>7</v>
      </c>
      <c r="M270" s="148">
        <f t="shared" si="45"/>
        <v>12</v>
      </c>
      <c r="N270" s="148">
        <f t="shared" ref="N270:Z289" si="60">N$4</f>
        <v>10</v>
      </c>
      <c r="O270" s="148">
        <f t="shared" si="60"/>
        <v>105</v>
      </c>
      <c r="P270" s="148">
        <f t="shared" si="49"/>
        <v>573</v>
      </c>
      <c r="R270" s="148">
        <f>'Fuel Ethanol'!W37</f>
        <v>126613.84073463851</v>
      </c>
      <c r="S270" s="157">
        <f t="shared" si="50"/>
        <v>33.447578306869453</v>
      </c>
      <c r="T270" s="154">
        <f t="shared" si="51"/>
        <v>0.71020163362462763</v>
      </c>
      <c r="V270" s="149">
        <f t="shared" si="52"/>
        <v>455</v>
      </c>
      <c r="W270" s="149">
        <f t="shared" si="53"/>
        <v>108</v>
      </c>
      <c r="X270" s="149">
        <f t="shared" si="54"/>
        <v>10</v>
      </c>
      <c r="Y270" s="149">
        <f t="shared" si="48"/>
        <v>573</v>
      </c>
      <c r="AA270" s="158">
        <f t="shared" si="55"/>
        <v>0.79406631762652702</v>
      </c>
      <c r="AB270" s="158">
        <f t="shared" si="55"/>
        <v>0.18848167539267016</v>
      </c>
      <c r="AC270" s="158">
        <f t="shared" si="55"/>
        <v>1.7452006980802792E-2</v>
      </c>
      <c r="AE270" s="148"/>
      <c r="AF270" s="161">
        <f t="shared" si="47"/>
        <v>333416.44726788142</v>
      </c>
      <c r="AG270" s="161">
        <f t="shared" si="56"/>
        <v>264754.77051812573</v>
      </c>
      <c r="AH270" s="162">
        <f t="shared" si="57"/>
        <v>10.422839330280523</v>
      </c>
      <c r="AI270" s="159"/>
      <c r="AJ270" s="157"/>
      <c r="AK270" s="157">
        <f t="shared" si="58"/>
        <v>9.9016973637664965</v>
      </c>
      <c r="AN270" s="161">
        <f t="shared" si="59"/>
        <v>100024.93418036442</v>
      </c>
    </row>
    <row r="271" spans="1:40">
      <c r="A271" s="156">
        <f>'BD Plant List'!A270</f>
        <v>47849</v>
      </c>
      <c r="B271" s="148">
        <f t="shared" ref="B271:O334" si="61">B$4</f>
        <v>40</v>
      </c>
      <c r="C271" s="148">
        <f t="shared" si="61"/>
        <v>10</v>
      </c>
      <c r="D271" s="148">
        <f t="shared" si="61"/>
        <v>56</v>
      </c>
      <c r="E271" s="148">
        <f t="shared" si="61"/>
        <v>70</v>
      </c>
      <c r="F271" s="148">
        <f t="shared" si="61"/>
        <v>9</v>
      </c>
      <c r="G271" s="148">
        <f t="shared" si="61"/>
        <v>50</v>
      </c>
      <c r="H271" s="148">
        <f t="shared" si="61"/>
        <v>39</v>
      </c>
      <c r="I271" s="148">
        <f t="shared" si="61"/>
        <v>39</v>
      </c>
      <c r="J271" s="148">
        <f t="shared" si="61"/>
        <v>100</v>
      </c>
      <c r="K271" s="148">
        <f t="shared" si="61"/>
        <v>26</v>
      </c>
      <c r="L271" s="148">
        <f t="shared" si="61"/>
        <v>7</v>
      </c>
      <c r="M271" s="148">
        <f t="shared" si="61"/>
        <v>12</v>
      </c>
      <c r="N271" s="148">
        <f t="shared" si="61"/>
        <v>10</v>
      </c>
      <c r="O271" s="148">
        <f t="shared" si="61"/>
        <v>105</v>
      </c>
      <c r="P271" s="148">
        <f t="shared" si="49"/>
        <v>573</v>
      </c>
      <c r="R271" s="148">
        <f>'Fuel Ethanol'!X26</f>
        <v>129895.47670865746</v>
      </c>
      <c r="S271" s="157">
        <f t="shared" si="50"/>
        <v>34.314488082126047</v>
      </c>
      <c r="T271" s="154">
        <f t="shared" si="51"/>
        <v>0.70510545234341082</v>
      </c>
      <c r="V271" s="149">
        <f t="shared" si="52"/>
        <v>455</v>
      </c>
      <c r="W271" s="149">
        <f t="shared" si="53"/>
        <v>108</v>
      </c>
      <c r="X271" s="149">
        <f t="shared" si="54"/>
        <v>10</v>
      </c>
      <c r="Y271" s="149">
        <f t="shared" si="48"/>
        <v>573</v>
      </c>
      <c r="AA271" s="158">
        <f t="shared" si="55"/>
        <v>0.79406631762652702</v>
      </c>
      <c r="AB271" s="158">
        <f t="shared" si="55"/>
        <v>0.18848167539267016</v>
      </c>
      <c r="AC271" s="158">
        <f t="shared" si="55"/>
        <v>1.7452006980802792E-2</v>
      </c>
      <c r="AE271" s="148"/>
      <c r="AF271" s="161">
        <f t="shared" si="47"/>
        <v>342058.08866613131</v>
      </c>
      <c r="AG271" s="161">
        <f t="shared" si="56"/>
        <v>271616.80688148295</v>
      </c>
      <c r="AH271" s="162">
        <f t="shared" si="57"/>
        <v>10.692983291629533</v>
      </c>
      <c r="AI271" s="159"/>
      <c r="AJ271" s="157"/>
      <c r="AK271" s="157">
        <f t="shared" si="58"/>
        <v>10.158334127048056</v>
      </c>
      <c r="AN271" s="161">
        <f t="shared" si="59"/>
        <v>102617.4265998394</v>
      </c>
    </row>
    <row r="272" spans="1:40">
      <c r="A272" s="156">
        <f>'BD Plant List'!A271</f>
        <v>47880</v>
      </c>
      <c r="B272" s="148">
        <f t="shared" si="61"/>
        <v>40</v>
      </c>
      <c r="C272" s="148">
        <f t="shared" si="61"/>
        <v>10</v>
      </c>
      <c r="D272" s="148">
        <f t="shared" si="61"/>
        <v>56</v>
      </c>
      <c r="E272" s="148">
        <f t="shared" si="61"/>
        <v>70</v>
      </c>
      <c r="F272" s="148">
        <f t="shared" si="61"/>
        <v>9</v>
      </c>
      <c r="G272" s="148">
        <f t="shared" si="61"/>
        <v>50</v>
      </c>
      <c r="H272" s="148">
        <f t="shared" si="61"/>
        <v>39</v>
      </c>
      <c r="I272" s="148">
        <f t="shared" si="61"/>
        <v>39</v>
      </c>
      <c r="J272" s="148">
        <f t="shared" si="61"/>
        <v>100</v>
      </c>
      <c r="K272" s="148">
        <f t="shared" si="61"/>
        <v>26</v>
      </c>
      <c r="L272" s="148">
        <f t="shared" si="61"/>
        <v>7</v>
      </c>
      <c r="M272" s="148">
        <f t="shared" si="61"/>
        <v>12</v>
      </c>
      <c r="N272" s="148">
        <f t="shared" si="61"/>
        <v>10</v>
      </c>
      <c r="O272" s="148">
        <f t="shared" si="61"/>
        <v>105</v>
      </c>
      <c r="P272" s="148">
        <f t="shared" si="49"/>
        <v>573</v>
      </c>
      <c r="R272" s="148">
        <f>'Fuel Ethanol'!X27</f>
        <v>123173.9940361995</v>
      </c>
      <c r="S272" s="157">
        <f t="shared" si="50"/>
        <v>32.538874004542826</v>
      </c>
      <c r="T272" s="154">
        <f t="shared" si="51"/>
        <v>0.66861954690413394</v>
      </c>
      <c r="V272" s="149">
        <f t="shared" si="52"/>
        <v>455</v>
      </c>
      <c r="W272" s="149">
        <f t="shared" si="53"/>
        <v>108</v>
      </c>
      <c r="X272" s="149">
        <f t="shared" si="54"/>
        <v>10</v>
      </c>
      <c r="Y272" s="149">
        <f t="shared" si="48"/>
        <v>573</v>
      </c>
      <c r="AA272" s="158">
        <f t="shared" si="55"/>
        <v>0.79406631762652702</v>
      </c>
      <c r="AB272" s="158">
        <f t="shared" si="55"/>
        <v>0.18848167539267016</v>
      </c>
      <c r="AC272" s="158">
        <f t="shared" si="55"/>
        <v>1.7452006980802792E-2</v>
      </c>
      <c r="AE272" s="148"/>
      <c r="AF272" s="161">
        <f t="shared" si="47"/>
        <v>324358.18429532537</v>
      </c>
      <c r="AG272" s="161">
        <f t="shared" si="56"/>
        <v>257561.90899541543</v>
      </c>
      <c r="AH272" s="162">
        <f t="shared" si="57"/>
        <v>10.139671477140615</v>
      </c>
      <c r="AI272" s="159"/>
      <c r="AJ272" s="157"/>
      <c r="AK272" s="157">
        <f t="shared" si="58"/>
        <v>9.6326879032835837</v>
      </c>
      <c r="AN272" s="161">
        <f t="shared" si="59"/>
        <v>97307.455288597601</v>
      </c>
    </row>
    <row r="273" spans="1:40">
      <c r="A273" s="156">
        <f>'BD Plant List'!A272</f>
        <v>47908</v>
      </c>
      <c r="B273" s="148">
        <f t="shared" si="61"/>
        <v>40</v>
      </c>
      <c r="C273" s="148">
        <f t="shared" si="61"/>
        <v>10</v>
      </c>
      <c r="D273" s="148">
        <f t="shared" si="61"/>
        <v>56</v>
      </c>
      <c r="E273" s="148">
        <f t="shared" si="61"/>
        <v>70</v>
      </c>
      <c r="F273" s="148">
        <f t="shared" si="61"/>
        <v>9</v>
      </c>
      <c r="G273" s="148">
        <f t="shared" si="61"/>
        <v>50</v>
      </c>
      <c r="H273" s="148">
        <f t="shared" si="61"/>
        <v>39</v>
      </c>
      <c r="I273" s="148">
        <f t="shared" si="61"/>
        <v>39</v>
      </c>
      <c r="J273" s="148">
        <f t="shared" si="61"/>
        <v>100</v>
      </c>
      <c r="K273" s="148">
        <f t="shared" si="61"/>
        <v>26</v>
      </c>
      <c r="L273" s="148">
        <f t="shared" si="61"/>
        <v>7</v>
      </c>
      <c r="M273" s="148">
        <f t="shared" si="61"/>
        <v>12</v>
      </c>
      <c r="N273" s="148">
        <f t="shared" si="61"/>
        <v>10</v>
      </c>
      <c r="O273" s="148">
        <f t="shared" si="61"/>
        <v>105</v>
      </c>
      <c r="P273" s="148">
        <f t="shared" si="49"/>
        <v>573</v>
      </c>
      <c r="R273" s="148">
        <f>'Fuel Ethanol'!X28</f>
        <v>133923.68572957919</v>
      </c>
      <c r="S273" s="157">
        <f t="shared" si="50"/>
        <v>35.378620059182936</v>
      </c>
      <c r="T273" s="154">
        <f t="shared" si="51"/>
        <v>0.80486140124668226</v>
      </c>
      <c r="V273" s="149">
        <f t="shared" si="52"/>
        <v>455</v>
      </c>
      <c r="W273" s="149">
        <f t="shared" si="53"/>
        <v>108</v>
      </c>
      <c r="X273" s="149">
        <f t="shared" si="54"/>
        <v>10</v>
      </c>
      <c r="Y273" s="149">
        <f t="shared" si="48"/>
        <v>573</v>
      </c>
      <c r="AA273" s="158">
        <f t="shared" si="55"/>
        <v>0.79406631762652702</v>
      </c>
      <c r="AB273" s="158">
        <f t="shared" si="55"/>
        <v>0.18848167539267016</v>
      </c>
      <c r="AC273" s="158">
        <f t="shared" si="55"/>
        <v>1.7452006980802792E-2</v>
      </c>
      <c r="AE273" s="148"/>
      <c r="AF273" s="161">
        <f t="shared" si="47"/>
        <v>352665.70575455856</v>
      </c>
      <c r="AG273" s="161">
        <f t="shared" si="56"/>
        <v>280039.95832168258</v>
      </c>
      <c r="AH273" s="162">
        <f t="shared" si="57"/>
        <v>11.024585075212167</v>
      </c>
      <c r="AI273" s="159"/>
      <c r="AJ273" s="157"/>
      <c r="AK273" s="157">
        <f t="shared" si="58"/>
        <v>10.473355821451559</v>
      </c>
      <c r="AN273" s="161">
        <f t="shared" si="59"/>
        <v>105799.71172636756</v>
      </c>
    </row>
    <row r="274" spans="1:40">
      <c r="A274" s="156">
        <f>'BD Plant List'!A273</f>
        <v>47939</v>
      </c>
      <c r="B274" s="148">
        <f t="shared" si="61"/>
        <v>40</v>
      </c>
      <c r="C274" s="148">
        <f t="shared" si="61"/>
        <v>10</v>
      </c>
      <c r="D274" s="148">
        <f t="shared" si="61"/>
        <v>56</v>
      </c>
      <c r="E274" s="148">
        <f t="shared" si="61"/>
        <v>70</v>
      </c>
      <c r="F274" s="148">
        <f t="shared" si="61"/>
        <v>9</v>
      </c>
      <c r="G274" s="148">
        <f t="shared" si="61"/>
        <v>50</v>
      </c>
      <c r="H274" s="148">
        <f t="shared" si="61"/>
        <v>39</v>
      </c>
      <c r="I274" s="148">
        <f t="shared" si="61"/>
        <v>39</v>
      </c>
      <c r="J274" s="148">
        <f t="shared" si="61"/>
        <v>100</v>
      </c>
      <c r="K274" s="148">
        <f t="shared" si="61"/>
        <v>26</v>
      </c>
      <c r="L274" s="148">
        <f t="shared" si="61"/>
        <v>7</v>
      </c>
      <c r="M274" s="148">
        <f t="shared" si="61"/>
        <v>12</v>
      </c>
      <c r="N274" s="148">
        <f t="shared" si="61"/>
        <v>10</v>
      </c>
      <c r="O274" s="148">
        <f t="shared" si="61"/>
        <v>105</v>
      </c>
      <c r="P274" s="148">
        <f t="shared" si="49"/>
        <v>573</v>
      </c>
      <c r="R274" s="148">
        <f>'Fuel Ethanol'!X29</f>
        <v>120626.38611217245</v>
      </c>
      <c r="S274" s="157">
        <f t="shared" si="50"/>
        <v>31.865872419252597</v>
      </c>
      <c r="T274" s="154">
        <f t="shared" si="51"/>
        <v>0.65479048770068105</v>
      </c>
      <c r="V274" s="149">
        <f t="shared" si="52"/>
        <v>455</v>
      </c>
      <c r="W274" s="149">
        <f t="shared" si="53"/>
        <v>108</v>
      </c>
      <c r="X274" s="149">
        <f t="shared" si="54"/>
        <v>10</v>
      </c>
      <c r="Y274" s="149">
        <f t="shared" si="48"/>
        <v>573</v>
      </c>
      <c r="AA274" s="158">
        <f t="shared" si="55"/>
        <v>0.79406631762652702</v>
      </c>
      <c r="AB274" s="158">
        <f t="shared" si="55"/>
        <v>0.18848167539267016</v>
      </c>
      <c r="AC274" s="158">
        <f t="shared" si="55"/>
        <v>1.7452006980802792E-2</v>
      </c>
      <c r="AE274" s="148"/>
      <c r="AF274" s="161">
        <f t="shared" si="47"/>
        <v>317649.48342872079</v>
      </c>
      <c r="AG274" s="161">
        <f t="shared" si="56"/>
        <v>252234.75560221283</v>
      </c>
      <c r="AH274" s="162">
        <f t="shared" si="57"/>
        <v>9.9299526350723539</v>
      </c>
      <c r="AI274" s="159"/>
      <c r="AJ274" s="157"/>
      <c r="AK274" s="157">
        <f t="shared" si="58"/>
        <v>9.4334550033187359</v>
      </c>
      <c r="AN274" s="161">
        <f t="shared" si="59"/>
        <v>95294.845028616241</v>
      </c>
    </row>
    <row r="275" spans="1:40">
      <c r="A275" s="156">
        <f>'BD Plant List'!A274</f>
        <v>47969</v>
      </c>
      <c r="B275" s="148">
        <f t="shared" si="61"/>
        <v>40</v>
      </c>
      <c r="C275" s="148">
        <f t="shared" si="61"/>
        <v>10</v>
      </c>
      <c r="D275" s="148">
        <f t="shared" si="61"/>
        <v>56</v>
      </c>
      <c r="E275" s="148">
        <f t="shared" si="61"/>
        <v>70</v>
      </c>
      <c r="F275" s="148">
        <f t="shared" si="61"/>
        <v>9</v>
      </c>
      <c r="G275" s="148">
        <f t="shared" si="61"/>
        <v>50</v>
      </c>
      <c r="H275" s="148">
        <f t="shared" si="61"/>
        <v>39</v>
      </c>
      <c r="I275" s="148">
        <f t="shared" si="61"/>
        <v>39</v>
      </c>
      <c r="J275" s="148">
        <f t="shared" si="61"/>
        <v>100</v>
      </c>
      <c r="K275" s="148">
        <f t="shared" si="61"/>
        <v>26</v>
      </c>
      <c r="L275" s="148">
        <f t="shared" si="61"/>
        <v>7</v>
      </c>
      <c r="M275" s="148">
        <f t="shared" si="61"/>
        <v>12</v>
      </c>
      <c r="N275" s="148">
        <f t="shared" si="61"/>
        <v>10</v>
      </c>
      <c r="O275" s="148">
        <f t="shared" si="61"/>
        <v>105</v>
      </c>
      <c r="P275" s="148">
        <f t="shared" si="49"/>
        <v>573</v>
      </c>
      <c r="R275" s="148">
        <f>'Fuel Ethanol'!X30</f>
        <v>124255.911142536</v>
      </c>
      <c r="S275" s="157">
        <f t="shared" si="50"/>
        <v>32.824684046523736</v>
      </c>
      <c r="T275" s="154">
        <f t="shared" si="51"/>
        <v>0.69697554839913689</v>
      </c>
      <c r="V275" s="149">
        <f t="shared" si="52"/>
        <v>455</v>
      </c>
      <c r="W275" s="149">
        <f t="shared" si="53"/>
        <v>108</v>
      </c>
      <c r="X275" s="149">
        <f t="shared" si="54"/>
        <v>10</v>
      </c>
      <c r="Y275" s="149">
        <f t="shared" si="48"/>
        <v>573</v>
      </c>
      <c r="AA275" s="158">
        <f t="shared" si="55"/>
        <v>0.79406631762652702</v>
      </c>
      <c r="AB275" s="158">
        <f t="shared" si="55"/>
        <v>0.18848167539267016</v>
      </c>
      <c r="AC275" s="158">
        <f t="shared" si="55"/>
        <v>1.7452006980802792E-2</v>
      </c>
      <c r="AE275" s="148"/>
      <c r="AF275" s="161">
        <f t="shared" si="47"/>
        <v>327207.2326753448</v>
      </c>
      <c r="AG275" s="161">
        <f t="shared" si="56"/>
        <v>259824.24235127727</v>
      </c>
      <c r="AH275" s="162">
        <f t="shared" si="57"/>
        <v>10.228734790460848</v>
      </c>
      <c r="AI275" s="159"/>
      <c r="AJ275" s="157"/>
      <c r="AK275" s="157">
        <f t="shared" si="58"/>
        <v>9.7172980509378046</v>
      </c>
      <c r="AN275" s="161">
        <f t="shared" si="59"/>
        <v>98162.169802603443</v>
      </c>
    </row>
    <row r="276" spans="1:40">
      <c r="A276" s="156">
        <f>'BD Plant List'!A275</f>
        <v>48000</v>
      </c>
      <c r="B276" s="148">
        <f t="shared" si="61"/>
        <v>40</v>
      </c>
      <c r="C276" s="148">
        <f t="shared" si="61"/>
        <v>10</v>
      </c>
      <c r="D276" s="148">
        <f t="shared" si="61"/>
        <v>56</v>
      </c>
      <c r="E276" s="148">
        <f t="shared" si="61"/>
        <v>70</v>
      </c>
      <c r="F276" s="148">
        <f t="shared" si="61"/>
        <v>9</v>
      </c>
      <c r="G276" s="148">
        <f t="shared" si="61"/>
        <v>50</v>
      </c>
      <c r="H276" s="148">
        <f t="shared" si="61"/>
        <v>39</v>
      </c>
      <c r="I276" s="148">
        <f t="shared" si="61"/>
        <v>39</v>
      </c>
      <c r="J276" s="148">
        <f t="shared" si="61"/>
        <v>100</v>
      </c>
      <c r="K276" s="148">
        <f t="shared" si="61"/>
        <v>26</v>
      </c>
      <c r="L276" s="148">
        <f t="shared" si="61"/>
        <v>7</v>
      </c>
      <c r="M276" s="148">
        <f t="shared" si="61"/>
        <v>12</v>
      </c>
      <c r="N276" s="148">
        <f t="shared" si="61"/>
        <v>10</v>
      </c>
      <c r="O276" s="148">
        <f t="shared" si="61"/>
        <v>105</v>
      </c>
      <c r="P276" s="148">
        <f t="shared" si="49"/>
        <v>573</v>
      </c>
      <c r="R276" s="148">
        <f>'Fuel Ethanol'!X31</f>
        <v>123677.12615315057</v>
      </c>
      <c r="S276" s="157">
        <f t="shared" si="50"/>
        <v>32.67178641587779</v>
      </c>
      <c r="T276" s="154">
        <f t="shared" si="51"/>
        <v>0.67135067509966739</v>
      </c>
      <c r="V276" s="149">
        <f t="shared" si="52"/>
        <v>455</v>
      </c>
      <c r="W276" s="149">
        <f t="shared" si="53"/>
        <v>108</v>
      </c>
      <c r="X276" s="149">
        <f t="shared" si="54"/>
        <v>10</v>
      </c>
      <c r="Y276" s="149">
        <f t="shared" si="48"/>
        <v>573</v>
      </c>
      <c r="AA276" s="158">
        <f t="shared" si="55"/>
        <v>0.79406631762652702</v>
      </c>
      <c r="AB276" s="158">
        <f t="shared" si="55"/>
        <v>0.18848167539267016</v>
      </c>
      <c r="AC276" s="158">
        <f t="shared" si="55"/>
        <v>1.7452006980802792E-2</v>
      </c>
      <c r="AE276" s="148"/>
      <c r="AF276" s="161">
        <f t="shared" si="47"/>
        <v>325683.0988699632</v>
      </c>
      <c r="AG276" s="161">
        <f t="shared" si="56"/>
        <v>258613.97903286779</v>
      </c>
      <c r="AH276" s="162">
        <f t="shared" si="57"/>
        <v>10.181089265168035</v>
      </c>
      <c r="AI276" s="159"/>
      <c r="AJ276" s="157"/>
      <c r="AK276" s="157">
        <f t="shared" si="58"/>
        <v>9.6720348019096321</v>
      </c>
      <c r="AN276" s="161">
        <f t="shared" si="59"/>
        <v>97704.929660988957</v>
      </c>
    </row>
    <row r="277" spans="1:40">
      <c r="A277" s="156">
        <f>'BD Plant List'!A276</f>
        <v>48030</v>
      </c>
      <c r="B277" s="148">
        <f t="shared" si="61"/>
        <v>40</v>
      </c>
      <c r="C277" s="148">
        <f t="shared" si="61"/>
        <v>10</v>
      </c>
      <c r="D277" s="148">
        <f t="shared" si="61"/>
        <v>56</v>
      </c>
      <c r="E277" s="148">
        <f t="shared" si="61"/>
        <v>70</v>
      </c>
      <c r="F277" s="148">
        <f t="shared" si="61"/>
        <v>9</v>
      </c>
      <c r="G277" s="148">
        <f t="shared" si="61"/>
        <v>50</v>
      </c>
      <c r="H277" s="148">
        <f t="shared" si="61"/>
        <v>39</v>
      </c>
      <c r="I277" s="148">
        <f t="shared" si="61"/>
        <v>39</v>
      </c>
      <c r="J277" s="148">
        <f t="shared" si="61"/>
        <v>100</v>
      </c>
      <c r="K277" s="148">
        <f t="shared" si="61"/>
        <v>26</v>
      </c>
      <c r="L277" s="148">
        <f t="shared" si="61"/>
        <v>7</v>
      </c>
      <c r="M277" s="148">
        <f t="shared" si="61"/>
        <v>12</v>
      </c>
      <c r="N277" s="148">
        <f t="shared" si="61"/>
        <v>10</v>
      </c>
      <c r="O277" s="148">
        <f t="shared" si="61"/>
        <v>105</v>
      </c>
      <c r="P277" s="148">
        <f t="shared" si="49"/>
        <v>573</v>
      </c>
      <c r="R277" s="148">
        <f>'Fuel Ethanol'!X32</f>
        <v>135704.63908208089</v>
      </c>
      <c r="S277" s="157">
        <f t="shared" si="50"/>
        <v>35.849094506313307</v>
      </c>
      <c r="T277" s="154">
        <f t="shared" si="51"/>
        <v>0.76119368788856057</v>
      </c>
      <c r="V277" s="149">
        <f t="shared" si="52"/>
        <v>455</v>
      </c>
      <c r="W277" s="149">
        <f t="shared" si="53"/>
        <v>108</v>
      </c>
      <c r="X277" s="149">
        <f t="shared" si="54"/>
        <v>10</v>
      </c>
      <c r="Y277" s="149">
        <f t="shared" si="48"/>
        <v>573</v>
      </c>
      <c r="AA277" s="158">
        <f t="shared" si="55"/>
        <v>0.79406631762652702</v>
      </c>
      <c r="AB277" s="158">
        <f t="shared" si="55"/>
        <v>0.18848167539267016</v>
      </c>
      <c r="AC277" s="158">
        <f t="shared" si="55"/>
        <v>1.7452006980802792E-2</v>
      </c>
      <c r="AE277" s="148"/>
      <c r="AF277" s="161">
        <f t="shared" si="47"/>
        <v>357355.54958281305</v>
      </c>
      <c r="AG277" s="161">
        <f t="shared" si="56"/>
        <v>283764.00534062815</v>
      </c>
      <c r="AH277" s="162">
        <f t="shared" si="57"/>
        <v>11.171192985849315</v>
      </c>
      <c r="AI277" s="159"/>
      <c r="AJ277" s="157"/>
      <c r="AK277" s="157">
        <f t="shared" si="58"/>
        <v>10.612633336556849</v>
      </c>
      <c r="AN277" s="161">
        <f t="shared" si="59"/>
        <v>107206.6648748439</v>
      </c>
    </row>
    <row r="278" spans="1:40">
      <c r="A278" s="156">
        <f>'BD Plant List'!A277</f>
        <v>48061</v>
      </c>
      <c r="B278" s="148">
        <f t="shared" si="61"/>
        <v>40</v>
      </c>
      <c r="C278" s="148">
        <f t="shared" si="61"/>
        <v>10</v>
      </c>
      <c r="D278" s="148">
        <f t="shared" si="61"/>
        <v>56</v>
      </c>
      <c r="E278" s="148">
        <f t="shared" si="61"/>
        <v>70</v>
      </c>
      <c r="F278" s="148">
        <f t="shared" si="61"/>
        <v>9</v>
      </c>
      <c r="G278" s="148">
        <f t="shared" si="61"/>
        <v>50</v>
      </c>
      <c r="H278" s="148">
        <f t="shared" si="61"/>
        <v>39</v>
      </c>
      <c r="I278" s="148">
        <f t="shared" si="61"/>
        <v>39</v>
      </c>
      <c r="J278" s="148">
        <f t="shared" si="61"/>
        <v>100</v>
      </c>
      <c r="K278" s="148">
        <f t="shared" si="61"/>
        <v>26</v>
      </c>
      <c r="L278" s="148">
        <f t="shared" si="61"/>
        <v>7</v>
      </c>
      <c r="M278" s="148">
        <f t="shared" si="61"/>
        <v>12</v>
      </c>
      <c r="N278" s="148">
        <f t="shared" si="61"/>
        <v>10</v>
      </c>
      <c r="O278" s="148">
        <f t="shared" si="61"/>
        <v>105</v>
      </c>
      <c r="P278" s="148">
        <f t="shared" si="49"/>
        <v>573</v>
      </c>
      <c r="R278" s="148">
        <f>'Fuel Ethanol'!X33</f>
        <v>136517.14973482469</v>
      </c>
      <c r="S278" s="157">
        <f t="shared" si="50"/>
        <v>36.063735445448643</v>
      </c>
      <c r="T278" s="154">
        <f t="shared" si="51"/>
        <v>0.74104956581595194</v>
      </c>
      <c r="V278" s="149">
        <f t="shared" si="52"/>
        <v>455</v>
      </c>
      <c r="W278" s="149">
        <f t="shared" si="53"/>
        <v>108</v>
      </c>
      <c r="X278" s="149">
        <f t="shared" si="54"/>
        <v>10</v>
      </c>
      <c r="Y278" s="149">
        <f t="shared" si="48"/>
        <v>573</v>
      </c>
      <c r="AA278" s="158">
        <f t="shared" si="55"/>
        <v>0.79406631762652702</v>
      </c>
      <c r="AB278" s="158">
        <f t="shared" si="55"/>
        <v>0.18848167539267016</v>
      </c>
      <c r="AC278" s="158">
        <f t="shared" si="55"/>
        <v>1.7452006980802792E-2</v>
      </c>
      <c r="AE278" s="148"/>
      <c r="AF278" s="161">
        <f t="shared" si="47"/>
        <v>359495.16096837173</v>
      </c>
      <c r="AG278" s="161">
        <f t="shared" si="56"/>
        <v>285462.99867471051</v>
      </c>
      <c r="AH278" s="162">
        <f t="shared" si="57"/>
        <v>11.238078785526136</v>
      </c>
      <c r="AI278" s="159"/>
      <c r="AJ278" s="157"/>
      <c r="AK278" s="157">
        <f t="shared" si="58"/>
        <v>10.676174846249829</v>
      </c>
      <c r="AN278" s="161">
        <f t="shared" si="59"/>
        <v>107848.54829051151</v>
      </c>
    </row>
    <row r="279" spans="1:40">
      <c r="A279" s="156">
        <f>'BD Plant List'!A278</f>
        <v>48092</v>
      </c>
      <c r="B279" s="148">
        <f t="shared" si="61"/>
        <v>40</v>
      </c>
      <c r="C279" s="148">
        <f t="shared" si="61"/>
        <v>10</v>
      </c>
      <c r="D279" s="148">
        <f t="shared" si="61"/>
        <v>56</v>
      </c>
      <c r="E279" s="148">
        <f t="shared" si="61"/>
        <v>70</v>
      </c>
      <c r="F279" s="148">
        <f t="shared" si="61"/>
        <v>9</v>
      </c>
      <c r="G279" s="148">
        <f t="shared" si="61"/>
        <v>50</v>
      </c>
      <c r="H279" s="148">
        <f t="shared" si="61"/>
        <v>39</v>
      </c>
      <c r="I279" s="148">
        <f t="shared" si="61"/>
        <v>39</v>
      </c>
      <c r="J279" s="148">
        <f t="shared" si="61"/>
        <v>100</v>
      </c>
      <c r="K279" s="148">
        <f t="shared" si="61"/>
        <v>26</v>
      </c>
      <c r="L279" s="148">
        <f t="shared" si="61"/>
        <v>7</v>
      </c>
      <c r="M279" s="148">
        <f t="shared" si="61"/>
        <v>12</v>
      </c>
      <c r="N279" s="148">
        <f t="shared" si="61"/>
        <v>10</v>
      </c>
      <c r="O279" s="148">
        <f t="shared" si="61"/>
        <v>105</v>
      </c>
      <c r="P279" s="148">
        <f t="shared" si="49"/>
        <v>573</v>
      </c>
      <c r="R279" s="148">
        <f>'Fuel Ethanol'!X34</f>
        <v>119842.55534185775</v>
      </c>
      <c r="S279" s="157">
        <f t="shared" si="50"/>
        <v>31.658807844658565</v>
      </c>
      <c r="T279" s="154">
        <f t="shared" si="51"/>
        <v>0.65053565632496624</v>
      </c>
      <c r="V279" s="149">
        <f t="shared" si="52"/>
        <v>455</v>
      </c>
      <c r="W279" s="149">
        <f t="shared" si="53"/>
        <v>108</v>
      </c>
      <c r="X279" s="149">
        <f t="shared" si="54"/>
        <v>10</v>
      </c>
      <c r="Y279" s="149">
        <f t="shared" si="48"/>
        <v>573</v>
      </c>
      <c r="AA279" s="158">
        <f t="shared" si="55"/>
        <v>0.79406631762652702</v>
      </c>
      <c r="AB279" s="158">
        <f t="shared" si="55"/>
        <v>0.18848167539267016</v>
      </c>
      <c r="AC279" s="158">
        <f t="shared" si="55"/>
        <v>1.7452006980802792E-2</v>
      </c>
      <c r="AE279" s="148"/>
      <c r="AF279" s="161">
        <f t="shared" si="47"/>
        <v>315585.39573355875</v>
      </c>
      <c r="AG279" s="161">
        <f t="shared" si="56"/>
        <v>250595.73308685728</v>
      </c>
      <c r="AH279" s="162">
        <f t="shared" si="57"/>
        <v>9.8654277605900873</v>
      </c>
      <c r="AI279" s="159"/>
      <c r="AJ279" s="157"/>
      <c r="AK279" s="157">
        <f t="shared" si="58"/>
        <v>9.3721563725605819</v>
      </c>
      <c r="AN279" s="161">
        <f t="shared" si="59"/>
        <v>94675.618720067621</v>
      </c>
    </row>
    <row r="280" spans="1:40">
      <c r="A280" s="156">
        <f>'BD Plant List'!A279</f>
        <v>48122</v>
      </c>
      <c r="B280" s="148">
        <f t="shared" si="61"/>
        <v>40</v>
      </c>
      <c r="C280" s="148">
        <f t="shared" si="61"/>
        <v>10</v>
      </c>
      <c r="D280" s="148">
        <f t="shared" si="61"/>
        <v>56</v>
      </c>
      <c r="E280" s="148">
        <f t="shared" si="61"/>
        <v>70</v>
      </c>
      <c r="F280" s="148">
        <f t="shared" si="61"/>
        <v>9</v>
      </c>
      <c r="G280" s="148">
        <f t="shared" si="61"/>
        <v>50</v>
      </c>
      <c r="H280" s="148">
        <f t="shared" si="61"/>
        <v>39</v>
      </c>
      <c r="I280" s="148">
        <f t="shared" si="61"/>
        <v>39</v>
      </c>
      <c r="J280" s="148">
        <f t="shared" si="61"/>
        <v>100</v>
      </c>
      <c r="K280" s="148">
        <f t="shared" si="61"/>
        <v>26</v>
      </c>
      <c r="L280" s="148">
        <f t="shared" si="61"/>
        <v>7</v>
      </c>
      <c r="M280" s="148">
        <f t="shared" si="61"/>
        <v>12</v>
      </c>
      <c r="N280" s="148">
        <f t="shared" si="61"/>
        <v>10</v>
      </c>
      <c r="O280" s="148">
        <f t="shared" si="61"/>
        <v>105</v>
      </c>
      <c r="P280" s="148">
        <f t="shared" si="49"/>
        <v>573</v>
      </c>
      <c r="R280" s="148">
        <f>'Fuel Ethanol'!X35</f>
        <v>119074.04780402155</v>
      </c>
      <c r="S280" s="157">
        <f t="shared" si="50"/>
        <v>31.455791208388376</v>
      </c>
      <c r="T280" s="154">
        <f t="shared" si="51"/>
        <v>0.66790947010248725</v>
      </c>
      <c r="V280" s="149">
        <f t="shared" si="52"/>
        <v>455</v>
      </c>
      <c r="W280" s="149">
        <f t="shared" si="53"/>
        <v>108</v>
      </c>
      <c r="X280" s="149">
        <f t="shared" si="54"/>
        <v>10</v>
      </c>
      <c r="Y280" s="149">
        <f t="shared" si="48"/>
        <v>573</v>
      </c>
      <c r="AA280" s="158">
        <f t="shared" si="55"/>
        <v>0.79406631762652702</v>
      </c>
      <c r="AB280" s="158">
        <f t="shared" si="55"/>
        <v>0.18848167539267016</v>
      </c>
      <c r="AC280" s="158">
        <f t="shared" si="55"/>
        <v>1.7452006980802792E-2</v>
      </c>
      <c r="AE280" s="148"/>
      <c r="AF280" s="161">
        <f t="shared" si="47"/>
        <v>313561.65921725676</v>
      </c>
      <c r="AG280" s="161">
        <f t="shared" si="56"/>
        <v>248988.75208351103</v>
      </c>
      <c r="AH280" s="162">
        <f t="shared" si="57"/>
        <v>9.8021642931484543</v>
      </c>
      <c r="AI280" s="159"/>
      <c r="AJ280" s="157"/>
      <c r="AK280" s="157">
        <f t="shared" si="58"/>
        <v>9.3120560784910307</v>
      </c>
      <c r="AN280" s="161">
        <f t="shared" si="59"/>
        <v>94068.497765177031</v>
      </c>
    </row>
    <row r="281" spans="1:40">
      <c r="A281" s="156">
        <f>'BD Plant List'!A280</f>
        <v>48153</v>
      </c>
      <c r="B281" s="148">
        <f t="shared" si="61"/>
        <v>40</v>
      </c>
      <c r="C281" s="148">
        <f t="shared" si="61"/>
        <v>10</v>
      </c>
      <c r="D281" s="148">
        <f t="shared" si="61"/>
        <v>56</v>
      </c>
      <c r="E281" s="148">
        <f t="shared" si="61"/>
        <v>70</v>
      </c>
      <c r="F281" s="148">
        <f t="shared" si="61"/>
        <v>9</v>
      </c>
      <c r="G281" s="148">
        <f t="shared" si="61"/>
        <v>50</v>
      </c>
      <c r="H281" s="148">
        <f t="shared" si="61"/>
        <v>39</v>
      </c>
      <c r="I281" s="148">
        <f t="shared" si="61"/>
        <v>39</v>
      </c>
      <c r="J281" s="148">
        <f t="shared" si="61"/>
        <v>100</v>
      </c>
      <c r="K281" s="148">
        <f t="shared" si="61"/>
        <v>26</v>
      </c>
      <c r="L281" s="148">
        <f t="shared" si="61"/>
        <v>7</v>
      </c>
      <c r="M281" s="148">
        <f t="shared" si="61"/>
        <v>12</v>
      </c>
      <c r="N281" s="148">
        <f t="shared" si="61"/>
        <v>10</v>
      </c>
      <c r="O281" s="148">
        <f t="shared" si="61"/>
        <v>105</v>
      </c>
      <c r="P281" s="148">
        <f t="shared" si="49"/>
        <v>573</v>
      </c>
      <c r="R281" s="148">
        <f>'Fuel Ethanol'!X36</f>
        <v>133356.57466333933</v>
      </c>
      <c r="S281" s="157">
        <f t="shared" si="50"/>
        <v>35.22880632881435</v>
      </c>
      <c r="T281" s="154">
        <f t="shared" si="51"/>
        <v>0.72389316613281751</v>
      </c>
      <c r="V281" s="149">
        <f t="shared" si="52"/>
        <v>455</v>
      </c>
      <c r="W281" s="149">
        <f t="shared" si="53"/>
        <v>108</v>
      </c>
      <c r="X281" s="149">
        <f t="shared" si="54"/>
        <v>10</v>
      </c>
      <c r="Y281" s="149">
        <f t="shared" si="48"/>
        <v>573</v>
      </c>
      <c r="AA281" s="158">
        <f t="shared" si="55"/>
        <v>0.79406631762652702</v>
      </c>
      <c r="AB281" s="158">
        <f t="shared" si="55"/>
        <v>0.18848167539267016</v>
      </c>
      <c r="AC281" s="158">
        <f t="shared" si="55"/>
        <v>1.7452006980802792E-2</v>
      </c>
      <c r="AE281" s="148"/>
      <c r="AF281" s="161">
        <f t="shared" si="47"/>
        <v>351172.31328012695</v>
      </c>
      <c r="AG281" s="161">
        <f t="shared" si="56"/>
        <v>278854.10565873951</v>
      </c>
      <c r="AH281" s="162">
        <f t="shared" si="57"/>
        <v>10.97790054616269</v>
      </c>
      <c r="AI281" s="159"/>
      <c r="AJ281" s="157"/>
      <c r="AK281" s="157">
        <f t="shared" si="58"/>
        <v>10.429005518854556</v>
      </c>
      <c r="AN281" s="161">
        <f t="shared" si="59"/>
        <v>105351.69398403808</v>
      </c>
    </row>
    <row r="282" spans="1:40">
      <c r="A282" s="156">
        <f>'BD Plant List'!A281</f>
        <v>48183</v>
      </c>
      <c r="B282" s="148">
        <f t="shared" si="61"/>
        <v>40</v>
      </c>
      <c r="C282" s="148">
        <f t="shared" si="61"/>
        <v>10</v>
      </c>
      <c r="D282" s="148">
        <f t="shared" si="61"/>
        <v>56</v>
      </c>
      <c r="E282" s="148">
        <f t="shared" si="61"/>
        <v>70</v>
      </c>
      <c r="F282" s="148">
        <f t="shared" si="61"/>
        <v>9</v>
      </c>
      <c r="G282" s="148">
        <f t="shared" si="61"/>
        <v>50</v>
      </c>
      <c r="H282" s="148">
        <f t="shared" si="61"/>
        <v>39</v>
      </c>
      <c r="I282" s="148">
        <f t="shared" si="61"/>
        <v>39</v>
      </c>
      <c r="J282" s="148">
        <f t="shared" si="61"/>
        <v>100</v>
      </c>
      <c r="K282" s="148">
        <f t="shared" si="61"/>
        <v>26</v>
      </c>
      <c r="L282" s="148">
        <f t="shared" si="61"/>
        <v>7</v>
      </c>
      <c r="M282" s="148">
        <f t="shared" si="61"/>
        <v>12</v>
      </c>
      <c r="N282" s="148">
        <f t="shared" si="61"/>
        <v>10</v>
      </c>
      <c r="O282" s="148">
        <f t="shared" si="61"/>
        <v>105</v>
      </c>
      <c r="P282" s="148">
        <f t="shared" si="49"/>
        <v>573</v>
      </c>
      <c r="R282" s="148">
        <f>'Fuel Ethanol'!X37</f>
        <v>124810.8482520252</v>
      </c>
      <c r="S282" s="157">
        <f t="shared" si="50"/>
        <v>32.971281782737499</v>
      </c>
      <c r="T282" s="154">
        <f t="shared" si="51"/>
        <v>0.70008829846999332</v>
      </c>
      <c r="V282" s="149">
        <f t="shared" si="52"/>
        <v>455</v>
      </c>
      <c r="W282" s="149">
        <f t="shared" si="53"/>
        <v>108</v>
      </c>
      <c r="X282" s="149">
        <f t="shared" si="54"/>
        <v>10</v>
      </c>
      <c r="Y282" s="149">
        <f t="shared" si="48"/>
        <v>573</v>
      </c>
      <c r="AA282" s="158">
        <f t="shared" si="55"/>
        <v>0.79406631762652702</v>
      </c>
      <c r="AB282" s="158">
        <f t="shared" si="55"/>
        <v>0.18848167539267016</v>
      </c>
      <c r="AC282" s="158">
        <f t="shared" si="55"/>
        <v>1.7452006980802792E-2</v>
      </c>
      <c r="AE282" s="148"/>
      <c r="AF282" s="161">
        <f t="shared" si="47"/>
        <v>328668.56706366636</v>
      </c>
      <c r="AG282" s="161">
        <f t="shared" si="56"/>
        <v>260984.63876783277</v>
      </c>
      <c r="AH282" s="162">
        <f t="shared" si="57"/>
        <v>10.274417160548163</v>
      </c>
      <c r="AI282" s="159"/>
      <c r="AJ282" s="157"/>
      <c r="AK282" s="157">
        <f t="shared" si="58"/>
        <v>9.7606963025207545</v>
      </c>
      <c r="AN282" s="161">
        <f t="shared" si="59"/>
        <v>98600.57011909991</v>
      </c>
    </row>
    <row r="283" spans="1:40">
      <c r="A283" s="156">
        <f>'BD Plant List'!A282</f>
        <v>48214</v>
      </c>
      <c r="B283" s="148">
        <f t="shared" si="61"/>
        <v>40</v>
      </c>
      <c r="C283" s="148">
        <f t="shared" si="61"/>
        <v>10</v>
      </c>
      <c r="D283" s="148">
        <f t="shared" si="61"/>
        <v>56</v>
      </c>
      <c r="E283" s="148">
        <f t="shared" si="61"/>
        <v>70</v>
      </c>
      <c r="F283" s="148">
        <f t="shared" si="61"/>
        <v>9</v>
      </c>
      <c r="G283" s="148">
        <f t="shared" si="61"/>
        <v>50</v>
      </c>
      <c r="H283" s="148">
        <f t="shared" si="61"/>
        <v>39</v>
      </c>
      <c r="I283" s="148">
        <f t="shared" si="61"/>
        <v>39</v>
      </c>
      <c r="J283" s="148">
        <f t="shared" si="61"/>
        <v>100</v>
      </c>
      <c r="K283" s="148">
        <f t="shared" si="61"/>
        <v>26</v>
      </c>
      <c r="L283" s="148">
        <f t="shared" si="61"/>
        <v>7</v>
      </c>
      <c r="M283" s="148">
        <f t="shared" si="61"/>
        <v>12</v>
      </c>
      <c r="N283" s="148">
        <f t="shared" si="61"/>
        <v>10</v>
      </c>
      <c r="O283" s="148">
        <f t="shared" si="61"/>
        <v>105</v>
      </c>
      <c r="P283" s="148">
        <f t="shared" si="49"/>
        <v>573</v>
      </c>
      <c r="R283" s="148">
        <f>'Fuel Ethanol'!Y26</f>
        <v>128686.7922480752</v>
      </c>
      <c r="S283" s="157">
        <f t="shared" si="50"/>
        <v>33.995189908174034</v>
      </c>
      <c r="T283" s="154">
        <f t="shared" si="51"/>
        <v>0.69854440784121608</v>
      </c>
      <c r="V283" s="149">
        <f t="shared" si="52"/>
        <v>455</v>
      </c>
      <c r="W283" s="149">
        <f t="shared" si="53"/>
        <v>108</v>
      </c>
      <c r="X283" s="149">
        <f t="shared" si="54"/>
        <v>10</v>
      </c>
      <c r="Y283" s="149">
        <f t="shared" si="48"/>
        <v>573</v>
      </c>
      <c r="AA283" s="158">
        <f t="shared" si="55"/>
        <v>0.79406631762652702</v>
      </c>
      <c r="AB283" s="158">
        <f t="shared" si="55"/>
        <v>0.18848167539267016</v>
      </c>
      <c r="AC283" s="158">
        <f t="shared" si="55"/>
        <v>1.7452006980802792E-2</v>
      </c>
      <c r="AE283" s="148"/>
      <c r="AF283" s="161">
        <f t="shared" si="47"/>
        <v>338875.21958659805</v>
      </c>
      <c r="AG283" s="161">
        <f t="shared" si="56"/>
        <v>269089.39775201067</v>
      </c>
      <c r="AH283" s="162">
        <f t="shared" si="57"/>
        <v>10.593484501761381</v>
      </c>
      <c r="AI283" s="159"/>
      <c r="AJ283" s="157"/>
      <c r="AK283" s="157">
        <f t="shared" si="58"/>
        <v>10.063810276673312</v>
      </c>
      <c r="AN283" s="161">
        <f t="shared" si="59"/>
        <v>101662.56587597942</v>
      </c>
    </row>
    <row r="284" spans="1:40">
      <c r="A284" s="156">
        <f>'BD Plant List'!A283</f>
        <v>48245</v>
      </c>
      <c r="B284" s="148">
        <f t="shared" si="61"/>
        <v>40</v>
      </c>
      <c r="C284" s="148">
        <f t="shared" si="61"/>
        <v>10</v>
      </c>
      <c r="D284" s="148">
        <f t="shared" si="61"/>
        <v>56</v>
      </c>
      <c r="E284" s="148">
        <f t="shared" si="61"/>
        <v>70</v>
      </c>
      <c r="F284" s="148">
        <f t="shared" si="61"/>
        <v>9</v>
      </c>
      <c r="G284" s="148">
        <f t="shared" si="61"/>
        <v>50</v>
      </c>
      <c r="H284" s="148">
        <f t="shared" si="61"/>
        <v>39</v>
      </c>
      <c r="I284" s="148">
        <f t="shared" si="61"/>
        <v>39</v>
      </c>
      <c r="J284" s="148">
        <f t="shared" si="61"/>
        <v>100</v>
      </c>
      <c r="K284" s="148">
        <f t="shared" si="61"/>
        <v>26</v>
      </c>
      <c r="L284" s="148">
        <f t="shared" si="61"/>
        <v>7</v>
      </c>
      <c r="M284" s="148">
        <f t="shared" si="61"/>
        <v>12</v>
      </c>
      <c r="N284" s="148">
        <f t="shared" si="61"/>
        <v>10</v>
      </c>
      <c r="O284" s="148">
        <f t="shared" si="61"/>
        <v>105</v>
      </c>
      <c r="P284" s="148">
        <f t="shared" si="49"/>
        <v>573</v>
      </c>
      <c r="R284" s="148">
        <f>'Fuel Ethanol'!Y27</f>
        <v>122314.74269656879</v>
      </c>
      <c r="S284" s="157">
        <f t="shared" si="50"/>
        <v>32.311885578152577</v>
      </c>
      <c r="T284" s="154">
        <f t="shared" si="51"/>
        <v>0.66395531363090077</v>
      </c>
      <c r="V284" s="149">
        <f t="shared" si="52"/>
        <v>455</v>
      </c>
      <c r="W284" s="149">
        <f t="shared" si="53"/>
        <v>108</v>
      </c>
      <c r="X284" s="149">
        <f t="shared" si="54"/>
        <v>10</v>
      </c>
      <c r="Y284" s="149">
        <f t="shared" si="48"/>
        <v>573</v>
      </c>
      <c r="AA284" s="158">
        <f t="shared" si="55"/>
        <v>0.79406631762652702</v>
      </c>
      <c r="AB284" s="158">
        <f t="shared" si="55"/>
        <v>0.18848167539267016</v>
      </c>
      <c r="AC284" s="158">
        <f t="shared" si="55"/>
        <v>1.7452006980802792E-2</v>
      </c>
      <c r="AE284" s="148"/>
      <c r="AF284" s="161">
        <f t="shared" si="47"/>
        <v>322095.48910096451</v>
      </c>
      <c r="AG284" s="161">
        <f t="shared" si="56"/>
        <v>255765.17895451805</v>
      </c>
      <c r="AH284" s="162">
        <f t="shared" si="57"/>
        <v>10.068937988563571</v>
      </c>
      <c r="AI284" s="159"/>
      <c r="AJ284" s="157"/>
      <c r="AK284" s="157">
        <f t="shared" si="58"/>
        <v>9.5654910891353921</v>
      </c>
      <c r="AN284" s="161">
        <f t="shared" si="59"/>
        <v>96628.646730289343</v>
      </c>
    </row>
    <row r="285" spans="1:40">
      <c r="A285" s="156">
        <f>'BD Plant List'!A284</f>
        <v>48274</v>
      </c>
      <c r="B285" s="148">
        <f t="shared" si="61"/>
        <v>40</v>
      </c>
      <c r="C285" s="148">
        <f t="shared" si="61"/>
        <v>10</v>
      </c>
      <c r="D285" s="148">
        <f t="shared" si="61"/>
        <v>56</v>
      </c>
      <c r="E285" s="148">
        <f t="shared" si="61"/>
        <v>70</v>
      </c>
      <c r="F285" s="148">
        <f t="shared" si="61"/>
        <v>9</v>
      </c>
      <c r="G285" s="148">
        <f t="shared" si="61"/>
        <v>50</v>
      </c>
      <c r="H285" s="148">
        <f t="shared" si="61"/>
        <v>39</v>
      </c>
      <c r="I285" s="148">
        <f t="shared" si="61"/>
        <v>39</v>
      </c>
      <c r="J285" s="148">
        <f t="shared" si="61"/>
        <v>100</v>
      </c>
      <c r="K285" s="148">
        <f t="shared" si="61"/>
        <v>26</v>
      </c>
      <c r="L285" s="148">
        <f t="shared" si="61"/>
        <v>7</v>
      </c>
      <c r="M285" s="148">
        <f t="shared" si="61"/>
        <v>12</v>
      </c>
      <c r="N285" s="148">
        <f t="shared" si="61"/>
        <v>10</v>
      </c>
      <c r="O285" s="148">
        <f t="shared" si="61"/>
        <v>105</v>
      </c>
      <c r="P285" s="148">
        <f t="shared" si="49"/>
        <v>573</v>
      </c>
      <c r="R285" s="148">
        <f>'Fuel Ethanol'!Y28</f>
        <v>132659.44123835082</v>
      </c>
      <c r="S285" s="157">
        <f t="shared" si="50"/>
        <v>35.044644591935132</v>
      </c>
      <c r="T285" s="154">
        <f t="shared" si="51"/>
        <v>0.76977163603877485</v>
      </c>
      <c r="V285" s="149">
        <f t="shared" si="52"/>
        <v>455</v>
      </c>
      <c r="W285" s="149">
        <f t="shared" si="53"/>
        <v>108</v>
      </c>
      <c r="X285" s="149">
        <f t="shared" si="54"/>
        <v>10</v>
      </c>
      <c r="Y285" s="149">
        <f t="shared" si="48"/>
        <v>573</v>
      </c>
      <c r="AA285" s="158">
        <f t="shared" si="55"/>
        <v>0.79406631762652702</v>
      </c>
      <c r="AB285" s="158">
        <f t="shared" si="55"/>
        <v>0.18848167539267016</v>
      </c>
      <c r="AC285" s="158">
        <f t="shared" si="55"/>
        <v>1.7452006980802792E-2</v>
      </c>
      <c r="AE285" s="148"/>
      <c r="AF285" s="161">
        <f t="shared" si="47"/>
        <v>349336.52859432384</v>
      </c>
      <c r="AG285" s="161">
        <f t="shared" si="56"/>
        <v>277396.37087332871</v>
      </c>
      <c r="AH285" s="162">
        <f t="shared" si="57"/>
        <v>10.920512588904117</v>
      </c>
      <c r="AI285" s="159"/>
      <c r="AJ285" s="157"/>
      <c r="AK285" s="157">
        <f t="shared" si="58"/>
        <v>10.374486959458912</v>
      </c>
      <c r="AN285" s="161">
        <f t="shared" si="59"/>
        <v>104800.95857829716</v>
      </c>
    </row>
    <row r="286" spans="1:40">
      <c r="A286" s="156">
        <f>'BD Plant List'!A285</f>
        <v>48305</v>
      </c>
      <c r="B286" s="148">
        <f t="shared" si="61"/>
        <v>40</v>
      </c>
      <c r="C286" s="148">
        <f t="shared" si="61"/>
        <v>10</v>
      </c>
      <c r="D286" s="148">
        <f t="shared" si="61"/>
        <v>56</v>
      </c>
      <c r="E286" s="148">
        <f t="shared" si="61"/>
        <v>70</v>
      </c>
      <c r="F286" s="148">
        <f t="shared" si="61"/>
        <v>9</v>
      </c>
      <c r="G286" s="148">
        <f t="shared" si="61"/>
        <v>50</v>
      </c>
      <c r="H286" s="148">
        <f t="shared" si="61"/>
        <v>39</v>
      </c>
      <c r="I286" s="148">
        <f t="shared" si="61"/>
        <v>39</v>
      </c>
      <c r="J286" s="148">
        <f t="shared" si="61"/>
        <v>100</v>
      </c>
      <c r="K286" s="148">
        <f t="shared" si="61"/>
        <v>26</v>
      </c>
      <c r="L286" s="148">
        <f t="shared" si="61"/>
        <v>7</v>
      </c>
      <c r="M286" s="148">
        <f t="shared" si="61"/>
        <v>12</v>
      </c>
      <c r="N286" s="148">
        <f t="shared" si="61"/>
        <v>10</v>
      </c>
      <c r="O286" s="148">
        <f t="shared" si="61"/>
        <v>105</v>
      </c>
      <c r="P286" s="148">
        <f t="shared" si="49"/>
        <v>573</v>
      </c>
      <c r="R286" s="148">
        <f>'Fuel Ethanol'!Y29</f>
        <v>119650.26466827661</v>
      </c>
      <c r="S286" s="157">
        <f t="shared" si="50"/>
        <v>31.608010417418633</v>
      </c>
      <c r="T286" s="154">
        <f t="shared" si="51"/>
        <v>0.64949185398625231</v>
      </c>
      <c r="V286" s="149">
        <f t="shared" si="52"/>
        <v>455</v>
      </c>
      <c r="W286" s="149">
        <f t="shared" si="53"/>
        <v>108</v>
      </c>
      <c r="X286" s="149">
        <f t="shared" si="54"/>
        <v>10</v>
      </c>
      <c r="Y286" s="149">
        <f t="shared" si="48"/>
        <v>573</v>
      </c>
      <c r="AA286" s="158">
        <f t="shared" si="55"/>
        <v>0.79406631762652702</v>
      </c>
      <c r="AB286" s="158">
        <f t="shared" si="55"/>
        <v>0.18848167539267016</v>
      </c>
      <c r="AC286" s="158">
        <f t="shared" si="55"/>
        <v>1.7452006980802792E-2</v>
      </c>
      <c r="AE286" s="148"/>
      <c r="AF286" s="161">
        <f t="shared" si="47"/>
        <v>315079.03029312839</v>
      </c>
      <c r="AG286" s="161">
        <f t="shared" si="56"/>
        <v>250193.64534620143</v>
      </c>
      <c r="AH286" s="162">
        <f t="shared" si="57"/>
        <v>9.8495984106247239</v>
      </c>
      <c r="AI286" s="159"/>
      <c r="AJ286" s="157"/>
      <c r="AK286" s="157">
        <f t="shared" si="58"/>
        <v>9.3571184900934874</v>
      </c>
      <c r="AN286" s="161">
        <f t="shared" si="59"/>
        <v>94523.709087938521</v>
      </c>
    </row>
    <row r="287" spans="1:40">
      <c r="A287" s="156">
        <f>'BD Plant List'!A286</f>
        <v>48335</v>
      </c>
      <c r="B287" s="148">
        <f t="shared" si="61"/>
        <v>40</v>
      </c>
      <c r="C287" s="148">
        <f t="shared" si="61"/>
        <v>10</v>
      </c>
      <c r="D287" s="148">
        <f t="shared" si="61"/>
        <v>56</v>
      </c>
      <c r="E287" s="148">
        <f t="shared" si="61"/>
        <v>70</v>
      </c>
      <c r="F287" s="148">
        <f t="shared" si="61"/>
        <v>9</v>
      </c>
      <c r="G287" s="148">
        <f t="shared" si="61"/>
        <v>50</v>
      </c>
      <c r="H287" s="148">
        <f t="shared" si="61"/>
        <v>39</v>
      </c>
      <c r="I287" s="148">
        <f t="shared" si="61"/>
        <v>39</v>
      </c>
      <c r="J287" s="148">
        <f t="shared" si="61"/>
        <v>100</v>
      </c>
      <c r="K287" s="148">
        <f t="shared" si="61"/>
        <v>26</v>
      </c>
      <c r="L287" s="148">
        <f t="shared" si="61"/>
        <v>7</v>
      </c>
      <c r="M287" s="148">
        <f t="shared" si="61"/>
        <v>12</v>
      </c>
      <c r="N287" s="148">
        <f t="shared" si="61"/>
        <v>10</v>
      </c>
      <c r="O287" s="148">
        <f t="shared" si="61"/>
        <v>105</v>
      </c>
      <c r="P287" s="148">
        <f t="shared" si="49"/>
        <v>573</v>
      </c>
      <c r="R287" s="148">
        <f>'Fuel Ethanol'!Y30</f>
        <v>123485.47791745028</v>
      </c>
      <c r="S287" s="157">
        <f t="shared" si="50"/>
        <v>32.621158701452842</v>
      </c>
      <c r="T287" s="154">
        <f t="shared" si="51"/>
        <v>0.69265403874521736</v>
      </c>
      <c r="V287" s="149">
        <f t="shared" si="52"/>
        <v>455</v>
      </c>
      <c r="W287" s="149">
        <f t="shared" si="53"/>
        <v>108</v>
      </c>
      <c r="X287" s="149">
        <f t="shared" si="54"/>
        <v>10</v>
      </c>
      <c r="Y287" s="149">
        <f t="shared" si="48"/>
        <v>573</v>
      </c>
      <c r="AA287" s="158">
        <f t="shared" si="55"/>
        <v>0.79406631762652702</v>
      </c>
      <c r="AB287" s="158">
        <f t="shared" si="55"/>
        <v>0.18848167539267016</v>
      </c>
      <c r="AC287" s="158">
        <f t="shared" si="55"/>
        <v>1.7452006980802792E-2</v>
      </c>
      <c r="AE287" s="148"/>
      <c r="AF287" s="161">
        <f t="shared" si="47"/>
        <v>325178.42518261907</v>
      </c>
      <c r="AG287" s="161">
        <f t="shared" si="56"/>
        <v>258213.23465635546</v>
      </c>
      <c r="AH287" s="162">
        <f t="shared" si="57"/>
        <v>10.165312800627936</v>
      </c>
      <c r="AI287" s="159"/>
      <c r="AJ287" s="157"/>
      <c r="AK287" s="157">
        <f t="shared" si="58"/>
        <v>9.6570471605965391</v>
      </c>
      <c r="AN287" s="161">
        <f t="shared" si="59"/>
        <v>97553.527554785716</v>
      </c>
    </row>
    <row r="288" spans="1:40">
      <c r="A288" s="156">
        <f>'BD Plant List'!A287</f>
        <v>48366</v>
      </c>
      <c r="B288" s="148">
        <f t="shared" si="61"/>
        <v>40</v>
      </c>
      <c r="C288" s="148">
        <f t="shared" si="61"/>
        <v>10</v>
      </c>
      <c r="D288" s="148">
        <f t="shared" si="61"/>
        <v>56</v>
      </c>
      <c r="E288" s="148">
        <f t="shared" si="61"/>
        <v>70</v>
      </c>
      <c r="F288" s="148">
        <f t="shared" si="61"/>
        <v>9</v>
      </c>
      <c r="G288" s="148">
        <f t="shared" si="61"/>
        <v>50</v>
      </c>
      <c r="H288" s="148">
        <f t="shared" si="61"/>
        <v>39</v>
      </c>
      <c r="I288" s="148">
        <f t="shared" si="61"/>
        <v>39</v>
      </c>
      <c r="J288" s="148">
        <f t="shared" si="61"/>
        <v>100</v>
      </c>
      <c r="K288" s="148">
        <f t="shared" si="61"/>
        <v>26</v>
      </c>
      <c r="L288" s="148">
        <f t="shared" si="61"/>
        <v>7</v>
      </c>
      <c r="M288" s="148">
        <f t="shared" si="61"/>
        <v>12</v>
      </c>
      <c r="N288" s="148">
        <f t="shared" si="61"/>
        <v>10</v>
      </c>
      <c r="O288" s="148">
        <f t="shared" si="61"/>
        <v>105</v>
      </c>
      <c r="P288" s="148">
        <f t="shared" si="49"/>
        <v>573</v>
      </c>
      <c r="R288" s="148">
        <f>'Fuel Ethanol'!Y31</f>
        <v>122670.15205389995</v>
      </c>
      <c r="S288" s="157">
        <f t="shared" si="50"/>
        <v>32.405774068078756</v>
      </c>
      <c r="T288" s="154">
        <f t="shared" si="51"/>
        <v>0.66588456538021423</v>
      </c>
      <c r="V288" s="149">
        <f t="shared" si="52"/>
        <v>455</v>
      </c>
      <c r="W288" s="149">
        <f t="shared" si="53"/>
        <v>108</v>
      </c>
      <c r="X288" s="149">
        <f t="shared" si="54"/>
        <v>10</v>
      </c>
      <c r="Y288" s="149">
        <f t="shared" si="48"/>
        <v>573</v>
      </c>
      <c r="AA288" s="158">
        <f t="shared" si="55"/>
        <v>0.79406631762652702</v>
      </c>
      <c r="AB288" s="158">
        <f t="shared" si="55"/>
        <v>0.18848167539267016</v>
      </c>
      <c r="AC288" s="158">
        <f t="shared" si="55"/>
        <v>1.7452006980802792E-2</v>
      </c>
      <c r="AE288" s="148"/>
      <c r="AF288" s="161">
        <f t="shared" si="47"/>
        <v>323031.40040860325</v>
      </c>
      <c r="AG288" s="161">
        <f t="shared" si="56"/>
        <v>256508.35460019979</v>
      </c>
      <c r="AH288" s="162">
        <f t="shared" si="57"/>
        <v>10.098195253065205</v>
      </c>
      <c r="AI288" s="159"/>
      <c r="AJ288" s="157"/>
      <c r="AK288" s="157">
        <f t="shared" si="58"/>
        <v>9.5932854904119438</v>
      </c>
      <c r="AN288" s="161">
        <f t="shared" si="59"/>
        <v>96909.420122580967</v>
      </c>
    </row>
    <row r="289" spans="1:40">
      <c r="A289" s="156">
        <f>'BD Plant List'!A288</f>
        <v>48396</v>
      </c>
      <c r="B289" s="148">
        <f t="shared" si="61"/>
        <v>40</v>
      </c>
      <c r="C289" s="148">
        <f t="shared" si="61"/>
        <v>10</v>
      </c>
      <c r="D289" s="148">
        <f t="shared" si="61"/>
        <v>56</v>
      </c>
      <c r="E289" s="148">
        <f t="shared" ref="C289:Q308" si="62">E$4</f>
        <v>70</v>
      </c>
      <c r="F289" s="148">
        <f t="shared" si="62"/>
        <v>9</v>
      </c>
      <c r="G289" s="148">
        <f t="shared" si="62"/>
        <v>50</v>
      </c>
      <c r="H289" s="148">
        <f t="shared" si="62"/>
        <v>39</v>
      </c>
      <c r="I289" s="148">
        <f t="shared" si="62"/>
        <v>39</v>
      </c>
      <c r="J289" s="148">
        <f t="shared" si="62"/>
        <v>100</v>
      </c>
      <c r="K289" s="148">
        <f t="shared" si="62"/>
        <v>26</v>
      </c>
      <c r="L289" s="148">
        <f t="shared" si="62"/>
        <v>7</v>
      </c>
      <c r="M289" s="148">
        <f t="shared" si="62"/>
        <v>12</v>
      </c>
      <c r="N289" s="148">
        <f t="shared" si="62"/>
        <v>10</v>
      </c>
      <c r="O289" s="148">
        <f t="shared" si="62"/>
        <v>105</v>
      </c>
      <c r="P289" s="148">
        <f t="shared" si="49"/>
        <v>573</v>
      </c>
      <c r="R289" s="148">
        <f>'Fuel Ethanol'!Y32</f>
        <v>134567.82154533689</v>
      </c>
      <c r="S289" s="157">
        <f t="shared" si="50"/>
        <v>35.548781417631652</v>
      </c>
      <c r="T289" s="154">
        <f t="shared" si="51"/>
        <v>0.75481705744244043</v>
      </c>
      <c r="V289" s="149">
        <f t="shared" si="52"/>
        <v>455</v>
      </c>
      <c r="W289" s="149">
        <f t="shared" si="53"/>
        <v>108</v>
      </c>
      <c r="X289" s="149">
        <f t="shared" si="54"/>
        <v>10</v>
      </c>
      <c r="Y289" s="149">
        <f t="shared" si="48"/>
        <v>573</v>
      </c>
      <c r="AA289" s="158">
        <f t="shared" si="55"/>
        <v>0.79406631762652702</v>
      </c>
      <c r="AB289" s="158">
        <f t="shared" si="55"/>
        <v>0.18848167539267016</v>
      </c>
      <c r="AC289" s="158">
        <f t="shared" si="55"/>
        <v>1.7452006980802792E-2</v>
      </c>
      <c r="AE289" s="148"/>
      <c r="AF289" s="161">
        <f t="shared" si="47"/>
        <v>354361.93006938719</v>
      </c>
      <c r="AG289" s="161">
        <f t="shared" si="56"/>
        <v>281386.87291722716</v>
      </c>
      <c r="AH289" s="162">
        <f t="shared" si="57"/>
        <v>11.077610274318106</v>
      </c>
      <c r="AI289" s="159"/>
      <c r="AJ289" s="157"/>
      <c r="AK289" s="157">
        <f t="shared" si="58"/>
        <v>10.523729760602199</v>
      </c>
      <c r="AN289" s="161">
        <f t="shared" si="59"/>
        <v>106308.57902081615</v>
      </c>
    </row>
    <row r="290" spans="1:40">
      <c r="A290" s="156">
        <f>'BD Plant List'!A289</f>
        <v>48427</v>
      </c>
      <c r="B290" s="148">
        <f t="shared" ref="B290:O353" si="63">B$4</f>
        <v>40</v>
      </c>
      <c r="C290" s="148">
        <f t="shared" si="62"/>
        <v>10</v>
      </c>
      <c r="D290" s="148">
        <f t="shared" si="62"/>
        <v>56</v>
      </c>
      <c r="E290" s="148">
        <f t="shared" si="62"/>
        <v>70</v>
      </c>
      <c r="F290" s="148">
        <f t="shared" si="62"/>
        <v>9</v>
      </c>
      <c r="G290" s="148">
        <f t="shared" si="62"/>
        <v>50</v>
      </c>
      <c r="H290" s="148">
        <f t="shared" si="62"/>
        <v>39</v>
      </c>
      <c r="I290" s="148">
        <f t="shared" si="62"/>
        <v>39</v>
      </c>
      <c r="J290" s="148">
        <f t="shared" si="62"/>
        <v>100</v>
      </c>
      <c r="K290" s="148">
        <f t="shared" si="62"/>
        <v>26</v>
      </c>
      <c r="L290" s="148">
        <f t="shared" si="62"/>
        <v>7</v>
      </c>
      <c r="M290" s="148">
        <f t="shared" si="62"/>
        <v>12</v>
      </c>
      <c r="N290" s="148">
        <f t="shared" si="62"/>
        <v>10</v>
      </c>
      <c r="O290" s="148">
        <f t="shared" si="62"/>
        <v>105</v>
      </c>
      <c r="P290" s="148">
        <f t="shared" si="49"/>
        <v>573</v>
      </c>
      <c r="R290" s="148">
        <f>'Fuel Ethanol'!Y33</f>
        <v>135375.84604948162</v>
      </c>
      <c r="S290" s="157">
        <f t="shared" si="50"/>
        <v>35.762237250891566</v>
      </c>
      <c r="T290" s="154">
        <f t="shared" si="51"/>
        <v>0.73485428117859708</v>
      </c>
      <c r="V290" s="149">
        <f t="shared" si="52"/>
        <v>455</v>
      </c>
      <c r="W290" s="149">
        <f t="shared" si="53"/>
        <v>108</v>
      </c>
      <c r="X290" s="149">
        <f t="shared" si="54"/>
        <v>10</v>
      </c>
      <c r="Y290" s="149">
        <f t="shared" si="48"/>
        <v>573</v>
      </c>
      <c r="AA290" s="158">
        <f t="shared" si="55"/>
        <v>0.79406631762652702</v>
      </c>
      <c r="AB290" s="158">
        <f t="shared" si="55"/>
        <v>0.18848167539267016</v>
      </c>
      <c r="AC290" s="158">
        <f t="shared" si="55"/>
        <v>1.7452006980802792E-2</v>
      </c>
      <c r="AE290" s="148"/>
      <c r="AF290" s="161">
        <f t="shared" si="47"/>
        <v>356489.72793030168</v>
      </c>
      <c r="AG290" s="161">
        <f t="shared" si="56"/>
        <v>283076.48552929715</v>
      </c>
      <c r="AH290" s="162">
        <f t="shared" si="57"/>
        <v>11.144126774668816</v>
      </c>
      <c r="AI290" s="159"/>
      <c r="AJ290" s="157"/>
      <c r="AK290" s="157">
        <f t="shared" si="58"/>
        <v>10.586920435935374</v>
      </c>
      <c r="AN290" s="161">
        <f t="shared" si="59"/>
        <v>106946.91837909049</v>
      </c>
    </row>
    <row r="291" spans="1:40">
      <c r="A291" s="156">
        <f>'BD Plant List'!A290</f>
        <v>48458</v>
      </c>
      <c r="B291" s="148">
        <f t="shared" si="63"/>
        <v>40</v>
      </c>
      <c r="C291" s="148">
        <f t="shared" si="62"/>
        <v>10</v>
      </c>
      <c r="D291" s="148">
        <f t="shared" si="62"/>
        <v>56</v>
      </c>
      <c r="E291" s="148">
        <f t="shared" si="62"/>
        <v>70</v>
      </c>
      <c r="F291" s="148">
        <f t="shared" si="62"/>
        <v>9</v>
      </c>
      <c r="G291" s="148">
        <f t="shared" si="62"/>
        <v>50</v>
      </c>
      <c r="H291" s="148">
        <f t="shared" si="62"/>
        <v>39</v>
      </c>
      <c r="I291" s="148">
        <f t="shared" si="62"/>
        <v>39</v>
      </c>
      <c r="J291" s="148">
        <f t="shared" si="62"/>
        <v>100</v>
      </c>
      <c r="K291" s="148">
        <f t="shared" si="62"/>
        <v>26</v>
      </c>
      <c r="L291" s="148">
        <f t="shared" si="62"/>
        <v>7</v>
      </c>
      <c r="M291" s="148">
        <f t="shared" si="62"/>
        <v>12</v>
      </c>
      <c r="N291" s="148">
        <f t="shared" si="62"/>
        <v>10</v>
      </c>
      <c r="O291" s="148">
        <f t="shared" si="62"/>
        <v>105</v>
      </c>
      <c r="P291" s="148">
        <f t="shared" si="49"/>
        <v>573</v>
      </c>
      <c r="R291" s="148">
        <f>'Fuel Ethanol'!Y34</f>
        <v>118794.2307957278</v>
      </c>
      <c r="S291" s="157">
        <f t="shared" si="50"/>
        <v>31.381871949307413</v>
      </c>
      <c r="T291" s="154">
        <f t="shared" si="51"/>
        <v>0.64484508593690282</v>
      </c>
      <c r="V291" s="149">
        <f t="shared" si="52"/>
        <v>455</v>
      </c>
      <c r="W291" s="149">
        <f t="shared" si="53"/>
        <v>108</v>
      </c>
      <c r="X291" s="149">
        <f t="shared" si="54"/>
        <v>10</v>
      </c>
      <c r="Y291" s="149">
        <f t="shared" si="48"/>
        <v>573</v>
      </c>
      <c r="AA291" s="158">
        <f t="shared" si="55"/>
        <v>0.79406631762652702</v>
      </c>
      <c r="AB291" s="158">
        <f t="shared" si="55"/>
        <v>0.18848167539267016</v>
      </c>
      <c r="AC291" s="158">
        <f t="shared" si="55"/>
        <v>1.7452006980802792E-2</v>
      </c>
      <c r="AE291" s="148"/>
      <c r="AF291" s="161">
        <f t="shared" si="47"/>
        <v>312824.80776208325</v>
      </c>
      <c r="AG291" s="161">
        <f t="shared" si="56"/>
        <v>248403.64316186364</v>
      </c>
      <c r="AH291" s="162">
        <f t="shared" si="57"/>
        <v>9.779129783631932</v>
      </c>
      <c r="AI291" s="159"/>
      <c r="AJ291" s="157"/>
      <c r="AK291" s="157">
        <f t="shared" si="58"/>
        <v>9.2901732944503355</v>
      </c>
      <c r="AN291" s="161">
        <f t="shared" si="59"/>
        <v>93847.442328624966</v>
      </c>
    </row>
    <row r="292" spans="1:40">
      <c r="A292" s="156">
        <f>'BD Plant List'!A291</f>
        <v>48488</v>
      </c>
      <c r="B292" s="148">
        <f t="shared" si="63"/>
        <v>40</v>
      </c>
      <c r="C292" s="148">
        <f t="shared" si="62"/>
        <v>10</v>
      </c>
      <c r="D292" s="148">
        <f t="shared" si="62"/>
        <v>56</v>
      </c>
      <c r="E292" s="148">
        <f t="shared" si="62"/>
        <v>70</v>
      </c>
      <c r="F292" s="148">
        <f t="shared" si="62"/>
        <v>9</v>
      </c>
      <c r="G292" s="148">
        <f t="shared" si="62"/>
        <v>50</v>
      </c>
      <c r="H292" s="148">
        <f t="shared" si="62"/>
        <v>39</v>
      </c>
      <c r="I292" s="148">
        <f t="shared" si="62"/>
        <v>39</v>
      </c>
      <c r="J292" s="148">
        <f t="shared" si="62"/>
        <v>100</v>
      </c>
      <c r="K292" s="148">
        <f t="shared" si="62"/>
        <v>26</v>
      </c>
      <c r="L292" s="148">
        <f t="shared" si="62"/>
        <v>7</v>
      </c>
      <c r="M292" s="148">
        <f t="shared" si="62"/>
        <v>12</v>
      </c>
      <c r="N292" s="148">
        <f t="shared" si="62"/>
        <v>10</v>
      </c>
      <c r="O292" s="148">
        <f t="shared" si="62"/>
        <v>105</v>
      </c>
      <c r="P292" s="148">
        <f t="shared" si="49"/>
        <v>573</v>
      </c>
      <c r="R292" s="148">
        <f>'Fuel Ethanol'!Y35</f>
        <v>118203.69983119096</v>
      </c>
      <c r="S292" s="157">
        <f t="shared" si="50"/>
        <v>31.225871384405718</v>
      </c>
      <c r="T292" s="154">
        <f t="shared" si="51"/>
        <v>0.66302751921513003</v>
      </c>
      <c r="V292" s="149">
        <f t="shared" si="52"/>
        <v>455</v>
      </c>
      <c r="W292" s="149">
        <f t="shared" si="53"/>
        <v>108</v>
      </c>
      <c r="X292" s="149">
        <f t="shared" si="54"/>
        <v>10</v>
      </c>
      <c r="Y292" s="149">
        <f t="shared" si="48"/>
        <v>573</v>
      </c>
      <c r="AA292" s="158">
        <f t="shared" si="55"/>
        <v>0.79406631762652702</v>
      </c>
      <c r="AB292" s="158">
        <f t="shared" si="55"/>
        <v>0.18848167539267016</v>
      </c>
      <c r="AC292" s="158">
        <f t="shared" si="55"/>
        <v>1.7452006980802792E-2</v>
      </c>
      <c r="AE292" s="148"/>
      <c r="AF292" s="161">
        <f t="shared" si="47"/>
        <v>311269.7428888029</v>
      </c>
      <c r="AG292" s="161">
        <f t="shared" si="56"/>
        <v>247168.81852426755</v>
      </c>
      <c r="AH292" s="162">
        <f t="shared" si="57"/>
        <v>9.7305173307815114</v>
      </c>
      <c r="AI292" s="159"/>
      <c r="AJ292" s="157"/>
      <c r="AK292" s="157">
        <f t="shared" si="58"/>
        <v>9.2439914642424359</v>
      </c>
      <c r="AN292" s="161">
        <f t="shared" si="59"/>
        <v>93380.92286664086</v>
      </c>
    </row>
    <row r="293" spans="1:40">
      <c r="A293" s="156">
        <f>'BD Plant List'!A292</f>
        <v>48519</v>
      </c>
      <c r="B293" s="148">
        <f t="shared" si="63"/>
        <v>40</v>
      </c>
      <c r="C293" s="148">
        <f t="shared" si="62"/>
        <v>10</v>
      </c>
      <c r="D293" s="148">
        <f t="shared" si="62"/>
        <v>56</v>
      </c>
      <c r="E293" s="148">
        <f t="shared" si="62"/>
        <v>70</v>
      </c>
      <c r="F293" s="148">
        <f t="shared" si="62"/>
        <v>9</v>
      </c>
      <c r="G293" s="148">
        <f t="shared" si="62"/>
        <v>50</v>
      </c>
      <c r="H293" s="148">
        <f t="shared" si="62"/>
        <v>39</v>
      </c>
      <c r="I293" s="148">
        <f t="shared" si="62"/>
        <v>39</v>
      </c>
      <c r="J293" s="148">
        <f t="shared" si="62"/>
        <v>100</v>
      </c>
      <c r="K293" s="148">
        <f t="shared" si="62"/>
        <v>26</v>
      </c>
      <c r="L293" s="148">
        <f t="shared" si="62"/>
        <v>7</v>
      </c>
      <c r="M293" s="148">
        <f t="shared" si="62"/>
        <v>12</v>
      </c>
      <c r="N293" s="148">
        <f t="shared" si="62"/>
        <v>10</v>
      </c>
      <c r="O293" s="148">
        <f t="shared" si="62"/>
        <v>105</v>
      </c>
      <c r="P293" s="148">
        <f t="shared" si="49"/>
        <v>573</v>
      </c>
      <c r="R293" s="148">
        <f>'Fuel Ethanol'!Y36</f>
        <v>132224.17915570151</v>
      </c>
      <c r="S293" s="157">
        <f t="shared" si="50"/>
        <v>34.929661407561667</v>
      </c>
      <c r="T293" s="154">
        <f t="shared" si="51"/>
        <v>0.71774623733378418</v>
      </c>
      <c r="V293" s="149">
        <f t="shared" si="52"/>
        <v>455</v>
      </c>
      <c r="W293" s="149">
        <f t="shared" si="53"/>
        <v>108</v>
      </c>
      <c r="X293" s="149">
        <f t="shared" si="54"/>
        <v>10</v>
      </c>
      <c r="Y293" s="149">
        <f t="shared" si="48"/>
        <v>573</v>
      </c>
      <c r="AA293" s="158">
        <f t="shared" si="55"/>
        <v>0.79406631762652702</v>
      </c>
      <c r="AB293" s="158">
        <f t="shared" si="55"/>
        <v>0.18848167539267016</v>
      </c>
      <c r="AC293" s="158">
        <f t="shared" si="55"/>
        <v>1.7452006980802792E-2</v>
      </c>
      <c r="AE293" s="148"/>
      <c r="AF293" s="161">
        <f t="shared" si="47"/>
        <v>348190.33844334737</v>
      </c>
      <c r="AG293" s="161">
        <f t="shared" si="56"/>
        <v>276486.21988084301</v>
      </c>
      <c r="AH293" s="162">
        <f t="shared" si="57"/>
        <v>10.884681855647038</v>
      </c>
      <c r="AI293" s="159"/>
      <c r="AJ293" s="157"/>
      <c r="AK293" s="157">
        <f t="shared" si="58"/>
        <v>10.340447762864686</v>
      </c>
      <c r="AN293" s="161">
        <f t="shared" si="59"/>
        <v>104457.1015330042</v>
      </c>
    </row>
    <row r="294" spans="1:40">
      <c r="A294" s="156">
        <f>'BD Plant List'!A293</f>
        <v>48549</v>
      </c>
      <c r="B294" s="148">
        <f t="shared" si="63"/>
        <v>40</v>
      </c>
      <c r="C294" s="148">
        <f t="shared" si="62"/>
        <v>10</v>
      </c>
      <c r="D294" s="148">
        <f t="shared" si="62"/>
        <v>56</v>
      </c>
      <c r="E294" s="148">
        <f t="shared" si="62"/>
        <v>70</v>
      </c>
      <c r="F294" s="148">
        <f t="shared" si="62"/>
        <v>9</v>
      </c>
      <c r="G294" s="148">
        <f t="shared" si="62"/>
        <v>50</v>
      </c>
      <c r="H294" s="148">
        <f t="shared" si="62"/>
        <v>39</v>
      </c>
      <c r="I294" s="148">
        <f t="shared" si="62"/>
        <v>39</v>
      </c>
      <c r="J294" s="148">
        <f t="shared" si="62"/>
        <v>100</v>
      </c>
      <c r="K294" s="148">
        <f t="shared" si="62"/>
        <v>26</v>
      </c>
      <c r="L294" s="148">
        <f t="shared" si="62"/>
        <v>7</v>
      </c>
      <c r="M294" s="148">
        <f t="shared" si="62"/>
        <v>12</v>
      </c>
      <c r="N294" s="148">
        <f t="shared" si="62"/>
        <v>10</v>
      </c>
      <c r="O294" s="148">
        <f t="shared" si="62"/>
        <v>105</v>
      </c>
      <c r="P294" s="148">
        <f t="shared" si="49"/>
        <v>573</v>
      </c>
      <c r="R294" s="148">
        <f>'Fuel Ethanol'!Y37</f>
        <v>123391.78669137321</v>
      </c>
      <c r="S294" s="157">
        <f t="shared" si="50"/>
        <v>32.596408290260065</v>
      </c>
      <c r="T294" s="154">
        <f t="shared" si="51"/>
        <v>0.69212850645403856</v>
      </c>
      <c r="V294" s="149">
        <f t="shared" si="52"/>
        <v>455</v>
      </c>
      <c r="W294" s="149">
        <f t="shared" si="53"/>
        <v>108</v>
      </c>
      <c r="X294" s="149">
        <f t="shared" si="54"/>
        <v>10</v>
      </c>
      <c r="Y294" s="149">
        <f t="shared" si="48"/>
        <v>573</v>
      </c>
      <c r="AA294" s="158">
        <f t="shared" si="55"/>
        <v>0.79406631762652702</v>
      </c>
      <c r="AB294" s="158">
        <f t="shared" si="55"/>
        <v>0.18848167539267016</v>
      </c>
      <c r="AC294" s="158">
        <f t="shared" si="55"/>
        <v>1.7452006980802792E-2</v>
      </c>
      <c r="AE294" s="148"/>
      <c r="AF294" s="161">
        <f t="shared" si="47"/>
        <v>324931.70495394949</v>
      </c>
      <c r="AG294" s="161">
        <f t="shared" si="56"/>
        <v>258017.32243289181</v>
      </c>
      <c r="AH294" s="162">
        <f t="shared" si="57"/>
        <v>10.157600147805841</v>
      </c>
      <c r="AI294" s="159"/>
      <c r="AJ294" s="157"/>
      <c r="AK294" s="157">
        <f t="shared" si="58"/>
        <v>9.6497201404155479</v>
      </c>
      <c r="AN294" s="161">
        <f t="shared" si="59"/>
        <v>97479.511486184841</v>
      </c>
    </row>
    <row r="295" spans="1:40">
      <c r="A295" s="156">
        <f>'BD Plant List'!A294</f>
        <v>48580</v>
      </c>
      <c r="B295" s="148">
        <f t="shared" si="63"/>
        <v>40</v>
      </c>
      <c r="C295" s="148">
        <f t="shared" si="62"/>
        <v>10</v>
      </c>
      <c r="D295" s="148">
        <f t="shared" si="62"/>
        <v>56</v>
      </c>
      <c r="E295" s="148">
        <f t="shared" si="62"/>
        <v>70</v>
      </c>
      <c r="F295" s="148">
        <f t="shared" si="62"/>
        <v>9</v>
      </c>
      <c r="G295" s="148">
        <f t="shared" si="62"/>
        <v>50</v>
      </c>
      <c r="H295" s="148">
        <f t="shared" si="62"/>
        <v>39</v>
      </c>
      <c r="I295" s="148">
        <f t="shared" si="62"/>
        <v>39</v>
      </c>
      <c r="J295" s="148">
        <f t="shared" si="62"/>
        <v>100</v>
      </c>
      <c r="K295" s="148">
        <f t="shared" si="62"/>
        <v>26</v>
      </c>
      <c r="L295" s="148">
        <f t="shared" si="62"/>
        <v>7</v>
      </c>
      <c r="M295" s="148">
        <f t="shared" si="62"/>
        <v>12</v>
      </c>
      <c r="N295" s="148">
        <f t="shared" si="62"/>
        <v>10</v>
      </c>
      <c r="O295" s="148">
        <f t="shared" si="62"/>
        <v>105</v>
      </c>
      <c r="P295" s="148">
        <f t="shared" si="49"/>
        <v>573</v>
      </c>
      <c r="R295" s="148">
        <f>'Fuel Ethanol'!Z26</f>
        <v>127647.3280586569</v>
      </c>
      <c r="S295" s="157">
        <f t="shared" si="50"/>
        <v>33.720594653255397</v>
      </c>
      <c r="T295" s="154">
        <f t="shared" si="51"/>
        <v>0.69290193370704378</v>
      </c>
      <c r="V295" s="149">
        <f t="shared" si="52"/>
        <v>455</v>
      </c>
      <c r="W295" s="149">
        <f t="shared" si="53"/>
        <v>108</v>
      </c>
      <c r="X295" s="149">
        <f t="shared" si="54"/>
        <v>10</v>
      </c>
      <c r="Y295" s="149">
        <f t="shared" si="48"/>
        <v>573</v>
      </c>
      <c r="AA295" s="158">
        <f t="shared" si="55"/>
        <v>0.79406631762652702</v>
      </c>
      <c r="AB295" s="158">
        <f t="shared" si="55"/>
        <v>0.18848167539267016</v>
      </c>
      <c r="AC295" s="158">
        <f t="shared" si="55"/>
        <v>1.7452006980802792E-2</v>
      </c>
      <c r="AE295" s="148"/>
      <c r="AF295" s="161">
        <f t="shared" si="47"/>
        <v>336137.9638877965</v>
      </c>
      <c r="AG295" s="161">
        <f t="shared" si="56"/>
        <v>266915.83519886108</v>
      </c>
      <c r="AH295" s="162">
        <f t="shared" si="57"/>
        <v>10.507915908525243</v>
      </c>
      <c r="AI295" s="159"/>
      <c r="AJ295" s="157"/>
      <c r="AK295" s="157">
        <f t="shared" si="58"/>
        <v>9.98252011309898</v>
      </c>
      <c r="AN295" s="161">
        <f t="shared" si="59"/>
        <v>100841.38916633895</v>
      </c>
    </row>
    <row r="296" spans="1:40">
      <c r="A296" s="156">
        <f>'BD Plant List'!A295</f>
        <v>48611</v>
      </c>
      <c r="B296" s="148">
        <f t="shared" si="63"/>
        <v>40</v>
      </c>
      <c r="C296" s="148">
        <f t="shared" si="62"/>
        <v>10</v>
      </c>
      <c r="D296" s="148">
        <f t="shared" si="62"/>
        <v>56</v>
      </c>
      <c r="E296" s="148">
        <f t="shared" si="62"/>
        <v>70</v>
      </c>
      <c r="F296" s="148">
        <f t="shared" si="62"/>
        <v>9</v>
      </c>
      <c r="G296" s="148">
        <f t="shared" si="62"/>
        <v>50</v>
      </c>
      <c r="H296" s="148">
        <f t="shared" si="62"/>
        <v>39</v>
      </c>
      <c r="I296" s="148">
        <f t="shared" si="62"/>
        <v>39</v>
      </c>
      <c r="J296" s="148">
        <f t="shared" si="62"/>
        <v>100</v>
      </c>
      <c r="K296" s="148">
        <f t="shared" si="62"/>
        <v>26</v>
      </c>
      <c r="L296" s="148">
        <f t="shared" si="62"/>
        <v>7</v>
      </c>
      <c r="M296" s="148">
        <f t="shared" si="62"/>
        <v>12</v>
      </c>
      <c r="N296" s="148">
        <f t="shared" si="62"/>
        <v>10</v>
      </c>
      <c r="O296" s="148">
        <f t="shared" si="62"/>
        <v>105</v>
      </c>
      <c r="P296" s="148">
        <f t="shared" si="49"/>
        <v>573</v>
      </c>
      <c r="R296" s="148">
        <f>'Fuel Ethanol'!Z27</f>
        <v>121200.94090985844</v>
      </c>
      <c r="S296" s="157">
        <f t="shared" si="50"/>
        <v>32.017652560157309</v>
      </c>
      <c r="T296" s="154">
        <f t="shared" si="51"/>
        <v>0.65790931624485827</v>
      </c>
      <c r="V296" s="149">
        <f t="shared" si="52"/>
        <v>455</v>
      </c>
      <c r="W296" s="149">
        <f t="shared" si="53"/>
        <v>108</v>
      </c>
      <c r="X296" s="149">
        <f t="shared" si="54"/>
        <v>10</v>
      </c>
      <c r="Y296" s="149">
        <f t="shared" si="48"/>
        <v>573</v>
      </c>
      <c r="AA296" s="158">
        <f t="shared" si="55"/>
        <v>0.79406631762652702</v>
      </c>
      <c r="AB296" s="158">
        <f t="shared" si="55"/>
        <v>0.18848167539267016</v>
      </c>
      <c r="AC296" s="158">
        <f t="shared" si="55"/>
        <v>1.7452006980802792E-2</v>
      </c>
      <c r="AE296" s="148"/>
      <c r="AF296" s="161">
        <f t="shared" si="47"/>
        <v>319162.47772929393</v>
      </c>
      <c r="AG296" s="161">
        <f t="shared" si="56"/>
        <v>253436.17341505887</v>
      </c>
      <c r="AH296" s="162">
        <f t="shared" si="57"/>
        <v>9.9772499313866962</v>
      </c>
      <c r="AI296" s="159"/>
      <c r="AJ296" s="157"/>
      <c r="AK296" s="157">
        <f t="shared" si="58"/>
        <v>9.4783874348173605</v>
      </c>
      <c r="AN296" s="161">
        <f t="shared" si="59"/>
        <v>95748.743318788169</v>
      </c>
    </row>
    <row r="297" spans="1:40">
      <c r="A297" s="156">
        <f>'BD Plant List'!A296</f>
        <v>48639</v>
      </c>
      <c r="B297" s="148">
        <f t="shared" si="63"/>
        <v>40</v>
      </c>
      <c r="C297" s="148">
        <f t="shared" si="62"/>
        <v>10</v>
      </c>
      <c r="D297" s="148">
        <f t="shared" si="62"/>
        <v>56</v>
      </c>
      <c r="E297" s="148">
        <f t="shared" si="62"/>
        <v>70</v>
      </c>
      <c r="F297" s="148">
        <f t="shared" si="62"/>
        <v>9</v>
      </c>
      <c r="G297" s="148">
        <f t="shared" si="62"/>
        <v>50</v>
      </c>
      <c r="H297" s="148">
        <f t="shared" si="62"/>
        <v>39</v>
      </c>
      <c r="I297" s="148">
        <f t="shared" si="62"/>
        <v>39</v>
      </c>
      <c r="J297" s="148">
        <f t="shared" si="62"/>
        <v>100</v>
      </c>
      <c r="K297" s="148">
        <f t="shared" si="62"/>
        <v>26</v>
      </c>
      <c r="L297" s="148">
        <f t="shared" si="62"/>
        <v>7</v>
      </c>
      <c r="M297" s="148">
        <f t="shared" si="62"/>
        <v>12</v>
      </c>
      <c r="N297" s="148">
        <f t="shared" si="62"/>
        <v>10</v>
      </c>
      <c r="O297" s="148">
        <f t="shared" si="62"/>
        <v>105</v>
      </c>
      <c r="P297" s="148">
        <f t="shared" si="49"/>
        <v>573</v>
      </c>
      <c r="R297" s="148">
        <f>'Fuel Ethanol'!Z28</f>
        <v>131609.86929053909</v>
      </c>
      <c r="S297" s="157">
        <f t="shared" si="50"/>
        <v>34.767379170481711</v>
      </c>
      <c r="T297" s="154">
        <f t="shared" si="51"/>
        <v>0.79095570912651603</v>
      </c>
      <c r="V297" s="149">
        <f t="shared" si="52"/>
        <v>455</v>
      </c>
      <c r="W297" s="149">
        <f t="shared" si="53"/>
        <v>108</v>
      </c>
      <c r="X297" s="149">
        <f t="shared" si="54"/>
        <v>10</v>
      </c>
      <c r="Y297" s="149">
        <f t="shared" si="48"/>
        <v>573</v>
      </c>
      <c r="AA297" s="158">
        <f t="shared" si="55"/>
        <v>0.79406631762652702</v>
      </c>
      <c r="AB297" s="158">
        <f t="shared" si="55"/>
        <v>0.18848167539267016</v>
      </c>
      <c r="AC297" s="158">
        <f t="shared" si="55"/>
        <v>1.7452006980802792E-2</v>
      </c>
      <c r="AE297" s="148"/>
      <c r="AF297" s="161">
        <f t="shared" si="47"/>
        <v>346572.65579841967</v>
      </c>
      <c r="AG297" s="161">
        <f t="shared" si="56"/>
        <v>275201.67257989693</v>
      </c>
      <c r="AH297" s="162">
        <f t="shared" si="57"/>
        <v>10.834111925958123</v>
      </c>
      <c r="AI297" s="159"/>
      <c r="AJ297" s="157"/>
      <c r="AK297" s="157">
        <f t="shared" si="58"/>
        <v>10.292406329660215</v>
      </c>
      <c r="AN297" s="161">
        <f t="shared" si="59"/>
        <v>103971.79673952589</v>
      </c>
    </row>
    <row r="298" spans="1:40">
      <c r="A298" s="156">
        <f>'BD Plant List'!A297</f>
        <v>48670</v>
      </c>
      <c r="B298" s="148">
        <f t="shared" si="63"/>
        <v>40</v>
      </c>
      <c r="C298" s="148">
        <f t="shared" si="62"/>
        <v>10</v>
      </c>
      <c r="D298" s="148">
        <f t="shared" si="62"/>
        <v>56</v>
      </c>
      <c r="E298" s="148">
        <f t="shared" si="62"/>
        <v>70</v>
      </c>
      <c r="F298" s="148">
        <f t="shared" si="62"/>
        <v>9</v>
      </c>
      <c r="G298" s="148">
        <f t="shared" si="62"/>
        <v>50</v>
      </c>
      <c r="H298" s="148">
        <f t="shared" si="62"/>
        <v>39</v>
      </c>
      <c r="I298" s="148">
        <f t="shared" si="62"/>
        <v>39</v>
      </c>
      <c r="J298" s="148">
        <f t="shared" si="62"/>
        <v>100</v>
      </c>
      <c r="K298" s="148">
        <f t="shared" si="62"/>
        <v>26</v>
      </c>
      <c r="L298" s="148">
        <f t="shared" si="62"/>
        <v>7</v>
      </c>
      <c r="M298" s="148">
        <f t="shared" si="62"/>
        <v>12</v>
      </c>
      <c r="N298" s="148">
        <f t="shared" si="62"/>
        <v>10</v>
      </c>
      <c r="O298" s="148">
        <f t="shared" si="62"/>
        <v>105</v>
      </c>
      <c r="P298" s="148">
        <f t="shared" si="49"/>
        <v>573</v>
      </c>
      <c r="R298" s="148">
        <f>'Fuel Ethanol'!Z29</f>
        <v>118619.44156874613</v>
      </c>
      <c r="S298" s="157">
        <f t="shared" si="50"/>
        <v>31.335697879215665</v>
      </c>
      <c r="T298" s="154">
        <f t="shared" si="51"/>
        <v>0.64389628587027625</v>
      </c>
      <c r="V298" s="149">
        <f t="shared" si="52"/>
        <v>455</v>
      </c>
      <c r="W298" s="149">
        <f t="shared" si="53"/>
        <v>108</v>
      </c>
      <c r="X298" s="149">
        <f t="shared" si="54"/>
        <v>10</v>
      </c>
      <c r="Y298" s="149">
        <f t="shared" si="48"/>
        <v>573</v>
      </c>
      <c r="AA298" s="158">
        <f t="shared" si="55"/>
        <v>0.79406631762652702</v>
      </c>
      <c r="AB298" s="158">
        <f t="shared" si="55"/>
        <v>0.18848167539267016</v>
      </c>
      <c r="AC298" s="158">
        <f t="shared" si="55"/>
        <v>1.7452006980802792E-2</v>
      </c>
      <c r="AE298" s="148"/>
      <c r="AF298" s="161">
        <f t="shared" si="47"/>
        <v>312364.52946436481</v>
      </c>
      <c r="AG298" s="161">
        <f t="shared" si="56"/>
        <v>248038.15166891096</v>
      </c>
      <c r="AH298" s="162">
        <f t="shared" si="57"/>
        <v>9.7647411510865183</v>
      </c>
      <c r="AI298" s="159"/>
      <c r="AJ298" s="157"/>
      <c r="AK298" s="157">
        <f t="shared" si="58"/>
        <v>9.2765040935321927</v>
      </c>
      <c r="AN298" s="161">
        <f t="shared" si="59"/>
        <v>93709.35883930944</v>
      </c>
    </row>
    <row r="299" spans="1:40">
      <c r="A299" s="156">
        <f>'BD Plant List'!A298</f>
        <v>48700</v>
      </c>
      <c r="B299" s="148">
        <f t="shared" si="63"/>
        <v>40</v>
      </c>
      <c r="C299" s="148">
        <f t="shared" si="62"/>
        <v>10</v>
      </c>
      <c r="D299" s="148">
        <f t="shared" si="62"/>
        <v>56</v>
      </c>
      <c r="E299" s="148">
        <f t="shared" si="62"/>
        <v>70</v>
      </c>
      <c r="F299" s="148">
        <f t="shared" si="62"/>
        <v>9</v>
      </c>
      <c r="G299" s="148">
        <f t="shared" si="62"/>
        <v>50</v>
      </c>
      <c r="H299" s="148">
        <f t="shared" si="62"/>
        <v>39</v>
      </c>
      <c r="I299" s="148">
        <f t="shared" si="62"/>
        <v>39</v>
      </c>
      <c r="J299" s="148">
        <f t="shared" si="62"/>
        <v>100</v>
      </c>
      <c r="K299" s="148">
        <f t="shared" si="62"/>
        <v>26</v>
      </c>
      <c r="L299" s="148">
        <f t="shared" si="62"/>
        <v>7</v>
      </c>
      <c r="M299" s="148">
        <f t="shared" si="62"/>
        <v>12</v>
      </c>
      <c r="N299" s="148">
        <f t="shared" si="62"/>
        <v>10</v>
      </c>
      <c r="O299" s="148">
        <f t="shared" si="62"/>
        <v>105</v>
      </c>
      <c r="P299" s="148">
        <f t="shared" si="49"/>
        <v>573</v>
      </c>
      <c r="R299" s="148">
        <f>'Fuel Ethanol'!Z30</f>
        <v>122365.11091605388</v>
      </c>
      <c r="S299" s="157">
        <f t="shared" si="50"/>
        <v>32.325191350693956</v>
      </c>
      <c r="T299" s="154">
        <f t="shared" si="51"/>
        <v>0.68636968254818453</v>
      </c>
      <c r="V299" s="149">
        <f t="shared" si="52"/>
        <v>455</v>
      </c>
      <c r="W299" s="149">
        <f t="shared" si="53"/>
        <v>108</v>
      </c>
      <c r="X299" s="149">
        <f t="shared" si="54"/>
        <v>10</v>
      </c>
      <c r="Y299" s="149">
        <f t="shared" si="48"/>
        <v>573</v>
      </c>
      <c r="AA299" s="158">
        <f t="shared" si="55"/>
        <v>0.79406631762652702</v>
      </c>
      <c r="AB299" s="158">
        <f t="shared" si="55"/>
        <v>0.18848167539267016</v>
      </c>
      <c r="AC299" s="158">
        <f t="shared" si="55"/>
        <v>1.7452006980802792E-2</v>
      </c>
      <c r="AE299" s="148"/>
      <c r="AF299" s="161">
        <f t="shared" si="47"/>
        <v>322228.1254122752</v>
      </c>
      <c r="AG299" s="161">
        <f t="shared" si="56"/>
        <v>255870.50098182409</v>
      </c>
      <c r="AH299" s="162">
        <f t="shared" si="57"/>
        <v>10.073084295602353</v>
      </c>
      <c r="AI299" s="159"/>
      <c r="AJ299" s="157"/>
      <c r="AK299" s="157">
        <f t="shared" si="58"/>
        <v>9.5694300808222348</v>
      </c>
      <c r="AN299" s="161">
        <f t="shared" si="59"/>
        <v>96668.437623682563</v>
      </c>
    </row>
    <row r="300" spans="1:40">
      <c r="A300" s="156">
        <f>'BD Plant List'!A299</f>
        <v>48731</v>
      </c>
      <c r="B300" s="148">
        <f t="shared" si="63"/>
        <v>40</v>
      </c>
      <c r="C300" s="148">
        <f t="shared" si="62"/>
        <v>10</v>
      </c>
      <c r="D300" s="148">
        <f t="shared" si="62"/>
        <v>56</v>
      </c>
      <c r="E300" s="148">
        <f t="shared" si="62"/>
        <v>70</v>
      </c>
      <c r="F300" s="148">
        <f t="shared" si="62"/>
        <v>9</v>
      </c>
      <c r="G300" s="148">
        <f t="shared" si="62"/>
        <v>50</v>
      </c>
      <c r="H300" s="148">
        <f t="shared" si="62"/>
        <v>39</v>
      </c>
      <c r="I300" s="148">
        <f t="shared" si="62"/>
        <v>39</v>
      </c>
      <c r="J300" s="148">
        <f t="shared" si="62"/>
        <v>100</v>
      </c>
      <c r="K300" s="148">
        <f t="shared" si="62"/>
        <v>26</v>
      </c>
      <c r="L300" s="148">
        <f t="shared" si="62"/>
        <v>7</v>
      </c>
      <c r="M300" s="148">
        <f t="shared" si="62"/>
        <v>12</v>
      </c>
      <c r="N300" s="148">
        <f t="shared" si="62"/>
        <v>10</v>
      </c>
      <c r="O300" s="148">
        <f t="shared" si="62"/>
        <v>105</v>
      </c>
      <c r="P300" s="148">
        <f t="shared" si="49"/>
        <v>573</v>
      </c>
      <c r="R300" s="148">
        <f>'Fuel Ethanol'!Z31</f>
        <v>121640.14551687584</v>
      </c>
      <c r="S300" s="157">
        <f t="shared" si="50"/>
        <v>32.133677241193091</v>
      </c>
      <c r="T300" s="154">
        <f t="shared" si="51"/>
        <v>0.66029342977174332</v>
      </c>
      <c r="V300" s="149">
        <f t="shared" si="52"/>
        <v>455</v>
      </c>
      <c r="W300" s="149">
        <f t="shared" si="53"/>
        <v>108</v>
      </c>
      <c r="X300" s="149">
        <f t="shared" si="54"/>
        <v>10</v>
      </c>
      <c r="Y300" s="149">
        <f t="shared" si="48"/>
        <v>573</v>
      </c>
      <c r="AA300" s="158">
        <f t="shared" si="55"/>
        <v>0.79406631762652702</v>
      </c>
      <c r="AB300" s="158">
        <f t="shared" si="55"/>
        <v>0.18848167539267016</v>
      </c>
      <c r="AC300" s="158">
        <f t="shared" si="55"/>
        <v>1.7452006980802792E-2</v>
      </c>
      <c r="AE300" s="148"/>
      <c r="AF300" s="161">
        <f t="shared" si="47"/>
        <v>320319.04986110638</v>
      </c>
      <c r="AG300" s="161">
        <f t="shared" si="56"/>
        <v>254354.56838883663</v>
      </c>
      <c r="AH300" s="162">
        <f t="shared" si="57"/>
        <v>10.013405212874883</v>
      </c>
      <c r="AI300" s="159"/>
      <c r="AJ300" s="157"/>
      <c r="AK300" s="157">
        <f t="shared" si="58"/>
        <v>9.5127349522311384</v>
      </c>
      <c r="AN300" s="161">
        <f t="shared" si="59"/>
        <v>96095.714958331911</v>
      </c>
    </row>
    <row r="301" spans="1:40">
      <c r="A301" s="156">
        <f>'BD Plant List'!A300</f>
        <v>48761</v>
      </c>
      <c r="B301" s="148">
        <f t="shared" si="63"/>
        <v>40</v>
      </c>
      <c r="C301" s="148">
        <f t="shared" si="62"/>
        <v>10</v>
      </c>
      <c r="D301" s="148">
        <f t="shared" si="62"/>
        <v>56</v>
      </c>
      <c r="E301" s="148">
        <f t="shared" si="62"/>
        <v>70</v>
      </c>
      <c r="F301" s="148">
        <f t="shared" si="62"/>
        <v>9</v>
      </c>
      <c r="G301" s="148">
        <f t="shared" si="62"/>
        <v>50</v>
      </c>
      <c r="H301" s="148">
        <f t="shared" si="62"/>
        <v>39</v>
      </c>
      <c r="I301" s="148">
        <f t="shared" si="62"/>
        <v>39</v>
      </c>
      <c r="J301" s="148">
        <f t="shared" si="62"/>
        <v>100</v>
      </c>
      <c r="K301" s="148">
        <f t="shared" si="62"/>
        <v>26</v>
      </c>
      <c r="L301" s="148">
        <f t="shared" si="62"/>
        <v>7</v>
      </c>
      <c r="M301" s="148">
        <f t="shared" si="62"/>
        <v>12</v>
      </c>
      <c r="N301" s="148">
        <f t="shared" si="62"/>
        <v>10</v>
      </c>
      <c r="O301" s="148">
        <f t="shared" si="62"/>
        <v>105</v>
      </c>
      <c r="P301" s="148">
        <f t="shared" si="49"/>
        <v>573</v>
      </c>
      <c r="R301" s="148">
        <f>'Fuel Ethanol'!Z32</f>
        <v>133484.58052197818</v>
      </c>
      <c r="S301" s="157">
        <f t="shared" si="50"/>
        <v>35.262621636490977</v>
      </c>
      <c r="T301" s="154">
        <f t="shared" si="51"/>
        <v>0.74874094806976177</v>
      </c>
      <c r="V301" s="149">
        <f t="shared" si="52"/>
        <v>455</v>
      </c>
      <c r="W301" s="149">
        <f t="shared" si="53"/>
        <v>108</v>
      </c>
      <c r="X301" s="149">
        <f t="shared" si="54"/>
        <v>10</v>
      </c>
      <c r="Y301" s="149">
        <f t="shared" si="48"/>
        <v>573</v>
      </c>
      <c r="AA301" s="158">
        <f t="shared" si="55"/>
        <v>0.79406631762652702</v>
      </c>
      <c r="AB301" s="158">
        <f t="shared" si="55"/>
        <v>0.18848167539267016</v>
      </c>
      <c r="AC301" s="158">
        <f t="shared" si="55"/>
        <v>1.7452006980802792E-2</v>
      </c>
      <c r="AE301" s="148"/>
      <c r="AF301" s="161">
        <f t="shared" si="47"/>
        <v>351509.39537454257</v>
      </c>
      <c r="AG301" s="161">
        <f t="shared" si="56"/>
        <v>279121.77119618998</v>
      </c>
      <c r="AH301" s="162">
        <f t="shared" si="57"/>
        <v>10.988437976274486</v>
      </c>
      <c r="AI301" s="159"/>
      <c r="AJ301" s="157"/>
      <c r="AK301" s="157">
        <f t="shared" si="58"/>
        <v>10.439016077460762</v>
      </c>
      <c r="AN301" s="161">
        <f t="shared" si="59"/>
        <v>105452.81861236277</v>
      </c>
    </row>
    <row r="302" spans="1:40">
      <c r="A302" s="156">
        <f>'BD Plant List'!A301</f>
        <v>48792</v>
      </c>
      <c r="B302" s="148">
        <f t="shared" si="63"/>
        <v>40</v>
      </c>
      <c r="C302" s="148">
        <f t="shared" si="62"/>
        <v>10</v>
      </c>
      <c r="D302" s="148">
        <f t="shared" si="62"/>
        <v>56</v>
      </c>
      <c r="E302" s="148">
        <f t="shared" si="62"/>
        <v>70</v>
      </c>
      <c r="F302" s="148">
        <f t="shared" si="62"/>
        <v>9</v>
      </c>
      <c r="G302" s="148">
        <f t="shared" si="62"/>
        <v>50</v>
      </c>
      <c r="H302" s="148">
        <f t="shared" si="62"/>
        <v>39</v>
      </c>
      <c r="I302" s="148">
        <f t="shared" si="62"/>
        <v>39</v>
      </c>
      <c r="J302" s="148">
        <f t="shared" si="62"/>
        <v>100</v>
      </c>
      <c r="K302" s="148">
        <f t="shared" si="62"/>
        <v>26</v>
      </c>
      <c r="L302" s="148">
        <f t="shared" si="62"/>
        <v>7</v>
      </c>
      <c r="M302" s="148">
        <f t="shared" si="62"/>
        <v>12</v>
      </c>
      <c r="N302" s="148">
        <f t="shared" si="62"/>
        <v>10</v>
      </c>
      <c r="O302" s="148">
        <f t="shared" si="62"/>
        <v>105</v>
      </c>
      <c r="P302" s="148">
        <f t="shared" si="49"/>
        <v>573</v>
      </c>
      <c r="R302" s="148">
        <f>'Fuel Ethanol'!Z33</f>
        <v>134146.04586734436</v>
      </c>
      <c r="S302" s="157">
        <f t="shared" si="50"/>
        <v>35.437360936776365</v>
      </c>
      <c r="T302" s="154">
        <f t="shared" si="51"/>
        <v>0.7281786152070806</v>
      </c>
      <c r="V302" s="149">
        <f t="shared" si="52"/>
        <v>455</v>
      </c>
      <c r="W302" s="149">
        <f t="shared" si="53"/>
        <v>108</v>
      </c>
      <c r="X302" s="149">
        <f t="shared" si="54"/>
        <v>10</v>
      </c>
      <c r="Y302" s="149">
        <f t="shared" si="48"/>
        <v>573</v>
      </c>
      <c r="AA302" s="158">
        <f t="shared" si="55"/>
        <v>0.79406631762652702</v>
      </c>
      <c r="AB302" s="158">
        <f t="shared" si="55"/>
        <v>0.18848167539267016</v>
      </c>
      <c r="AC302" s="158">
        <f t="shared" si="55"/>
        <v>1.7452006980802792E-2</v>
      </c>
      <c r="AE302" s="148"/>
      <c r="AF302" s="161">
        <f t="shared" si="47"/>
        <v>353251.2541173402</v>
      </c>
      <c r="AG302" s="161">
        <f t="shared" si="56"/>
        <v>280504.92255390889</v>
      </c>
      <c r="AH302" s="162">
        <f t="shared" si="57"/>
        <v>11.042889740610029</v>
      </c>
      <c r="AI302" s="159"/>
      <c r="AJ302" s="157"/>
      <c r="AK302" s="157">
        <f t="shared" si="58"/>
        <v>10.490745253579528</v>
      </c>
      <c r="AN302" s="161">
        <f t="shared" si="59"/>
        <v>105975.37623520206</v>
      </c>
    </row>
    <row r="303" spans="1:40">
      <c r="A303" s="156">
        <f>'BD Plant List'!A302</f>
        <v>48823</v>
      </c>
      <c r="B303" s="148">
        <f t="shared" si="63"/>
        <v>40</v>
      </c>
      <c r="C303" s="148">
        <f t="shared" si="62"/>
        <v>10</v>
      </c>
      <c r="D303" s="148">
        <f t="shared" si="62"/>
        <v>56</v>
      </c>
      <c r="E303" s="148">
        <f t="shared" si="62"/>
        <v>70</v>
      </c>
      <c r="F303" s="148">
        <f t="shared" si="62"/>
        <v>9</v>
      </c>
      <c r="G303" s="148">
        <f t="shared" si="62"/>
        <v>50</v>
      </c>
      <c r="H303" s="148">
        <f t="shared" si="62"/>
        <v>39</v>
      </c>
      <c r="I303" s="148">
        <f t="shared" si="62"/>
        <v>39</v>
      </c>
      <c r="J303" s="148">
        <f t="shared" si="62"/>
        <v>100</v>
      </c>
      <c r="K303" s="148">
        <f t="shared" si="62"/>
        <v>26</v>
      </c>
      <c r="L303" s="148">
        <f t="shared" si="62"/>
        <v>7</v>
      </c>
      <c r="M303" s="148">
        <f t="shared" si="62"/>
        <v>12</v>
      </c>
      <c r="N303" s="148">
        <f t="shared" si="62"/>
        <v>10</v>
      </c>
      <c r="O303" s="148">
        <f t="shared" si="62"/>
        <v>105</v>
      </c>
      <c r="P303" s="148">
        <f t="shared" si="49"/>
        <v>573</v>
      </c>
      <c r="R303" s="148">
        <f>'Fuel Ethanol'!Z34</f>
        <v>117843.99704240588</v>
      </c>
      <c r="S303" s="157">
        <f t="shared" si="50"/>
        <v>31.130848698692361</v>
      </c>
      <c r="T303" s="154">
        <f t="shared" si="51"/>
        <v>0.63968697714477907</v>
      </c>
      <c r="V303" s="149">
        <f t="shared" si="52"/>
        <v>455</v>
      </c>
      <c r="W303" s="149">
        <f t="shared" si="53"/>
        <v>108</v>
      </c>
      <c r="X303" s="149">
        <f t="shared" si="54"/>
        <v>10</v>
      </c>
      <c r="Y303" s="149">
        <f t="shared" si="48"/>
        <v>573</v>
      </c>
      <c r="AA303" s="158">
        <f t="shared" si="55"/>
        <v>0.79406631762652702</v>
      </c>
      <c r="AB303" s="158">
        <f t="shared" si="55"/>
        <v>0.18848167539267016</v>
      </c>
      <c r="AC303" s="158">
        <f t="shared" si="55"/>
        <v>1.7452006980802792E-2</v>
      </c>
      <c r="AE303" s="148"/>
      <c r="AF303" s="161">
        <f t="shared" si="47"/>
        <v>310322.52554500219</v>
      </c>
      <c r="AG303" s="161">
        <f t="shared" si="56"/>
        <v>246416.66513608376</v>
      </c>
      <c r="AH303" s="162">
        <f t="shared" si="57"/>
        <v>9.700906631410831</v>
      </c>
      <c r="AI303" s="159"/>
      <c r="AJ303" s="157"/>
      <c r="AK303" s="157">
        <f t="shared" si="58"/>
        <v>9.2158612998402898</v>
      </c>
      <c r="AN303" s="161">
        <f t="shared" si="59"/>
        <v>93096.757663500655</v>
      </c>
    </row>
    <row r="304" spans="1:40">
      <c r="A304" s="156">
        <f>'BD Plant List'!A303</f>
        <v>48853</v>
      </c>
      <c r="B304" s="148">
        <f t="shared" si="63"/>
        <v>40</v>
      </c>
      <c r="C304" s="148">
        <f t="shared" si="62"/>
        <v>10</v>
      </c>
      <c r="D304" s="148">
        <f t="shared" si="62"/>
        <v>56</v>
      </c>
      <c r="E304" s="148">
        <f t="shared" si="62"/>
        <v>70</v>
      </c>
      <c r="F304" s="148">
        <f t="shared" si="62"/>
        <v>9</v>
      </c>
      <c r="G304" s="148">
        <f t="shared" si="62"/>
        <v>50</v>
      </c>
      <c r="H304" s="148">
        <f t="shared" si="62"/>
        <v>39</v>
      </c>
      <c r="I304" s="148">
        <f t="shared" si="62"/>
        <v>39</v>
      </c>
      <c r="J304" s="148">
        <f t="shared" si="62"/>
        <v>100</v>
      </c>
      <c r="K304" s="148">
        <f t="shared" si="62"/>
        <v>26</v>
      </c>
      <c r="L304" s="148">
        <f t="shared" si="62"/>
        <v>7</v>
      </c>
      <c r="M304" s="148">
        <f t="shared" si="62"/>
        <v>12</v>
      </c>
      <c r="N304" s="148">
        <f t="shared" si="62"/>
        <v>10</v>
      </c>
      <c r="O304" s="148">
        <f t="shared" si="62"/>
        <v>105</v>
      </c>
      <c r="P304" s="148">
        <f t="shared" si="49"/>
        <v>573</v>
      </c>
      <c r="R304" s="148">
        <f>'Fuel Ethanol'!Z35</f>
        <v>117145.50287575703</v>
      </c>
      <c r="S304" s="157">
        <f t="shared" si="50"/>
        <v>30.946327494688735</v>
      </c>
      <c r="T304" s="154">
        <f t="shared" si="51"/>
        <v>0.65709188688547915</v>
      </c>
      <c r="V304" s="149">
        <f t="shared" si="52"/>
        <v>455</v>
      </c>
      <c r="W304" s="149">
        <f t="shared" si="53"/>
        <v>108</v>
      </c>
      <c r="X304" s="149">
        <f t="shared" si="54"/>
        <v>10</v>
      </c>
      <c r="Y304" s="149">
        <f t="shared" si="48"/>
        <v>573</v>
      </c>
      <c r="AA304" s="158">
        <f t="shared" si="55"/>
        <v>0.79406631762652702</v>
      </c>
      <c r="AB304" s="158">
        <f t="shared" si="55"/>
        <v>0.18848167539267016</v>
      </c>
      <c r="AC304" s="158">
        <f t="shared" si="55"/>
        <v>1.7452006980802792E-2</v>
      </c>
      <c r="AE304" s="148"/>
      <c r="AF304" s="161">
        <f t="shared" si="47"/>
        <v>308483.15757282684</v>
      </c>
      <c r="AG304" s="161">
        <f t="shared" si="56"/>
        <v>244956.08498365831</v>
      </c>
      <c r="AH304" s="162">
        <f t="shared" si="57"/>
        <v>9.6434066580281605</v>
      </c>
      <c r="AI304" s="159"/>
      <c r="AJ304" s="157"/>
      <c r="AK304" s="157">
        <f t="shared" si="58"/>
        <v>9.1612363251267528</v>
      </c>
      <c r="AN304" s="161">
        <f t="shared" si="59"/>
        <v>92544.947271848054</v>
      </c>
    </row>
    <row r="305" spans="1:40">
      <c r="A305" s="156">
        <f>'BD Plant List'!A304</f>
        <v>48884</v>
      </c>
      <c r="B305" s="148">
        <f t="shared" si="63"/>
        <v>40</v>
      </c>
      <c r="C305" s="148">
        <f t="shared" si="62"/>
        <v>10</v>
      </c>
      <c r="D305" s="148">
        <f t="shared" si="62"/>
        <v>56</v>
      </c>
      <c r="E305" s="148">
        <f t="shared" si="62"/>
        <v>70</v>
      </c>
      <c r="F305" s="148">
        <f t="shared" si="62"/>
        <v>9</v>
      </c>
      <c r="G305" s="148">
        <f t="shared" si="62"/>
        <v>50</v>
      </c>
      <c r="H305" s="148">
        <f t="shared" si="62"/>
        <v>39</v>
      </c>
      <c r="I305" s="148">
        <f t="shared" si="62"/>
        <v>39</v>
      </c>
      <c r="J305" s="148">
        <f t="shared" si="62"/>
        <v>100</v>
      </c>
      <c r="K305" s="148">
        <f t="shared" si="62"/>
        <v>26</v>
      </c>
      <c r="L305" s="148">
        <f t="shared" si="62"/>
        <v>7</v>
      </c>
      <c r="M305" s="148">
        <f t="shared" si="62"/>
        <v>12</v>
      </c>
      <c r="N305" s="148">
        <f t="shared" si="62"/>
        <v>10</v>
      </c>
      <c r="O305" s="148">
        <f t="shared" si="62"/>
        <v>105</v>
      </c>
      <c r="P305" s="148">
        <f t="shared" si="49"/>
        <v>573</v>
      </c>
      <c r="R305" s="148">
        <f>'Fuel Ethanol'!Z36</f>
        <v>131247.92540278958</v>
      </c>
      <c r="S305" s="157">
        <f t="shared" si="50"/>
        <v>34.671764453654923</v>
      </c>
      <c r="T305" s="154">
        <f t="shared" si="51"/>
        <v>0.71244688541260182</v>
      </c>
      <c r="V305" s="149">
        <f t="shared" si="52"/>
        <v>455</v>
      </c>
      <c r="W305" s="149">
        <f t="shared" si="53"/>
        <v>108</v>
      </c>
      <c r="X305" s="149">
        <f t="shared" si="54"/>
        <v>10</v>
      </c>
      <c r="Y305" s="149">
        <f t="shared" si="48"/>
        <v>573</v>
      </c>
      <c r="AA305" s="158">
        <f t="shared" si="55"/>
        <v>0.79406631762652702</v>
      </c>
      <c r="AB305" s="158">
        <f t="shared" si="55"/>
        <v>0.18848167539267016</v>
      </c>
      <c r="AC305" s="158">
        <f t="shared" si="55"/>
        <v>1.7452006980802792E-2</v>
      </c>
      <c r="AE305" s="148"/>
      <c r="AF305" s="161">
        <f t="shared" si="47"/>
        <v>345619.53689401259</v>
      </c>
      <c r="AG305" s="161">
        <f t="shared" si="56"/>
        <v>274444.83296121418</v>
      </c>
      <c r="AH305" s="162">
        <f t="shared" si="57"/>
        <v>10.804316739533784</v>
      </c>
      <c r="AI305" s="159"/>
      <c r="AJ305" s="157"/>
      <c r="AK305" s="157">
        <f t="shared" si="58"/>
        <v>10.264100902557093</v>
      </c>
      <c r="AN305" s="161">
        <f t="shared" si="59"/>
        <v>103685.86106820377</v>
      </c>
    </row>
    <row r="306" spans="1:40">
      <c r="A306" s="156">
        <f>'BD Plant List'!A305</f>
        <v>48914</v>
      </c>
      <c r="B306" s="148">
        <f t="shared" si="63"/>
        <v>40</v>
      </c>
      <c r="C306" s="148">
        <f t="shared" si="62"/>
        <v>10</v>
      </c>
      <c r="D306" s="148">
        <f t="shared" si="62"/>
        <v>56</v>
      </c>
      <c r="E306" s="148">
        <f t="shared" si="62"/>
        <v>70</v>
      </c>
      <c r="F306" s="148">
        <f t="shared" si="62"/>
        <v>9</v>
      </c>
      <c r="G306" s="148">
        <f t="shared" si="62"/>
        <v>50</v>
      </c>
      <c r="H306" s="148">
        <f t="shared" si="62"/>
        <v>39</v>
      </c>
      <c r="I306" s="148">
        <f t="shared" si="62"/>
        <v>39</v>
      </c>
      <c r="J306" s="148">
        <f t="shared" si="62"/>
        <v>100</v>
      </c>
      <c r="K306" s="148">
        <f t="shared" si="62"/>
        <v>26</v>
      </c>
      <c r="L306" s="148">
        <f t="shared" si="62"/>
        <v>7</v>
      </c>
      <c r="M306" s="148">
        <f t="shared" si="62"/>
        <v>12</v>
      </c>
      <c r="N306" s="148">
        <f t="shared" si="62"/>
        <v>10</v>
      </c>
      <c r="O306" s="148">
        <f t="shared" si="62"/>
        <v>105</v>
      </c>
      <c r="P306" s="148">
        <f t="shared" si="49"/>
        <v>573</v>
      </c>
      <c r="R306" s="148">
        <f>'Fuel Ethanol'!Z37</f>
        <v>122485.43604814284</v>
      </c>
      <c r="S306" s="157">
        <f t="shared" si="50"/>
        <v>32.356977640837897</v>
      </c>
      <c r="T306" s="154">
        <f t="shared" si="51"/>
        <v>0.68704460959312574</v>
      </c>
      <c r="V306" s="149">
        <f t="shared" si="52"/>
        <v>455</v>
      </c>
      <c r="W306" s="149">
        <f t="shared" si="53"/>
        <v>108</v>
      </c>
      <c r="X306" s="149">
        <f t="shared" si="54"/>
        <v>10</v>
      </c>
      <c r="Y306" s="149">
        <f t="shared" si="48"/>
        <v>573</v>
      </c>
      <c r="AA306" s="158">
        <f t="shared" si="55"/>
        <v>0.79406631762652702</v>
      </c>
      <c r="AB306" s="158">
        <f t="shared" si="55"/>
        <v>0.18848167539267016</v>
      </c>
      <c r="AC306" s="158">
        <f t="shared" si="55"/>
        <v>1.7452006980802792E-2</v>
      </c>
      <c r="AE306" s="148"/>
      <c r="AF306" s="161">
        <f t="shared" si="47"/>
        <v>322544.98159344285</v>
      </c>
      <c r="AG306" s="161">
        <f t="shared" si="56"/>
        <v>256122.10580282111</v>
      </c>
      <c r="AH306" s="162">
        <f t="shared" si="57"/>
        <v>10.082989449034882</v>
      </c>
      <c r="AI306" s="159"/>
      <c r="AJ306" s="157"/>
      <c r="AK306" s="157">
        <f t="shared" si="58"/>
        <v>9.5788399765831365</v>
      </c>
      <c r="AN306" s="161">
        <f t="shared" si="59"/>
        <v>96763.494478032851</v>
      </c>
    </row>
    <row r="307" spans="1:40">
      <c r="A307" s="156">
        <f>'BD Plant List'!A306</f>
        <v>48945</v>
      </c>
      <c r="B307" s="148">
        <f t="shared" si="63"/>
        <v>40</v>
      </c>
      <c r="C307" s="148">
        <f t="shared" si="62"/>
        <v>10</v>
      </c>
      <c r="D307" s="148">
        <f t="shared" si="62"/>
        <v>56</v>
      </c>
      <c r="E307" s="148">
        <f t="shared" si="62"/>
        <v>70</v>
      </c>
      <c r="F307" s="148">
        <f t="shared" si="62"/>
        <v>9</v>
      </c>
      <c r="G307" s="148">
        <f t="shared" si="62"/>
        <v>50</v>
      </c>
      <c r="H307" s="148">
        <f t="shared" si="62"/>
        <v>39</v>
      </c>
      <c r="I307" s="148">
        <f t="shared" si="62"/>
        <v>39</v>
      </c>
      <c r="J307" s="148">
        <f t="shared" si="62"/>
        <v>100</v>
      </c>
      <c r="K307" s="148">
        <f t="shared" si="62"/>
        <v>26</v>
      </c>
      <c r="L307" s="148">
        <f t="shared" si="62"/>
        <v>7</v>
      </c>
      <c r="M307" s="148">
        <f t="shared" si="62"/>
        <v>12</v>
      </c>
      <c r="N307" s="148">
        <f t="shared" si="62"/>
        <v>10</v>
      </c>
      <c r="O307" s="148">
        <f t="shared" si="62"/>
        <v>105</v>
      </c>
      <c r="P307" s="148">
        <f t="shared" si="49"/>
        <v>573</v>
      </c>
      <c r="R307" s="148">
        <f>'Fuel Ethanol'!AA26</f>
        <v>126521.7592072822</v>
      </c>
      <c r="S307" s="157">
        <f t="shared" si="50"/>
        <v>33.423253129787739</v>
      </c>
      <c r="T307" s="154">
        <f t="shared" si="51"/>
        <v>0.68679206172226104</v>
      </c>
      <c r="V307" s="149">
        <f t="shared" si="52"/>
        <v>455</v>
      </c>
      <c r="W307" s="149">
        <f t="shared" si="53"/>
        <v>108</v>
      </c>
      <c r="X307" s="149">
        <f t="shared" si="54"/>
        <v>10</v>
      </c>
      <c r="Y307" s="149">
        <f t="shared" si="48"/>
        <v>573</v>
      </c>
      <c r="AA307" s="158">
        <f t="shared" si="55"/>
        <v>0.79406631762652702</v>
      </c>
      <c r="AB307" s="158">
        <f t="shared" si="55"/>
        <v>0.18848167539267016</v>
      </c>
      <c r="AC307" s="158">
        <f t="shared" si="55"/>
        <v>1.7452006980802792E-2</v>
      </c>
      <c r="AE307" s="148"/>
      <c r="AF307" s="161">
        <f t="shared" si="47"/>
        <v>333173.96591250983</v>
      </c>
      <c r="AG307" s="161">
        <f t="shared" si="56"/>
        <v>264562.22424117272</v>
      </c>
      <c r="AH307" s="162">
        <f t="shared" si="57"/>
        <v>10.415259187704065</v>
      </c>
      <c r="AI307" s="159"/>
      <c r="AJ307" s="157"/>
      <c r="AK307" s="157">
        <f t="shared" si="58"/>
        <v>9.8944962283188609</v>
      </c>
      <c r="AN307" s="161">
        <f t="shared" si="59"/>
        <v>99952.189773752936</v>
      </c>
    </row>
    <row r="308" spans="1:40">
      <c r="A308" s="156">
        <f>'BD Plant List'!A307</f>
        <v>48976</v>
      </c>
      <c r="B308" s="148">
        <f t="shared" si="63"/>
        <v>40</v>
      </c>
      <c r="C308" s="148">
        <f t="shared" si="62"/>
        <v>10</v>
      </c>
      <c r="D308" s="148">
        <f t="shared" si="62"/>
        <v>56</v>
      </c>
      <c r="E308" s="148">
        <f t="shared" si="62"/>
        <v>70</v>
      </c>
      <c r="F308" s="148">
        <f t="shared" si="62"/>
        <v>9</v>
      </c>
      <c r="G308" s="148">
        <f t="shared" si="62"/>
        <v>50</v>
      </c>
      <c r="H308" s="148">
        <f t="shared" si="62"/>
        <v>39</v>
      </c>
      <c r="I308" s="148">
        <f t="shared" si="62"/>
        <v>39</v>
      </c>
      <c r="J308" s="148">
        <f t="shared" si="62"/>
        <v>100</v>
      </c>
      <c r="K308" s="148">
        <f t="shared" si="62"/>
        <v>26</v>
      </c>
      <c r="L308" s="148">
        <f t="shared" si="62"/>
        <v>7</v>
      </c>
      <c r="M308" s="148">
        <f t="shared" ref="M308:Y328" si="64">M$4</f>
        <v>12</v>
      </c>
      <c r="N308" s="148">
        <f t="shared" si="64"/>
        <v>10</v>
      </c>
      <c r="O308" s="148">
        <f t="shared" si="64"/>
        <v>105</v>
      </c>
      <c r="P308" s="148">
        <f t="shared" si="49"/>
        <v>573</v>
      </c>
      <c r="R308" s="148">
        <f>'Fuel Ethanol'!AA27</f>
        <v>120001.757319939</v>
      </c>
      <c r="S308" s="157">
        <f t="shared" si="50"/>
        <v>31.700864231208286</v>
      </c>
      <c r="T308" s="154">
        <f t="shared" si="51"/>
        <v>0.65139984486804159</v>
      </c>
      <c r="V308" s="149">
        <f t="shared" si="52"/>
        <v>455</v>
      </c>
      <c r="W308" s="149">
        <f t="shared" si="53"/>
        <v>108</v>
      </c>
      <c r="X308" s="149">
        <f t="shared" si="54"/>
        <v>10</v>
      </c>
      <c r="Y308" s="149">
        <f t="shared" si="48"/>
        <v>573</v>
      </c>
      <c r="AA308" s="158">
        <f t="shared" si="55"/>
        <v>0.79406631762652702</v>
      </c>
      <c r="AB308" s="158">
        <f t="shared" si="55"/>
        <v>0.18848167539267016</v>
      </c>
      <c r="AC308" s="158">
        <f t="shared" si="55"/>
        <v>1.7452006980802792E-2</v>
      </c>
      <c r="AE308" s="148"/>
      <c r="AF308" s="161">
        <f t="shared" si="47"/>
        <v>316004.62760917272</v>
      </c>
      <c r="AG308" s="161">
        <f t="shared" si="56"/>
        <v>250928.63099855772</v>
      </c>
      <c r="AH308" s="162">
        <f t="shared" si="57"/>
        <v>9.8785332522881202</v>
      </c>
      <c r="AI308" s="159"/>
      <c r="AJ308" s="157"/>
      <c r="AK308" s="157">
        <f t="shared" si="58"/>
        <v>9.3846065896737141</v>
      </c>
      <c r="AN308" s="161">
        <f t="shared" si="59"/>
        <v>94801.38828275181</v>
      </c>
    </row>
    <row r="309" spans="1:40">
      <c r="A309" s="156">
        <f>'BD Plant List'!A308</f>
        <v>49004</v>
      </c>
      <c r="B309" s="148">
        <f t="shared" si="63"/>
        <v>40</v>
      </c>
      <c r="C309" s="148">
        <f t="shared" si="63"/>
        <v>10</v>
      </c>
      <c r="D309" s="148">
        <f t="shared" si="63"/>
        <v>56</v>
      </c>
      <c r="E309" s="148">
        <f t="shared" si="63"/>
        <v>70</v>
      </c>
      <c r="F309" s="148">
        <f t="shared" si="63"/>
        <v>9</v>
      </c>
      <c r="G309" s="148">
        <f t="shared" si="63"/>
        <v>50</v>
      </c>
      <c r="H309" s="148">
        <f t="shared" si="63"/>
        <v>39</v>
      </c>
      <c r="I309" s="148">
        <f t="shared" si="63"/>
        <v>39</v>
      </c>
      <c r="J309" s="148">
        <f t="shared" si="63"/>
        <v>100</v>
      </c>
      <c r="K309" s="148">
        <f t="shared" si="63"/>
        <v>26</v>
      </c>
      <c r="L309" s="148">
        <f t="shared" si="63"/>
        <v>7</v>
      </c>
      <c r="M309" s="148">
        <f t="shared" si="63"/>
        <v>12</v>
      </c>
      <c r="N309" s="148">
        <f t="shared" si="63"/>
        <v>10</v>
      </c>
      <c r="O309" s="148">
        <f t="shared" si="63"/>
        <v>105</v>
      </c>
      <c r="P309" s="148">
        <f t="shared" si="49"/>
        <v>573</v>
      </c>
      <c r="R309" s="148">
        <f>'Fuel Ethanol'!AA28</f>
        <v>130471.8131320164</v>
      </c>
      <c r="S309" s="157">
        <f t="shared" si="50"/>
        <v>34.466738875084772</v>
      </c>
      <c r="T309" s="154">
        <f t="shared" si="51"/>
        <v>0.78411616114472327</v>
      </c>
      <c r="V309" s="149">
        <f t="shared" si="52"/>
        <v>455</v>
      </c>
      <c r="W309" s="149">
        <f t="shared" si="53"/>
        <v>108</v>
      </c>
      <c r="X309" s="149">
        <f t="shared" si="54"/>
        <v>10</v>
      </c>
      <c r="Y309" s="149">
        <f t="shared" si="48"/>
        <v>573</v>
      </c>
      <c r="AA309" s="158">
        <f t="shared" si="55"/>
        <v>0.79406631762652702</v>
      </c>
      <c r="AB309" s="158">
        <f t="shared" si="55"/>
        <v>0.18848167539267016</v>
      </c>
      <c r="AC309" s="158">
        <f t="shared" si="55"/>
        <v>1.7452006980802792E-2</v>
      </c>
      <c r="AE309" s="148"/>
      <c r="AF309" s="161">
        <f t="shared" si="47"/>
        <v>343575.77458097652</v>
      </c>
      <c r="AG309" s="161">
        <f t="shared" si="56"/>
        <v>272821.95014719776</v>
      </c>
      <c r="AH309" s="162">
        <f t="shared" si="57"/>
        <v>10.740427251199865</v>
      </c>
      <c r="AI309" s="159"/>
      <c r="AJ309" s="157"/>
      <c r="AK309" s="157">
        <f t="shared" si="58"/>
        <v>10.203405888639871</v>
      </c>
      <c r="AN309" s="161">
        <f t="shared" si="59"/>
        <v>103072.73237429296</v>
      </c>
    </row>
    <row r="310" spans="1:40">
      <c r="A310" s="156">
        <f>'BD Plant List'!A309</f>
        <v>49035</v>
      </c>
      <c r="B310" s="148">
        <f t="shared" si="63"/>
        <v>40</v>
      </c>
      <c r="C310" s="148">
        <f t="shared" si="63"/>
        <v>10</v>
      </c>
      <c r="D310" s="148">
        <f t="shared" si="63"/>
        <v>56</v>
      </c>
      <c r="E310" s="148">
        <f t="shared" si="63"/>
        <v>70</v>
      </c>
      <c r="F310" s="148">
        <f t="shared" si="63"/>
        <v>9</v>
      </c>
      <c r="G310" s="148">
        <f t="shared" si="63"/>
        <v>50</v>
      </c>
      <c r="H310" s="148">
        <f t="shared" si="63"/>
        <v>39</v>
      </c>
      <c r="I310" s="148">
        <f t="shared" si="63"/>
        <v>39</v>
      </c>
      <c r="J310" s="148">
        <f t="shared" si="63"/>
        <v>100</v>
      </c>
      <c r="K310" s="148">
        <f t="shared" si="63"/>
        <v>26</v>
      </c>
      <c r="L310" s="148">
        <f t="shared" si="63"/>
        <v>7</v>
      </c>
      <c r="M310" s="148">
        <f t="shared" si="63"/>
        <v>12</v>
      </c>
      <c r="N310" s="148">
        <f t="shared" si="63"/>
        <v>10</v>
      </c>
      <c r="O310" s="148">
        <f t="shared" si="63"/>
        <v>105</v>
      </c>
      <c r="P310" s="148">
        <f t="shared" si="49"/>
        <v>573</v>
      </c>
      <c r="R310" s="148">
        <f>'Fuel Ethanol'!AA29</f>
        <v>117566.4011830184</v>
      </c>
      <c r="S310" s="157">
        <f t="shared" si="50"/>
        <v>31.057516200517973</v>
      </c>
      <c r="T310" s="154">
        <f t="shared" si="51"/>
        <v>0.63818011671390307</v>
      </c>
      <c r="V310" s="149">
        <f t="shared" si="52"/>
        <v>455</v>
      </c>
      <c r="W310" s="149">
        <f t="shared" si="53"/>
        <v>108</v>
      </c>
      <c r="X310" s="149">
        <f t="shared" si="54"/>
        <v>10</v>
      </c>
      <c r="Y310" s="149">
        <f t="shared" si="48"/>
        <v>573</v>
      </c>
      <c r="AA310" s="158">
        <f t="shared" si="55"/>
        <v>0.79406631762652702</v>
      </c>
      <c r="AB310" s="158">
        <f t="shared" si="55"/>
        <v>0.18848167539267016</v>
      </c>
      <c r="AC310" s="158">
        <f t="shared" si="55"/>
        <v>1.7452006980802792E-2</v>
      </c>
      <c r="AE310" s="148"/>
      <c r="AF310" s="161">
        <f t="shared" si="47"/>
        <v>309591.52311528183</v>
      </c>
      <c r="AG310" s="161">
        <f t="shared" si="56"/>
        <v>245836.20072853967</v>
      </c>
      <c r="AH310" s="162">
        <f t="shared" si="57"/>
        <v>9.6780549666610778</v>
      </c>
      <c r="AI310" s="159"/>
      <c r="AJ310" s="157"/>
      <c r="AK310" s="157">
        <f t="shared" si="58"/>
        <v>9.1941522183280231</v>
      </c>
      <c r="AN310" s="161">
        <f t="shared" si="59"/>
        <v>92877.456934584538</v>
      </c>
    </row>
    <row r="311" spans="1:40">
      <c r="A311" s="156">
        <f>'BD Plant List'!A310</f>
        <v>49065</v>
      </c>
      <c r="B311" s="148">
        <f t="shared" si="63"/>
        <v>40</v>
      </c>
      <c r="C311" s="148">
        <f t="shared" si="63"/>
        <v>10</v>
      </c>
      <c r="D311" s="148">
        <f t="shared" si="63"/>
        <v>56</v>
      </c>
      <c r="E311" s="148">
        <f t="shared" si="63"/>
        <v>70</v>
      </c>
      <c r="F311" s="148">
        <f t="shared" si="63"/>
        <v>9</v>
      </c>
      <c r="G311" s="148">
        <f t="shared" si="63"/>
        <v>50</v>
      </c>
      <c r="H311" s="148">
        <f t="shared" si="63"/>
        <v>39</v>
      </c>
      <c r="I311" s="148">
        <f t="shared" si="63"/>
        <v>39</v>
      </c>
      <c r="J311" s="148">
        <f t="shared" si="63"/>
        <v>100</v>
      </c>
      <c r="K311" s="148">
        <f t="shared" si="63"/>
        <v>26</v>
      </c>
      <c r="L311" s="148">
        <f t="shared" si="63"/>
        <v>7</v>
      </c>
      <c r="M311" s="148">
        <f t="shared" si="63"/>
        <v>12</v>
      </c>
      <c r="N311" s="148">
        <f t="shared" si="63"/>
        <v>10</v>
      </c>
      <c r="O311" s="148">
        <f t="shared" si="63"/>
        <v>105</v>
      </c>
      <c r="P311" s="148">
        <f t="shared" si="49"/>
        <v>573</v>
      </c>
      <c r="R311" s="148">
        <f>'Fuel Ethanol'!AA30</f>
        <v>121216.5029597298</v>
      </c>
      <c r="S311" s="157">
        <f t="shared" si="50"/>
        <v>32.02176358687182</v>
      </c>
      <c r="T311" s="154">
        <f t="shared" si="51"/>
        <v>0.67992691734777277</v>
      </c>
      <c r="V311" s="149">
        <f t="shared" si="52"/>
        <v>455</v>
      </c>
      <c r="W311" s="149">
        <f t="shared" si="53"/>
        <v>108</v>
      </c>
      <c r="X311" s="149">
        <f t="shared" si="54"/>
        <v>10</v>
      </c>
      <c r="Y311" s="149">
        <f t="shared" si="48"/>
        <v>573</v>
      </c>
      <c r="AA311" s="158">
        <f t="shared" si="55"/>
        <v>0.79406631762652702</v>
      </c>
      <c r="AB311" s="158">
        <f t="shared" si="55"/>
        <v>0.18848167539267016</v>
      </c>
      <c r="AC311" s="158">
        <f t="shared" si="55"/>
        <v>1.7452006980802792E-2</v>
      </c>
      <c r="AE311" s="148"/>
      <c r="AF311" s="161">
        <f t="shared" si="47"/>
        <v>319203.45779395517</v>
      </c>
      <c r="AG311" s="161">
        <f t="shared" si="56"/>
        <v>253468.71430410052</v>
      </c>
      <c r="AH311" s="162">
        <f t="shared" si="57"/>
        <v>9.9785309978523973</v>
      </c>
      <c r="AI311" s="159"/>
      <c r="AJ311" s="157"/>
      <c r="AK311" s="157">
        <f t="shared" si="58"/>
        <v>9.4796044479597779</v>
      </c>
      <c r="AN311" s="161">
        <f t="shared" si="59"/>
        <v>95761.03733818655</v>
      </c>
    </row>
    <row r="312" spans="1:40">
      <c r="A312" s="156">
        <f>'BD Plant List'!A311</f>
        <v>49096</v>
      </c>
      <c r="B312" s="148">
        <f t="shared" si="63"/>
        <v>40</v>
      </c>
      <c r="C312" s="148">
        <f t="shared" si="63"/>
        <v>10</v>
      </c>
      <c r="D312" s="148">
        <f t="shared" si="63"/>
        <v>56</v>
      </c>
      <c r="E312" s="148">
        <f t="shared" si="63"/>
        <v>70</v>
      </c>
      <c r="F312" s="148">
        <f t="shared" si="63"/>
        <v>9</v>
      </c>
      <c r="G312" s="148">
        <f t="shared" si="63"/>
        <v>50</v>
      </c>
      <c r="H312" s="148">
        <f t="shared" si="63"/>
        <v>39</v>
      </c>
      <c r="I312" s="148">
        <f t="shared" si="63"/>
        <v>39</v>
      </c>
      <c r="J312" s="148">
        <f t="shared" si="63"/>
        <v>100</v>
      </c>
      <c r="K312" s="148">
        <f t="shared" si="63"/>
        <v>26</v>
      </c>
      <c r="L312" s="148">
        <f t="shared" si="63"/>
        <v>7</v>
      </c>
      <c r="M312" s="148">
        <f t="shared" si="63"/>
        <v>12</v>
      </c>
      <c r="N312" s="148">
        <f t="shared" si="63"/>
        <v>10</v>
      </c>
      <c r="O312" s="148">
        <f t="shared" si="63"/>
        <v>105</v>
      </c>
      <c r="P312" s="148">
        <f t="shared" si="49"/>
        <v>573</v>
      </c>
      <c r="R312" s="148">
        <f>'Fuel Ethanol'!AA31</f>
        <v>120548.99299239866</v>
      </c>
      <c r="S312" s="157">
        <f t="shared" si="50"/>
        <v>31.845427478801959</v>
      </c>
      <c r="T312" s="154">
        <f t="shared" si="51"/>
        <v>0.65437037830111544</v>
      </c>
      <c r="V312" s="149">
        <f t="shared" si="52"/>
        <v>455</v>
      </c>
      <c r="W312" s="149">
        <f t="shared" si="53"/>
        <v>108</v>
      </c>
      <c r="X312" s="149">
        <f t="shared" si="54"/>
        <v>10</v>
      </c>
      <c r="Y312" s="149">
        <f t="shared" si="48"/>
        <v>573</v>
      </c>
      <c r="AA312" s="158">
        <f t="shared" si="55"/>
        <v>0.79406631762652702</v>
      </c>
      <c r="AB312" s="158">
        <f t="shared" si="55"/>
        <v>0.18848167539267016</v>
      </c>
      <c r="AC312" s="158">
        <f t="shared" si="55"/>
        <v>1.7452006980802792E-2</v>
      </c>
      <c r="AE312" s="148"/>
      <c r="AF312" s="161">
        <f t="shared" si="47"/>
        <v>317445.68154664984</v>
      </c>
      <c r="AG312" s="161">
        <f t="shared" si="56"/>
        <v>252072.92339219138</v>
      </c>
      <c r="AH312" s="162">
        <f t="shared" si="57"/>
        <v>9.9235816408114506</v>
      </c>
      <c r="AI312" s="159"/>
      <c r="AJ312" s="157"/>
      <c r="AK312" s="157">
        <f t="shared" si="58"/>
        <v>9.4274025587708774</v>
      </c>
      <c r="AN312" s="161">
        <f t="shared" si="59"/>
        <v>95233.704463994945</v>
      </c>
    </row>
    <row r="313" spans="1:40">
      <c r="A313" s="156">
        <f>'BD Plant List'!A312</f>
        <v>49126</v>
      </c>
      <c r="B313" s="148">
        <f t="shared" si="63"/>
        <v>40</v>
      </c>
      <c r="C313" s="148">
        <f t="shared" si="63"/>
        <v>10</v>
      </c>
      <c r="D313" s="148">
        <f t="shared" si="63"/>
        <v>56</v>
      </c>
      <c r="E313" s="148">
        <f t="shared" si="63"/>
        <v>70</v>
      </c>
      <c r="F313" s="148">
        <f t="shared" si="63"/>
        <v>9</v>
      </c>
      <c r="G313" s="148">
        <f t="shared" si="63"/>
        <v>50</v>
      </c>
      <c r="H313" s="148">
        <f t="shared" si="63"/>
        <v>39</v>
      </c>
      <c r="I313" s="148">
        <f t="shared" si="63"/>
        <v>39</v>
      </c>
      <c r="J313" s="148">
        <f t="shared" si="63"/>
        <v>100</v>
      </c>
      <c r="K313" s="148">
        <f t="shared" si="63"/>
        <v>26</v>
      </c>
      <c r="L313" s="148">
        <f t="shared" si="63"/>
        <v>7</v>
      </c>
      <c r="M313" s="148">
        <f t="shared" si="63"/>
        <v>12</v>
      </c>
      <c r="N313" s="148">
        <f t="shared" si="63"/>
        <v>10</v>
      </c>
      <c r="O313" s="148">
        <f t="shared" si="63"/>
        <v>105</v>
      </c>
      <c r="P313" s="148">
        <f t="shared" si="49"/>
        <v>573</v>
      </c>
      <c r="R313" s="148">
        <f>'Fuel Ethanol'!AA32</f>
        <v>132248.30225060027</v>
      </c>
      <c r="S313" s="157">
        <f t="shared" si="50"/>
        <v>34.936034005541082</v>
      </c>
      <c r="T313" s="154">
        <f t="shared" si="51"/>
        <v>0.74180642303795774</v>
      </c>
      <c r="V313" s="149">
        <f t="shared" si="52"/>
        <v>455</v>
      </c>
      <c r="W313" s="149">
        <f t="shared" si="53"/>
        <v>108</v>
      </c>
      <c r="X313" s="149">
        <f t="shared" si="54"/>
        <v>10</v>
      </c>
      <c r="Y313" s="149">
        <f t="shared" si="48"/>
        <v>573</v>
      </c>
      <c r="AA313" s="158">
        <f t="shared" si="55"/>
        <v>0.79406631762652702</v>
      </c>
      <c r="AB313" s="158">
        <f t="shared" si="55"/>
        <v>0.18848167539267016</v>
      </c>
      <c r="AC313" s="158">
        <f t="shared" si="55"/>
        <v>1.7452006980802792E-2</v>
      </c>
      <c r="AE313" s="148"/>
      <c r="AF313" s="161">
        <f t="shared" si="47"/>
        <v>348253.86259324744</v>
      </c>
      <c r="AG313" s="161">
        <f t="shared" si="56"/>
        <v>276536.66226863454</v>
      </c>
      <c r="AH313" s="162">
        <f t="shared" si="57"/>
        <v>10.886667666525376</v>
      </c>
      <c r="AI313" s="159"/>
      <c r="AJ313" s="157"/>
      <c r="AK313" s="157">
        <f t="shared" si="58"/>
        <v>10.342334283199108</v>
      </c>
      <c r="AN313" s="161">
        <f t="shared" si="59"/>
        <v>104476.15877797423</v>
      </c>
    </row>
    <row r="314" spans="1:40">
      <c r="A314" s="156">
        <f>'BD Plant List'!A313</f>
        <v>49157</v>
      </c>
      <c r="B314" s="148">
        <f t="shared" si="63"/>
        <v>40</v>
      </c>
      <c r="C314" s="148">
        <f t="shared" si="63"/>
        <v>10</v>
      </c>
      <c r="D314" s="148">
        <f t="shared" si="63"/>
        <v>56</v>
      </c>
      <c r="E314" s="148">
        <f t="shared" si="63"/>
        <v>70</v>
      </c>
      <c r="F314" s="148">
        <f t="shared" si="63"/>
        <v>9</v>
      </c>
      <c r="G314" s="148">
        <f t="shared" si="63"/>
        <v>50</v>
      </c>
      <c r="H314" s="148">
        <f t="shared" si="63"/>
        <v>39</v>
      </c>
      <c r="I314" s="148">
        <f t="shared" si="63"/>
        <v>39</v>
      </c>
      <c r="J314" s="148">
        <f t="shared" si="63"/>
        <v>100</v>
      </c>
      <c r="K314" s="148">
        <f t="shared" si="63"/>
        <v>26</v>
      </c>
      <c r="L314" s="148">
        <f t="shared" si="63"/>
        <v>7</v>
      </c>
      <c r="M314" s="148">
        <f t="shared" si="63"/>
        <v>12</v>
      </c>
      <c r="N314" s="148">
        <f t="shared" si="63"/>
        <v>10</v>
      </c>
      <c r="O314" s="148">
        <f t="shared" si="63"/>
        <v>105</v>
      </c>
      <c r="P314" s="148">
        <f t="shared" si="49"/>
        <v>573</v>
      </c>
      <c r="R314" s="148">
        <f>'Fuel Ethanol'!AA33</f>
        <v>132982.30658720914</v>
      </c>
      <c r="S314" s="157">
        <f t="shared" si="50"/>
        <v>35.129935931143038</v>
      </c>
      <c r="T314" s="154">
        <f t="shared" si="51"/>
        <v>0.72186154449514206</v>
      </c>
      <c r="V314" s="149">
        <f t="shared" si="52"/>
        <v>455</v>
      </c>
      <c r="W314" s="149">
        <f t="shared" si="53"/>
        <v>108</v>
      </c>
      <c r="X314" s="149">
        <f t="shared" si="54"/>
        <v>10</v>
      </c>
      <c r="Y314" s="149">
        <f t="shared" si="48"/>
        <v>573</v>
      </c>
      <c r="AA314" s="158">
        <f t="shared" si="55"/>
        <v>0.79406631762652702</v>
      </c>
      <c r="AB314" s="158">
        <f t="shared" si="55"/>
        <v>0.18848167539267016</v>
      </c>
      <c r="AC314" s="158">
        <f t="shared" si="55"/>
        <v>1.7452006980802792E-2</v>
      </c>
      <c r="AE314" s="148"/>
      <c r="AF314" s="161">
        <f t="shared" si="47"/>
        <v>350186.74067965074</v>
      </c>
      <c r="AG314" s="161">
        <f t="shared" si="56"/>
        <v>278071.49565312581</v>
      </c>
      <c r="AH314" s="162">
        <f t="shared" si="57"/>
        <v>10.947090833722692</v>
      </c>
      <c r="AI314" s="159"/>
      <c r="AJ314" s="157"/>
      <c r="AK314" s="157">
        <f t="shared" si="58"/>
        <v>10.399736292036557</v>
      </c>
      <c r="AN314" s="161">
        <f t="shared" si="59"/>
        <v>105056.02220389522</v>
      </c>
    </row>
    <row r="315" spans="1:40">
      <c r="A315" s="156">
        <f>'BD Plant List'!A314</f>
        <v>49188</v>
      </c>
      <c r="B315" s="148">
        <f t="shared" si="63"/>
        <v>40</v>
      </c>
      <c r="C315" s="148">
        <f t="shared" si="63"/>
        <v>10</v>
      </c>
      <c r="D315" s="148">
        <f t="shared" si="63"/>
        <v>56</v>
      </c>
      <c r="E315" s="148">
        <f t="shared" si="63"/>
        <v>70</v>
      </c>
      <c r="F315" s="148">
        <f t="shared" si="63"/>
        <v>9</v>
      </c>
      <c r="G315" s="148">
        <f t="shared" si="63"/>
        <v>50</v>
      </c>
      <c r="H315" s="148">
        <f t="shared" si="63"/>
        <v>39</v>
      </c>
      <c r="I315" s="148">
        <f t="shared" si="63"/>
        <v>39</v>
      </c>
      <c r="J315" s="148">
        <f t="shared" si="63"/>
        <v>100</v>
      </c>
      <c r="K315" s="148">
        <f t="shared" si="63"/>
        <v>26</v>
      </c>
      <c r="L315" s="148">
        <f t="shared" si="63"/>
        <v>7</v>
      </c>
      <c r="M315" s="148">
        <f t="shared" si="63"/>
        <v>12</v>
      </c>
      <c r="N315" s="148">
        <f t="shared" si="63"/>
        <v>10</v>
      </c>
      <c r="O315" s="148">
        <f t="shared" si="63"/>
        <v>105</v>
      </c>
      <c r="P315" s="148">
        <f t="shared" si="49"/>
        <v>573</v>
      </c>
      <c r="R315" s="148">
        <f>'Fuel Ethanol'!AA34</f>
        <v>116741.30189808593</v>
      </c>
      <c r="S315" s="157">
        <f t="shared" si="50"/>
        <v>30.839549722417363</v>
      </c>
      <c r="T315" s="154">
        <f t="shared" si="51"/>
        <v>0.63370126941858562</v>
      </c>
      <c r="V315" s="149">
        <f t="shared" si="52"/>
        <v>455</v>
      </c>
      <c r="W315" s="149">
        <f t="shared" si="53"/>
        <v>108</v>
      </c>
      <c r="X315" s="149">
        <f t="shared" si="54"/>
        <v>10</v>
      </c>
      <c r="Y315" s="149">
        <f t="shared" si="48"/>
        <v>573</v>
      </c>
      <c r="AA315" s="158">
        <f t="shared" si="55"/>
        <v>0.79406631762652702</v>
      </c>
      <c r="AB315" s="158">
        <f t="shared" si="55"/>
        <v>0.18848167539267016</v>
      </c>
      <c r="AC315" s="158">
        <f t="shared" si="55"/>
        <v>1.7452006980802792E-2</v>
      </c>
      <c r="AE315" s="148"/>
      <c r="AF315" s="161">
        <f t="shared" si="47"/>
        <v>307418.76166495966</v>
      </c>
      <c r="AG315" s="161">
        <f t="shared" si="56"/>
        <v>244110.88404460147</v>
      </c>
      <c r="AH315" s="162">
        <f t="shared" si="57"/>
        <v>9.6101328719794665</v>
      </c>
      <c r="AI315" s="159"/>
      <c r="AJ315" s="157"/>
      <c r="AK315" s="157">
        <f t="shared" si="58"/>
        <v>9.1296262283804932</v>
      </c>
      <c r="AN315" s="161">
        <f t="shared" si="59"/>
        <v>92225.628499487895</v>
      </c>
    </row>
    <row r="316" spans="1:40">
      <c r="A316" s="156">
        <f>'BD Plant List'!A315</f>
        <v>49218</v>
      </c>
      <c r="B316" s="148">
        <f t="shared" si="63"/>
        <v>40</v>
      </c>
      <c r="C316" s="148">
        <f t="shared" si="63"/>
        <v>10</v>
      </c>
      <c r="D316" s="148">
        <f t="shared" si="63"/>
        <v>56</v>
      </c>
      <c r="E316" s="148">
        <f t="shared" si="63"/>
        <v>70</v>
      </c>
      <c r="F316" s="148">
        <f t="shared" si="63"/>
        <v>9</v>
      </c>
      <c r="G316" s="148">
        <f t="shared" si="63"/>
        <v>50</v>
      </c>
      <c r="H316" s="148">
        <f t="shared" si="63"/>
        <v>39</v>
      </c>
      <c r="I316" s="148">
        <f t="shared" si="63"/>
        <v>39</v>
      </c>
      <c r="J316" s="148">
        <f t="shared" si="63"/>
        <v>100</v>
      </c>
      <c r="K316" s="148">
        <f t="shared" si="63"/>
        <v>26</v>
      </c>
      <c r="L316" s="148">
        <f t="shared" si="63"/>
        <v>7</v>
      </c>
      <c r="M316" s="148">
        <f t="shared" si="63"/>
        <v>12</v>
      </c>
      <c r="N316" s="148">
        <f t="shared" si="63"/>
        <v>10</v>
      </c>
      <c r="O316" s="148">
        <f t="shared" si="63"/>
        <v>105</v>
      </c>
      <c r="P316" s="148">
        <f t="shared" si="49"/>
        <v>573</v>
      </c>
      <c r="R316" s="148">
        <f>'Fuel Ethanol'!AA35</f>
        <v>116125.13559305416</v>
      </c>
      <c r="S316" s="157">
        <f t="shared" si="50"/>
        <v>30.676777069617117</v>
      </c>
      <c r="T316" s="154">
        <f t="shared" si="51"/>
        <v>0.65136844854044484</v>
      </c>
      <c r="V316" s="149">
        <f t="shared" si="52"/>
        <v>455</v>
      </c>
      <c r="W316" s="149">
        <f t="shared" si="53"/>
        <v>108</v>
      </c>
      <c r="X316" s="149">
        <f t="shared" si="54"/>
        <v>10</v>
      </c>
      <c r="Y316" s="149">
        <f t="shared" si="48"/>
        <v>573</v>
      </c>
      <c r="AA316" s="158">
        <f t="shared" si="55"/>
        <v>0.79406631762652702</v>
      </c>
      <c r="AB316" s="158">
        <f t="shared" si="55"/>
        <v>0.18848167539267016</v>
      </c>
      <c r="AC316" s="158">
        <f t="shared" si="55"/>
        <v>1.7452006980802792E-2</v>
      </c>
      <c r="AE316" s="148"/>
      <c r="AF316" s="161">
        <f t="shared" si="47"/>
        <v>305796.19039504265</v>
      </c>
      <c r="AG316" s="161">
        <f t="shared" si="56"/>
        <v>242822.45485121186</v>
      </c>
      <c r="AH316" s="162">
        <f t="shared" si="57"/>
        <v>9.5594101203370219</v>
      </c>
      <c r="AI316" s="159"/>
      <c r="AJ316" s="157"/>
      <c r="AK316" s="157">
        <f t="shared" si="58"/>
        <v>9.0814396143201712</v>
      </c>
      <c r="AN316" s="161">
        <f t="shared" si="59"/>
        <v>91738.857118512795</v>
      </c>
    </row>
    <row r="317" spans="1:40">
      <c r="A317" s="156">
        <f>'BD Plant List'!A316</f>
        <v>49249</v>
      </c>
      <c r="B317" s="148">
        <f t="shared" si="63"/>
        <v>40</v>
      </c>
      <c r="C317" s="148">
        <f t="shared" si="63"/>
        <v>10</v>
      </c>
      <c r="D317" s="148">
        <f t="shared" si="63"/>
        <v>56</v>
      </c>
      <c r="E317" s="148">
        <f t="shared" si="63"/>
        <v>70</v>
      </c>
      <c r="F317" s="148">
        <f t="shared" si="63"/>
        <v>9</v>
      </c>
      <c r="G317" s="148">
        <f t="shared" si="63"/>
        <v>50</v>
      </c>
      <c r="H317" s="148">
        <f t="shared" si="63"/>
        <v>39</v>
      </c>
      <c r="I317" s="148">
        <f t="shared" si="63"/>
        <v>39</v>
      </c>
      <c r="J317" s="148">
        <f t="shared" si="63"/>
        <v>100</v>
      </c>
      <c r="K317" s="148">
        <f t="shared" si="63"/>
        <v>26</v>
      </c>
      <c r="L317" s="148">
        <f t="shared" si="63"/>
        <v>7</v>
      </c>
      <c r="M317" s="148">
        <f t="shared" si="63"/>
        <v>12</v>
      </c>
      <c r="N317" s="148">
        <f t="shared" si="63"/>
        <v>10</v>
      </c>
      <c r="O317" s="148">
        <f t="shared" si="63"/>
        <v>105</v>
      </c>
      <c r="P317" s="148">
        <f t="shared" si="49"/>
        <v>573</v>
      </c>
      <c r="R317" s="148">
        <f>'Fuel Ethanol'!AA36</f>
        <v>129995.94321056343</v>
      </c>
      <c r="S317" s="157">
        <f t="shared" si="50"/>
        <v>34.341028317934544</v>
      </c>
      <c r="T317" s="154">
        <f t="shared" si="51"/>
        <v>0.70565080988831319</v>
      </c>
      <c r="V317" s="149">
        <f t="shared" si="52"/>
        <v>455</v>
      </c>
      <c r="W317" s="149">
        <f t="shared" si="53"/>
        <v>108</v>
      </c>
      <c r="X317" s="149">
        <f t="shared" si="54"/>
        <v>10</v>
      </c>
      <c r="Y317" s="149">
        <f t="shared" si="48"/>
        <v>573</v>
      </c>
      <c r="AA317" s="158">
        <f t="shared" si="55"/>
        <v>0.79406631762652702</v>
      </c>
      <c r="AB317" s="158">
        <f t="shared" si="55"/>
        <v>0.18848167539267016</v>
      </c>
      <c r="AC317" s="158">
        <f t="shared" si="55"/>
        <v>1.7452006980802792E-2</v>
      </c>
      <c r="AE317" s="148"/>
      <c r="AF317" s="161">
        <f t="shared" si="47"/>
        <v>342322.65045448375</v>
      </c>
      <c r="AG317" s="161">
        <f t="shared" si="56"/>
        <v>271826.88648654468</v>
      </c>
      <c r="AH317" s="162">
        <f t="shared" si="57"/>
        <v>10.701253684513642</v>
      </c>
      <c r="AI317" s="159"/>
      <c r="AJ317" s="157"/>
      <c r="AK317" s="157">
        <f t="shared" si="58"/>
        <v>10.166191000287959</v>
      </c>
      <c r="AN317" s="161">
        <f t="shared" si="59"/>
        <v>102696.79513634511</v>
      </c>
    </row>
    <row r="318" spans="1:40">
      <c r="A318" s="156">
        <f>'BD Plant List'!A317</f>
        <v>49279</v>
      </c>
      <c r="B318" s="148">
        <f t="shared" si="63"/>
        <v>40</v>
      </c>
      <c r="C318" s="148">
        <f t="shared" si="63"/>
        <v>10</v>
      </c>
      <c r="D318" s="148">
        <f t="shared" si="63"/>
        <v>56</v>
      </c>
      <c r="E318" s="148">
        <f t="shared" si="63"/>
        <v>70</v>
      </c>
      <c r="F318" s="148">
        <f t="shared" si="63"/>
        <v>9</v>
      </c>
      <c r="G318" s="148">
        <f t="shared" si="63"/>
        <v>50</v>
      </c>
      <c r="H318" s="148">
        <f t="shared" si="63"/>
        <v>39</v>
      </c>
      <c r="I318" s="148">
        <f t="shared" si="63"/>
        <v>39</v>
      </c>
      <c r="J318" s="148">
        <f t="shared" si="63"/>
        <v>100</v>
      </c>
      <c r="K318" s="148">
        <f t="shared" si="63"/>
        <v>26</v>
      </c>
      <c r="L318" s="148">
        <f t="shared" si="63"/>
        <v>7</v>
      </c>
      <c r="M318" s="148">
        <f t="shared" si="63"/>
        <v>12</v>
      </c>
      <c r="N318" s="148">
        <f t="shared" si="63"/>
        <v>10</v>
      </c>
      <c r="O318" s="148">
        <f t="shared" si="63"/>
        <v>105</v>
      </c>
      <c r="P318" s="148">
        <f t="shared" si="49"/>
        <v>573</v>
      </c>
      <c r="R318" s="148">
        <f>'Fuel Ethanol'!AA37</f>
        <v>121655.19958477188</v>
      </c>
      <c r="S318" s="157">
        <f t="shared" si="50"/>
        <v>32.137654074309189</v>
      </c>
      <c r="T318" s="154">
        <f t="shared" si="51"/>
        <v>0.68238765195595419</v>
      </c>
      <c r="V318" s="149">
        <f t="shared" si="52"/>
        <v>455</v>
      </c>
      <c r="W318" s="149">
        <f t="shared" si="53"/>
        <v>108</v>
      </c>
      <c r="X318" s="149">
        <f t="shared" si="54"/>
        <v>10</v>
      </c>
      <c r="Y318" s="149">
        <f t="shared" si="48"/>
        <v>573</v>
      </c>
      <c r="AA318" s="158">
        <f t="shared" si="55"/>
        <v>0.79406631762652702</v>
      </c>
      <c r="AB318" s="158">
        <f t="shared" si="55"/>
        <v>0.18848167539267016</v>
      </c>
      <c r="AC318" s="158">
        <f t="shared" si="55"/>
        <v>1.7452006980802792E-2</v>
      </c>
      <c r="AE318" s="148"/>
      <c r="AF318" s="161">
        <f t="shared" si="47"/>
        <v>320358.6922398993</v>
      </c>
      <c r="AG318" s="161">
        <f t="shared" si="56"/>
        <v>254386.0470665867</v>
      </c>
      <c r="AH318" s="162">
        <f t="shared" si="57"/>
        <v>10.014644462312678</v>
      </c>
      <c r="AI318" s="159"/>
      <c r="AJ318" s="157"/>
      <c r="AK318" s="157">
        <f t="shared" si="58"/>
        <v>9.5139122391970439</v>
      </c>
      <c r="AN318" s="161">
        <f t="shared" si="59"/>
        <v>96107.607671969788</v>
      </c>
    </row>
    <row r="319" spans="1:40">
      <c r="A319" s="156">
        <f>'BD Plant List'!A318</f>
        <v>49310</v>
      </c>
      <c r="B319" s="148">
        <f t="shared" si="63"/>
        <v>40</v>
      </c>
      <c r="C319" s="148">
        <f t="shared" si="63"/>
        <v>10</v>
      </c>
      <c r="D319" s="148">
        <f t="shared" si="63"/>
        <v>56</v>
      </c>
      <c r="E319" s="148">
        <f t="shared" si="63"/>
        <v>70</v>
      </c>
      <c r="F319" s="148">
        <f t="shared" si="63"/>
        <v>9</v>
      </c>
      <c r="G319" s="148">
        <f t="shared" si="63"/>
        <v>50</v>
      </c>
      <c r="H319" s="148">
        <f t="shared" si="63"/>
        <v>39</v>
      </c>
      <c r="I319" s="148">
        <f t="shared" si="63"/>
        <v>39</v>
      </c>
      <c r="J319" s="148">
        <f t="shared" si="63"/>
        <v>100</v>
      </c>
      <c r="K319" s="148">
        <f t="shared" si="63"/>
        <v>26</v>
      </c>
      <c r="L319" s="148">
        <f t="shared" si="63"/>
        <v>7</v>
      </c>
      <c r="M319" s="148">
        <f t="shared" si="63"/>
        <v>12</v>
      </c>
      <c r="N319" s="148">
        <f t="shared" si="63"/>
        <v>10</v>
      </c>
      <c r="O319" s="148">
        <f t="shared" si="63"/>
        <v>105</v>
      </c>
      <c r="P319" s="148">
        <f t="shared" si="49"/>
        <v>573</v>
      </c>
      <c r="R319" s="148">
        <f>'Fuel Ethanol'!AB26</f>
        <v>125448.42501350082</v>
      </c>
      <c r="S319" s="157">
        <f t="shared" si="50"/>
        <v>33.139710435816511</v>
      </c>
      <c r="T319" s="154">
        <f t="shared" si="51"/>
        <v>0.68096573265062355</v>
      </c>
      <c r="V319" s="149">
        <f t="shared" si="52"/>
        <v>455</v>
      </c>
      <c r="W319" s="149">
        <f t="shared" si="53"/>
        <v>108</v>
      </c>
      <c r="X319" s="149">
        <f t="shared" si="54"/>
        <v>10</v>
      </c>
      <c r="Y319" s="149">
        <f t="shared" si="48"/>
        <v>573</v>
      </c>
      <c r="AA319" s="158">
        <f t="shared" si="55"/>
        <v>0.79406631762652702</v>
      </c>
      <c r="AB319" s="158">
        <f t="shared" si="55"/>
        <v>0.18848167539267016</v>
      </c>
      <c r="AC319" s="158">
        <f t="shared" si="55"/>
        <v>1.7452006980802792E-2</v>
      </c>
      <c r="AE319" s="148"/>
      <c r="AF319" s="161">
        <f t="shared" si="47"/>
        <v>330347.51920221886</v>
      </c>
      <c r="AG319" s="161">
        <f t="shared" si="56"/>
        <v>262317.83810996433</v>
      </c>
      <c r="AH319" s="162">
        <f t="shared" si="57"/>
        <v>10.326902418929263</v>
      </c>
      <c r="AI319" s="159"/>
      <c r="AJ319" s="157"/>
      <c r="AK319" s="157">
        <f t="shared" si="58"/>
        <v>9.8105572979828004</v>
      </c>
      <c r="AN319" s="161">
        <f t="shared" si="59"/>
        <v>99104.255760665648</v>
      </c>
    </row>
    <row r="320" spans="1:40">
      <c r="A320" s="156">
        <f>'BD Plant List'!A319</f>
        <v>49341</v>
      </c>
      <c r="B320" s="148">
        <f t="shared" si="63"/>
        <v>40</v>
      </c>
      <c r="C320" s="148">
        <f t="shared" si="63"/>
        <v>10</v>
      </c>
      <c r="D320" s="148">
        <f t="shared" si="63"/>
        <v>56</v>
      </c>
      <c r="E320" s="148">
        <f t="shared" si="63"/>
        <v>70</v>
      </c>
      <c r="F320" s="148">
        <f t="shared" si="63"/>
        <v>9</v>
      </c>
      <c r="G320" s="148">
        <f t="shared" si="63"/>
        <v>50</v>
      </c>
      <c r="H320" s="148">
        <f t="shared" si="63"/>
        <v>39</v>
      </c>
      <c r="I320" s="148">
        <f t="shared" si="63"/>
        <v>39</v>
      </c>
      <c r="J320" s="148">
        <f t="shared" si="63"/>
        <v>100</v>
      </c>
      <c r="K320" s="148">
        <f t="shared" si="63"/>
        <v>26</v>
      </c>
      <c r="L320" s="148">
        <f t="shared" si="63"/>
        <v>7</v>
      </c>
      <c r="M320" s="148">
        <f t="shared" si="63"/>
        <v>12</v>
      </c>
      <c r="N320" s="148">
        <f t="shared" si="63"/>
        <v>10</v>
      </c>
      <c r="O320" s="148">
        <f t="shared" si="63"/>
        <v>105</v>
      </c>
      <c r="P320" s="148">
        <f t="shared" si="49"/>
        <v>573</v>
      </c>
      <c r="R320" s="148">
        <f>'Fuel Ethanol'!AB27</f>
        <v>119072.67185676721</v>
      </c>
      <c r="S320" s="157">
        <f t="shared" si="50"/>
        <v>31.455427724402195</v>
      </c>
      <c r="T320" s="154">
        <f t="shared" si="51"/>
        <v>0.6463565343357992</v>
      </c>
      <c r="V320" s="149">
        <f t="shared" si="52"/>
        <v>455</v>
      </c>
      <c r="W320" s="149">
        <f t="shared" si="53"/>
        <v>108</v>
      </c>
      <c r="X320" s="149">
        <f t="shared" si="54"/>
        <v>10</v>
      </c>
      <c r="Y320" s="149">
        <f t="shared" si="48"/>
        <v>573</v>
      </c>
      <c r="AA320" s="158">
        <f t="shared" si="55"/>
        <v>0.79406631762652702</v>
      </c>
      <c r="AB320" s="158">
        <f t="shared" si="55"/>
        <v>0.18848167539267016</v>
      </c>
      <c r="AC320" s="158">
        <f t="shared" si="55"/>
        <v>1.7452006980802792E-2</v>
      </c>
      <c r="AE320" s="148"/>
      <c r="AF320" s="161">
        <f t="shared" si="47"/>
        <v>313558.03588948702</v>
      </c>
      <c r="AG320" s="161">
        <f t="shared" si="56"/>
        <v>248985.87492097134</v>
      </c>
      <c r="AH320" s="162">
        <f t="shared" si="57"/>
        <v>9.8020510253013082</v>
      </c>
      <c r="AI320" s="159"/>
      <c r="AJ320" s="157"/>
      <c r="AK320" s="157">
        <f t="shared" si="58"/>
        <v>9.3119484740362424</v>
      </c>
      <c r="AN320" s="161">
        <f t="shared" si="59"/>
        <v>94067.410766846093</v>
      </c>
    </row>
    <row r="321" spans="1:40">
      <c r="A321" s="156">
        <f>'BD Plant List'!A320</f>
        <v>49369</v>
      </c>
      <c r="B321" s="148">
        <f t="shared" si="63"/>
        <v>40</v>
      </c>
      <c r="C321" s="148">
        <f t="shared" si="63"/>
        <v>10</v>
      </c>
      <c r="D321" s="148">
        <f t="shared" si="63"/>
        <v>56</v>
      </c>
      <c r="E321" s="148">
        <f t="shared" si="63"/>
        <v>70</v>
      </c>
      <c r="F321" s="148">
        <f t="shared" si="63"/>
        <v>9</v>
      </c>
      <c r="G321" s="148">
        <f t="shared" si="63"/>
        <v>50</v>
      </c>
      <c r="H321" s="148">
        <f t="shared" si="63"/>
        <v>39</v>
      </c>
      <c r="I321" s="148">
        <f t="shared" si="63"/>
        <v>39</v>
      </c>
      <c r="J321" s="148">
        <f t="shared" si="63"/>
        <v>100</v>
      </c>
      <c r="K321" s="148">
        <f t="shared" si="63"/>
        <v>26</v>
      </c>
      <c r="L321" s="148">
        <f t="shared" si="63"/>
        <v>7</v>
      </c>
      <c r="M321" s="148">
        <f t="shared" si="63"/>
        <v>12</v>
      </c>
      <c r="N321" s="148">
        <f t="shared" si="63"/>
        <v>10</v>
      </c>
      <c r="O321" s="148">
        <f t="shared" si="63"/>
        <v>105</v>
      </c>
      <c r="P321" s="148">
        <f t="shared" si="49"/>
        <v>573</v>
      </c>
      <c r="R321" s="148">
        <f>'Fuel Ethanol'!AB28</f>
        <v>129341.76944292327</v>
      </c>
      <c r="S321" s="157">
        <f t="shared" si="50"/>
        <v>34.168215233737044</v>
      </c>
      <c r="T321" s="154">
        <f t="shared" si="51"/>
        <v>0.77732476691062202</v>
      </c>
      <c r="V321" s="149">
        <f t="shared" si="52"/>
        <v>455</v>
      </c>
      <c r="W321" s="149">
        <f t="shared" si="53"/>
        <v>108</v>
      </c>
      <c r="X321" s="149">
        <f t="shared" si="54"/>
        <v>10</v>
      </c>
      <c r="Y321" s="149">
        <f t="shared" si="48"/>
        <v>573</v>
      </c>
      <c r="AA321" s="158">
        <f t="shared" si="55"/>
        <v>0.79406631762652702</v>
      </c>
      <c r="AB321" s="158">
        <f t="shared" si="55"/>
        <v>0.18848167539267016</v>
      </c>
      <c r="AC321" s="158">
        <f t="shared" si="55"/>
        <v>1.7452006980802792E-2</v>
      </c>
      <c r="AE321" s="148"/>
      <c r="AF321" s="161">
        <f t="shared" si="47"/>
        <v>340599.99286636466</v>
      </c>
      <c r="AG321" s="161">
        <f t="shared" si="56"/>
        <v>270458.98211901553</v>
      </c>
      <c r="AH321" s="162">
        <f t="shared" si="57"/>
        <v>10.647402162163191</v>
      </c>
      <c r="AI321" s="159"/>
      <c r="AJ321" s="157"/>
      <c r="AK321" s="157">
        <f t="shared" si="58"/>
        <v>10.11503205405503</v>
      </c>
      <c r="AN321" s="161">
        <f t="shared" si="59"/>
        <v>102179.99785990939</v>
      </c>
    </row>
    <row r="322" spans="1:40">
      <c r="A322" s="156">
        <f>'BD Plant List'!A321</f>
        <v>49400</v>
      </c>
      <c r="B322" s="148">
        <f t="shared" si="63"/>
        <v>40</v>
      </c>
      <c r="C322" s="148">
        <f t="shared" si="63"/>
        <v>10</v>
      </c>
      <c r="D322" s="148">
        <f t="shared" si="63"/>
        <v>56</v>
      </c>
      <c r="E322" s="148">
        <f t="shared" si="63"/>
        <v>70</v>
      </c>
      <c r="F322" s="148">
        <f t="shared" si="63"/>
        <v>9</v>
      </c>
      <c r="G322" s="148">
        <f t="shared" si="63"/>
        <v>50</v>
      </c>
      <c r="H322" s="148">
        <f t="shared" si="63"/>
        <v>39</v>
      </c>
      <c r="I322" s="148">
        <f t="shared" si="63"/>
        <v>39</v>
      </c>
      <c r="J322" s="148">
        <f t="shared" si="63"/>
        <v>100</v>
      </c>
      <c r="K322" s="148">
        <f t="shared" si="63"/>
        <v>26</v>
      </c>
      <c r="L322" s="148">
        <f t="shared" si="63"/>
        <v>7</v>
      </c>
      <c r="M322" s="148">
        <f t="shared" si="63"/>
        <v>12</v>
      </c>
      <c r="N322" s="148">
        <f t="shared" si="63"/>
        <v>10</v>
      </c>
      <c r="O322" s="148">
        <f t="shared" si="63"/>
        <v>105</v>
      </c>
      <c r="P322" s="148">
        <f t="shared" si="49"/>
        <v>573</v>
      </c>
      <c r="R322" s="148">
        <f>'Fuel Ethanol'!AB29</f>
        <v>116570.08541517079</v>
      </c>
      <c r="S322" s="157">
        <f t="shared" si="50"/>
        <v>30.794319464125671</v>
      </c>
      <c r="T322" s="154">
        <f t="shared" si="51"/>
        <v>0.63277186310903955</v>
      </c>
      <c r="V322" s="149">
        <f t="shared" si="52"/>
        <v>455</v>
      </c>
      <c r="W322" s="149">
        <f t="shared" si="53"/>
        <v>108</v>
      </c>
      <c r="X322" s="149">
        <f t="shared" si="54"/>
        <v>10</v>
      </c>
      <c r="Y322" s="149">
        <f t="shared" si="48"/>
        <v>573</v>
      </c>
      <c r="AA322" s="158">
        <f t="shared" si="55"/>
        <v>0.79406631762652702</v>
      </c>
      <c r="AB322" s="158">
        <f t="shared" si="55"/>
        <v>0.18848167539267016</v>
      </c>
      <c r="AC322" s="158">
        <f t="shared" si="55"/>
        <v>1.7452006980802792E-2</v>
      </c>
      <c r="AE322" s="148"/>
      <c r="AF322" s="161">
        <f t="shared" si="47"/>
        <v>306967.8915932831</v>
      </c>
      <c r="AG322" s="161">
        <f t="shared" si="56"/>
        <v>243752.86330705724</v>
      </c>
      <c r="AH322" s="162">
        <f t="shared" si="57"/>
        <v>9.5960383473858979</v>
      </c>
      <c r="AI322" s="159"/>
      <c r="AJ322" s="157"/>
      <c r="AK322" s="157">
        <f t="shared" si="58"/>
        <v>9.1162364300166026</v>
      </c>
      <c r="AN322" s="161">
        <f t="shared" si="59"/>
        <v>92090.367477984924</v>
      </c>
    </row>
    <row r="323" spans="1:40">
      <c r="A323" s="156">
        <f>'BD Plant List'!A322</f>
        <v>49430</v>
      </c>
      <c r="B323" s="148">
        <f t="shared" si="63"/>
        <v>40</v>
      </c>
      <c r="C323" s="148">
        <f t="shared" si="63"/>
        <v>10</v>
      </c>
      <c r="D323" s="148">
        <f t="shared" si="63"/>
        <v>56</v>
      </c>
      <c r="E323" s="148">
        <f t="shared" si="63"/>
        <v>70</v>
      </c>
      <c r="F323" s="148">
        <f t="shared" si="63"/>
        <v>9</v>
      </c>
      <c r="G323" s="148">
        <f t="shared" si="63"/>
        <v>50</v>
      </c>
      <c r="H323" s="148">
        <f t="shared" si="63"/>
        <v>39</v>
      </c>
      <c r="I323" s="148">
        <f t="shared" si="63"/>
        <v>39</v>
      </c>
      <c r="J323" s="148">
        <f t="shared" si="63"/>
        <v>100</v>
      </c>
      <c r="K323" s="148">
        <f t="shared" si="63"/>
        <v>26</v>
      </c>
      <c r="L323" s="148">
        <f t="shared" si="63"/>
        <v>7</v>
      </c>
      <c r="M323" s="148">
        <f t="shared" si="63"/>
        <v>12</v>
      </c>
      <c r="N323" s="148">
        <f t="shared" si="63"/>
        <v>10</v>
      </c>
      <c r="O323" s="148">
        <f t="shared" si="63"/>
        <v>105</v>
      </c>
      <c r="P323" s="148">
        <f t="shared" si="49"/>
        <v>573</v>
      </c>
      <c r="R323" s="148">
        <f>'Fuel Ethanol'!AB30</f>
        <v>120205.81933756902</v>
      </c>
      <c r="S323" s="157">
        <f t="shared" si="50"/>
        <v>31.754771294405611</v>
      </c>
      <c r="T323" s="154">
        <f t="shared" si="51"/>
        <v>0.67425779653624474</v>
      </c>
      <c r="V323" s="149">
        <f t="shared" si="52"/>
        <v>455</v>
      </c>
      <c r="W323" s="149">
        <f t="shared" si="53"/>
        <v>108</v>
      </c>
      <c r="X323" s="149">
        <f t="shared" si="54"/>
        <v>10</v>
      </c>
      <c r="Y323" s="149">
        <f t="shared" si="48"/>
        <v>573</v>
      </c>
      <c r="AA323" s="158">
        <f t="shared" si="55"/>
        <v>0.79406631762652702</v>
      </c>
      <c r="AB323" s="158">
        <f t="shared" si="55"/>
        <v>0.18848167539267016</v>
      </c>
      <c r="AC323" s="158">
        <f t="shared" si="55"/>
        <v>1.7452006980802792E-2</v>
      </c>
      <c r="AE323" s="148"/>
      <c r="AF323" s="161">
        <f t="shared" si="47"/>
        <v>316541.9909222651</v>
      </c>
      <c r="AG323" s="161">
        <f t="shared" si="56"/>
        <v>251355.33310581261</v>
      </c>
      <c r="AH323" s="162">
        <f t="shared" si="57"/>
        <v>9.8953316181763213</v>
      </c>
      <c r="AI323" s="159"/>
      <c r="AJ323" s="157"/>
      <c r="AK323" s="157">
        <f t="shared" si="58"/>
        <v>9.4005650372675049</v>
      </c>
      <c r="AN323" s="161">
        <f t="shared" si="59"/>
        <v>94962.597276679531</v>
      </c>
    </row>
    <row r="324" spans="1:40">
      <c r="A324" s="156">
        <f>'BD Plant List'!A323</f>
        <v>49461</v>
      </c>
      <c r="B324" s="148">
        <f t="shared" si="63"/>
        <v>40</v>
      </c>
      <c r="C324" s="148">
        <f t="shared" si="63"/>
        <v>10</v>
      </c>
      <c r="D324" s="148">
        <f t="shared" si="63"/>
        <v>56</v>
      </c>
      <c r="E324" s="148">
        <f t="shared" si="63"/>
        <v>70</v>
      </c>
      <c r="F324" s="148">
        <f t="shared" si="63"/>
        <v>9</v>
      </c>
      <c r="G324" s="148">
        <f t="shared" si="63"/>
        <v>50</v>
      </c>
      <c r="H324" s="148">
        <f t="shared" si="63"/>
        <v>39</v>
      </c>
      <c r="I324" s="148">
        <f t="shared" si="63"/>
        <v>39</v>
      </c>
      <c r="J324" s="148">
        <f t="shared" si="63"/>
        <v>100</v>
      </c>
      <c r="K324" s="148">
        <f t="shared" si="63"/>
        <v>26</v>
      </c>
      <c r="L324" s="148">
        <f t="shared" si="63"/>
        <v>7</v>
      </c>
      <c r="M324" s="148">
        <f t="shared" si="63"/>
        <v>12</v>
      </c>
      <c r="N324" s="148">
        <f t="shared" si="63"/>
        <v>10</v>
      </c>
      <c r="O324" s="148">
        <f t="shared" si="63"/>
        <v>105</v>
      </c>
      <c r="P324" s="148">
        <f t="shared" si="49"/>
        <v>573</v>
      </c>
      <c r="R324" s="148">
        <f>'Fuel Ethanol'!AB31</f>
        <v>119524.06033654186</v>
      </c>
      <c r="S324" s="157">
        <f t="shared" si="50"/>
        <v>31.574671019104265</v>
      </c>
      <c r="T324" s="154">
        <f t="shared" si="51"/>
        <v>0.64880678500101652</v>
      </c>
      <c r="V324" s="149">
        <f t="shared" si="52"/>
        <v>455</v>
      </c>
      <c r="W324" s="149">
        <f t="shared" si="53"/>
        <v>108</v>
      </c>
      <c r="X324" s="149">
        <f t="shared" si="54"/>
        <v>10</v>
      </c>
      <c r="Y324" s="149">
        <f t="shared" si="48"/>
        <v>573</v>
      </c>
      <c r="AA324" s="158">
        <f t="shared" si="55"/>
        <v>0.79406631762652702</v>
      </c>
      <c r="AB324" s="158">
        <f t="shared" si="55"/>
        <v>0.18848167539267016</v>
      </c>
      <c r="AC324" s="158">
        <f t="shared" si="55"/>
        <v>1.7452006980802792E-2</v>
      </c>
      <c r="AE324" s="148"/>
      <c r="AF324" s="161">
        <f t="shared" si="47"/>
        <v>314746.69221956027</v>
      </c>
      <c r="AG324" s="161">
        <f t="shared" si="56"/>
        <v>249929.74687591608</v>
      </c>
      <c r="AH324" s="162">
        <f t="shared" si="57"/>
        <v>9.8392092820363768</v>
      </c>
      <c r="AI324" s="159"/>
      <c r="AJ324" s="157"/>
      <c r="AK324" s="157">
        <f t="shared" si="58"/>
        <v>9.3472488179345579</v>
      </c>
      <c r="AN324" s="161">
        <f t="shared" si="59"/>
        <v>94424.007665868077</v>
      </c>
    </row>
    <row r="325" spans="1:40">
      <c r="A325" s="156">
        <f>'BD Plant List'!A324</f>
        <v>49491</v>
      </c>
      <c r="B325" s="148">
        <f t="shared" si="63"/>
        <v>40</v>
      </c>
      <c r="C325" s="148">
        <f t="shared" si="63"/>
        <v>10</v>
      </c>
      <c r="D325" s="148">
        <f t="shared" si="63"/>
        <v>56</v>
      </c>
      <c r="E325" s="148">
        <f t="shared" si="63"/>
        <v>70</v>
      </c>
      <c r="F325" s="148">
        <f t="shared" si="63"/>
        <v>9</v>
      </c>
      <c r="G325" s="148">
        <f t="shared" si="63"/>
        <v>50</v>
      </c>
      <c r="H325" s="148">
        <f t="shared" si="63"/>
        <v>39</v>
      </c>
      <c r="I325" s="148">
        <f t="shared" si="63"/>
        <v>39</v>
      </c>
      <c r="J325" s="148">
        <f t="shared" si="63"/>
        <v>100</v>
      </c>
      <c r="K325" s="148">
        <f t="shared" si="63"/>
        <v>26</v>
      </c>
      <c r="L325" s="148">
        <f t="shared" si="63"/>
        <v>7</v>
      </c>
      <c r="M325" s="148">
        <f t="shared" si="63"/>
        <v>12</v>
      </c>
      <c r="N325" s="148">
        <f t="shared" ref="N325:Z344" si="65">N$4</f>
        <v>10</v>
      </c>
      <c r="O325" s="148">
        <f t="shared" si="65"/>
        <v>105</v>
      </c>
      <c r="P325" s="148">
        <f t="shared" si="49"/>
        <v>573</v>
      </c>
      <c r="R325" s="148">
        <f>'Fuel Ethanol'!AB32</f>
        <v>131137.68557083939</v>
      </c>
      <c r="S325" s="157">
        <f t="shared" si="50"/>
        <v>34.642642397248643</v>
      </c>
      <c r="T325" s="154">
        <f t="shared" si="51"/>
        <v>0.73557675828945623</v>
      </c>
      <c r="V325" s="149">
        <f t="shared" si="52"/>
        <v>455</v>
      </c>
      <c r="W325" s="149">
        <f t="shared" si="53"/>
        <v>108</v>
      </c>
      <c r="X325" s="149">
        <f t="shared" si="54"/>
        <v>10</v>
      </c>
      <c r="Y325" s="149">
        <f t="shared" si="48"/>
        <v>573</v>
      </c>
      <c r="AA325" s="158">
        <f t="shared" si="55"/>
        <v>0.79406631762652702</v>
      </c>
      <c r="AB325" s="158">
        <f t="shared" si="55"/>
        <v>0.18848167539267016</v>
      </c>
      <c r="AC325" s="158">
        <f t="shared" si="55"/>
        <v>1.7452006980802792E-2</v>
      </c>
      <c r="AE325" s="148"/>
      <c r="AF325" s="161">
        <f t="shared" si="47"/>
        <v>345329.23866987712</v>
      </c>
      <c r="AG325" s="161">
        <f t="shared" si="56"/>
        <v>274214.31691936142</v>
      </c>
      <c r="AH325" s="162">
        <f t="shared" si="57"/>
        <v>10.795241807049727</v>
      </c>
      <c r="AI325" s="159"/>
      <c r="AJ325" s="157"/>
      <c r="AK325" s="157">
        <f t="shared" si="58"/>
        <v>10.255479716697241</v>
      </c>
      <c r="AN325" s="161">
        <f t="shared" si="59"/>
        <v>103598.77160096313</v>
      </c>
    </row>
    <row r="326" spans="1:40">
      <c r="A326" s="156">
        <f>'BD Plant List'!A325</f>
        <v>49522</v>
      </c>
      <c r="B326" s="148">
        <f t="shared" ref="B326:O357" si="66">B$4</f>
        <v>40</v>
      </c>
      <c r="C326" s="148">
        <f t="shared" si="66"/>
        <v>10</v>
      </c>
      <c r="D326" s="148">
        <f t="shared" si="66"/>
        <v>56</v>
      </c>
      <c r="E326" s="148">
        <f t="shared" si="66"/>
        <v>70</v>
      </c>
      <c r="F326" s="148">
        <f t="shared" si="66"/>
        <v>9</v>
      </c>
      <c r="G326" s="148">
        <f t="shared" si="66"/>
        <v>50</v>
      </c>
      <c r="H326" s="148">
        <f t="shared" si="66"/>
        <v>39</v>
      </c>
      <c r="I326" s="148">
        <f t="shared" si="66"/>
        <v>39</v>
      </c>
      <c r="J326" s="148">
        <f t="shared" si="66"/>
        <v>100</v>
      </c>
      <c r="K326" s="148">
        <f t="shared" si="66"/>
        <v>26</v>
      </c>
      <c r="L326" s="148">
        <f t="shared" si="66"/>
        <v>7</v>
      </c>
      <c r="M326" s="148">
        <f t="shared" si="66"/>
        <v>12</v>
      </c>
      <c r="N326" s="148">
        <f t="shared" si="66"/>
        <v>10</v>
      </c>
      <c r="O326" s="148">
        <f t="shared" si="66"/>
        <v>105</v>
      </c>
      <c r="P326" s="148">
        <f t="shared" si="49"/>
        <v>573</v>
      </c>
      <c r="R326" s="148">
        <f>'Fuel Ethanol'!AB33</f>
        <v>131875.57353988499</v>
      </c>
      <c r="S326" s="157">
        <f t="shared" si="50"/>
        <v>34.83757026203142</v>
      </c>
      <c r="T326" s="154">
        <f t="shared" si="51"/>
        <v>0.71585391801167975</v>
      </c>
      <c r="V326" s="149">
        <f t="shared" si="52"/>
        <v>455</v>
      </c>
      <c r="W326" s="149">
        <f t="shared" si="53"/>
        <v>108</v>
      </c>
      <c r="X326" s="149">
        <f t="shared" si="54"/>
        <v>10</v>
      </c>
      <c r="Y326" s="149">
        <f t="shared" si="48"/>
        <v>573</v>
      </c>
      <c r="AA326" s="158">
        <f t="shared" si="55"/>
        <v>0.79406631762652702</v>
      </c>
      <c r="AB326" s="158">
        <f t="shared" si="55"/>
        <v>0.18848167539267016</v>
      </c>
      <c r="AC326" s="158">
        <f t="shared" si="55"/>
        <v>1.7452006980802792E-2</v>
      </c>
      <c r="AE326" s="148"/>
      <c r="AF326" s="161">
        <f t="shared" si="47"/>
        <v>347272.34365503053</v>
      </c>
      <c r="AG326" s="161">
        <f t="shared" si="56"/>
        <v>275757.2711396839</v>
      </c>
      <c r="AH326" s="162">
        <f t="shared" si="57"/>
        <v>10.855984674499961</v>
      </c>
      <c r="AI326" s="159"/>
      <c r="AJ326" s="157"/>
      <c r="AK326" s="157">
        <f t="shared" si="58"/>
        <v>10.313185440774962</v>
      </c>
      <c r="AN326" s="161">
        <f t="shared" si="59"/>
        <v>104181.70309650915</v>
      </c>
    </row>
    <row r="327" spans="1:40">
      <c r="A327" s="156">
        <f>'BD Plant List'!A326</f>
        <v>49553</v>
      </c>
      <c r="B327" s="148">
        <f t="shared" si="66"/>
        <v>40</v>
      </c>
      <c r="C327" s="148">
        <f t="shared" si="66"/>
        <v>10</v>
      </c>
      <c r="D327" s="148">
        <f t="shared" si="66"/>
        <v>56</v>
      </c>
      <c r="E327" s="148">
        <f t="shared" si="66"/>
        <v>70</v>
      </c>
      <c r="F327" s="148">
        <f t="shared" si="66"/>
        <v>9</v>
      </c>
      <c r="G327" s="148">
        <f t="shared" si="66"/>
        <v>50</v>
      </c>
      <c r="H327" s="148">
        <f t="shared" si="66"/>
        <v>39</v>
      </c>
      <c r="I327" s="148">
        <f t="shared" si="66"/>
        <v>39</v>
      </c>
      <c r="J327" s="148">
        <f t="shared" si="66"/>
        <v>100</v>
      </c>
      <c r="K327" s="148">
        <f t="shared" si="66"/>
        <v>26</v>
      </c>
      <c r="L327" s="148">
        <f t="shared" si="66"/>
        <v>7</v>
      </c>
      <c r="M327" s="148">
        <f t="shared" si="66"/>
        <v>12</v>
      </c>
      <c r="N327" s="148">
        <f t="shared" si="66"/>
        <v>10</v>
      </c>
      <c r="O327" s="148">
        <f t="shared" si="66"/>
        <v>105</v>
      </c>
      <c r="P327" s="148">
        <f t="shared" si="49"/>
        <v>573</v>
      </c>
      <c r="R327" s="148">
        <f>'Fuel Ethanol'!AB34</f>
        <v>115777.29543609312</v>
      </c>
      <c r="S327" s="157">
        <f t="shared" si="50"/>
        <v>30.58488813535272</v>
      </c>
      <c r="T327" s="154">
        <f t="shared" si="51"/>
        <v>0.62846839888553407</v>
      </c>
      <c r="V327" s="149">
        <f t="shared" si="52"/>
        <v>455</v>
      </c>
      <c r="W327" s="149">
        <f t="shared" si="53"/>
        <v>108</v>
      </c>
      <c r="X327" s="149">
        <f t="shared" si="54"/>
        <v>10</v>
      </c>
      <c r="Y327" s="149">
        <f t="shared" si="48"/>
        <v>573</v>
      </c>
      <c r="AA327" s="158">
        <f t="shared" si="55"/>
        <v>0.79406631762652702</v>
      </c>
      <c r="AB327" s="158">
        <f t="shared" si="55"/>
        <v>0.18848167539267016</v>
      </c>
      <c r="AC327" s="158">
        <f t="shared" si="55"/>
        <v>1.7452006980802792E-2</v>
      </c>
      <c r="AE327" s="148"/>
      <c r="AF327" s="161">
        <f t="shared" si="47"/>
        <v>304880.21131504525</v>
      </c>
      <c r="AG327" s="161">
        <f t="shared" si="56"/>
        <v>242095.1067161354</v>
      </c>
      <c r="AH327" s="162">
        <f t="shared" si="57"/>
        <v>9.5307759516901474</v>
      </c>
      <c r="AI327" s="159"/>
      <c r="AJ327" s="157"/>
      <c r="AK327" s="157">
        <f t="shared" si="58"/>
        <v>9.054237154105639</v>
      </c>
      <c r="AN327" s="161">
        <f t="shared" si="59"/>
        <v>91464.063394513563</v>
      </c>
    </row>
    <row r="328" spans="1:40">
      <c r="A328" s="156">
        <f>'BD Plant List'!A327</f>
        <v>49583</v>
      </c>
      <c r="B328" s="148">
        <f t="shared" si="66"/>
        <v>40</v>
      </c>
      <c r="C328" s="148">
        <f t="shared" si="66"/>
        <v>10</v>
      </c>
      <c r="D328" s="148">
        <f t="shared" si="66"/>
        <v>56</v>
      </c>
      <c r="E328" s="148">
        <f t="shared" si="66"/>
        <v>70</v>
      </c>
      <c r="F328" s="148">
        <f t="shared" si="66"/>
        <v>9</v>
      </c>
      <c r="G328" s="148">
        <f t="shared" si="66"/>
        <v>50</v>
      </c>
      <c r="H328" s="148">
        <f t="shared" si="66"/>
        <v>39</v>
      </c>
      <c r="I328" s="148">
        <f t="shared" si="66"/>
        <v>39</v>
      </c>
      <c r="J328" s="148">
        <f t="shared" si="66"/>
        <v>100</v>
      </c>
      <c r="K328" s="148">
        <f t="shared" si="66"/>
        <v>26</v>
      </c>
      <c r="L328" s="148">
        <f t="shared" si="66"/>
        <v>7</v>
      </c>
      <c r="M328" s="148">
        <f t="shared" si="66"/>
        <v>12</v>
      </c>
      <c r="N328" s="148">
        <f t="shared" si="66"/>
        <v>10</v>
      </c>
      <c r="O328" s="148">
        <f t="shared" si="66"/>
        <v>105</v>
      </c>
      <c r="P328" s="148">
        <f t="shared" si="49"/>
        <v>573</v>
      </c>
      <c r="R328" s="148">
        <f>'Fuel Ethanol'!AB35</f>
        <v>115123.15513751617</v>
      </c>
      <c r="S328" s="157">
        <f t="shared" si="50"/>
        <v>30.412083892677646</v>
      </c>
      <c r="T328" s="154">
        <f t="shared" si="51"/>
        <v>0.6457481454815206</v>
      </c>
      <c r="V328" s="149">
        <f t="shared" si="52"/>
        <v>455</v>
      </c>
      <c r="W328" s="149">
        <f t="shared" si="53"/>
        <v>108</v>
      </c>
      <c r="X328" s="149">
        <f t="shared" si="54"/>
        <v>10</v>
      </c>
      <c r="Y328" s="149">
        <f t="shared" si="48"/>
        <v>573</v>
      </c>
      <c r="AA328" s="158">
        <f t="shared" si="55"/>
        <v>0.79406631762652702</v>
      </c>
      <c r="AB328" s="158">
        <f t="shared" si="55"/>
        <v>0.18848167539267016</v>
      </c>
      <c r="AC328" s="158">
        <f t="shared" si="55"/>
        <v>1.7452006980802792E-2</v>
      </c>
      <c r="AE328" s="148"/>
      <c r="AF328" s="161">
        <f t="shared" si="47"/>
        <v>303157.64186212589</v>
      </c>
      <c r="AG328" s="161">
        <f t="shared" si="56"/>
        <v>240727.27233379977</v>
      </c>
      <c r="AH328" s="162">
        <f t="shared" si="57"/>
        <v>9.4769271845097958</v>
      </c>
      <c r="AI328" s="159"/>
      <c r="AJ328" s="157"/>
      <c r="AK328" s="157">
        <f t="shared" si="58"/>
        <v>9.0030808252843055</v>
      </c>
      <c r="AN328" s="161">
        <f t="shared" si="59"/>
        <v>90947.292558637768</v>
      </c>
    </row>
    <row r="329" spans="1:40">
      <c r="A329" s="156">
        <f>'BD Plant List'!A328</f>
        <v>49614</v>
      </c>
      <c r="B329" s="148">
        <f t="shared" si="66"/>
        <v>40</v>
      </c>
      <c r="C329" s="148">
        <f t="shared" si="66"/>
        <v>10</v>
      </c>
      <c r="D329" s="148">
        <f t="shared" si="66"/>
        <v>56</v>
      </c>
      <c r="E329" s="148">
        <f t="shared" si="66"/>
        <v>70</v>
      </c>
      <c r="F329" s="148">
        <f t="shared" si="66"/>
        <v>9</v>
      </c>
      <c r="G329" s="148">
        <f t="shared" si="66"/>
        <v>50</v>
      </c>
      <c r="H329" s="148">
        <f t="shared" si="66"/>
        <v>39</v>
      </c>
      <c r="I329" s="148">
        <f t="shared" si="66"/>
        <v>39</v>
      </c>
      <c r="J329" s="148">
        <f t="shared" si="66"/>
        <v>100</v>
      </c>
      <c r="K329" s="148">
        <f t="shared" si="66"/>
        <v>26</v>
      </c>
      <c r="L329" s="148">
        <f t="shared" si="66"/>
        <v>7</v>
      </c>
      <c r="M329" s="148">
        <f t="shared" si="66"/>
        <v>12</v>
      </c>
      <c r="N329" s="148">
        <f t="shared" si="66"/>
        <v>10</v>
      </c>
      <c r="O329" s="148">
        <f t="shared" si="66"/>
        <v>105</v>
      </c>
      <c r="P329" s="148">
        <f t="shared" si="49"/>
        <v>573</v>
      </c>
      <c r="R329" s="148">
        <f>'Fuel Ethanol'!AB36</f>
        <v>128891.55404549632</v>
      </c>
      <c r="S329" s="157">
        <f t="shared" si="50"/>
        <v>34.049281832198758</v>
      </c>
      <c r="T329" s="154">
        <f t="shared" si="51"/>
        <v>0.69965590658968335</v>
      </c>
      <c r="V329" s="149">
        <f t="shared" si="52"/>
        <v>455</v>
      </c>
      <c r="W329" s="149">
        <f t="shared" si="53"/>
        <v>108</v>
      </c>
      <c r="X329" s="149">
        <f t="shared" si="54"/>
        <v>10</v>
      </c>
      <c r="Y329" s="149">
        <f t="shared" si="48"/>
        <v>573</v>
      </c>
      <c r="AA329" s="158">
        <f t="shared" si="55"/>
        <v>0.79406631762652702</v>
      </c>
      <c r="AB329" s="158">
        <f t="shared" si="55"/>
        <v>0.18848167539267016</v>
      </c>
      <c r="AC329" s="158">
        <f t="shared" si="55"/>
        <v>1.7452006980802792E-2</v>
      </c>
      <c r="AE329" s="148"/>
      <c r="AF329" s="161">
        <f t="shared" ref="AF329:AF392" si="67">AN329/0.3</f>
        <v>339414.42565314029</v>
      </c>
      <c r="AG329" s="161">
        <f t="shared" si="56"/>
        <v>269517.56312771176</v>
      </c>
      <c r="AH329" s="162">
        <f t="shared" si="57"/>
        <v>10.610340473455445</v>
      </c>
      <c r="AI329" s="159"/>
      <c r="AJ329" s="157"/>
      <c r="AK329" s="157">
        <f t="shared" si="58"/>
        <v>10.079823449782673</v>
      </c>
      <c r="AN329" s="161">
        <f t="shared" si="59"/>
        <v>101824.32769594209</v>
      </c>
    </row>
    <row r="330" spans="1:40">
      <c r="A330" s="156">
        <f>'BD Plant List'!A329</f>
        <v>49644</v>
      </c>
      <c r="B330" s="148">
        <f t="shared" si="66"/>
        <v>40</v>
      </c>
      <c r="C330" s="148">
        <f t="shared" si="66"/>
        <v>10</v>
      </c>
      <c r="D330" s="148">
        <f t="shared" si="66"/>
        <v>56</v>
      </c>
      <c r="E330" s="148">
        <f t="shared" si="66"/>
        <v>70</v>
      </c>
      <c r="F330" s="148">
        <f t="shared" si="66"/>
        <v>9</v>
      </c>
      <c r="G330" s="148">
        <f t="shared" si="66"/>
        <v>50</v>
      </c>
      <c r="H330" s="148">
        <f t="shared" si="66"/>
        <v>39</v>
      </c>
      <c r="I330" s="148">
        <f t="shared" si="66"/>
        <v>39</v>
      </c>
      <c r="J330" s="148">
        <f t="shared" si="66"/>
        <v>100</v>
      </c>
      <c r="K330" s="148">
        <f t="shared" si="66"/>
        <v>26</v>
      </c>
      <c r="L330" s="148">
        <f t="shared" si="66"/>
        <v>7</v>
      </c>
      <c r="M330" s="148">
        <f t="shared" si="66"/>
        <v>12</v>
      </c>
      <c r="N330" s="148">
        <f t="shared" si="66"/>
        <v>10</v>
      </c>
      <c r="O330" s="148">
        <f t="shared" si="66"/>
        <v>105</v>
      </c>
      <c r="P330" s="148">
        <f t="shared" si="49"/>
        <v>573</v>
      </c>
      <c r="R330" s="148">
        <f>'Fuel Ethanol'!AB37</f>
        <v>120455.43538839952</v>
      </c>
      <c r="S330" s="157">
        <f t="shared" si="50"/>
        <v>31.820712366553504</v>
      </c>
      <c r="T330" s="154">
        <f t="shared" si="51"/>
        <v>0.67565794146550484</v>
      </c>
      <c r="V330" s="149">
        <f t="shared" si="52"/>
        <v>455</v>
      </c>
      <c r="W330" s="149">
        <f t="shared" si="53"/>
        <v>108</v>
      </c>
      <c r="X330" s="149">
        <f t="shared" si="54"/>
        <v>10</v>
      </c>
      <c r="Y330" s="149">
        <f t="shared" si="48"/>
        <v>573</v>
      </c>
      <c r="AA330" s="158">
        <f t="shared" si="55"/>
        <v>0.79406631762652702</v>
      </c>
      <c r="AB330" s="158">
        <f t="shared" si="55"/>
        <v>0.18848167539267016</v>
      </c>
      <c r="AC330" s="158">
        <f t="shared" si="55"/>
        <v>1.7452006980802792E-2</v>
      </c>
      <c r="AE330" s="148"/>
      <c r="AF330" s="161">
        <f t="shared" si="67"/>
        <v>317199.31318945211</v>
      </c>
      <c r="AG330" s="161">
        <f t="shared" si="56"/>
        <v>251877.29057801169</v>
      </c>
      <c r="AH330" s="162">
        <f t="shared" si="57"/>
        <v>9.9158799877461057</v>
      </c>
      <c r="AI330" s="159"/>
      <c r="AJ330" s="157"/>
      <c r="AK330" s="157">
        <f t="shared" si="58"/>
        <v>9.4200859883587995</v>
      </c>
      <c r="AN330" s="161">
        <f t="shared" si="59"/>
        <v>95159.793956835623</v>
      </c>
    </row>
    <row r="331" spans="1:40">
      <c r="A331" s="156">
        <f>'BD Plant List'!A330</f>
        <v>49675</v>
      </c>
      <c r="B331" s="148">
        <f t="shared" si="66"/>
        <v>40</v>
      </c>
      <c r="C331" s="148">
        <f t="shared" si="66"/>
        <v>10</v>
      </c>
      <c r="D331" s="148">
        <f t="shared" si="66"/>
        <v>56</v>
      </c>
      <c r="E331" s="148">
        <f t="shared" si="66"/>
        <v>70</v>
      </c>
      <c r="F331" s="148">
        <f t="shared" si="66"/>
        <v>9</v>
      </c>
      <c r="G331" s="148">
        <f t="shared" si="66"/>
        <v>50</v>
      </c>
      <c r="H331" s="148">
        <f t="shared" si="66"/>
        <v>39</v>
      </c>
      <c r="I331" s="148">
        <f t="shared" si="66"/>
        <v>39</v>
      </c>
      <c r="J331" s="148">
        <f t="shared" si="66"/>
        <v>100</v>
      </c>
      <c r="K331" s="148">
        <f t="shared" si="66"/>
        <v>26</v>
      </c>
      <c r="L331" s="148">
        <f t="shared" si="66"/>
        <v>7</v>
      </c>
      <c r="M331" s="148">
        <f t="shared" si="66"/>
        <v>12</v>
      </c>
      <c r="N331" s="148">
        <f t="shared" si="66"/>
        <v>10</v>
      </c>
      <c r="O331" s="148">
        <f t="shared" si="66"/>
        <v>105</v>
      </c>
      <c r="P331" s="148">
        <f t="shared" si="49"/>
        <v>573</v>
      </c>
      <c r="R331" s="148">
        <f>'Fuel Ethanol'!AC26</f>
        <v>124413.48478560692</v>
      </c>
      <c r="S331" s="157">
        <f t="shared" si="50"/>
        <v>32.866310275813781</v>
      </c>
      <c r="T331" s="154">
        <f t="shared" si="51"/>
        <v>0.67534781572212066</v>
      </c>
      <c r="V331" s="149">
        <f t="shared" si="52"/>
        <v>455</v>
      </c>
      <c r="W331" s="149">
        <f t="shared" si="53"/>
        <v>108</v>
      </c>
      <c r="X331" s="149">
        <f t="shared" si="54"/>
        <v>10</v>
      </c>
      <c r="Y331" s="149">
        <f t="shared" ref="Y331:Y389" si="68">SUM(V331:X331)</f>
        <v>573</v>
      </c>
      <c r="AA331" s="158">
        <f t="shared" si="55"/>
        <v>0.79406631762652702</v>
      </c>
      <c r="AB331" s="158">
        <f t="shared" si="55"/>
        <v>0.18848167539267016</v>
      </c>
      <c r="AC331" s="158">
        <f t="shared" si="55"/>
        <v>1.7452006980802792E-2</v>
      </c>
      <c r="AE331" s="148"/>
      <c r="AF331" s="161">
        <f t="shared" si="67"/>
        <v>327622.17660209828</v>
      </c>
      <c r="AG331" s="161">
        <f t="shared" si="56"/>
        <v>260153.7353472159</v>
      </c>
      <c r="AH331" s="162">
        <f t="shared" si="57"/>
        <v>10.241706237775661</v>
      </c>
      <c r="AI331" s="159"/>
      <c r="AJ331" s="157"/>
      <c r="AK331" s="157">
        <f t="shared" si="58"/>
        <v>9.7296209258868771</v>
      </c>
      <c r="AN331" s="161">
        <f t="shared" si="59"/>
        <v>98286.652980629471</v>
      </c>
    </row>
    <row r="332" spans="1:40">
      <c r="A332" s="156">
        <f>'BD Plant List'!A331</f>
        <v>49706</v>
      </c>
      <c r="B332" s="148">
        <f t="shared" si="66"/>
        <v>40</v>
      </c>
      <c r="C332" s="148">
        <f t="shared" si="66"/>
        <v>10</v>
      </c>
      <c r="D332" s="148">
        <f t="shared" si="66"/>
        <v>56</v>
      </c>
      <c r="E332" s="148">
        <f t="shared" si="66"/>
        <v>70</v>
      </c>
      <c r="F332" s="148">
        <f t="shared" si="66"/>
        <v>9</v>
      </c>
      <c r="G332" s="148">
        <f t="shared" si="66"/>
        <v>50</v>
      </c>
      <c r="H332" s="148">
        <f t="shared" si="66"/>
        <v>39</v>
      </c>
      <c r="I332" s="148">
        <f t="shared" si="66"/>
        <v>39</v>
      </c>
      <c r="J332" s="148">
        <f t="shared" si="66"/>
        <v>100</v>
      </c>
      <c r="K332" s="148">
        <f t="shared" si="66"/>
        <v>26</v>
      </c>
      <c r="L332" s="148">
        <f t="shared" si="66"/>
        <v>7</v>
      </c>
      <c r="M332" s="148">
        <f t="shared" si="66"/>
        <v>12</v>
      </c>
      <c r="N332" s="148">
        <f t="shared" si="66"/>
        <v>10</v>
      </c>
      <c r="O332" s="148">
        <f t="shared" si="66"/>
        <v>105</v>
      </c>
      <c r="P332" s="148">
        <f t="shared" ref="P332:P390" si="69">SUM(B332:O332)</f>
        <v>573</v>
      </c>
      <c r="R332" s="148">
        <f>'Fuel Ethanol'!AC27</f>
        <v>118119.63251076231</v>
      </c>
      <c r="S332" s="157">
        <f t="shared" ref="S332:S395" si="70">R332*264.17/1000000</f>
        <v>31.203663320368083</v>
      </c>
      <c r="T332" s="154">
        <f t="shared" ref="T332:T395" si="71">S332/((P332/365)*(A332-A331))</f>
        <v>0.64118319607804708</v>
      </c>
      <c r="V332" s="149">
        <f t="shared" ref="V332:V395" si="72">O332+K332+J332+I332+G332+F332+E332+D332</f>
        <v>455</v>
      </c>
      <c r="W332" s="149">
        <f t="shared" ref="W332:W395" si="73">B332+H332+L332+M332+N332</f>
        <v>108</v>
      </c>
      <c r="X332" s="149">
        <f t="shared" ref="X332:X395" si="74">C332</f>
        <v>10</v>
      </c>
      <c r="Y332" s="149">
        <f t="shared" si="68"/>
        <v>573</v>
      </c>
      <c r="AA332" s="158">
        <f t="shared" ref="AA332:AC390" si="75">V332/$Y332</f>
        <v>0.79406631762652702</v>
      </c>
      <c r="AB332" s="158">
        <f t="shared" si="75"/>
        <v>0.18848167539267016</v>
      </c>
      <c r="AC332" s="158">
        <f t="shared" si="75"/>
        <v>1.7452006980802792E-2</v>
      </c>
      <c r="AE332" s="148"/>
      <c r="AF332" s="161">
        <f t="shared" si="67"/>
        <v>311048.36561167409</v>
      </c>
      <c r="AG332" s="161">
        <f t="shared" ref="AG332:AG395" si="76">AF332*AA332</f>
        <v>246993.03028501172</v>
      </c>
      <c r="AH332" s="162">
        <f t="shared" ref="AH332:AH395" si="77">AG332*39.3679/1000000</f>
        <v>9.7235969169573124</v>
      </c>
      <c r="AI332" s="159"/>
      <c r="AJ332" s="157"/>
      <c r="AK332" s="157">
        <f t="shared" ref="AK332:AK395" si="78">AH332*$AM$6</f>
        <v>9.2374170711094461</v>
      </c>
      <c r="AN332" s="161">
        <f t="shared" ref="AN332:AN395" si="79">R332*0.79</f>
        <v>93314.509683502227</v>
      </c>
    </row>
    <row r="333" spans="1:40">
      <c r="A333" s="156">
        <f>'BD Plant List'!A332</f>
        <v>49735</v>
      </c>
      <c r="B333" s="148">
        <f t="shared" si="66"/>
        <v>40</v>
      </c>
      <c r="C333" s="148">
        <f t="shared" si="66"/>
        <v>10</v>
      </c>
      <c r="D333" s="148">
        <f t="shared" si="66"/>
        <v>56</v>
      </c>
      <c r="E333" s="148">
        <f t="shared" si="66"/>
        <v>70</v>
      </c>
      <c r="F333" s="148">
        <f t="shared" si="66"/>
        <v>9</v>
      </c>
      <c r="G333" s="148">
        <f t="shared" si="66"/>
        <v>50</v>
      </c>
      <c r="H333" s="148">
        <f t="shared" si="66"/>
        <v>39</v>
      </c>
      <c r="I333" s="148">
        <f t="shared" si="66"/>
        <v>39</v>
      </c>
      <c r="J333" s="148">
        <f t="shared" si="66"/>
        <v>100</v>
      </c>
      <c r="K333" s="148">
        <f t="shared" si="66"/>
        <v>26</v>
      </c>
      <c r="L333" s="148">
        <f t="shared" si="66"/>
        <v>7</v>
      </c>
      <c r="M333" s="148">
        <f t="shared" si="66"/>
        <v>12</v>
      </c>
      <c r="N333" s="148">
        <f t="shared" si="66"/>
        <v>10</v>
      </c>
      <c r="O333" s="148">
        <f t="shared" si="66"/>
        <v>105</v>
      </c>
      <c r="P333" s="148">
        <f t="shared" si="69"/>
        <v>573</v>
      </c>
      <c r="R333" s="148">
        <f>'Fuel Ethanol'!AC28</f>
        <v>128275.48078346174</v>
      </c>
      <c r="S333" s="157">
        <f t="shared" si="70"/>
        <v>33.88653375856709</v>
      </c>
      <c r="T333" s="154">
        <f t="shared" si="71"/>
        <v>0.74433320225534005</v>
      </c>
      <c r="V333" s="149">
        <f t="shared" si="72"/>
        <v>455</v>
      </c>
      <c r="W333" s="149">
        <f t="shared" si="73"/>
        <v>108</v>
      </c>
      <c r="X333" s="149">
        <f t="shared" si="74"/>
        <v>10</v>
      </c>
      <c r="Y333" s="149">
        <f t="shared" si="68"/>
        <v>573</v>
      </c>
      <c r="AA333" s="158">
        <f t="shared" si="75"/>
        <v>0.79406631762652702</v>
      </c>
      <c r="AB333" s="158">
        <f t="shared" si="75"/>
        <v>0.18848167539267016</v>
      </c>
      <c r="AC333" s="158">
        <f t="shared" si="75"/>
        <v>1.7452006980802792E-2</v>
      </c>
      <c r="AE333" s="148"/>
      <c r="AF333" s="161">
        <f t="shared" si="67"/>
        <v>337792.09939644928</v>
      </c>
      <c r="AG333" s="161">
        <f t="shared" si="76"/>
        <v>268229.32849107229</v>
      </c>
      <c r="AH333" s="162">
        <f t="shared" si="77"/>
        <v>10.559625381103686</v>
      </c>
      <c r="AI333" s="159"/>
      <c r="AJ333" s="157"/>
      <c r="AK333" s="157">
        <f t="shared" si="78"/>
        <v>10.031644112048502</v>
      </c>
      <c r="AN333" s="161">
        <f t="shared" si="79"/>
        <v>101337.62981893477</v>
      </c>
    </row>
    <row r="334" spans="1:40">
      <c r="A334" s="156">
        <f>'BD Plant List'!A333</f>
        <v>49766</v>
      </c>
      <c r="B334" s="148">
        <f t="shared" si="66"/>
        <v>40</v>
      </c>
      <c r="C334" s="148">
        <f t="shared" si="66"/>
        <v>10</v>
      </c>
      <c r="D334" s="148">
        <f t="shared" si="66"/>
        <v>56</v>
      </c>
      <c r="E334" s="148">
        <f t="shared" si="66"/>
        <v>70</v>
      </c>
      <c r="F334" s="148">
        <f t="shared" si="66"/>
        <v>9</v>
      </c>
      <c r="G334" s="148">
        <f t="shared" si="66"/>
        <v>50</v>
      </c>
      <c r="H334" s="148">
        <f t="shared" si="66"/>
        <v>39</v>
      </c>
      <c r="I334" s="148">
        <f t="shared" si="66"/>
        <v>39</v>
      </c>
      <c r="J334" s="148">
        <f t="shared" si="66"/>
        <v>100</v>
      </c>
      <c r="K334" s="148">
        <f t="shared" si="66"/>
        <v>26</v>
      </c>
      <c r="L334" s="148">
        <f t="shared" si="66"/>
        <v>7</v>
      </c>
      <c r="M334" s="148">
        <f t="shared" si="66"/>
        <v>12</v>
      </c>
      <c r="N334" s="148">
        <f t="shared" si="66"/>
        <v>10</v>
      </c>
      <c r="O334" s="148">
        <f t="shared" si="66"/>
        <v>105</v>
      </c>
      <c r="P334" s="148">
        <f t="shared" si="69"/>
        <v>573</v>
      </c>
      <c r="R334" s="148">
        <f>'Fuel Ethanol'!AC29</f>
        <v>115626.99776772918</v>
      </c>
      <c r="S334" s="157">
        <f t="shared" si="70"/>
        <v>30.545184000301017</v>
      </c>
      <c r="T334" s="154">
        <f t="shared" si="71"/>
        <v>0.62765254518436475</v>
      </c>
      <c r="V334" s="149">
        <f t="shared" si="72"/>
        <v>455</v>
      </c>
      <c r="W334" s="149">
        <f t="shared" si="73"/>
        <v>108</v>
      </c>
      <c r="X334" s="149">
        <f t="shared" si="74"/>
        <v>10</v>
      </c>
      <c r="Y334" s="149">
        <f t="shared" si="68"/>
        <v>573</v>
      </c>
      <c r="AA334" s="158">
        <f t="shared" si="75"/>
        <v>0.79406631762652702</v>
      </c>
      <c r="AB334" s="158">
        <f t="shared" si="75"/>
        <v>0.18848167539267016</v>
      </c>
      <c r="AC334" s="158">
        <f t="shared" si="75"/>
        <v>1.7452006980802792E-2</v>
      </c>
      <c r="AE334" s="148"/>
      <c r="AF334" s="161">
        <f t="shared" si="67"/>
        <v>304484.4274550202</v>
      </c>
      <c r="AG334" s="161">
        <f t="shared" si="76"/>
        <v>241780.82808382928</v>
      </c>
      <c r="AH334" s="162">
        <f t="shared" si="77"/>
        <v>9.5184034619213822</v>
      </c>
      <c r="AI334" s="159"/>
      <c r="AJ334" s="157"/>
      <c r="AK334" s="157">
        <f t="shared" si="78"/>
        <v>9.0424832888253128</v>
      </c>
      <c r="AN334" s="161">
        <f t="shared" si="79"/>
        <v>91345.328236506059</v>
      </c>
    </row>
    <row r="335" spans="1:40">
      <c r="A335" s="156">
        <f>'BD Plant List'!A334</f>
        <v>49796</v>
      </c>
      <c r="B335" s="148">
        <f t="shared" si="66"/>
        <v>40</v>
      </c>
      <c r="C335" s="148">
        <f t="shared" si="66"/>
        <v>10</v>
      </c>
      <c r="D335" s="148">
        <f t="shared" si="66"/>
        <v>56</v>
      </c>
      <c r="E335" s="148">
        <f t="shared" si="66"/>
        <v>70</v>
      </c>
      <c r="F335" s="148">
        <f t="shared" si="66"/>
        <v>9</v>
      </c>
      <c r="G335" s="148">
        <f t="shared" si="66"/>
        <v>50</v>
      </c>
      <c r="H335" s="148">
        <f t="shared" si="66"/>
        <v>39</v>
      </c>
      <c r="I335" s="148">
        <f t="shared" si="66"/>
        <v>39</v>
      </c>
      <c r="J335" s="148">
        <f t="shared" si="66"/>
        <v>100</v>
      </c>
      <c r="K335" s="148">
        <f t="shared" si="66"/>
        <v>26</v>
      </c>
      <c r="L335" s="148">
        <f t="shared" si="66"/>
        <v>7</v>
      </c>
      <c r="M335" s="148">
        <f t="shared" si="66"/>
        <v>12</v>
      </c>
      <c r="N335" s="148">
        <f t="shared" si="66"/>
        <v>10</v>
      </c>
      <c r="O335" s="148">
        <f t="shared" si="66"/>
        <v>105</v>
      </c>
      <c r="P335" s="148">
        <f t="shared" si="69"/>
        <v>573</v>
      </c>
      <c r="R335" s="148">
        <f>'Fuel Ethanol'!AC30</f>
        <v>119265.80273948661</v>
      </c>
      <c r="S335" s="157">
        <f t="shared" si="70"/>
        <v>31.506447109690178</v>
      </c>
      <c r="T335" s="154">
        <f t="shared" si="71"/>
        <v>0.66898506079330511</v>
      </c>
      <c r="V335" s="149">
        <f t="shared" si="72"/>
        <v>455</v>
      </c>
      <c r="W335" s="149">
        <f t="shared" si="73"/>
        <v>108</v>
      </c>
      <c r="X335" s="149">
        <f t="shared" si="74"/>
        <v>10</v>
      </c>
      <c r="Y335" s="149">
        <f t="shared" si="68"/>
        <v>573</v>
      </c>
      <c r="AA335" s="158">
        <f t="shared" si="75"/>
        <v>0.79406631762652702</v>
      </c>
      <c r="AB335" s="158">
        <f t="shared" si="75"/>
        <v>0.18848167539267016</v>
      </c>
      <c r="AC335" s="158">
        <f t="shared" si="75"/>
        <v>1.7452006980802792E-2</v>
      </c>
      <c r="AE335" s="148"/>
      <c r="AF335" s="161">
        <f t="shared" si="67"/>
        <v>314066.6138806481</v>
      </c>
      <c r="AG335" s="161">
        <f t="shared" si="76"/>
        <v>249389.71957363855</v>
      </c>
      <c r="AH335" s="162">
        <f t="shared" si="77"/>
        <v>9.8179495412030438</v>
      </c>
      <c r="AI335" s="159"/>
      <c r="AJ335" s="157"/>
      <c r="AK335" s="157">
        <f t="shared" si="78"/>
        <v>9.327052064142892</v>
      </c>
      <c r="AN335" s="161">
        <f t="shared" si="79"/>
        <v>94219.984164194422</v>
      </c>
    </row>
    <row r="336" spans="1:40">
      <c r="A336" s="156">
        <f>'BD Plant List'!A335</f>
        <v>49827</v>
      </c>
      <c r="B336" s="148">
        <f t="shared" si="66"/>
        <v>40</v>
      </c>
      <c r="C336" s="148">
        <f t="shared" si="66"/>
        <v>10</v>
      </c>
      <c r="D336" s="148">
        <f t="shared" si="66"/>
        <v>56</v>
      </c>
      <c r="E336" s="148">
        <f t="shared" si="66"/>
        <v>70</v>
      </c>
      <c r="F336" s="148">
        <f t="shared" si="66"/>
        <v>9</v>
      </c>
      <c r="G336" s="148">
        <f t="shared" si="66"/>
        <v>50</v>
      </c>
      <c r="H336" s="148">
        <f t="shared" si="66"/>
        <v>39</v>
      </c>
      <c r="I336" s="148">
        <f t="shared" si="66"/>
        <v>39</v>
      </c>
      <c r="J336" s="148">
        <f t="shared" si="66"/>
        <v>100</v>
      </c>
      <c r="K336" s="148">
        <f t="shared" si="66"/>
        <v>26</v>
      </c>
      <c r="L336" s="148">
        <f t="shared" si="66"/>
        <v>7</v>
      </c>
      <c r="M336" s="148">
        <f t="shared" si="66"/>
        <v>12</v>
      </c>
      <c r="N336" s="148">
        <f t="shared" si="66"/>
        <v>10</v>
      </c>
      <c r="O336" s="148">
        <f t="shared" si="66"/>
        <v>105</v>
      </c>
      <c r="P336" s="148">
        <f t="shared" si="69"/>
        <v>573</v>
      </c>
      <c r="R336" s="148">
        <f>'Fuel Ethanol'!AC31</f>
        <v>118558.54872915208</v>
      </c>
      <c r="S336" s="157">
        <f t="shared" si="70"/>
        <v>31.319611817780107</v>
      </c>
      <c r="T336" s="154">
        <f t="shared" si="71"/>
        <v>0.64356574415862966</v>
      </c>
      <c r="V336" s="149">
        <f t="shared" si="72"/>
        <v>455</v>
      </c>
      <c r="W336" s="149">
        <f t="shared" si="73"/>
        <v>108</v>
      </c>
      <c r="X336" s="149">
        <f t="shared" si="74"/>
        <v>10</v>
      </c>
      <c r="Y336" s="149">
        <f t="shared" si="68"/>
        <v>573</v>
      </c>
      <c r="AA336" s="158">
        <f t="shared" si="75"/>
        <v>0.79406631762652702</v>
      </c>
      <c r="AB336" s="158">
        <f t="shared" si="75"/>
        <v>0.18848167539267016</v>
      </c>
      <c r="AC336" s="158">
        <f t="shared" si="75"/>
        <v>1.7452006980802792E-2</v>
      </c>
      <c r="AE336" s="148"/>
      <c r="AF336" s="161">
        <f t="shared" si="67"/>
        <v>312204.17832010053</v>
      </c>
      <c r="AG336" s="161">
        <f t="shared" si="76"/>
        <v>247910.82222625782</v>
      </c>
      <c r="AH336" s="162">
        <f t="shared" si="77"/>
        <v>9.7597284583210939</v>
      </c>
      <c r="AI336" s="159"/>
      <c r="AJ336" s="157"/>
      <c r="AK336" s="157">
        <f t="shared" si="78"/>
        <v>9.2717420354050386</v>
      </c>
      <c r="AN336" s="161">
        <f t="shared" si="79"/>
        <v>93661.253496030156</v>
      </c>
    </row>
    <row r="337" spans="1:40">
      <c r="A337" s="156">
        <f>'BD Plant List'!A336</f>
        <v>49857</v>
      </c>
      <c r="B337" s="148">
        <f t="shared" si="66"/>
        <v>40</v>
      </c>
      <c r="C337" s="148">
        <f t="shared" si="66"/>
        <v>10</v>
      </c>
      <c r="D337" s="148">
        <f t="shared" si="66"/>
        <v>56</v>
      </c>
      <c r="E337" s="148">
        <f t="shared" si="66"/>
        <v>70</v>
      </c>
      <c r="F337" s="148">
        <f t="shared" si="66"/>
        <v>9</v>
      </c>
      <c r="G337" s="148">
        <f t="shared" si="66"/>
        <v>50</v>
      </c>
      <c r="H337" s="148">
        <f t="shared" si="66"/>
        <v>39</v>
      </c>
      <c r="I337" s="148">
        <f t="shared" si="66"/>
        <v>39</v>
      </c>
      <c r="J337" s="148">
        <f t="shared" si="66"/>
        <v>100</v>
      </c>
      <c r="K337" s="148">
        <f t="shared" si="66"/>
        <v>26</v>
      </c>
      <c r="L337" s="148">
        <f t="shared" si="66"/>
        <v>7</v>
      </c>
      <c r="M337" s="148">
        <f t="shared" si="66"/>
        <v>12</v>
      </c>
      <c r="N337" s="148">
        <f t="shared" si="66"/>
        <v>10</v>
      </c>
      <c r="O337" s="148">
        <f t="shared" si="66"/>
        <v>105</v>
      </c>
      <c r="P337" s="148">
        <f t="shared" si="69"/>
        <v>573</v>
      </c>
      <c r="R337" s="148">
        <f>'Fuel Ethanol'!AC32</f>
        <v>130075.82553598656</v>
      </c>
      <c r="S337" s="157">
        <f t="shared" si="70"/>
        <v>34.362130831841576</v>
      </c>
      <c r="T337" s="154">
        <f t="shared" si="71"/>
        <v>0.72962057903561217</v>
      </c>
      <c r="V337" s="149">
        <f t="shared" si="72"/>
        <v>455</v>
      </c>
      <c r="W337" s="149">
        <f t="shared" si="73"/>
        <v>108</v>
      </c>
      <c r="X337" s="149">
        <f t="shared" si="74"/>
        <v>10</v>
      </c>
      <c r="Y337" s="149">
        <f t="shared" si="68"/>
        <v>573</v>
      </c>
      <c r="AA337" s="158">
        <f t="shared" si="75"/>
        <v>0.79406631762652702</v>
      </c>
      <c r="AB337" s="158">
        <f t="shared" si="75"/>
        <v>0.18848167539267016</v>
      </c>
      <c r="AC337" s="158">
        <f t="shared" si="75"/>
        <v>1.7452006980802792E-2</v>
      </c>
      <c r="AE337" s="148"/>
      <c r="AF337" s="161">
        <f t="shared" si="67"/>
        <v>342533.00724476459</v>
      </c>
      <c r="AG337" s="161">
        <f t="shared" si="76"/>
        <v>271993.92372839071</v>
      </c>
      <c r="AH337" s="162">
        <f t="shared" si="77"/>
        <v>10.707829589946913</v>
      </c>
      <c r="AI337" s="159"/>
      <c r="AJ337" s="157"/>
      <c r="AK337" s="157">
        <f t="shared" si="78"/>
        <v>10.172438110449567</v>
      </c>
      <c r="AN337" s="161">
        <f t="shared" si="79"/>
        <v>102759.90217342938</v>
      </c>
    </row>
    <row r="338" spans="1:40">
      <c r="A338" s="156">
        <f>'BD Plant List'!A337</f>
        <v>49888</v>
      </c>
      <c r="B338" s="148">
        <f t="shared" si="66"/>
        <v>40</v>
      </c>
      <c r="C338" s="148">
        <f t="shared" si="66"/>
        <v>10</v>
      </c>
      <c r="D338" s="148">
        <f t="shared" si="66"/>
        <v>56</v>
      </c>
      <c r="E338" s="148">
        <f t="shared" si="66"/>
        <v>70</v>
      </c>
      <c r="F338" s="148">
        <f t="shared" si="66"/>
        <v>9</v>
      </c>
      <c r="G338" s="148">
        <f t="shared" si="66"/>
        <v>50</v>
      </c>
      <c r="H338" s="148">
        <f t="shared" si="66"/>
        <v>39</v>
      </c>
      <c r="I338" s="148">
        <f t="shared" si="66"/>
        <v>39</v>
      </c>
      <c r="J338" s="148">
        <f t="shared" si="66"/>
        <v>100</v>
      </c>
      <c r="K338" s="148">
        <f t="shared" si="66"/>
        <v>26</v>
      </c>
      <c r="L338" s="148">
        <f t="shared" si="66"/>
        <v>7</v>
      </c>
      <c r="M338" s="148">
        <f t="shared" si="66"/>
        <v>12</v>
      </c>
      <c r="N338" s="148">
        <f t="shared" si="66"/>
        <v>10</v>
      </c>
      <c r="O338" s="148">
        <f t="shared" si="66"/>
        <v>105</v>
      </c>
      <c r="P338" s="148">
        <f t="shared" si="69"/>
        <v>573</v>
      </c>
      <c r="R338" s="148">
        <f>'Fuel Ethanol'!AC33</f>
        <v>130795.76357458034</v>
      </c>
      <c r="S338" s="157">
        <f t="shared" si="70"/>
        <v>34.552316863496891</v>
      </c>
      <c r="T338" s="154">
        <f t="shared" si="71"/>
        <v>0.70999243681677449</v>
      </c>
      <c r="V338" s="149">
        <f t="shared" si="72"/>
        <v>455</v>
      </c>
      <c r="W338" s="149">
        <f t="shared" si="73"/>
        <v>108</v>
      </c>
      <c r="X338" s="149">
        <f t="shared" si="74"/>
        <v>10</v>
      </c>
      <c r="Y338" s="149">
        <f t="shared" si="68"/>
        <v>573</v>
      </c>
      <c r="AA338" s="158">
        <f t="shared" si="75"/>
        <v>0.79406631762652702</v>
      </c>
      <c r="AB338" s="158">
        <f t="shared" si="75"/>
        <v>0.18848167539267016</v>
      </c>
      <c r="AC338" s="158">
        <f t="shared" si="75"/>
        <v>1.7452006980802792E-2</v>
      </c>
      <c r="AE338" s="148"/>
      <c r="AF338" s="161">
        <f t="shared" si="67"/>
        <v>344428.84407972824</v>
      </c>
      <c r="AG338" s="161">
        <f t="shared" si="76"/>
        <v>273499.34390275105</v>
      </c>
      <c r="AH338" s="162">
        <f t="shared" si="77"/>
        <v>10.767094820829112</v>
      </c>
      <c r="AI338" s="159"/>
      <c r="AJ338" s="157"/>
      <c r="AK338" s="157">
        <f t="shared" si="78"/>
        <v>10.228740079787656</v>
      </c>
      <c r="AN338" s="161">
        <f t="shared" si="79"/>
        <v>103328.65322391847</v>
      </c>
    </row>
    <row r="339" spans="1:40">
      <c r="A339" s="156">
        <f>'BD Plant List'!A338</f>
        <v>49919</v>
      </c>
      <c r="B339" s="148">
        <f t="shared" si="66"/>
        <v>40</v>
      </c>
      <c r="C339" s="148">
        <f t="shared" si="66"/>
        <v>10</v>
      </c>
      <c r="D339" s="148">
        <f t="shared" si="66"/>
        <v>56</v>
      </c>
      <c r="E339" s="148">
        <f t="shared" si="66"/>
        <v>70</v>
      </c>
      <c r="F339" s="148">
        <f t="shared" si="66"/>
        <v>9</v>
      </c>
      <c r="G339" s="148">
        <f t="shared" si="66"/>
        <v>50</v>
      </c>
      <c r="H339" s="148">
        <f t="shared" si="66"/>
        <v>39</v>
      </c>
      <c r="I339" s="148">
        <f t="shared" si="66"/>
        <v>39</v>
      </c>
      <c r="J339" s="148">
        <f t="shared" si="66"/>
        <v>100</v>
      </c>
      <c r="K339" s="148">
        <f t="shared" si="66"/>
        <v>26</v>
      </c>
      <c r="L339" s="148">
        <f t="shared" si="66"/>
        <v>7</v>
      </c>
      <c r="M339" s="148">
        <f t="shared" si="66"/>
        <v>12</v>
      </c>
      <c r="N339" s="148">
        <f t="shared" si="66"/>
        <v>10</v>
      </c>
      <c r="O339" s="148">
        <f t="shared" si="66"/>
        <v>105</v>
      </c>
      <c r="P339" s="148">
        <f t="shared" si="69"/>
        <v>573</v>
      </c>
      <c r="R339" s="148">
        <f>'Fuel Ethanol'!AC34</f>
        <v>114831.67663688272</v>
      </c>
      <c r="S339" s="157">
        <f t="shared" si="70"/>
        <v>30.335084017165311</v>
      </c>
      <c r="T339" s="154">
        <f t="shared" si="71"/>
        <v>0.62333534122982248</v>
      </c>
      <c r="V339" s="149">
        <f t="shared" si="72"/>
        <v>455</v>
      </c>
      <c r="W339" s="149">
        <f t="shared" si="73"/>
        <v>108</v>
      </c>
      <c r="X339" s="149">
        <f t="shared" si="74"/>
        <v>10</v>
      </c>
      <c r="Y339" s="149">
        <f t="shared" si="68"/>
        <v>573</v>
      </c>
      <c r="AA339" s="158">
        <f t="shared" si="75"/>
        <v>0.79406631762652702</v>
      </c>
      <c r="AB339" s="158">
        <f t="shared" si="75"/>
        <v>0.18848167539267016</v>
      </c>
      <c r="AC339" s="158">
        <f t="shared" si="75"/>
        <v>1.7452006980802792E-2</v>
      </c>
      <c r="AE339" s="148"/>
      <c r="AF339" s="161">
        <f t="shared" si="67"/>
        <v>302390.08181045786</v>
      </c>
      <c r="AG339" s="161">
        <f t="shared" si="76"/>
        <v>240117.77875001452</v>
      </c>
      <c r="AH339" s="162">
        <f t="shared" si="77"/>
        <v>9.4529327020526956</v>
      </c>
      <c r="AI339" s="159"/>
      <c r="AJ339" s="157"/>
      <c r="AK339" s="157">
        <f t="shared" si="78"/>
        <v>8.980286066950061</v>
      </c>
      <c r="AN339" s="161">
        <f t="shared" si="79"/>
        <v>90717.024543137362</v>
      </c>
    </row>
    <row r="340" spans="1:40">
      <c r="A340" s="156">
        <f>'BD Plant List'!A339</f>
        <v>49949</v>
      </c>
      <c r="B340" s="148">
        <f t="shared" si="66"/>
        <v>40</v>
      </c>
      <c r="C340" s="148">
        <f t="shared" si="66"/>
        <v>10</v>
      </c>
      <c r="D340" s="148">
        <f t="shared" si="66"/>
        <v>56</v>
      </c>
      <c r="E340" s="148">
        <f t="shared" si="66"/>
        <v>70</v>
      </c>
      <c r="F340" s="148">
        <f t="shared" si="66"/>
        <v>9</v>
      </c>
      <c r="G340" s="148">
        <f t="shared" si="66"/>
        <v>50</v>
      </c>
      <c r="H340" s="148">
        <f t="shared" si="66"/>
        <v>39</v>
      </c>
      <c r="I340" s="148">
        <f t="shared" si="66"/>
        <v>39</v>
      </c>
      <c r="J340" s="148">
        <f t="shared" si="66"/>
        <v>100</v>
      </c>
      <c r="K340" s="148">
        <f t="shared" si="66"/>
        <v>26</v>
      </c>
      <c r="L340" s="148">
        <f t="shared" si="66"/>
        <v>7</v>
      </c>
      <c r="M340" s="148">
        <f t="shared" si="66"/>
        <v>12</v>
      </c>
      <c r="N340" s="148">
        <f t="shared" si="66"/>
        <v>10</v>
      </c>
      <c r="O340" s="148">
        <f t="shared" si="66"/>
        <v>105</v>
      </c>
      <c r="P340" s="148">
        <f t="shared" si="69"/>
        <v>573</v>
      </c>
      <c r="R340" s="148">
        <f>'Fuel Ethanol'!AC35</f>
        <v>114205.24995307931</v>
      </c>
      <c r="S340" s="157">
        <f t="shared" si="70"/>
        <v>30.169600880104962</v>
      </c>
      <c r="T340" s="154">
        <f t="shared" si="71"/>
        <v>0.64059943695394472</v>
      </c>
      <c r="V340" s="149">
        <f t="shared" si="72"/>
        <v>455</v>
      </c>
      <c r="W340" s="149">
        <f t="shared" si="73"/>
        <v>108</v>
      </c>
      <c r="X340" s="149">
        <f t="shared" si="74"/>
        <v>10</v>
      </c>
      <c r="Y340" s="149">
        <f t="shared" si="68"/>
        <v>573</v>
      </c>
      <c r="AA340" s="158">
        <f t="shared" si="75"/>
        <v>0.79406631762652702</v>
      </c>
      <c r="AB340" s="158">
        <f t="shared" si="75"/>
        <v>0.18848167539267016</v>
      </c>
      <c r="AC340" s="158">
        <f t="shared" si="75"/>
        <v>1.7452006980802792E-2</v>
      </c>
      <c r="AE340" s="148"/>
      <c r="AF340" s="161">
        <f t="shared" si="67"/>
        <v>300740.49154310889</v>
      </c>
      <c r="AG340" s="161">
        <f t="shared" si="76"/>
        <v>238807.89468082818</v>
      </c>
      <c r="AH340" s="162">
        <f t="shared" si="77"/>
        <v>9.401365317005375</v>
      </c>
      <c r="AI340" s="159"/>
      <c r="AJ340" s="157"/>
      <c r="AK340" s="157">
        <f t="shared" si="78"/>
        <v>8.9312970511551057</v>
      </c>
      <c r="AN340" s="161">
        <f t="shared" si="79"/>
        <v>90222.147462932655</v>
      </c>
    </row>
    <row r="341" spans="1:40">
      <c r="A341" s="156">
        <f>'BD Plant List'!A340</f>
        <v>49980</v>
      </c>
      <c r="B341" s="148">
        <f t="shared" si="66"/>
        <v>40</v>
      </c>
      <c r="C341" s="148">
        <f t="shared" si="66"/>
        <v>10</v>
      </c>
      <c r="D341" s="148">
        <f t="shared" si="66"/>
        <v>56</v>
      </c>
      <c r="E341" s="148">
        <f t="shared" si="66"/>
        <v>70</v>
      </c>
      <c r="F341" s="148">
        <f t="shared" si="66"/>
        <v>9</v>
      </c>
      <c r="G341" s="148">
        <f t="shared" si="66"/>
        <v>50</v>
      </c>
      <c r="H341" s="148">
        <f t="shared" si="66"/>
        <v>39</v>
      </c>
      <c r="I341" s="148">
        <f t="shared" si="66"/>
        <v>39</v>
      </c>
      <c r="J341" s="148">
        <f t="shared" si="66"/>
        <v>100</v>
      </c>
      <c r="K341" s="148">
        <f t="shared" si="66"/>
        <v>26</v>
      </c>
      <c r="L341" s="148">
        <f t="shared" si="66"/>
        <v>7</v>
      </c>
      <c r="M341" s="148">
        <f t="shared" si="66"/>
        <v>12</v>
      </c>
      <c r="N341" s="148">
        <f t="shared" si="66"/>
        <v>10</v>
      </c>
      <c r="O341" s="148">
        <f t="shared" si="66"/>
        <v>105</v>
      </c>
      <c r="P341" s="148">
        <f t="shared" si="69"/>
        <v>573</v>
      </c>
      <c r="R341" s="148">
        <f>'Fuel Ethanol'!AC36</f>
        <v>127853.68487756416</v>
      </c>
      <c r="S341" s="157">
        <f t="shared" si="70"/>
        <v>33.775107934106124</v>
      </c>
      <c r="T341" s="154">
        <f t="shared" si="71"/>
        <v>0.69402209063495657</v>
      </c>
      <c r="V341" s="149">
        <f t="shared" si="72"/>
        <v>455</v>
      </c>
      <c r="W341" s="149">
        <f t="shared" si="73"/>
        <v>108</v>
      </c>
      <c r="X341" s="149">
        <f t="shared" si="74"/>
        <v>10</v>
      </c>
      <c r="Y341" s="149">
        <f t="shared" si="68"/>
        <v>573</v>
      </c>
      <c r="AA341" s="158">
        <f t="shared" si="75"/>
        <v>0.79406631762652702</v>
      </c>
      <c r="AB341" s="158">
        <f t="shared" si="75"/>
        <v>0.18848167539267016</v>
      </c>
      <c r="AC341" s="158">
        <f t="shared" si="75"/>
        <v>1.7452006980802792E-2</v>
      </c>
      <c r="AE341" s="148"/>
      <c r="AF341" s="161">
        <f t="shared" si="67"/>
        <v>336681.37017758563</v>
      </c>
      <c r="AG341" s="161">
        <f t="shared" si="76"/>
        <v>267347.33583036903</v>
      </c>
      <c r="AH341" s="162">
        <f t="shared" si="77"/>
        <v>10.524903182236384</v>
      </c>
      <c r="AI341" s="159"/>
      <c r="AJ341" s="157"/>
      <c r="AK341" s="157">
        <f t="shared" si="78"/>
        <v>9.9986580231245643</v>
      </c>
      <c r="AN341" s="161">
        <f t="shared" si="79"/>
        <v>101004.41105327569</v>
      </c>
    </row>
    <row r="342" spans="1:40">
      <c r="A342" s="156">
        <f>'BD Plant List'!A341</f>
        <v>50010</v>
      </c>
      <c r="B342" s="148">
        <f t="shared" si="66"/>
        <v>40</v>
      </c>
      <c r="C342" s="148">
        <f t="shared" si="66"/>
        <v>10</v>
      </c>
      <c r="D342" s="148">
        <f t="shared" si="66"/>
        <v>56</v>
      </c>
      <c r="E342" s="148">
        <f t="shared" si="66"/>
        <v>70</v>
      </c>
      <c r="F342" s="148">
        <f t="shared" si="66"/>
        <v>9</v>
      </c>
      <c r="G342" s="148">
        <f t="shared" si="66"/>
        <v>50</v>
      </c>
      <c r="H342" s="148">
        <f t="shared" si="66"/>
        <v>39</v>
      </c>
      <c r="I342" s="148">
        <f t="shared" si="66"/>
        <v>39</v>
      </c>
      <c r="J342" s="148">
        <f t="shared" si="66"/>
        <v>100</v>
      </c>
      <c r="K342" s="148">
        <f t="shared" si="66"/>
        <v>26</v>
      </c>
      <c r="L342" s="148">
        <f t="shared" si="66"/>
        <v>7</v>
      </c>
      <c r="M342" s="148">
        <f t="shared" si="66"/>
        <v>12</v>
      </c>
      <c r="N342" s="148">
        <f t="shared" si="66"/>
        <v>10</v>
      </c>
      <c r="O342" s="148">
        <f t="shared" si="66"/>
        <v>105</v>
      </c>
      <c r="P342" s="148">
        <f t="shared" si="69"/>
        <v>573</v>
      </c>
      <c r="R342" s="148">
        <f>'Fuel Ethanol'!AC37</f>
        <v>119440.79436339275</v>
      </c>
      <c r="S342" s="157">
        <f t="shared" si="70"/>
        <v>31.552674646977465</v>
      </c>
      <c r="T342" s="154">
        <f t="shared" si="71"/>
        <v>0.66996662281249408</v>
      </c>
      <c r="V342" s="149">
        <f t="shared" si="72"/>
        <v>455</v>
      </c>
      <c r="W342" s="149">
        <f t="shared" si="73"/>
        <v>108</v>
      </c>
      <c r="X342" s="149">
        <f t="shared" si="74"/>
        <v>10</v>
      </c>
      <c r="Y342" s="149">
        <f t="shared" si="68"/>
        <v>573</v>
      </c>
      <c r="AA342" s="158">
        <f t="shared" si="75"/>
        <v>0.79406631762652702</v>
      </c>
      <c r="AB342" s="158">
        <f t="shared" si="75"/>
        <v>0.18848167539267016</v>
      </c>
      <c r="AC342" s="158">
        <f t="shared" si="75"/>
        <v>1.7452006980802792E-2</v>
      </c>
      <c r="AE342" s="148"/>
      <c r="AF342" s="161">
        <f t="shared" si="67"/>
        <v>314527.42515693425</v>
      </c>
      <c r="AG342" s="161">
        <f t="shared" si="76"/>
        <v>249755.63428691984</v>
      </c>
      <c r="AH342" s="162">
        <f t="shared" si="77"/>
        <v>9.8323548350440326</v>
      </c>
      <c r="AI342" s="159"/>
      <c r="AJ342" s="157"/>
      <c r="AK342" s="157">
        <f t="shared" si="78"/>
        <v>9.3407370932918301</v>
      </c>
      <c r="AN342" s="161">
        <f t="shared" si="79"/>
        <v>94358.227547080271</v>
      </c>
    </row>
    <row r="343" spans="1:40">
      <c r="A343" s="156">
        <f>'BD Plant List'!A342</f>
        <v>50041</v>
      </c>
      <c r="B343" s="148">
        <f t="shared" si="66"/>
        <v>40</v>
      </c>
      <c r="C343" s="148">
        <f t="shared" si="66"/>
        <v>10</v>
      </c>
      <c r="D343" s="148">
        <f t="shared" si="66"/>
        <v>56</v>
      </c>
      <c r="E343" s="148">
        <f t="shared" si="66"/>
        <v>70</v>
      </c>
      <c r="F343" s="148">
        <f t="shared" si="66"/>
        <v>9</v>
      </c>
      <c r="G343" s="148">
        <f t="shared" si="66"/>
        <v>50</v>
      </c>
      <c r="H343" s="148">
        <f t="shared" si="66"/>
        <v>39</v>
      </c>
      <c r="I343" s="148">
        <f t="shared" si="66"/>
        <v>39</v>
      </c>
      <c r="J343" s="148">
        <f t="shared" si="66"/>
        <v>100</v>
      </c>
      <c r="K343" s="148">
        <f t="shared" si="66"/>
        <v>26</v>
      </c>
      <c r="L343" s="148">
        <f t="shared" si="66"/>
        <v>7</v>
      </c>
      <c r="M343" s="148">
        <f t="shared" si="66"/>
        <v>12</v>
      </c>
      <c r="N343" s="148">
        <f t="shared" si="66"/>
        <v>10</v>
      </c>
      <c r="O343" s="148">
        <f t="shared" si="66"/>
        <v>105</v>
      </c>
      <c r="P343" s="148">
        <f t="shared" si="69"/>
        <v>573</v>
      </c>
      <c r="R343" s="148">
        <f>'Fuel Ethanol'!AD26</f>
        <v>123460.24959380446</v>
      </c>
      <c r="S343" s="157">
        <f t="shared" si="70"/>
        <v>32.614494135195329</v>
      </c>
      <c r="T343" s="154">
        <f t="shared" si="71"/>
        <v>0.67017341436391908</v>
      </c>
      <c r="V343" s="149">
        <f t="shared" si="72"/>
        <v>455</v>
      </c>
      <c r="W343" s="149">
        <f t="shared" si="73"/>
        <v>108</v>
      </c>
      <c r="X343" s="149">
        <f t="shared" si="74"/>
        <v>10</v>
      </c>
      <c r="Y343" s="149">
        <f t="shared" si="68"/>
        <v>573</v>
      </c>
      <c r="AA343" s="158">
        <f t="shared" si="75"/>
        <v>0.79406631762652702</v>
      </c>
      <c r="AB343" s="158">
        <f t="shared" si="75"/>
        <v>0.18848167539267016</v>
      </c>
      <c r="AC343" s="158">
        <f t="shared" si="75"/>
        <v>1.7452006980802792E-2</v>
      </c>
      <c r="AE343" s="148"/>
      <c r="AF343" s="161">
        <f t="shared" si="67"/>
        <v>325111.99059701845</v>
      </c>
      <c r="AG343" s="161">
        <f t="shared" si="76"/>
        <v>258160.48118960453</v>
      </c>
      <c r="AH343" s="162">
        <f t="shared" si="77"/>
        <v>10.163236007424231</v>
      </c>
      <c r="AI343" s="159"/>
      <c r="AJ343" s="157"/>
      <c r="AK343" s="157">
        <f t="shared" si="78"/>
        <v>9.6550742070530191</v>
      </c>
      <c r="AN343" s="161">
        <f t="shared" si="79"/>
        <v>97533.597179105534</v>
      </c>
    </row>
    <row r="344" spans="1:40">
      <c r="A344" s="156">
        <f>'BD Plant List'!A343</f>
        <v>50072</v>
      </c>
      <c r="B344" s="148">
        <f t="shared" si="66"/>
        <v>40</v>
      </c>
      <c r="C344" s="148">
        <f t="shared" si="66"/>
        <v>10</v>
      </c>
      <c r="D344" s="148">
        <f t="shared" si="66"/>
        <v>56</v>
      </c>
      <c r="E344" s="148">
        <f t="shared" ref="E344:R362" si="80">E$4</f>
        <v>70</v>
      </c>
      <c r="F344" s="148">
        <f t="shared" si="80"/>
        <v>9</v>
      </c>
      <c r="G344" s="148">
        <f t="shared" si="80"/>
        <v>50</v>
      </c>
      <c r="H344" s="148">
        <f t="shared" si="80"/>
        <v>39</v>
      </c>
      <c r="I344" s="148">
        <f t="shared" si="80"/>
        <v>39</v>
      </c>
      <c r="J344" s="148">
        <f t="shared" si="80"/>
        <v>100</v>
      </c>
      <c r="K344" s="148">
        <f t="shared" si="80"/>
        <v>26</v>
      </c>
      <c r="L344" s="148">
        <f t="shared" si="80"/>
        <v>7</v>
      </c>
      <c r="M344" s="148">
        <f t="shared" si="80"/>
        <v>12</v>
      </c>
      <c r="N344" s="148">
        <f t="shared" si="80"/>
        <v>10</v>
      </c>
      <c r="O344" s="148">
        <f t="shared" si="80"/>
        <v>105</v>
      </c>
      <c r="P344" s="148">
        <f t="shared" si="69"/>
        <v>573</v>
      </c>
      <c r="R344" s="163">
        <f>Ethanol!AC15</f>
        <v>117180.82175305675</v>
      </c>
      <c r="S344" s="157">
        <f t="shared" si="70"/>
        <v>30.955657682505006</v>
      </c>
      <c r="T344" s="154">
        <f t="shared" si="71"/>
        <v>0.63608709419097709</v>
      </c>
      <c r="V344" s="149">
        <f t="shared" si="72"/>
        <v>455</v>
      </c>
      <c r="W344" s="149">
        <f t="shared" si="73"/>
        <v>108</v>
      </c>
      <c r="X344" s="149">
        <f t="shared" si="74"/>
        <v>10</v>
      </c>
      <c r="Y344" s="149">
        <f t="shared" si="68"/>
        <v>573</v>
      </c>
      <c r="AA344" s="158">
        <f t="shared" si="75"/>
        <v>0.79406631762652702</v>
      </c>
      <c r="AB344" s="158">
        <f t="shared" si="75"/>
        <v>0.18848167539267016</v>
      </c>
      <c r="AC344" s="158">
        <f t="shared" si="75"/>
        <v>1.7452006980802792E-2</v>
      </c>
      <c r="AE344" s="148"/>
      <c r="AF344" s="161">
        <f t="shared" si="67"/>
        <v>308576.16394971614</v>
      </c>
      <c r="AG344" s="161">
        <f t="shared" si="76"/>
        <v>245029.93821487058</v>
      </c>
      <c r="AH344" s="162">
        <f t="shared" si="77"/>
        <v>9.6463141046492034</v>
      </c>
      <c r="AI344" s="159"/>
      <c r="AJ344" s="157"/>
      <c r="AK344" s="157">
        <f t="shared" si="78"/>
        <v>9.1639983994167427</v>
      </c>
      <c r="AN344" s="161">
        <f t="shared" si="79"/>
        <v>92572.849184914841</v>
      </c>
    </row>
    <row r="345" spans="1:40">
      <c r="A345" s="156">
        <f>'BD Plant List'!A344</f>
        <v>50100</v>
      </c>
      <c r="B345" s="148">
        <f t="shared" ref="B345:O363" si="81">B$4</f>
        <v>40</v>
      </c>
      <c r="C345" s="148">
        <f t="shared" si="81"/>
        <v>10</v>
      </c>
      <c r="D345" s="148">
        <f t="shared" si="81"/>
        <v>56</v>
      </c>
      <c r="E345" s="148">
        <f t="shared" si="81"/>
        <v>70</v>
      </c>
      <c r="F345" s="148">
        <f t="shared" si="81"/>
        <v>9</v>
      </c>
      <c r="G345" s="148">
        <f t="shared" si="81"/>
        <v>50</v>
      </c>
      <c r="H345" s="148">
        <f t="shared" si="81"/>
        <v>39</v>
      </c>
      <c r="I345" s="148">
        <f t="shared" si="81"/>
        <v>39</v>
      </c>
      <c r="J345" s="148">
        <f t="shared" si="81"/>
        <v>100</v>
      </c>
      <c r="K345" s="148">
        <f t="shared" si="81"/>
        <v>26</v>
      </c>
      <c r="L345" s="148">
        <f t="shared" si="81"/>
        <v>7</v>
      </c>
      <c r="M345" s="148">
        <f t="shared" si="81"/>
        <v>12</v>
      </c>
      <c r="N345" s="148">
        <f t="shared" si="81"/>
        <v>10</v>
      </c>
      <c r="O345" s="148">
        <f t="shared" si="81"/>
        <v>105</v>
      </c>
      <c r="P345" s="148">
        <f t="shared" si="69"/>
        <v>573</v>
      </c>
      <c r="R345" s="163">
        <f>Ethanol!AC16</f>
        <v>127298.04379509548</v>
      </c>
      <c r="S345" s="157">
        <f t="shared" si="70"/>
        <v>33.628324229350376</v>
      </c>
      <c r="T345" s="154">
        <f t="shared" si="71"/>
        <v>0.7650422802114738</v>
      </c>
      <c r="V345" s="149">
        <f t="shared" si="72"/>
        <v>455</v>
      </c>
      <c r="W345" s="149">
        <f t="shared" si="73"/>
        <v>108</v>
      </c>
      <c r="X345" s="149">
        <f t="shared" si="74"/>
        <v>10</v>
      </c>
      <c r="Y345" s="149">
        <f t="shared" si="68"/>
        <v>573</v>
      </c>
      <c r="AA345" s="158">
        <f t="shared" si="75"/>
        <v>0.79406631762652702</v>
      </c>
      <c r="AB345" s="158">
        <f t="shared" si="75"/>
        <v>0.18848167539267016</v>
      </c>
      <c r="AC345" s="158">
        <f t="shared" si="75"/>
        <v>1.7452006980802792E-2</v>
      </c>
      <c r="AE345" s="148"/>
      <c r="AF345" s="161">
        <f t="shared" si="67"/>
        <v>335218.18199375144</v>
      </c>
      <c r="AG345" s="161">
        <f t="shared" si="76"/>
        <v>266185.46737723716</v>
      </c>
      <c r="AH345" s="162">
        <f t="shared" si="77"/>
        <v>10.479162861160335</v>
      </c>
      <c r="AI345" s="159"/>
      <c r="AJ345" s="157"/>
      <c r="AK345" s="157">
        <f t="shared" si="78"/>
        <v>9.9552047181023173</v>
      </c>
      <c r="AN345" s="161">
        <f t="shared" si="79"/>
        <v>100565.45459812543</v>
      </c>
    </row>
    <row r="346" spans="1:40">
      <c r="A346" s="156">
        <f>'BD Plant List'!A345</f>
        <v>50131</v>
      </c>
      <c r="B346" s="148">
        <f t="shared" si="81"/>
        <v>40</v>
      </c>
      <c r="C346" s="148">
        <f t="shared" si="81"/>
        <v>10</v>
      </c>
      <c r="D346" s="148">
        <f t="shared" si="81"/>
        <v>56</v>
      </c>
      <c r="E346" s="148">
        <f t="shared" si="81"/>
        <v>70</v>
      </c>
      <c r="F346" s="148">
        <f t="shared" si="81"/>
        <v>9</v>
      </c>
      <c r="G346" s="148">
        <f t="shared" si="81"/>
        <v>50</v>
      </c>
      <c r="H346" s="148">
        <f t="shared" si="81"/>
        <v>39</v>
      </c>
      <c r="I346" s="148">
        <f t="shared" si="81"/>
        <v>39</v>
      </c>
      <c r="J346" s="148">
        <f t="shared" si="81"/>
        <v>100</v>
      </c>
      <c r="K346" s="148">
        <f t="shared" si="81"/>
        <v>26</v>
      </c>
      <c r="L346" s="148">
        <f t="shared" si="81"/>
        <v>7</v>
      </c>
      <c r="M346" s="148">
        <f t="shared" si="81"/>
        <v>12</v>
      </c>
      <c r="N346" s="148">
        <f t="shared" si="81"/>
        <v>10</v>
      </c>
      <c r="O346" s="148">
        <f t="shared" si="81"/>
        <v>105</v>
      </c>
      <c r="P346" s="148">
        <f t="shared" si="69"/>
        <v>573</v>
      </c>
      <c r="R346" s="163">
        <f>Ethanol!AC17</f>
        <v>114728.40614583746</v>
      </c>
      <c r="S346" s="157">
        <f t="shared" si="70"/>
        <v>30.307803051545886</v>
      </c>
      <c r="T346" s="154">
        <f t="shared" si="71"/>
        <v>0.6227747629237318</v>
      </c>
      <c r="V346" s="149">
        <f t="shared" si="72"/>
        <v>455</v>
      </c>
      <c r="W346" s="149">
        <f t="shared" si="73"/>
        <v>108</v>
      </c>
      <c r="X346" s="149">
        <f t="shared" si="74"/>
        <v>10</v>
      </c>
      <c r="Y346" s="149">
        <f t="shared" si="68"/>
        <v>573</v>
      </c>
      <c r="AA346" s="158">
        <f t="shared" si="75"/>
        <v>0.79406631762652702</v>
      </c>
      <c r="AB346" s="158">
        <f t="shared" si="75"/>
        <v>0.18848167539267016</v>
      </c>
      <c r="AC346" s="158">
        <f t="shared" si="75"/>
        <v>1.7452006980802792E-2</v>
      </c>
      <c r="AE346" s="148"/>
      <c r="AF346" s="161">
        <f t="shared" si="67"/>
        <v>302118.13618403871</v>
      </c>
      <c r="AG346" s="161">
        <f t="shared" si="76"/>
        <v>239901.83588784921</v>
      </c>
      <c r="AH346" s="162">
        <f t="shared" si="77"/>
        <v>9.4444314850492592</v>
      </c>
      <c r="AI346" s="159"/>
      <c r="AJ346" s="157"/>
      <c r="AK346" s="157">
        <f t="shared" si="78"/>
        <v>8.9722099107967956</v>
      </c>
      <c r="AN346" s="161">
        <f t="shared" si="79"/>
        <v>90635.440855211607</v>
      </c>
    </row>
    <row r="347" spans="1:40">
      <c r="A347" s="156">
        <f>'BD Plant List'!A346</f>
        <v>50161</v>
      </c>
      <c r="B347" s="148">
        <f t="shared" si="81"/>
        <v>40</v>
      </c>
      <c r="C347" s="148">
        <f t="shared" si="81"/>
        <v>10</v>
      </c>
      <c r="D347" s="148">
        <f t="shared" si="81"/>
        <v>56</v>
      </c>
      <c r="E347" s="148">
        <f t="shared" si="81"/>
        <v>70</v>
      </c>
      <c r="F347" s="148">
        <f t="shared" si="81"/>
        <v>9</v>
      </c>
      <c r="G347" s="148">
        <f t="shared" si="81"/>
        <v>50</v>
      </c>
      <c r="H347" s="148">
        <f t="shared" si="81"/>
        <v>39</v>
      </c>
      <c r="I347" s="148">
        <f t="shared" si="81"/>
        <v>39</v>
      </c>
      <c r="J347" s="148">
        <f t="shared" si="81"/>
        <v>100</v>
      </c>
      <c r="K347" s="148">
        <f t="shared" si="81"/>
        <v>26</v>
      </c>
      <c r="L347" s="148">
        <f t="shared" si="81"/>
        <v>7</v>
      </c>
      <c r="M347" s="148">
        <f t="shared" si="81"/>
        <v>12</v>
      </c>
      <c r="N347" s="148">
        <f t="shared" si="81"/>
        <v>10</v>
      </c>
      <c r="O347" s="148">
        <f t="shared" si="81"/>
        <v>105</v>
      </c>
      <c r="P347" s="148">
        <f t="shared" si="69"/>
        <v>573</v>
      </c>
      <c r="R347" s="163">
        <f>Ethanol!AC18</f>
        <v>118321.83620670457</v>
      </c>
      <c r="S347" s="157">
        <f t="shared" si="70"/>
        <v>31.257079470725149</v>
      </c>
      <c r="T347" s="154">
        <f t="shared" si="71"/>
        <v>0.66369016909916689</v>
      </c>
      <c r="V347" s="149">
        <f t="shared" si="72"/>
        <v>455</v>
      </c>
      <c r="W347" s="149">
        <f t="shared" si="73"/>
        <v>108</v>
      </c>
      <c r="X347" s="149">
        <f t="shared" si="74"/>
        <v>10</v>
      </c>
      <c r="Y347" s="149">
        <f t="shared" si="68"/>
        <v>573</v>
      </c>
      <c r="AA347" s="158">
        <f t="shared" si="75"/>
        <v>0.79406631762652702</v>
      </c>
      <c r="AB347" s="158">
        <f t="shared" si="75"/>
        <v>0.18848167539267016</v>
      </c>
      <c r="AC347" s="158">
        <f t="shared" si="75"/>
        <v>1.7452006980802792E-2</v>
      </c>
      <c r="AE347" s="148"/>
      <c r="AF347" s="161">
        <f t="shared" si="67"/>
        <v>311580.83534432208</v>
      </c>
      <c r="AG347" s="161">
        <f t="shared" si="76"/>
        <v>247415.84656486308</v>
      </c>
      <c r="AH347" s="162">
        <f t="shared" si="77"/>
        <v>9.7402423059808729</v>
      </c>
      <c r="AI347" s="159"/>
      <c r="AJ347" s="157"/>
      <c r="AK347" s="157">
        <f t="shared" si="78"/>
        <v>9.2532301906818297</v>
      </c>
      <c r="AN347" s="161">
        <f t="shared" si="79"/>
        <v>93474.250603296619</v>
      </c>
    </row>
    <row r="348" spans="1:40">
      <c r="A348" s="156">
        <f>'BD Plant List'!A347</f>
        <v>50192</v>
      </c>
      <c r="B348" s="148">
        <f t="shared" si="81"/>
        <v>40</v>
      </c>
      <c r="C348" s="148">
        <f t="shared" si="81"/>
        <v>10</v>
      </c>
      <c r="D348" s="148">
        <f t="shared" si="81"/>
        <v>56</v>
      </c>
      <c r="E348" s="148">
        <f t="shared" si="81"/>
        <v>70</v>
      </c>
      <c r="F348" s="148">
        <f t="shared" si="81"/>
        <v>9</v>
      </c>
      <c r="G348" s="148">
        <f t="shared" si="81"/>
        <v>50</v>
      </c>
      <c r="H348" s="148">
        <f t="shared" si="81"/>
        <v>39</v>
      </c>
      <c r="I348" s="148">
        <f t="shared" si="81"/>
        <v>39</v>
      </c>
      <c r="J348" s="148">
        <f t="shared" si="81"/>
        <v>100</v>
      </c>
      <c r="K348" s="148">
        <f t="shared" si="81"/>
        <v>26</v>
      </c>
      <c r="L348" s="148">
        <f t="shared" si="81"/>
        <v>7</v>
      </c>
      <c r="M348" s="148">
        <f t="shared" si="81"/>
        <v>12</v>
      </c>
      <c r="N348" s="148">
        <f t="shared" si="81"/>
        <v>10</v>
      </c>
      <c r="O348" s="148">
        <f t="shared" si="81"/>
        <v>105</v>
      </c>
      <c r="P348" s="148">
        <f t="shared" si="69"/>
        <v>573</v>
      </c>
      <c r="R348" s="163">
        <f>Ethanol!AC19</f>
        <v>117640.52245541976</v>
      </c>
      <c r="S348" s="157">
        <f t="shared" si="70"/>
        <v>31.07709681704824</v>
      </c>
      <c r="T348" s="154">
        <f t="shared" si="71"/>
        <v>0.63858246569963439</v>
      </c>
      <c r="V348" s="149">
        <f t="shared" si="72"/>
        <v>455</v>
      </c>
      <c r="W348" s="149">
        <f t="shared" si="73"/>
        <v>108</v>
      </c>
      <c r="X348" s="149">
        <f t="shared" si="74"/>
        <v>10</v>
      </c>
      <c r="Y348" s="149">
        <f t="shared" si="68"/>
        <v>573</v>
      </c>
      <c r="AA348" s="158">
        <f t="shared" si="75"/>
        <v>0.79406631762652702</v>
      </c>
      <c r="AB348" s="158">
        <f t="shared" si="75"/>
        <v>0.18848167539267016</v>
      </c>
      <c r="AC348" s="158">
        <f t="shared" si="75"/>
        <v>1.7452006980802792E-2</v>
      </c>
      <c r="AE348" s="148"/>
      <c r="AF348" s="161">
        <f t="shared" si="67"/>
        <v>309786.70913260541</v>
      </c>
      <c r="AG348" s="161">
        <f t="shared" si="76"/>
        <v>245991.19137056798</v>
      </c>
      <c r="AH348" s="162">
        <f t="shared" si="77"/>
        <v>9.6841566227573832</v>
      </c>
      <c r="AI348" s="159"/>
      <c r="AJ348" s="157"/>
      <c r="AK348" s="157">
        <f t="shared" si="78"/>
        <v>9.199948791619514</v>
      </c>
      <c r="AN348" s="161">
        <f t="shared" si="79"/>
        <v>92936.01273978161</v>
      </c>
    </row>
    <row r="349" spans="1:40">
      <c r="A349" s="156">
        <f>'BD Plant List'!A348</f>
        <v>50222</v>
      </c>
      <c r="B349" s="148">
        <f t="shared" si="81"/>
        <v>40</v>
      </c>
      <c r="C349" s="148">
        <f t="shared" si="81"/>
        <v>10</v>
      </c>
      <c r="D349" s="148">
        <f t="shared" si="81"/>
        <v>56</v>
      </c>
      <c r="E349" s="148">
        <f t="shared" si="81"/>
        <v>70</v>
      </c>
      <c r="F349" s="148">
        <f t="shared" si="81"/>
        <v>9</v>
      </c>
      <c r="G349" s="148">
        <f t="shared" si="81"/>
        <v>50</v>
      </c>
      <c r="H349" s="148">
        <f t="shared" si="81"/>
        <v>39</v>
      </c>
      <c r="I349" s="148">
        <f t="shared" si="81"/>
        <v>39</v>
      </c>
      <c r="J349" s="148">
        <f t="shared" si="81"/>
        <v>100</v>
      </c>
      <c r="K349" s="148">
        <f t="shared" si="81"/>
        <v>26</v>
      </c>
      <c r="L349" s="148">
        <f t="shared" si="81"/>
        <v>7</v>
      </c>
      <c r="M349" s="148">
        <f t="shared" si="81"/>
        <v>12</v>
      </c>
      <c r="N349" s="148">
        <f t="shared" si="81"/>
        <v>10</v>
      </c>
      <c r="O349" s="148">
        <f t="shared" si="81"/>
        <v>105</v>
      </c>
      <c r="P349" s="148">
        <f t="shared" si="69"/>
        <v>573</v>
      </c>
      <c r="R349" s="163">
        <f>Ethanol!AC20</f>
        <v>129073.2786073287</v>
      </c>
      <c r="S349" s="157">
        <f t="shared" si="70"/>
        <v>34.097288009698026</v>
      </c>
      <c r="T349" s="154">
        <f t="shared" si="71"/>
        <v>0.72399709851889349</v>
      </c>
      <c r="V349" s="149">
        <f t="shared" si="72"/>
        <v>455</v>
      </c>
      <c r="W349" s="149">
        <f t="shared" si="73"/>
        <v>108</v>
      </c>
      <c r="X349" s="149">
        <f t="shared" si="74"/>
        <v>10</v>
      </c>
      <c r="Y349" s="149">
        <f t="shared" si="68"/>
        <v>573</v>
      </c>
      <c r="AA349" s="158">
        <f t="shared" si="75"/>
        <v>0.79406631762652702</v>
      </c>
      <c r="AB349" s="158">
        <f t="shared" si="75"/>
        <v>0.18848167539267016</v>
      </c>
      <c r="AC349" s="158">
        <f t="shared" si="75"/>
        <v>1.7452006980802792E-2</v>
      </c>
      <c r="AE349" s="148"/>
      <c r="AF349" s="161">
        <f t="shared" si="67"/>
        <v>339892.96699929889</v>
      </c>
      <c r="AG349" s="161">
        <f t="shared" si="76"/>
        <v>269897.55669228797</v>
      </c>
      <c r="AH349" s="162">
        <f t="shared" si="77"/>
        <v>10.625300022106323</v>
      </c>
      <c r="AI349" s="159"/>
      <c r="AJ349" s="157"/>
      <c r="AK349" s="157">
        <f t="shared" si="78"/>
        <v>10.094035021001007</v>
      </c>
      <c r="AN349" s="161">
        <f t="shared" si="79"/>
        <v>101967.89009978967</v>
      </c>
    </row>
    <row r="350" spans="1:40">
      <c r="A350" s="156">
        <f>'BD Plant List'!A349</f>
        <v>50253</v>
      </c>
      <c r="B350" s="148">
        <f t="shared" si="81"/>
        <v>40</v>
      </c>
      <c r="C350" s="148">
        <f t="shared" si="81"/>
        <v>10</v>
      </c>
      <c r="D350" s="148">
        <f t="shared" si="81"/>
        <v>56</v>
      </c>
      <c r="E350" s="148">
        <f t="shared" si="81"/>
        <v>70</v>
      </c>
      <c r="F350" s="148">
        <f t="shared" si="81"/>
        <v>9</v>
      </c>
      <c r="G350" s="148">
        <f t="shared" si="81"/>
        <v>50</v>
      </c>
      <c r="H350" s="148">
        <f t="shared" si="81"/>
        <v>39</v>
      </c>
      <c r="I350" s="148">
        <f t="shared" si="81"/>
        <v>39</v>
      </c>
      <c r="J350" s="148">
        <f t="shared" si="81"/>
        <v>100</v>
      </c>
      <c r="K350" s="148">
        <f t="shared" si="81"/>
        <v>26</v>
      </c>
      <c r="L350" s="148">
        <f t="shared" si="81"/>
        <v>7</v>
      </c>
      <c r="M350" s="148">
        <f t="shared" si="81"/>
        <v>12</v>
      </c>
      <c r="N350" s="148">
        <f t="shared" si="81"/>
        <v>10</v>
      </c>
      <c r="O350" s="148">
        <f t="shared" si="81"/>
        <v>105</v>
      </c>
      <c r="P350" s="148">
        <f t="shared" si="69"/>
        <v>573</v>
      </c>
      <c r="R350" s="163">
        <f>Ethanol!AC21</f>
        <v>129772.18125430073</v>
      </c>
      <c r="S350" s="157">
        <f t="shared" si="70"/>
        <v>34.281917121948624</v>
      </c>
      <c r="T350" s="154">
        <f t="shared" si="71"/>
        <v>0.70443617347921217</v>
      </c>
      <c r="V350" s="149">
        <f t="shared" si="72"/>
        <v>455</v>
      </c>
      <c r="W350" s="149">
        <f t="shared" si="73"/>
        <v>108</v>
      </c>
      <c r="X350" s="149">
        <f t="shared" si="74"/>
        <v>10</v>
      </c>
      <c r="Y350" s="149">
        <f t="shared" si="68"/>
        <v>573</v>
      </c>
      <c r="AA350" s="158">
        <f t="shared" si="75"/>
        <v>0.79406631762652702</v>
      </c>
      <c r="AB350" s="158">
        <f t="shared" si="75"/>
        <v>0.18848167539267016</v>
      </c>
      <c r="AC350" s="158">
        <f t="shared" si="75"/>
        <v>1.7452006980802792E-2</v>
      </c>
      <c r="AE350" s="148"/>
      <c r="AF350" s="161">
        <f t="shared" si="67"/>
        <v>341733.41063632531</v>
      </c>
      <c r="AG350" s="161">
        <f t="shared" si="76"/>
        <v>271358.99099394068</v>
      </c>
      <c r="AH350" s="162">
        <f t="shared" si="77"/>
        <v>10.682833621550357</v>
      </c>
      <c r="AI350" s="159"/>
      <c r="AJ350" s="157"/>
      <c r="AK350" s="157">
        <f t="shared" si="78"/>
        <v>10.148691940472839</v>
      </c>
      <c r="AN350" s="161">
        <f t="shared" si="79"/>
        <v>102520.02319089758</v>
      </c>
    </row>
    <row r="351" spans="1:40">
      <c r="A351" s="156">
        <f>'BD Plant List'!A350</f>
        <v>50284</v>
      </c>
      <c r="B351" s="148">
        <f t="shared" si="81"/>
        <v>40</v>
      </c>
      <c r="C351" s="148">
        <f t="shared" si="81"/>
        <v>10</v>
      </c>
      <c r="D351" s="148">
        <f t="shared" si="81"/>
        <v>56</v>
      </c>
      <c r="E351" s="148">
        <f t="shared" si="81"/>
        <v>70</v>
      </c>
      <c r="F351" s="148">
        <f t="shared" si="81"/>
        <v>9</v>
      </c>
      <c r="G351" s="148">
        <f t="shared" si="81"/>
        <v>50</v>
      </c>
      <c r="H351" s="148">
        <f t="shared" si="81"/>
        <v>39</v>
      </c>
      <c r="I351" s="148">
        <f t="shared" si="81"/>
        <v>39</v>
      </c>
      <c r="J351" s="148">
        <f t="shared" si="81"/>
        <v>100</v>
      </c>
      <c r="K351" s="148">
        <f t="shared" si="81"/>
        <v>26</v>
      </c>
      <c r="L351" s="148">
        <f t="shared" si="81"/>
        <v>7</v>
      </c>
      <c r="M351" s="148">
        <f t="shared" si="81"/>
        <v>12</v>
      </c>
      <c r="N351" s="148">
        <f t="shared" si="81"/>
        <v>10</v>
      </c>
      <c r="O351" s="148">
        <f t="shared" si="81"/>
        <v>105</v>
      </c>
      <c r="P351" s="148">
        <f t="shared" si="69"/>
        <v>573</v>
      </c>
      <c r="R351" s="163">
        <f>Ethanol!AC22</f>
        <v>113947.35868103507</v>
      </c>
      <c r="S351" s="157">
        <f t="shared" si="70"/>
        <v>30.101473742769038</v>
      </c>
      <c r="T351" s="154">
        <f t="shared" si="71"/>
        <v>0.61853504003325444</v>
      </c>
      <c r="V351" s="149">
        <f t="shared" si="72"/>
        <v>455</v>
      </c>
      <c r="W351" s="149">
        <f t="shared" si="73"/>
        <v>108</v>
      </c>
      <c r="X351" s="149">
        <f t="shared" si="74"/>
        <v>10</v>
      </c>
      <c r="Y351" s="149">
        <f t="shared" si="68"/>
        <v>573</v>
      </c>
      <c r="AA351" s="158">
        <f t="shared" si="75"/>
        <v>0.79406631762652702</v>
      </c>
      <c r="AB351" s="158">
        <f t="shared" si="75"/>
        <v>0.18848167539267016</v>
      </c>
      <c r="AC351" s="158">
        <f t="shared" si="75"/>
        <v>1.7452006980802792E-2</v>
      </c>
      <c r="AE351" s="148"/>
      <c r="AF351" s="161">
        <f t="shared" si="67"/>
        <v>300061.37786005909</v>
      </c>
      <c r="AG351" s="161">
        <f t="shared" si="76"/>
        <v>238268.63337927902</v>
      </c>
      <c r="AH351" s="162">
        <f t="shared" si="77"/>
        <v>9.3801357320121195</v>
      </c>
      <c r="AI351" s="159"/>
      <c r="AJ351" s="157"/>
      <c r="AK351" s="157">
        <f t="shared" si="78"/>
        <v>8.9111289454115123</v>
      </c>
      <c r="AN351" s="161">
        <f t="shared" si="79"/>
        <v>90018.413358017715</v>
      </c>
    </row>
    <row r="352" spans="1:40">
      <c r="A352" s="156">
        <f>'BD Plant List'!A351</f>
        <v>50314</v>
      </c>
      <c r="B352" s="148">
        <f t="shared" si="81"/>
        <v>40</v>
      </c>
      <c r="C352" s="148">
        <f t="shared" si="81"/>
        <v>10</v>
      </c>
      <c r="D352" s="148">
        <f t="shared" si="81"/>
        <v>56</v>
      </c>
      <c r="E352" s="148">
        <f t="shared" si="81"/>
        <v>70</v>
      </c>
      <c r="F352" s="148">
        <f t="shared" si="81"/>
        <v>9</v>
      </c>
      <c r="G352" s="148">
        <f t="shared" si="81"/>
        <v>50</v>
      </c>
      <c r="H352" s="148">
        <f t="shared" si="81"/>
        <v>39</v>
      </c>
      <c r="I352" s="148">
        <f t="shared" si="81"/>
        <v>39</v>
      </c>
      <c r="J352" s="148">
        <f t="shared" si="81"/>
        <v>100</v>
      </c>
      <c r="K352" s="148">
        <f t="shared" si="81"/>
        <v>26</v>
      </c>
      <c r="L352" s="148">
        <f t="shared" si="81"/>
        <v>7</v>
      </c>
      <c r="M352" s="148">
        <f t="shared" si="81"/>
        <v>12</v>
      </c>
      <c r="N352" s="148">
        <f t="shared" si="81"/>
        <v>10</v>
      </c>
      <c r="O352" s="148">
        <f t="shared" si="81"/>
        <v>105</v>
      </c>
      <c r="P352" s="148">
        <f t="shared" si="69"/>
        <v>573</v>
      </c>
      <c r="R352" s="163">
        <f>Ethanol!AC23</f>
        <v>113311.668751057</v>
      </c>
      <c r="S352" s="157">
        <f t="shared" si="70"/>
        <v>29.933543533966731</v>
      </c>
      <c r="T352" s="154">
        <f t="shared" si="71"/>
        <v>0.63558716636985779</v>
      </c>
      <c r="V352" s="149">
        <f t="shared" si="72"/>
        <v>455</v>
      </c>
      <c r="W352" s="149">
        <f t="shared" si="73"/>
        <v>108</v>
      </c>
      <c r="X352" s="149">
        <f t="shared" si="74"/>
        <v>10</v>
      </c>
      <c r="Y352" s="149">
        <f t="shared" si="68"/>
        <v>573</v>
      </c>
      <c r="AA352" s="158">
        <f t="shared" si="75"/>
        <v>0.79406631762652702</v>
      </c>
      <c r="AB352" s="158">
        <f t="shared" si="75"/>
        <v>0.18848167539267016</v>
      </c>
      <c r="AC352" s="158">
        <f t="shared" si="75"/>
        <v>1.7452006980802792E-2</v>
      </c>
      <c r="AE352" s="148"/>
      <c r="AF352" s="161">
        <f t="shared" si="67"/>
        <v>298387.39437778346</v>
      </c>
      <c r="AG352" s="161">
        <f t="shared" si="76"/>
        <v>236939.37947974078</v>
      </c>
      <c r="AH352" s="162">
        <f t="shared" si="77"/>
        <v>9.3278057974204867</v>
      </c>
      <c r="AI352" s="159"/>
      <c r="AJ352" s="157"/>
      <c r="AK352" s="157">
        <f t="shared" si="78"/>
        <v>8.8614155075494612</v>
      </c>
      <c r="AN352" s="161">
        <f t="shared" si="79"/>
        <v>89516.218313335034</v>
      </c>
    </row>
    <row r="353" spans="1:40">
      <c r="A353" s="156">
        <f>'BD Plant List'!A352</f>
        <v>50345</v>
      </c>
      <c r="B353" s="148">
        <f t="shared" si="81"/>
        <v>40</v>
      </c>
      <c r="C353" s="148">
        <f t="shared" si="81"/>
        <v>10</v>
      </c>
      <c r="D353" s="148">
        <f t="shared" si="81"/>
        <v>56</v>
      </c>
      <c r="E353" s="148">
        <f t="shared" si="81"/>
        <v>70</v>
      </c>
      <c r="F353" s="148">
        <f t="shared" si="81"/>
        <v>9</v>
      </c>
      <c r="G353" s="148">
        <f t="shared" si="81"/>
        <v>50</v>
      </c>
      <c r="H353" s="148">
        <f t="shared" si="81"/>
        <v>39</v>
      </c>
      <c r="I353" s="148">
        <f t="shared" si="81"/>
        <v>39</v>
      </c>
      <c r="J353" s="148">
        <f t="shared" si="81"/>
        <v>100</v>
      </c>
      <c r="K353" s="148">
        <f t="shared" si="81"/>
        <v>26</v>
      </c>
      <c r="L353" s="148">
        <f t="shared" si="81"/>
        <v>7</v>
      </c>
      <c r="M353" s="148">
        <f t="shared" si="81"/>
        <v>12</v>
      </c>
      <c r="N353" s="148">
        <f t="shared" si="81"/>
        <v>10</v>
      </c>
      <c r="O353" s="148">
        <f t="shared" si="81"/>
        <v>105</v>
      </c>
      <c r="P353" s="148">
        <f t="shared" si="69"/>
        <v>573</v>
      </c>
      <c r="R353" s="163">
        <f>Ethanol!AC24</f>
        <v>126879.22940394981</v>
      </c>
      <c r="S353" s="157">
        <f t="shared" si="70"/>
        <v>33.517686031641425</v>
      </c>
      <c r="T353" s="154">
        <f t="shared" si="71"/>
        <v>0.6887325002279524</v>
      </c>
      <c r="V353" s="149">
        <f t="shared" si="72"/>
        <v>455</v>
      </c>
      <c r="W353" s="149">
        <f t="shared" si="73"/>
        <v>108</v>
      </c>
      <c r="X353" s="149">
        <f t="shared" si="74"/>
        <v>10</v>
      </c>
      <c r="Y353" s="149">
        <f t="shared" si="68"/>
        <v>573</v>
      </c>
      <c r="AA353" s="158">
        <f t="shared" si="75"/>
        <v>0.79406631762652702</v>
      </c>
      <c r="AB353" s="158">
        <f t="shared" si="75"/>
        <v>0.18848167539267016</v>
      </c>
      <c r="AC353" s="158">
        <f t="shared" si="75"/>
        <v>1.7452006980802792E-2</v>
      </c>
      <c r="AE353" s="148"/>
      <c r="AF353" s="161">
        <f t="shared" si="67"/>
        <v>334115.30409706786</v>
      </c>
      <c r="AG353" s="161">
        <f t="shared" si="76"/>
        <v>265309.70918702596</v>
      </c>
      <c r="AH353" s="162">
        <f t="shared" si="77"/>
        <v>10.444686100303919</v>
      </c>
      <c r="AI353" s="159"/>
      <c r="AJ353" s="157"/>
      <c r="AK353" s="157">
        <f t="shared" si="78"/>
        <v>9.9224517952887226</v>
      </c>
      <c r="AN353" s="161">
        <f t="shared" si="79"/>
        <v>100234.59122912036</v>
      </c>
    </row>
    <row r="354" spans="1:40">
      <c r="A354" s="156">
        <f>'BD Plant List'!A353</f>
        <v>50375</v>
      </c>
      <c r="B354" s="148">
        <f t="shared" si="81"/>
        <v>40</v>
      </c>
      <c r="C354" s="148">
        <f t="shared" si="81"/>
        <v>10</v>
      </c>
      <c r="D354" s="148">
        <f t="shared" si="81"/>
        <v>56</v>
      </c>
      <c r="E354" s="148">
        <f t="shared" si="81"/>
        <v>70</v>
      </c>
      <c r="F354" s="148">
        <f t="shared" si="81"/>
        <v>9</v>
      </c>
      <c r="G354" s="148">
        <f t="shared" si="81"/>
        <v>50</v>
      </c>
      <c r="H354" s="148">
        <f t="shared" si="81"/>
        <v>39</v>
      </c>
      <c r="I354" s="148">
        <f t="shared" si="81"/>
        <v>39</v>
      </c>
      <c r="J354" s="148">
        <f t="shared" si="81"/>
        <v>100</v>
      </c>
      <c r="K354" s="148">
        <f t="shared" si="81"/>
        <v>26</v>
      </c>
      <c r="L354" s="148">
        <f t="shared" si="81"/>
        <v>7</v>
      </c>
      <c r="M354" s="148">
        <f t="shared" si="81"/>
        <v>12</v>
      </c>
      <c r="N354" s="148">
        <f t="shared" si="81"/>
        <v>10</v>
      </c>
      <c r="O354" s="148">
        <f t="shared" si="81"/>
        <v>105</v>
      </c>
      <c r="P354" s="148">
        <f t="shared" si="69"/>
        <v>573</v>
      </c>
      <c r="R354" s="163">
        <f>Ethanol!AC25</f>
        <v>118562.77205365314</v>
      </c>
      <c r="S354" s="157">
        <f t="shared" si="70"/>
        <v>31.320727493413553</v>
      </c>
      <c r="T354" s="154">
        <f t="shared" si="71"/>
        <v>0.66504162507829823</v>
      </c>
      <c r="V354" s="149">
        <f t="shared" si="72"/>
        <v>455</v>
      </c>
      <c r="W354" s="149">
        <f t="shared" si="73"/>
        <v>108</v>
      </c>
      <c r="X354" s="149">
        <f t="shared" si="74"/>
        <v>10</v>
      </c>
      <c r="Y354" s="149">
        <f t="shared" si="68"/>
        <v>573</v>
      </c>
      <c r="AA354" s="158">
        <f t="shared" si="75"/>
        <v>0.79406631762652702</v>
      </c>
      <c r="AB354" s="158">
        <f t="shared" si="75"/>
        <v>0.18848167539267016</v>
      </c>
      <c r="AC354" s="158">
        <f t="shared" si="75"/>
        <v>1.7452006980802792E-2</v>
      </c>
      <c r="AE354" s="148"/>
      <c r="AF354" s="161">
        <f t="shared" si="67"/>
        <v>312215.29974128667</v>
      </c>
      <c r="AG354" s="161">
        <f t="shared" si="76"/>
        <v>247919.65337222588</v>
      </c>
      <c r="AH354" s="162">
        <f t="shared" si="77"/>
        <v>9.7600761219924497</v>
      </c>
      <c r="AI354" s="159"/>
      <c r="AJ354" s="157"/>
      <c r="AK354" s="157">
        <f t="shared" si="78"/>
        <v>9.2720723158928262</v>
      </c>
      <c r="AN354" s="161">
        <f t="shared" si="79"/>
        <v>93664.589922385989</v>
      </c>
    </row>
    <row r="355" spans="1:40">
      <c r="A355" s="156">
        <f>'BD Plant List'!A354</f>
        <v>50406</v>
      </c>
      <c r="B355" s="148">
        <f t="shared" si="81"/>
        <v>40</v>
      </c>
      <c r="C355" s="148">
        <f t="shared" si="81"/>
        <v>10</v>
      </c>
      <c r="D355" s="148">
        <f t="shared" si="81"/>
        <v>56</v>
      </c>
      <c r="E355" s="148">
        <f t="shared" si="81"/>
        <v>70</v>
      </c>
      <c r="F355" s="148">
        <f t="shared" si="81"/>
        <v>9</v>
      </c>
      <c r="G355" s="148">
        <f t="shared" si="81"/>
        <v>50</v>
      </c>
      <c r="H355" s="148">
        <f t="shared" si="81"/>
        <v>39</v>
      </c>
      <c r="I355" s="148">
        <f t="shared" si="81"/>
        <v>39</v>
      </c>
      <c r="J355" s="148">
        <f t="shared" si="81"/>
        <v>100</v>
      </c>
      <c r="K355" s="148">
        <f t="shared" si="81"/>
        <v>26</v>
      </c>
      <c r="L355" s="148">
        <f t="shared" si="81"/>
        <v>7</v>
      </c>
      <c r="M355" s="148">
        <f t="shared" si="81"/>
        <v>12</v>
      </c>
      <c r="N355" s="148">
        <f t="shared" si="81"/>
        <v>10</v>
      </c>
      <c r="O355" s="148">
        <f t="shared" si="81"/>
        <v>105</v>
      </c>
      <c r="P355" s="148">
        <f t="shared" si="69"/>
        <v>573</v>
      </c>
      <c r="R355" s="163">
        <f>Ethanol!AD14</f>
        <v>122386.67765908595</v>
      </c>
      <c r="S355" s="157">
        <f t="shared" si="70"/>
        <v>32.330888637200736</v>
      </c>
      <c r="T355" s="154">
        <f t="shared" si="71"/>
        <v>0.66434579477443378</v>
      </c>
      <c r="V355" s="149">
        <f t="shared" si="72"/>
        <v>455</v>
      </c>
      <c r="W355" s="149">
        <f t="shared" si="73"/>
        <v>108</v>
      </c>
      <c r="X355" s="149">
        <f t="shared" si="74"/>
        <v>10</v>
      </c>
      <c r="Y355" s="149">
        <f t="shared" si="68"/>
        <v>573</v>
      </c>
      <c r="AA355" s="158">
        <f t="shared" si="75"/>
        <v>0.79406631762652702</v>
      </c>
      <c r="AB355" s="158">
        <f t="shared" si="75"/>
        <v>0.18848167539267016</v>
      </c>
      <c r="AC355" s="158">
        <f t="shared" si="75"/>
        <v>1.7452006980802792E-2</v>
      </c>
      <c r="AE355" s="148"/>
      <c r="AF355" s="161">
        <f t="shared" si="67"/>
        <v>322284.91783559305</v>
      </c>
      <c r="AG355" s="161">
        <f t="shared" si="76"/>
        <v>255915.59793227719</v>
      </c>
      <c r="AH355" s="162">
        <f t="shared" si="77"/>
        <v>10.074859667838094</v>
      </c>
      <c r="AI355" s="159"/>
      <c r="AJ355" s="157"/>
      <c r="AK355" s="157">
        <f t="shared" si="78"/>
        <v>9.5711166844461886</v>
      </c>
      <c r="AN355" s="161">
        <f t="shared" si="79"/>
        <v>96685.475350677909</v>
      </c>
    </row>
    <row r="356" spans="1:40">
      <c r="A356" s="156">
        <f>'BD Plant List'!A355</f>
        <v>50437</v>
      </c>
      <c r="B356" s="148">
        <f t="shared" si="81"/>
        <v>40</v>
      </c>
      <c r="C356" s="148">
        <f t="shared" si="81"/>
        <v>10</v>
      </c>
      <c r="D356" s="148">
        <f t="shared" si="81"/>
        <v>56</v>
      </c>
      <c r="E356" s="148">
        <f t="shared" si="81"/>
        <v>70</v>
      </c>
      <c r="F356" s="148">
        <f t="shared" si="81"/>
        <v>9</v>
      </c>
      <c r="G356" s="148">
        <f t="shared" si="81"/>
        <v>50</v>
      </c>
      <c r="H356" s="148">
        <f t="shared" si="81"/>
        <v>39</v>
      </c>
      <c r="I356" s="148">
        <f t="shared" si="81"/>
        <v>39</v>
      </c>
      <c r="J356" s="148">
        <f t="shared" si="81"/>
        <v>100</v>
      </c>
      <c r="K356" s="148">
        <f t="shared" si="81"/>
        <v>26</v>
      </c>
      <c r="L356" s="148">
        <f t="shared" si="81"/>
        <v>7</v>
      </c>
      <c r="M356" s="148">
        <f t="shared" si="81"/>
        <v>12</v>
      </c>
      <c r="N356" s="148">
        <f t="shared" si="81"/>
        <v>10</v>
      </c>
      <c r="O356" s="148">
        <f t="shared" si="81"/>
        <v>105</v>
      </c>
      <c r="P356" s="148">
        <f t="shared" si="69"/>
        <v>573</v>
      </c>
      <c r="R356" s="163">
        <f>Ethanol!AD15</f>
        <v>116150.58979168994</v>
      </c>
      <c r="S356" s="157">
        <f t="shared" si="70"/>
        <v>30.683501305270735</v>
      </c>
      <c r="T356" s="154">
        <f t="shared" si="71"/>
        <v>0.63049473492224384</v>
      </c>
      <c r="V356" s="149">
        <f t="shared" si="72"/>
        <v>455</v>
      </c>
      <c r="W356" s="149">
        <f t="shared" si="73"/>
        <v>108</v>
      </c>
      <c r="X356" s="149">
        <f t="shared" si="74"/>
        <v>10</v>
      </c>
      <c r="Y356" s="149">
        <f t="shared" si="68"/>
        <v>573</v>
      </c>
      <c r="AA356" s="158">
        <f t="shared" si="75"/>
        <v>0.79406631762652702</v>
      </c>
      <c r="AB356" s="158">
        <f t="shared" si="75"/>
        <v>0.18848167539267016</v>
      </c>
      <c r="AC356" s="158">
        <f t="shared" si="75"/>
        <v>1.7452006980802792E-2</v>
      </c>
      <c r="AE356" s="148"/>
      <c r="AF356" s="161">
        <f t="shared" si="67"/>
        <v>305863.21978478355</v>
      </c>
      <c r="AG356" s="161">
        <f t="shared" si="76"/>
        <v>242875.68063189619</v>
      </c>
      <c r="AH356" s="162">
        <f t="shared" si="77"/>
        <v>9.561505507548425</v>
      </c>
      <c r="AI356" s="159"/>
      <c r="AJ356" s="157"/>
      <c r="AK356" s="157">
        <f t="shared" si="78"/>
        <v>9.0834302321710041</v>
      </c>
      <c r="AN356" s="161">
        <f t="shared" si="79"/>
        <v>91758.965935435059</v>
      </c>
    </row>
    <row r="357" spans="1:40">
      <c r="A357" s="156">
        <f>'BD Plant List'!A356</f>
        <v>50465</v>
      </c>
      <c r="B357" s="148">
        <f t="shared" si="81"/>
        <v>40</v>
      </c>
      <c r="C357" s="148">
        <f t="shared" si="81"/>
        <v>10</v>
      </c>
      <c r="D357" s="148">
        <f t="shared" si="81"/>
        <v>56</v>
      </c>
      <c r="E357" s="148">
        <f t="shared" si="81"/>
        <v>70</v>
      </c>
      <c r="F357" s="148">
        <f t="shared" si="81"/>
        <v>9</v>
      </c>
      <c r="G357" s="148">
        <f t="shared" si="81"/>
        <v>50</v>
      </c>
      <c r="H357" s="148">
        <f t="shared" si="81"/>
        <v>39</v>
      </c>
      <c r="I357" s="148">
        <f t="shared" si="81"/>
        <v>39</v>
      </c>
      <c r="J357" s="148">
        <f t="shared" si="81"/>
        <v>100</v>
      </c>
      <c r="K357" s="148">
        <f t="shared" si="81"/>
        <v>26</v>
      </c>
      <c r="L357" s="148">
        <f t="shared" si="81"/>
        <v>7</v>
      </c>
      <c r="M357" s="148">
        <f t="shared" si="81"/>
        <v>12</v>
      </c>
      <c r="N357" s="148">
        <f t="shared" si="81"/>
        <v>10</v>
      </c>
      <c r="O357" s="148">
        <f t="shared" si="81"/>
        <v>105</v>
      </c>
      <c r="P357" s="148">
        <f t="shared" si="69"/>
        <v>573</v>
      </c>
      <c r="R357" s="163">
        <f>Ethanol!AD16</f>
        <v>126192.42408608006</v>
      </c>
      <c r="S357" s="157">
        <f t="shared" si="70"/>
        <v>33.336252670819775</v>
      </c>
      <c r="T357" s="154">
        <f t="shared" si="71"/>
        <v>0.75839767045931294</v>
      </c>
      <c r="V357" s="149">
        <f t="shared" si="72"/>
        <v>455</v>
      </c>
      <c r="W357" s="149">
        <f t="shared" si="73"/>
        <v>108</v>
      </c>
      <c r="X357" s="149">
        <f t="shared" si="74"/>
        <v>10</v>
      </c>
      <c r="Y357" s="149">
        <f t="shared" si="68"/>
        <v>573</v>
      </c>
      <c r="AA357" s="158">
        <f t="shared" si="75"/>
        <v>0.79406631762652702</v>
      </c>
      <c r="AB357" s="158">
        <f t="shared" si="75"/>
        <v>0.18848167539267016</v>
      </c>
      <c r="AC357" s="158">
        <f t="shared" si="75"/>
        <v>1.7452006980802792E-2</v>
      </c>
      <c r="AE357" s="148"/>
      <c r="AF357" s="161">
        <f t="shared" si="67"/>
        <v>332306.71676001087</v>
      </c>
      <c r="AG357" s="161">
        <f t="shared" si="76"/>
        <v>263873.57090018311</v>
      </c>
      <c r="AH357" s="162">
        <f t="shared" si="77"/>
        <v>10.38814835184132</v>
      </c>
      <c r="AI357" s="159"/>
      <c r="AJ357" s="157"/>
      <c r="AK357" s="157">
        <f t="shared" si="78"/>
        <v>9.8687409342492529</v>
      </c>
      <c r="AN357" s="161">
        <f t="shared" si="79"/>
        <v>99692.015028003254</v>
      </c>
    </row>
    <row r="358" spans="1:40">
      <c r="A358" s="156">
        <f>'BD Plant List'!A357</f>
        <v>50496</v>
      </c>
      <c r="B358" s="148">
        <f t="shared" si="81"/>
        <v>40</v>
      </c>
      <c r="C358" s="148">
        <f t="shared" si="81"/>
        <v>10</v>
      </c>
      <c r="D358" s="148">
        <f t="shared" si="81"/>
        <v>56</v>
      </c>
      <c r="E358" s="148">
        <f t="shared" si="81"/>
        <v>70</v>
      </c>
      <c r="F358" s="148">
        <f t="shared" si="81"/>
        <v>9</v>
      </c>
      <c r="G358" s="148">
        <f t="shared" si="81"/>
        <v>50</v>
      </c>
      <c r="H358" s="148">
        <f t="shared" si="81"/>
        <v>39</v>
      </c>
      <c r="I358" s="148">
        <f t="shared" si="81"/>
        <v>39</v>
      </c>
      <c r="J358" s="148">
        <f t="shared" si="81"/>
        <v>100</v>
      </c>
      <c r="K358" s="148">
        <f t="shared" si="81"/>
        <v>26</v>
      </c>
      <c r="L358" s="148">
        <f t="shared" si="81"/>
        <v>7</v>
      </c>
      <c r="M358" s="148">
        <f t="shared" si="81"/>
        <v>12</v>
      </c>
      <c r="N358" s="148">
        <f t="shared" si="81"/>
        <v>10</v>
      </c>
      <c r="O358" s="148">
        <f t="shared" si="81"/>
        <v>105</v>
      </c>
      <c r="P358" s="148">
        <f t="shared" si="69"/>
        <v>573</v>
      </c>
      <c r="R358" s="163">
        <f>Ethanol!AD17</f>
        <v>113730.74106517617</v>
      </c>
      <c r="S358" s="157">
        <f t="shared" si="70"/>
        <v>30.044249867187592</v>
      </c>
      <c r="T358" s="154">
        <f t="shared" si="71"/>
        <v>0.61735918490815012</v>
      </c>
      <c r="V358" s="149">
        <f t="shared" si="72"/>
        <v>455</v>
      </c>
      <c r="W358" s="149">
        <f t="shared" si="73"/>
        <v>108</v>
      </c>
      <c r="X358" s="149">
        <f t="shared" si="74"/>
        <v>10</v>
      </c>
      <c r="Y358" s="149">
        <f t="shared" si="68"/>
        <v>573</v>
      </c>
      <c r="AA358" s="158">
        <f t="shared" si="75"/>
        <v>0.79406631762652702</v>
      </c>
      <c r="AB358" s="158">
        <f t="shared" si="75"/>
        <v>0.18848167539267016</v>
      </c>
      <c r="AC358" s="158">
        <f t="shared" si="75"/>
        <v>1.7452006980802792E-2</v>
      </c>
      <c r="AE358" s="148"/>
      <c r="AF358" s="161">
        <f t="shared" si="67"/>
        <v>299490.9514716306</v>
      </c>
      <c r="AG358" s="161">
        <f t="shared" si="76"/>
        <v>237815.67699754261</v>
      </c>
      <c r="AH358" s="162">
        <f t="shared" si="77"/>
        <v>9.3623037904715574</v>
      </c>
      <c r="AI358" s="159"/>
      <c r="AJ358" s="157"/>
      <c r="AK358" s="157">
        <f t="shared" si="78"/>
        <v>8.8941886009479791</v>
      </c>
      <c r="AN358" s="161">
        <f t="shared" si="79"/>
        <v>89847.285441489177</v>
      </c>
    </row>
    <row r="359" spans="1:40">
      <c r="A359" s="156">
        <f>'BD Plant List'!A358</f>
        <v>50526</v>
      </c>
      <c r="B359" s="148">
        <f t="shared" si="81"/>
        <v>40</v>
      </c>
      <c r="C359" s="148">
        <f t="shared" si="81"/>
        <v>10</v>
      </c>
      <c r="D359" s="148">
        <f t="shared" si="81"/>
        <v>56</v>
      </c>
      <c r="E359" s="148">
        <f t="shared" si="81"/>
        <v>70</v>
      </c>
      <c r="F359" s="148">
        <f t="shared" si="81"/>
        <v>9</v>
      </c>
      <c r="G359" s="148">
        <f t="shared" si="81"/>
        <v>50</v>
      </c>
      <c r="H359" s="148">
        <f t="shared" si="81"/>
        <v>39</v>
      </c>
      <c r="I359" s="148">
        <f t="shared" si="81"/>
        <v>39</v>
      </c>
      <c r="J359" s="148">
        <f t="shared" si="81"/>
        <v>100</v>
      </c>
      <c r="K359" s="148">
        <f t="shared" si="81"/>
        <v>26</v>
      </c>
      <c r="L359" s="148">
        <f t="shared" si="81"/>
        <v>7</v>
      </c>
      <c r="M359" s="148">
        <f t="shared" si="81"/>
        <v>12</v>
      </c>
      <c r="N359" s="148">
        <f t="shared" si="81"/>
        <v>10</v>
      </c>
      <c r="O359" s="148">
        <f t="shared" si="81"/>
        <v>105</v>
      </c>
      <c r="P359" s="148">
        <f t="shared" si="69"/>
        <v>573</v>
      </c>
      <c r="R359" s="163">
        <f>Ethanol!AD18</f>
        <v>117285.48761056281</v>
      </c>
      <c r="S359" s="157">
        <f t="shared" si="70"/>
        <v>30.983307262082381</v>
      </c>
      <c r="T359" s="154">
        <f t="shared" si="71"/>
        <v>0.65787708846190041</v>
      </c>
      <c r="V359" s="149">
        <f t="shared" si="72"/>
        <v>455</v>
      </c>
      <c r="W359" s="149">
        <f t="shared" si="73"/>
        <v>108</v>
      </c>
      <c r="X359" s="149">
        <f t="shared" si="74"/>
        <v>10</v>
      </c>
      <c r="Y359" s="149">
        <f t="shared" si="68"/>
        <v>573</v>
      </c>
      <c r="AA359" s="158">
        <f t="shared" si="75"/>
        <v>0.79406631762652702</v>
      </c>
      <c r="AB359" s="158">
        <f t="shared" si="75"/>
        <v>0.18848167539267016</v>
      </c>
      <c r="AC359" s="158">
        <f t="shared" si="75"/>
        <v>1.7452006980802792E-2</v>
      </c>
      <c r="AE359" s="148"/>
      <c r="AF359" s="161">
        <f t="shared" si="67"/>
        <v>308851.78404114873</v>
      </c>
      <c r="AG359" s="161">
        <f t="shared" si="76"/>
        <v>245248.79884593832</v>
      </c>
      <c r="AH359" s="162">
        <f t="shared" si="77"/>
        <v>9.6549301880870146</v>
      </c>
      <c r="AI359" s="159"/>
      <c r="AJ359" s="157"/>
      <c r="AK359" s="157">
        <f t="shared" si="78"/>
        <v>9.1721836786826643</v>
      </c>
      <c r="AN359" s="161">
        <f t="shared" si="79"/>
        <v>92655.535212344621</v>
      </c>
    </row>
    <row r="360" spans="1:40">
      <c r="A360" s="156">
        <f>'BD Plant List'!A359</f>
        <v>50557</v>
      </c>
      <c r="B360" s="148">
        <f t="shared" si="81"/>
        <v>40</v>
      </c>
      <c r="C360" s="148">
        <f t="shared" si="81"/>
        <v>10</v>
      </c>
      <c r="D360" s="148">
        <f t="shared" si="81"/>
        <v>56</v>
      </c>
      <c r="E360" s="148">
        <f t="shared" si="81"/>
        <v>70</v>
      </c>
      <c r="F360" s="148">
        <f t="shared" si="81"/>
        <v>9</v>
      </c>
      <c r="G360" s="148">
        <f t="shared" si="81"/>
        <v>50</v>
      </c>
      <c r="H360" s="148">
        <f t="shared" si="81"/>
        <v>39</v>
      </c>
      <c r="I360" s="148">
        <f t="shared" si="81"/>
        <v>39</v>
      </c>
      <c r="J360" s="148">
        <f t="shared" si="81"/>
        <v>100</v>
      </c>
      <c r="K360" s="148">
        <f t="shared" si="81"/>
        <v>26</v>
      </c>
      <c r="L360" s="148">
        <f t="shared" si="81"/>
        <v>7</v>
      </c>
      <c r="M360" s="148">
        <f t="shared" si="81"/>
        <v>12</v>
      </c>
      <c r="N360" s="148">
        <f t="shared" si="81"/>
        <v>10</v>
      </c>
      <c r="O360" s="148">
        <f t="shared" si="81"/>
        <v>105</v>
      </c>
      <c r="P360" s="148">
        <f t="shared" si="69"/>
        <v>573</v>
      </c>
      <c r="R360" s="163">
        <f>Ethanol!AD19</f>
        <v>116615.12886679066</v>
      </c>
      <c r="S360" s="157">
        <f t="shared" si="70"/>
        <v>30.806218592740091</v>
      </c>
      <c r="T360" s="154">
        <f t="shared" si="71"/>
        <v>0.6330163703400401</v>
      </c>
      <c r="V360" s="149">
        <f t="shared" si="72"/>
        <v>455</v>
      </c>
      <c r="W360" s="149">
        <f t="shared" si="73"/>
        <v>108</v>
      </c>
      <c r="X360" s="149">
        <f t="shared" si="74"/>
        <v>10</v>
      </c>
      <c r="Y360" s="149">
        <f t="shared" si="68"/>
        <v>573</v>
      </c>
      <c r="AA360" s="158">
        <f t="shared" si="75"/>
        <v>0.79406631762652702</v>
      </c>
      <c r="AB360" s="158">
        <f t="shared" si="75"/>
        <v>0.18848167539267016</v>
      </c>
      <c r="AC360" s="158">
        <f t="shared" si="75"/>
        <v>1.7452006980802792E-2</v>
      </c>
      <c r="AE360" s="148"/>
      <c r="AF360" s="161">
        <f t="shared" si="67"/>
        <v>307086.50601588213</v>
      </c>
      <c r="AG360" s="161">
        <f t="shared" si="76"/>
        <v>243847.05102482784</v>
      </c>
      <c r="AH360" s="162">
        <f t="shared" si="77"/>
        <v>9.5997463200403192</v>
      </c>
      <c r="AI360" s="159"/>
      <c r="AJ360" s="157"/>
      <c r="AK360" s="157">
        <f t="shared" si="78"/>
        <v>9.1197590040383023</v>
      </c>
      <c r="AN360" s="161">
        <f t="shared" si="79"/>
        <v>92125.951804764627</v>
      </c>
    </row>
    <row r="361" spans="1:40">
      <c r="A361" s="156">
        <f>'BD Plant List'!A360</f>
        <v>50587</v>
      </c>
      <c r="B361" s="148">
        <f t="shared" si="81"/>
        <v>40</v>
      </c>
      <c r="C361" s="148">
        <f t="shared" si="81"/>
        <v>10</v>
      </c>
      <c r="D361" s="148">
        <f t="shared" si="81"/>
        <v>56</v>
      </c>
      <c r="E361" s="148">
        <f t="shared" si="81"/>
        <v>70</v>
      </c>
      <c r="F361" s="148">
        <f t="shared" si="81"/>
        <v>9</v>
      </c>
      <c r="G361" s="148">
        <f t="shared" si="81"/>
        <v>50</v>
      </c>
      <c r="H361" s="148">
        <f t="shared" si="81"/>
        <v>39</v>
      </c>
      <c r="I361" s="148">
        <f t="shared" si="81"/>
        <v>39</v>
      </c>
      <c r="J361" s="148">
        <f t="shared" si="81"/>
        <v>100</v>
      </c>
      <c r="K361" s="148">
        <f t="shared" si="81"/>
        <v>26</v>
      </c>
      <c r="L361" s="148">
        <f t="shared" si="81"/>
        <v>7</v>
      </c>
      <c r="M361" s="148">
        <f t="shared" si="81"/>
        <v>12</v>
      </c>
      <c r="N361" s="148">
        <f t="shared" si="81"/>
        <v>10</v>
      </c>
      <c r="O361" s="148">
        <f t="shared" si="81"/>
        <v>105</v>
      </c>
      <c r="P361" s="148">
        <f t="shared" si="69"/>
        <v>573</v>
      </c>
      <c r="R361" s="163">
        <f>Ethanol!AD20</f>
        <v>127942.60665398525</v>
      </c>
      <c r="S361" s="157">
        <f t="shared" si="70"/>
        <v>33.79859839978328</v>
      </c>
      <c r="T361" s="154">
        <f t="shared" si="71"/>
        <v>0.71765493984414752</v>
      </c>
      <c r="V361" s="149">
        <f t="shared" si="72"/>
        <v>455</v>
      </c>
      <c r="W361" s="149">
        <f t="shared" si="73"/>
        <v>108</v>
      </c>
      <c r="X361" s="149">
        <f t="shared" si="74"/>
        <v>10</v>
      </c>
      <c r="Y361" s="149">
        <f t="shared" si="68"/>
        <v>573</v>
      </c>
      <c r="AA361" s="158">
        <f t="shared" si="75"/>
        <v>0.79406631762652702</v>
      </c>
      <c r="AB361" s="158">
        <f t="shared" si="75"/>
        <v>0.18848167539267016</v>
      </c>
      <c r="AC361" s="158">
        <f t="shared" si="75"/>
        <v>1.7452006980802792E-2</v>
      </c>
      <c r="AE361" s="148"/>
      <c r="AF361" s="161">
        <f t="shared" si="67"/>
        <v>336915.53085549449</v>
      </c>
      <c r="AG361" s="161">
        <f t="shared" si="76"/>
        <v>267533.27493760904</v>
      </c>
      <c r="AH361" s="162">
        <f t="shared" si="77"/>
        <v>10.532223214416298</v>
      </c>
      <c r="AI361" s="159"/>
      <c r="AJ361" s="157"/>
      <c r="AK361" s="157">
        <f t="shared" si="78"/>
        <v>10.005612053695483</v>
      </c>
      <c r="AN361" s="161">
        <f t="shared" si="79"/>
        <v>101074.65925664835</v>
      </c>
    </row>
    <row r="362" spans="1:40">
      <c r="A362" s="156">
        <f>'BD Plant List'!A361</f>
        <v>50618</v>
      </c>
      <c r="B362" s="148">
        <f t="shared" si="81"/>
        <v>40</v>
      </c>
      <c r="C362" s="148">
        <f t="shared" si="81"/>
        <v>10</v>
      </c>
      <c r="D362" s="148">
        <f t="shared" si="81"/>
        <v>56</v>
      </c>
      <c r="E362" s="148">
        <f t="shared" si="81"/>
        <v>70</v>
      </c>
      <c r="F362" s="148">
        <f t="shared" si="81"/>
        <v>9</v>
      </c>
      <c r="G362" s="148">
        <f t="shared" si="81"/>
        <v>50</v>
      </c>
      <c r="H362" s="148">
        <f t="shared" si="81"/>
        <v>39</v>
      </c>
      <c r="I362" s="148">
        <f t="shared" si="81"/>
        <v>39</v>
      </c>
      <c r="J362" s="148">
        <f t="shared" si="81"/>
        <v>100</v>
      </c>
      <c r="K362" s="148">
        <f t="shared" si="81"/>
        <v>26</v>
      </c>
      <c r="L362" s="148">
        <f t="shared" si="81"/>
        <v>7</v>
      </c>
      <c r="M362" s="148">
        <f t="shared" si="81"/>
        <v>12</v>
      </c>
      <c r="N362" s="148">
        <f t="shared" si="81"/>
        <v>10</v>
      </c>
      <c r="O362" s="148">
        <f t="shared" si="81"/>
        <v>105</v>
      </c>
      <c r="P362" s="148">
        <f t="shared" si="69"/>
        <v>573</v>
      </c>
      <c r="R362" s="163">
        <f>Ethanol!AD21</f>
        <v>128650.40201495662</v>
      </c>
      <c r="S362" s="157">
        <f t="shared" si="70"/>
        <v>33.985576700291091</v>
      </c>
      <c r="T362" s="154">
        <f t="shared" si="71"/>
        <v>0.69834687246558846</v>
      </c>
      <c r="V362" s="149">
        <f t="shared" si="72"/>
        <v>455</v>
      </c>
      <c r="W362" s="149">
        <f t="shared" si="73"/>
        <v>108</v>
      </c>
      <c r="X362" s="149">
        <f t="shared" si="74"/>
        <v>10</v>
      </c>
      <c r="Y362" s="149">
        <f t="shared" si="68"/>
        <v>573</v>
      </c>
      <c r="AA362" s="158">
        <f t="shared" si="75"/>
        <v>0.79406631762652702</v>
      </c>
      <c r="AB362" s="158">
        <f t="shared" si="75"/>
        <v>0.18848167539267016</v>
      </c>
      <c r="AC362" s="158">
        <f t="shared" si="75"/>
        <v>1.7452006980802792E-2</v>
      </c>
      <c r="AE362" s="148"/>
      <c r="AF362" s="161">
        <f t="shared" si="67"/>
        <v>338779.39197271911</v>
      </c>
      <c r="AG362" s="161">
        <f t="shared" si="76"/>
        <v>269013.30427153088</v>
      </c>
      <c r="AH362" s="162">
        <f t="shared" si="77"/>
        <v>10.590488861231201</v>
      </c>
      <c r="AI362" s="159"/>
      <c r="AJ362" s="157"/>
      <c r="AK362" s="157">
        <f t="shared" si="78"/>
        <v>10.06096441816964</v>
      </c>
      <c r="AN362" s="161">
        <f t="shared" si="79"/>
        <v>101633.81759181574</v>
      </c>
    </row>
    <row r="363" spans="1:40">
      <c r="A363" s="156">
        <f>'BD Plant List'!A362</f>
        <v>50649</v>
      </c>
      <c r="B363" s="148">
        <f t="shared" si="81"/>
        <v>40</v>
      </c>
      <c r="C363" s="148">
        <f t="shared" si="81"/>
        <v>10</v>
      </c>
      <c r="D363" s="148">
        <f t="shared" si="81"/>
        <v>56</v>
      </c>
      <c r="E363" s="148">
        <f t="shared" ref="C363:Q382" si="82">E$4</f>
        <v>70</v>
      </c>
      <c r="F363" s="148">
        <f t="shared" si="82"/>
        <v>9</v>
      </c>
      <c r="G363" s="148">
        <f t="shared" si="82"/>
        <v>50</v>
      </c>
      <c r="H363" s="148">
        <f t="shared" si="82"/>
        <v>39</v>
      </c>
      <c r="I363" s="148">
        <f t="shared" si="82"/>
        <v>39</v>
      </c>
      <c r="J363" s="148">
        <f t="shared" si="82"/>
        <v>100</v>
      </c>
      <c r="K363" s="148">
        <f t="shared" si="82"/>
        <v>26</v>
      </c>
      <c r="L363" s="148">
        <f t="shared" si="82"/>
        <v>7</v>
      </c>
      <c r="M363" s="148">
        <f t="shared" si="82"/>
        <v>12</v>
      </c>
      <c r="N363" s="148">
        <f t="shared" si="82"/>
        <v>10</v>
      </c>
      <c r="O363" s="148">
        <f t="shared" si="82"/>
        <v>105</v>
      </c>
      <c r="P363" s="148">
        <f t="shared" si="69"/>
        <v>573</v>
      </c>
      <c r="R363" s="163">
        <f>Ethanol!AD22</f>
        <v>112948.62770441969</v>
      </c>
      <c r="S363" s="157">
        <f t="shared" si="70"/>
        <v>29.837638980676552</v>
      </c>
      <c r="T363" s="154">
        <f t="shared" si="71"/>
        <v>0.61311367606524458</v>
      </c>
      <c r="V363" s="149">
        <f t="shared" si="72"/>
        <v>455</v>
      </c>
      <c r="W363" s="149">
        <f t="shared" si="73"/>
        <v>108</v>
      </c>
      <c r="X363" s="149">
        <f t="shared" si="74"/>
        <v>10</v>
      </c>
      <c r="Y363" s="149">
        <f t="shared" si="68"/>
        <v>573</v>
      </c>
      <c r="AA363" s="158">
        <f t="shared" si="75"/>
        <v>0.79406631762652702</v>
      </c>
      <c r="AB363" s="158">
        <f t="shared" si="75"/>
        <v>0.18848167539267016</v>
      </c>
      <c r="AC363" s="158">
        <f t="shared" si="75"/>
        <v>1.7452006980802792E-2</v>
      </c>
      <c r="AE363" s="148"/>
      <c r="AF363" s="161">
        <f t="shared" si="67"/>
        <v>297431.38628830522</v>
      </c>
      <c r="AG363" s="161">
        <f t="shared" si="76"/>
        <v>236180.24565650761</v>
      </c>
      <c r="AH363" s="162">
        <f t="shared" si="77"/>
        <v>9.2979202929808249</v>
      </c>
      <c r="AI363" s="159"/>
      <c r="AJ363" s="157"/>
      <c r="AK363" s="157">
        <f t="shared" si="78"/>
        <v>8.8330242783317825</v>
      </c>
      <c r="AN363" s="161">
        <f t="shared" si="79"/>
        <v>89229.415886491566</v>
      </c>
    </row>
    <row r="364" spans="1:40">
      <c r="A364" s="156">
        <f>'BD Plant List'!A363</f>
        <v>50679</v>
      </c>
      <c r="B364" s="148">
        <f t="shared" ref="B364:O403" si="83">B$4</f>
        <v>40</v>
      </c>
      <c r="C364" s="148">
        <f t="shared" si="82"/>
        <v>10</v>
      </c>
      <c r="D364" s="148">
        <f t="shared" si="82"/>
        <v>56</v>
      </c>
      <c r="E364" s="148">
        <f t="shared" si="82"/>
        <v>70</v>
      </c>
      <c r="F364" s="148">
        <f t="shared" si="82"/>
        <v>9</v>
      </c>
      <c r="G364" s="148">
        <f t="shared" si="82"/>
        <v>50</v>
      </c>
      <c r="H364" s="148">
        <f t="shared" si="82"/>
        <v>39</v>
      </c>
      <c r="I364" s="148">
        <f t="shared" si="82"/>
        <v>39</v>
      </c>
      <c r="J364" s="148">
        <f t="shared" si="82"/>
        <v>100</v>
      </c>
      <c r="K364" s="148">
        <f t="shared" si="82"/>
        <v>26</v>
      </c>
      <c r="L364" s="148">
        <f t="shared" si="82"/>
        <v>7</v>
      </c>
      <c r="M364" s="148">
        <f t="shared" si="82"/>
        <v>12</v>
      </c>
      <c r="N364" s="148">
        <f t="shared" si="82"/>
        <v>10</v>
      </c>
      <c r="O364" s="148">
        <f t="shared" si="82"/>
        <v>105</v>
      </c>
      <c r="P364" s="148">
        <f t="shared" si="69"/>
        <v>573</v>
      </c>
      <c r="R364" s="163">
        <f>Ethanol!AD23</f>
        <v>112328.56441572132</v>
      </c>
      <c r="S364" s="157">
        <f t="shared" si="70"/>
        <v>29.673836861701105</v>
      </c>
      <c r="T364" s="154">
        <f t="shared" si="71"/>
        <v>0.63007274313675987</v>
      </c>
      <c r="V364" s="149">
        <f t="shared" si="72"/>
        <v>455</v>
      </c>
      <c r="W364" s="149">
        <f t="shared" si="73"/>
        <v>108</v>
      </c>
      <c r="X364" s="149">
        <f t="shared" si="74"/>
        <v>10</v>
      </c>
      <c r="Y364" s="149">
        <f t="shared" si="68"/>
        <v>573</v>
      </c>
      <c r="AA364" s="158">
        <f t="shared" si="75"/>
        <v>0.79406631762652702</v>
      </c>
      <c r="AB364" s="158">
        <f t="shared" si="75"/>
        <v>0.18848167539267016</v>
      </c>
      <c r="AC364" s="158">
        <f t="shared" si="75"/>
        <v>1.7452006980802792E-2</v>
      </c>
      <c r="AE364" s="148"/>
      <c r="AF364" s="161">
        <f t="shared" si="67"/>
        <v>295798.55296139949</v>
      </c>
      <c r="AG364" s="161">
        <f t="shared" si="76"/>
        <v>234883.66770931371</v>
      </c>
      <c r="AH364" s="162">
        <f t="shared" si="77"/>
        <v>9.246876742013491</v>
      </c>
      <c r="AI364" s="159"/>
      <c r="AJ364" s="157"/>
      <c r="AK364" s="157">
        <f t="shared" si="78"/>
        <v>8.7845329049128154</v>
      </c>
      <c r="AN364" s="161">
        <f t="shared" si="79"/>
        <v>88739.565888419849</v>
      </c>
    </row>
    <row r="365" spans="1:40">
      <c r="A365" s="156">
        <f>'BD Plant List'!A364</f>
        <v>50710</v>
      </c>
      <c r="B365" s="148">
        <f t="shared" si="83"/>
        <v>40</v>
      </c>
      <c r="C365" s="148">
        <f t="shared" si="82"/>
        <v>10</v>
      </c>
      <c r="D365" s="148">
        <f t="shared" si="82"/>
        <v>56</v>
      </c>
      <c r="E365" s="148">
        <f t="shared" si="82"/>
        <v>70</v>
      </c>
      <c r="F365" s="148">
        <f t="shared" si="82"/>
        <v>9</v>
      </c>
      <c r="G365" s="148">
        <f t="shared" si="82"/>
        <v>50</v>
      </c>
      <c r="H365" s="148">
        <f t="shared" si="82"/>
        <v>39</v>
      </c>
      <c r="I365" s="148">
        <f t="shared" si="82"/>
        <v>39</v>
      </c>
      <c r="J365" s="148">
        <f t="shared" si="82"/>
        <v>100</v>
      </c>
      <c r="K365" s="148">
        <f t="shared" si="82"/>
        <v>26</v>
      </c>
      <c r="L365" s="148">
        <f t="shared" si="82"/>
        <v>7</v>
      </c>
      <c r="M365" s="148">
        <f t="shared" si="82"/>
        <v>12</v>
      </c>
      <c r="N365" s="148">
        <f t="shared" si="82"/>
        <v>10</v>
      </c>
      <c r="O365" s="148">
        <f t="shared" si="82"/>
        <v>105</v>
      </c>
      <c r="P365" s="148">
        <f t="shared" si="69"/>
        <v>573</v>
      </c>
      <c r="R365" s="163">
        <f>Ethanol!AD24</f>
        <v>125759.84903850676</v>
      </c>
      <c r="S365" s="157">
        <f t="shared" si="70"/>
        <v>33.221979320502335</v>
      </c>
      <c r="T365" s="154">
        <f t="shared" si="71"/>
        <v>0.68265622090769307</v>
      </c>
      <c r="V365" s="149">
        <f t="shared" si="72"/>
        <v>455</v>
      </c>
      <c r="W365" s="149">
        <f t="shared" si="73"/>
        <v>108</v>
      </c>
      <c r="X365" s="149">
        <f t="shared" si="74"/>
        <v>10</v>
      </c>
      <c r="Y365" s="149">
        <f t="shared" si="68"/>
        <v>573</v>
      </c>
      <c r="AA365" s="158">
        <f t="shared" si="75"/>
        <v>0.79406631762652702</v>
      </c>
      <c r="AB365" s="158">
        <f t="shared" si="75"/>
        <v>0.18848167539267016</v>
      </c>
      <c r="AC365" s="158">
        <f t="shared" si="75"/>
        <v>1.7452006980802792E-2</v>
      </c>
      <c r="AE365" s="148"/>
      <c r="AF365" s="161">
        <f t="shared" si="67"/>
        <v>331167.60246806784</v>
      </c>
      <c r="AG365" s="161">
        <f t="shared" si="76"/>
        <v>262969.0386090242</v>
      </c>
      <c r="AH365" s="162">
        <f t="shared" si="77"/>
        <v>10.352538815056203</v>
      </c>
      <c r="AI365" s="159"/>
      <c r="AJ365" s="157"/>
      <c r="AK365" s="157">
        <f t="shared" si="78"/>
        <v>9.8349118743033923</v>
      </c>
      <c r="AN365" s="161">
        <f t="shared" si="79"/>
        <v>99350.280740420349</v>
      </c>
    </row>
    <row r="366" spans="1:40">
      <c r="A366" s="156">
        <f>'BD Plant List'!A365</f>
        <v>50740</v>
      </c>
      <c r="B366" s="148">
        <f t="shared" si="83"/>
        <v>40</v>
      </c>
      <c r="C366" s="148">
        <f t="shared" si="82"/>
        <v>10</v>
      </c>
      <c r="D366" s="148">
        <f t="shared" si="82"/>
        <v>56</v>
      </c>
      <c r="E366" s="148">
        <f t="shared" si="82"/>
        <v>70</v>
      </c>
      <c r="F366" s="148">
        <f t="shared" si="82"/>
        <v>9</v>
      </c>
      <c r="G366" s="148">
        <f t="shared" si="82"/>
        <v>50</v>
      </c>
      <c r="H366" s="148">
        <f t="shared" si="82"/>
        <v>39</v>
      </c>
      <c r="I366" s="148">
        <f t="shared" si="82"/>
        <v>39</v>
      </c>
      <c r="J366" s="148">
        <f t="shared" si="82"/>
        <v>100</v>
      </c>
      <c r="K366" s="148">
        <f t="shared" si="82"/>
        <v>26</v>
      </c>
      <c r="L366" s="148">
        <f t="shared" si="82"/>
        <v>7</v>
      </c>
      <c r="M366" s="148">
        <f t="shared" si="82"/>
        <v>12</v>
      </c>
      <c r="N366" s="148">
        <f t="shared" si="82"/>
        <v>10</v>
      </c>
      <c r="O366" s="148">
        <f t="shared" si="82"/>
        <v>105</v>
      </c>
      <c r="P366" s="148">
        <f t="shared" si="69"/>
        <v>573</v>
      </c>
      <c r="R366" s="163">
        <f>Ethanol!AD25</f>
        <v>117555.86057673628</v>
      </c>
      <c r="S366" s="157">
        <f t="shared" si="70"/>
        <v>31.054731688556426</v>
      </c>
      <c r="T366" s="154">
        <f t="shared" si="71"/>
        <v>0.65939366296236734</v>
      </c>
      <c r="V366" s="149">
        <f t="shared" si="72"/>
        <v>455</v>
      </c>
      <c r="W366" s="149">
        <f t="shared" si="73"/>
        <v>108</v>
      </c>
      <c r="X366" s="149">
        <f t="shared" si="74"/>
        <v>10</v>
      </c>
      <c r="Y366" s="149">
        <f t="shared" si="68"/>
        <v>573</v>
      </c>
      <c r="AA366" s="158">
        <f t="shared" si="75"/>
        <v>0.79406631762652702</v>
      </c>
      <c r="AB366" s="158">
        <f t="shared" si="75"/>
        <v>0.18848167539267016</v>
      </c>
      <c r="AC366" s="158">
        <f t="shared" si="75"/>
        <v>1.7452006980802792E-2</v>
      </c>
      <c r="AE366" s="148"/>
      <c r="AF366" s="161">
        <f t="shared" si="67"/>
        <v>309563.76618540555</v>
      </c>
      <c r="AG366" s="161">
        <f t="shared" si="76"/>
        <v>245814.15988544418</v>
      </c>
      <c r="AH366" s="162">
        <f t="shared" si="77"/>
        <v>9.6771872649541777</v>
      </c>
      <c r="AI366" s="159"/>
      <c r="AJ366" s="157"/>
      <c r="AK366" s="157">
        <f t="shared" si="78"/>
        <v>9.1933279017064677</v>
      </c>
      <c r="AN366" s="161">
        <f t="shared" si="79"/>
        <v>92869.129855621664</v>
      </c>
    </row>
    <row r="367" spans="1:40">
      <c r="A367" s="156">
        <f>'BD Plant List'!A366</f>
        <v>50771</v>
      </c>
      <c r="B367" s="148">
        <f t="shared" si="83"/>
        <v>40</v>
      </c>
      <c r="C367" s="148">
        <f t="shared" si="82"/>
        <v>10</v>
      </c>
      <c r="D367" s="148">
        <f t="shared" si="82"/>
        <v>56</v>
      </c>
      <c r="E367" s="148">
        <f t="shared" si="82"/>
        <v>70</v>
      </c>
      <c r="F367" s="148">
        <f t="shared" si="82"/>
        <v>9</v>
      </c>
      <c r="G367" s="148">
        <f t="shared" si="82"/>
        <v>50</v>
      </c>
      <c r="H367" s="148">
        <f t="shared" si="82"/>
        <v>39</v>
      </c>
      <c r="I367" s="148">
        <f t="shared" si="82"/>
        <v>39</v>
      </c>
      <c r="J367" s="148">
        <f t="shared" si="82"/>
        <v>100</v>
      </c>
      <c r="K367" s="148">
        <f t="shared" si="82"/>
        <v>26</v>
      </c>
      <c r="L367" s="148">
        <f t="shared" si="82"/>
        <v>7</v>
      </c>
      <c r="M367" s="148">
        <f t="shared" si="82"/>
        <v>12</v>
      </c>
      <c r="N367" s="148">
        <f t="shared" si="82"/>
        <v>10</v>
      </c>
      <c r="O367" s="148">
        <f t="shared" si="82"/>
        <v>105</v>
      </c>
      <c r="P367" s="148">
        <f t="shared" si="69"/>
        <v>573</v>
      </c>
      <c r="R367" s="163">
        <f>Ethanol!AE14</f>
        <v>121450.27279235219</v>
      </c>
      <c r="S367" s="157">
        <f t="shared" si="70"/>
        <v>32.083518563555678</v>
      </c>
      <c r="T367" s="154">
        <f t="shared" si="71"/>
        <v>0.65926275267116041</v>
      </c>
      <c r="V367" s="149">
        <f t="shared" si="72"/>
        <v>455</v>
      </c>
      <c r="W367" s="149">
        <f t="shared" si="73"/>
        <v>108</v>
      </c>
      <c r="X367" s="149">
        <f t="shared" si="74"/>
        <v>10</v>
      </c>
      <c r="Y367" s="149">
        <f t="shared" si="68"/>
        <v>573</v>
      </c>
      <c r="AA367" s="158">
        <f t="shared" si="75"/>
        <v>0.79406631762652702</v>
      </c>
      <c r="AB367" s="158">
        <f t="shared" si="75"/>
        <v>0.18848167539267016</v>
      </c>
      <c r="AC367" s="158">
        <f t="shared" si="75"/>
        <v>1.7452006980802792E-2</v>
      </c>
      <c r="AE367" s="148"/>
      <c r="AF367" s="161">
        <f t="shared" si="67"/>
        <v>319819.05168652744</v>
      </c>
      <c r="AG367" s="161">
        <f t="shared" si="76"/>
        <v>253957.53667952877</v>
      </c>
      <c r="AH367" s="162">
        <f t="shared" si="77"/>
        <v>9.9977749082460203</v>
      </c>
      <c r="AI367" s="159"/>
      <c r="AJ367" s="157"/>
      <c r="AK367" s="157">
        <f t="shared" si="78"/>
        <v>9.4978861628337192</v>
      </c>
      <c r="AN367" s="161">
        <f t="shared" si="79"/>
        <v>95945.715505958229</v>
      </c>
    </row>
    <row r="368" spans="1:40">
      <c r="A368" s="156">
        <f>'BD Plant List'!A367</f>
        <v>50802</v>
      </c>
      <c r="B368" s="148">
        <f t="shared" si="83"/>
        <v>40</v>
      </c>
      <c r="C368" s="148">
        <f t="shared" si="82"/>
        <v>10</v>
      </c>
      <c r="D368" s="148">
        <f t="shared" si="82"/>
        <v>56</v>
      </c>
      <c r="E368" s="148">
        <f t="shared" si="82"/>
        <v>70</v>
      </c>
      <c r="F368" s="148">
        <f t="shared" si="82"/>
        <v>9</v>
      </c>
      <c r="G368" s="148">
        <f t="shared" si="82"/>
        <v>50</v>
      </c>
      <c r="H368" s="148">
        <f t="shared" si="82"/>
        <v>39</v>
      </c>
      <c r="I368" s="148">
        <f t="shared" si="82"/>
        <v>39</v>
      </c>
      <c r="J368" s="148">
        <f t="shared" si="82"/>
        <v>100</v>
      </c>
      <c r="K368" s="148">
        <f t="shared" si="82"/>
        <v>26</v>
      </c>
      <c r="L368" s="148">
        <f t="shared" si="82"/>
        <v>7</v>
      </c>
      <c r="M368" s="148">
        <f t="shared" si="82"/>
        <v>12</v>
      </c>
      <c r="N368" s="148">
        <f t="shared" si="82"/>
        <v>10</v>
      </c>
      <c r="O368" s="148">
        <f t="shared" si="82"/>
        <v>105</v>
      </c>
      <c r="P368" s="148">
        <f t="shared" si="69"/>
        <v>573</v>
      </c>
      <c r="R368" s="163">
        <f>Ethanol!AE15</f>
        <v>115279.83643112423</v>
      </c>
      <c r="S368" s="157">
        <f t="shared" si="70"/>
        <v>30.45347439001009</v>
      </c>
      <c r="T368" s="154">
        <f t="shared" si="71"/>
        <v>0.62576806577456967</v>
      </c>
      <c r="V368" s="149">
        <f t="shared" si="72"/>
        <v>455</v>
      </c>
      <c r="W368" s="149">
        <f t="shared" si="73"/>
        <v>108</v>
      </c>
      <c r="X368" s="149">
        <f t="shared" si="74"/>
        <v>10</v>
      </c>
      <c r="Y368" s="149">
        <f t="shared" si="68"/>
        <v>573</v>
      </c>
      <c r="AA368" s="158">
        <f t="shared" si="75"/>
        <v>0.79406631762652702</v>
      </c>
      <c r="AB368" s="158">
        <f t="shared" si="75"/>
        <v>0.18848167539267016</v>
      </c>
      <c r="AC368" s="158">
        <f t="shared" si="75"/>
        <v>1.7452006980802792E-2</v>
      </c>
      <c r="AE368" s="148"/>
      <c r="AF368" s="161">
        <f t="shared" si="67"/>
        <v>303570.23593529384</v>
      </c>
      <c r="AG368" s="161">
        <f t="shared" si="76"/>
        <v>241054.89939015478</v>
      </c>
      <c r="AH368" s="162">
        <f t="shared" si="77"/>
        <v>9.4898251737016732</v>
      </c>
      <c r="AI368" s="159"/>
      <c r="AJ368" s="157"/>
      <c r="AK368" s="157">
        <f t="shared" si="78"/>
        <v>9.0153339150165888</v>
      </c>
      <c r="AN368" s="161">
        <f t="shared" si="79"/>
        <v>91071.070780588154</v>
      </c>
    </row>
    <row r="369" spans="1:40">
      <c r="A369" s="156">
        <f>'BD Plant List'!A368</f>
        <v>50830</v>
      </c>
      <c r="B369" s="148">
        <f t="shared" si="83"/>
        <v>40</v>
      </c>
      <c r="C369" s="148">
        <f t="shared" si="82"/>
        <v>10</v>
      </c>
      <c r="D369" s="148">
        <f t="shared" si="82"/>
        <v>56</v>
      </c>
      <c r="E369" s="148">
        <f t="shared" si="82"/>
        <v>70</v>
      </c>
      <c r="F369" s="148">
        <f t="shared" si="82"/>
        <v>9</v>
      </c>
      <c r="G369" s="148">
        <f t="shared" si="82"/>
        <v>50</v>
      </c>
      <c r="H369" s="148">
        <f t="shared" si="82"/>
        <v>39</v>
      </c>
      <c r="I369" s="148">
        <f t="shared" si="82"/>
        <v>39</v>
      </c>
      <c r="J369" s="148">
        <f t="shared" si="82"/>
        <v>100</v>
      </c>
      <c r="K369" s="148">
        <f t="shared" si="82"/>
        <v>26</v>
      </c>
      <c r="L369" s="148">
        <f t="shared" si="82"/>
        <v>7</v>
      </c>
      <c r="M369" s="148">
        <f t="shared" si="82"/>
        <v>12</v>
      </c>
      <c r="N369" s="148">
        <f t="shared" si="82"/>
        <v>10</v>
      </c>
      <c r="O369" s="148">
        <f t="shared" si="82"/>
        <v>105</v>
      </c>
      <c r="P369" s="148">
        <f t="shared" si="69"/>
        <v>573</v>
      </c>
      <c r="R369" s="163">
        <f>Ethanol!AE16</f>
        <v>125223.04859360112</v>
      </c>
      <c r="S369" s="157">
        <f t="shared" si="70"/>
        <v>33.080172746971613</v>
      </c>
      <c r="T369" s="154">
        <f t="shared" si="71"/>
        <v>0.75257186815286947</v>
      </c>
      <c r="V369" s="149">
        <f t="shared" si="72"/>
        <v>455</v>
      </c>
      <c r="W369" s="149">
        <f t="shared" si="73"/>
        <v>108</v>
      </c>
      <c r="X369" s="149">
        <f t="shared" si="74"/>
        <v>10</v>
      </c>
      <c r="Y369" s="149">
        <f t="shared" si="68"/>
        <v>573</v>
      </c>
      <c r="AA369" s="158">
        <f t="shared" si="75"/>
        <v>0.79406631762652702</v>
      </c>
      <c r="AB369" s="158">
        <f t="shared" si="75"/>
        <v>0.18848167539267016</v>
      </c>
      <c r="AC369" s="158">
        <f t="shared" si="75"/>
        <v>1.7452006980802792E-2</v>
      </c>
      <c r="AE369" s="148"/>
      <c r="AF369" s="161">
        <f t="shared" si="67"/>
        <v>329754.02796314965</v>
      </c>
      <c r="AG369" s="161">
        <f t="shared" si="76"/>
        <v>261846.56670721306</v>
      </c>
      <c r="AH369" s="162">
        <f t="shared" si="77"/>
        <v>10.308349453472891</v>
      </c>
      <c r="AI369" s="159"/>
      <c r="AJ369" s="157"/>
      <c r="AK369" s="157">
        <f t="shared" si="78"/>
        <v>9.7929319807992457</v>
      </c>
      <c r="AN369" s="161">
        <f t="shared" si="79"/>
        <v>98926.208388944899</v>
      </c>
    </row>
    <row r="370" spans="1:40">
      <c r="A370" s="156">
        <f>'BD Plant List'!A369</f>
        <v>50861</v>
      </c>
      <c r="B370" s="148">
        <f t="shared" si="83"/>
        <v>40</v>
      </c>
      <c r="C370" s="148">
        <f t="shared" si="82"/>
        <v>10</v>
      </c>
      <c r="D370" s="148">
        <f t="shared" si="82"/>
        <v>56</v>
      </c>
      <c r="E370" s="148">
        <f t="shared" si="82"/>
        <v>70</v>
      </c>
      <c r="F370" s="148">
        <f t="shared" si="82"/>
        <v>9</v>
      </c>
      <c r="G370" s="148">
        <f t="shared" si="82"/>
        <v>50</v>
      </c>
      <c r="H370" s="148">
        <f t="shared" si="82"/>
        <v>39</v>
      </c>
      <c r="I370" s="148">
        <f t="shared" si="82"/>
        <v>39</v>
      </c>
      <c r="J370" s="148">
        <f t="shared" si="82"/>
        <v>100</v>
      </c>
      <c r="K370" s="148">
        <f t="shared" si="82"/>
        <v>26</v>
      </c>
      <c r="L370" s="148">
        <f t="shared" si="82"/>
        <v>7</v>
      </c>
      <c r="M370" s="148">
        <f t="shared" si="82"/>
        <v>12</v>
      </c>
      <c r="N370" s="148">
        <f t="shared" si="82"/>
        <v>10</v>
      </c>
      <c r="O370" s="148">
        <f t="shared" si="82"/>
        <v>105</v>
      </c>
      <c r="P370" s="148">
        <f t="shared" si="69"/>
        <v>573</v>
      </c>
      <c r="R370" s="163">
        <f>Ethanol!AE17</f>
        <v>112862.27047626508</v>
      </c>
      <c r="S370" s="157">
        <f t="shared" si="70"/>
        <v>29.814825991714947</v>
      </c>
      <c r="T370" s="154">
        <f t="shared" si="71"/>
        <v>0.61264490722152531</v>
      </c>
      <c r="V370" s="149">
        <f t="shared" si="72"/>
        <v>455</v>
      </c>
      <c r="W370" s="149">
        <f t="shared" si="73"/>
        <v>108</v>
      </c>
      <c r="X370" s="149">
        <f t="shared" si="74"/>
        <v>10</v>
      </c>
      <c r="Y370" s="149">
        <f t="shared" si="68"/>
        <v>573</v>
      </c>
      <c r="AA370" s="158">
        <f t="shared" si="75"/>
        <v>0.79406631762652702</v>
      </c>
      <c r="AB370" s="158">
        <f t="shared" si="75"/>
        <v>0.18848167539267016</v>
      </c>
      <c r="AC370" s="158">
        <f t="shared" si="75"/>
        <v>1.7452006980802792E-2</v>
      </c>
      <c r="AE370" s="148"/>
      <c r="AF370" s="161">
        <f t="shared" si="67"/>
        <v>297203.9789208314</v>
      </c>
      <c r="AG370" s="161">
        <f t="shared" si="76"/>
        <v>235999.66912561655</v>
      </c>
      <c r="AH370" s="162">
        <f t="shared" si="77"/>
        <v>9.2908113741703584</v>
      </c>
      <c r="AI370" s="159"/>
      <c r="AJ370" s="157"/>
      <c r="AK370" s="157">
        <f t="shared" si="78"/>
        <v>8.8262708054618404</v>
      </c>
      <c r="AN370" s="161">
        <f t="shared" si="79"/>
        <v>89161.193676249415</v>
      </c>
    </row>
    <row r="371" spans="1:40">
      <c r="A371" s="156">
        <f>'BD Plant List'!A370</f>
        <v>50891</v>
      </c>
      <c r="B371" s="148">
        <f t="shared" si="83"/>
        <v>40</v>
      </c>
      <c r="C371" s="148">
        <f t="shared" si="82"/>
        <v>10</v>
      </c>
      <c r="D371" s="148">
        <f t="shared" si="82"/>
        <v>56</v>
      </c>
      <c r="E371" s="148">
        <f t="shared" si="82"/>
        <v>70</v>
      </c>
      <c r="F371" s="148">
        <f t="shared" si="82"/>
        <v>9</v>
      </c>
      <c r="G371" s="148">
        <f t="shared" si="82"/>
        <v>50</v>
      </c>
      <c r="H371" s="148">
        <f t="shared" si="82"/>
        <v>39</v>
      </c>
      <c r="I371" s="148">
        <f t="shared" si="82"/>
        <v>39</v>
      </c>
      <c r="J371" s="148">
        <f t="shared" si="82"/>
        <v>100</v>
      </c>
      <c r="K371" s="148">
        <f t="shared" si="82"/>
        <v>26</v>
      </c>
      <c r="L371" s="148">
        <f t="shared" si="82"/>
        <v>7</v>
      </c>
      <c r="M371" s="148">
        <f t="shared" si="82"/>
        <v>12</v>
      </c>
      <c r="N371" s="148">
        <f t="shared" si="82"/>
        <v>10</v>
      </c>
      <c r="O371" s="148">
        <f t="shared" si="82"/>
        <v>105</v>
      </c>
      <c r="P371" s="148">
        <f t="shared" si="69"/>
        <v>573</v>
      </c>
      <c r="R371" s="163">
        <f>Ethanol!AE18</f>
        <v>116395.882550539</v>
      </c>
      <c r="S371" s="157">
        <f t="shared" si="70"/>
        <v>30.748300293375891</v>
      </c>
      <c r="T371" s="154">
        <f t="shared" si="71"/>
        <v>0.65288712083084344</v>
      </c>
      <c r="V371" s="149">
        <f t="shared" si="72"/>
        <v>455</v>
      </c>
      <c r="W371" s="149">
        <f t="shared" si="73"/>
        <v>108</v>
      </c>
      <c r="X371" s="149">
        <f t="shared" si="74"/>
        <v>10</v>
      </c>
      <c r="Y371" s="149">
        <f t="shared" si="68"/>
        <v>573</v>
      </c>
      <c r="AA371" s="158">
        <f t="shared" si="75"/>
        <v>0.79406631762652702</v>
      </c>
      <c r="AB371" s="158">
        <f t="shared" si="75"/>
        <v>0.18848167539267016</v>
      </c>
      <c r="AC371" s="158">
        <f t="shared" si="75"/>
        <v>1.7452006980802792E-2</v>
      </c>
      <c r="AE371" s="148"/>
      <c r="AF371" s="161">
        <f t="shared" si="67"/>
        <v>306509.15738308604</v>
      </c>
      <c r="AG371" s="161">
        <f t="shared" si="76"/>
        <v>243388.59792199676</v>
      </c>
      <c r="AH371" s="162">
        <f t="shared" si="77"/>
        <v>9.5816979841333758</v>
      </c>
      <c r="AI371" s="159"/>
      <c r="AJ371" s="157"/>
      <c r="AK371" s="157">
        <f t="shared" si="78"/>
        <v>9.1026130849267073</v>
      </c>
      <c r="AN371" s="161">
        <f t="shared" si="79"/>
        <v>91952.74721492581</v>
      </c>
    </row>
    <row r="372" spans="1:40">
      <c r="A372" s="156">
        <f>'BD Plant List'!A371</f>
        <v>50922</v>
      </c>
      <c r="B372" s="148">
        <f t="shared" si="83"/>
        <v>40</v>
      </c>
      <c r="C372" s="148">
        <f t="shared" si="82"/>
        <v>10</v>
      </c>
      <c r="D372" s="148">
        <f t="shared" si="82"/>
        <v>56</v>
      </c>
      <c r="E372" s="148">
        <f t="shared" si="82"/>
        <v>70</v>
      </c>
      <c r="F372" s="148">
        <f t="shared" si="82"/>
        <v>9</v>
      </c>
      <c r="G372" s="148">
        <f t="shared" si="82"/>
        <v>50</v>
      </c>
      <c r="H372" s="148">
        <f t="shared" si="82"/>
        <v>39</v>
      </c>
      <c r="I372" s="148">
        <f t="shared" si="82"/>
        <v>39</v>
      </c>
      <c r="J372" s="148">
        <f t="shared" si="82"/>
        <v>100</v>
      </c>
      <c r="K372" s="148">
        <f t="shared" si="82"/>
        <v>26</v>
      </c>
      <c r="L372" s="148">
        <f t="shared" si="82"/>
        <v>7</v>
      </c>
      <c r="M372" s="148">
        <f t="shared" si="82"/>
        <v>12</v>
      </c>
      <c r="N372" s="148">
        <f t="shared" si="82"/>
        <v>10</v>
      </c>
      <c r="O372" s="148">
        <f t="shared" si="82"/>
        <v>105</v>
      </c>
      <c r="P372" s="148">
        <f t="shared" si="69"/>
        <v>573</v>
      </c>
      <c r="R372" s="163">
        <f>Ethanol!AE19</f>
        <v>115724.40571269987</v>
      </c>
      <c r="S372" s="157">
        <f t="shared" si="70"/>
        <v>30.570916257123926</v>
      </c>
      <c r="T372" s="154">
        <f t="shared" si="71"/>
        <v>0.62818130010979178</v>
      </c>
      <c r="V372" s="149">
        <f t="shared" si="72"/>
        <v>455</v>
      </c>
      <c r="W372" s="149">
        <f t="shared" si="73"/>
        <v>108</v>
      </c>
      <c r="X372" s="149">
        <f t="shared" si="74"/>
        <v>10</v>
      </c>
      <c r="Y372" s="149">
        <f t="shared" si="68"/>
        <v>573</v>
      </c>
      <c r="AA372" s="158">
        <f t="shared" si="75"/>
        <v>0.79406631762652702</v>
      </c>
      <c r="AB372" s="158">
        <f t="shared" si="75"/>
        <v>0.18848167539267016</v>
      </c>
      <c r="AC372" s="158">
        <f t="shared" si="75"/>
        <v>1.7452006980802792E-2</v>
      </c>
      <c r="AE372" s="148"/>
      <c r="AF372" s="161">
        <f t="shared" si="67"/>
        <v>304740.93504344299</v>
      </c>
      <c r="AG372" s="161">
        <f t="shared" si="76"/>
        <v>241984.51212001144</v>
      </c>
      <c r="AH372" s="162">
        <f t="shared" si="77"/>
        <v>9.5264220746893979</v>
      </c>
      <c r="AI372" s="159"/>
      <c r="AJ372" s="157"/>
      <c r="AK372" s="157">
        <f t="shared" si="78"/>
        <v>9.0501009709549276</v>
      </c>
      <c r="AN372" s="161">
        <f t="shared" si="79"/>
        <v>91422.280513032892</v>
      </c>
    </row>
    <row r="373" spans="1:40">
      <c r="A373" s="156">
        <f>'BD Plant List'!A372</f>
        <v>50952</v>
      </c>
      <c r="B373" s="148">
        <f t="shared" si="83"/>
        <v>40</v>
      </c>
      <c r="C373" s="148">
        <f t="shared" si="82"/>
        <v>10</v>
      </c>
      <c r="D373" s="148">
        <f t="shared" si="82"/>
        <v>56</v>
      </c>
      <c r="E373" s="148">
        <f t="shared" si="82"/>
        <v>70</v>
      </c>
      <c r="F373" s="148">
        <f t="shared" si="82"/>
        <v>9</v>
      </c>
      <c r="G373" s="148">
        <f t="shared" si="82"/>
        <v>50</v>
      </c>
      <c r="H373" s="148">
        <f t="shared" si="82"/>
        <v>39</v>
      </c>
      <c r="I373" s="148">
        <f t="shared" si="82"/>
        <v>39</v>
      </c>
      <c r="J373" s="148">
        <f t="shared" si="82"/>
        <v>100</v>
      </c>
      <c r="K373" s="148">
        <f t="shared" si="82"/>
        <v>26</v>
      </c>
      <c r="L373" s="148">
        <f t="shared" si="82"/>
        <v>7</v>
      </c>
      <c r="M373" s="148">
        <f t="shared" si="82"/>
        <v>12</v>
      </c>
      <c r="N373" s="148">
        <f t="shared" si="82"/>
        <v>10</v>
      </c>
      <c r="O373" s="148">
        <f t="shared" si="82"/>
        <v>105</v>
      </c>
      <c r="P373" s="148">
        <f t="shared" si="69"/>
        <v>573</v>
      </c>
      <c r="R373" s="163">
        <f>Ethanol!AE20</f>
        <v>126967.8828649256</v>
      </c>
      <c r="S373" s="157">
        <f t="shared" si="70"/>
        <v>33.541105616427402</v>
      </c>
      <c r="T373" s="154">
        <f t="shared" si="71"/>
        <v>0.71218752472344393</v>
      </c>
      <c r="V373" s="149">
        <f t="shared" si="72"/>
        <v>455</v>
      </c>
      <c r="W373" s="149">
        <f t="shared" si="73"/>
        <v>108</v>
      </c>
      <c r="X373" s="149">
        <f t="shared" si="74"/>
        <v>10</v>
      </c>
      <c r="Y373" s="149">
        <f t="shared" si="68"/>
        <v>573</v>
      </c>
      <c r="AA373" s="158">
        <f t="shared" si="75"/>
        <v>0.79406631762652702</v>
      </c>
      <c r="AB373" s="158">
        <f t="shared" si="75"/>
        <v>0.18848167539267016</v>
      </c>
      <c r="AC373" s="158">
        <f t="shared" si="75"/>
        <v>1.7452006980802792E-2</v>
      </c>
      <c r="AE373" s="148"/>
      <c r="AF373" s="161">
        <f t="shared" si="67"/>
        <v>334348.75821097079</v>
      </c>
      <c r="AG373" s="161">
        <f t="shared" si="76"/>
        <v>265495.08723558759</v>
      </c>
      <c r="AH373" s="162">
        <f t="shared" si="77"/>
        <v>10.451984044781888</v>
      </c>
      <c r="AI373" s="159"/>
      <c r="AJ373" s="157"/>
      <c r="AK373" s="157">
        <f t="shared" si="78"/>
        <v>9.9293848425427935</v>
      </c>
      <c r="AN373" s="161">
        <f t="shared" si="79"/>
        <v>100304.62746329122</v>
      </c>
    </row>
    <row r="374" spans="1:40">
      <c r="A374" s="156">
        <f>'BD Plant List'!A373</f>
        <v>50983</v>
      </c>
      <c r="B374" s="148">
        <f t="shared" si="83"/>
        <v>40</v>
      </c>
      <c r="C374" s="148">
        <f t="shared" si="82"/>
        <v>10</v>
      </c>
      <c r="D374" s="148">
        <f t="shared" si="82"/>
        <v>56</v>
      </c>
      <c r="E374" s="148">
        <f t="shared" si="82"/>
        <v>70</v>
      </c>
      <c r="F374" s="148">
        <f t="shared" si="82"/>
        <v>9</v>
      </c>
      <c r="G374" s="148">
        <f t="shared" si="82"/>
        <v>50</v>
      </c>
      <c r="H374" s="148">
        <f t="shared" si="82"/>
        <v>39</v>
      </c>
      <c r="I374" s="148">
        <f t="shared" si="82"/>
        <v>39</v>
      </c>
      <c r="J374" s="148">
        <f t="shared" si="82"/>
        <v>100</v>
      </c>
      <c r="K374" s="148">
        <f t="shared" si="82"/>
        <v>26</v>
      </c>
      <c r="L374" s="148">
        <f t="shared" si="82"/>
        <v>7</v>
      </c>
      <c r="M374" s="148">
        <f t="shared" si="82"/>
        <v>12</v>
      </c>
      <c r="N374" s="148">
        <f t="shared" si="82"/>
        <v>10</v>
      </c>
      <c r="O374" s="148">
        <f t="shared" si="82"/>
        <v>105</v>
      </c>
      <c r="P374" s="148">
        <f t="shared" si="69"/>
        <v>573</v>
      </c>
      <c r="R374" s="163">
        <f>Ethanol!AE21</f>
        <v>127669.70053915093</v>
      </c>
      <c r="S374" s="157">
        <f t="shared" si="70"/>
        <v>33.726504791427502</v>
      </c>
      <c r="T374" s="154">
        <f t="shared" si="71"/>
        <v>0.69302337718127782</v>
      </c>
      <c r="V374" s="149">
        <f t="shared" si="72"/>
        <v>455</v>
      </c>
      <c r="W374" s="149">
        <f t="shared" si="73"/>
        <v>108</v>
      </c>
      <c r="X374" s="149">
        <f t="shared" si="74"/>
        <v>10</v>
      </c>
      <c r="Y374" s="149">
        <f t="shared" si="68"/>
        <v>573</v>
      </c>
      <c r="AA374" s="158">
        <f t="shared" si="75"/>
        <v>0.79406631762652702</v>
      </c>
      <c r="AB374" s="158">
        <f t="shared" si="75"/>
        <v>0.18848167539267016</v>
      </c>
      <c r="AC374" s="158">
        <f t="shared" si="75"/>
        <v>1.7452006980802792E-2</v>
      </c>
      <c r="AE374" s="148"/>
      <c r="AF374" s="161">
        <f t="shared" si="67"/>
        <v>336196.87808643084</v>
      </c>
      <c r="AG374" s="161">
        <f t="shared" si="76"/>
        <v>266962.61697962659</v>
      </c>
      <c r="AH374" s="162">
        <f t="shared" si="77"/>
        <v>10.509757608992242</v>
      </c>
      <c r="AI374" s="159"/>
      <c r="AJ374" s="157"/>
      <c r="AK374" s="157">
        <f t="shared" si="78"/>
        <v>9.9842697285426301</v>
      </c>
      <c r="AN374" s="161">
        <f t="shared" si="79"/>
        <v>100859.06342592924</v>
      </c>
    </row>
    <row r="375" spans="1:40">
      <c r="A375" s="156">
        <f>'BD Plant List'!A374</f>
        <v>51014</v>
      </c>
      <c r="B375" s="148">
        <f t="shared" si="83"/>
        <v>40</v>
      </c>
      <c r="C375" s="148">
        <f t="shared" si="82"/>
        <v>10</v>
      </c>
      <c r="D375" s="148">
        <f t="shared" si="82"/>
        <v>56</v>
      </c>
      <c r="E375" s="148">
        <f t="shared" si="82"/>
        <v>70</v>
      </c>
      <c r="F375" s="148">
        <f t="shared" si="82"/>
        <v>9</v>
      </c>
      <c r="G375" s="148">
        <f t="shared" si="82"/>
        <v>50</v>
      </c>
      <c r="H375" s="148">
        <f t="shared" si="82"/>
        <v>39</v>
      </c>
      <c r="I375" s="148">
        <f t="shared" si="82"/>
        <v>39</v>
      </c>
      <c r="J375" s="148">
        <f t="shared" si="82"/>
        <v>100</v>
      </c>
      <c r="K375" s="148">
        <f t="shared" si="82"/>
        <v>26</v>
      </c>
      <c r="L375" s="148">
        <f t="shared" si="82"/>
        <v>7</v>
      </c>
      <c r="M375" s="148">
        <f t="shared" si="82"/>
        <v>12</v>
      </c>
      <c r="N375" s="148">
        <f t="shared" si="82"/>
        <v>10</v>
      </c>
      <c r="O375" s="148">
        <f t="shared" si="82"/>
        <v>105</v>
      </c>
      <c r="P375" s="148">
        <f t="shared" si="69"/>
        <v>573</v>
      </c>
      <c r="R375" s="163">
        <f>Ethanol!AE22</f>
        <v>112090.19863166503</v>
      </c>
      <c r="S375" s="157">
        <f t="shared" si="70"/>
        <v>29.610867772526955</v>
      </c>
      <c r="T375" s="154">
        <f t="shared" si="71"/>
        <v>0.6084539062642762</v>
      </c>
      <c r="V375" s="149">
        <f t="shared" si="72"/>
        <v>455</v>
      </c>
      <c r="W375" s="149">
        <f t="shared" si="73"/>
        <v>108</v>
      </c>
      <c r="X375" s="149">
        <f t="shared" si="74"/>
        <v>10</v>
      </c>
      <c r="Y375" s="149">
        <f t="shared" si="68"/>
        <v>573</v>
      </c>
      <c r="AA375" s="158">
        <f t="shared" si="75"/>
        <v>0.79406631762652702</v>
      </c>
      <c r="AB375" s="158">
        <f t="shared" si="75"/>
        <v>0.18848167539267016</v>
      </c>
      <c r="AC375" s="158">
        <f t="shared" si="75"/>
        <v>1.7452006980802792E-2</v>
      </c>
      <c r="AE375" s="148"/>
      <c r="AF375" s="161">
        <f t="shared" si="67"/>
        <v>295170.85639671795</v>
      </c>
      <c r="AG375" s="161">
        <f t="shared" si="76"/>
        <v>234385.23500961022</v>
      </c>
      <c r="AH375" s="162">
        <f t="shared" si="77"/>
        <v>9.2272544933348328</v>
      </c>
      <c r="AI375" s="159"/>
      <c r="AJ375" s="157"/>
      <c r="AK375" s="157">
        <f t="shared" si="78"/>
        <v>8.7658917686680908</v>
      </c>
      <c r="AN375" s="161">
        <f t="shared" si="79"/>
        <v>88551.256919015374</v>
      </c>
    </row>
    <row r="376" spans="1:40">
      <c r="A376" s="156">
        <f>'BD Plant List'!A375</f>
        <v>51044</v>
      </c>
      <c r="B376" s="148">
        <f t="shared" si="83"/>
        <v>40</v>
      </c>
      <c r="C376" s="148">
        <f t="shared" si="82"/>
        <v>10</v>
      </c>
      <c r="D376" s="148">
        <f t="shared" si="82"/>
        <v>56</v>
      </c>
      <c r="E376" s="148">
        <f t="shared" si="82"/>
        <v>70</v>
      </c>
      <c r="F376" s="148">
        <f t="shared" si="82"/>
        <v>9</v>
      </c>
      <c r="G376" s="148">
        <f t="shared" si="82"/>
        <v>50</v>
      </c>
      <c r="H376" s="148">
        <f t="shared" si="82"/>
        <v>39</v>
      </c>
      <c r="I376" s="148">
        <f t="shared" si="82"/>
        <v>39</v>
      </c>
      <c r="J376" s="148">
        <f t="shared" si="82"/>
        <v>100</v>
      </c>
      <c r="K376" s="148">
        <f t="shared" si="82"/>
        <v>26</v>
      </c>
      <c r="L376" s="148">
        <f t="shared" si="82"/>
        <v>7</v>
      </c>
      <c r="M376" s="148">
        <f t="shared" si="82"/>
        <v>12</v>
      </c>
      <c r="N376" s="148">
        <f t="shared" si="82"/>
        <v>10</v>
      </c>
      <c r="O376" s="148">
        <f t="shared" si="82"/>
        <v>105</v>
      </c>
      <c r="P376" s="148">
        <f t="shared" si="69"/>
        <v>573</v>
      </c>
      <c r="R376" s="163">
        <f>Ethanol!AE23</f>
        <v>111468.79195645019</v>
      </c>
      <c r="S376" s="157">
        <f t="shared" si="70"/>
        <v>29.44671077113545</v>
      </c>
      <c r="T376" s="154">
        <f t="shared" si="71"/>
        <v>0.62525011235976957</v>
      </c>
      <c r="V376" s="149">
        <f t="shared" si="72"/>
        <v>455</v>
      </c>
      <c r="W376" s="149">
        <f t="shared" si="73"/>
        <v>108</v>
      </c>
      <c r="X376" s="149">
        <f t="shared" si="74"/>
        <v>10</v>
      </c>
      <c r="Y376" s="149">
        <f t="shared" si="68"/>
        <v>573</v>
      </c>
      <c r="AA376" s="158">
        <f t="shared" si="75"/>
        <v>0.79406631762652702</v>
      </c>
      <c r="AB376" s="158">
        <f t="shared" si="75"/>
        <v>0.18848167539267016</v>
      </c>
      <c r="AC376" s="158">
        <f t="shared" si="75"/>
        <v>1.7452006980802792E-2</v>
      </c>
      <c r="AE376" s="148"/>
      <c r="AF376" s="161">
        <f t="shared" si="67"/>
        <v>293534.48548531887</v>
      </c>
      <c r="AG376" s="161">
        <f t="shared" si="76"/>
        <v>233085.84798572439</v>
      </c>
      <c r="AH376" s="162">
        <f t="shared" si="77"/>
        <v>9.1761003549171978</v>
      </c>
      <c r="AI376" s="159"/>
      <c r="AJ376" s="157"/>
      <c r="AK376" s="157">
        <f t="shared" si="78"/>
        <v>8.717295337171338</v>
      </c>
      <c r="AN376" s="161">
        <f t="shared" si="79"/>
        <v>88060.345645595662</v>
      </c>
    </row>
    <row r="377" spans="1:40">
      <c r="A377" s="156">
        <f>'BD Plant List'!A376</f>
        <v>51075</v>
      </c>
      <c r="B377" s="148">
        <f t="shared" si="83"/>
        <v>40</v>
      </c>
      <c r="C377" s="148">
        <f t="shared" si="82"/>
        <v>10</v>
      </c>
      <c r="D377" s="148">
        <f t="shared" si="82"/>
        <v>56</v>
      </c>
      <c r="E377" s="148">
        <f t="shared" si="82"/>
        <v>70</v>
      </c>
      <c r="F377" s="148">
        <f t="shared" si="82"/>
        <v>9</v>
      </c>
      <c r="G377" s="148">
        <f t="shared" si="82"/>
        <v>50</v>
      </c>
      <c r="H377" s="148">
        <f t="shared" si="82"/>
        <v>39</v>
      </c>
      <c r="I377" s="148">
        <f t="shared" si="82"/>
        <v>39</v>
      </c>
      <c r="J377" s="148">
        <f t="shared" si="82"/>
        <v>100</v>
      </c>
      <c r="K377" s="148">
        <f t="shared" si="82"/>
        <v>26</v>
      </c>
      <c r="L377" s="148">
        <f t="shared" si="82"/>
        <v>7</v>
      </c>
      <c r="M377" s="148">
        <f t="shared" si="82"/>
        <v>12</v>
      </c>
      <c r="N377" s="148">
        <f t="shared" si="82"/>
        <v>10</v>
      </c>
      <c r="O377" s="148">
        <f t="shared" si="82"/>
        <v>105</v>
      </c>
      <c r="P377" s="148">
        <f t="shared" si="69"/>
        <v>573</v>
      </c>
      <c r="R377" s="163">
        <f>Ethanol!AE24</f>
        <v>124800.80982235692</v>
      </c>
      <c r="S377" s="157">
        <f t="shared" si="70"/>
        <v>32.968629930772032</v>
      </c>
      <c r="T377" s="154">
        <f t="shared" si="71"/>
        <v>0.67745031383954235</v>
      </c>
      <c r="V377" s="149">
        <f t="shared" si="72"/>
        <v>455</v>
      </c>
      <c r="W377" s="149">
        <f t="shared" si="73"/>
        <v>108</v>
      </c>
      <c r="X377" s="149">
        <f t="shared" si="74"/>
        <v>10</v>
      </c>
      <c r="Y377" s="149">
        <f t="shared" si="68"/>
        <v>573</v>
      </c>
      <c r="AA377" s="158">
        <f t="shared" si="75"/>
        <v>0.79406631762652702</v>
      </c>
      <c r="AB377" s="158">
        <f t="shared" si="75"/>
        <v>0.18848167539267016</v>
      </c>
      <c r="AC377" s="158">
        <f t="shared" si="75"/>
        <v>1.7452006980802792E-2</v>
      </c>
      <c r="AE377" s="148"/>
      <c r="AF377" s="161">
        <f t="shared" si="67"/>
        <v>328642.1325322066</v>
      </c>
      <c r="AG377" s="161">
        <f t="shared" si="76"/>
        <v>260963.64799677834</v>
      </c>
      <c r="AH377" s="162">
        <f t="shared" si="77"/>
        <v>10.27359079797237</v>
      </c>
      <c r="AI377" s="159"/>
      <c r="AJ377" s="157"/>
      <c r="AK377" s="157">
        <f t="shared" si="78"/>
        <v>9.7599112580737497</v>
      </c>
      <c r="AN377" s="161">
        <f t="shared" si="79"/>
        <v>98592.639759661979</v>
      </c>
    </row>
    <row r="378" spans="1:40">
      <c r="A378" s="156">
        <f>'BD Plant List'!A377</f>
        <v>51105</v>
      </c>
      <c r="B378" s="148">
        <f t="shared" si="83"/>
        <v>40</v>
      </c>
      <c r="C378" s="148">
        <f t="shared" si="82"/>
        <v>10</v>
      </c>
      <c r="D378" s="148">
        <f t="shared" si="82"/>
        <v>56</v>
      </c>
      <c r="E378" s="148">
        <f t="shared" si="82"/>
        <v>70</v>
      </c>
      <c r="F378" s="148">
        <f t="shared" si="82"/>
        <v>9</v>
      </c>
      <c r="G378" s="148">
        <f t="shared" si="82"/>
        <v>50</v>
      </c>
      <c r="H378" s="148">
        <f t="shared" si="82"/>
        <v>39</v>
      </c>
      <c r="I378" s="148">
        <f t="shared" si="82"/>
        <v>39</v>
      </c>
      <c r="J378" s="148">
        <f t="shared" si="82"/>
        <v>100</v>
      </c>
      <c r="K378" s="148">
        <f t="shared" si="82"/>
        <v>26</v>
      </c>
      <c r="L378" s="148">
        <f t="shared" si="82"/>
        <v>7</v>
      </c>
      <c r="M378" s="148">
        <f t="shared" si="82"/>
        <v>12</v>
      </c>
      <c r="N378" s="148">
        <f t="shared" si="82"/>
        <v>10</v>
      </c>
      <c r="O378" s="148">
        <f t="shared" si="82"/>
        <v>105</v>
      </c>
      <c r="P378" s="148">
        <f t="shared" si="69"/>
        <v>573</v>
      </c>
      <c r="R378" s="163">
        <f>Ethanol!AE25</f>
        <v>116625.18512548856</v>
      </c>
      <c r="S378" s="157">
        <f t="shared" si="70"/>
        <v>30.808875154600315</v>
      </c>
      <c r="T378" s="154">
        <f t="shared" si="71"/>
        <v>0.65417332352699908</v>
      </c>
      <c r="V378" s="149">
        <f t="shared" si="72"/>
        <v>455</v>
      </c>
      <c r="W378" s="149">
        <f t="shared" si="73"/>
        <v>108</v>
      </c>
      <c r="X378" s="149">
        <f t="shared" si="74"/>
        <v>10</v>
      </c>
      <c r="Y378" s="149">
        <f t="shared" si="68"/>
        <v>573</v>
      </c>
      <c r="AA378" s="158">
        <f t="shared" si="75"/>
        <v>0.79406631762652702</v>
      </c>
      <c r="AB378" s="158">
        <f t="shared" si="75"/>
        <v>0.18848167539267016</v>
      </c>
      <c r="AC378" s="158">
        <f t="shared" si="75"/>
        <v>1.7452006980802792E-2</v>
      </c>
      <c r="AE378" s="148"/>
      <c r="AF378" s="161">
        <f t="shared" si="67"/>
        <v>307112.98749711987</v>
      </c>
      <c r="AG378" s="161">
        <f t="shared" si="76"/>
        <v>243868.07907711962</v>
      </c>
      <c r="AH378" s="162">
        <f t="shared" si="77"/>
        <v>9.6005741503001385</v>
      </c>
      <c r="AI378" s="159"/>
      <c r="AJ378" s="157"/>
      <c r="AK378" s="157">
        <f t="shared" si="78"/>
        <v>9.1205454427851311</v>
      </c>
      <c r="AN378" s="161">
        <f t="shared" si="79"/>
        <v>92133.896249135956</v>
      </c>
    </row>
    <row r="379" spans="1:40">
      <c r="A379" s="156">
        <f>'BD Plant List'!A378</f>
        <v>51136</v>
      </c>
      <c r="B379" s="148">
        <f t="shared" si="83"/>
        <v>40</v>
      </c>
      <c r="C379" s="148">
        <f t="shared" si="82"/>
        <v>10</v>
      </c>
      <c r="D379" s="148">
        <f t="shared" si="82"/>
        <v>56</v>
      </c>
      <c r="E379" s="148">
        <f t="shared" si="82"/>
        <v>70</v>
      </c>
      <c r="F379" s="148">
        <f t="shared" si="82"/>
        <v>9</v>
      </c>
      <c r="G379" s="148">
        <f t="shared" si="82"/>
        <v>50</v>
      </c>
      <c r="H379" s="148">
        <f t="shared" si="82"/>
        <v>39</v>
      </c>
      <c r="I379" s="148">
        <f t="shared" si="82"/>
        <v>39</v>
      </c>
      <c r="J379" s="148">
        <f t="shared" si="82"/>
        <v>100</v>
      </c>
      <c r="K379" s="148">
        <f t="shared" si="82"/>
        <v>26</v>
      </c>
      <c r="L379" s="148">
        <f t="shared" si="82"/>
        <v>7</v>
      </c>
      <c r="M379" s="148">
        <f t="shared" si="82"/>
        <v>12</v>
      </c>
      <c r="N379" s="148">
        <f t="shared" si="82"/>
        <v>10</v>
      </c>
      <c r="O379" s="148">
        <f t="shared" si="82"/>
        <v>105</v>
      </c>
      <c r="P379" s="148">
        <f t="shared" si="69"/>
        <v>573</v>
      </c>
      <c r="R379" s="163">
        <f>Ethanol!AF14</f>
        <v>120480.77362608977</v>
      </c>
      <c r="S379" s="157">
        <f t="shared" si="70"/>
        <v>31.827405968804136</v>
      </c>
      <c r="T379" s="154">
        <f t="shared" si="71"/>
        <v>0.65400006635216512</v>
      </c>
      <c r="V379" s="149">
        <f t="shared" si="72"/>
        <v>455</v>
      </c>
      <c r="W379" s="149">
        <f t="shared" si="73"/>
        <v>108</v>
      </c>
      <c r="X379" s="149">
        <f t="shared" si="74"/>
        <v>10</v>
      </c>
      <c r="Y379" s="149">
        <f t="shared" si="68"/>
        <v>573</v>
      </c>
      <c r="AA379" s="158">
        <f t="shared" si="75"/>
        <v>0.79406631762652702</v>
      </c>
      <c r="AB379" s="158">
        <f t="shared" si="75"/>
        <v>0.18848167539267016</v>
      </c>
      <c r="AC379" s="158">
        <f t="shared" si="75"/>
        <v>1.7452006980802792E-2</v>
      </c>
      <c r="AE379" s="148"/>
      <c r="AF379" s="161">
        <f t="shared" si="67"/>
        <v>317266.03721536975</v>
      </c>
      <c r="AG379" s="161">
        <f t="shared" si="76"/>
        <v>251930.27387956934</v>
      </c>
      <c r="AH379" s="162">
        <f t="shared" si="77"/>
        <v>9.9179658290634976</v>
      </c>
      <c r="AI379" s="159"/>
      <c r="AJ379" s="157"/>
      <c r="AK379" s="157">
        <f t="shared" si="78"/>
        <v>9.4220675376103227</v>
      </c>
      <c r="AN379" s="161">
        <f t="shared" si="79"/>
        <v>95179.811164610917</v>
      </c>
    </row>
    <row r="380" spans="1:40">
      <c r="A380" s="156">
        <f>'BD Plant List'!A379</f>
        <v>51167</v>
      </c>
      <c r="B380" s="148">
        <f t="shared" si="83"/>
        <v>40</v>
      </c>
      <c r="C380" s="148">
        <f t="shared" si="82"/>
        <v>10</v>
      </c>
      <c r="D380" s="148">
        <f t="shared" si="82"/>
        <v>56</v>
      </c>
      <c r="E380" s="148">
        <f t="shared" si="82"/>
        <v>70</v>
      </c>
      <c r="F380" s="148">
        <f t="shared" si="82"/>
        <v>9</v>
      </c>
      <c r="G380" s="148">
        <f t="shared" si="82"/>
        <v>50</v>
      </c>
      <c r="H380" s="148">
        <f t="shared" si="82"/>
        <v>39</v>
      </c>
      <c r="I380" s="148">
        <f t="shared" si="82"/>
        <v>39</v>
      </c>
      <c r="J380" s="148">
        <f t="shared" si="82"/>
        <v>100</v>
      </c>
      <c r="K380" s="148">
        <f t="shared" si="82"/>
        <v>26</v>
      </c>
      <c r="L380" s="148">
        <f t="shared" si="82"/>
        <v>7</v>
      </c>
      <c r="M380" s="148">
        <f t="shared" si="82"/>
        <v>12</v>
      </c>
      <c r="N380" s="148">
        <f t="shared" si="82"/>
        <v>10</v>
      </c>
      <c r="O380" s="148">
        <f t="shared" si="82"/>
        <v>105</v>
      </c>
      <c r="P380" s="148">
        <f t="shared" si="69"/>
        <v>573</v>
      </c>
      <c r="R380" s="163">
        <f>Ethanol!AF15</f>
        <v>114360.12942358512</v>
      </c>
      <c r="S380" s="157">
        <f t="shared" si="70"/>
        <v>30.210515389828483</v>
      </c>
      <c r="T380" s="154">
        <f t="shared" si="71"/>
        <v>0.62077566386800631</v>
      </c>
      <c r="V380" s="149">
        <f t="shared" si="72"/>
        <v>455</v>
      </c>
      <c r="W380" s="149">
        <f t="shared" si="73"/>
        <v>108</v>
      </c>
      <c r="X380" s="149">
        <f t="shared" si="74"/>
        <v>10</v>
      </c>
      <c r="Y380" s="149">
        <f t="shared" si="68"/>
        <v>573</v>
      </c>
      <c r="AA380" s="158">
        <f t="shared" si="75"/>
        <v>0.79406631762652702</v>
      </c>
      <c r="AB380" s="158">
        <f t="shared" si="75"/>
        <v>0.18848167539267016</v>
      </c>
      <c r="AC380" s="158">
        <f t="shared" si="75"/>
        <v>1.7452006980802792E-2</v>
      </c>
      <c r="AE380" s="148"/>
      <c r="AF380" s="161">
        <f t="shared" si="67"/>
        <v>301148.34081544087</v>
      </c>
      <c r="AG380" s="161">
        <f t="shared" si="76"/>
        <v>239131.75405065547</v>
      </c>
      <c r="AH380" s="162">
        <f t="shared" si="77"/>
        <v>9.4141149802907993</v>
      </c>
      <c r="AI380" s="159"/>
      <c r="AJ380" s="157"/>
      <c r="AK380" s="157">
        <f t="shared" si="78"/>
        <v>8.9434092312762594</v>
      </c>
      <c r="AN380" s="161">
        <f t="shared" si="79"/>
        <v>90344.502244632255</v>
      </c>
    </row>
    <row r="381" spans="1:40">
      <c r="A381" s="156">
        <f>'BD Plant List'!A380</f>
        <v>51196</v>
      </c>
      <c r="B381" s="148">
        <f t="shared" si="83"/>
        <v>40</v>
      </c>
      <c r="C381" s="148">
        <f t="shared" si="82"/>
        <v>10</v>
      </c>
      <c r="D381" s="148">
        <f t="shared" si="82"/>
        <v>56</v>
      </c>
      <c r="E381" s="148">
        <f t="shared" si="82"/>
        <v>70</v>
      </c>
      <c r="F381" s="148">
        <f t="shared" si="82"/>
        <v>9</v>
      </c>
      <c r="G381" s="148">
        <f t="shared" si="82"/>
        <v>50</v>
      </c>
      <c r="H381" s="148">
        <f t="shared" si="82"/>
        <v>39</v>
      </c>
      <c r="I381" s="148">
        <f t="shared" si="82"/>
        <v>39</v>
      </c>
      <c r="J381" s="148">
        <f t="shared" si="82"/>
        <v>100</v>
      </c>
      <c r="K381" s="148">
        <f t="shared" si="82"/>
        <v>26</v>
      </c>
      <c r="L381" s="148">
        <f t="shared" si="82"/>
        <v>7</v>
      </c>
      <c r="M381" s="148">
        <f t="shared" si="82"/>
        <v>12</v>
      </c>
      <c r="N381" s="148">
        <f t="shared" si="82"/>
        <v>10</v>
      </c>
      <c r="O381" s="148">
        <f t="shared" si="82"/>
        <v>105</v>
      </c>
      <c r="P381" s="148">
        <f t="shared" si="69"/>
        <v>573</v>
      </c>
      <c r="R381" s="163">
        <f>Ethanol!AF16</f>
        <v>124224.32233824789</v>
      </c>
      <c r="S381" s="157">
        <f t="shared" si="70"/>
        <v>32.816339232094947</v>
      </c>
      <c r="T381" s="154">
        <f t="shared" si="71"/>
        <v>0.7208258903360808</v>
      </c>
      <c r="V381" s="149">
        <f t="shared" si="72"/>
        <v>455</v>
      </c>
      <c r="W381" s="149">
        <f t="shared" si="73"/>
        <v>108</v>
      </c>
      <c r="X381" s="149">
        <f t="shared" si="74"/>
        <v>10</v>
      </c>
      <c r="Y381" s="149">
        <f t="shared" si="68"/>
        <v>573</v>
      </c>
      <c r="AA381" s="158">
        <f t="shared" si="75"/>
        <v>0.79406631762652702</v>
      </c>
      <c r="AB381" s="158">
        <f t="shared" si="75"/>
        <v>0.18848167539267016</v>
      </c>
      <c r="AC381" s="158">
        <f t="shared" si="75"/>
        <v>1.7452006980802792E-2</v>
      </c>
      <c r="AE381" s="148"/>
      <c r="AF381" s="161">
        <f t="shared" si="67"/>
        <v>327124.04882405279</v>
      </c>
      <c r="AG381" s="161">
        <f t="shared" si="76"/>
        <v>259758.18885679584</v>
      </c>
      <c r="AH381" s="162">
        <f t="shared" si="77"/>
        <v>10.226134403095452</v>
      </c>
      <c r="AI381" s="159"/>
      <c r="AJ381" s="157"/>
      <c r="AK381" s="157">
        <f t="shared" si="78"/>
        <v>9.7148276829406797</v>
      </c>
      <c r="AN381" s="161">
        <f t="shared" si="79"/>
        <v>98137.214647215835</v>
      </c>
    </row>
    <row r="382" spans="1:40">
      <c r="A382" s="156">
        <f>'BD Plant List'!A381</f>
        <v>51227</v>
      </c>
      <c r="B382" s="148">
        <f t="shared" si="83"/>
        <v>40</v>
      </c>
      <c r="C382" s="148">
        <f t="shared" si="82"/>
        <v>10</v>
      </c>
      <c r="D382" s="148">
        <f t="shared" si="82"/>
        <v>56</v>
      </c>
      <c r="E382" s="148">
        <f t="shared" si="82"/>
        <v>70</v>
      </c>
      <c r="F382" s="148">
        <f t="shared" si="82"/>
        <v>9</v>
      </c>
      <c r="G382" s="148">
        <f t="shared" si="82"/>
        <v>50</v>
      </c>
      <c r="H382" s="148">
        <f t="shared" si="82"/>
        <v>39</v>
      </c>
      <c r="I382" s="148">
        <f t="shared" si="82"/>
        <v>39</v>
      </c>
      <c r="J382" s="148">
        <f t="shared" si="82"/>
        <v>100</v>
      </c>
      <c r="K382" s="148">
        <f t="shared" si="82"/>
        <v>26</v>
      </c>
      <c r="L382" s="148">
        <f t="shared" si="82"/>
        <v>7</v>
      </c>
      <c r="M382" s="148">
        <f t="shared" ref="M382:Y402" si="84">M$4</f>
        <v>12</v>
      </c>
      <c r="N382" s="148">
        <f t="shared" si="84"/>
        <v>10</v>
      </c>
      <c r="O382" s="148">
        <f t="shared" si="84"/>
        <v>105</v>
      </c>
      <c r="P382" s="148">
        <f t="shared" si="69"/>
        <v>573</v>
      </c>
      <c r="R382" s="163">
        <f>Ethanol!AF17</f>
        <v>111963.19360067161</v>
      </c>
      <c r="S382" s="157">
        <f t="shared" si="70"/>
        <v>29.577316853489421</v>
      </c>
      <c r="T382" s="154">
        <f t="shared" si="71"/>
        <v>0.60776449088124962</v>
      </c>
      <c r="V382" s="149">
        <f t="shared" si="72"/>
        <v>455</v>
      </c>
      <c r="W382" s="149">
        <f t="shared" si="73"/>
        <v>108</v>
      </c>
      <c r="X382" s="149">
        <f t="shared" si="74"/>
        <v>10</v>
      </c>
      <c r="Y382" s="149">
        <f t="shared" si="68"/>
        <v>573</v>
      </c>
      <c r="AA382" s="158">
        <f t="shared" si="75"/>
        <v>0.79406631762652702</v>
      </c>
      <c r="AB382" s="158">
        <f t="shared" si="75"/>
        <v>0.18848167539267016</v>
      </c>
      <c r="AC382" s="158">
        <f t="shared" si="75"/>
        <v>1.7452006980802792E-2</v>
      </c>
      <c r="AE382" s="148"/>
      <c r="AF382" s="161">
        <f t="shared" si="67"/>
        <v>294836.40981510194</v>
      </c>
      <c r="AG382" s="161">
        <f t="shared" si="76"/>
        <v>234119.66224410362</v>
      </c>
      <c r="AH382" s="162">
        <f t="shared" si="77"/>
        <v>9.2167994512596465</v>
      </c>
      <c r="AI382" s="159"/>
      <c r="AJ382" s="157"/>
      <c r="AK382" s="157">
        <f t="shared" si="78"/>
        <v>8.7559594786966635</v>
      </c>
      <c r="AN382" s="161">
        <f t="shared" si="79"/>
        <v>88450.922944530583</v>
      </c>
    </row>
    <row r="383" spans="1:40">
      <c r="A383" s="156">
        <f>'BD Plant List'!A382</f>
        <v>51257</v>
      </c>
      <c r="B383" s="148">
        <f t="shared" si="83"/>
        <v>40</v>
      </c>
      <c r="C383" s="148">
        <f t="shared" si="83"/>
        <v>10</v>
      </c>
      <c r="D383" s="148">
        <f t="shared" si="83"/>
        <v>56</v>
      </c>
      <c r="E383" s="148">
        <f t="shared" si="83"/>
        <v>70</v>
      </c>
      <c r="F383" s="148">
        <f t="shared" si="83"/>
        <v>9</v>
      </c>
      <c r="G383" s="148">
        <f t="shared" si="83"/>
        <v>50</v>
      </c>
      <c r="H383" s="148">
        <f t="shared" si="83"/>
        <v>39</v>
      </c>
      <c r="I383" s="148">
        <f t="shared" si="83"/>
        <v>39</v>
      </c>
      <c r="J383" s="148">
        <f t="shared" si="83"/>
        <v>100</v>
      </c>
      <c r="K383" s="148">
        <f t="shared" si="83"/>
        <v>26</v>
      </c>
      <c r="L383" s="148">
        <f t="shared" si="83"/>
        <v>7</v>
      </c>
      <c r="M383" s="148">
        <f t="shared" si="83"/>
        <v>12</v>
      </c>
      <c r="N383" s="148">
        <f t="shared" si="83"/>
        <v>10</v>
      </c>
      <c r="O383" s="148">
        <f t="shared" si="83"/>
        <v>105</v>
      </c>
      <c r="P383" s="148">
        <f t="shared" si="69"/>
        <v>573</v>
      </c>
      <c r="R383" s="163">
        <f>Ethanol!AF18</f>
        <v>115472.07851051593</v>
      </c>
      <c r="S383" s="157">
        <f t="shared" si="70"/>
        <v>30.504258980122994</v>
      </c>
      <c r="T383" s="154">
        <f t="shared" si="71"/>
        <v>0.6477053244761426</v>
      </c>
      <c r="V383" s="149">
        <f t="shared" si="72"/>
        <v>455</v>
      </c>
      <c r="W383" s="149">
        <f t="shared" si="73"/>
        <v>108</v>
      </c>
      <c r="X383" s="149">
        <f t="shared" si="74"/>
        <v>10</v>
      </c>
      <c r="Y383" s="149">
        <f t="shared" si="68"/>
        <v>573</v>
      </c>
      <c r="AA383" s="158">
        <f t="shared" si="75"/>
        <v>0.79406631762652702</v>
      </c>
      <c r="AB383" s="158">
        <f t="shared" si="75"/>
        <v>0.18848167539267016</v>
      </c>
      <c r="AC383" s="158">
        <f t="shared" si="75"/>
        <v>1.7452006980802792E-2</v>
      </c>
      <c r="AE383" s="148"/>
      <c r="AF383" s="161">
        <f t="shared" si="67"/>
        <v>304076.4734110253</v>
      </c>
      <c r="AG383" s="161">
        <f t="shared" si="76"/>
        <v>241456.8855183534</v>
      </c>
      <c r="AH383" s="162">
        <f t="shared" si="77"/>
        <v>9.5056505233979838</v>
      </c>
      <c r="AI383" s="159"/>
      <c r="AJ383" s="157"/>
      <c r="AK383" s="157">
        <f t="shared" si="78"/>
        <v>9.030367997228085</v>
      </c>
      <c r="AN383" s="161">
        <f t="shared" si="79"/>
        <v>91222.942023307594</v>
      </c>
    </row>
    <row r="384" spans="1:40">
      <c r="A384" s="156">
        <f>'BD Plant List'!A383</f>
        <v>51288</v>
      </c>
      <c r="B384" s="148">
        <f t="shared" si="83"/>
        <v>40</v>
      </c>
      <c r="C384" s="148">
        <f t="shared" si="83"/>
        <v>10</v>
      </c>
      <c r="D384" s="148">
        <f t="shared" si="83"/>
        <v>56</v>
      </c>
      <c r="E384" s="148">
        <f t="shared" si="83"/>
        <v>70</v>
      </c>
      <c r="F384" s="148">
        <f t="shared" si="83"/>
        <v>9</v>
      </c>
      <c r="G384" s="148">
        <f t="shared" si="83"/>
        <v>50</v>
      </c>
      <c r="H384" s="148">
        <f t="shared" si="83"/>
        <v>39</v>
      </c>
      <c r="I384" s="148">
        <f t="shared" si="83"/>
        <v>39</v>
      </c>
      <c r="J384" s="148">
        <f t="shared" si="83"/>
        <v>100</v>
      </c>
      <c r="K384" s="148">
        <f t="shared" si="83"/>
        <v>26</v>
      </c>
      <c r="L384" s="148">
        <f t="shared" si="83"/>
        <v>7</v>
      </c>
      <c r="M384" s="148">
        <f t="shared" si="83"/>
        <v>12</v>
      </c>
      <c r="N384" s="148">
        <f t="shared" si="83"/>
        <v>10</v>
      </c>
      <c r="O384" s="148">
        <f t="shared" si="83"/>
        <v>105</v>
      </c>
      <c r="P384" s="148">
        <f t="shared" si="69"/>
        <v>573</v>
      </c>
      <c r="R384" s="163">
        <f>Ethanol!AF19</f>
        <v>114803.06496809747</v>
      </c>
      <c r="S384" s="157">
        <f t="shared" si="70"/>
        <v>30.327525672622311</v>
      </c>
      <c r="T384" s="154">
        <f t="shared" si="71"/>
        <v>0.62318002986585275</v>
      </c>
      <c r="V384" s="149">
        <f t="shared" si="72"/>
        <v>455</v>
      </c>
      <c r="W384" s="149">
        <f t="shared" si="73"/>
        <v>108</v>
      </c>
      <c r="X384" s="149">
        <f t="shared" si="74"/>
        <v>10</v>
      </c>
      <c r="Y384" s="149">
        <f t="shared" si="68"/>
        <v>573</v>
      </c>
      <c r="AA384" s="158">
        <f t="shared" si="75"/>
        <v>0.79406631762652702</v>
      </c>
      <c r="AB384" s="158">
        <f t="shared" si="75"/>
        <v>0.18848167539267016</v>
      </c>
      <c r="AC384" s="158">
        <f t="shared" si="75"/>
        <v>1.7452006980802792E-2</v>
      </c>
      <c r="AE384" s="148"/>
      <c r="AF384" s="161">
        <f t="shared" si="67"/>
        <v>302314.73774932337</v>
      </c>
      <c r="AG384" s="161">
        <f t="shared" si="76"/>
        <v>240057.95056883444</v>
      </c>
      <c r="AH384" s="162">
        <f t="shared" si="77"/>
        <v>9.4505773921988183</v>
      </c>
      <c r="AI384" s="159"/>
      <c r="AJ384" s="157"/>
      <c r="AK384" s="157">
        <f t="shared" si="78"/>
        <v>8.9780485225888764</v>
      </c>
      <c r="AN384" s="161">
        <f t="shared" si="79"/>
        <v>90694.421324797004</v>
      </c>
    </row>
    <row r="385" spans="1:40">
      <c r="A385" s="156">
        <f>'BD Plant List'!A384</f>
        <v>51318</v>
      </c>
      <c r="B385" s="148">
        <f t="shared" si="83"/>
        <v>40</v>
      </c>
      <c r="C385" s="148">
        <f t="shared" si="83"/>
        <v>10</v>
      </c>
      <c r="D385" s="148">
        <f t="shared" si="83"/>
        <v>56</v>
      </c>
      <c r="E385" s="148">
        <f t="shared" si="83"/>
        <v>70</v>
      </c>
      <c r="F385" s="148">
        <f t="shared" si="83"/>
        <v>9</v>
      </c>
      <c r="G385" s="148">
        <f t="shared" si="83"/>
        <v>50</v>
      </c>
      <c r="H385" s="148">
        <f t="shared" si="83"/>
        <v>39</v>
      </c>
      <c r="I385" s="148">
        <f t="shared" si="83"/>
        <v>39</v>
      </c>
      <c r="J385" s="148">
        <f t="shared" si="83"/>
        <v>100</v>
      </c>
      <c r="K385" s="148">
        <f t="shared" si="83"/>
        <v>26</v>
      </c>
      <c r="L385" s="148">
        <f t="shared" si="83"/>
        <v>7</v>
      </c>
      <c r="M385" s="148">
        <f t="shared" si="83"/>
        <v>12</v>
      </c>
      <c r="N385" s="148">
        <f t="shared" si="83"/>
        <v>10</v>
      </c>
      <c r="O385" s="148">
        <f t="shared" si="83"/>
        <v>105</v>
      </c>
      <c r="P385" s="148">
        <f t="shared" si="69"/>
        <v>573</v>
      </c>
      <c r="R385" s="163">
        <f>Ethanol!AF20</f>
        <v>125956.78606342265</v>
      </c>
      <c r="S385" s="157">
        <f t="shared" si="70"/>
        <v>33.274004174374362</v>
      </c>
      <c r="T385" s="154">
        <f t="shared" si="71"/>
        <v>0.7065160863087051</v>
      </c>
      <c r="V385" s="149">
        <f t="shared" si="72"/>
        <v>455</v>
      </c>
      <c r="W385" s="149">
        <f t="shared" si="73"/>
        <v>108</v>
      </c>
      <c r="X385" s="149">
        <f t="shared" si="74"/>
        <v>10</v>
      </c>
      <c r="Y385" s="149">
        <f t="shared" si="68"/>
        <v>573</v>
      </c>
      <c r="AA385" s="158">
        <f t="shared" si="75"/>
        <v>0.79406631762652702</v>
      </c>
      <c r="AB385" s="158">
        <f t="shared" si="75"/>
        <v>0.18848167539267016</v>
      </c>
      <c r="AC385" s="158">
        <f t="shared" si="75"/>
        <v>1.7452006980802792E-2</v>
      </c>
      <c r="AE385" s="148"/>
      <c r="AF385" s="161">
        <f t="shared" si="67"/>
        <v>331686.20330034633</v>
      </c>
      <c r="AG385" s="161">
        <f t="shared" si="76"/>
        <v>263380.84206222964</v>
      </c>
      <c r="AH385" s="162">
        <f t="shared" si="77"/>
        <v>10.368750652221649</v>
      </c>
      <c r="AI385" s="159"/>
      <c r="AJ385" s="157"/>
      <c r="AK385" s="157">
        <f t="shared" si="78"/>
        <v>9.8503131196105667</v>
      </c>
      <c r="AN385" s="161">
        <f t="shared" si="79"/>
        <v>99505.860990103902</v>
      </c>
    </row>
    <row r="386" spans="1:40">
      <c r="A386" s="156">
        <f>'BD Plant List'!A385</f>
        <v>51349</v>
      </c>
      <c r="B386" s="148">
        <f t="shared" si="83"/>
        <v>40</v>
      </c>
      <c r="C386" s="148">
        <f t="shared" si="83"/>
        <v>10</v>
      </c>
      <c r="D386" s="148">
        <f t="shared" si="83"/>
        <v>56</v>
      </c>
      <c r="E386" s="148">
        <f t="shared" si="83"/>
        <v>70</v>
      </c>
      <c r="F386" s="148">
        <f t="shared" si="83"/>
        <v>9</v>
      </c>
      <c r="G386" s="148">
        <f t="shared" si="83"/>
        <v>50</v>
      </c>
      <c r="H386" s="148">
        <f t="shared" si="83"/>
        <v>39</v>
      </c>
      <c r="I386" s="148">
        <f t="shared" si="83"/>
        <v>39</v>
      </c>
      <c r="J386" s="148">
        <f t="shared" si="83"/>
        <v>100</v>
      </c>
      <c r="K386" s="148">
        <f t="shared" si="83"/>
        <v>26</v>
      </c>
      <c r="L386" s="148">
        <f t="shared" si="83"/>
        <v>7</v>
      </c>
      <c r="M386" s="148">
        <f t="shared" si="83"/>
        <v>12</v>
      </c>
      <c r="N386" s="148">
        <f t="shared" si="83"/>
        <v>10</v>
      </c>
      <c r="O386" s="148">
        <f t="shared" si="83"/>
        <v>105</v>
      </c>
      <c r="P386" s="148">
        <f t="shared" si="69"/>
        <v>573</v>
      </c>
      <c r="R386" s="163">
        <f>Ethanol!AF21</f>
        <v>126649.82427258886</v>
      </c>
      <c r="S386" s="157">
        <f t="shared" si="70"/>
        <v>33.4570840780898</v>
      </c>
      <c r="T386" s="154">
        <f t="shared" si="71"/>
        <v>0.68748723123924882</v>
      </c>
      <c r="V386" s="149">
        <f t="shared" si="72"/>
        <v>455</v>
      </c>
      <c r="W386" s="149">
        <f t="shared" si="73"/>
        <v>108</v>
      </c>
      <c r="X386" s="149">
        <f t="shared" si="74"/>
        <v>10</v>
      </c>
      <c r="Y386" s="149">
        <f t="shared" si="68"/>
        <v>573</v>
      </c>
      <c r="AA386" s="158">
        <f t="shared" si="75"/>
        <v>0.79406631762652702</v>
      </c>
      <c r="AB386" s="158">
        <f t="shared" si="75"/>
        <v>0.18848167539267016</v>
      </c>
      <c r="AC386" s="158">
        <f t="shared" si="75"/>
        <v>1.7452006980802792E-2</v>
      </c>
      <c r="AE386" s="148"/>
      <c r="AF386" s="161">
        <f t="shared" si="67"/>
        <v>333511.20391781733</v>
      </c>
      <c r="AG386" s="161">
        <f t="shared" si="76"/>
        <v>264830.01358221093</v>
      </c>
      <c r="AH386" s="162">
        <f t="shared" si="77"/>
        <v>10.425801491703121</v>
      </c>
      <c r="AI386" s="159"/>
      <c r="AJ386" s="157"/>
      <c r="AK386" s="157">
        <f t="shared" si="78"/>
        <v>9.9045114171179645</v>
      </c>
      <c r="AN386" s="161">
        <f t="shared" si="79"/>
        <v>100053.3611753452</v>
      </c>
    </row>
    <row r="387" spans="1:40">
      <c r="A387" s="156">
        <f>'BD Plant List'!A386</f>
        <v>51380</v>
      </c>
      <c r="B387" s="148">
        <f t="shared" si="83"/>
        <v>40</v>
      </c>
      <c r="C387" s="148">
        <f t="shared" si="83"/>
        <v>10</v>
      </c>
      <c r="D387" s="148">
        <f t="shared" si="83"/>
        <v>56</v>
      </c>
      <c r="E387" s="148">
        <f t="shared" si="83"/>
        <v>70</v>
      </c>
      <c r="F387" s="148">
        <f t="shared" si="83"/>
        <v>9</v>
      </c>
      <c r="G387" s="148">
        <f t="shared" si="83"/>
        <v>50</v>
      </c>
      <c r="H387" s="148">
        <f t="shared" si="83"/>
        <v>39</v>
      </c>
      <c r="I387" s="148">
        <f t="shared" si="83"/>
        <v>39</v>
      </c>
      <c r="J387" s="148">
        <f t="shared" si="83"/>
        <v>100</v>
      </c>
      <c r="K387" s="148">
        <f t="shared" si="83"/>
        <v>26</v>
      </c>
      <c r="L387" s="148">
        <f t="shared" si="83"/>
        <v>7</v>
      </c>
      <c r="M387" s="148">
        <f t="shared" si="83"/>
        <v>12</v>
      </c>
      <c r="N387" s="148">
        <f t="shared" si="83"/>
        <v>10</v>
      </c>
      <c r="O387" s="148">
        <f t="shared" si="83"/>
        <v>105</v>
      </c>
      <c r="P387" s="148">
        <f t="shared" si="69"/>
        <v>573</v>
      </c>
      <c r="R387" s="163">
        <f>Ethanol!AF22</f>
        <v>111196.13371066135</v>
      </c>
      <c r="S387" s="157">
        <f t="shared" si="70"/>
        <v>29.374682642345409</v>
      </c>
      <c r="T387" s="154">
        <f t="shared" si="71"/>
        <v>0.60360069607927003</v>
      </c>
      <c r="V387" s="149">
        <f t="shared" si="72"/>
        <v>455</v>
      </c>
      <c r="W387" s="149">
        <f t="shared" si="73"/>
        <v>108</v>
      </c>
      <c r="X387" s="149">
        <f t="shared" si="74"/>
        <v>10</v>
      </c>
      <c r="Y387" s="149">
        <f t="shared" si="68"/>
        <v>573</v>
      </c>
      <c r="AA387" s="158">
        <f t="shared" si="75"/>
        <v>0.79406631762652702</v>
      </c>
      <c r="AB387" s="158">
        <f t="shared" si="75"/>
        <v>0.18848167539267016</v>
      </c>
      <c r="AC387" s="158">
        <f t="shared" si="75"/>
        <v>1.7452006980802792E-2</v>
      </c>
      <c r="AE387" s="148"/>
      <c r="AF387" s="161">
        <f t="shared" si="67"/>
        <v>292816.48543807492</v>
      </c>
      <c r="AG387" s="161">
        <f t="shared" si="76"/>
        <v>232515.70833215371</v>
      </c>
      <c r="AH387" s="162">
        <f t="shared" si="77"/>
        <v>9.1536551540493925</v>
      </c>
      <c r="AI387" s="159"/>
      <c r="AJ387" s="157"/>
      <c r="AK387" s="157">
        <f t="shared" si="78"/>
        <v>8.6959723963469227</v>
      </c>
      <c r="AN387" s="161">
        <f t="shared" si="79"/>
        <v>87844.945631422466</v>
      </c>
    </row>
    <row r="388" spans="1:40">
      <c r="A388" s="156">
        <f>'BD Plant List'!A387</f>
        <v>51410</v>
      </c>
      <c r="B388" s="148">
        <f t="shared" si="83"/>
        <v>40</v>
      </c>
      <c r="C388" s="148">
        <f t="shared" si="83"/>
        <v>10</v>
      </c>
      <c r="D388" s="148">
        <f t="shared" si="83"/>
        <v>56</v>
      </c>
      <c r="E388" s="148">
        <f t="shared" si="83"/>
        <v>70</v>
      </c>
      <c r="F388" s="148">
        <f t="shared" si="83"/>
        <v>9</v>
      </c>
      <c r="G388" s="148">
        <f t="shared" si="83"/>
        <v>50</v>
      </c>
      <c r="H388" s="148">
        <f t="shared" si="83"/>
        <v>39</v>
      </c>
      <c r="I388" s="148">
        <f t="shared" si="83"/>
        <v>39</v>
      </c>
      <c r="J388" s="148">
        <f t="shared" si="83"/>
        <v>100</v>
      </c>
      <c r="K388" s="148">
        <f t="shared" si="83"/>
        <v>26</v>
      </c>
      <c r="L388" s="148">
        <f t="shared" si="83"/>
        <v>7</v>
      </c>
      <c r="M388" s="148">
        <f t="shared" si="83"/>
        <v>12</v>
      </c>
      <c r="N388" s="148">
        <f t="shared" si="83"/>
        <v>10</v>
      </c>
      <c r="O388" s="148">
        <f t="shared" si="83"/>
        <v>105</v>
      </c>
      <c r="P388" s="148">
        <f t="shared" si="69"/>
        <v>573</v>
      </c>
      <c r="R388" s="163">
        <f>Ethanol!AF23</f>
        <v>110582.69565241718</v>
      </c>
      <c r="S388" s="157">
        <f t="shared" si="70"/>
        <v>29.212630710499049</v>
      </c>
      <c r="T388" s="154">
        <f t="shared" si="71"/>
        <v>0.62027982602281284</v>
      </c>
      <c r="V388" s="149">
        <f t="shared" si="72"/>
        <v>455</v>
      </c>
      <c r="W388" s="149">
        <f t="shared" si="73"/>
        <v>108</v>
      </c>
      <c r="X388" s="149">
        <f t="shared" si="74"/>
        <v>10</v>
      </c>
      <c r="Y388" s="149">
        <f t="shared" si="68"/>
        <v>573</v>
      </c>
      <c r="AA388" s="158">
        <f t="shared" si="75"/>
        <v>0.79406631762652702</v>
      </c>
      <c r="AB388" s="158">
        <f t="shared" si="75"/>
        <v>0.18848167539267016</v>
      </c>
      <c r="AC388" s="158">
        <f t="shared" si="75"/>
        <v>1.7452006980802792E-2</v>
      </c>
      <c r="AE388" s="148"/>
      <c r="AF388" s="161">
        <f t="shared" si="67"/>
        <v>291201.09855136531</v>
      </c>
      <c r="AG388" s="161">
        <f t="shared" si="76"/>
        <v>231232.98401548204</v>
      </c>
      <c r="AH388" s="162">
        <f t="shared" si="77"/>
        <v>9.103156991423095</v>
      </c>
      <c r="AI388" s="159"/>
      <c r="AJ388" s="157"/>
      <c r="AK388" s="157">
        <f t="shared" si="78"/>
        <v>8.6479991418519404</v>
      </c>
      <c r="AN388" s="161">
        <f t="shared" si="79"/>
        <v>87360.329565409585</v>
      </c>
    </row>
    <row r="389" spans="1:40">
      <c r="A389" s="156">
        <f>'BD Plant List'!A388</f>
        <v>51441</v>
      </c>
      <c r="B389" s="148">
        <f t="shared" si="83"/>
        <v>40</v>
      </c>
      <c r="C389" s="148">
        <f t="shared" si="83"/>
        <v>10</v>
      </c>
      <c r="D389" s="148">
        <f t="shared" si="83"/>
        <v>56</v>
      </c>
      <c r="E389" s="148">
        <f t="shared" si="83"/>
        <v>70</v>
      </c>
      <c r="F389" s="148">
        <f t="shared" si="83"/>
        <v>9</v>
      </c>
      <c r="G389" s="148">
        <f t="shared" si="83"/>
        <v>50</v>
      </c>
      <c r="H389" s="148">
        <f t="shared" si="83"/>
        <v>39</v>
      </c>
      <c r="I389" s="148">
        <f t="shared" si="83"/>
        <v>39</v>
      </c>
      <c r="J389" s="148">
        <f t="shared" si="83"/>
        <v>100</v>
      </c>
      <c r="K389" s="148">
        <f t="shared" si="83"/>
        <v>26</v>
      </c>
      <c r="L389" s="148">
        <f t="shared" si="83"/>
        <v>7</v>
      </c>
      <c r="M389" s="148">
        <f t="shared" si="83"/>
        <v>12</v>
      </c>
      <c r="N389" s="148">
        <f t="shared" si="83"/>
        <v>10</v>
      </c>
      <c r="O389" s="148">
        <f t="shared" si="83"/>
        <v>105</v>
      </c>
      <c r="P389" s="148">
        <f t="shared" si="69"/>
        <v>573</v>
      </c>
      <c r="R389" s="163">
        <f>Ethanol!AF24</f>
        <v>123808.90324038244</v>
      </c>
      <c r="S389" s="157">
        <f t="shared" si="70"/>
        <v>32.706597969011831</v>
      </c>
      <c r="T389" s="154">
        <f t="shared" si="71"/>
        <v>0.67206599440912673</v>
      </c>
      <c r="V389" s="149">
        <f t="shared" si="72"/>
        <v>455</v>
      </c>
      <c r="W389" s="149">
        <f t="shared" si="73"/>
        <v>108</v>
      </c>
      <c r="X389" s="149">
        <f t="shared" si="74"/>
        <v>10</v>
      </c>
      <c r="Y389" s="149">
        <f t="shared" si="68"/>
        <v>573</v>
      </c>
      <c r="AA389" s="158">
        <f t="shared" si="75"/>
        <v>0.79406631762652702</v>
      </c>
      <c r="AB389" s="158">
        <f t="shared" si="75"/>
        <v>0.18848167539267016</v>
      </c>
      <c r="AC389" s="158">
        <f t="shared" si="75"/>
        <v>1.7452006980802792E-2</v>
      </c>
      <c r="AE389" s="148"/>
      <c r="AF389" s="161">
        <f t="shared" si="67"/>
        <v>326030.11186634045</v>
      </c>
      <c r="AG389" s="161">
        <f t="shared" si="76"/>
        <v>258889.53036506963</v>
      </c>
      <c r="AH389" s="162">
        <f t="shared" si="77"/>
        <v>10.191937142459023</v>
      </c>
      <c r="AI389" s="159"/>
      <c r="AJ389" s="157"/>
      <c r="AK389" s="157">
        <f t="shared" si="78"/>
        <v>9.6823402853360712</v>
      </c>
      <c r="AN389" s="161">
        <f t="shared" si="79"/>
        <v>97809.033559902135</v>
      </c>
    </row>
    <row r="390" spans="1:40">
      <c r="A390" s="156">
        <f>'BD Plant List'!A389</f>
        <v>51471</v>
      </c>
      <c r="B390" s="148">
        <f t="shared" si="83"/>
        <v>40</v>
      </c>
      <c r="C390" s="148">
        <f t="shared" si="83"/>
        <v>10</v>
      </c>
      <c r="D390" s="148">
        <f t="shared" si="83"/>
        <v>56</v>
      </c>
      <c r="E390" s="148">
        <f t="shared" si="83"/>
        <v>70</v>
      </c>
      <c r="F390" s="148">
        <f t="shared" si="83"/>
        <v>9</v>
      </c>
      <c r="G390" s="148">
        <f t="shared" si="83"/>
        <v>50</v>
      </c>
      <c r="H390" s="148">
        <f t="shared" si="83"/>
        <v>39</v>
      </c>
      <c r="I390" s="148">
        <f t="shared" si="83"/>
        <v>39</v>
      </c>
      <c r="J390" s="148">
        <f t="shared" si="83"/>
        <v>100</v>
      </c>
      <c r="K390" s="148">
        <f t="shared" si="83"/>
        <v>26</v>
      </c>
      <c r="L390" s="148">
        <f t="shared" si="83"/>
        <v>7</v>
      </c>
      <c r="M390" s="148">
        <f t="shared" si="83"/>
        <v>12</v>
      </c>
      <c r="N390" s="148">
        <f t="shared" si="83"/>
        <v>10</v>
      </c>
      <c r="O390" s="148">
        <f t="shared" si="83"/>
        <v>105</v>
      </c>
      <c r="P390" s="148">
        <f t="shared" si="69"/>
        <v>573</v>
      </c>
      <c r="R390" s="163">
        <f>Ethanol!AF25</f>
        <v>115696.42295252322</v>
      </c>
      <c r="S390" s="157">
        <f t="shared" si="70"/>
        <v>30.563524051368063</v>
      </c>
      <c r="T390" s="154">
        <f t="shared" si="71"/>
        <v>0.64896371604126479</v>
      </c>
      <c r="V390" s="149">
        <f t="shared" si="72"/>
        <v>455</v>
      </c>
      <c r="W390" s="149">
        <f t="shared" si="73"/>
        <v>108</v>
      </c>
      <c r="X390" s="149">
        <f t="shared" si="74"/>
        <v>10</v>
      </c>
      <c r="Y390" s="149">
        <f>SUM(V390:X390)</f>
        <v>573</v>
      </c>
      <c r="AA390" s="158">
        <f t="shared" si="75"/>
        <v>0.79406631762652702</v>
      </c>
      <c r="AB390" s="158">
        <f t="shared" si="75"/>
        <v>0.18848167539267016</v>
      </c>
      <c r="AC390" s="158">
        <f t="shared" si="75"/>
        <v>1.7452006980802792E-2</v>
      </c>
      <c r="AE390" s="148"/>
      <c r="AF390" s="161">
        <f t="shared" si="67"/>
        <v>304667.24710831122</v>
      </c>
      <c r="AG390" s="161">
        <f t="shared" si="76"/>
        <v>241925.99901270785</v>
      </c>
      <c r="AH390" s="162">
        <f t="shared" si="77"/>
        <v>9.5241185365323808</v>
      </c>
      <c r="AI390" s="159"/>
      <c r="AJ390" s="157"/>
      <c r="AK390" s="157">
        <f t="shared" si="78"/>
        <v>9.0479126097057616</v>
      </c>
      <c r="AN390" s="161">
        <f t="shared" si="79"/>
        <v>91400.174132493354</v>
      </c>
    </row>
    <row r="391" spans="1:40">
      <c r="A391" s="156">
        <f>'BD Plant List'!A390</f>
        <v>51502</v>
      </c>
      <c r="B391" s="148">
        <f t="shared" si="83"/>
        <v>40</v>
      </c>
      <c r="C391" s="148">
        <f t="shared" si="83"/>
        <v>10</v>
      </c>
      <c r="D391" s="148">
        <f t="shared" si="83"/>
        <v>56</v>
      </c>
      <c r="E391" s="148">
        <f t="shared" si="83"/>
        <v>70</v>
      </c>
      <c r="F391" s="148">
        <f t="shared" si="83"/>
        <v>9</v>
      </c>
      <c r="G391" s="148">
        <f t="shared" si="83"/>
        <v>50</v>
      </c>
      <c r="H391" s="148">
        <f t="shared" si="83"/>
        <v>39</v>
      </c>
      <c r="I391" s="148">
        <f t="shared" si="83"/>
        <v>39</v>
      </c>
      <c r="J391" s="148">
        <f t="shared" si="83"/>
        <v>100</v>
      </c>
      <c r="K391" s="148">
        <f t="shared" si="83"/>
        <v>26</v>
      </c>
      <c r="L391" s="148">
        <f t="shared" si="83"/>
        <v>7</v>
      </c>
      <c r="M391" s="148">
        <f t="shared" si="83"/>
        <v>12</v>
      </c>
      <c r="N391" s="148">
        <f t="shared" si="83"/>
        <v>10</v>
      </c>
      <c r="O391" s="148">
        <f t="shared" si="83"/>
        <v>105</v>
      </c>
      <c r="P391" s="148">
        <f t="shared" ref="P391:P454" si="85">SUM(B391:O391)</f>
        <v>573</v>
      </c>
      <c r="R391" s="163">
        <f>Ethanol!AG14</f>
        <v>119736.98847523249</v>
      </c>
      <c r="S391" s="157">
        <f t="shared" si="70"/>
        <v>31.630920245502168</v>
      </c>
      <c r="T391" s="154">
        <f t="shared" si="71"/>
        <v>0.64996261271228339</v>
      </c>
      <c r="V391" s="149">
        <f t="shared" si="72"/>
        <v>455</v>
      </c>
      <c r="W391" s="149">
        <f t="shared" si="73"/>
        <v>108</v>
      </c>
      <c r="X391" s="149">
        <f t="shared" si="74"/>
        <v>10</v>
      </c>
      <c r="Y391" s="149">
        <f t="shared" ref="Y391:Y454" si="86">SUM(V391:X391)</f>
        <v>573</v>
      </c>
      <c r="AA391" s="158">
        <f t="shared" ref="AA391:AC454" si="87">V391/$Y391</f>
        <v>0.79406631762652702</v>
      </c>
      <c r="AB391" s="158">
        <f t="shared" si="87"/>
        <v>0.18848167539267016</v>
      </c>
      <c r="AC391" s="158">
        <f t="shared" si="87"/>
        <v>1.7452006980802792E-2</v>
      </c>
      <c r="AE391" s="148"/>
      <c r="AF391" s="161">
        <f t="shared" si="67"/>
        <v>315307.40298477892</v>
      </c>
      <c r="AG391" s="161">
        <f t="shared" si="76"/>
        <v>250374.98840850682</v>
      </c>
      <c r="AH391" s="162">
        <f t="shared" si="77"/>
        <v>9.8567375061672546</v>
      </c>
      <c r="AI391" s="159"/>
      <c r="AJ391" s="157"/>
      <c r="AK391" s="157">
        <f t="shared" si="78"/>
        <v>9.3639006308588915</v>
      </c>
      <c r="AN391" s="161">
        <f t="shared" si="79"/>
        <v>94592.220895433667</v>
      </c>
    </row>
    <row r="392" spans="1:40">
      <c r="A392" s="156">
        <f>'BD Plant List'!A391</f>
        <v>51533</v>
      </c>
      <c r="B392" s="148">
        <f t="shared" si="83"/>
        <v>40</v>
      </c>
      <c r="C392" s="148">
        <f t="shared" si="83"/>
        <v>10</v>
      </c>
      <c r="D392" s="148">
        <f t="shared" si="83"/>
        <v>56</v>
      </c>
      <c r="E392" s="148">
        <f t="shared" si="83"/>
        <v>70</v>
      </c>
      <c r="F392" s="148">
        <f t="shared" si="83"/>
        <v>9</v>
      </c>
      <c r="G392" s="148">
        <f t="shared" si="83"/>
        <v>50</v>
      </c>
      <c r="H392" s="148">
        <f t="shared" si="83"/>
        <v>39</v>
      </c>
      <c r="I392" s="148">
        <f t="shared" si="83"/>
        <v>39</v>
      </c>
      <c r="J392" s="148">
        <f t="shared" si="83"/>
        <v>100</v>
      </c>
      <c r="K392" s="148">
        <f t="shared" si="83"/>
        <v>26</v>
      </c>
      <c r="L392" s="148">
        <f t="shared" si="83"/>
        <v>7</v>
      </c>
      <c r="M392" s="148">
        <f t="shared" si="83"/>
        <v>12</v>
      </c>
      <c r="N392" s="148">
        <f t="shared" si="83"/>
        <v>10</v>
      </c>
      <c r="O392" s="148">
        <f t="shared" si="83"/>
        <v>105</v>
      </c>
      <c r="P392" s="148">
        <f t="shared" si="85"/>
        <v>573</v>
      </c>
      <c r="R392" s="163">
        <f>Ethanol!AG15</f>
        <v>113647.60500110952</v>
      </c>
      <c r="S392" s="157">
        <f t="shared" si="70"/>
        <v>30.022287813143105</v>
      </c>
      <c r="T392" s="154">
        <f t="shared" si="71"/>
        <v>0.61690790135659701</v>
      </c>
      <c r="V392" s="149">
        <f t="shared" si="72"/>
        <v>455</v>
      </c>
      <c r="W392" s="149">
        <f t="shared" si="73"/>
        <v>108</v>
      </c>
      <c r="X392" s="149">
        <f t="shared" si="74"/>
        <v>10</v>
      </c>
      <c r="Y392" s="149">
        <f t="shared" si="86"/>
        <v>573</v>
      </c>
      <c r="AA392" s="158">
        <f t="shared" si="87"/>
        <v>0.79406631762652702</v>
      </c>
      <c r="AB392" s="158">
        <f t="shared" si="87"/>
        <v>0.18848167539267016</v>
      </c>
      <c r="AC392" s="158">
        <f t="shared" si="87"/>
        <v>1.7452006980802792E-2</v>
      </c>
      <c r="AE392" s="148"/>
      <c r="AF392" s="161">
        <f t="shared" si="67"/>
        <v>299272.02650292177</v>
      </c>
      <c r="AG392" s="161">
        <f t="shared" si="76"/>
        <v>237641.83605380348</v>
      </c>
      <c r="AH392" s="162">
        <f t="shared" si="77"/>
        <v>9.3554600375825299</v>
      </c>
      <c r="AI392" s="159"/>
      <c r="AJ392" s="157"/>
      <c r="AK392" s="157">
        <f t="shared" si="78"/>
        <v>8.8876870357034026</v>
      </c>
      <c r="AN392" s="161">
        <f t="shared" si="79"/>
        <v>89781.607950876525</v>
      </c>
    </row>
    <row r="393" spans="1:40">
      <c r="A393" s="156">
        <f>'BD Plant List'!A392</f>
        <v>51561</v>
      </c>
      <c r="B393" s="148">
        <f t="shared" si="83"/>
        <v>40</v>
      </c>
      <c r="C393" s="148">
        <f t="shared" si="83"/>
        <v>10</v>
      </c>
      <c r="D393" s="148">
        <f t="shared" si="83"/>
        <v>56</v>
      </c>
      <c r="E393" s="148">
        <f t="shared" si="83"/>
        <v>70</v>
      </c>
      <c r="F393" s="148">
        <f t="shared" si="83"/>
        <v>9</v>
      </c>
      <c r="G393" s="148">
        <f t="shared" si="83"/>
        <v>50</v>
      </c>
      <c r="H393" s="148">
        <f t="shared" si="83"/>
        <v>39</v>
      </c>
      <c r="I393" s="148">
        <f t="shared" si="83"/>
        <v>39</v>
      </c>
      <c r="J393" s="148">
        <f t="shared" si="83"/>
        <v>100</v>
      </c>
      <c r="K393" s="148">
        <f t="shared" si="83"/>
        <v>26</v>
      </c>
      <c r="L393" s="148">
        <f t="shared" si="83"/>
        <v>7</v>
      </c>
      <c r="M393" s="148">
        <f t="shared" si="83"/>
        <v>12</v>
      </c>
      <c r="N393" s="148">
        <f t="shared" si="83"/>
        <v>10</v>
      </c>
      <c r="O393" s="148">
        <f t="shared" si="83"/>
        <v>105</v>
      </c>
      <c r="P393" s="148">
        <f t="shared" si="85"/>
        <v>573</v>
      </c>
      <c r="R393" s="163">
        <f>Ethanol!AG16</f>
        <v>123458.34674833067</v>
      </c>
      <c r="S393" s="157">
        <f t="shared" si="70"/>
        <v>32.613991460506519</v>
      </c>
      <c r="T393" s="154">
        <f t="shared" si="71"/>
        <v>0.74196627294221373</v>
      </c>
      <c r="V393" s="149">
        <f t="shared" si="72"/>
        <v>455</v>
      </c>
      <c r="W393" s="149">
        <f t="shared" si="73"/>
        <v>108</v>
      </c>
      <c r="X393" s="149">
        <f t="shared" si="74"/>
        <v>10</v>
      </c>
      <c r="Y393" s="149">
        <f t="shared" si="86"/>
        <v>573</v>
      </c>
      <c r="AA393" s="158">
        <f t="shared" si="87"/>
        <v>0.79406631762652702</v>
      </c>
      <c r="AB393" s="158">
        <f t="shared" si="87"/>
        <v>0.18848167539267016</v>
      </c>
      <c r="AC393" s="158">
        <f t="shared" si="87"/>
        <v>1.7452006980802792E-2</v>
      </c>
      <c r="AE393" s="148"/>
      <c r="AF393" s="161">
        <f t="shared" ref="AF393:AF456" si="88">AN393/0.3</f>
        <v>325106.97977060417</v>
      </c>
      <c r="AG393" s="161">
        <f t="shared" si="76"/>
        <v>258156.50226112545</v>
      </c>
      <c r="AH393" s="162">
        <f t="shared" si="77"/>
        <v>10.163079365365761</v>
      </c>
      <c r="AI393" s="159"/>
      <c r="AJ393" s="157"/>
      <c r="AK393" s="157">
        <f t="shared" si="78"/>
        <v>9.6549253970974718</v>
      </c>
      <c r="AN393" s="161">
        <f t="shared" si="79"/>
        <v>97532.09393118124</v>
      </c>
    </row>
    <row r="394" spans="1:40">
      <c r="A394" s="156">
        <f>'BD Plant List'!A393</f>
        <v>51592</v>
      </c>
      <c r="B394" s="148">
        <f t="shared" si="83"/>
        <v>40</v>
      </c>
      <c r="C394" s="148">
        <f t="shared" si="83"/>
        <v>10</v>
      </c>
      <c r="D394" s="148">
        <f t="shared" si="83"/>
        <v>56</v>
      </c>
      <c r="E394" s="148">
        <f t="shared" si="83"/>
        <v>70</v>
      </c>
      <c r="F394" s="148">
        <f t="shared" si="83"/>
        <v>9</v>
      </c>
      <c r="G394" s="148">
        <f t="shared" si="83"/>
        <v>50</v>
      </c>
      <c r="H394" s="148">
        <f t="shared" si="83"/>
        <v>39</v>
      </c>
      <c r="I394" s="148">
        <f t="shared" si="83"/>
        <v>39</v>
      </c>
      <c r="J394" s="148">
        <f t="shared" si="83"/>
        <v>100</v>
      </c>
      <c r="K394" s="148">
        <f t="shared" si="83"/>
        <v>26</v>
      </c>
      <c r="L394" s="148">
        <f t="shared" si="83"/>
        <v>7</v>
      </c>
      <c r="M394" s="148">
        <f t="shared" si="83"/>
        <v>12</v>
      </c>
      <c r="N394" s="148">
        <f t="shared" si="83"/>
        <v>10</v>
      </c>
      <c r="O394" s="148">
        <f t="shared" si="83"/>
        <v>105</v>
      </c>
      <c r="P394" s="148">
        <f t="shared" si="85"/>
        <v>573</v>
      </c>
      <c r="R394" s="163">
        <f>Ethanol!AG17</f>
        <v>111269.75223845658</v>
      </c>
      <c r="S394" s="157">
        <f t="shared" si="70"/>
        <v>29.394130448833078</v>
      </c>
      <c r="T394" s="154">
        <f t="shared" si="71"/>
        <v>0.60400031604031257</v>
      </c>
      <c r="V394" s="149">
        <f t="shared" si="72"/>
        <v>455</v>
      </c>
      <c r="W394" s="149">
        <f t="shared" si="73"/>
        <v>108</v>
      </c>
      <c r="X394" s="149">
        <f t="shared" si="74"/>
        <v>10</v>
      </c>
      <c r="Y394" s="149">
        <f t="shared" si="86"/>
        <v>573</v>
      </c>
      <c r="AA394" s="158">
        <f t="shared" si="87"/>
        <v>0.79406631762652702</v>
      </c>
      <c r="AB394" s="158">
        <f t="shared" si="87"/>
        <v>0.18848167539267016</v>
      </c>
      <c r="AC394" s="158">
        <f t="shared" si="87"/>
        <v>1.7452006980802792E-2</v>
      </c>
      <c r="AE394" s="148"/>
      <c r="AF394" s="161">
        <f t="shared" si="88"/>
        <v>293010.34756126901</v>
      </c>
      <c r="AG394" s="161">
        <f t="shared" si="76"/>
        <v>232669.64771444572</v>
      </c>
      <c r="AH394" s="162">
        <f t="shared" si="77"/>
        <v>9.1597154242575272</v>
      </c>
      <c r="AI394" s="159"/>
      <c r="AJ394" s="157"/>
      <c r="AK394" s="157">
        <f t="shared" si="78"/>
        <v>8.7017296530446497</v>
      </c>
      <c r="AN394" s="161">
        <f t="shared" si="79"/>
        <v>87903.104268380703</v>
      </c>
    </row>
    <row r="395" spans="1:40">
      <c r="A395" s="156">
        <f>'BD Plant List'!A394</f>
        <v>51622</v>
      </c>
      <c r="B395" s="148">
        <f t="shared" si="83"/>
        <v>40</v>
      </c>
      <c r="C395" s="148">
        <f t="shared" si="83"/>
        <v>10</v>
      </c>
      <c r="D395" s="148">
        <f t="shared" si="83"/>
        <v>56</v>
      </c>
      <c r="E395" s="148">
        <f t="shared" si="83"/>
        <v>70</v>
      </c>
      <c r="F395" s="148">
        <f t="shared" si="83"/>
        <v>9</v>
      </c>
      <c r="G395" s="148">
        <f t="shared" si="83"/>
        <v>50</v>
      </c>
      <c r="H395" s="148">
        <f t="shared" si="83"/>
        <v>39</v>
      </c>
      <c r="I395" s="148">
        <f t="shared" si="83"/>
        <v>39</v>
      </c>
      <c r="J395" s="148">
        <f t="shared" si="83"/>
        <v>100</v>
      </c>
      <c r="K395" s="148">
        <f t="shared" si="83"/>
        <v>26</v>
      </c>
      <c r="L395" s="148">
        <f t="shared" si="83"/>
        <v>7</v>
      </c>
      <c r="M395" s="148">
        <f t="shared" si="83"/>
        <v>12</v>
      </c>
      <c r="N395" s="148">
        <f t="shared" si="83"/>
        <v>10</v>
      </c>
      <c r="O395" s="148">
        <f t="shared" si="83"/>
        <v>105</v>
      </c>
      <c r="P395" s="148">
        <f t="shared" si="85"/>
        <v>573</v>
      </c>
      <c r="R395" s="163">
        <f>Ethanol!AG18</f>
        <v>114753.19883067817</v>
      </c>
      <c r="S395" s="157">
        <f t="shared" si="70"/>
        <v>30.314352535100255</v>
      </c>
      <c r="T395" s="154">
        <f t="shared" si="71"/>
        <v>0.64367298867432177</v>
      </c>
      <c r="V395" s="149">
        <f t="shared" si="72"/>
        <v>455</v>
      </c>
      <c r="W395" s="149">
        <f t="shared" si="73"/>
        <v>108</v>
      </c>
      <c r="X395" s="149">
        <f t="shared" si="74"/>
        <v>10</v>
      </c>
      <c r="Y395" s="149">
        <f t="shared" si="86"/>
        <v>573</v>
      </c>
      <c r="AA395" s="158">
        <f t="shared" si="87"/>
        <v>0.79406631762652702</v>
      </c>
      <c r="AB395" s="158">
        <f t="shared" si="87"/>
        <v>0.18848167539267016</v>
      </c>
      <c r="AC395" s="158">
        <f t="shared" si="87"/>
        <v>1.7452006980802792E-2</v>
      </c>
      <c r="AE395" s="148"/>
      <c r="AF395" s="161">
        <f t="shared" si="88"/>
        <v>302183.4235874525</v>
      </c>
      <c r="AG395" s="161">
        <f t="shared" si="76"/>
        <v>239953.6784158654</v>
      </c>
      <c r="AH395" s="162">
        <f t="shared" si="77"/>
        <v>9.4464724165079481</v>
      </c>
      <c r="AI395" s="159"/>
      <c r="AJ395" s="157"/>
      <c r="AK395" s="157">
        <f t="shared" si="78"/>
        <v>8.9741487956825505</v>
      </c>
      <c r="AN395" s="161">
        <f t="shared" si="79"/>
        <v>90655.027076235754</v>
      </c>
    </row>
    <row r="396" spans="1:40">
      <c r="A396" s="156">
        <f>'BD Plant List'!A395</f>
        <v>51653</v>
      </c>
      <c r="B396" s="148">
        <f t="shared" si="83"/>
        <v>40</v>
      </c>
      <c r="C396" s="148">
        <f t="shared" si="83"/>
        <v>10</v>
      </c>
      <c r="D396" s="148">
        <f t="shared" si="83"/>
        <v>56</v>
      </c>
      <c r="E396" s="148">
        <f t="shared" si="83"/>
        <v>70</v>
      </c>
      <c r="F396" s="148">
        <f t="shared" si="83"/>
        <v>9</v>
      </c>
      <c r="G396" s="148">
        <f t="shared" si="83"/>
        <v>50</v>
      </c>
      <c r="H396" s="148">
        <f t="shared" si="83"/>
        <v>39</v>
      </c>
      <c r="I396" s="148">
        <f t="shared" si="83"/>
        <v>39</v>
      </c>
      <c r="J396" s="148">
        <f t="shared" si="83"/>
        <v>100</v>
      </c>
      <c r="K396" s="148">
        <f t="shared" si="83"/>
        <v>26</v>
      </c>
      <c r="L396" s="148">
        <f t="shared" si="83"/>
        <v>7</v>
      </c>
      <c r="M396" s="148">
        <f t="shared" si="83"/>
        <v>12</v>
      </c>
      <c r="N396" s="148">
        <f t="shared" si="83"/>
        <v>10</v>
      </c>
      <c r="O396" s="148">
        <f t="shared" si="83"/>
        <v>105</v>
      </c>
      <c r="P396" s="148">
        <f t="shared" si="85"/>
        <v>573</v>
      </c>
      <c r="R396" s="163">
        <f>Ethanol!AG19</f>
        <v>114092.3418576813</v>
      </c>
      <c r="S396" s="157">
        <f t="shared" ref="S396:S459" si="89">R396*264.17/1000000</f>
        <v>30.13977394854367</v>
      </c>
      <c r="T396" s="154">
        <f t="shared" ref="T396:T459" si="90">S396/((P396/365)*(A396-A395))</f>
        <v>0.61932204533121871</v>
      </c>
      <c r="V396" s="149">
        <f t="shared" ref="V396:V459" si="91">O396+K396+J396+I396+G396+F396+E396+D396</f>
        <v>455</v>
      </c>
      <c r="W396" s="149">
        <f t="shared" ref="W396:W459" si="92">B396+H396+L396+M396+N396</f>
        <v>108</v>
      </c>
      <c r="X396" s="149">
        <f t="shared" ref="X396:X459" si="93">C396</f>
        <v>10</v>
      </c>
      <c r="Y396" s="149">
        <f t="shared" si="86"/>
        <v>573</v>
      </c>
      <c r="AA396" s="158">
        <f t="shared" si="87"/>
        <v>0.79406631762652702</v>
      </c>
      <c r="AB396" s="158">
        <f t="shared" si="87"/>
        <v>0.18848167539267016</v>
      </c>
      <c r="AC396" s="158">
        <f t="shared" si="87"/>
        <v>1.7452006980802792E-2</v>
      </c>
      <c r="AE396" s="148"/>
      <c r="AF396" s="161">
        <f t="shared" si="88"/>
        <v>300443.16689189413</v>
      </c>
      <c r="AG396" s="161">
        <f t="shared" ref="AG396:AG459" si="94">AF396*AA396</f>
        <v>238571.79918989848</v>
      </c>
      <c r="AH396" s="162">
        <f t="shared" ref="AH396:AH459" si="95">AG396*39.3679/1000000</f>
        <v>9.3920707333280031</v>
      </c>
      <c r="AI396" s="159"/>
      <c r="AJ396" s="157"/>
      <c r="AK396" s="157">
        <f t="shared" ref="AK396:AK459" si="96">AH396*$AM$6</f>
        <v>8.9224671966616018</v>
      </c>
      <c r="AN396" s="161">
        <f t="shared" ref="AN396:AN459" si="97">R396*0.79</f>
        <v>90132.950067568236</v>
      </c>
    </row>
    <row r="397" spans="1:40">
      <c r="A397" s="156">
        <f>'BD Plant List'!A396</f>
        <v>51683</v>
      </c>
      <c r="B397" s="148">
        <f t="shared" si="83"/>
        <v>40</v>
      </c>
      <c r="C397" s="148">
        <f t="shared" si="83"/>
        <v>10</v>
      </c>
      <c r="D397" s="148">
        <f t="shared" si="83"/>
        <v>56</v>
      </c>
      <c r="E397" s="148">
        <f t="shared" si="83"/>
        <v>70</v>
      </c>
      <c r="F397" s="148">
        <f t="shared" si="83"/>
        <v>9</v>
      </c>
      <c r="G397" s="148">
        <f t="shared" si="83"/>
        <v>50</v>
      </c>
      <c r="H397" s="148">
        <f t="shared" si="83"/>
        <v>39</v>
      </c>
      <c r="I397" s="148">
        <f t="shared" si="83"/>
        <v>39</v>
      </c>
      <c r="J397" s="148">
        <f t="shared" si="83"/>
        <v>100</v>
      </c>
      <c r="K397" s="148">
        <f t="shared" si="83"/>
        <v>26</v>
      </c>
      <c r="L397" s="148">
        <f t="shared" si="83"/>
        <v>7</v>
      </c>
      <c r="M397" s="148">
        <f t="shared" si="83"/>
        <v>12</v>
      </c>
      <c r="N397" s="148">
        <f t="shared" si="83"/>
        <v>10</v>
      </c>
      <c r="O397" s="148">
        <f t="shared" si="83"/>
        <v>105</v>
      </c>
      <c r="P397" s="148">
        <f t="shared" si="85"/>
        <v>573</v>
      </c>
      <c r="R397" s="163">
        <f>Ethanol!AG20</f>
        <v>125177.33386051374</v>
      </c>
      <c r="S397" s="157">
        <f t="shared" si="89"/>
        <v>33.068096285931915</v>
      </c>
      <c r="T397" s="154">
        <f t="shared" si="90"/>
        <v>0.70214398745579687</v>
      </c>
      <c r="V397" s="149">
        <f t="shared" si="91"/>
        <v>455</v>
      </c>
      <c r="W397" s="149">
        <f t="shared" si="92"/>
        <v>108</v>
      </c>
      <c r="X397" s="149">
        <f t="shared" si="93"/>
        <v>10</v>
      </c>
      <c r="Y397" s="149">
        <f t="shared" si="86"/>
        <v>573</v>
      </c>
      <c r="AA397" s="158">
        <f t="shared" si="87"/>
        <v>0.79406631762652702</v>
      </c>
      <c r="AB397" s="158">
        <f t="shared" si="87"/>
        <v>0.18848167539267016</v>
      </c>
      <c r="AC397" s="158">
        <f t="shared" si="87"/>
        <v>1.7452006980802792E-2</v>
      </c>
      <c r="AE397" s="148"/>
      <c r="AF397" s="161">
        <f t="shared" si="88"/>
        <v>329633.64583268622</v>
      </c>
      <c r="AG397" s="161">
        <f t="shared" si="94"/>
        <v>261750.97531216792</v>
      </c>
      <c r="AH397" s="162">
        <f t="shared" si="95"/>
        <v>10.304586220991895</v>
      </c>
      <c r="AI397" s="159"/>
      <c r="AJ397" s="157"/>
      <c r="AK397" s="157">
        <f t="shared" si="96"/>
        <v>9.7893569099423008</v>
      </c>
      <c r="AN397" s="161">
        <f t="shared" si="97"/>
        <v>98890.093749805863</v>
      </c>
    </row>
    <row r="398" spans="1:40">
      <c r="A398" s="156">
        <f>'BD Plant List'!A397</f>
        <v>51714</v>
      </c>
      <c r="B398" s="148">
        <f t="shared" si="83"/>
        <v>40</v>
      </c>
      <c r="C398" s="148">
        <f t="shared" si="83"/>
        <v>10</v>
      </c>
      <c r="D398" s="148">
        <f t="shared" si="83"/>
        <v>56</v>
      </c>
      <c r="E398" s="148">
        <f t="shared" si="83"/>
        <v>70</v>
      </c>
      <c r="F398" s="148">
        <f t="shared" si="83"/>
        <v>9</v>
      </c>
      <c r="G398" s="148">
        <f t="shared" si="83"/>
        <v>50</v>
      </c>
      <c r="H398" s="148">
        <f t="shared" si="83"/>
        <v>39</v>
      </c>
      <c r="I398" s="148">
        <f t="shared" si="83"/>
        <v>39</v>
      </c>
      <c r="J398" s="148">
        <f t="shared" si="83"/>
        <v>100</v>
      </c>
      <c r="K398" s="148">
        <f t="shared" si="83"/>
        <v>26</v>
      </c>
      <c r="L398" s="148">
        <f t="shared" si="83"/>
        <v>7</v>
      </c>
      <c r="M398" s="148">
        <f t="shared" si="83"/>
        <v>12</v>
      </c>
      <c r="N398" s="148">
        <f t="shared" si="83"/>
        <v>10</v>
      </c>
      <c r="O398" s="148">
        <f t="shared" si="83"/>
        <v>105</v>
      </c>
      <c r="P398" s="148">
        <f t="shared" si="85"/>
        <v>573</v>
      </c>
      <c r="R398" s="163">
        <f>Ethanol!AG21</f>
        <v>125865.04352373348</v>
      </c>
      <c r="S398" s="157">
        <f t="shared" si="89"/>
        <v>33.249768547664679</v>
      </c>
      <c r="T398" s="154">
        <f t="shared" si="90"/>
        <v>0.68322724314010064</v>
      </c>
      <c r="V398" s="149">
        <f t="shared" si="91"/>
        <v>455</v>
      </c>
      <c r="W398" s="149">
        <f t="shared" si="92"/>
        <v>108</v>
      </c>
      <c r="X398" s="149">
        <f t="shared" si="93"/>
        <v>10</v>
      </c>
      <c r="Y398" s="149">
        <f t="shared" si="86"/>
        <v>573</v>
      </c>
      <c r="AA398" s="158">
        <f t="shared" si="87"/>
        <v>0.79406631762652702</v>
      </c>
      <c r="AB398" s="158">
        <f t="shared" si="87"/>
        <v>0.18848167539267016</v>
      </c>
      <c r="AC398" s="158">
        <f t="shared" si="87"/>
        <v>1.7452006980802792E-2</v>
      </c>
      <c r="AE398" s="148"/>
      <c r="AF398" s="161">
        <f t="shared" si="88"/>
        <v>331444.6146124982</v>
      </c>
      <c r="AG398" s="161">
        <f t="shared" si="94"/>
        <v>263189.00462248985</v>
      </c>
      <c r="AH398" s="162">
        <f t="shared" si="95"/>
        <v>10.361198415077718</v>
      </c>
      <c r="AI398" s="159"/>
      <c r="AJ398" s="157"/>
      <c r="AK398" s="157">
        <f t="shared" si="96"/>
        <v>9.8431384943238314</v>
      </c>
      <c r="AN398" s="161">
        <f t="shared" si="97"/>
        <v>99433.38438374945</v>
      </c>
    </row>
    <row r="399" spans="1:40">
      <c r="A399" s="156">
        <f>'BD Plant List'!A398</f>
        <v>51745</v>
      </c>
      <c r="B399" s="148">
        <f t="shared" si="83"/>
        <v>40</v>
      </c>
      <c r="C399" s="148">
        <f t="shared" si="83"/>
        <v>10</v>
      </c>
      <c r="D399" s="148">
        <f t="shared" si="83"/>
        <v>56</v>
      </c>
      <c r="E399" s="148">
        <f t="shared" si="83"/>
        <v>70</v>
      </c>
      <c r="F399" s="148">
        <f t="shared" si="83"/>
        <v>9</v>
      </c>
      <c r="G399" s="148">
        <f t="shared" si="83"/>
        <v>50</v>
      </c>
      <c r="H399" s="148">
        <f t="shared" si="83"/>
        <v>39</v>
      </c>
      <c r="I399" s="148">
        <f t="shared" si="83"/>
        <v>39</v>
      </c>
      <c r="J399" s="148">
        <f t="shared" si="83"/>
        <v>100</v>
      </c>
      <c r="K399" s="148">
        <f t="shared" si="83"/>
        <v>26</v>
      </c>
      <c r="L399" s="148">
        <f t="shared" si="83"/>
        <v>7</v>
      </c>
      <c r="M399" s="148">
        <f t="shared" si="83"/>
        <v>12</v>
      </c>
      <c r="N399" s="148">
        <f t="shared" ref="H399:U414" si="98">N$4</f>
        <v>10</v>
      </c>
      <c r="O399" s="148">
        <f t="shared" si="98"/>
        <v>105</v>
      </c>
      <c r="P399" s="148">
        <f t="shared" si="85"/>
        <v>573</v>
      </c>
      <c r="R399" s="163">
        <f>Ethanol!AG22</f>
        <v>110508.21894139536</v>
      </c>
      <c r="S399" s="157">
        <f t="shared" si="89"/>
        <v>29.192956197748416</v>
      </c>
      <c r="T399" s="154">
        <f t="shared" si="90"/>
        <v>0.59986652098058724</v>
      </c>
      <c r="V399" s="149">
        <f t="shared" si="91"/>
        <v>455</v>
      </c>
      <c r="W399" s="149">
        <f t="shared" si="92"/>
        <v>108</v>
      </c>
      <c r="X399" s="149">
        <f t="shared" si="93"/>
        <v>10</v>
      </c>
      <c r="Y399" s="149">
        <f t="shared" si="86"/>
        <v>573</v>
      </c>
      <c r="AA399" s="158">
        <f t="shared" si="87"/>
        <v>0.79406631762652702</v>
      </c>
      <c r="AB399" s="158">
        <f t="shared" si="87"/>
        <v>0.18848167539267016</v>
      </c>
      <c r="AC399" s="158">
        <f t="shared" si="87"/>
        <v>1.7452006980802792E-2</v>
      </c>
      <c r="AE399" s="148"/>
      <c r="AF399" s="161">
        <f t="shared" si="88"/>
        <v>291004.97654567449</v>
      </c>
      <c r="AG399" s="161">
        <f t="shared" si="94"/>
        <v>231077.2501366176</v>
      </c>
      <c r="AH399" s="162">
        <f t="shared" si="95"/>
        <v>9.0970260756533481</v>
      </c>
      <c r="AI399" s="159"/>
      <c r="AJ399" s="157"/>
      <c r="AK399" s="157">
        <f t="shared" si="96"/>
        <v>8.6421747718706801</v>
      </c>
      <c r="AN399" s="161">
        <f t="shared" si="97"/>
        <v>87301.492963702345</v>
      </c>
    </row>
    <row r="400" spans="1:40">
      <c r="A400" s="156">
        <f>'BD Plant List'!A399</f>
        <v>51775</v>
      </c>
      <c r="B400" s="148">
        <f t="shared" ref="B400:O426" si="99">B$4</f>
        <v>40</v>
      </c>
      <c r="C400" s="148">
        <f t="shared" si="99"/>
        <v>10</v>
      </c>
      <c r="D400" s="148">
        <f t="shared" si="99"/>
        <v>56</v>
      </c>
      <c r="E400" s="148">
        <f t="shared" si="99"/>
        <v>70</v>
      </c>
      <c r="F400" s="148">
        <f t="shared" si="99"/>
        <v>9</v>
      </c>
      <c r="G400" s="148">
        <f t="shared" si="99"/>
        <v>50</v>
      </c>
      <c r="H400" s="148">
        <f t="shared" si="98"/>
        <v>39</v>
      </c>
      <c r="I400" s="148">
        <f t="shared" si="98"/>
        <v>39</v>
      </c>
      <c r="J400" s="148">
        <f t="shared" si="98"/>
        <v>100</v>
      </c>
      <c r="K400" s="148">
        <f t="shared" si="98"/>
        <v>26</v>
      </c>
      <c r="L400" s="148">
        <f t="shared" si="98"/>
        <v>7</v>
      </c>
      <c r="M400" s="148">
        <f t="shared" si="98"/>
        <v>12</v>
      </c>
      <c r="N400" s="148">
        <f t="shared" si="98"/>
        <v>10</v>
      </c>
      <c r="O400" s="148">
        <f t="shared" si="98"/>
        <v>105</v>
      </c>
      <c r="P400" s="148">
        <f t="shared" si="85"/>
        <v>573</v>
      </c>
      <c r="R400" s="163">
        <f>Ethanol!AG23</f>
        <v>109896.84098997475</v>
      </c>
      <c r="S400" s="157">
        <f t="shared" si="89"/>
        <v>29.031448484321633</v>
      </c>
      <c r="T400" s="154">
        <f t="shared" si="90"/>
        <v>0.61643273396029052</v>
      </c>
      <c r="V400" s="149">
        <f t="shared" si="91"/>
        <v>455</v>
      </c>
      <c r="W400" s="149">
        <f t="shared" si="92"/>
        <v>108</v>
      </c>
      <c r="X400" s="149">
        <f t="shared" si="93"/>
        <v>10</v>
      </c>
      <c r="Y400" s="149">
        <f t="shared" si="86"/>
        <v>573</v>
      </c>
      <c r="AA400" s="158">
        <f t="shared" si="87"/>
        <v>0.79406631762652702</v>
      </c>
      <c r="AB400" s="158">
        <f t="shared" si="87"/>
        <v>0.18848167539267016</v>
      </c>
      <c r="AC400" s="158">
        <f t="shared" si="87"/>
        <v>1.7452006980802792E-2</v>
      </c>
      <c r="AE400" s="148"/>
      <c r="AF400" s="161">
        <f t="shared" si="88"/>
        <v>289395.01460693352</v>
      </c>
      <c r="AG400" s="161">
        <f t="shared" si="94"/>
        <v>229798.83358840269</v>
      </c>
      <c r="AH400" s="162">
        <f t="shared" si="95"/>
        <v>9.0466975008248784</v>
      </c>
      <c r="AI400" s="159"/>
      <c r="AJ400" s="157"/>
      <c r="AK400" s="157">
        <f t="shared" si="96"/>
        <v>8.594362625783635</v>
      </c>
      <c r="AN400" s="161">
        <f t="shared" si="97"/>
        <v>86818.504382080049</v>
      </c>
    </row>
    <row r="401" spans="1:40">
      <c r="A401" s="156">
        <f>'BD Plant List'!A400</f>
        <v>51806</v>
      </c>
      <c r="B401" s="148">
        <f t="shared" si="99"/>
        <v>40</v>
      </c>
      <c r="C401" s="148">
        <f t="shared" si="99"/>
        <v>10</v>
      </c>
      <c r="D401" s="148">
        <f t="shared" si="99"/>
        <v>56</v>
      </c>
      <c r="E401" s="148">
        <f t="shared" si="99"/>
        <v>70</v>
      </c>
      <c r="F401" s="148">
        <f t="shared" si="99"/>
        <v>9</v>
      </c>
      <c r="G401" s="148">
        <f t="shared" si="99"/>
        <v>50</v>
      </c>
      <c r="H401" s="148">
        <f t="shared" si="98"/>
        <v>39</v>
      </c>
      <c r="I401" s="148">
        <f t="shared" si="98"/>
        <v>39</v>
      </c>
      <c r="J401" s="148">
        <f t="shared" si="98"/>
        <v>100</v>
      </c>
      <c r="K401" s="148">
        <f t="shared" si="98"/>
        <v>26</v>
      </c>
      <c r="L401" s="148">
        <f t="shared" si="98"/>
        <v>7</v>
      </c>
      <c r="M401" s="148">
        <f t="shared" si="98"/>
        <v>12</v>
      </c>
      <c r="N401" s="148">
        <f t="shared" si="98"/>
        <v>10</v>
      </c>
      <c r="O401" s="148">
        <f t="shared" si="98"/>
        <v>105</v>
      </c>
      <c r="P401" s="148">
        <f t="shared" si="85"/>
        <v>573</v>
      </c>
      <c r="R401" s="163">
        <f>Ethanol!AG24</f>
        <v>123043.72893254574</v>
      </c>
      <c r="S401" s="157">
        <f t="shared" si="89"/>
        <v>32.50446187211061</v>
      </c>
      <c r="T401" s="154">
        <f t="shared" si="90"/>
        <v>0.66791243502338415</v>
      </c>
      <c r="V401" s="149">
        <f t="shared" si="91"/>
        <v>455</v>
      </c>
      <c r="W401" s="149">
        <f t="shared" si="92"/>
        <v>108</v>
      </c>
      <c r="X401" s="149">
        <f t="shared" si="93"/>
        <v>10</v>
      </c>
      <c r="Y401" s="149">
        <f t="shared" si="86"/>
        <v>573</v>
      </c>
      <c r="AA401" s="158">
        <f t="shared" si="87"/>
        <v>0.79406631762652702</v>
      </c>
      <c r="AB401" s="158">
        <f t="shared" si="87"/>
        <v>0.18848167539267016</v>
      </c>
      <c r="AC401" s="158">
        <f t="shared" si="87"/>
        <v>1.7452006980802792E-2</v>
      </c>
      <c r="AE401" s="148"/>
      <c r="AF401" s="161">
        <f t="shared" si="88"/>
        <v>324015.15285570378</v>
      </c>
      <c r="AG401" s="161">
        <f t="shared" si="94"/>
        <v>257289.51928332497</v>
      </c>
      <c r="AH401" s="162">
        <f t="shared" si="95"/>
        <v>10.12894806619401</v>
      </c>
      <c r="AI401" s="159"/>
      <c r="AJ401" s="157"/>
      <c r="AK401" s="157">
        <f t="shared" si="96"/>
        <v>9.6225006628843079</v>
      </c>
      <c r="AN401" s="161">
        <f t="shared" si="97"/>
        <v>97204.545856711135</v>
      </c>
    </row>
    <row r="402" spans="1:40">
      <c r="A402" s="156">
        <f>'BD Plant List'!A401</f>
        <v>51836</v>
      </c>
      <c r="B402" s="148">
        <f t="shared" si="99"/>
        <v>40</v>
      </c>
      <c r="C402" s="148">
        <f t="shared" si="99"/>
        <v>10</v>
      </c>
      <c r="D402" s="148">
        <f t="shared" si="99"/>
        <v>56</v>
      </c>
      <c r="E402" s="148">
        <f t="shared" si="99"/>
        <v>70</v>
      </c>
      <c r="F402" s="148">
        <f t="shared" si="99"/>
        <v>9</v>
      </c>
      <c r="G402" s="148">
        <f t="shared" si="99"/>
        <v>50</v>
      </c>
      <c r="H402" s="148">
        <f t="shared" si="98"/>
        <v>39</v>
      </c>
      <c r="I402" s="148">
        <f t="shared" si="98"/>
        <v>39</v>
      </c>
      <c r="J402" s="148">
        <f t="shared" si="98"/>
        <v>100</v>
      </c>
      <c r="K402" s="148">
        <f t="shared" si="98"/>
        <v>26</v>
      </c>
      <c r="L402" s="148">
        <f t="shared" si="98"/>
        <v>7</v>
      </c>
      <c r="M402" s="148">
        <f t="shared" si="98"/>
        <v>12</v>
      </c>
      <c r="N402" s="148">
        <f t="shared" si="98"/>
        <v>10</v>
      </c>
      <c r="O402" s="148">
        <f t="shared" si="98"/>
        <v>105</v>
      </c>
      <c r="P402" s="148">
        <f t="shared" si="85"/>
        <v>573</v>
      </c>
      <c r="R402" s="163">
        <f>Ethanol!AG25</f>
        <v>114990.07075057155</v>
      </c>
      <c r="S402" s="157">
        <f t="shared" si="89"/>
        <v>30.37692699017849</v>
      </c>
      <c r="T402" s="154">
        <f t="shared" si="90"/>
        <v>0.64500164929698356</v>
      </c>
      <c r="V402" s="149">
        <f t="shared" si="91"/>
        <v>455</v>
      </c>
      <c r="W402" s="149">
        <f t="shared" si="92"/>
        <v>108</v>
      </c>
      <c r="X402" s="149">
        <f t="shared" si="93"/>
        <v>10</v>
      </c>
      <c r="Y402" s="149">
        <f t="shared" si="86"/>
        <v>573</v>
      </c>
      <c r="AA402" s="158">
        <f t="shared" si="87"/>
        <v>0.79406631762652702</v>
      </c>
      <c r="AB402" s="158">
        <f t="shared" si="87"/>
        <v>0.18848167539267016</v>
      </c>
      <c r="AC402" s="158">
        <f t="shared" si="87"/>
        <v>1.7452006980802792E-2</v>
      </c>
      <c r="AE402" s="148"/>
      <c r="AF402" s="161">
        <f t="shared" si="88"/>
        <v>302807.18630983843</v>
      </c>
      <c r="AG402" s="161">
        <f t="shared" si="94"/>
        <v>240448.98738390312</v>
      </c>
      <c r="AH402" s="162">
        <f t="shared" si="95"/>
        <v>9.4659716904307594</v>
      </c>
      <c r="AI402" s="159"/>
      <c r="AJ402" s="157"/>
      <c r="AK402" s="157">
        <f t="shared" si="96"/>
        <v>8.9926731059092209</v>
      </c>
      <c r="AN402" s="161">
        <f t="shared" si="97"/>
        <v>90842.15589295153</v>
      </c>
    </row>
    <row r="403" spans="1:40">
      <c r="A403" s="156">
        <f>'BD Plant List'!A402</f>
        <v>51867</v>
      </c>
      <c r="B403" s="148">
        <f t="shared" si="99"/>
        <v>40</v>
      </c>
      <c r="C403" s="148">
        <f t="shared" si="99"/>
        <v>10</v>
      </c>
      <c r="D403" s="148">
        <f t="shared" si="99"/>
        <v>56</v>
      </c>
      <c r="E403" s="148">
        <f t="shared" si="99"/>
        <v>70</v>
      </c>
      <c r="F403" s="148">
        <f t="shared" si="99"/>
        <v>9</v>
      </c>
      <c r="G403" s="148">
        <f t="shared" si="99"/>
        <v>50</v>
      </c>
      <c r="H403" s="148">
        <f t="shared" si="98"/>
        <v>39</v>
      </c>
      <c r="I403" s="148">
        <f t="shared" si="98"/>
        <v>39</v>
      </c>
      <c r="J403" s="148">
        <f t="shared" si="98"/>
        <v>100</v>
      </c>
      <c r="K403" s="148">
        <f t="shared" si="98"/>
        <v>26</v>
      </c>
      <c r="L403" s="148">
        <f t="shared" si="98"/>
        <v>7</v>
      </c>
      <c r="M403" s="148">
        <f t="shared" si="98"/>
        <v>12</v>
      </c>
      <c r="N403" s="148">
        <f t="shared" si="98"/>
        <v>10</v>
      </c>
      <c r="O403" s="148">
        <f t="shared" si="98"/>
        <v>105</v>
      </c>
      <c r="P403" s="148">
        <f t="shared" si="85"/>
        <v>573</v>
      </c>
      <c r="R403" s="163">
        <f>Ethanol!AH14</f>
        <v>118701.73170746429</v>
      </c>
      <c r="S403" s="157">
        <f t="shared" si="89"/>
        <v>31.357436465160841</v>
      </c>
      <c r="T403" s="154">
        <f t="shared" si="90"/>
        <v>0.64434297752540148</v>
      </c>
      <c r="V403" s="149">
        <f t="shared" si="91"/>
        <v>455</v>
      </c>
      <c r="W403" s="149">
        <f t="shared" si="92"/>
        <v>108</v>
      </c>
      <c r="X403" s="149">
        <f t="shared" si="93"/>
        <v>10</v>
      </c>
      <c r="Y403" s="149">
        <f t="shared" si="86"/>
        <v>573</v>
      </c>
      <c r="AA403" s="158">
        <f t="shared" si="87"/>
        <v>0.79406631762652702</v>
      </c>
      <c r="AB403" s="158">
        <f t="shared" si="87"/>
        <v>0.18848167539267016</v>
      </c>
      <c r="AC403" s="158">
        <f t="shared" si="87"/>
        <v>1.7452006980802792E-2</v>
      </c>
      <c r="AE403" s="148"/>
      <c r="AF403" s="161">
        <f t="shared" si="88"/>
        <v>312581.22682965599</v>
      </c>
      <c r="AG403" s="161">
        <f t="shared" si="94"/>
        <v>248210.22374780712</v>
      </c>
      <c r="AH403" s="162">
        <f t="shared" si="95"/>
        <v>9.7715152674812948</v>
      </c>
      <c r="AI403" s="159"/>
      <c r="AJ403" s="157"/>
      <c r="AK403" s="157">
        <f t="shared" si="96"/>
        <v>9.2829395041072296</v>
      </c>
      <c r="AN403" s="161">
        <f t="shared" si="97"/>
        <v>93774.368048896795</v>
      </c>
    </row>
    <row r="404" spans="1:40">
      <c r="A404" s="156">
        <f>'BD Plant List'!A403</f>
        <v>51898</v>
      </c>
      <c r="B404" s="148">
        <f t="shared" si="99"/>
        <v>40</v>
      </c>
      <c r="C404" s="148">
        <f t="shared" si="99"/>
        <v>10</v>
      </c>
      <c r="D404" s="148">
        <f t="shared" si="99"/>
        <v>56</v>
      </c>
      <c r="E404" s="148">
        <f t="shared" si="99"/>
        <v>70</v>
      </c>
      <c r="F404" s="148">
        <f t="shared" si="99"/>
        <v>9</v>
      </c>
      <c r="G404" s="148">
        <f t="shared" si="99"/>
        <v>50</v>
      </c>
      <c r="H404" s="148">
        <f t="shared" si="98"/>
        <v>39</v>
      </c>
      <c r="I404" s="148">
        <f t="shared" si="98"/>
        <v>39</v>
      </c>
      <c r="J404" s="148">
        <f t="shared" si="98"/>
        <v>100</v>
      </c>
      <c r="K404" s="148">
        <f t="shared" si="98"/>
        <v>26</v>
      </c>
      <c r="L404" s="148">
        <f t="shared" si="98"/>
        <v>7</v>
      </c>
      <c r="M404" s="148">
        <f t="shared" si="98"/>
        <v>12</v>
      </c>
      <c r="N404" s="148">
        <f t="shared" si="98"/>
        <v>10</v>
      </c>
      <c r="O404" s="148">
        <f t="shared" si="98"/>
        <v>105</v>
      </c>
      <c r="P404" s="148">
        <f t="shared" si="85"/>
        <v>573</v>
      </c>
      <c r="R404" s="163">
        <f>Ethanol!AH15</f>
        <v>112665.16752567969</v>
      </c>
      <c r="S404" s="157">
        <f t="shared" si="89"/>
        <v>29.762757305258805</v>
      </c>
      <c r="T404" s="154">
        <f t="shared" si="90"/>
        <v>0.61157498262790422</v>
      </c>
      <c r="V404" s="149">
        <f t="shared" si="91"/>
        <v>455</v>
      </c>
      <c r="W404" s="149">
        <f t="shared" si="92"/>
        <v>108</v>
      </c>
      <c r="X404" s="149">
        <f t="shared" si="93"/>
        <v>10</v>
      </c>
      <c r="Y404" s="149">
        <f t="shared" si="86"/>
        <v>573</v>
      </c>
      <c r="AA404" s="158">
        <f t="shared" si="87"/>
        <v>0.79406631762652702</v>
      </c>
      <c r="AB404" s="158">
        <f t="shared" si="87"/>
        <v>0.18848167539267016</v>
      </c>
      <c r="AC404" s="158">
        <f t="shared" si="87"/>
        <v>1.7452006980802792E-2</v>
      </c>
      <c r="AE404" s="148"/>
      <c r="AF404" s="161">
        <f t="shared" si="88"/>
        <v>296684.94115095655</v>
      </c>
      <c r="AG404" s="161">
        <f t="shared" si="94"/>
        <v>235587.51871498296</v>
      </c>
      <c r="AH404" s="162">
        <f t="shared" si="95"/>
        <v>9.2745858780195771</v>
      </c>
      <c r="AI404" s="159"/>
      <c r="AJ404" s="157"/>
      <c r="AK404" s="157">
        <f t="shared" si="96"/>
        <v>8.8108565841185982</v>
      </c>
      <c r="AN404" s="161">
        <f t="shared" si="97"/>
        <v>89005.48234528696</v>
      </c>
    </row>
    <row r="405" spans="1:40">
      <c r="A405" s="156">
        <f>'BD Plant List'!A404</f>
        <v>51926</v>
      </c>
      <c r="B405" s="148">
        <f t="shared" si="99"/>
        <v>40</v>
      </c>
      <c r="C405" s="148">
        <f t="shared" si="99"/>
        <v>10</v>
      </c>
      <c r="D405" s="148">
        <f t="shared" si="99"/>
        <v>56</v>
      </c>
      <c r="E405" s="148">
        <f t="shared" si="99"/>
        <v>70</v>
      </c>
      <c r="F405" s="148">
        <f t="shared" si="99"/>
        <v>9</v>
      </c>
      <c r="G405" s="148">
        <f t="shared" si="99"/>
        <v>50</v>
      </c>
      <c r="H405" s="148">
        <f t="shared" si="98"/>
        <v>39</v>
      </c>
      <c r="I405" s="148">
        <f t="shared" si="98"/>
        <v>39</v>
      </c>
      <c r="J405" s="148">
        <f t="shared" si="98"/>
        <v>100</v>
      </c>
      <c r="K405" s="148">
        <f t="shared" si="98"/>
        <v>26</v>
      </c>
      <c r="L405" s="148">
        <f t="shared" si="98"/>
        <v>7</v>
      </c>
      <c r="M405" s="148">
        <f t="shared" si="98"/>
        <v>12</v>
      </c>
      <c r="N405" s="148">
        <f t="shared" si="98"/>
        <v>10</v>
      </c>
      <c r="O405" s="148">
        <f t="shared" si="98"/>
        <v>105</v>
      </c>
      <c r="P405" s="148">
        <f t="shared" si="85"/>
        <v>573</v>
      </c>
      <c r="R405" s="163">
        <f>Ethanol!AH16</f>
        <v>122390.73845020188</v>
      </c>
      <c r="S405" s="157">
        <f t="shared" si="89"/>
        <v>32.331961376389835</v>
      </c>
      <c r="T405" s="154">
        <f t="shared" si="90"/>
        <v>0.73555010610709848</v>
      </c>
      <c r="V405" s="149">
        <f t="shared" si="91"/>
        <v>455</v>
      </c>
      <c r="W405" s="149">
        <f t="shared" si="92"/>
        <v>108</v>
      </c>
      <c r="X405" s="149">
        <f t="shared" si="93"/>
        <v>10</v>
      </c>
      <c r="Y405" s="149">
        <f t="shared" si="86"/>
        <v>573</v>
      </c>
      <c r="AA405" s="158">
        <f t="shared" si="87"/>
        <v>0.79406631762652702</v>
      </c>
      <c r="AB405" s="158">
        <f t="shared" si="87"/>
        <v>0.18848167539267016</v>
      </c>
      <c r="AC405" s="158">
        <f t="shared" si="87"/>
        <v>1.7452006980802792E-2</v>
      </c>
      <c r="AE405" s="148"/>
      <c r="AF405" s="161">
        <f t="shared" si="88"/>
        <v>322295.61125219829</v>
      </c>
      <c r="AG405" s="161">
        <f t="shared" si="94"/>
        <v>255924.08921422376</v>
      </c>
      <c r="AH405" s="162">
        <f t="shared" si="95"/>
        <v>10.075193951776638</v>
      </c>
      <c r="AI405" s="159"/>
      <c r="AJ405" s="157"/>
      <c r="AK405" s="157">
        <f t="shared" si="96"/>
        <v>9.5714342541878068</v>
      </c>
      <c r="AN405" s="161">
        <f t="shared" si="97"/>
        <v>96688.683375659486</v>
      </c>
    </row>
    <row r="406" spans="1:40">
      <c r="A406" s="156">
        <f>'BD Plant List'!A405</f>
        <v>51957</v>
      </c>
      <c r="B406" s="148">
        <f t="shared" si="99"/>
        <v>40</v>
      </c>
      <c r="C406" s="148">
        <f t="shared" si="99"/>
        <v>10</v>
      </c>
      <c r="D406" s="148">
        <f t="shared" si="99"/>
        <v>56</v>
      </c>
      <c r="E406" s="148">
        <f t="shared" si="99"/>
        <v>70</v>
      </c>
      <c r="F406" s="148">
        <f t="shared" si="99"/>
        <v>9</v>
      </c>
      <c r="G406" s="148">
        <f t="shared" si="99"/>
        <v>50</v>
      </c>
      <c r="H406" s="148">
        <f t="shared" si="99"/>
        <v>39</v>
      </c>
      <c r="I406" s="148">
        <f t="shared" si="99"/>
        <v>39</v>
      </c>
      <c r="J406" s="148">
        <f t="shared" si="99"/>
        <v>100</v>
      </c>
      <c r="K406" s="148">
        <f t="shared" si="99"/>
        <v>26</v>
      </c>
      <c r="L406" s="148">
        <f t="shared" si="99"/>
        <v>7</v>
      </c>
      <c r="M406" s="148">
        <f t="shared" si="99"/>
        <v>12</v>
      </c>
      <c r="N406" s="148">
        <f t="shared" si="99"/>
        <v>10</v>
      </c>
      <c r="O406" s="148">
        <f t="shared" si="99"/>
        <v>105</v>
      </c>
      <c r="P406" s="148">
        <f t="shared" si="85"/>
        <v>573</v>
      </c>
      <c r="R406" s="163">
        <f>Ethanol!AH17</f>
        <v>110308.02659982724</v>
      </c>
      <c r="S406" s="157">
        <f t="shared" si="89"/>
        <v>29.140071386876365</v>
      </c>
      <c r="T406" s="154">
        <f t="shared" si="90"/>
        <v>0.59877982639249405</v>
      </c>
      <c r="V406" s="149">
        <f t="shared" si="91"/>
        <v>455</v>
      </c>
      <c r="W406" s="149">
        <f t="shared" si="92"/>
        <v>108</v>
      </c>
      <c r="X406" s="149">
        <f t="shared" si="93"/>
        <v>10</v>
      </c>
      <c r="Y406" s="149">
        <f t="shared" si="86"/>
        <v>573</v>
      </c>
      <c r="AA406" s="158">
        <f t="shared" si="87"/>
        <v>0.79406631762652702</v>
      </c>
      <c r="AB406" s="158">
        <f t="shared" si="87"/>
        <v>0.18848167539267016</v>
      </c>
      <c r="AC406" s="158">
        <f t="shared" si="87"/>
        <v>1.7452006980802792E-2</v>
      </c>
      <c r="AE406" s="148"/>
      <c r="AF406" s="161">
        <f t="shared" si="88"/>
        <v>290477.8033795451</v>
      </c>
      <c r="AG406" s="161">
        <f t="shared" si="94"/>
        <v>230658.63968183773</v>
      </c>
      <c r="AH406" s="162">
        <f t="shared" si="95"/>
        <v>9.0805462611306194</v>
      </c>
      <c r="AI406" s="159"/>
      <c r="AJ406" s="157"/>
      <c r="AK406" s="157">
        <f t="shared" si="96"/>
        <v>8.6265189480740876</v>
      </c>
      <c r="AN406" s="161">
        <f t="shared" si="97"/>
        <v>87143.341013863523</v>
      </c>
    </row>
    <row r="407" spans="1:40">
      <c r="A407" s="156">
        <f>'BD Plant List'!A406</f>
        <v>51987</v>
      </c>
      <c r="B407" s="148">
        <f t="shared" si="99"/>
        <v>40</v>
      </c>
      <c r="C407" s="148">
        <f t="shared" si="99"/>
        <v>10</v>
      </c>
      <c r="D407" s="148">
        <f t="shared" si="99"/>
        <v>56</v>
      </c>
      <c r="E407" s="148">
        <f t="shared" si="99"/>
        <v>70</v>
      </c>
      <c r="F407" s="148">
        <f t="shared" si="99"/>
        <v>9</v>
      </c>
      <c r="G407" s="148">
        <f t="shared" si="99"/>
        <v>50</v>
      </c>
      <c r="H407" s="148">
        <f t="shared" si="99"/>
        <v>39</v>
      </c>
      <c r="I407" s="148">
        <f t="shared" si="99"/>
        <v>39</v>
      </c>
      <c r="J407" s="148">
        <f t="shared" si="99"/>
        <v>100</v>
      </c>
      <c r="K407" s="148">
        <f t="shared" si="99"/>
        <v>26</v>
      </c>
      <c r="L407" s="148">
        <f t="shared" si="99"/>
        <v>7</v>
      </c>
      <c r="M407" s="148">
        <f t="shared" si="99"/>
        <v>12</v>
      </c>
      <c r="N407" s="148">
        <f t="shared" si="99"/>
        <v>10</v>
      </c>
      <c r="O407" s="148">
        <f t="shared" si="99"/>
        <v>105</v>
      </c>
      <c r="P407" s="148">
        <f t="shared" si="85"/>
        <v>573</v>
      </c>
      <c r="R407" s="163">
        <f>Ethanol!AH18</f>
        <v>113760.94681264914</v>
      </c>
      <c r="S407" s="157">
        <f t="shared" si="89"/>
        <v>30.052229319497524</v>
      </c>
      <c r="T407" s="154">
        <f t="shared" si="90"/>
        <v>0.63810725431161108</v>
      </c>
      <c r="V407" s="149">
        <f t="shared" si="91"/>
        <v>455</v>
      </c>
      <c r="W407" s="149">
        <f t="shared" si="92"/>
        <v>108</v>
      </c>
      <c r="X407" s="149">
        <f t="shared" si="93"/>
        <v>10</v>
      </c>
      <c r="Y407" s="149">
        <f t="shared" si="86"/>
        <v>573</v>
      </c>
      <c r="AA407" s="158">
        <f t="shared" si="87"/>
        <v>0.79406631762652702</v>
      </c>
      <c r="AB407" s="158">
        <f t="shared" si="87"/>
        <v>0.18848167539267016</v>
      </c>
      <c r="AC407" s="158">
        <f t="shared" si="87"/>
        <v>1.7452006980802792E-2</v>
      </c>
      <c r="AE407" s="148"/>
      <c r="AF407" s="161">
        <f t="shared" si="88"/>
        <v>299570.49327330943</v>
      </c>
      <c r="AG407" s="161">
        <f t="shared" si="94"/>
        <v>237878.83846309909</v>
      </c>
      <c r="AH407" s="162">
        <f t="shared" si="95"/>
        <v>9.3647903247314392</v>
      </c>
      <c r="AI407" s="159"/>
      <c r="AJ407" s="157"/>
      <c r="AK407" s="157">
        <f t="shared" si="96"/>
        <v>8.896550808494867</v>
      </c>
      <c r="AN407" s="161">
        <f t="shared" si="97"/>
        <v>89871.147981992821</v>
      </c>
    </row>
    <row r="408" spans="1:40">
      <c r="A408" s="156">
        <f>'BD Plant List'!A407</f>
        <v>52018</v>
      </c>
      <c r="B408" s="148">
        <f t="shared" si="99"/>
        <v>40</v>
      </c>
      <c r="C408" s="148">
        <f t="shared" si="99"/>
        <v>10</v>
      </c>
      <c r="D408" s="148">
        <f t="shared" si="99"/>
        <v>56</v>
      </c>
      <c r="E408" s="148">
        <f t="shared" si="99"/>
        <v>70</v>
      </c>
      <c r="F408" s="148">
        <f t="shared" si="99"/>
        <v>9</v>
      </c>
      <c r="G408" s="148">
        <f t="shared" si="99"/>
        <v>50</v>
      </c>
      <c r="H408" s="148">
        <f t="shared" si="99"/>
        <v>39</v>
      </c>
      <c r="I408" s="148">
        <f t="shared" si="99"/>
        <v>39</v>
      </c>
      <c r="J408" s="148">
        <f t="shared" si="99"/>
        <v>100</v>
      </c>
      <c r="K408" s="148">
        <f t="shared" si="99"/>
        <v>26</v>
      </c>
      <c r="L408" s="148">
        <f t="shared" si="99"/>
        <v>7</v>
      </c>
      <c r="M408" s="148">
        <f t="shared" si="99"/>
        <v>12</v>
      </c>
      <c r="N408" s="148">
        <f t="shared" si="99"/>
        <v>10</v>
      </c>
      <c r="O408" s="148">
        <f t="shared" si="99"/>
        <v>105</v>
      </c>
      <c r="P408" s="148">
        <f t="shared" si="85"/>
        <v>573</v>
      </c>
      <c r="R408" s="163">
        <f>Ethanol!AH19</f>
        <v>113105.78091485637</v>
      </c>
      <c r="S408" s="157">
        <f t="shared" si="89"/>
        <v>29.87915414427761</v>
      </c>
      <c r="T408" s="154">
        <f t="shared" si="90"/>
        <v>0.61396674338013435</v>
      </c>
      <c r="V408" s="149">
        <f t="shared" si="91"/>
        <v>455</v>
      </c>
      <c r="W408" s="149">
        <f t="shared" si="92"/>
        <v>108</v>
      </c>
      <c r="X408" s="149">
        <f t="shared" si="93"/>
        <v>10</v>
      </c>
      <c r="Y408" s="149">
        <f t="shared" si="86"/>
        <v>573</v>
      </c>
      <c r="AA408" s="158">
        <f t="shared" si="87"/>
        <v>0.79406631762652702</v>
      </c>
      <c r="AB408" s="158">
        <f t="shared" si="87"/>
        <v>0.18848167539267016</v>
      </c>
      <c r="AC408" s="158">
        <f t="shared" si="87"/>
        <v>1.7452006980802792E-2</v>
      </c>
      <c r="AE408" s="148"/>
      <c r="AF408" s="161">
        <f t="shared" si="88"/>
        <v>297845.22307578847</v>
      </c>
      <c r="AG408" s="161">
        <f t="shared" si="94"/>
        <v>236508.85951044285</v>
      </c>
      <c r="AH408" s="162">
        <f t="shared" si="95"/>
        <v>9.310857130321164</v>
      </c>
      <c r="AI408" s="159"/>
      <c r="AJ408" s="157"/>
      <c r="AK408" s="157">
        <f t="shared" si="96"/>
        <v>8.8453142738051049</v>
      </c>
      <c r="AN408" s="161">
        <f t="shared" si="97"/>
        <v>89353.566922736529</v>
      </c>
    </row>
    <row r="409" spans="1:40">
      <c r="A409" s="156">
        <f>'BD Plant List'!A408</f>
        <v>52048</v>
      </c>
      <c r="B409" s="148">
        <f t="shared" si="99"/>
        <v>40</v>
      </c>
      <c r="C409" s="148">
        <f t="shared" si="99"/>
        <v>10</v>
      </c>
      <c r="D409" s="148">
        <f t="shared" si="99"/>
        <v>56</v>
      </c>
      <c r="E409" s="148">
        <f t="shared" si="99"/>
        <v>70</v>
      </c>
      <c r="F409" s="148">
        <f t="shared" si="99"/>
        <v>9</v>
      </c>
      <c r="G409" s="148">
        <f t="shared" si="99"/>
        <v>50</v>
      </c>
      <c r="H409" s="148">
        <f t="shared" si="99"/>
        <v>39</v>
      </c>
      <c r="I409" s="148">
        <f t="shared" si="99"/>
        <v>39</v>
      </c>
      <c r="J409" s="148">
        <f t="shared" si="99"/>
        <v>100</v>
      </c>
      <c r="K409" s="148">
        <f t="shared" si="99"/>
        <v>26</v>
      </c>
      <c r="L409" s="148">
        <f t="shared" si="99"/>
        <v>7</v>
      </c>
      <c r="M409" s="148">
        <f t="shared" si="99"/>
        <v>12</v>
      </c>
      <c r="N409" s="148">
        <f t="shared" si="99"/>
        <v>10</v>
      </c>
      <c r="O409" s="148">
        <f t="shared" si="99"/>
        <v>105</v>
      </c>
      <c r="P409" s="148">
        <f t="shared" si="85"/>
        <v>573</v>
      </c>
      <c r="R409" s="163">
        <f>Ethanol!AH20</f>
        <v>124094.17758854304</v>
      </c>
      <c r="S409" s="157">
        <f t="shared" si="89"/>
        <v>32.781958893565417</v>
      </c>
      <c r="T409" s="154">
        <f t="shared" si="90"/>
        <v>0.69606835347012075</v>
      </c>
      <c r="V409" s="149">
        <f t="shared" si="91"/>
        <v>455</v>
      </c>
      <c r="W409" s="149">
        <f t="shared" si="92"/>
        <v>108</v>
      </c>
      <c r="X409" s="149">
        <f t="shared" si="93"/>
        <v>10</v>
      </c>
      <c r="Y409" s="149">
        <f t="shared" si="86"/>
        <v>573</v>
      </c>
      <c r="AA409" s="158">
        <f t="shared" si="87"/>
        <v>0.79406631762652702</v>
      </c>
      <c r="AB409" s="158">
        <f t="shared" si="87"/>
        <v>0.18848167539267016</v>
      </c>
      <c r="AC409" s="158">
        <f t="shared" si="87"/>
        <v>1.7452006980802792E-2</v>
      </c>
      <c r="AE409" s="148"/>
      <c r="AF409" s="161">
        <f t="shared" si="88"/>
        <v>326781.33431649674</v>
      </c>
      <c r="AG409" s="161">
        <f t="shared" si="94"/>
        <v>259486.0508097836</v>
      </c>
      <c r="AH409" s="162">
        <f t="shared" si="95"/>
        <v>10.215420899674479</v>
      </c>
      <c r="AI409" s="159"/>
      <c r="AJ409" s="157"/>
      <c r="AK409" s="157">
        <f t="shared" si="96"/>
        <v>9.7046498546907536</v>
      </c>
      <c r="AN409" s="161">
        <f t="shared" si="97"/>
        <v>98034.40029494901</v>
      </c>
    </row>
    <row r="410" spans="1:40">
      <c r="A410" s="156">
        <f>'BD Plant List'!A409</f>
        <v>52079</v>
      </c>
      <c r="B410" s="148">
        <f t="shared" si="99"/>
        <v>40</v>
      </c>
      <c r="C410" s="148">
        <f t="shared" si="99"/>
        <v>10</v>
      </c>
      <c r="D410" s="148">
        <f t="shared" si="99"/>
        <v>56</v>
      </c>
      <c r="E410" s="148">
        <f t="shared" si="99"/>
        <v>70</v>
      </c>
      <c r="F410" s="148">
        <f t="shared" si="99"/>
        <v>9</v>
      </c>
      <c r="G410" s="148">
        <f t="shared" si="99"/>
        <v>50</v>
      </c>
      <c r="H410" s="148">
        <f t="shared" si="99"/>
        <v>39</v>
      </c>
      <c r="I410" s="148">
        <f t="shared" si="99"/>
        <v>39</v>
      </c>
      <c r="J410" s="148">
        <f t="shared" si="99"/>
        <v>100</v>
      </c>
      <c r="K410" s="148">
        <f t="shared" si="99"/>
        <v>26</v>
      </c>
      <c r="L410" s="148">
        <f t="shared" si="99"/>
        <v>7</v>
      </c>
      <c r="M410" s="148">
        <f t="shared" si="99"/>
        <v>12</v>
      </c>
      <c r="N410" s="148">
        <f t="shared" si="99"/>
        <v>10</v>
      </c>
      <c r="O410" s="148">
        <f t="shared" si="99"/>
        <v>105</v>
      </c>
      <c r="P410" s="148">
        <f t="shared" si="85"/>
        <v>573</v>
      </c>
      <c r="R410" s="163">
        <f>Ethanol!AH21</f>
        <v>124778.4404688115</v>
      </c>
      <c r="S410" s="157">
        <f t="shared" si="89"/>
        <v>32.962720618645939</v>
      </c>
      <c r="T410" s="154">
        <f t="shared" si="90"/>
        <v>0.67732888733917507</v>
      </c>
      <c r="V410" s="149">
        <f t="shared" si="91"/>
        <v>455</v>
      </c>
      <c r="W410" s="149">
        <f t="shared" si="92"/>
        <v>108</v>
      </c>
      <c r="X410" s="149">
        <f t="shared" si="93"/>
        <v>10</v>
      </c>
      <c r="Y410" s="149">
        <f t="shared" si="86"/>
        <v>573</v>
      </c>
      <c r="AA410" s="158">
        <f t="shared" si="87"/>
        <v>0.79406631762652702</v>
      </c>
      <c r="AB410" s="158">
        <f t="shared" si="87"/>
        <v>0.18848167539267016</v>
      </c>
      <c r="AC410" s="158">
        <f t="shared" si="87"/>
        <v>1.7452006980802792E-2</v>
      </c>
      <c r="AE410" s="148"/>
      <c r="AF410" s="161">
        <f t="shared" si="88"/>
        <v>328583.2265678703</v>
      </c>
      <c r="AG410" s="161">
        <f t="shared" si="94"/>
        <v>260916.87275459158</v>
      </c>
      <c r="AH410" s="162">
        <f t="shared" si="95"/>
        <v>10.271749354915485</v>
      </c>
      <c r="AI410" s="159"/>
      <c r="AJ410" s="157"/>
      <c r="AK410" s="157">
        <f t="shared" si="96"/>
        <v>9.7581618871697113</v>
      </c>
      <c r="AN410" s="161">
        <f t="shared" si="97"/>
        <v>98574.967970361089</v>
      </c>
    </row>
    <row r="411" spans="1:40">
      <c r="A411" s="156">
        <f>'BD Plant List'!A410</f>
        <v>52110</v>
      </c>
      <c r="B411" s="148">
        <f t="shared" si="99"/>
        <v>40</v>
      </c>
      <c r="C411" s="148">
        <f t="shared" si="99"/>
        <v>10</v>
      </c>
      <c r="D411" s="148">
        <f t="shared" si="99"/>
        <v>56</v>
      </c>
      <c r="E411" s="148">
        <f t="shared" si="99"/>
        <v>70</v>
      </c>
      <c r="F411" s="148">
        <f t="shared" si="99"/>
        <v>9</v>
      </c>
      <c r="G411" s="148">
        <f t="shared" si="99"/>
        <v>50</v>
      </c>
      <c r="H411" s="148">
        <f t="shared" si="99"/>
        <v>39</v>
      </c>
      <c r="I411" s="148">
        <f t="shared" si="99"/>
        <v>39</v>
      </c>
      <c r="J411" s="148">
        <f t="shared" si="99"/>
        <v>100</v>
      </c>
      <c r="K411" s="148">
        <f t="shared" si="99"/>
        <v>26</v>
      </c>
      <c r="L411" s="148">
        <f t="shared" si="99"/>
        <v>7</v>
      </c>
      <c r="M411" s="148">
        <f t="shared" si="99"/>
        <v>12</v>
      </c>
      <c r="N411" s="148">
        <f t="shared" si="99"/>
        <v>10</v>
      </c>
      <c r="O411" s="148">
        <f t="shared" si="99"/>
        <v>105</v>
      </c>
      <c r="P411" s="148">
        <f t="shared" si="85"/>
        <v>573</v>
      </c>
      <c r="R411" s="163">
        <f>Ethanol!AH22</f>
        <v>109552.05599534381</v>
      </c>
      <c r="S411" s="157">
        <f t="shared" si="89"/>
        <v>28.940366632289976</v>
      </c>
      <c r="T411" s="154">
        <f t="shared" si="90"/>
        <v>0.59467622703292466</v>
      </c>
      <c r="V411" s="149">
        <f t="shared" si="91"/>
        <v>455</v>
      </c>
      <c r="W411" s="149">
        <f t="shared" si="92"/>
        <v>108</v>
      </c>
      <c r="X411" s="149">
        <f t="shared" si="93"/>
        <v>10</v>
      </c>
      <c r="Y411" s="149">
        <f t="shared" si="86"/>
        <v>573</v>
      </c>
      <c r="AA411" s="158">
        <f t="shared" si="87"/>
        <v>0.79406631762652702</v>
      </c>
      <c r="AB411" s="158">
        <f t="shared" si="87"/>
        <v>0.18848167539267016</v>
      </c>
      <c r="AC411" s="158">
        <f t="shared" si="87"/>
        <v>1.7452006980802792E-2</v>
      </c>
      <c r="AE411" s="148"/>
      <c r="AF411" s="161">
        <f t="shared" si="88"/>
        <v>288487.08078773873</v>
      </c>
      <c r="AG411" s="161">
        <f t="shared" si="94"/>
        <v>229077.87392394611</v>
      </c>
      <c r="AH411" s="162">
        <f t="shared" si="95"/>
        <v>9.0183148328505176</v>
      </c>
      <c r="AI411" s="159"/>
      <c r="AJ411" s="157"/>
      <c r="AK411" s="157">
        <f t="shared" si="96"/>
        <v>8.5673990912079905</v>
      </c>
      <c r="AN411" s="161">
        <f t="shared" si="97"/>
        <v>86546.124236321615</v>
      </c>
    </row>
    <row r="412" spans="1:40">
      <c r="A412" s="156">
        <f>'BD Plant List'!A411</f>
        <v>52140</v>
      </c>
      <c r="B412" s="148">
        <f t="shared" si="99"/>
        <v>40</v>
      </c>
      <c r="C412" s="148">
        <f t="shared" si="99"/>
        <v>10</v>
      </c>
      <c r="D412" s="148">
        <f t="shared" si="99"/>
        <v>56</v>
      </c>
      <c r="E412" s="148">
        <f t="shared" si="99"/>
        <v>70</v>
      </c>
      <c r="F412" s="148">
        <f t="shared" si="99"/>
        <v>9</v>
      </c>
      <c r="G412" s="148">
        <f t="shared" si="99"/>
        <v>50</v>
      </c>
      <c r="H412" s="148">
        <f t="shared" si="99"/>
        <v>39</v>
      </c>
      <c r="I412" s="148">
        <f t="shared" si="99"/>
        <v>39</v>
      </c>
      <c r="J412" s="148">
        <f t="shared" si="99"/>
        <v>100</v>
      </c>
      <c r="K412" s="148">
        <f t="shared" si="99"/>
        <v>26</v>
      </c>
      <c r="L412" s="148">
        <f t="shared" si="99"/>
        <v>7</v>
      </c>
      <c r="M412" s="148">
        <f t="shared" si="99"/>
        <v>12</v>
      </c>
      <c r="N412" s="148">
        <f t="shared" si="99"/>
        <v>10</v>
      </c>
      <c r="O412" s="148">
        <f t="shared" si="99"/>
        <v>105</v>
      </c>
      <c r="P412" s="148">
        <f t="shared" si="85"/>
        <v>573</v>
      </c>
      <c r="R412" s="163">
        <f>Ethanol!AH23</f>
        <v>108947.26399898941</v>
      </c>
      <c r="S412" s="157">
        <f t="shared" si="89"/>
        <v>28.780598730613033</v>
      </c>
      <c r="T412" s="154">
        <f t="shared" si="90"/>
        <v>0.61110637211598351</v>
      </c>
      <c r="V412" s="149">
        <f t="shared" si="91"/>
        <v>455</v>
      </c>
      <c r="W412" s="149">
        <f t="shared" si="92"/>
        <v>108</v>
      </c>
      <c r="X412" s="149">
        <f t="shared" si="93"/>
        <v>10</v>
      </c>
      <c r="Y412" s="149">
        <f t="shared" si="86"/>
        <v>573</v>
      </c>
      <c r="AA412" s="158">
        <f t="shared" si="87"/>
        <v>0.79406631762652702</v>
      </c>
      <c r="AB412" s="158">
        <f t="shared" si="87"/>
        <v>0.18848167539267016</v>
      </c>
      <c r="AC412" s="158">
        <f t="shared" si="87"/>
        <v>1.7452006980802792E-2</v>
      </c>
      <c r="AE412" s="148"/>
      <c r="AF412" s="161">
        <f t="shared" si="88"/>
        <v>286894.46186400548</v>
      </c>
      <c r="AG412" s="161">
        <f t="shared" si="94"/>
        <v>227813.22887979491</v>
      </c>
      <c r="AH412" s="162">
        <f t="shared" si="95"/>
        <v>8.9685284132168785</v>
      </c>
      <c r="AI412" s="159"/>
      <c r="AJ412" s="157"/>
      <c r="AK412" s="157">
        <f t="shared" si="96"/>
        <v>8.5201019925560342</v>
      </c>
      <c r="AN412" s="161">
        <f t="shared" si="97"/>
        <v>86068.338559201642</v>
      </c>
    </row>
    <row r="413" spans="1:40">
      <c r="A413" s="156">
        <f>'BD Plant List'!A412</f>
        <v>52171</v>
      </c>
      <c r="B413" s="148">
        <f t="shared" si="99"/>
        <v>40</v>
      </c>
      <c r="C413" s="148">
        <f t="shared" si="99"/>
        <v>10</v>
      </c>
      <c r="D413" s="148">
        <f t="shared" si="99"/>
        <v>56</v>
      </c>
      <c r="E413" s="148">
        <f t="shared" si="99"/>
        <v>70</v>
      </c>
      <c r="F413" s="148">
        <f t="shared" si="99"/>
        <v>9</v>
      </c>
      <c r="G413" s="148">
        <f t="shared" si="99"/>
        <v>50</v>
      </c>
      <c r="H413" s="148">
        <f t="shared" si="99"/>
        <v>39</v>
      </c>
      <c r="I413" s="148">
        <f t="shared" si="99"/>
        <v>39</v>
      </c>
      <c r="J413" s="148">
        <f t="shared" si="99"/>
        <v>100</v>
      </c>
      <c r="K413" s="148">
        <f t="shared" si="99"/>
        <v>26</v>
      </c>
      <c r="L413" s="148">
        <f t="shared" si="99"/>
        <v>7</v>
      </c>
      <c r="M413" s="148">
        <f t="shared" si="99"/>
        <v>12</v>
      </c>
      <c r="N413" s="148">
        <f t="shared" si="99"/>
        <v>10</v>
      </c>
      <c r="O413" s="148">
        <f t="shared" si="99"/>
        <v>105</v>
      </c>
      <c r="P413" s="148">
        <f t="shared" si="85"/>
        <v>573</v>
      </c>
      <c r="R413" s="163">
        <f>Ethanol!AH24</f>
        <v>121977.5729661643</v>
      </c>
      <c r="S413" s="157">
        <f t="shared" si="89"/>
        <v>32.222815450471622</v>
      </c>
      <c r="T413" s="154">
        <f t="shared" si="90"/>
        <v>0.66212507118291619</v>
      </c>
      <c r="V413" s="149">
        <f t="shared" si="91"/>
        <v>455</v>
      </c>
      <c r="W413" s="149">
        <f t="shared" si="92"/>
        <v>108</v>
      </c>
      <c r="X413" s="149">
        <f t="shared" si="93"/>
        <v>10</v>
      </c>
      <c r="Y413" s="149">
        <f t="shared" si="86"/>
        <v>573</v>
      </c>
      <c r="AA413" s="158">
        <f t="shared" si="87"/>
        <v>0.79406631762652702</v>
      </c>
      <c r="AB413" s="158">
        <f t="shared" si="87"/>
        <v>0.18848167539267016</v>
      </c>
      <c r="AC413" s="158">
        <f t="shared" si="87"/>
        <v>1.7452006980802792E-2</v>
      </c>
      <c r="AE413" s="148"/>
      <c r="AF413" s="161">
        <f t="shared" si="88"/>
        <v>321207.60881089937</v>
      </c>
      <c r="AG413" s="161">
        <f t="shared" si="94"/>
        <v>255060.14312209285</v>
      </c>
      <c r="AH413" s="162">
        <f t="shared" si="95"/>
        <v>10.041182208416238</v>
      </c>
      <c r="AI413" s="159"/>
      <c r="AJ413" s="157"/>
      <c r="AK413" s="157">
        <f t="shared" si="96"/>
        <v>9.5391230979954251</v>
      </c>
      <c r="AN413" s="161">
        <f t="shared" si="97"/>
        <v>96362.282643269806</v>
      </c>
    </row>
    <row r="414" spans="1:40">
      <c r="A414" s="156">
        <f>'BD Plant List'!A413</f>
        <v>52201</v>
      </c>
      <c r="B414" s="148">
        <f t="shared" si="99"/>
        <v>40</v>
      </c>
      <c r="C414" s="148">
        <f t="shared" si="99"/>
        <v>10</v>
      </c>
      <c r="D414" s="148">
        <f t="shared" si="99"/>
        <v>56</v>
      </c>
      <c r="E414" s="148">
        <f t="shared" si="99"/>
        <v>70</v>
      </c>
      <c r="F414" s="148">
        <f t="shared" si="99"/>
        <v>9</v>
      </c>
      <c r="G414" s="148">
        <f t="shared" si="99"/>
        <v>50</v>
      </c>
      <c r="H414" s="148">
        <f t="shared" si="99"/>
        <v>39</v>
      </c>
      <c r="I414" s="148">
        <f t="shared" si="99"/>
        <v>39</v>
      </c>
      <c r="J414" s="148">
        <f t="shared" si="99"/>
        <v>100</v>
      </c>
      <c r="K414" s="148">
        <f t="shared" si="99"/>
        <v>26</v>
      </c>
      <c r="L414" s="148">
        <f t="shared" si="99"/>
        <v>7</v>
      </c>
      <c r="M414" s="148">
        <f t="shared" si="99"/>
        <v>12</v>
      </c>
      <c r="N414" s="148">
        <f t="shared" si="99"/>
        <v>10</v>
      </c>
      <c r="O414" s="148">
        <f t="shared" si="99"/>
        <v>105</v>
      </c>
      <c r="P414" s="148">
        <f t="shared" si="85"/>
        <v>573</v>
      </c>
      <c r="R414" s="163">
        <f>Ethanol!AH25</f>
        <v>113996.58036793722</v>
      </c>
      <c r="S414" s="157">
        <f t="shared" si="89"/>
        <v>30.114476635797978</v>
      </c>
      <c r="T414" s="154">
        <f t="shared" si="90"/>
        <v>0.63942896870658872</v>
      </c>
      <c r="V414" s="149">
        <f t="shared" si="91"/>
        <v>455</v>
      </c>
      <c r="W414" s="149">
        <f t="shared" si="92"/>
        <v>108</v>
      </c>
      <c r="X414" s="149">
        <f t="shared" si="93"/>
        <v>10</v>
      </c>
      <c r="Y414" s="149">
        <f t="shared" si="86"/>
        <v>573</v>
      </c>
      <c r="AA414" s="158">
        <f t="shared" si="87"/>
        <v>0.79406631762652702</v>
      </c>
      <c r="AB414" s="158">
        <f t="shared" si="87"/>
        <v>0.18848167539267016</v>
      </c>
      <c r="AC414" s="158">
        <f t="shared" si="87"/>
        <v>1.7452006980802792E-2</v>
      </c>
      <c r="AE414" s="148"/>
      <c r="AF414" s="161">
        <f t="shared" si="88"/>
        <v>300190.99496890139</v>
      </c>
      <c r="AG414" s="161">
        <f t="shared" si="94"/>
        <v>238371.55795959884</v>
      </c>
      <c r="AH414" s="162">
        <f t="shared" si="95"/>
        <v>9.3841876565976907</v>
      </c>
      <c r="AI414" s="159"/>
      <c r="AJ414" s="157"/>
      <c r="AK414" s="157">
        <f t="shared" si="96"/>
        <v>8.9149782737678063</v>
      </c>
      <c r="AN414" s="161">
        <f t="shared" si="97"/>
        <v>90057.298490670408</v>
      </c>
    </row>
    <row r="415" spans="1:40">
      <c r="A415" s="156">
        <f>'BD Plant List'!A414</f>
        <v>52232</v>
      </c>
      <c r="B415" s="148">
        <f t="shared" si="99"/>
        <v>40</v>
      </c>
      <c r="C415" s="148">
        <f t="shared" si="99"/>
        <v>10</v>
      </c>
      <c r="D415" s="148">
        <f t="shared" si="99"/>
        <v>56</v>
      </c>
      <c r="E415" s="148">
        <f t="shared" si="99"/>
        <v>70</v>
      </c>
      <c r="F415" s="148">
        <f t="shared" si="99"/>
        <v>9</v>
      </c>
      <c r="G415" s="148">
        <f t="shared" si="99"/>
        <v>50</v>
      </c>
      <c r="H415" s="148">
        <f t="shared" si="99"/>
        <v>39</v>
      </c>
      <c r="I415" s="148">
        <f t="shared" si="99"/>
        <v>39</v>
      </c>
      <c r="J415" s="148">
        <f t="shared" si="99"/>
        <v>100</v>
      </c>
      <c r="K415" s="148">
        <f t="shared" si="99"/>
        <v>26</v>
      </c>
      <c r="L415" s="148">
        <f t="shared" si="99"/>
        <v>7</v>
      </c>
      <c r="M415" s="148">
        <f t="shared" si="99"/>
        <v>12</v>
      </c>
      <c r="N415" s="148">
        <f t="shared" si="99"/>
        <v>10</v>
      </c>
      <c r="O415" s="148">
        <f t="shared" si="99"/>
        <v>105</v>
      </c>
      <c r="P415" s="148">
        <f t="shared" si="85"/>
        <v>573</v>
      </c>
      <c r="R415" s="163">
        <f>Ethanol!AI14</f>
        <v>117843.08875511536</v>
      </c>
      <c r="S415" s="157">
        <f t="shared" si="89"/>
        <v>31.130608756438825</v>
      </c>
      <c r="T415" s="154">
        <f t="shared" si="90"/>
        <v>0.63968204673198048</v>
      </c>
      <c r="V415" s="149">
        <f t="shared" si="91"/>
        <v>455</v>
      </c>
      <c r="W415" s="149">
        <f t="shared" si="92"/>
        <v>108</v>
      </c>
      <c r="X415" s="149">
        <f t="shared" si="93"/>
        <v>10</v>
      </c>
      <c r="Y415" s="149">
        <f t="shared" si="86"/>
        <v>573</v>
      </c>
      <c r="AA415" s="158">
        <f t="shared" si="87"/>
        <v>0.79406631762652702</v>
      </c>
      <c r="AB415" s="158">
        <f t="shared" si="87"/>
        <v>0.18848167539267016</v>
      </c>
      <c r="AC415" s="158">
        <f t="shared" si="87"/>
        <v>1.7452006980802792E-2</v>
      </c>
      <c r="AE415" s="148"/>
      <c r="AF415" s="161">
        <f t="shared" si="88"/>
        <v>310320.13372180378</v>
      </c>
      <c r="AG415" s="161">
        <f t="shared" si="94"/>
        <v>246414.76586984418</v>
      </c>
      <c r="AH415" s="162">
        <f t="shared" si="95"/>
        <v>9.7008318612874387</v>
      </c>
      <c r="AI415" s="159"/>
      <c r="AJ415" s="157"/>
      <c r="AK415" s="157">
        <f t="shared" si="96"/>
        <v>9.215790268223067</v>
      </c>
      <c r="AN415" s="161">
        <f t="shared" si="97"/>
        <v>93096.040116541131</v>
      </c>
    </row>
    <row r="416" spans="1:40">
      <c r="A416" s="156">
        <f>'BD Plant List'!A415</f>
        <v>52263</v>
      </c>
      <c r="B416" s="148">
        <f t="shared" si="99"/>
        <v>40</v>
      </c>
      <c r="C416" s="148">
        <f t="shared" si="99"/>
        <v>10</v>
      </c>
      <c r="D416" s="148">
        <f t="shared" si="99"/>
        <v>56</v>
      </c>
      <c r="E416" s="148">
        <f t="shared" si="99"/>
        <v>70</v>
      </c>
      <c r="F416" s="148">
        <f t="shared" si="99"/>
        <v>9</v>
      </c>
      <c r="G416" s="148">
        <f t="shared" si="99"/>
        <v>50</v>
      </c>
      <c r="H416" s="148">
        <f t="shared" si="99"/>
        <v>39</v>
      </c>
      <c r="I416" s="148">
        <f t="shared" si="99"/>
        <v>39</v>
      </c>
      <c r="J416" s="148">
        <f t="shared" si="99"/>
        <v>100</v>
      </c>
      <c r="K416" s="148">
        <f t="shared" si="99"/>
        <v>26</v>
      </c>
      <c r="L416" s="148">
        <f t="shared" si="99"/>
        <v>7</v>
      </c>
      <c r="M416" s="148">
        <f t="shared" si="99"/>
        <v>12</v>
      </c>
      <c r="N416" s="148">
        <f t="shared" si="99"/>
        <v>10</v>
      </c>
      <c r="O416" s="148">
        <f t="shared" si="99"/>
        <v>105</v>
      </c>
      <c r="P416" s="148">
        <f t="shared" si="85"/>
        <v>573</v>
      </c>
      <c r="R416" s="163">
        <f>Ethanol!AI15</f>
        <v>111853.16552580362</v>
      </c>
      <c r="S416" s="157">
        <f t="shared" si="89"/>
        <v>29.548250736951545</v>
      </c>
      <c r="T416" s="154">
        <f t="shared" si="90"/>
        <v>0.60716723070355871</v>
      </c>
      <c r="V416" s="149">
        <f t="shared" si="91"/>
        <v>455</v>
      </c>
      <c r="W416" s="149">
        <f t="shared" si="92"/>
        <v>108</v>
      </c>
      <c r="X416" s="149">
        <f t="shared" si="93"/>
        <v>10</v>
      </c>
      <c r="Y416" s="149">
        <f t="shared" si="86"/>
        <v>573</v>
      </c>
      <c r="AA416" s="158">
        <f t="shared" si="87"/>
        <v>0.79406631762652702</v>
      </c>
      <c r="AB416" s="158">
        <f t="shared" si="87"/>
        <v>0.18848167539267016</v>
      </c>
      <c r="AC416" s="158">
        <f t="shared" si="87"/>
        <v>1.7452006980802792E-2</v>
      </c>
      <c r="AE416" s="148"/>
      <c r="AF416" s="161">
        <f t="shared" si="88"/>
        <v>294546.66921794956</v>
      </c>
      <c r="AG416" s="161">
        <f t="shared" si="94"/>
        <v>233889.58899505594</v>
      </c>
      <c r="AH416" s="162">
        <f t="shared" si="95"/>
        <v>9.2077419505984608</v>
      </c>
      <c r="AI416" s="159"/>
      <c r="AJ416" s="157"/>
      <c r="AK416" s="157">
        <f t="shared" si="96"/>
        <v>8.7473548530685381</v>
      </c>
      <c r="AN416" s="161">
        <f t="shared" si="97"/>
        <v>88364.000765384859</v>
      </c>
    </row>
    <row r="417" spans="1:40">
      <c r="A417" s="156">
        <f>'BD Plant List'!A416</f>
        <v>52291</v>
      </c>
      <c r="B417" s="148">
        <f t="shared" si="99"/>
        <v>40</v>
      </c>
      <c r="C417" s="148">
        <f t="shared" si="99"/>
        <v>10</v>
      </c>
      <c r="D417" s="148">
        <f t="shared" si="99"/>
        <v>56</v>
      </c>
      <c r="E417" s="148">
        <f t="shared" si="99"/>
        <v>70</v>
      </c>
      <c r="F417" s="148">
        <f t="shared" si="99"/>
        <v>9</v>
      </c>
      <c r="G417" s="148">
        <f t="shared" si="99"/>
        <v>50</v>
      </c>
      <c r="H417" s="148">
        <f t="shared" si="99"/>
        <v>39</v>
      </c>
      <c r="I417" s="148">
        <f t="shared" si="99"/>
        <v>39</v>
      </c>
      <c r="J417" s="148">
        <f t="shared" si="99"/>
        <v>100</v>
      </c>
      <c r="K417" s="148">
        <f t="shared" si="99"/>
        <v>26</v>
      </c>
      <c r="L417" s="148">
        <f t="shared" si="99"/>
        <v>7</v>
      </c>
      <c r="M417" s="148">
        <f t="shared" si="99"/>
        <v>12</v>
      </c>
      <c r="N417" s="148">
        <f t="shared" si="99"/>
        <v>10</v>
      </c>
      <c r="O417" s="148">
        <f t="shared" si="99"/>
        <v>105</v>
      </c>
      <c r="P417" s="148">
        <f t="shared" si="85"/>
        <v>573</v>
      </c>
      <c r="R417" s="163">
        <f>Ethanol!AI16</f>
        <v>121504.8662467766</v>
      </c>
      <c r="S417" s="157">
        <f t="shared" si="89"/>
        <v>32.097940516410979</v>
      </c>
      <c r="T417" s="154">
        <f t="shared" si="90"/>
        <v>0.73022614612877124</v>
      </c>
      <c r="V417" s="149">
        <f t="shared" si="91"/>
        <v>455</v>
      </c>
      <c r="W417" s="149">
        <f t="shared" si="92"/>
        <v>108</v>
      </c>
      <c r="X417" s="149">
        <f t="shared" si="93"/>
        <v>10</v>
      </c>
      <c r="Y417" s="149">
        <f t="shared" si="86"/>
        <v>573</v>
      </c>
      <c r="AA417" s="158">
        <f t="shared" si="87"/>
        <v>0.79406631762652702</v>
      </c>
      <c r="AB417" s="158">
        <f t="shared" si="87"/>
        <v>0.18848167539267016</v>
      </c>
      <c r="AC417" s="158">
        <f t="shared" si="87"/>
        <v>1.7452006980802792E-2</v>
      </c>
      <c r="AE417" s="148"/>
      <c r="AF417" s="161">
        <f t="shared" si="88"/>
        <v>319962.81444984511</v>
      </c>
      <c r="AG417" s="161">
        <f t="shared" si="94"/>
        <v>254071.69384760823</v>
      </c>
      <c r="AH417" s="162">
        <f t="shared" si="95"/>
        <v>10.002269036223256</v>
      </c>
      <c r="AI417" s="159"/>
      <c r="AJ417" s="157"/>
      <c r="AK417" s="157">
        <f t="shared" si="96"/>
        <v>9.5021555844120922</v>
      </c>
      <c r="AN417" s="161">
        <f t="shared" si="97"/>
        <v>95988.844334953523</v>
      </c>
    </row>
    <row r="418" spans="1:40">
      <c r="A418" s="156">
        <f>'BD Plant List'!A417</f>
        <v>52322</v>
      </c>
      <c r="B418" s="148">
        <f t="shared" si="99"/>
        <v>40</v>
      </c>
      <c r="C418" s="148">
        <f t="shared" si="99"/>
        <v>10</v>
      </c>
      <c r="D418" s="148">
        <f t="shared" si="99"/>
        <v>56</v>
      </c>
      <c r="E418" s="148">
        <f t="shared" si="99"/>
        <v>70</v>
      </c>
      <c r="F418" s="148">
        <f t="shared" si="99"/>
        <v>9</v>
      </c>
      <c r="G418" s="148">
        <f t="shared" si="99"/>
        <v>50</v>
      </c>
      <c r="H418" s="148">
        <f t="shared" si="99"/>
        <v>39</v>
      </c>
      <c r="I418" s="148">
        <f t="shared" si="99"/>
        <v>39</v>
      </c>
      <c r="J418" s="148">
        <f t="shared" si="99"/>
        <v>100</v>
      </c>
      <c r="K418" s="148">
        <f t="shared" si="99"/>
        <v>26</v>
      </c>
      <c r="L418" s="148">
        <f t="shared" si="99"/>
        <v>7</v>
      </c>
      <c r="M418" s="148">
        <f t="shared" si="99"/>
        <v>12</v>
      </c>
      <c r="N418" s="148">
        <f t="shared" si="99"/>
        <v>10</v>
      </c>
      <c r="O418" s="148">
        <f t="shared" si="99"/>
        <v>105</v>
      </c>
      <c r="P418" s="148">
        <f t="shared" si="85"/>
        <v>573</v>
      </c>
      <c r="R418" s="163">
        <f>Ethanol!AI17</f>
        <v>109510.50759842916</v>
      </c>
      <c r="S418" s="157">
        <f t="shared" si="89"/>
        <v>28.929390792277033</v>
      </c>
      <c r="T418" s="154">
        <f t="shared" si="90"/>
        <v>0.5944506918415311</v>
      </c>
      <c r="V418" s="149">
        <f t="shared" si="91"/>
        <v>455</v>
      </c>
      <c r="W418" s="149">
        <f t="shared" si="92"/>
        <v>108</v>
      </c>
      <c r="X418" s="149">
        <f t="shared" si="93"/>
        <v>10</v>
      </c>
      <c r="Y418" s="149">
        <f t="shared" si="86"/>
        <v>573</v>
      </c>
      <c r="AA418" s="158">
        <f t="shared" si="87"/>
        <v>0.79406631762652702</v>
      </c>
      <c r="AB418" s="158">
        <f t="shared" si="87"/>
        <v>0.18848167539267016</v>
      </c>
      <c r="AC418" s="158">
        <f t="shared" si="87"/>
        <v>1.7452006980802792E-2</v>
      </c>
      <c r="AE418" s="148"/>
      <c r="AF418" s="161">
        <f t="shared" si="88"/>
        <v>288377.67000919679</v>
      </c>
      <c r="AG418" s="161">
        <f t="shared" si="94"/>
        <v>228990.99450992065</v>
      </c>
      <c r="AH418" s="162">
        <f t="shared" si="95"/>
        <v>9.0148945727671048</v>
      </c>
      <c r="AI418" s="159"/>
      <c r="AJ418" s="157"/>
      <c r="AK418" s="157">
        <f t="shared" si="96"/>
        <v>8.5641498441287496</v>
      </c>
      <c r="AN418" s="161">
        <f t="shared" si="97"/>
        <v>86513.301002759035</v>
      </c>
    </row>
    <row r="419" spans="1:40">
      <c r="A419" s="156">
        <f>'BD Plant List'!A418</f>
        <v>52352</v>
      </c>
      <c r="B419" s="148">
        <f t="shared" si="99"/>
        <v>40</v>
      </c>
      <c r="C419" s="148">
        <f t="shared" si="99"/>
        <v>10</v>
      </c>
      <c r="D419" s="148">
        <f t="shared" si="99"/>
        <v>56</v>
      </c>
      <c r="E419" s="148">
        <f t="shared" si="99"/>
        <v>70</v>
      </c>
      <c r="F419" s="148">
        <f t="shared" si="99"/>
        <v>9</v>
      </c>
      <c r="G419" s="148">
        <f t="shared" si="99"/>
        <v>50</v>
      </c>
      <c r="H419" s="148">
        <f t="shared" si="99"/>
        <v>39</v>
      </c>
      <c r="I419" s="148">
        <f t="shared" si="99"/>
        <v>39</v>
      </c>
      <c r="J419" s="148">
        <f t="shared" si="99"/>
        <v>100</v>
      </c>
      <c r="K419" s="148">
        <f t="shared" si="99"/>
        <v>26</v>
      </c>
      <c r="L419" s="148">
        <f t="shared" si="99"/>
        <v>7</v>
      </c>
      <c r="M419" s="148">
        <f t="shared" si="99"/>
        <v>12</v>
      </c>
      <c r="N419" s="148">
        <f t="shared" si="99"/>
        <v>10</v>
      </c>
      <c r="O419" s="148">
        <f t="shared" si="99"/>
        <v>105</v>
      </c>
      <c r="P419" s="148">
        <f t="shared" si="85"/>
        <v>573</v>
      </c>
      <c r="R419" s="163">
        <f>Ethanol!AI18</f>
        <v>112939.7668914472</v>
      </c>
      <c r="S419" s="157">
        <f t="shared" si="89"/>
        <v>29.835298219713611</v>
      </c>
      <c r="T419" s="154">
        <f t="shared" si="90"/>
        <v>0.63350109657914289</v>
      </c>
      <c r="V419" s="149">
        <f t="shared" si="91"/>
        <v>455</v>
      </c>
      <c r="W419" s="149">
        <f t="shared" si="92"/>
        <v>108</v>
      </c>
      <c r="X419" s="149">
        <f t="shared" si="93"/>
        <v>10</v>
      </c>
      <c r="Y419" s="149">
        <f t="shared" si="86"/>
        <v>573</v>
      </c>
      <c r="AA419" s="158">
        <f t="shared" si="87"/>
        <v>0.79406631762652702</v>
      </c>
      <c r="AB419" s="158">
        <f t="shared" si="87"/>
        <v>0.18848167539267016</v>
      </c>
      <c r="AC419" s="158">
        <f t="shared" si="87"/>
        <v>1.7452006980802792E-2</v>
      </c>
      <c r="AE419" s="148"/>
      <c r="AF419" s="161">
        <f t="shared" si="88"/>
        <v>297408.05281414435</v>
      </c>
      <c r="AG419" s="161">
        <f t="shared" si="94"/>
        <v>236161.71733060328</v>
      </c>
      <c r="AH419" s="162">
        <f t="shared" si="95"/>
        <v>9.2971908716994562</v>
      </c>
      <c r="AI419" s="159"/>
      <c r="AJ419" s="157"/>
      <c r="AK419" s="157">
        <f t="shared" si="96"/>
        <v>8.8323313281144831</v>
      </c>
      <c r="AN419" s="161">
        <f t="shared" si="97"/>
        <v>89222.415844243296</v>
      </c>
    </row>
    <row r="420" spans="1:40">
      <c r="A420" s="156">
        <f>'BD Plant List'!A419</f>
        <v>52383</v>
      </c>
      <c r="B420" s="148">
        <f t="shared" si="99"/>
        <v>40</v>
      </c>
      <c r="C420" s="148">
        <f t="shared" si="99"/>
        <v>10</v>
      </c>
      <c r="D420" s="148">
        <f t="shared" si="99"/>
        <v>56</v>
      </c>
      <c r="E420" s="148">
        <f t="shared" si="99"/>
        <v>70</v>
      </c>
      <c r="F420" s="148">
        <f t="shared" si="99"/>
        <v>9</v>
      </c>
      <c r="G420" s="148">
        <f t="shared" si="99"/>
        <v>50</v>
      </c>
      <c r="H420" s="148">
        <f t="shared" si="99"/>
        <v>39</v>
      </c>
      <c r="I420" s="148">
        <f t="shared" si="99"/>
        <v>39</v>
      </c>
      <c r="J420" s="148">
        <f t="shared" si="99"/>
        <v>100</v>
      </c>
      <c r="K420" s="148">
        <f t="shared" si="99"/>
        <v>26</v>
      </c>
      <c r="L420" s="148">
        <f t="shared" si="99"/>
        <v>7</v>
      </c>
      <c r="M420" s="148">
        <f t="shared" si="99"/>
        <v>12</v>
      </c>
      <c r="N420" s="148">
        <f t="shared" si="99"/>
        <v>10</v>
      </c>
      <c r="O420" s="148">
        <f t="shared" si="99"/>
        <v>105</v>
      </c>
      <c r="P420" s="148">
        <f t="shared" si="85"/>
        <v>573</v>
      </c>
      <c r="R420" s="163">
        <f>Ethanol!AI19</f>
        <v>112288.07782067719</v>
      </c>
      <c r="S420" s="157">
        <f t="shared" si="89"/>
        <v>29.663141517888295</v>
      </c>
      <c r="T420" s="154">
        <f t="shared" si="90"/>
        <v>0.60952804447611475</v>
      </c>
      <c r="V420" s="149">
        <f t="shared" si="91"/>
        <v>455</v>
      </c>
      <c r="W420" s="149">
        <f t="shared" si="92"/>
        <v>108</v>
      </c>
      <c r="X420" s="149">
        <f t="shared" si="93"/>
        <v>10</v>
      </c>
      <c r="Y420" s="149">
        <f t="shared" si="86"/>
        <v>573</v>
      </c>
      <c r="AA420" s="158">
        <f t="shared" si="87"/>
        <v>0.79406631762652702</v>
      </c>
      <c r="AB420" s="158">
        <f t="shared" si="87"/>
        <v>0.18848167539267016</v>
      </c>
      <c r="AC420" s="158">
        <f t="shared" si="87"/>
        <v>1.7452006980802792E-2</v>
      </c>
      <c r="AE420" s="148"/>
      <c r="AF420" s="161">
        <f t="shared" si="88"/>
        <v>295691.93826111668</v>
      </c>
      <c r="AG420" s="161">
        <f t="shared" si="94"/>
        <v>234799.00856685531</v>
      </c>
      <c r="AH420" s="162">
        <f t="shared" si="95"/>
        <v>9.2435438893591026</v>
      </c>
      <c r="AI420" s="159"/>
      <c r="AJ420" s="157"/>
      <c r="AK420" s="157">
        <f t="shared" si="96"/>
        <v>8.7813666948911475</v>
      </c>
      <c r="AN420" s="161">
        <f t="shared" si="97"/>
        <v>88707.581478334992</v>
      </c>
    </row>
    <row r="421" spans="1:40">
      <c r="A421" s="156">
        <f>'BD Plant List'!A420</f>
        <v>52413</v>
      </c>
      <c r="B421" s="148">
        <f t="shared" si="99"/>
        <v>40</v>
      </c>
      <c r="C421" s="148">
        <f t="shared" si="99"/>
        <v>10</v>
      </c>
      <c r="D421" s="148">
        <f t="shared" si="99"/>
        <v>56</v>
      </c>
      <c r="E421" s="148">
        <f t="shared" si="99"/>
        <v>70</v>
      </c>
      <c r="F421" s="148">
        <f t="shared" si="99"/>
        <v>9</v>
      </c>
      <c r="G421" s="148">
        <f t="shared" si="99"/>
        <v>50</v>
      </c>
      <c r="H421" s="148">
        <f t="shared" si="99"/>
        <v>39</v>
      </c>
      <c r="I421" s="148">
        <f t="shared" si="99"/>
        <v>39</v>
      </c>
      <c r="J421" s="148">
        <f t="shared" si="99"/>
        <v>100</v>
      </c>
      <c r="K421" s="148">
        <f t="shared" ref="K421:W440" si="100">K$4</f>
        <v>26</v>
      </c>
      <c r="L421" s="148">
        <f t="shared" si="100"/>
        <v>7</v>
      </c>
      <c r="M421" s="148">
        <f t="shared" si="100"/>
        <v>12</v>
      </c>
      <c r="N421" s="148">
        <f t="shared" si="100"/>
        <v>10</v>
      </c>
      <c r="O421" s="148">
        <f t="shared" si="100"/>
        <v>105</v>
      </c>
      <c r="P421" s="148">
        <f t="shared" si="85"/>
        <v>573</v>
      </c>
      <c r="R421" s="163">
        <f>Ethanol!AI20</f>
        <v>123197.48904146411</v>
      </c>
      <c r="S421" s="157">
        <f t="shared" si="89"/>
        <v>32.545080680083579</v>
      </c>
      <c r="T421" s="154">
        <f t="shared" si="90"/>
        <v>0.69103865318385715</v>
      </c>
      <c r="V421" s="149">
        <f t="shared" si="91"/>
        <v>455</v>
      </c>
      <c r="W421" s="149">
        <f t="shared" si="92"/>
        <v>108</v>
      </c>
      <c r="X421" s="149">
        <f t="shared" si="93"/>
        <v>10</v>
      </c>
      <c r="Y421" s="149">
        <f t="shared" si="86"/>
        <v>573</v>
      </c>
      <c r="AA421" s="158">
        <f t="shared" si="87"/>
        <v>0.79406631762652702</v>
      </c>
      <c r="AB421" s="158">
        <f t="shared" si="87"/>
        <v>0.18848167539267016</v>
      </c>
      <c r="AC421" s="158">
        <f t="shared" si="87"/>
        <v>1.7452006980802792E-2</v>
      </c>
      <c r="AE421" s="148"/>
      <c r="AF421" s="161">
        <f t="shared" si="88"/>
        <v>324420.05447585555</v>
      </c>
      <c r="AG421" s="161">
        <f t="shared" si="94"/>
        <v>257611.03802183992</v>
      </c>
      <c r="AH421" s="162">
        <f t="shared" si="95"/>
        <v>10.141605583739992</v>
      </c>
      <c r="AI421" s="159"/>
      <c r="AJ421" s="157"/>
      <c r="AK421" s="157">
        <f t="shared" si="96"/>
        <v>9.6345253045529908</v>
      </c>
      <c r="AN421" s="161">
        <f t="shared" si="97"/>
        <v>97326.016342756659</v>
      </c>
    </row>
    <row r="422" spans="1:40">
      <c r="A422" s="156">
        <f>'BD Plant List'!A421</f>
        <v>52444</v>
      </c>
      <c r="B422" s="148">
        <f t="shared" ref="B422:O480" si="101">B$4</f>
        <v>40</v>
      </c>
      <c r="C422" s="148">
        <f t="shared" si="101"/>
        <v>10</v>
      </c>
      <c r="D422" s="148">
        <f t="shared" si="101"/>
        <v>56</v>
      </c>
      <c r="E422" s="148">
        <f t="shared" si="101"/>
        <v>70</v>
      </c>
      <c r="F422" s="148">
        <f t="shared" si="101"/>
        <v>9</v>
      </c>
      <c r="G422" s="148">
        <f t="shared" si="101"/>
        <v>50</v>
      </c>
      <c r="H422" s="148">
        <f t="shared" si="101"/>
        <v>39</v>
      </c>
      <c r="I422" s="148">
        <f t="shared" si="101"/>
        <v>39</v>
      </c>
      <c r="J422" s="148">
        <f t="shared" si="101"/>
        <v>100</v>
      </c>
      <c r="K422" s="148">
        <f t="shared" si="101"/>
        <v>26</v>
      </c>
      <c r="L422" s="148">
        <f t="shared" si="101"/>
        <v>7</v>
      </c>
      <c r="M422" s="148">
        <f t="shared" si="101"/>
        <v>12</v>
      </c>
      <c r="N422" s="148">
        <f t="shared" si="101"/>
        <v>10</v>
      </c>
      <c r="O422" s="148">
        <f t="shared" si="101"/>
        <v>105</v>
      </c>
      <c r="P422" s="148">
        <f t="shared" si="85"/>
        <v>573</v>
      </c>
      <c r="R422" s="163">
        <f>Ethanol!AI21</f>
        <v>123876.2403504525</v>
      </c>
      <c r="S422" s="157">
        <f t="shared" si="89"/>
        <v>32.724386413379037</v>
      </c>
      <c r="T422" s="154">
        <f t="shared" si="90"/>
        <v>0.672431517248401</v>
      </c>
      <c r="V422" s="149">
        <f t="shared" si="91"/>
        <v>455</v>
      </c>
      <c r="W422" s="149">
        <f t="shared" si="92"/>
        <v>108</v>
      </c>
      <c r="X422" s="149">
        <f t="shared" si="93"/>
        <v>10</v>
      </c>
      <c r="Y422" s="149">
        <f t="shared" si="86"/>
        <v>573</v>
      </c>
      <c r="AA422" s="158">
        <f t="shared" si="87"/>
        <v>0.79406631762652702</v>
      </c>
      <c r="AB422" s="158">
        <f t="shared" si="87"/>
        <v>0.18848167539267016</v>
      </c>
      <c r="AC422" s="158">
        <f t="shared" si="87"/>
        <v>1.7452006980802792E-2</v>
      </c>
      <c r="AE422" s="148"/>
      <c r="AF422" s="161">
        <f t="shared" si="88"/>
        <v>326207.43292285828</v>
      </c>
      <c r="AG422" s="161">
        <f t="shared" si="94"/>
        <v>259030.33504345638</v>
      </c>
      <c r="AH422" s="162">
        <f t="shared" si="95"/>
        <v>10.197480326957285</v>
      </c>
      <c r="AI422" s="159"/>
      <c r="AJ422" s="157"/>
      <c r="AK422" s="157">
        <f t="shared" si="96"/>
        <v>9.6876063106094197</v>
      </c>
      <c r="AN422" s="161">
        <f t="shared" si="97"/>
        <v>97862.229876857484</v>
      </c>
    </row>
    <row r="423" spans="1:40">
      <c r="A423" s="156">
        <f>'BD Plant List'!A422</f>
        <v>52475</v>
      </c>
      <c r="B423" s="148">
        <f t="shared" si="101"/>
        <v>40</v>
      </c>
      <c r="C423" s="148">
        <f t="shared" si="101"/>
        <v>10</v>
      </c>
      <c r="D423" s="148">
        <f t="shared" si="101"/>
        <v>56</v>
      </c>
      <c r="E423" s="148">
        <f t="shared" si="101"/>
        <v>70</v>
      </c>
      <c r="F423" s="148">
        <f t="shared" si="101"/>
        <v>9</v>
      </c>
      <c r="G423" s="148">
        <f t="shared" si="101"/>
        <v>50</v>
      </c>
      <c r="H423" s="148">
        <f t="shared" si="101"/>
        <v>39</v>
      </c>
      <c r="I423" s="148">
        <f t="shared" si="101"/>
        <v>39</v>
      </c>
      <c r="J423" s="148">
        <f t="shared" si="101"/>
        <v>100</v>
      </c>
      <c r="K423" s="148">
        <f t="shared" si="101"/>
        <v>26</v>
      </c>
      <c r="L423" s="148">
        <f t="shared" si="101"/>
        <v>7</v>
      </c>
      <c r="M423" s="148">
        <f t="shared" si="101"/>
        <v>12</v>
      </c>
      <c r="N423" s="148">
        <f t="shared" si="101"/>
        <v>10</v>
      </c>
      <c r="O423" s="148">
        <f t="shared" si="101"/>
        <v>105</v>
      </c>
      <c r="P423" s="148">
        <f t="shared" si="85"/>
        <v>573</v>
      </c>
      <c r="R423" s="163">
        <f>Ethanol!AI22</f>
        <v>108760.66152232808</v>
      </c>
      <c r="S423" s="157">
        <f t="shared" si="89"/>
        <v>28.731303954353411</v>
      </c>
      <c r="T423" s="154">
        <f t="shared" si="90"/>
        <v>0.590380337968755</v>
      </c>
      <c r="V423" s="149">
        <f t="shared" si="91"/>
        <v>455</v>
      </c>
      <c r="W423" s="149">
        <f t="shared" si="92"/>
        <v>108</v>
      </c>
      <c r="X423" s="149">
        <f t="shared" si="93"/>
        <v>10</v>
      </c>
      <c r="Y423" s="149">
        <f t="shared" si="86"/>
        <v>573</v>
      </c>
      <c r="AA423" s="158">
        <f t="shared" si="87"/>
        <v>0.79406631762652702</v>
      </c>
      <c r="AB423" s="158">
        <f t="shared" si="87"/>
        <v>0.18848167539267016</v>
      </c>
      <c r="AC423" s="158">
        <f t="shared" si="87"/>
        <v>1.7452006980802792E-2</v>
      </c>
      <c r="AE423" s="148"/>
      <c r="AF423" s="161">
        <f t="shared" si="88"/>
        <v>286403.07534213061</v>
      </c>
      <c r="AG423" s="161">
        <f t="shared" si="94"/>
        <v>227423.03539383845</v>
      </c>
      <c r="AH423" s="162">
        <f t="shared" si="95"/>
        <v>8.9531673150810924</v>
      </c>
      <c r="AI423" s="159"/>
      <c r="AJ423" s="157"/>
      <c r="AK423" s="157">
        <f t="shared" si="96"/>
        <v>8.5055089493270373</v>
      </c>
      <c r="AN423" s="161">
        <f t="shared" si="97"/>
        <v>85920.922602639184</v>
      </c>
    </row>
    <row r="424" spans="1:40">
      <c r="A424" s="156">
        <f>'BD Plant List'!A423</f>
        <v>52505</v>
      </c>
      <c r="B424" s="148">
        <f t="shared" si="101"/>
        <v>40</v>
      </c>
      <c r="C424" s="148">
        <f t="shared" si="101"/>
        <v>10</v>
      </c>
      <c r="D424" s="148">
        <f t="shared" si="101"/>
        <v>56</v>
      </c>
      <c r="E424" s="148">
        <f t="shared" si="101"/>
        <v>70</v>
      </c>
      <c r="F424" s="148">
        <f t="shared" si="101"/>
        <v>9</v>
      </c>
      <c r="G424" s="148">
        <f t="shared" si="101"/>
        <v>50</v>
      </c>
      <c r="H424" s="148">
        <f t="shared" si="101"/>
        <v>39</v>
      </c>
      <c r="I424" s="148">
        <f t="shared" si="101"/>
        <v>39</v>
      </c>
      <c r="J424" s="148">
        <f t="shared" si="101"/>
        <v>100</v>
      </c>
      <c r="K424" s="148">
        <f t="shared" si="101"/>
        <v>26</v>
      </c>
      <c r="L424" s="148">
        <f t="shared" si="101"/>
        <v>7</v>
      </c>
      <c r="M424" s="148">
        <f t="shared" si="101"/>
        <v>12</v>
      </c>
      <c r="N424" s="148">
        <f t="shared" si="101"/>
        <v>10</v>
      </c>
      <c r="O424" s="148">
        <f t="shared" si="101"/>
        <v>105</v>
      </c>
      <c r="P424" s="148">
        <f t="shared" si="85"/>
        <v>573</v>
      </c>
      <c r="R424" s="163">
        <f>Ethanol!AI23</f>
        <v>108159.38483777651</v>
      </c>
      <c r="S424" s="157">
        <f t="shared" si="89"/>
        <v>28.572464692595421</v>
      </c>
      <c r="T424" s="154">
        <f t="shared" si="90"/>
        <v>0.60668700481659843</v>
      </c>
      <c r="V424" s="149">
        <f t="shared" si="91"/>
        <v>455</v>
      </c>
      <c r="W424" s="149">
        <f t="shared" si="92"/>
        <v>108</v>
      </c>
      <c r="X424" s="149">
        <f t="shared" si="93"/>
        <v>10</v>
      </c>
      <c r="Y424" s="149">
        <f t="shared" si="86"/>
        <v>573</v>
      </c>
      <c r="AA424" s="158">
        <f t="shared" si="87"/>
        <v>0.79406631762652702</v>
      </c>
      <c r="AB424" s="158">
        <f t="shared" si="87"/>
        <v>0.18848167539267016</v>
      </c>
      <c r="AC424" s="158">
        <f t="shared" si="87"/>
        <v>1.7452006980802792E-2</v>
      </c>
      <c r="AE424" s="148"/>
      <c r="AF424" s="161">
        <f t="shared" si="88"/>
        <v>284819.71340614482</v>
      </c>
      <c r="AG424" s="161">
        <f t="shared" si="94"/>
        <v>226165.7410118602</v>
      </c>
      <c r="AH424" s="162">
        <f t="shared" si="95"/>
        <v>8.9036702755808097</v>
      </c>
      <c r="AI424" s="159"/>
      <c r="AJ424" s="157"/>
      <c r="AK424" s="157">
        <f t="shared" si="96"/>
        <v>8.4584867618017689</v>
      </c>
      <c r="AN424" s="161">
        <f t="shared" si="97"/>
        <v>85445.914021843448</v>
      </c>
    </row>
    <row r="425" spans="1:40">
      <c r="A425" s="156">
        <f>'BD Plant List'!A424</f>
        <v>52536</v>
      </c>
      <c r="B425" s="148">
        <f t="shared" si="101"/>
        <v>40</v>
      </c>
      <c r="C425" s="148">
        <f t="shared" si="101"/>
        <v>10</v>
      </c>
      <c r="D425" s="148">
        <f t="shared" si="101"/>
        <v>56</v>
      </c>
      <c r="E425" s="148">
        <f t="shared" si="101"/>
        <v>70</v>
      </c>
      <c r="F425" s="148">
        <f t="shared" si="101"/>
        <v>9</v>
      </c>
      <c r="G425" s="148">
        <f t="shared" si="101"/>
        <v>50</v>
      </c>
      <c r="H425" s="148">
        <f t="shared" si="101"/>
        <v>39</v>
      </c>
      <c r="I425" s="148">
        <f t="shared" si="101"/>
        <v>39</v>
      </c>
      <c r="J425" s="148">
        <f t="shared" si="101"/>
        <v>100</v>
      </c>
      <c r="K425" s="148">
        <f t="shared" si="101"/>
        <v>26</v>
      </c>
      <c r="L425" s="148">
        <f t="shared" si="101"/>
        <v>7</v>
      </c>
      <c r="M425" s="148">
        <f t="shared" si="101"/>
        <v>12</v>
      </c>
      <c r="N425" s="148">
        <f t="shared" si="101"/>
        <v>10</v>
      </c>
      <c r="O425" s="148">
        <f t="shared" si="101"/>
        <v>105</v>
      </c>
      <c r="P425" s="148">
        <f t="shared" si="85"/>
        <v>573</v>
      </c>
      <c r="R425" s="163">
        <f>Ethanol!AI24</f>
        <v>121096.30445722947</v>
      </c>
      <c r="S425" s="157">
        <f t="shared" si="89"/>
        <v>31.990010748466315</v>
      </c>
      <c r="T425" s="154">
        <f t="shared" si="90"/>
        <v>0.65734132315432103</v>
      </c>
      <c r="V425" s="149">
        <f t="shared" si="91"/>
        <v>455</v>
      </c>
      <c r="W425" s="149">
        <f t="shared" si="92"/>
        <v>108</v>
      </c>
      <c r="X425" s="149">
        <f t="shared" si="93"/>
        <v>10</v>
      </c>
      <c r="Y425" s="149">
        <f t="shared" si="86"/>
        <v>573</v>
      </c>
      <c r="AA425" s="158">
        <f t="shared" si="87"/>
        <v>0.79406631762652702</v>
      </c>
      <c r="AB425" s="158">
        <f t="shared" si="87"/>
        <v>0.18848167539267016</v>
      </c>
      <c r="AC425" s="158">
        <f t="shared" si="87"/>
        <v>1.7452006980802792E-2</v>
      </c>
      <c r="AE425" s="148"/>
      <c r="AF425" s="161">
        <f t="shared" si="88"/>
        <v>318886.93507070432</v>
      </c>
      <c r="AG425" s="161">
        <f t="shared" si="94"/>
        <v>253217.37427080359</v>
      </c>
      <c r="AH425" s="162">
        <f t="shared" si="95"/>
        <v>9.9686362685555689</v>
      </c>
      <c r="AI425" s="159"/>
      <c r="AJ425" s="157"/>
      <c r="AK425" s="157">
        <f t="shared" si="96"/>
        <v>9.4702044551277904</v>
      </c>
      <c r="AN425" s="161">
        <f t="shared" si="97"/>
        <v>95666.08052121129</v>
      </c>
    </row>
    <row r="426" spans="1:40">
      <c r="A426" s="156">
        <f>'BD Plant List'!A425</f>
        <v>52566</v>
      </c>
      <c r="B426" s="148">
        <f t="shared" si="101"/>
        <v>40</v>
      </c>
      <c r="C426" s="148">
        <f t="shared" si="101"/>
        <v>10</v>
      </c>
      <c r="D426" s="148">
        <f t="shared" si="101"/>
        <v>56</v>
      </c>
      <c r="E426" s="148">
        <f t="shared" si="101"/>
        <v>70</v>
      </c>
      <c r="F426" s="148">
        <f t="shared" si="101"/>
        <v>9</v>
      </c>
      <c r="G426" s="148">
        <f t="shared" si="101"/>
        <v>50</v>
      </c>
      <c r="H426" s="148">
        <f t="shared" si="101"/>
        <v>39</v>
      </c>
      <c r="I426" s="148">
        <f t="shared" si="101"/>
        <v>39</v>
      </c>
      <c r="J426" s="148">
        <f t="shared" si="101"/>
        <v>100</v>
      </c>
      <c r="K426" s="148">
        <f t="shared" si="101"/>
        <v>26</v>
      </c>
      <c r="L426" s="148">
        <f t="shared" si="101"/>
        <v>7</v>
      </c>
      <c r="M426" s="148">
        <f t="shared" si="101"/>
        <v>12</v>
      </c>
      <c r="N426" s="148">
        <f t="shared" si="101"/>
        <v>10</v>
      </c>
      <c r="O426" s="148">
        <f t="shared" si="101"/>
        <v>105</v>
      </c>
      <c r="P426" s="148">
        <f t="shared" si="85"/>
        <v>573</v>
      </c>
      <c r="R426" s="163">
        <f>Ethanol!AI25</f>
        <v>113166.96826405637</v>
      </c>
      <c r="S426" s="157">
        <f t="shared" si="89"/>
        <v>29.895318006315772</v>
      </c>
      <c r="T426" s="154">
        <f t="shared" si="90"/>
        <v>0.63477551322310966</v>
      </c>
      <c r="V426" s="149">
        <f t="shared" si="91"/>
        <v>455</v>
      </c>
      <c r="W426" s="149">
        <f t="shared" si="92"/>
        <v>108</v>
      </c>
      <c r="X426" s="149">
        <f t="shared" si="93"/>
        <v>10</v>
      </c>
      <c r="Y426" s="149">
        <f t="shared" si="86"/>
        <v>573</v>
      </c>
      <c r="AA426" s="158">
        <f t="shared" si="87"/>
        <v>0.79406631762652702</v>
      </c>
      <c r="AB426" s="158">
        <f t="shared" si="87"/>
        <v>0.18848167539267016</v>
      </c>
      <c r="AC426" s="158">
        <f t="shared" si="87"/>
        <v>1.7452006980802792E-2</v>
      </c>
      <c r="AE426" s="148"/>
      <c r="AF426" s="161">
        <f t="shared" si="88"/>
        <v>298006.3497620151</v>
      </c>
      <c r="AG426" s="161">
        <f t="shared" si="94"/>
        <v>236636.8047848462</v>
      </c>
      <c r="AH426" s="162">
        <f t="shared" si="95"/>
        <v>9.3158940670893475</v>
      </c>
      <c r="AI426" s="159"/>
      <c r="AJ426" s="157"/>
      <c r="AK426" s="157">
        <f t="shared" si="96"/>
        <v>8.8500993637348806</v>
      </c>
      <c r="AN426" s="161">
        <f t="shared" si="97"/>
        <v>89401.904928604534</v>
      </c>
    </row>
    <row r="427" spans="1:40">
      <c r="A427" s="156">
        <f>'BD Plant List'!A426</f>
        <v>52597</v>
      </c>
      <c r="B427" s="148">
        <f t="shared" si="101"/>
        <v>40</v>
      </c>
      <c r="C427" s="148">
        <f t="shared" si="101"/>
        <v>10</v>
      </c>
      <c r="D427" s="148">
        <f t="shared" si="101"/>
        <v>56</v>
      </c>
      <c r="E427" s="148">
        <f t="shared" si="101"/>
        <v>70</v>
      </c>
      <c r="F427" s="148">
        <f t="shared" si="101"/>
        <v>9</v>
      </c>
      <c r="G427" s="148">
        <f t="shared" si="101"/>
        <v>50</v>
      </c>
      <c r="H427" s="148">
        <f t="shared" si="101"/>
        <v>39</v>
      </c>
      <c r="I427" s="148">
        <f t="shared" si="101"/>
        <v>39</v>
      </c>
      <c r="J427" s="148">
        <f t="shared" si="101"/>
        <v>100</v>
      </c>
      <c r="K427" s="148">
        <f t="shared" si="101"/>
        <v>26</v>
      </c>
      <c r="L427" s="148">
        <f t="shared" si="101"/>
        <v>7</v>
      </c>
      <c r="M427" s="148">
        <f t="shared" si="101"/>
        <v>12</v>
      </c>
      <c r="N427" s="148">
        <f t="shared" si="101"/>
        <v>10</v>
      </c>
      <c r="O427" s="148">
        <f t="shared" si="101"/>
        <v>105</v>
      </c>
      <c r="P427" s="148">
        <f t="shared" si="85"/>
        <v>573</v>
      </c>
      <c r="R427" s="163">
        <f>Ethanol!AJ14</f>
        <v>117032.6479162476</v>
      </c>
      <c r="S427" s="157">
        <f t="shared" si="89"/>
        <v>30.916514600035132</v>
      </c>
      <c r="T427" s="154">
        <f t="shared" si="90"/>
        <v>0.63528276918385529</v>
      </c>
      <c r="V427" s="149">
        <f t="shared" si="91"/>
        <v>455</v>
      </c>
      <c r="W427" s="149">
        <f t="shared" si="92"/>
        <v>108</v>
      </c>
      <c r="X427" s="149">
        <f t="shared" si="93"/>
        <v>10</v>
      </c>
      <c r="Y427" s="149">
        <f t="shared" si="86"/>
        <v>573</v>
      </c>
      <c r="AA427" s="158">
        <f t="shared" si="87"/>
        <v>0.79406631762652702</v>
      </c>
      <c r="AB427" s="158">
        <f t="shared" si="87"/>
        <v>0.18848167539267016</v>
      </c>
      <c r="AC427" s="158">
        <f t="shared" si="87"/>
        <v>1.7452006980802792E-2</v>
      </c>
      <c r="AE427" s="148"/>
      <c r="AF427" s="161">
        <f t="shared" si="88"/>
        <v>308185.97284611873</v>
      </c>
      <c r="AG427" s="161">
        <f t="shared" si="94"/>
        <v>244720.10060206635</v>
      </c>
      <c r="AH427" s="162">
        <f t="shared" si="95"/>
        <v>9.6341164484920867</v>
      </c>
      <c r="AI427" s="159"/>
      <c r="AJ427" s="157"/>
      <c r="AK427" s="157">
        <f t="shared" si="96"/>
        <v>9.152410626067482</v>
      </c>
      <c r="AN427" s="161">
        <f t="shared" si="97"/>
        <v>92455.791853835617</v>
      </c>
    </row>
    <row r="428" spans="1:40">
      <c r="A428" s="156">
        <f>'BD Plant List'!A427</f>
        <v>52628</v>
      </c>
      <c r="B428" s="148">
        <f t="shared" si="101"/>
        <v>40</v>
      </c>
      <c r="C428" s="148">
        <f t="shared" si="101"/>
        <v>10</v>
      </c>
      <c r="D428" s="148">
        <f t="shared" si="101"/>
        <v>56</v>
      </c>
      <c r="E428" s="148">
        <f t="shared" si="101"/>
        <v>70</v>
      </c>
      <c r="F428" s="148">
        <f t="shared" si="101"/>
        <v>9</v>
      </c>
      <c r="G428" s="148">
        <f t="shared" si="101"/>
        <v>50</v>
      </c>
      <c r="H428" s="148">
        <f t="shared" si="101"/>
        <v>39</v>
      </c>
      <c r="I428" s="148">
        <f t="shared" si="101"/>
        <v>39</v>
      </c>
      <c r="J428" s="148">
        <f t="shared" si="101"/>
        <v>100</v>
      </c>
      <c r="K428" s="148">
        <f t="shared" si="101"/>
        <v>26</v>
      </c>
      <c r="L428" s="148">
        <f t="shared" si="101"/>
        <v>7</v>
      </c>
      <c r="M428" s="148">
        <f t="shared" si="101"/>
        <v>12</v>
      </c>
      <c r="N428" s="148">
        <f t="shared" si="101"/>
        <v>10</v>
      </c>
      <c r="O428" s="148">
        <f t="shared" si="101"/>
        <v>105</v>
      </c>
      <c r="P428" s="148">
        <f t="shared" si="85"/>
        <v>573</v>
      </c>
      <c r="R428" s="163">
        <f>Ethanol!AJ15</f>
        <v>111083.22226768965</v>
      </c>
      <c r="S428" s="157">
        <f t="shared" si="89"/>
        <v>29.344854826455578</v>
      </c>
      <c r="T428" s="154">
        <f t="shared" si="90"/>
        <v>0.60298778425132493</v>
      </c>
      <c r="V428" s="149">
        <f t="shared" si="91"/>
        <v>455</v>
      </c>
      <c r="W428" s="149">
        <f t="shared" si="92"/>
        <v>108</v>
      </c>
      <c r="X428" s="149">
        <f t="shared" si="93"/>
        <v>10</v>
      </c>
      <c r="Y428" s="149">
        <f t="shared" si="86"/>
        <v>573</v>
      </c>
      <c r="AA428" s="158">
        <f t="shared" si="87"/>
        <v>0.79406631762652702</v>
      </c>
      <c r="AB428" s="158">
        <f t="shared" si="87"/>
        <v>0.18848167539267016</v>
      </c>
      <c r="AC428" s="158">
        <f t="shared" si="87"/>
        <v>1.7452006980802792E-2</v>
      </c>
      <c r="AE428" s="148"/>
      <c r="AF428" s="161">
        <f t="shared" si="88"/>
        <v>292519.15197158279</v>
      </c>
      <c r="AG428" s="161">
        <f t="shared" si="94"/>
        <v>232279.60584130918</v>
      </c>
      <c r="AH428" s="162">
        <f t="shared" si="95"/>
        <v>9.1443602948000748</v>
      </c>
      <c r="AI428" s="159"/>
      <c r="AJ428" s="157"/>
      <c r="AK428" s="157">
        <f t="shared" si="96"/>
        <v>8.6871422800600708</v>
      </c>
      <c r="AN428" s="161">
        <f t="shared" si="97"/>
        <v>87755.745591474828</v>
      </c>
    </row>
    <row r="429" spans="1:40">
      <c r="A429" s="156">
        <f>'BD Plant List'!A428</f>
        <v>52657</v>
      </c>
      <c r="B429" s="148">
        <f t="shared" si="101"/>
        <v>40</v>
      </c>
      <c r="C429" s="148">
        <f t="shared" si="101"/>
        <v>10</v>
      </c>
      <c r="D429" s="148">
        <f t="shared" si="101"/>
        <v>56</v>
      </c>
      <c r="E429" s="148">
        <f t="shared" si="101"/>
        <v>70</v>
      </c>
      <c r="F429" s="148">
        <f t="shared" si="101"/>
        <v>9</v>
      </c>
      <c r="G429" s="148">
        <f t="shared" si="101"/>
        <v>50</v>
      </c>
      <c r="H429" s="148">
        <f t="shared" si="101"/>
        <v>39</v>
      </c>
      <c r="I429" s="148">
        <f t="shared" si="101"/>
        <v>39</v>
      </c>
      <c r="J429" s="148">
        <f t="shared" si="101"/>
        <v>100</v>
      </c>
      <c r="K429" s="148">
        <f t="shared" si="101"/>
        <v>26</v>
      </c>
      <c r="L429" s="148">
        <f t="shared" si="101"/>
        <v>7</v>
      </c>
      <c r="M429" s="148">
        <f t="shared" si="101"/>
        <v>12</v>
      </c>
      <c r="N429" s="148">
        <f t="shared" si="101"/>
        <v>10</v>
      </c>
      <c r="O429" s="148">
        <f t="shared" si="101"/>
        <v>105</v>
      </c>
      <c r="P429" s="148">
        <f t="shared" si="85"/>
        <v>573</v>
      </c>
      <c r="R429" s="163">
        <f>Ethanol!AJ16</f>
        <v>120669.50961126821</v>
      </c>
      <c r="S429" s="157">
        <f t="shared" si="89"/>
        <v>31.877264354008723</v>
      </c>
      <c r="T429" s="154">
        <f t="shared" si="90"/>
        <v>0.70019868142343278</v>
      </c>
      <c r="V429" s="149">
        <f t="shared" si="91"/>
        <v>455</v>
      </c>
      <c r="W429" s="149">
        <f t="shared" si="92"/>
        <v>108</v>
      </c>
      <c r="X429" s="149">
        <f t="shared" si="93"/>
        <v>10</v>
      </c>
      <c r="Y429" s="149">
        <f t="shared" si="86"/>
        <v>573</v>
      </c>
      <c r="AA429" s="158">
        <f t="shared" si="87"/>
        <v>0.79406631762652702</v>
      </c>
      <c r="AB429" s="158">
        <f t="shared" si="87"/>
        <v>0.18848167539267016</v>
      </c>
      <c r="AC429" s="158">
        <f t="shared" si="87"/>
        <v>1.7452006980802792E-2</v>
      </c>
      <c r="AE429" s="148"/>
      <c r="AF429" s="161">
        <f t="shared" si="88"/>
        <v>317763.04197633965</v>
      </c>
      <c r="AG429" s="161">
        <f t="shared" si="94"/>
        <v>252324.92861995555</v>
      </c>
      <c r="AH429" s="162">
        <f t="shared" si="95"/>
        <v>9.9335025574175475</v>
      </c>
      <c r="AI429" s="159"/>
      <c r="AJ429" s="157"/>
      <c r="AK429" s="157">
        <f t="shared" si="96"/>
        <v>9.4368274295466694</v>
      </c>
      <c r="AN429" s="161">
        <f t="shared" si="97"/>
        <v>95328.912592901892</v>
      </c>
    </row>
    <row r="430" spans="1:40">
      <c r="A430" s="156">
        <f>'BD Plant List'!A429</f>
        <v>52688</v>
      </c>
      <c r="B430" s="148">
        <f t="shared" si="101"/>
        <v>40</v>
      </c>
      <c r="C430" s="148">
        <f t="shared" si="101"/>
        <v>10</v>
      </c>
      <c r="D430" s="148">
        <f t="shared" si="101"/>
        <v>56</v>
      </c>
      <c r="E430" s="148">
        <f t="shared" si="101"/>
        <v>70</v>
      </c>
      <c r="F430" s="148">
        <f t="shared" si="101"/>
        <v>9</v>
      </c>
      <c r="G430" s="148">
        <f t="shared" si="101"/>
        <v>50</v>
      </c>
      <c r="H430" s="148">
        <f t="shared" si="101"/>
        <v>39</v>
      </c>
      <c r="I430" s="148">
        <f t="shared" si="101"/>
        <v>39</v>
      </c>
      <c r="J430" s="148">
        <f t="shared" si="101"/>
        <v>100</v>
      </c>
      <c r="K430" s="148">
        <f t="shared" si="101"/>
        <v>26</v>
      </c>
      <c r="L430" s="148">
        <f t="shared" si="101"/>
        <v>7</v>
      </c>
      <c r="M430" s="148">
        <f t="shared" si="101"/>
        <v>12</v>
      </c>
      <c r="N430" s="148">
        <f t="shared" si="101"/>
        <v>10</v>
      </c>
      <c r="O430" s="148">
        <f t="shared" si="101"/>
        <v>105</v>
      </c>
      <c r="P430" s="148">
        <f t="shared" si="85"/>
        <v>573</v>
      </c>
      <c r="R430" s="163">
        <f>Ethanol!AJ17</f>
        <v>108757.4607745939</v>
      </c>
      <c r="S430" s="157">
        <f t="shared" si="89"/>
        <v>28.730458412824472</v>
      </c>
      <c r="T430" s="154">
        <f t="shared" si="90"/>
        <v>0.59036296350171324</v>
      </c>
      <c r="V430" s="149">
        <f t="shared" si="91"/>
        <v>455</v>
      </c>
      <c r="W430" s="149">
        <f t="shared" si="92"/>
        <v>108</v>
      </c>
      <c r="X430" s="149">
        <f t="shared" si="93"/>
        <v>10</v>
      </c>
      <c r="Y430" s="149">
        <f t="shared" si="86"/>
        <v>573</v>
      </c>
      <c r="AA430" s="158">
        <f t="shared" si="87"/>
        <v>0.79406631762652702</v>
      </c>
      <c r="AB430" s="158">
        <f t="shared" si="87"/>
        <v>0.18848167539267016</v>
      </c>
      <c r="AC430" s="158">
        <f t="shared" si="87"/>
        <v>1.7452006980802792E-2</v>
      </c>
      <c r="AE430" s="148"/>
      <c r="AF430" s="161">
        <f t="shared" si="88"/>
        <v>286394.64670643059</v>
      </c>
      <c r="AG430" s="161">
        <f t="shared" si="94"/>
        <v>227416.34249812551</v>
      </c>
      <c r="AH430" s="162">
        <f t="shared" si="95"/>
        <v>8.9529038298319534</v>
      </c>
      <c r="AI430" s="159"/>
      <c r="AJ430" s="157"/>
      <c r="AK430" s="157">
        <f t="shared" si="96"/>
        <v>8.5052586383403561</v>
      </c>
      <c r="AN430" s="161">
        <f t="shared" si="97"/>
        <v>85918.39401192918</v>
      </c>
    </row>
    <row r="431" spans="1:40">
      <c r="A431" s="156">
        <f>'BD Plant List'!A430</f>
        <v>52718</v>
      </c>
      <c r="B431" s="148">
        <f t="shared" si="101"/>
        <v>40</v>
      </c>
      <c r="C431" s="148">
        <f t="shared" si="101"/>
        <v>10</v>
      </c>
      <c r="D431" s="148">
        <f t="shared" si="101"/>
        <v>56</v>
      </c>
      <c r="E431" s="148">
        <f t="shared" si="101"/>
        <v>70</v>
      </c>
      <c r="F431" s="148">
        <f t="shared" si="101"/>
        <v>9</v>
      </c>
      <c r="G431" s="148">
        <f t="shared" si="101"/>
        <v>50</v>
      </c>
      <c r="H431" s="148">
        <f t="shared" si="101"/>
        <v>39</v>
      </c>
      <c r="I431" s="148">
        <f t="shared" si="101"/>
        <v>39</v>
      </c>
      <c r="J431" s="148">
        <f t="shared" si="101"/>
        <v>100</v>
      </c>
      <c r="K431" s="148">
        <f t="shared" si="101"/>
        <v>26</v>
      </c>
      <c r="L431" s="148">
        <f t="shared" si="101"/>
        <v>7</v>
      </c>
      <c r="M431" s="148">
        <f t="shared" si="101"/>
        <v>12</v>
      </c>
      <c r="N431" s="148">
        <f t="shared" si="101"/>
        <v>10</v>
      </c>
      <c r="O431" s="148">
        <f t="shared" si="101"/>
        <v>105</v>
      </c>
      <c r="P431" s="148">
        <f t="shared" si="85"/>
        <v>573</v>
      </c>
      <c r="R431" s="163">
        <f>Ethanol!AJ18</f>
        <v>112163.28753445861</v>
      </c>
      <c r="S431" s="157">
        <f t="shared" si="89"/>
        <v>29.630175667977934</v>
      </c>
      <c r="T431" s="154">
        <f t="shared" si="90"/>
        <v>0.62914567299662272</v>
      </c>
      <c r="V431" s="149">
        <f t="shared" si="91"/>
        <v>455</v>
      </c>
      <c r="W431" s="149">
        <f t="shared" si="92"/>
        <v>108</v>
      </c>
      <c r="X431" s="149">
        <f t="shared" si="93"/>
        <v>10</v>
      </c>
      <c r="Y431" s="149">
        <f t="shared" si="86"/>
        <v>573</v>
      </c>
      <c r="AA431" s="158">
        <f t="shared" si="87"/>
        <v>0.79406631762652702</v>
      </c>
      <c r="AB431" s="158">
        <f t="shared" si="87"/>
        <v>0.18848167539267016</v>
      </c>
      <c r="AC431" s="158">
        <f t="shared" si="87"/>
        <v>1.7452006980802792E-2</v>
      </c>
      <c r="AE431" s="148"/>
      <c r="AF431" s="161">
        <f t="shared" si="88"/>
        <v>295363.32384074101</v>
      </c>
      <c r="AG431" s="161">
        <f t="shared" si="94"/>
        <v>234538.06692414862</v>
      </c>
      <c r="AH431" s="162">
        <f t="shared" si="95"/>
        <v>9.23327116486319</v>
      </c>
      <c r="AI431" s="159"/>
      <c r="AJ431" s="157"/>
      <c r="AK431" s="157">
        <f t="shared" si="96"/>
        <v>8.7716076066200301</v>
      </c>
      <c r="AN431" s="161">
        <f t="shared" si="97"/>
        <v>88608.997152222306</v>
      </c>
    </row>
    <row r="432" spans="1:40">
      <c r="A432" s="156">
        <f>'BD Plant List'!A431</f>
        <v>52749</v>
      </c>
      <c r="B432" s="148">
        <f t="shared" si="101"/>
        <v>40</v>
      </c>
      <c r="C432" s="148">
        <f t="shared" si="101"/>
        <v>10</v>
      </c>
      <c r="D432" s="148">
        <f t="shared" si="101"/>
        <v>56</v>
      </c>
      <c r="E432" s="148">
        <f t="shared" si="101"/>
        <v>70</v>
      </c>
      <c r="F432" s="148">
        <f t="shared" si="101"/>
        <v>9</v>
      </c>
      <c r="G432" s="148">
        <f t="shared" si="101"/>
        <v>50</v>
      </c>
      <c r="H432" s="148">
        <f t="shared" si="101"/>
        <v>39</v>
      </c>
      <c r="I432" s="148">
        <f t="shared" si="101"/>
        <v>39</v>
      </c>
      <c r="J432" s="148">
        <f t="shared" si="101"/>
        <v>100</v>
      </c>
      <c r="K432" s="148">
        <f t="shared" si="101"/>
        <v>26</v>
      </c>
      <c r="L432" s="148">
        <f t="shared" si="101"/>
        <v>7</v>
      </c>
      <c r="M432" s="148">
        <f t="shared" si="101"/>
        <v>12</v>
      </c>
      <c r="N432" s="148">
        <f t="shared" si="101"/>
        <v>10</v>
      </c>
      <c r="O432" s="148">
        <f t="shared" si="101"/>
        <v>105</v>
      </c>
      <c r="P432" s="148">
        <f t="shared" si="85"/>
        <v>573</v>
      </c>
      <c r="R432" s="163">
        <f>Ethanol!AJ19</f>
        <v>111516.04092471267</v>
      </c>
      <c r="S432" s="157">
        <f t="shared" si="89"/>
        <v>29.459192531081349</v>
      </c>
      <c r="T432" s="154">
        <f t="shared" si="90"/>
        <v>0.60533723322888544</v>
      </c>
      <c r="V432" s="149">
        <f t="shared" si="91"/>
        <v>455</v>
      </c>
      <c r="W432" s="149">
        <f t="shared" si="92"/>
        <v>108</v>
      </c>
      <c r="X432" s="149">
        <f t="shared" si="93"/>
        <v>10</v>
      </c>
      <c r="Y432" s="149">
        <f t="shared" si="86"/>
        <v>573</v>
      </c>
      <c r="AA432" s="158">
        <f t="shared" si="87"/>
        <v>0.79406631762652702</v>
      </c>
      <c r="AB432" s="158">
        <f t="shared" si="87"/>
        <v>0.18848167539267016</v>
      </c>
      <c r="AC432" s="158">
        <f t="shared" si="87"/>
        <v>1.7452006980802792E-2</v>
      </c>
      <c r="AE432" s="148"/>
      <c r="AF432" s="161">
        <f t="shared" si="88"/>
        <v>293658.90776841005</v>
      </c>
      <c r="AG432" s="161">
        <f t="shared" si="94"/>
        <v>233184.64752988931</v>
      </c>
      <c r="AH432" s="162">
        <f t="shared" si="95"/>
        <v>9.1799898854919277</v>
      </c>
      <c r="AI432" s="159"/>
      <c r="AJ432" s="157"/>
      <c r="AK432" s="157">
        <f t="shared" si="96"/>
        <v>8.720990391217331</v>
      </c>
      <c r="AN432" s="161">
        <f t="shared" si="97"/>
        <v>88097.672330523012</v>
      </c>
    </row>
    <row r="433" spans="1:40">
      <c r="A433" s="156">
        <f>'BD Plant List'!A432</f>
        <v>52779</v>
      </c>
      <c r="B433" s="148">
        <f t="shared" si="101"/>
        <v>40</v>
      </c>
      <c r="C433" s="148">
        <f t="shared" si="101"/>
        <v>10</v>
      </c>
      <c r="D433" s="148">
        <f t="shared" si="101"/>
        <v>56</v>
      </c>
      <c r="E433" s="148">
        <f t="shared" si="101"/>
        <v>70</v>
      </c>
      <c r="F433" s="148">
        <f t="shared" si="101"/>
        <v>9</v>
      </c>
      <c r="G433" s="148">
        <f t="shared" si="101"/>
        <v>50</v>
      </c>
      <c r="H433" s="148">
        <f t="shared" si="101"/>
        <v>39</v>
      </c>
      <c r="I433" s="148">
        <f t="shared" si="101"/>
        <v>39</v>
      </c>
      <c r="J433" s="148">
        <f t="shared" si="101"/>
        <v>100</v>
      </c>
      <c r="K433" s="148">
        <f t="shared" si="101"/>
        <v>26</v>
      </c>
      <c r="L433" s="148">
        <f t="shared" si="101"/>
        <v>7</v>
      </c>
      <c r="M433" s="148">
        <f t="shared" si="101"/>
        <v>12</v>
      </c>
      <c r="N433" s="148">
        <f t="shared" si="101"/>
        <v>10</v>
      </c>
      <c r="O433" s="148">
        <f t="shared" si="101"/>
        <v>105</v>
      </c>
      <c r="P433" s="148">
        <f t="shared" si="85"/>
        <v>573</v>
      </c>
      <c r="R433" s="163">
        <f>Ethanol!AJ20</f>
        <v>122350.39351547274</v>
      </c>
      <c r="S433" s="157">
        <f t="shared" si="89"/>
        <v>32.321303454982434</v>
      </c>
      <c r="T433" s="154">
        <f t="shared" si="90"/>
        <v>0.68628712978874851</v>
      </c>
      <c r="V433" s="149">
        <f t="shared" si="91"/>
        <v>455</v>
      </c>
      <c r="W433" s="149">
        <f t="shared" si="92"/>
        <v>108</v>
      </c>
      <c r="X433" s="149">
        <f t="shared" si="93"/>
        <v>10</v>
      </c>
      <c r="Y433" s="149">
        <f t="shared" si="86"/>
        <v>573</v>
      </c>
      <c r="AA433" s="158">
        <f t="shared" si="87"/>
        <v>0.79406631762652702</v>
      </c>
      <c r="AB433" s="158">
        <f t="shared" si="87"/>
        <v>0.18848167539267016</v>
      </c>
      <c r="AC433" s="158">
        <f t="shared" si="87"/>
        <v>1.7452006980802792E-2</v>
      </c>
      <c r="AE433" s="148"/>
      <c r="AF433" s="161">
        <f t="shared" si="88"/>
        <v>322189.3695907449</v>
      </c>
      <c r="AG433" s="161">
        <f t="shared" si="94"/>
        <v>255839.72628933494</v>
      </c>
      <c r="AH433" s="162">
        <f t="shared" si="95"/>
        <v>10.071872760585908</v>
      </c>
      <c r="AI433" s="159"/>
      <c r="AJ433" s="157"/>
      <c r="AK433" s="157">
        <f t="shared" si="96"/>
        <v>9.5682791225566124</v>
      </c>
      <c r="AN433" s="161">
        <f t="shared" si="97"/>
        <v>96656.81087722347</v>
      </c>
    </row>
    <row r="434" spans="1:40">
      <c r="A434" s="156">
        <f>'BD Plant List'!A433</f>
        <v>52810</v>
      </c>
      <c r="B434" s="148">
        <f t="shared" si="101"/>
        <v>40</v>
      </c>
      <c r="C434" s="148">
        <f t="shared" si="101"/>
        <v>10</v>
      </c>
      <c r="D434" s="148">
        <f t="shared" si="101"/>
        <v>56</v>
      </c>
      <c r="E434" s="148">
        <f t="shared" si="101"/>
        <v>70</v>
      </c>
      <c r="F434" s="148">
        <f t="shared" si="101"/>
        <v>9</v>
      </c>
      <c r="G434" s="148">
        <f t="shared" si="101"/>
        <v>50</v>
      </c>
      <c r="H434" s="148">
        <f t="shared" si="101"/>
        <v>39</v>
      </c>
      <c r="I434" s="148">
        <f t="shared" si="101"/>
        <v>39</v>
      </c>
      <c r="J434" s="148">
        <f t="shared" si="101"/>
        <v>100</v>
      </c>
      <c r="K434" s="148">
        <f t="shared" si="101"/>
        <v>26</v>
      </c>
      <c r="L434" s="148">
        <f t="shared" si="101"/>
        <v>7</v>
      </c>
      <c r="M434" s="148">
        <f t="shared" si="101"/>
        <v>12</v>
      </c>
      <c r="N434" s="148">
        <f t="shared" si="101"/>
        <v>10</v>
      </c>
      <c r="O434" s="148">
        <f t="shared" si="101"/>
        <v>105</v>
      </c>
      <c r="P434" s="148">
        <f t="shared" si="85"/>
        <v>573</v>
      </c>
      <c r="R434" s="163">
        <f>Ethanol!AJ21</f>
        <v>123023.91478385616</v>
      </c>
      <c r="S434" s="157">
        <f t="shared" si="89"/>
        <v>32.499227568451282</v>
      </c>
      <c r="T434" s="154">
        <f t="shared" si="90"/>
        <v>0.66780487882028472</v>
      </c>
      <c r="V434" s="149">
        <f t="shared" si="91"/>
        <v>455</v>
      </c>
      <c r="W434" s="149">
        <f t="shared" si="92"/>
        <v>108</v>
      </c>
      <c r="X434" s="149">
        <f t="shared" si="93"/>
        <v>10</v>
      </c>
      <c r="Y434" s="149">
        <f t="shared" si="86"/>
        <v>573</v>
      </c>
      <c r="AA434" s="158">
        <f t="shared" si="87"/>
        <v>0.79406631762652702</v>
      </c>
      <c r="AB434" s="158">
        <f t="shared" si="87"/>
        <v>0.18848167539267016</v>
      </c>
      <c r="AC434" s="158">
        <f t="shared" si="87"/>
        <v>1.7452006980802792E-2</v>
      </c>
      <c r="AE434" s="148"/>
      <c r="AF434" s="161">
        <f t="shared" si="88"/>
        <v>323962.97559748794</v>
      </c>
      <c r="AG434" s="161">
        <f t="shared" si="94"/>
        <v>257248.08708002968</v>
      </c>
      <c r="AH434" s="162">
        <f t="shared" si="95"/>
        <v>10.127316967357901</v>
      </c>
      <c r="AI434" s="159"/>
      <c r="AJ434" s="157"/>
      <c r="AK434" s="157">
        <f t="shared" si="96"/>
        <v>9.6209511189900052</v>
      </c>
      <c r="AN434" s="161">
        <f t="shared" si="97"/>
        <v>97188.892679246375</v>
      </c>
    </row>
    <row r="435" spans="1:40">
      <c r="A435" s="156">
        <f>'BD Plant List'!A434</f>
        <v>52841</v>
      </c>
      <c r="B435" s="148">
        <f t="shared" si="101"/>
        <v>40</v>
      </c>
      <c r="C435" s="148">
        <f t="shared" si="101"/>
        <v>10</v>
      </c>
      <c r="D435" s="148">
        <f t="shared" si="101"/>
        <v>56</v>
      </c>
      <c r="E435" s="148">
        <f t="shared" si="101"/>
        <v>70</v>
      </c>
      <c r="F435" s="148">
        <f t="shared" si="101"/>
        <v>9</v>
      </c>
      <c r="G435" s="148">
        <f t="shared" si="101"/>
        <v>50</v>
      </c>
      <c r="H435" s="148">
        <f t="shared" si="101"/>
        <v>39</v>
      </c>
      <c r="I435" s="148">
        <f t="shared" si="101"/>
        <v>39</v>
      </c>
      <c r="J435" s="148">
        <f t="shared" si="101"/>
        <v>100</v>
      </c>
      <c r="K435" s="148">
        <f t="shared" si="101"/>
        <v>26</v>
      </c>
      <c r="L435" s="148">
        <f t="shared" si="101"/>
        <v>7</v>
      </c>
      <c r="M435" s="148">
        <f t="shared" si="101"/>
        <v>12</v>
      </c>
      <c r="N435" s="148">
        <f t="shared" si="101"/>
        <v>10</v>
      </c>
      <c r="O435" s="148">
        <f t="shared" si="101"/>
        <v>105</v>
      </c>
      <c r="P435" s="148">
        <f t="shared" si="85"/>
        <v>573</v>
      </c>
      <c r="R435" s="163">
        <f>Ethanol!AJ22</f>
        <v>108012.59313048222</v>
      </c>
      <c r="S435" s="157">
        <f t="shared" si="89"/>
        <v>28.533686727279488</v>
      </c>
      <c r="T435" s="154">
        <f t="shared" si="90"/>
        <v>0.58631963381506569</v>
      </c>
      <c r="V435" s="149">
        <f t="shared" si="91"/>
        <v>455</v>
      </c>
      <c r="W435" s="149">
        <f t="shared" si="92"/>
        <v>108</v>
      </c>
      <c r="X435" s="149">
        <f t="shared" si="93"/>
        <v>10</v>
      </c>
      <c r="Y435" s="149">
        <f t="shared" si="86"/>
        <v>573</v>
      </c>
      <c r="AA435" s="158">
        <f t="shared" si="87"/>
        <v>0.79406631762652702</v>
      </c>
      <c r="AB435" s="158">
        <f t="shared" si="87"/>
        <v>0.18848167539267016</v>
      </c>
      <c r="AC435" s="158">
        <f t="shared" si="87"/>
        <v>1.7452006980802792E-2</v>
      </c>
      <c r="AE435" s="148"/>
      <c r="AF435" s="161">
        <f t="shared" si="88"/>
        <v>284433.16191026988</v>
      </c>
      <c r="AG435" s="161">
        <f t="shared" si="94"/>
        <v>225858.79348895774</v>
      </c>
      <c r="AH435" s="162">
        <f t="shared" si="95"/>
        <v>8.8915863961939401</v>
      </c>
      <c r="AI435" s="159"/>
      <c r="AJ435" s="157"/>
      <c r="AK435" s="157">
        <f t="shared" si="96"/>
        <v>8.4470070763842422</v>
      </c>
      <c r="AN435" s="161">
        <f t="shared" si="97"/>
        <v>85329.948573080954</v>
      </c>
    </row>
    <row r="436" spans="1:40">
      <c r="A436" s="156">
        <f>'BD Plant List'!A435</f>
        <v>52871</v>
      </c>
      <c r="B436" s="148">
        <f t="shared" si="101"/>
        <v>40</v>
      </c>
      <c r="C436" s="148">
        <f t="shared" si="101"/>
        <v>10</v>
      </c>
      <c r="D436" s="148">
        <f t="shared" si="101"/>
        <v>56</v>
      </c>
      <c r="E436" s="148">
        <f t="shared" si="101"/>
        <v>70</v>
      </c>
      <c r="F436" s="148">
        <f t="shared" si="101"/>
        <v>9</v>
      </c>
      <c r="G436" s="148">
        <f t="shared" si="101"/>
        <v>50</v>
      </c>
      <c r="H436" s="148">
        <f t="shared" si="101"/>
        <v>39</v>
      </c>
      <c r="I436" s="148">
        <f t="shared" si="101"/>
        <v>39</v>
      </c>
      <c r="J436" s="148">
        <f t="shared" si="101"/>
        <v>100</v>
      </c>
      <c r="K436" s="148">
        <f t="shared" si="101"/>
        <v>26</v>
      </c>
      <c r="L436" s="148">
        <f t="shared" si="101"/>
        <v>7</v>
      </c>
      <c r="M436" s="148">
        <f t="shared" si="101"/>
        <v>12</v>
      </c>
      <c r="N436" s="148">
        <f t="shared" si="101"/>
        <v>10</v>
      </c>
      <c r="O436" s="148">
        <f t="shared" si="101"/>
        <v>105</v>
      </c>
      <c r="P436" s="148">
        <f t="shared" si="85"/>
        <v>573</v>
      </c>
      <c r="R436" s="163">
        <f>Ethanol!AJ23</f>
        <v>107415.87501014098</v>
      </c>
      <c r="S436" s="157">
        <f t="shared" si="89"/>
        <v>28.376051701428946</v>
      </c>
      <c r="T436" s="154">
        <f t="shared" si="90"/>
        <v>0.60251651373016657</v>
      </c>
      <c r="V436" s="149">
        <f t="shared" si="91"/>
        <v>455</v>
      </c>
      <c r="W436" s="149">
        <f t="shared" si="92"/>
        <v>108</v>
      </c>
      <c r="X436" s="149">
        <f t="shared" si="93"/>
        <v>10</v>
      </c>
      <c r="Y436" s="149">
        <f t="shared" si="86"/>
        <v>573</v>
      </c>
      <c r="AA436" s="158">
        <f t="shared" si="87"/>
        <v>0.79406631762652702</v>
      </c>
      <c r="AB436" s="158">
        <f t="shared" si="87"/>
        <v>0.18848167539267016</v>
      </c>
      <c r="AC436" s="158">
        <f t="shared" si="87"/>
        <v>1.7452006980802792E-2</v>
      </c>
      <c r="AE436" s="148"/>
      <c r="AF436" s="161">
        <f t="shared" si="88"/>
        <v>282861.80419337127</v>
      </c>
      <c r="AG436" s="161">
        <f t="shared" si="94"/>
        <v>224611.03125302604</v>
      </c>
      <c r="AH436" s="162">
        <f t="shared" si="95"/>
        <v>8.8424646172660033</v>
      </c>
      <c r="AI436" s="159"/>
      <c r="AJ436" s="157"/>
      <c r="AK436" s="157">
        <f t="shared" si="96"/>
        <v>8.4003413864027028</v>
      </c>
      <c r="AN436" s="161">
        <f t="shared" si="97"/>
        <v>84858.541258011377</v>
      </c>
    </row>
    <row r="437" spans="1:40">
      <c r="A437" s="156">
        <f>'BD Plant List'!A436</f>
        <v>52902</v>
      </c>
      <c r="B437" s="148">
        <f t="shared" si="101"/>
        <v>40</v>
      </c>
      <c r="C437" s="148">
        <f t="shared" si="101"/>
        <v>10</v>
      </c>
      <c r="D437" s="148">
        <f t="shared" si="101"/>
        <v>56</v>
      </c>
      <c r="E437" s="148">
        <f t="shared" si="101"/>
        <v>70</v>
      </c>
      <c r="F437" s="148">
        <f t="shared" si="101"/>
        <v>9</v>
      </c>
      <c r="G437" s="148">
        <f t="shared" si="101"/>
        <v>50</v>
      </c>
      <c r="H437" s="148">
        <f t="shared" si="101"/>
        <v>39</v>
      </c>
      <c r="I437" s="148">
        <f t="shared" si="101"/>
        <v>39</v>
      </c>
      <c r="J437" s="148">
        <f t="shared" si="101"/>
        <v>100</v>
      </c>
      <c r="K437" s="148">
        <f t="shared" si="101"/>
        <v>26</v>
      </c>
      <c r="L437" s="148">
        <f t="shared" si="101"/>
        <v>7</v>
      </c>
      <c r="M437" s="148">
        <f t="shared" si="101"/>
        <v>12</v>
      </c>
      <c r="N437" s="148">
        <f t="shared" si="101"/>
        <v>10</v>
      </c>
      <c r="O437" s="148">
        <f t="shared" si="101"/>
        <v>105</v>
      </c>
      <c r="P437" s="148">
        <f t="shared" si="85"/>
        <v>573</v>
      </c>
      <c r="R437" s="163">
        <f>Ethanol!AJ24</f>
        <v>120264.04503909944</v>
      </c>
      <c r="S437" s="157">
        <f t="shared" si="89"/>
        <v>31.7701527779789</v>
      </c>
      <c r="T437" s="154">
        <f t="shared" si="90"/>
        <v>0.65282360884773394</v>
      </c>
      <c r="V437" s="149">
        <f t="shared" si="91"/>
        <v>455</v>
      </c>
      <c r="W437" s="149">
        <f t="shared" si="92"/>
        <v>108</v>
      </c>
      <c r="X437" s="149">
        <f t="shared" si="93"/>
        <v>10</v>
      </c>
      <c r="Y437" s="149">
        <f t="shared" si="86"/>
        <v>573</v>
      </c>
      <c r="AA437" s="158">
        <f t="shared" si="87"/>
        <v>0.79406631762652702</v>
      </c>
      <c r="AB437" s="158">
        <f t="shared" si="87"/>
        <v>0.18848167539267016</v>
      </c>
      <c r="AC437" s="158">
        <f t="shared" si="87"/>
        <v>1.7452006980802792E-2</v>
      </c>
      <c r="AE437" s="148"/>
      <c r="AF437" s="161">
        <f t="shared" si="88"/>
        <v>316695.3186029619</v>
      </c>
      <c r="AG437" s="161">
        <f t="shared" si="94"/>
        <v>251477.08545261371</v>
      </c>
      <c r="AH437" s="162">
        <f t="shared" si="95"/>
        <v>9.9001247523899512</v>
      </c>
      <c r="AI437" s="159"/>
      <c r="AJ437" s="157"/>
      <c r="AK437" s="157">
        <f t="shared" si="96"/>
        <v>9.4051185147704537</v>
      </c>
      <c r="AN437" s="161">
        <f t="shared" si="97"/>
        <v>95008.595580888563</v>
      </c>
    </row>
    <row r="438" spans="1:40">
      <c r="A438" s="156">
        <f>'BD Plant List'!A437</f>
        <v>52932</v>
      </c>
      <c r="B438" s="148">
        <f t="shared" si="101"/>
        <v>40</v>
      </c>
      <c r="C438" s="148">
        <f t="shared" si="101"/>
        <v>10</v>
      </c>
      <c r="D438" s="148">
        <f t="shared" si="101"/>
        <v>56</v>
      </c>
      <c r="E438" s="148">
        <f t="shared" si="101"/>
        <v>70</v>
      </c>
      <c r="F438" s="148">
        <f t="shared" si="101"/>
        <v>9</v>
      </c>
      <c r="G438" s="148">
        <f t="shared" si="101"/>
        <v>50</v>
      </c>
      <c r="H438" s="148">
        <f t="shared" si="101"/>
        <v>39</v>
      </c>
      <c r="I438" s="148">
        <f t="shared" si="101"/>
        <v>39</v>
      </c>
      <c r="J438" s="148">
        <f t="shared" si="101"/>
        <v>100</v>
      </c>
      <c r="K438" s="148">
        <f t="shared" si="101"/>
        <v>26</v>
      </c>
      <c r="L438" s="148">
        <f t="shared" si="101"/>
        <v>7</v>
      </c>
      <c r="M438" s="148">
        <f t="shared" si="101"/>
        <v>12</v>
      </c>
      <c r="N438" s="148">
        <f t="shared" si="101"/>
        <v>10</v>
      </c>
      <c r="O438" s="148">
        <f t="shared" si="101"/>
        <v>105</v>
      </c>
      <c r="P438" s="148">
        <f t="shared" si="85"/>
        <v>573</v>
      </c>
      <c r="R438" s="163">
        <f>Ethanol!AJ25</f>
        <v>112390.11777074519</v>
      </c>
      <c r="S438" s="157">
        <f t="shared" si="89"/>
        <v>29.690097411497756</v>
      </c>
      <c r="T438" s="154">
        <f t="shared" si="90"/>
        <v>0.6304180078648447</v>
      </c>
      <c r="V438" s="149">
        <f t="shared" si="91"/>
        <v>455</v>
      </c>
      <c r="W438" s="149">
        <f t="shared" si="92"/>
        <v>108</v>
      </c>
      <c r="X438" s="149">
        <f t="shared" si="93"/>
        <v>10</v>
      </c>
      <c r="Y438" s="149">
        <f t="shared" si="86"/>
        <v>573</v>
      </c>
      <c r="AA438" s="158">
        <f t="shared" si="87"/>
        <v>0.79406631762652702</v>
      </c>
      <c r="AB438" s="158">
        <f t="shared" si="87"/>
        <v>0.18848167539267016</v>
      </c>
      <c r="AC438" s="158">
        <f t="shared" si="87"/>
        <v>1.7452006980802792E-2</v>
      </c>
      <c r="AE438" s="148"/>
      <c r="AF438" s="161">
        <f t="shared" si="88"/>
        <v>295960.64346296235</v>
      </c>
      <c r="AG438" s="161">
        <f t="shared" si="94"/>
        <v>235012.37831701199</v>
      </c>
      <c r="AH438" s="162">
        <f t="shared" si="95"/>
        <v>9.2519438083462955</v>
      </c>
      <c r="AI438" s="159"/>
      <c r="AJ438" s="157"/>
      <c r="AK438" s="157">
        <f t="shared" si="96"/>
        <v>8.789346617928981</v>
      </c>
      <c r="AN438" s="161">
        <f t="shared" si="97"/>
        <v>88788.193038888698</v>
      </c>
    </row>
    <row r="439" spans="1:40">
      <c r="A439" s="156">
        <f>'BD Plant List'!A438</f>
        <v>52963</v>
      </c>
      <c r="B439" s="148">
        <f t="shared" si="101"/>
        <v>40</v>
      </c>
      <c r="C439" s="148">
        <f t="shared" si="101"/>
        <v>10</v>
      </c>
      <c r="D439" s="148">
        <f t="shared" si="101"/>
        <v>56</v>
      </c>
      <c r="E439" s="148">
        <f t="shared" si="101"/>
        <v>70</v>
      </c>
      <c r="F439" s="148">
        <f t="shared" si="101"/>
        <v>9</v>
      </c>
      <c r="G439" s="148">
        <f t="shared" si="101"/>
        <v>50</v>
      </c>
      <c r="H439" s="148">
        <f t="shared" si="101"/>
        <v>39</v>
      </c>
      <c r="I439" s="148">
        <f t="shared" si="101"/>
        <v>39</v>
      </c>
      <c r="J439" s="148">
        <f t="shared" si="101"/>
        <v>100</v>
      </c>
      <c r="K439" s="148">
        <f t="shared" si="101"/>
        <v>26</v>
      </c>
      <c r="L439" s="148">
        <f t="shared" si="101"/>
        <v>7</v>
      </c>
      <c r="M439" s="148">
        <f t="shared" si="101"/>
        <v>12</v>
      </c>
      <c r="N439" s="148">
        <f t="shared" si="101"/>
        <v>10</v>
      </c>
      <c r="O439" s="148">
        <f t="shared" si="101"/>
        <v>105</v>
      </c>
      <c r="P439" s="148">
        <f t="shared" si="85"/>
        <v>573</v>
      </c>
      <c r="R439" s="163">
        <f>Ethanol!AK14</f>
        <v>116226.95587535349</v>
      </c>
      <c r="S439" s="157">
        <f t="shared" si="89"/>
        <v>30.703674933592133</v>
      </c>
      <c r="T439" s="154">
        <f t="shared" si="90"/>
        <v>0.63090926931042768</v>
      </c>
      <c r="V439" s="149">
        <f t="shared" si="91"/>
        <v>455</v>
      </c>
      <c r="W439" s="149">
        <f t="shared" si="92"/>
        <v>108</v>
      </c>
      <c r="X439" s="149">
        <f t="shared" si="93"/>
        <v>10</v>
      </c>
      <c r="Y439" s="149">
        <f t="shared" si="86"/>
        <v>573</v>
      </c>
      <c r="AA439" s="158">
        <f t="shared" si="87"/>
        <v>0.79406631762652702</v>
      </c>
      <c r="AB439" s="158">
        <f t="shared" si="87"/>
        <v>0.18848167539267016</v>
      </c>
      <c r="AC439" s="158">
        <f t="shared" si="87"/>
        <v>1.7452006980802792E-2</v>
      </c>
      <c r="AE439" s="148"/>
      <c r="AF439" s="161">
        <f t="shared" si="88"/>
        <v>306064.3171384309</v>
      </c>
      <c r="AG439" s="161">
        <f t="shared" si="94"/>
        <v>243035.36526699137</v>
      </c>
      <c r="AH439" s="162">
        <f t="shared" si="95"/>
        <v>9.5677919562943892</v>
      </c>
      <c r="AI439" s="159"/>
      <c r="AJ439" s="157"/>
      <c r="AK439" s="157">
        <f t="shared" si="96"/>
        <v>9.0894023584796688</v>
      </c>
      <c r="AN439" s="161">
        <f t="shared" si="97"/>
        <v>91819.295141529263</v>
      </c>
    </row>
    <row r="440" spans="1:40">
      <c r="A440" s="156">
        <f>'BD Plant List'!A439</f>
        <v>52994</v>
      </c>
      <c r="B440" s="148">
        <f t="shared" si="101"/>
        <v>40</v>
      </c>
      <c r="C440" s="148">
        <f t="shared" si="101"/>
        <v>10</v>
      </c>
      <c r="D440" s="148">
        <f t="shared" si="101"/>
        <v>56</v>
      </c>
      <c r="E440" s="148">
        <f t="shared" ref="B440:O498" si="102">E$4</f>
        <v>70</v>
      </c>
      <c r="F440" s="148">
        <f t="shared" si="102"/>
        <v>9</v>
      </c>
      <c r="G440" s="148">
        <f t="shared" si="102"/>
        <v>50</v>
      </c>
      <c r="H440" s="148">
        <f t="shared" si="102"/>
        <v>39</v>
      </c>
      <c r="I440" s="148">
        <f t="shared" si="102"/>
        <v>39</v>
      </c>
      <c r="J440" s="148">
        <f t="shared" si="102"/>
        <v>100</v>
      </c>
      <c r="K440" s="148">
        <f t="shared" si="102"/>
        <v>26</v>
      </c>
      <c r="L440" s="148">
        <f t="shared" si="102"/>
        <v>7</v>
      </c>
      <c r="M440" s="148">
        <f t="shared" si="102"/>
        <v>12</v>
      </c>
      <c r="N440" s="148">
        <f t="shared" si="102"/>
        <v>10</v>
      </c>
      <c r="O440" s="148">
        <f t="shared" si="102"/>
        <v>105</v>
      </c>
      <c r="P440" s="148">
        <f t="shared" si="85"/>
        <v>573</v>
      </c>
      <c r="R440" s="163">
        <f>Ethanol!AK15</f>
        <v>110317.48888600893</v>
      </c>
      <c r="S440" s="157">
        <f t="shared" si="89"/>
        <v>29.142571039016982</v>
      </c>
      <c r="T440" s="154">
        <f t="shared" si="90"/>
        <v>0.59883119007156438</v>
      </c>
      <c r="V440" s="149">
        <f t="shared" si="91"/>
        <v>455</v>
      </c>
      <c r="W440" s="149">
        <f t="shared" si="92"/>
        <v>108</v>
      </c>
      <c r="X440" s="149">
        <f t="shared" si="93"/>
        <v>10</v>
      </c>
      <c r="Y440" s="149">
        <f t="shared" si="86"/>
        <v>573</v>
      </c>
      <c r="AA440" s="158">
        <f t="shared" si="87"/>
        <v>0.79406631762652702</v>
      </c>
      <c r="AB440" s="158">
        <f t="shared" si="87"/>
        <v>0.18848167539267016</v>
      </c>
      <c r="AC440" s="158">
        <f t="shared" si="87"/>
        <v>1.7452006980802792E-2</v>
      </c>
      <c r="AE440" s="148"/>
      <c r="AF440" s="161">
        <f t="shared" si="88"/>
        <v>290502.72073315684</v>
      </c>
      <c r="AG440" s="161">
        <f t="shared" si="94"/>
        <v>230678.4257130652</v>
      </c>
      <c r="AH440" s="162">
        <f t="shared" si="95"/>
        <v>9.081325195629379</v>
      </c>
      <c r="AI440" s="159"/>
      <c r="AJ440" s="157"/>
      <c r="AK440" s="157">
        <f t="shared" si="96"/>
        <v>8.6272589358479088</v>
      </c>
      <c r="AN440" s="161">
        <f t="shared" si="97"/>
        <v>87150.816219947053</v>
      </c>
    </row>
    <row r="441" spans="1:40">
      <c r="A441" s="156">
        <f>'BD Plant List'!A440</f>
        <v>53022</v>
      </c>
      <c r="B441" s="148">
        <f t="shared" si="102"/>
        <v>40</v>
      </c>
      <c r="C441" s="148">
        <f t="shared" si="102"/>
        <v>10</v>
      </c>
      <c r="D441" s="148">
        <f t="shared" si="102"/>
        <v>56</v>
      </c>
      <c r="E441" s="148">
        <f t="shared" si="102"/>
        <v>70</v>
      </c>
      <c r="F441" s="148">
        <f t="shared" si="102"/>
        <v>9</v>
      </c>
      <c r="G441" s="148">
        <f t="shared" si="102"/>
        <v>50</v>
      </c>
      <c r="H441" s="148">
        <f t="shared" si="102"/>
        <v>39</v>
      </c>
      <c r="I441" s="148">
        <f t="shared" si="102"/>
        <v>39</v>
      </c>
      <c r="J441" s="148">
        <f t="shared" si="102"/>
        <v>100</v>
      </c>
      <c r="K441" s="148">
        <f t="shared" si="102"/>
        <v>26</v>
      </c>
      <c r="L441" s="148">
        <f t="shared" si="102"/>
        <v>7</v>
      </c>
      <c r="M441" s="148">
        <f t="shared" si="102"/>
        <v>12</v>
      </c>
      <c r="N441" s="148">
        <f t="shared" si="102"/>
        <v>10</v>
      </c>
      <c r="O441" s="148">
        <f t="shared" si="102"/>
        <v>105</v>
      </c>
      <c r="P441" s="148">
        <f t="shared" si="85"/>
        <v>573</v>
      </c>
      <c r="R441" s="163">
        <f>Ethanol!AK16</f>
        <v>119838.8945297934</v>
      </c>
      <c r="S441" s="157">
        <f t="shared" si="89"/>
        <v>31.657840767935522</v>
      </c>
      <c r="T441" s="154">
        <f t="shared" si="90"/>
        <v>0.72021390428175414</v>
      </c>
      <c r="V441" s="149">
        <f t="shared" si="91"/>
        <v>455</v>
      </c>
      <c r="W441" s="149">
        <f t="shared" si="92"/>
        <v>108</v>
      </c>
      <c r="X441" s="149">
        <f t="shared" si="93"/>
        <v>10</v>
      </c>
      <c r="Y441" s="149">
        <f t="shared" si="86"/>
        <v>573</v>
      </c>
      <c r="AA441" s="158">
        <f t="shared" si="87"/>
        <v>0.79406631762652702</v>
      </c>
      <c r="AB441" s="158">
        <f t="shared" si="87"/>
        <v>0.18848167539267016</v>
      </c>
      <c r="AC441" s="158">
        <f t="shared" si="87"/>
        <v>1.7452006980802792E-2</v>
      </c>
      <c r="AE441" s="148"/>
      <c r="AF441" s="161">
        <f t="shared" si="88"/>
        <v>315575.75559512264</v>
      </c>
      <c r="AG441" s="161">
        <f t="shared" si="94"/>
        <v>250588.0781776279</v>
      </c>
      <c r="AH441" s="162">
        <f t="shared" si="95"/>
        <v>9.8651264028890377</v>
      </c>
      <c r="AI441" s="159"/>
      <c r="AJ441" s="157"/>
      <c r="AK441" s="157">
        <f t="shared" si="96"/>
        <v>9.3718700827445858</v>
      </c>
      <c r="AN441" s="161">
        <f t="shared" si="97"/>
        <v>94672.726678536783</v>
      </c>
    </row>
    <row r="442" spans="1:40">
      <c r="A442" s="156">
        <f>'BD Plant List'!A441</f>
        <v>53053</v>
      </c>
      <c r="B442" s="148">
        <f t="shared" si="102"/>
        <v>40</v>
      </c>
      <c r="C442" s="148">
        <f t="shared" si="102"/>
        <v>10</v>
      </c>
      <c r="D442" s="148">
        <f t="shared" si="102"/>
        <v>56</v>
      </c>
      <c r="E442" s="148">
        <f t="shared" si="102"/>
        <v>70</v>
      </c>
      <c r="F442" s="148">
        <f t="shared" si="102"/>
        <v>9</v>
      </c>
      <c r="G442" s="148">
        <f t="shared" si="102"/>
        <v>50</v>
      </c>
      <c r="H442" s="148">
        <f t="shared" si="102"/>
        <v>39</v>
      </c>
      <c r="I442" s="148">
        <f t="shared" si="102"/>
        <v>39</v>
      </c>
      <c r="J442" s="148">
        <f t="shared" si="102"/>
        <v>100</v>
      </c>
      <c r="K442" s="148">
        <f t="shared" si="102"/>
        <v>26</v>
      </c>
      <c r="L442" s="148">
        <f t="shared" si="102"/>
        <v>7</v>
      </c>
      <c r="M442" s="148">
        <f t="shared" si="102"/>
        <v>12</v>
      </c>
      <c r="N442" s="148">
        <f t="shared" si="102"/>
        <v>10</v>
      </c>
      <c r="O442" s="148">
        <f t="shared" si="102"/>
        <v>105</v>
      </c>
      <c r="P442" s="148">
        <f t="shared" si="85"/>
        <v>573</v>
      </c>
      <c r="R442" s="163">
        <f>Ethanol!AK17</f>
        <v>108008.38958707998</v>
      </c>
      <c r="S442" s="157">
        <f t="shared" si="89"/>
        <v>28.532576277218919</v>
      </c>
      <c r="T442" s="154">
        <f t="shared" si="90"/>
        <v>0.58629681591988425</v>
      </c>
      <c r="V442" s="149">
        <f t="shared" si="91"/>
        <v>455</v>
      </c>
      <c r="W442" s="149">
        <f t="shared" si="92"/>
        <v>108</v>
      </c>
      <c r="X442" s="149">
        <f t="shared" si="93"/>
        <v>10</v>
      </c>
      <c r="Y442" s="149">
        <f t="shared" si="86"/>
        <v>573</v>
      </c>
      <c r="AA442" s="158">
        <f t="shared" si="87"/>
        <v>0.79406631762652702</v>
      </c>
      <c r="AB442" s="158">
        <f t="shared" si="87"/>
        <v>0.18848167539267016</v>
      </c>
      <c r="AC442" s="158">
        <f t="shared" si="87"/>
        <v>1.7452006980802792E-2</v>
      </c>
      <c r="AE442" s="148"/>
      <c r="AF442" s="161">
        <f t="shared" si="88"/>
        <v>284422.09257931064</v>
      </c>
      <c r="AG442" s="161">
        <f t="shared" si="94"/>
        <v>225850.00370608436</v>
      </c>
      <c r="AH442" s="162">
        <f t="shared" si="95"/>
        <v>8.891240360900758</v>
      </c>
      <c r="AI442" s="159"/>
      <c r="AJ442" s="157"/>
      <c r="AK442" s="157">
        <f t="shared" si="96"/>
        <v>8.4466783428557193</v>
      </c>
      <c r="AN442" s="161">
        <f t="shared" si="97"/>
        <v>85326.627773793181</v>
      </c>
    </row>
    <row r="443" spans="1:40">
      <c r="A443" s="156">
        <f>'BD Plant List'!A442</f>
        <v>53083</v>
      </c>
      <c r="B443" s="148">
        <f t="shared" si="102"/>
        <v>40</v>
      </c>
      <c r="C443" s="148">
        <f t="shared" si="102"/>
        <v>10</v>
      </c>
      <c r="D443" s="148">
        <f t="shared" si="102"/>
        <v>56</v>
      </c>
      <c r="E443" s="148">
        <f t="shared" si="102"/>
        <v>70</v>
      </c>
      <c r="F443" s="148">
        <f t="shared" si="102"/>
        <v>9</v>
      </c>
      <c r="G443" s="148">
        <f t="shared" si="102"/>
        <v>50</v>
      </c>
      <c r="H443" s="148">
        <f t="shared" si="102"/>
        <v>39</v>
      </c>
      <c r="I443" s="148">
        <f t="shared" si="102"/>
        <v>39</v>
      </c>
      <c r="J443" s="148">
        <f t="shared" si="102"/>
        <v>100</v>
      </c>
      <c r="K443" s="148">
        <f t="shared" si="102"/>
        <v>26</v>
      </c>
      <c r="L443" s="148">
        <f t="shared" si="102"/>
        <v>7</v>
      </c>
      <c r="M443" s="148">
        <f t="shared" si="102"/>
        <v>12</v>
      </c>
      <c r="N443" s="148">
        <f t="shared" si="102"/>
        <v>10</v>
      </c>
      <c r="O443" s="148">
        <f t="shared" si="102"/>
        <v>105</v>
      </c>
      <c r="P443" s="148">
        <f t="shared" si="85"/>
        <v>573</v>
      </c>
      <c r="R443" s="163">
        <f>Ethanol!AK18</f>
        <v>111390.10341491525</v>
      </c>
      <c r="S443" s="157">
        <f t="shared" si="89"/>
        <v>29.425923619118166</v>
      </c>
      <c r="T443" s="154">
        <f t="shared" si="90"/>
        <v>0.62480873304119422</v>
      </c>
      <c r="V443" s="149">
        <f t="shared" si="91"/>
        <v>455</v>
      </c>
      <c r="W443" s="149">
        <f t="shared" si="92"/>
        <v>108</v>
      </c>
      <c r="X443" s="149">
        <f t="shared" si="93"/>
        <v>10</v>
      </c>
      <c r="Y443" s="149">
        <f t="shared" si="86"/>
        <v>573</v>
      </c>
      <c r="AA443" s="158">
        <f t="shared" si="87"/>
        <v>0.79406631762652702</v>
      </c>
      <c r="AB443" s="158">
        <f t="shared" si="87"/>
        <v>0.18848167539267016</v>
      </c>
      <c r="AC443" s="158">
        <f t="shared" si="87"/>
        <v>1.7452006980802792E-2</v>
      </c>
      <c r="AE443" s="148"/>
      <c r="AF443" s="161">
        <f t="shared" si="88"/>
        <v>293327.27232594357</v>
      </c>
      <c r="AG443" s="161">
        <f t="shared" si="94"/>
        <v>232921.30699529551</v>
      </c>
      <c r="AH443" s="162">
        <f t="shared" si="95"/>
        <v>9.1696227216600938</v>
      </c>
      <c r="AI443" s="159"/>
      <c r="AJ443" s="157"/>
      <c r="AK443" s="157">
        <f t="shared" si="96"/>
        <v>8.7111415855770886</v>
      </c>
      <c r="AN443" s="161">
        <f t="shared" si="97"/>
        <v>87998.18169778306</v>
      </c>
    </row>
    <row r="444" spans="1:40">
      <c r="A444" s="156">
        <f>'BD Plant List'!A443</f>
        <v>53114</v>
      </c>
      <c r="B444" s="148">
        <f t="shared" si="102"/>
        <v>40</v>
      </c>
      <c r="C444" s="148">
        <f t="shared" si="102"/>
        <v>10</v>
      </c>
      <c r="D444" s="148">
        <f t="shared" si="102"/>
        <v>56</v>
      </c>
      <c r="E444" s="148">
        <f t="shared" si="102"/>
        <v>70</v>
      </c>
      <c r="F444" s="148">
        <f t="shared" si="102"/>
        <v>9</v>
      </c>
      <c r="G444" s="148">
        <f t="shared" si="102"/>
        <v>50</v>
      </c>
      <c r="H444" s="148">
        <f t="shared" si="102"/>
        <v>39</v>
      </c>
      <c r="I444" s="148">
        <f t="shared" si="102"/>
        <v>39</v>
      </c>
      <c r="J444" s="148">
        <f t="shared" si="102"/>
        <v>100</v>
      </c>
      <c r="K444" s="148">
        <f t="shared" si="102"/>
        <v>26</v>
      </c>
      <c r="L444" s="148">
        <f t="shared" si="102"/>
        <v>7</v>
      </c>
      <c r="M444" s="148">
        <f t="shared" si="102"/>
        <v>12</v>
      </c>
      <c r="N444" s="148">
        <f t="shared" si="102"/>
        <v>10</v>
      </c>
      <c r="O444" s="148">
        <f t="shared" si="102"/>
        <v>105</v>
      </c>
      <c r="P444" s="148">
        <f t="shared" si="85"/>
        <v>573</v>
      </c>
      <c r="R444" s="163">
        <f>Ethanol!AK19</f>
        <v>110747.97497840271</v>
      </c>
      <c r="S444" s="157">
        <f t="shared" si="89"/>
        <v>29.256292550044645</v>
      </c>
      <c r="T444" s="154">
        <f t="shared" si="90"/>
        <v>0.6011679772992341</v>
      </c>
      <c r="V444" s="149">
        <f t="shared" si="91"/>
        <v>455</v>
      </c>
      <c r="W444" s="149">
        <f t="shared" si="92"/>
        <v>108</v>
      </c>
      <c r="X444" s="149">
        <f t="shared" si="93"/>
        <v>10</v>
      </c>
      <c r="Y444" s="149">
        <f t="shared" si="86"/>
        <v>573</v>
      </c>
      <c r="AA444" s="158">
        <f t="shared" si="87"/>
        <v>0.79406631762652702</v>
      </c>
      <c r="AB444" s="158">
        <f t="shared" si="87"/>
        <v>0.18848167539267016</v>
      </c>
      <c r="AC444" s="158">
        <f t="shared" si="87"/>
        <v>1.7452006980802792E-2</v>
      </c>
      <c r="AE444" s="148"/>
      <c r="AF444" s="161">
        <f t="shared" si="88"/>
        <v>291636.33410979382</v>
      </c>
      <c r="AG444" s="161">
        <f t="shared" si="94"/>
        <v>231578.5899126635</v>
      </c>
      <c r="AH444" s="162">
        <f t="shared" si="95"/>
        <v>9.1167627698227438</v>
      </c>
      <c r="AI444" s="159"/>
      <c r="AJ444" s="157"/>
      <c r="AK444" s="157">
        <f t="shared" si="96"/>
        <v>8.6609246313316071</v>
      </c>
      <c r="AN444" s="161">
        <f t="shared" si="97"/>
        <v>87490.900232938147</v>
      </c>
    </row>
    <row r="445" spans="1:40">
      <c r="A445" s="156">
        <f>'BD Plant List'!A444</f>
        <v>53144</v>
      </c>
      <c r="B445" s="148">
        <f t="shared" si="102"/>
        <v>40</v>
      </c>
      <c r="C445" s="148">
        <f t="shared" si="102"/>
        <v>10</v>
      </c>
      <c r="D445" s="148">
        <f t="shared" si="102"/>
        <v>56</v>
      </c>
      <c r="E445" s="148">
        <f t="shared" si="102"/>
        <v>70</v>
      </c>
      <c r="F445" s="148">
        <f t="shared" si="102"/>
        <v>9</v>
      </c>
      <c r="G445" s="148">
        <f t="shared" si="102"/>
        <v>50</v>
      </c>
      <c r="H445" s="148">
        <f t="shared" si="102"/>
        <v>39</v>
      </c>
      <c r="I445" s="148">
        <f t="shared" si="102"/>
        <v>39</v>
      </c>
      <c r="J445" s="148">
        <f t="shared" si="102"/>
        <v>100</v>
      </c>
      <c r="K445" s="148">
        <f t="shared" si="102"/>
        <v>26</v>
      </c>
      <c r="L445" s="148">
        <f t="shared" si="102"/>
        <v>7</v>
      </c>
      <c r="M445" s="148">
        <f t="shared" si="102"/>
        <v>12</v>
      </c>
      <c r="N445" s="148">
        <f t="shared" si="102"/>
        <v>10</v>
      </c>
      <c r="O445" s="148">
        <f t="shared" si="102"/>
        <v>105</v>
      </c>
      <c r="P445" s="148">
        <f t="shared" si="85"/>
        <v>573</v>
      </c>
      <c r="R445" s="163">
        <f>Ethanol!AK20</f>
        <v>121507.701783841</v>
      </c>
      <c r="S445" s="157">
        <f t="shared" si="89"/>
        <v>32.098689580237277</v>
      </c>
      <c r="T445" s="154">
        <f t="shared" si="90"/>
        <v>0.68156030813185597</v>
      </c>
      <c r="V445" s="149">
        <f t="shared" si="91"/>
        <v>455</v>
      </c>
      <c r="W445" s="149">
        <f t="shared" si="92"/>
        <v>108</v>
      </c>
      <c r="X445" s="149">
        <f t="shared" si="93"/>
        <v>10</v>
      </c>
      <c r="Y445" s="149">
        <f t="shared" si="86"/>
        <v>573</v>
      </c>
      <c r="AA445" s="158">
        <f t="shared" si="87"/>
        <v>0.79406631762652702</v>
      </c>
      <c r="AB445" s="158">
        <f t="shared" si="87"/>
        <v>0.18848167539267016</v>
      </c>
      <c r="AC445" s="158">
        <f t="shared" si="87"/>
        <v>1.7452006980802792E-2</v>
      </c>
      <c r="AE445" s="148"/>
      <c r="AF445" s="161">
        <f t="shared" si="88"/>
        <v>319970.28136411466</v>
      </c>
      <c r="AG445" s="161">
        <f t="shared" si="94"/>
        <v>254077.6230727263</v>
      </c>
      <c r="AH445" s="162">
        <f t="shared" si="95"/>
        <v>10.00250245736478</v>
      </c>
      <c r="AI445" s="159"/>
      <c r="AJ445" s="157"/>
      <c r="AK445" s="157">
        <f t="shared" si="96"/>
        <v>9.5023773344965416</v>
      </c>
      <c r="AN445" s="161">
        <f t="shared" si="97"/>
        <v>95991.08440923439</v>
      </c>
    </row>
    <row r="446" spans="1:40">
      <c r="A446" s="156">
        <f>'BD Plant List'!A445</f>
        <v>53175</v>
      </c>
      <c r="B446" s="148">
        <f t="shared" si="102"/>
        <v>40</v>
      </c>
      <c r="C446" s="148">
        <f t="shared" si="102"/>
        <v>10</v>
      </c>
      <c r="D446" s="148">
        <f t="shared" si="102"/>
        <v>56</v>
      </c>
      <c r="E446" s="148">
        <f t="shared" si="102"/>
        <v>70</v>
      </c>
      <c r="F446" s="148">
        <f t="shared" si="102"/>
        <v>9</v>
      </c>
      <c r="G446" s="148">
        <f t="shared" si="102"/>
        <v>50</v>
      </c>
      <c r="H446" s="148">
        <f t="shared" si="102"/>
        <v>39</v>
      </c>
      <c r="I446" s="148">
        <f t="shared" si="102"/>
        <v>39</v>
      </c>
      <c r="J446" s="148">
        <f t="shared" si="102"/>
        <v>100</v>
      </c>
      <c r="K446" s="148">
        <f t="shared" si="102"/>
        <v>26</v>
      </c>
      <c r="L446" s="148">
        <f t="shared" si="102"/>
        <v>7</v>
      </c>
      <c r="M446" s="148">
        <f t="shared" si="102"/>
        <v>12</v>
      </c>
      <c r="N446" s="148">
        <f t="shared" si="102"/>
        <v>10</v>
      </c>
      <c r="O446" s="148">
        <f t="shared" si="102"/>
        <v>105</v>
      </c>
      <c r="P446" s="148">
        <f t="shared" si="85"/>
        <v>573</v>
      </c>
      <c r="R446" s="163">
        <f>Ethanol!AK21</f>
        <v>122176.66659755148</v>
      </c>
      <c r="S446" s="157">
        <f t="shared" si="89"/>
        <v>32.275410015075174</v>
      </c>
      <c r="T446" s="154">
        <f t="shared" si="90"/>
        <v>0.6632058016946708</v>
      </c>
      <c r="V446" s="149">
        <f t="shared" si="91"/>
        <v>455</v>
      </c>
      <c r="W446" s="149">
        <f t="shared" si="92"/>
        <v>108</v>
      </c>
      <c r="X446" s="149">
        <f t="shared" si="93"/>
        <v>10</v>
      </c>
      <c r="Y446" s="149">
        <f t="shared" si="86"/>
        <v>573</v>
      </c>
      <c r="AA446" s="158">
        <f t="shared" si="87"/>
        <v>0.79406631762652702</v>
      </c>
      <c r="AB446" s="158">
        <f t="shared" si="87"/>
        <v>0.18848167539267016</v>
      </c>
      <c r="AC446" s="158">
        <f t="shared" si="87"/>
        <v>1.7452006980802792E-2</v>
      </c>
      <c r="AE446" s="148"/>
      <c r="AF446" s="161">
        <f t="shared" si="88"/>
        <v>321731.88870688557</v>
      </c>
      <c r="AG446" s="161">
        <f t="shared" si="94"/>
        <v>255476.45612850424</v>
      </c>
      <c r="AH446" s="162">
        <f t="shared" si="95"/>
        <v>10.057571577221342</v>
      </c>
      <c r="AI446" s="159"/>
      <c r="AJ446" s="157"/>
      <c r="AK446" s="157">
        <f t="shared" si="96"/>
        <v>9.5546929983602737</v>
      </c>
      <c r="AN446" s="161">
        <f t="shared" si="97"/>
        <v>96519.566612065668</v>
      </c>
    </row>
    <row r="447" spans="1:40">
      <c r="A447" s="156">
        <f>'BD Plant List'!A446</f>
        <v>53206</v>
      </c>
      <c r="B447" s="148">
        <f t="shared" si="102"/>
        <v>40</v>
      </c>
      <c r="C447" s="148">
        <f t="shared" si="102"/>
        <v>10</v>
      </c>
      <c r="D447" s="148">
        <f t="shared" si="102"/>
        <v>56</v>
      </c>
      <c r="E447" s="148">
        <f t="shared" si="102"/>
        <v>70</v>
      </c>
      <c r="F447" s="148">
        <f t="shared" si="102"/>
        <v>9</v>
      </c>
      <c r="G447" s="148">
        <f t="shared" si="102"/>
        <v>50</v>
      </c>
      <c r="H447" s="148">
        <f t="shared" si="102"/>
        <v>39</v>
      </c>
      <c r="I447" s="148">
        <f t="shared" si="102"/>
        <v>39</v>
      </c>
      <c r="J447" s="148">
        <f t="shared" si="102"/>
        <v>100</v>
      </c>
      <c r="K447" s="148">
        <f t="shared" si="102"/>
        <v>26</v>
      </c>
      <c r="L447" s="148">
        <f t="shared" si="102"/>
        <v>7</v>
      </c>
      <c r="M447" s="148">
        <f t="shared" si="102"/>
        <v>12</v>
      </c>
      <c r="N447" s="148">
        <f t="shared" si="102"/>
        <v>10</v>
      </c>
      <c r="O447" s="148">
        <f t="shared" si="102"/>
        <v>105</v>
      </c>
      <c r="P447" s="148">
        <f t="shared" si="85"/>
        <v>573</v>
      </c>
      <c r="R447" s="163">
        <f>Ethanol!AK22</f>
        <v>107268.71033253548</v>
      </c>
      <c r="S447" s="157">
        <f t="shared" si="89"/>
        <v>28.337175208545901</v>
      </c>
      <c r="T447" s="154">
        <f t="shared" si="90"/>
        <v>0.58228165012212196</v>
      </c>
      <c r="V447" s="149">
        <f t="shared" si="91"/>
        <v>455</v>
      </c>
      <c r="W447" s="149">
        <f t="shared" si="92"/>
        <v>108</v>
      </c>
      <c r="X447" s="149">
        <f t="shared" si="93"/>
        <v>10</v>
      </c>
      <c r="Y447" s="149">
        <f t="shared" si="86"/>
        <v>573</v>
      </c>
      <c r="AA447" s="158">
        <f t="shared" si="87"/>
        <v>0.79406631762652702</v>
      </c>
      <c r="AB447" s="158">
        <f t="shared" si="87"/>
        <v>0.18848167539267016</v>
      </c>
      <c r="AC447" s="158">
        <f t="shared" si="87"/>
        <v>1.7452006980802792E-2</v>
      </c>
      <c r="AE447" s="148"/>
      <c r="AF447" s="161">
        <f t="shared" si="88"/>
        <v>282474.27054234344</v>
      </c>
      <c r="AG447" s="161">
        <f t="shared" si="94"/>
        <v>224303.30383379801</v>
      </c>
      <c r="AH447" s="162">
        <f t="shared" si="95"/>
        <v>8.8303500349985775</v>
      </c>
      <c r="AI447" s="159"/>
      <c r="AJ447" s="157"/>
      <c r="AK447" s="157">
        <f t="shared" si="96"/>
        <v>8.3888325332486477</v>
      </c>
      <c r="AN447" s="161">
        <f t="shared" si="97"/>
        <v>84742.281162703031</v>
      </c>
    </row>
    <row r="448" spans="1:40">
      <c r="A448" s="156">
        <f>'BD Plant List'!A447</f>
        <v>53236</v>
      </c>
      <c r="B448" s="148">
        <f t="shared" si="102"/>
        <v>40</v>
      </c>
      <c r="C448" s="148">
        <f t="shared" si="102"/>
        <v>10</v>
      </c>
      <c r="D448" s="148">
        <f t="shared" si="102"/>
        <v>56</v>
      </c>
      <c r="E448" s="148">
        <f t="shared" si="102"/>
        <v>70</v>
      </c>
      <c r="F448" s="148">
        <f t="shared" si="102"/>
        <v>9</v>
      </c>
      <c r="G448" s="148">
        <f t="shared" si="102"/>
        <v>50</v>
      </c>
      <c r="H448" s="148">
        <f t="shared" si="102"/>
        <v>39</v>
      </c>
      <c r="I448" s="148">
        <f t="shared" si="102"/>
        <v>39</v>
      </c>
      <c r="J448" s="148">
        <f t="shared" si="102"/>
        <v>100</v>
      </c>
      <c r="K448" s="148">
        <f t="shared" si="102"/>
        <v>26</v>
      </c>
      <c r="L448" s="148">
        <f t="shared" si="102"/>
        <v>7</v>
      </c>
      <c r="M448" s="148">
        <f t="shared" si="102"/>
        <v>12</v>
      </c>
      <c r="N448" s="148">
        <f t="shared" si="102"/>
        <v>10</v>
      </c>
      <c r="O448" s="148">
        <f t="shared" si="102"/>
        <v>105</v>
      </c>
      <c r="P448" s="148">
        <f t="shared" si="85"/>
        <v>573</v>
      </c>
      <c r="R448" s="163">
        <f>Ethanol!AK23</f>
        <v>106675.88876091238</v>
      </c>
      <c r="S448" s="157">
        <f t="shared" si="89"/>
        <v>28.180569533970225</v>
      </c>
      <c r="T448" s="154">
        <f t="shared" si="90"/>
        <v>0.59836578707964694</v>
      </c>
      <c r="V448" s="149">
        <f t="shared" si="91"/>
        <v>455</v>
      </c>
      <c r="W448" s="149">
        <f t="shared" si="92"/>
        <v>108</v>
      </c>
      <c r="X448" s="149">
        <f t="shared" si="93"/>
        <v>10</v>
      </c>
      <c r="Y448" s="149">
        <f t="shared" si="86"/>
        <v>573</v>
      </c>
      <c r="AA448" s="158">
        <f t="shared" si="87"/>
        <v>0.79406631762652702</v>
      </c>
      <c r="AB448" s="158">
        <f t="shared" si="87"/>
        <v>0.18848167539267016</v>
      </c>
      <c r="AC448" s="158">
        <f t="shared" si="87"/>
        <v>1.7452006980802792E-2</v>
      </c>
      <c r="AE448" s="148"/>
      <c r="AF448" s="161">
        <f t="shared" si="88"/>
        <v>280913.17373706924</v>
      </c>
      <c r="AG448" s="161">
        <f t="shared" si="94"/>
        <v>223063.68944217538</v>
      </c>
      <c r="AH448" s="162">
        <f t="shared" si="95"/>
        <v>8.7815490195906154</v>
      </c>
      <c r="AI448" s="159"/>
      <c r="AJ448" s="157"/>
      <c r="AK448" s="157">
        <f t="shared" si="96"/>
        <v>8.3424715686110851</v>
      </c>
      <c r="AN448" s="161">
        <f t="shared" si="97"/>
        <v>84273.952121120776</v>
      </c>
    </row>
    <row r="449" spans="1:40">
      <c r="A449" s="156">
        <f>'BD Plant List'!A448</f>
        <v>53267</v>
      </c>
      <c r="B449" s="148">
        <f t="shared" si="102"/>
        <v>40</v>
      </c>
      <c r="C449" s="148">
        <f t="shared" si="102"/>
        <v>10</v>
      </c>
      <c r="D449" s="148">
        <f t="shared" si="102"/>
        <v>56</v>
      </c>
      <c r="E449" s="148">
        <f t="shared" si="102"/>
        <v>70</v>
      </c>
      <c r="F449" s="148">
        <f t="shared" si="102"/>
        <v>9</v>
      </c>
      <c r="G449" s="148">
        <f t="shared" si="102"/>
        <v>50</v>
      </c>
      <c r="H449" s="148">
        <f t="shared" si="102"/>
        <v>39</v>
      </c>
      <c r="I449" s="148">
        <f t="shared" si="102"/>
        <v>39</v>
      </c>
      <c r="J449" s="148">
        <f t="shared" si="102"/>
        <v>100</v>
      </c>
      <c r="K449" s="148">
        <f t="shared" si="102"/>
        <v>26</v>
      </c>
      <c r="L449" s="148">
        <f t="shared" si="102"/>
        <v>7</v>
      </c>
      <c r="M449" s="148">
        <f t="shared" si="102"/>
        <v>12</v>
      </c>
      <c r="N449" s="148">
        <f t="shared" si="102"/>
        <v>10</v>
      </c>
      <c r="O449" s="148">
        <f t="shared" si="102"/>
        <v>105</v>
      </c>
      <c r="P449" s="148">
        <f t="shared" si="85"/>
        <v>573</v>
      </c>
      <c r="R449" s="163">
        <f>Ethanol!AK24</f>
        <v>119435.73224238794</v>
      </c>
      <c r="S449" s="157">
        <f t="shared" si="89"/>
        <v>31.551337386471623</v>
      </c>
      <c r="T449" s="154">
        <f t="shared" si="90"/>
        <v>0.64832731779891584</v>
      </c>
      <c r="V449" s="149">
        <f t="shared" si="91"/>
        <v>455</v>
      </c>
      <c r="W449" s="149">
        <f t="shared" si="92"/>
        <v>108</v>
      </c>
      <c r="X449" s="149">
        <f t="shared" si="93"/>
        <v>10</v>
      </c>
      <c r="Y449" s="149">
        <f t="shared" si="86"/>
        <v>573</v>
      </c>
      <c r="AA449" s="158">
        <f t="shared" si="87"/>
        <v>0.79406631762652702</v>
      </c>
      <c r="AB449" s="158">
        <f t="shared" si="87"/>
        <v>0.18848167539267016</v>
      </c>
      <c r="AC449" s="158">
        <f t="shared" si="87"/>
        <v>1.7452006980802792E-2</v>
      </c>
      <c r="AE449" s="148"/>
      <c r="AF449" s="161">
        <f t="shared" si="88"/>
        <v>314514.09490495495</v>
      </c>
      <c r="AG449" s="161">
        <f t="shared" si="94"/>
        <v>249745.04918281763</v>
      </c>
      <c r="AH449" s="162">
        <f t="shared" si="95"/>
        <v>9.8319381217242459</v>
      </c>
      <c r="AI449" s="159"/>
      <c r="AJ449" s="157"/>
      <c r="AK449" s="157">
        <f t="shared" si="96"/>
        <v>9.3403412156380323</v>
      </c>
      <c r="AN449" s="161">
        <f t="shared" si="97"/>
        <v>94354.22847148648</v>
      </c>
    </row>
    <row r="450" spans="1:40">
      <c r="A450" s="156">
        <f>'BD Plant List'!A449</f>
        <v>53297</v>
      </c>
      <c r="B450" s="148">
        <f t="shared" si="102"/>
        <v>40</v>
      </c>
      <c r="C450" s="148">
        <f t="shared" si="102"/>
        <v>10</v>
      </c>
      <c r="D450" s="148">
        <f t="shared" si="102"/>
        <v>56</v>
      </c>
      <c r="E450" s="148">
        <f t="shared" si="102"/>
        <v>70</v>
      </c>
      <c r="F450" s="148">
        <f t="shared" si="102"/>
        <v>9</v>
      </c>
      <c r="G450" s="148">
        <f t="shared" si="102"/>
        <v>50</v>
      </c>
      <c r="H450" s="148">
        <f t="shared" si="102"/>
        <v>39</v>
      </c>
      <c r="I450" s="148">
        <f t="shared" si="102"/>
        <v>39</v>
      </c>
      <c r="J450" s="148">
        <f t="shared" si="102"/>
        <v>100</v>
      </c>
      <c r="K450" s="148">
        <f t="shared" si="102"/>
        <v>26</v>
      </c>
      <c r="L450" s="148">
        <f t="shared" si="102"/>
        <v>7</v>
      </c>
      <c r="M450" s="148">
        <f t="shared" si="102"/>
        <v>12</v>
      </c>
      <c r="N450" s="148">
        <f t="shared" si="102"/>
        <v>10</v>
      </c>
      <c r="O450" s="148">
        <f t="shared" si="102"/>
        <v>105</v>
      </c>
      <c r="P450" s="148">
        <f t="shared" si="85"/>
        <v>573</v>
      </c>
      <c r="R450" s="163">
        <f>Ethanol!AK25</f>
        <v>111617.62358301599</v>
      </c>
      <c r="S450" s="157">
        <f t="shared" si="89"/>
        <v>29.486027621925334</v>
      </c>
      <c r="T450" s="154">
        <f t="shared" si="90"/>
        <v>0.62608493787101493</v>
      </c>
      <c r="V450" s="149">
        <f t="shared" si="91"/>
        <v>455</v>
      </c>
      <c r="W450" s="149">
        <f t="shared" si="92"/>
        <v>108</v>
      </c>
      <c r="X450" s="149">
        <f t="shared" si="93"/>
        <v>10</v>
      </c>
      <c r="Y450" s="149">
        <f t="shared" si="86"/>
        <v>573</v>
      </c>
      <c r="AA450" s="158">
        <f t="shared" si="87"/>
        <v>0.79406631762652702</v>
      </c>
      <c r="AB450" s="158">
        <f t="shared" si="87"/>
        <v>0.18848167539267016</v>
      </c>
      <c r="AC450" s="158">
        <f t="shared" si="87"/>
        <v>1.7452006980802792E-2</v>
      </c>
      <c r="AE450" s="148"/>
      <c r="AF450" s="161">
        <f t="shared" si="88"/>
        <v>293926.40876860876</v>
      </c>
      <c r="AG450" s="161">
        <f t="shared" si="94"/>
        <v>233397.0610640785</v>
      </c>
      <c r="AH450" s="162">
        <f t="shared" si="95"/>
        <v>9.1883521602645342</v>
      </c>
      <c r="AI450" s="159"/>
      <c r="AJ450" s="157"/>
      <c r="AK450" s="157">
        <f t="shared" si="96"/>
        <v>8.7289345522513067</v>
      </c>
      <c r="AN450" s="161">
        <f t="shared" si="97"/>
        <v>88177.922630582631</v>
      </c>
    </row>
    <row r="451" spans="1:40">
      <c r="A451" s="156">
        <f>'BD Plant List'!A450</f>
        <v>53328</v>
      </c>
      <c r="B451" s="148">
        <f t="shared" si="102"/>
        <v>40</v>
      </c>
      <c r="C451" s="148">
        <f t="shared" si="102"/>
        <v>10</v>
      </c>
      <c r="D451" s="148">
        <f t="shared" si="102"/>
        <v>56</v>
      </c>
      <c r="E451" s="148">
        <f t="shared" si="102"/>
        <v>70</v>
      </c>
      <c r="F451" s="148">
        <f t="shared" si="102"/>
        <v>9</v>
      </c>
      <c r="G451" s="148">
        <f t="shared" si="102"/>
        <v>50</v>
      </c>
      <c r="H451" s="148">
        <f t="shared" si="102"/>
        <v>39</v>
      </c>
      <c r="I451" s="148">
        <f t="shared" si="102"/>
        <v>39</v>
      </c>
      <c r="J451" s="148">
        <f t="shared" si="102"/>
        <v>100</v>
      </c>
      <c r="K451" s="148">
        <f t="shared" si="102"/>
        <v>26</v>
      </c>
      <c r="L451" s="148">
        <f t="shared" si="102"/>
        <v>7</v>
      </c>
      <c r="M451" s="148">
        <f t="shared" si="102"/>
        <v>12</v>
      </c>
      <c r="N451" s="148">
        <f t="shared" si="102"/>
        <v>10</v>
      </c>
      <c r="O451" s="148">
        <f t="shared" si="102"/>
        <v>105</v>
      </c>
      <c r="P451" s="148">
        <f t="shared" si="85"/>
        <v>573</v>
      </c>
      <c r="R451" s="163">
        <f>Ethanol!AL14</f>
        <v>115466.6390162809</v>
      </c>
      <c r="S451" s="157">
        <f t="shared" si="89"/>
        <v>30.502822028930925</v>
      </c>
      <c r="T451" s="154">
        <f t="shared" si="90"/>
        <v>0.62678207738331293</v>
      </c>
      <c r="V451" s="149">
        <f t="shared" si="91"/>
        <v>455</v>
      </c>
      <c r="W451" s="149">
        <f t="shared" si="92"/>
        <v>108</v>
      </c>
      <c r="X451" s="149">
        <f t="shared" si="93"/>
        <v>10</v>
      </c>
      <c r="Y451" s="149">
        <f t="shared" si="86"/>
        <v>573</v>
      </c>
      <c r="AA451" s="158">
        <f t="shared" si="87"/>
        <v>0.79406631762652702</v>
      </c>
      <c r="AB451" s="158">
        <f t="shared" si="87"/>
        <v>0.18848167539267016</v>
      </c>
      <c r="AC451" s="158">
        <f t="shared" si="87"/>
        <v>1.7452006980802792E-2</v>
      </c>
      <c r="AE451" s="148"/>
      <c r="AF451" s="161">
        <f t="shared" si="88"/>
        <v>304062.14940953971</v>
      </c>
      <c r="AG451" s="161">
        <f t="shared" si="94"/>
        <v>241445.51131124006</v>
      </c>
      <c r="AH451" s="162">
        <f t="shared" si="95"/>
        <v>9.5052027447497682</v>
      </c>
      <c r="AI451" s="159"/>
      <c r="AJ451" s="157"/>
      <c r="AK451" s="157">
        <f t="shared" si="96"/>
        <v>9.0299426075122788</v>
      </c>
      <c r="AN451" s="161">
        <f t="shared" si="97"/>
        <v>91218.644822861912</v>
      </c>
    </row>
    <row r="452" spans="1:40">
      <c r="A452" s="156">
        <f>'BD Plant List'!A451</f>
        <v>53359</v>
      </c>
      <c r="B452" s="148">
        <f t="shared" si="102"/>
        <v>40</v>
      </c>
      <c r="C452" s="148">
        <f t="shared" si="102"/>
        <v>10</v>
      </c>
      <c r="D452" s="148">
        <f t="shared" si="102"/>
        <v>56</v>
      </c>
      <c r="E452" s="148">
        <f t="shared" si="102"/>
        <v>70</v>
      </c>
      <c r="F452" s="148">
        <f t="shared" si="102"/>
        <v>9</v>
      </c>
      <c r="G452" s="148">
        <f t="shared" si="102"/>
        <v>50</v>
      </c>
      <c r="H452" s="148">
        <f t="shared" si="102"/>
        <v>39</v>
      </c>
      <c r="I452" s="148">
        <f t="shared" si="102"/>
        <v>39</v>
      </c>
      <c r="J452" s="148">
        <f t="shared" si="102"/>
        <v>100</v>
      </c>
      <c r="K452" s="148">
        <f t="shared" si="102"/>
        <v>26</v>
      </c>
      <c r="L452" s="148">
        <f t="shared" si="102"/>
        <v>7</v>
      </c>
      <c r="M452" s="148">
        <f t="shared" si="102"/>
        <v>12</v>
      </c>
      <c r="N452" s="148">
        <f t="shared" si="102"/>
        <v>10</v>
      </c>
      <c r="O452" s="148">
        <f t="shared" si="102"/>
        <v>105</v>
      </c>
      <c r="P452" s="148">
        <f t="shared" si="85"/>
        <v>573</v>
      </c>
      <c r="R452" s="163">
        <f>Ethanol!AL15</f>
        <v>109596.18651838729</v>
      </c>
      <c r="S452" s="157">
        <f t="shared" si="89"/>
        <v>28.95202459256237</v>
      </c>
      <c r="T452" s="154">
        <f t="shared" si="90"/>
        <v>0.59491577865705481</v>
      </c>
      <c r="V452" s="149">
        <f t="shared" si="91"/>
        <v>455</v>
      </c>
      <c r="W452" s="149">
        <f t="shared" si="92"/>
        <v>108</v>
      </c>
      <c r="X452" s="149">
        <f t="shared" si="93"/>
        <v>10</v>
      </c>
      <c r="Y452" s="149">
        <f t="shared" si="86"/>
        <v>573</v>
      </c>
      <c r="AA452" s="158">
        <f t="shared" si="87"/>
        <v>0.79406631762652702</v>
      </c>
      <c r="AB452" s="158">
        <f t="shared" si="87"/>
        <v>0.18848167539267016</v>
      </c>
      <c r="AC452" s="158">
        <f t="shared" si="87"/>
        <v>1.7452006980802792E-2</v>
      </c>
      <c r="AE452" s="148"/>
      <c r="AF452" s="161">
        <f t="shared" si="88"/>
        <v>288603.29116508656</v>
      </c>
      <c r="AG452" s="161">
        <f t="shared" si="94"/>
        <v>229170.15267035668</v>
      </c>
      <c r="AH452" s="162">
        <f t="shared" si="95"/>
        <v>9.0219476533113347</v>
      </c>
      <c r="AI452" s="159"/>
      <c r="AJ452" s="157"/>
      <c r="AK452" s="157">
        <f t="shared" si="96"/>
        <v>8.5708502706457672</v>
      </c>
      <c r="AN452" s="161">
        <f t="shared" si="97"/>
        <v>86580.987349525967</v>
      </c>
    </row>
    <row r="453" spans="1:40">
      <c r="A453" s="156">
        <f>'BD Plant List'!A452</f>
        <v>53387</v>
      </c>
      <c r="B453" s="148">
        <f t="shared" si="102"/>
        <v>40</v>
      </c>
      <c r="C453" s="148">
        <f t="shared" si="102"/>
        <v>10</v>
      </c>
      <c r="D453" s="148">
        <f t="shared" si="102"/>
        <v>56</v>
      </c>
      <c r="E453" s="148">
        <f t="shared" si="102"/>
        <v>70</v>
      </c>
      <c r="F453" s="148">
        <f t="shared" si="102"/>
        <v>9</v>
      </c>
      <c r="G453" s="148">
        <f t="shared" si="102"/>
        <v>50</v>
      </c>
      <c r="H453" s="148">
        <f t="shared" si="102"/>
        <v>39</v>
      </c>
      <c r="I453" s="148">
        <f t="shared" si="102"/>
        <v>39</v>
      </c>
      <c r="J453" s="148">
        <f t="shared" si="102"/>
        <v>100</v>
      </c>
      <c r="K453" s="148">
        <f t="shared" si="102"/>
        <v>26</v>
      </c>
      <c r="L453" s="148">
        <f t="shared" si="102"/>
        <v>7</v>
      </c>
      <c r="M453" s="148">
        <f t="shared" si="102"/>
        <v>12</v>
      </c>
      <c r="N453" s="148">
        <f t="shared" si="102"/>
        <v>10</v>
      </c>
      <c r="O453" s="148">
        <f t="shared" si="102"/>
        <v>105</v>
      </c>
      <c r="P453" s="148">
        <f t="shared" si="85"/>
        <v>573</v>
      </c>
      <c r="R453" s="163">
        <f>Ethanol!AL16</f>
        <v>119054.86610802938</v>
      </c>
      <c r="S453" s="157">
        <f t="shared" si="89"/>
        <v>31.450723979758124</v>
      </c>
      <c r="T453" s="154">
        <f t="shared" si="90"/>
        <v>0.71550201026001703</v>
      </c>
      <c r="V453" s="149">
        <f t="shared" si="91"/>
        <v>455</v>
      </c>
      <c r="W453" s="149">
        <f t="shared" si="92"/>
        <v>108</v>
      </c>
      <c r="X453" s="149">
        <f t="shared" si="93"/>
        <v>10</v>
      </c>
      <c r="Y453" s="149">
        <f t="shared" si="86"/>
        <v>573</v>
      </c>
      <c r="AA453" s="158">
        <f t="shared" si="87"/>
        <v>0.79406631762652702</v>
      </c>
      <c r="AB453" s="158">
        <f t="shared" si="87"/>
        <v>0.18848167539267016</v>
      </c>
      <c r="AC453" s="158">
        <f t="shared" si="87"/>
        <v>1.7452006980802792E-2</v>
      </c>
      <c r="AE453" s="148"/>
      <c r="AF453" s="161">
        <f t="shared" si="88"/>
        <v>313511.14741781075</v>
      </c>
      <c r="AG453" s="161">
        <f t="shared" si="94"/>
        <v>248948.64236492824</v>
      </c>
      <c r="AH453" s="162">
        <f t="shared" si="95"/>
        <v>9.8005852577582573</v>
      </c>
      <c r="AI453" s="159"/>
      <c r="AJ453" s="157"/>
      <c r="AK453" s="157">
        <f t="shared" si="96"/>
        <v>9.3105559948703434</v>
      </c>
      <c r="AN453" s="161">
        <f t="shared" si="97"/>
        <v>94053.344225343215</v>
      </c>
    </row>
    <row r="454" spans="1:40">
      <c r="A454" s="156">
        <f>'BD Plant List'!A453</f>
        <v>53418</v>
      </c>
      <c r="B454" s="148">
        <f t="shared" si="102"/>
        <v>40</v>
      </c>
      <c r="C454" s="148">
        <f t="shared" si="102"/>
        <v>10</v>
      </c>
      <c r="D454" s="148">
        <f t="shared" si="102"/>
        <v>56</v>
      </c>
      <c r="E454" s="148">
        <f t="shared" si="102"/>
        <v>70</v>
      </c>
      <c r="F454" s="148">
        <f t="shared" si="102"/>
        <v>9</v>
      </c>
      <c r="G454" s="148">
        <f t="shared" si="102"/>
        <v>50</v>
      </c>
      <c r="H454" s="148">
        <f t="shared" si="102"/>
        <v>39</v>
      </c>
      <c r="I454" s="148">
        <f t="shared" si="102"/>
        <v>39</v>
      </c>
      <c r="J454" s="148">
        <f t="shared" si="102"/>
        <v>100</v>
      </c>
      <c r="K454" s="148">
        <f t="shared" si="102"/>
        <v>26</v>
      </c>
      <c r="L454" s="148">
        <f t="shared" si="102"/>
        <v>7</v>
      </c>
      <c r="M454" s="148">
        <f t="shared" si="102"/>
        <v>12</v>
      </c>
      <c r="N454" s="148">
        <f t="shared" si="102"/>
        <v>10</v>
      </c>
      <c r="O454" s="148">
        <f t="shared" si="102"/>
        <v>105</v>
      </c>
      <c r="P454" s="148">
        <f t="shared" si="85"/>
        <v>573</v>
      </c>
      <c r="R454" s="163">
        <f>Ethanol!AL17</f>
        <v>107301.95147087962</v>
      </c>
      <c r="S454" s="157">
        <f t="shared" si="89"/>
        <v>28.34595652006227</v>
      </c>
      <c r="T454" s="154">
        <f t="shared" si="90"/>
        <v>0.58246209141601801</v>
      </c>
      <c r="V454" s="149">
        <f t="shared" si="91"/>
        <v>455</v>
      </c>
      <c r="W454" s="149">
        <f t="shared" si="92"/>
        <v>108</v>
      </c>
      <c r="X454" s="149">
        <f t="shared" si="93"/>
        <v>10</v>
      </c>
      <c r="Y454" s="149">
        <f t="shared" si="86"/>
        <v>573</v>
      </c>
      <c r="AA454" s="158">
        <f t="shared" si="87"/>
        <v>0.79406631762652702</v>
      </c>
      <c r="AB454" s="158">
        <f t="shared" si="87"/>
        <v>0.18848167539267016</v>
      </c>
      <c r="AC454" s="158">
        <f t="shared" si="87"/>
        <v>1.7452006980802792E-2</v>
      </c>
      <c r="AE454" s="148"/>
      <c r="AF454" s="161">
        <f t="shared" si="88"/>
        <v>282561.80553998303</v>
      </c>
      <c r="AG454" s="161">
        <f t="shared" si="94"/>
        <v>224372.81242703713</v>
      </c>
      <c r="AH454" s="162">
        <f t="shared" si="95"/>
        <v>8.8330864423463549</v>
      </c>
      <c r="AI454" s="159"/>
      <c r="AJ454" s="157"/>
      <c r="AK454" s="157">
        <f t="shared" si="96"/>
        <v>8.3914321202290374</v>
      </c>
      <c r="AN454" s="161">
        <f t="shared" si="97"/>
        <v>84768.54166199491</v>
      </c>
    </row>
    <row r="455" spans="1:40">
      <c r="A455" s="156">
        <f>'BD Plant List'!A454</f>
        <v>53448</v>
      </c>
      <c r="B455" s="148">
        <f t="shared" si="102"/>
        <v>40</v>
      </c>
      <c r="C455" s="148">
        <f t="shared" si="102"/>
        <v>10</v>
      </c>
      <c r="D455" s="148">
        <f t="shared" si="102"/>
        <v>56</v>
      </c>
      <c r="E455" s="148">
        <f t="shared" si="102"/>
        <v>70</v>
      </c>
      <c r="F455" s="148">
        <f t="shared" si="102"/>
        <v>9</v>
      </c>
      <c r="G455" s="148">
        <f t="shared" si="102"/>
        <v>50</v>
      </c>
      <c r="H455" s="148">
        <f t="shared" si="102"/>
        <v>39</v>
      </c>
      <c r="I455" s="148">
        <f t="shared" si="102"/>
        <v>39</v>
      </c>
      <c r="J455" s="148">
        <f t="shared" si="102"/>
        <v>100</v>
      </c>
      <c r="K455" s="148">
        <f t="shared" si="102"/>
        <v>26</v>
      </c>
      <c r="L455" s="148">
        <f t="shared" si="102"/>
        <v>7</v>
      </c>
      <c r="M455" s="148">
        <f t="shared" si="102"/>
        <v>12</v>
      </c>
      <c r="N455" s="148">
        <f t="shared" si="102"/>
        <v>10</v>
      </c>
      <c r="O455" s="148">
        <f t="shared" si="102"/>
        <v>105</v>
      </c>
      <c r="P455" s="148">
        <f t="shared" ref="P455:P510" si="103">SUM(B455:O455)</f>
        <v>573</v>
      </c>
      <c r="R455" s="163">
        <f>Ethanol!AL18</f>
        <v>110661.64021370083</v>
      </c>
      <c r="S455" s="157">
        <f t="shared" si="89"/>
        <v>29.233485495253351</v>
      </c>
      <c r="T455" s="154">
        <f t="shared" si="90"/>
        <v>0.62072264140590294</v>
      </c>
      <c r="V455" s="149">
        <f t="shared" si="91"/>
        <v>455</v>
      </c>
      <c r="W455" s="149">
        <f t="shared" si="92"/>
        <v>108</v>
      </c>
      <c r="X455" s="149">
        <f t="shared" si="93"/>
        <v>10</v>
      </c>
      <c r="Y455" s="149">
        <f t="shared" ref="Y455:Y510" si="104">SUM(V455:X455)</f>
        <v>573</v>
      </c>
      <c r="AA455" s="158">
        <f t="shared" ref="AA455:AC510" si="105">V455/$Y455</f>
        <v>0.79406631762652702</v>
      </c>
      <c r="AB455" s="158">
        <f t="shared" si="105"/>
        <v>0.18848167539267016</v>
      </c>
      <c r="AC455" s="158">
        <f t="shared" si="105"/>
        <v>1.7452006980802792E-2</v>
      </c>
      <c r="AE455" s="148"/>
      <c r="AF455" s="161">
        <f t="shared" si="88"/>
        <v>291408.98589607887</v>
      </c>
      <c r="AG455" s="161">
        <f t="shared" si="94"/>
        <v>231398.0603537799</v>
      </c>
      <c r="AH455" s="162">
        <f t="shared" si="95"/>
        <v>9.1096557002015714</v>
      </c>
      <c r="AI455" s="159"/>
      <c r="AJ455" s="157"/>
      <c r="AK455" s="157">
        <f t="shared" si="96"/>
        <v>8.6541729151914932</v>
      </c>
      <c r="AN455" s="161">
        <f t="shared" si="97"/>
        <v>87422.695768823658</v>
      </c>
    </row>
    <row r="456" spans="1:40">
      <c r="A456" s="156">
        <f>'BD Plant List'!A455</f>
        <v>53479</v>
      </c>
      <c r="B456" s="148">
        <f t="shared" si="102"/>
        <v>40</v>
      </c>
      <c r="C456" s="148">
        <f t="shared" si="102"/>
        <v>10</v>
      </c>
      <c r="D456" s="148">
        <f t="shared" si="102"/>
        <v>56</v>
      </c>
      <c r="E456" s="148">
        <f t="shared" si="102"/>
        <v>70</v>
      </c>
      <c r="F456" s="148">
        <f t="shared" si="102"/>
        <v>9</v>
      </c>
      <c r="G456" s="148">
        <f t="shared" si="102"/>
        <v>50</v>
      </c>
      <c r="H456" s="148">
        <f t="shared" si="102"/>
        <v>39</v>
      </c>
      <c r="I456" s="148">
        <f t="shared" si="102"/>
        <v>39</v>
      </c>
      <c r="J456" s="148">
        <f t="shared" si="102"/>
        <v>100</v>
      </c>
      <c r="K456" s="148">
        <f t="shared" si="102"/>
        <v>26</v>
      </c>
      <c r="L456" s="148">
        <f t="shared" si="102"/>
        <v>7</v>
      </c>
      <c r="M456" s="148">
        <f t="shared" si="102"/>
        <v>12</v>
      </c>
      <c r="N456" s="148">
        <f t="shared" si="102"/>
        <v>10</v>
      </c>
      <c r="O456" s="148">
        <f t="shared" si="102"/>
        <v>105</v>
      </c>
      <c r="P456" s="148">
        <f t="shared" si="103"/>
        <v>573</v>
      </c>
      <c r="R456" s="163">
        <f>Ethanol!AL19</f>
        <v>110023.54925829847</v>
      </c>
      <c r="S456" s="157">
        <f t="shared" si="89"/>
        <v>29.06492100756471</v>
      </c>
      <c r="T456" s="154">
        <f t="shared" si="90"/>
        <v>0.59723561153865445</v>
      </c>
      <c r="V456" s="149">
        <f t="shared" si="91"/>
        <v>455</v>
      </c>
      <c r="W456" s="149">
        <f t="shared" si="92"/>
        <v>108</v>
      </c>
      <c r="X456" s="149">
        <f t="shared" si="93"/>
        <v>10</v>
      </c>
      <c r="Y456" s="149">
        <f t="shared" si="104"/>
        <v>573</v>
      </c>
      <c r="AA456" s="158">
        <f t="shared" si="105"/>
        <v>0.79406631762652702</v>
      </c>
      <c r="AB456" s="158">
        <f t="shared" si="105"/>
        <v>0.18848167539267016</v>
      </c>
      <c r="AC456" s="158">
        <f t="shared" si="105"/>
        <v>1.7452006980802792E-2</v>
      </c>
      <c r="AE456" s="148"/>
      <c r="AF456" s="161">
        <f t="shared" si="88"/>
        <v>289728.67971351935</v>
      </c>
      <c r="AG456" s="161">
        <f t="shared" si="94"/>
        <v>230063.78581090976</v>
      </c>
      <c r="AH456" s="162">
        <f t="shared" si="95"/>
        <v>9.0571281134253141</v>
      </c>
      <c r="AI456" s="159"/>
      <c r="AJ456" s="157"/>
      <c r="AK456" s="157">
        <f t="shared" si="96"/>
        <v>8.604271707754048</v>
      </c>
      <c r="AN456" s="161">
        <f t="shared" si="97"/>
        <v>86918.603914055799</v>
      </c>
    </row>
    <row r="457" spans="1:40">
      <c r="A457" s="156">
        <f>'BD Plant List'!A456</f>
        <v>53509</v>
      </c>
      <c r="B457" s="148">
        <f t="shared" si="102"/>
        <v>40</v>
      </c>
      <c r="C457" s="148">
        <f t="shared" si="102"/>
        <v>10</v>
      </c>
      <c r="D457" s="148">
        <f t="shared" si="102"/>
        <v>56</v>
      </c>
      <c r="E457" s="148">
        <f t="shared" si="102"/>
        <v>70</v>
      </c>
      <c r="F457" s="148">
        <f t="shared" si="102"/>
        <v>9</v>
      </c>
      <c r="G457" s="148">
        <f t="shared" si="102"/>
        <v>50</v>
      </c>
      <c r="H457" s="148">
        <f t="shared" si="102"/>
        <v>39</v>
      </c>
      <c r="I457" s="148">
        <f t="shared" si="102"/>
        <v>39</v>
      </c>
      <c r="J457" s="148">
        <f t="shared" si="102"/>
        <v>100</v>
      </c>
      <c r="K457" s="148">
        <f t="shared" si="102"/>
        <v>26</v>
      </c>
      <c r="L457" s="148">
        <f t="shared" si="102"/>
        <v>7</v>
      </c>
      <c r="M457" s="148">
        <f t="shared" si="102"/>
        <v>12</v>
      </c>
      <c r="N457" s="148">
        <f t="shared" si="102"/>
        <v>10</v>
      </c>
      <c r="O457" s="148">
        <f t="shared" si="102"/>
        <v>105</v>
      </c>
      <c r="P457" s="148">
        <f t="shared" si="103"/>
        <v>573</v>
      </c>
      <c r="R457" s="163">
        <f>Ethanol!AL20</f>
        <v>120712.81013084357</v>
      </c>
      <c r="S457" s="157">
        <f t="shared" si="89"/>
        <v>31.888703052264948</v>
      </c>
      <c r="T457" s="154">
        <f t="shared" si="90"/>
        <v>0.67710160640353145</v>
      </c>
      <c r="V457" s="149">
        <f t="shared" si="91"/>
        <v>455</v>
      </c>
      <c r="W457" s="149">
        <f t="shared" si="92"/>
        <v>108</v>
      </c>
      <c r="X457" s="149">
        <f t="shared" si="93"/>
        <v>10</v>
      </c>
      <c r="Y457" s="149">
        <f t="shared" si="104"/>
        <v>573</v>
      </c>
      <c r="AA457" s="158">
        <f t="shared" si="105"/>
        <v>0.79406631762652702</v>
      </c>
      <c r="AB457" s="158">
        <f t="shared" si="105"/>
        <v>0.18848167539267016</v>
      </c>
      <c r="AC457" s="158">
        <f t="shared" si="105"/>
        <v>1.7452006980802792E-2</v>
      </c>
      <c r="AE457" s="148"/>
      <c r="AF457" s="161">
        <f t="shared" ref="AF457:AF512" si="106">AN457/0.3</f>
        <v>317877.0666778881</v>
      </c>
      <c r="AG457" s="161">
        <f t="shared" si="94"/>
        <v>252415.47179483259</v>
      </c>
      <c r="AH457" s="162">
        <f t="shared" si="95"/>
        <v>9.9370670520717894</v>
      </c>
      <c r="AI457" s="159"/>
      <c r="AJ457" s="157"/>
      <c r="AK457" s="157">
        <f t="shared" si="96"/>
        <v>9.4402136994681989</v>
      </c>
      <c r="AN457" s="161">
        <f t="shared" si="97"/>
        <v>95363.120003366421</v>
      </c>
    </row>
    <row r="458" spans="1:40">
      <c r="A458" s="156">
        <f>'BD Plant List'!A457</f>
        <v>53540</v>
      </c>
      <c r="B458" s="148">
        <f t="shared" si="102"/>
        <v>40</v>
      </c>
      <c r="C458" s="148">
        <f t="shared" si="102"/>
        <v>10</v>
      </c>
      <c r="D458" s="148">
        <f t="shared" si="102"/>
        <v>56</v>
      </c>
      <c r="E458" s="148">
        <f t="shared" si="102"/>
        <v>70</v>
      </c>
      <c r="F458" s="148">
        <f t="shared" si="102"/>
        <v>9</v>
      </c>
      <c r="G458" s="148">
        <f t="shared" si="102"/>
        <v>50</v>
      </c>
      <c r="H458" s="148">
        <f t="shared" ref="H458:O490" si="107">H$4</f>
        <v>39</v>
      </c>
      <c r="I458" s="148">
        <f t="shared" si="107"/>
        <v>39</v>
      </c>
      <c r="J458" s="148">
        <f t="shared" si="107"/>
        <v>100</v>
      </c>
      <c r="K458" s="148">
        <f t="shared" si="107"/>
        <v>26</v>
      </c>
      <c r="L458" s="148">
        <f t="shared" si="107"/>
        <v>7</v>
      </c>
      <c r="M458" s="148">
        <f t="shared" si="107"/>
        <v>12</v>
      </c>
      <c r="N458" s="148">
        <f t="shared" si="107"/>
        <v>10</v>
      </c>
      <c r="O458" s="148">
        <f t="shared" si="107"/>
        <v>105</v>
      </c>
      <c r="P458" s="148">
        <f t="shared" si="103"/>
        <v>573</v>
      </c>
      <c r="R458" s="163">
        <f>Ethanol!AL21</f>
        <v>121377.75708975406</v>
      </c>
      <c r="S458" s="157">
        <f t="shared" si="89"/>
        <v>32.06436209040033</v>
      </c>
      <c r="T458" s="154">
        <f t="shared" si="90"/>
        <v>0.65886911912380342</v>
      </c>
      <c r="V458" s="149">
        <f t="shared" si="91"/>
        <v>455</v>
      </c>
      <c r="W458" s="149">
        <f t="shared" si="92"/>
        <v>108</v>
      </c>
      <c r="X458" s="149">
        <f t="shared" si="93"/>
        <v>10</v>
      </c>
      <c r="Y458" s="149">
        <f t="shared" si="104"/>
        <v>573</v>
      </c>
      <c r="AA458" s="158">
        <f t="shared" si="105"/>
        <v>0.79406631762652702</v>
      </c>
      <c r="AB458" s="158">
        <f t="shared" si="105"/>
        <v>0.18848167539267016</v>
      </c>
      <c r="AC458" s="158">
        <f t="shared" si="105"/>
        <v>1.7452006980802792E-2</v>
      </c>
      <c r="AE458" s="148"/>
      <c r="AF458" s="161">
        <f t="shared" si="106"/>
        <v>319628.09366968571</v>
      </c>
      <c r="AG458" s="161">
        <f t="shared" si="94"/>
        <v>253805.90335027399</v>
      </c>
      <c r="AH458" s="162">
        <f t="shared" si="95"/>
        <v>9.9918054225032513</v>
      </c>
      <c r="AI458" s="159"/>
      <c r="AJ458" s="157"/>
      <c r="AK458" s="157">
        <f t="shared" si="96"/>
        <v>9.4922151513780886</v>
      </c>
      <c r="AN458" s="161">
        <f t="shared" si="97"/>
        <v>95888.428100905716</v>
      </c>
    </row>
    <row r="459" spans="1:40">
      <c r="A459" s="156">
        <f>'BD Plant List'!A458</f>
        <v>53571</v>
      </c>
      <c r="B459" s="148">
        <f t="shared" ref="B459:G517" si="108">B$4</f>
        <v>40</v>
      </c>
      <c r="C459" s="148">
        <f t="shared" si="108"/>
        <v>10</v>
      </c>
      <c r="D459" s="148">
        <f t="shared" si="108"/>
        <v>56</v>
      </c>
      <c r="E459" s="148">
        <f t="shared" si="108"/>
        <v>70</v>
      </c>
      <c r="F459" s="148">
        <f t="shared" si="108"/>
        <v>9</v>
      </c>
      <c r="G459" s="148">
        <f t="shared" si="108"/>
        <v>50</v>
      </c>
      <c r="H459" s="148">
        <f t="shared" si="107"/>
        <v>39</v>
      </c>
      <c r="I459" s="148">
        <f t="shared" si="107"/>
        <v>39</v>
      </c>
      <c r="J459" s="148">
        <f t="shared" si="107"/>
        <v>100</v>
      </c>
      <c r="K459" s="148">
        <f t="shared" si="107"/>
        <v>26</v>
      </c>
      <c r="L459" s="148">
        <f t="shared" si="107"/>
        <v>7</v>
      </c>
      <c r="M459" s="148">
        <f t="shared" si="107"/>
        <v>12</v>
      </c>
      <c r="N459" s="148">
        <f t="shared" si="107"/>
        <v>10</v>
      </c>
      <c r="O459" s="148">
        <f t="shared" si="107"/>
        <v>105</v>
      </c>
      <c r="P459" s="148">
        <f t="shared" si="103"/>
        <v>573</v>
      </c>
      <c r="R459" s="163">
        <f>Ethanol!AL22</f>
        <v>106566.99195558819</v>
      </c>
      <c r="S459" s="157">
        <f t="shared" si="89"/>
        <v>28.151802264907737</v>
      </c>
      <c r="T459" s="154">
        <f t="shared" si="90"/>
        <v>0.57847254555487937</v>
      </c>
      <c r="V459" s="149">
        <f t="shared" si="91"/>
        <v>455</v>
      </c>
      <c r="W459" s="149">
        <f t="shared" si="92"/>
        <v>108</v>
      </c>
      <c r="X459" s="149">
        <f t="shared" si="93"/>
        <v>10</v>
      </c>
      <c r="Y459" s="149">
        <f t="shared" si="104"/>
        <v>573</v>
      </c>
      <c r="AA459" s="158">
        <f t="shared" si="105"/>
        <v>0.79406631762652702</v>
      </c>
      <c r="AB459" s="158">
        <f t="shared" si="105"/>
        <v>0.18848167539267016</v>
      </c>
      <c r="AC459" s="158">
        <f t="shared" si="105"/>
        <v>1.7452006980802792E-2</v>
      </c>
      <c r="AE459" s="148"/>
      <c r="AF459" s="161">
        <f t="shared" si="106"/>
        <v>280626.41214971559</v>
      </c>
      <c r="AG459" s="161">
        <f t="shared" si="94"/>
        <v>222835.98172446873</v>
      </c>
      <c r="AH459" s="162">
        <f t="shared" si="95"/>
        <v>8.7725846449307134</v>
      </c>
      <c r="AI459" s="159"/>
      <c r="AJ459" s="157"/>
      <c r="AK459" s="157">
        <f t="shared" si="96"/>
        <v>8.3339554126841779</v>
      </c>
      <c r="AN459" s="161">
        <f t="shared" si="97"/>
        <v>84187.92364491467</v>
      </c>
    </row>
    <row r="460" spans="1:40">
      <c r="A460" s="156">
        <f>'BD Plant List'!A459</f>
        <v>53601</v>
      </c>
      <c r="B460" s="148">
        <f t="shared" si="108"/>
        <v>40</v>
      </c>
      <c r="C460" s="148">
        <f t="shared" si="108"/>
        <v>10</v>
      </c>
      <c r="D460" s="148">
        <f t="shared" si="108"/>
        <v>56</v>
      </c>
      <c r="E460" s="148">
        <f t="shared" si="108"/>
        <v>70</v>
      </c>
      <c r="F460" s="148">
        <f t="shared" si="108"/>
        <v>9</v>
      </c>
      <c r="G460" s="148">
        <f t="shared" si="108"/>
        <v>50</v>
      </c>
      <c r="H460" s="148">
        <f t="shared" si="107"/>
        <v>39</v>
      </c>
      <c r="I460" s="148">
        <f t="shared" si="107"/>
        <v>39</v>
      </c>
      <c r="J460" s="148">
        <f t="shared" si="107"/>
        <v>100</v>
      </c>
      <c r="K460" s="148">
        <f t="shared" si="107"/>
        <v>26</v>
      </c>
      <c r="L460" s="148">
        <f t="shared" si="107"/>
        <v>7</v>
      </c>
      <c r="M460" s="148">
        <f t="shared" si="107"/>
        <v>12</v>
      </c>
      <c r="N460" s="148">
        <f t="shared" si="107"/>
        <v>10</v>
      </c>
      <c r="O460" s="148">
        <f t="shared" si="107"/>
        <v>105</v>
      </c>
      <c r="P460" s="148">
        <f t="shared" si="103"/>
        <v>573</v>
      </c>
      <c r="R460" s="163">
        <f>Ethanol!AL23</f>
        <v>105978.20897923858</v>
      </c>
      <c r="S460" s="157">
        <f t="shared" ref="S460:S515" si="109">R460*264.17/1000000</f>
        <v>27.996263466045459</v>
      </c>
      <c r="T460" s="154">
        <f t="shared" ref="T460:T515" si="110">S460/((P460/365)*(A460-A459))</f>
        <v>0.59445236562574699</v>
      </c>
      <c r="V460" s="149">
        <f t="shared" ref="V460:V515" si="111">O460+K460+J460+I460+G460+F460+E460+D460</f>
        <v>455</v>
      </c>
      <c r="W460" s="149">
        <f t="shared" ref="W460:W515" si="112">B460+H460+L460+M460+N460</f>
        <v>108</v>
      </c>
      <c r="X460" s="149">
        <f t="shared" ref="X460:X515" si="113">C460</f>
        <v>10</v>
      </c>
      <c r="Y460" s="149">
        <f t="shared" si="104"/>
        <v>573</v>
      </c>
      <c r="AA460" s="158">
        <f t="shared" si="105"/>
        <v>0.79406631762652702</v>
      </c>
      <c r="AB460" s="158">
        <f t="shared" si="105"/>
        <v>0.18848167539267016</v>
      </c>
      <c r="AC460" s="158">
        <f t="shared" si="105"/>
        <v>1.7452006980802792E-2</v>
      </c>
      <c r="AE460" s="148"/>
      <c r="AF460" s="161">
        <f t="shared" si="106"/>
        <v>279075.95031199499</v>
      </c>
      <c r="AG460" s="161">
        <f t="shared" ref="AG460:AG515" si="114">AF460*AA460</f>
        <v>221604.8122023695</v>
      </c>
      <c r="AH460" s="162">
        <f t="shared" ref="AH460:AH515" si="115">AG460*39.3679/1000000</f>
        <v>8.7241160863016614</v>
      </c>
      <c r="AI460" s="159"/>
      <c r="AJ460" s="157"/>
      <c r="AK460" s="157">
        <f t="shared" ref="AK460:AK510" si="116">AH460*$AM$6</f>
        <v>8.2879102819865782</v>
      </c>
      <c r="AN460" s="161">
        <f t="shared" ref="AN460:AN515" si="117">R460*0.79</f>
        <v>83722.78509359849</v>
      </c>
    </row>
    <row r="461" spans="1:40">
      <c r="A461" s="156">
        <f>'BD Plant List'!A460</f>
        <v>53632</v>
      </c>
      <c r="B461" s="148">
        <f t="shared" si="108"/>
        <v>40</v>
      </c>
      <c r="C461" s="148">
        <f t="shared" si="108"/>
        <v>10</v>
      </c>
      <c r="D461" s="148">
        <f t="shared" si="108"/>
        <v>56</v>
      </c>
      <c r="E461" s="148">
        <f t="shared" si="108"/>
        <v>70</v>
      </c>
      <c r="F461" s="148">
        <f t="shared" si="108"/>
        <v>9</v>
      </c>
      <c r="G461" s="148">
        <f t="shared" si="108"/>
        <v>50</v>
      </c>
      <c r="H461" s="148">
        <f t="shared" si="107"/>
        <v>39</v>
      </c>
      <c r="I461" s="148">
        <f t="shared" si="107"/>
        <v>39</v>
      </c>
      <c r="J461" s="148">
        <f t="shared" si="107"/>
        <v>100</v>
      </c>
      <c r="K461" s="148">
        <f t="shared" si="107"/>
        <v>26</v>
      </c>
      <c r="L461" s="148">
        <f t="shared" si="107"/>
        <v>7</v>
      </c>
      <c r="M461" s="148">
        <f t="shared" si="107"/>
        <v>12</v>
      </c>
      <c r="N461" s="148">
        <f t="shared" si="107"/>
        <v>10</v>
      </c>
      <c r="O461" s="148">
        <f t="shared" si="107"/>
        <v>105</v>
      </c>
      <c r="P461" s="148">
        <f t="shared" si="103"/>
        <v>573</v>
      </c>
      <c r="R461" s="163">
        <f>Ethanol!AL24</f>
        <v>118654.1642362643</v>
      </c>
      <c r="S461" s="157">
        <f t="shared" si="109"/>
        <v>31.344870566293945</v>
      </c>
      <c r="T461" s="154">
        <f t="shared" si="110"/>
        <v>0.64408476927868541</v>
      </c>
      <c r="V461" s="149">
        <f t="shared" si="111"/>
        <v>455</v>
      </c>
      <c r="W461" s="149">
        <f t="shared" si="112"/>
        <v>108</v>
      </c>
      <c r="X461" s="149">
        <f t="shared" si="113"/>
        <v>10</v>
      </c>
      <c r="Y461" s="149">
        <f t="shared" si="104"/>
        <v>573</v>
      </c>
      <c r="AA461" s="158">
        <f t="shared" si="105"/>
        <v>0.79406631762652702</v>
      </c>
      <c r="AB461" s="158">
        <f t="shared" si="105"/>
        <v>0.18848167539267016</v>
      </c>
      <c r="AC461" s="158">
        <f t="shared" si="105"/>
        <v>1.7452006980802792E-2</v>
      </c>
      <c r="AE461" s="148"/>
      <c r="AF461" s="161">
        <f t="shared" si="106"/>
        <v>312455.96582216269</v>
      </c>
      <c r="AG461" s="161">
        <f t="shared" si="114"/>
        <v>248110.75820084472</v>
      </c>
      <c r="AH461" s="162">
        <f t="shared" si="115"/>
        <v>9.7675995177750341</v>
      </c>
      <c r="AI461" s="159"/>
      <c r="AJ461" s="157"/>
      <c r="AK461" s="157">
        <f t="shared" si="116"/>
        <v>9.2792195418862828</v>
      </c>
      <c r="AN461" s="161">
        <f t="shared" si="117"/>
        <v>93736.789746648807</v>
      </c>
    </row>
    <row r="462" spans="1:40">
      <c r="A462" s="156">
        <f>'BD Plant List'!A461</f>
        <v>53662</v>
      </c>
      <c r="B462" s="148">
        <f t="shared" si="108"/>
        <v>40</v>
      </c>
      <c r="C462" s="148">
        <f t="shared" si="108"/>
        <v>10</v>
      </c>
      <c r="D462" s="148">
        <f t="shared" si="108"/>
        <v>56</v>
      </c>
      <c r="E462" s="148">
        <f t="shared" si="108"/>
        <v>70</v>
      </c>
      <c r="F462" s="148">
        <f t="shared" si="108"/>
        <v>9</v>
      </c>
      <c r="G462" s="148">
        <f t="shared" si="108"/>
        <v>50</v>
      </c>
      <c r="H462" s="148">
        <f t="shared" si="107"/>
        <v>39</v>
      </c>
      <c r="I462" s="148">
        <f t="shared" si="107"/>
        <v>39</v>
      </c>
      <c r="J462" s="148">
        <f t="shared" si="107"/>
        <v>100</v>
      </c>
      <c r="K462" s="148">
        <f t="shared" si="107"/>
        <v>26</v>
      </c>
      <c r="L462" s="148">
        <f t="shared" si="107"/>
        <v>7</v>
      </c>
      <c r="M462" s="148">
        <f t="shared" si="107"/>
        <v>12</v>
      </c>
      <c r="N462" s="148">
        <f t="shared" si="107"/>
        <v>10</v>
      </c>
      <c r="O462" s="148">
        <f t="shared" si="107"/>
        <v>105</v>
      </c>
      <c r="P462" s="148">
        <f t="shared" si="103"/>
        <v>573</v>
      </c>
      <c r="R462" s="163">
        <f>Ethanol!AL25</f>
        <v>110887.06233023806</v>
      </c>
      <c r="S462" s="157">
        <f t="shared" si="109"/>
        <v>29.293035255778992</v>
      </c>
      <c r="T462" s="154">
        <f t="shared" si="110"/>
        <v>0.62198707785685459</v>
      </c>
      <c r="V462" s="149">
        <f t="shared" si="111"/>
        <v>455</v>
      </c>
      <c r="W462" s="149">
        <f t="shared" si="112"/>
        <v>108</v>
      </c>
      <c r="X462" s="149">
        <f t="shared" si="113"/>
        <v>10</v>
      </c>
      <c r="Y462" s="149">
        <f t="shared" si="104"/>
        <v>573</v>
      </c>
      <c r="AA462" s="158">
        <f t="shared" si="105"/>
        <v>0.79406631762652702</v>
      </c>
      <c r="AB462" s="158">
        <f t="shared" si="105"/>
        <v>0.18848167539267016</v>
      </c>
      <c r="AC462" s="158">
        <f t="shared" si="105"/>
        <v>1.7452006980802792E-2</v>
      </c>
      <c r="AE462" s="148"/>
      <c r="AF462" s="161">
        <f t="shared" si="106"/>
        <v>292002.59746962687</v>
      </c>
      <c r="AG462" s="161">
        <f t="shared" si="114"/>
        <v>231869.42731008763</v>
      </c>
      <c r="AH462" s="162">
        <f t="shared" si="115"/>
        <v>9.1282124274007987</v>
      </c>
      <c r="AI462" s="159"/>
      <c r="AJ462" s="157"/>
      <c r="AK462" s="157">
        <f t="shared" si="116"/>
        <v>8.6718018060307589</v>
      </c>
      <c r="AN462" s="161">
        <f t="shared" si="117"/>
        <v>87600.779240888063</v>
      </c>
    </row>
    <row r="463" spans="1:40">
      <c r="A463" s="156">
        <f>'BD Plant List'!A462</f>
        <v>53693</v>
      </c>
      <c r="B463" s="148">
        <f t="shared" si="108"/>
        <v>40</v>
      </c>
      <c r="C463" s="148">
        <f t="shared" si="108"/>
        <v>10</v>
      </c>
      <c r="D463" s="148">
        <f t="shared" si="108"/>
        <v>56</v>
      </c>
      <c r="E463" s="148">
        <f t="shared" si="108"/>
        <v>70</v>
      </c>
      <c r="F463" s="148">
        <f t="shared" si="108"/>
        <v>9</v>
      </c>
      <c r="G463" s="148">
        <f t="shared" si="108"/>
        <v>50</v>
      </c>
      <c r="H463" s="148">
        <f t="shared" si="107"/>
        <v>39</v>
      </c>
      <c r="I463" s="148">
        <f t="shared" si="107"/>
        <v>39</v>
      </c>
      <c r="J463" s="148">
        <f t="shared" si="107"/>
        <v>100</v>
      </c>
      <c r="K463" s="148">
        <f t="shared" si="107"/>
        <v>26</v>
      </c>
      <c r="L463" s="148">
        <f t="shared" si="107"/>
        <v>7</v>
      </c>
      <c r="M463" s="148">
        <f t="shared" si="107"/>
        <v>12</v>
      </c>
      <c r="N463" s="148">
        <f t="shared" si="107"/>
        <v>10</v>
      </c>
      <c r="O463" s="148">
        <f t="shared" si="107"/>
        <v>105</v>
      </c>
      <c r="P463" s="148">
        <f t="shared" si="103"/>
        <v>573</v>
      </c>
      <c r="R463" s="163">
        <f>Ethanol!AM14</f>
        <v>114580.57476012617</v>
      </c>
      <c r="S463" s="157">
        <f t="shared" si="109"/>
        <v>30.268750434382532</v>
      </c>
      <c r="T463" s="154">
        <f t="shared" si="110"/>
        <v>0.62197229682765431</v>
      </c>
      <c r="V463" s="149">
        <f t="shared" si="111"/>
        <v>455</v>
      </c>
      <c r="W463" s="149">
        <f t="shared" si="112"/>
        <v>108</v>
      </c>
      <c r="X463" s="149">
        <f t="shared" si="113"/>
        <v>10</v>
      </c>
      <c r="Y463" s="149">
        <f t="shared" si="104"/>
        <v>573</v>
      </c>
      <c r="AA463" s="158">
        <f t="shared" si="105"/>
        <v>0.79406631762652702</v>
      </c>
      <c r="AB463" s="158">
        <f t="shared" si="105"/>
        <v>0.18848167539267016</v>
      </c>
      <c r="AC463" s="158">
        <f t="shared" si="105"/>
        <v>1.7452006980802792E-2</v>
      </c>
      <c r="AE463" s="148"/>
      <c r="AF463" s="161">
        <f t="shared" si="106"/>
        <v>301728.84686833224</v>
      </c>
      <c r="AG463" s="161">
        <f t="shared" si="114"/>
        <v>239592.71435443484</v>
      </c>
      <c r="AH463" s="162">
        <f t="shared" si="115"/>
        <v>9.4322620194339546</v>
      </c>
      <c r="AI463" s="159"/>
      <c r="AJ463" s="157"/>
      <c r="AK463" s="157">
        <f t="shared" si="116"/>
        <v>8.9606489184622564</v>
      </c>
      <c r="AN463" s="161">
        <f t="shared" si="117"/>
        <v>90518.65406049967</v>
      </c>
    </row>
    <row r="464" spans="1:40">
      <c r="A464" s="156">
        <f>'BD Plant List'!A463</f>
        <v>53724</v>
      </c>
      <c r="B464" s="148">
        <f t="shared" si="108"/>
        <v>40</v>
      </c>
      <c r="C464" s="148">
        <f t="shared" si="108"/>
        <v>10</v>
      </c>
      <c r="D464" s="148">
        <f t="shared" si="108"/>
        <v>56</v>
      </c>
      <c r="E464" s="148">
        <f t="shared" si="108"/>
        <v>70</v>
      </c>
      <c r="F464" s="148">
        <f t="shared" si="108"/>
        <v>9</v>
      </c>
      <c r="G464" s="148">
        <f t="shared" si="108"/>
        <v>50</v>
      </c>
      <c r="H464" s="148">
        <f t="shared" si="107"/>
        <v>39</v>
      </c>
      <c r="I464" s="148">
        <f t="shared" si="107"/>
        <v>39</v>
      </c>
      <c r="J464" s="148">
        <f t="shared" si="107"/>
        <v>100</v>
      </c>
      <c r="K464" s="148">
        <f t="shared" si="107"/>
        <v>26</v>
      </c>
      <c r="L464" s="148">
        <f t="shared" si="107"/>
        <v>7</v>
      </c>
      <c r="M464" s="148">
        <f t="shared" si="107"/>
        <v>12</v>
      </c>
      <c r="N464" s="148">
        <f t="shared" si="107"/>
        <v>10</v>
      </c>
      <c r="O464" s="148">
        <f t="shared" si="107"/>
        <v>105</v>
      </c>
      <c r="P464" s="148">
        <f t="shared" si="103"/>
        <v>573</v>
      </c>
      <c r="R464" s="163">
        <f>Ethanol!AM15</f>
        <v>108755.57251863877</v>
      </c>
      <c r="S464" s="157">
        <f t="shared" si="109"/>
        <v>28.729959592248804</v>
      </c>
      <c r="T464" s="154">
        <f t="shared" si="110"/>
        <v>0.59035271357151453</v>
      </c>
      <c r="V464" s="149">
        <f t="shared" si="111"/>
        <v>455</v>
      </c>
      <c r="W464" s="149">
        <f t="shared" si="112"/>
        <v>108</v>
      </c>
      <c r="X464" s="149">
        <f t="shared" si="113"/>
        <v>10</v>
      </c>
      <c r="Y464" s="149">
        <f t="shared" si="104"/>
        <v>573</v>
      </c>
      <c r="AA464" s="158">
        <f t="shared" si="105"/>
        <v>0.79406631762652702</v>
      </c>
      <c r="AB464" s="158">
        <f t="shared" si="105"/>
        <v>0.18848167539267016</v>
      </c>
      <c r="AC464" s="158">
        <f t="shared" si="105"/>
        <v>1.7452006980802792E-2</v>
      </c>
      <c r="AE464" s="148"/>
      <c r="AF464" s="161">
        <f t="shared" si="106"/>
        <v>286389.67429908214</v>
      </c>
      <c r="AG464" s="161">
        <f t="shared" si="114"/>
        <v>227412.39407693257</v>
      </c>
      <c r="AH464" s="162">
        <f t="shared" si="115"/>
        <v>8.9527483887812735</v>
      </c>
      <c r="AI464" s="159"/>
      <c r="AJ464" s="157"/>
      <c r="AK464" s="157">
        <f t="shared" si="116"/>
        <v>8.5051109693422102</v>
      </c>
      <c r="AN464" s="161">
        <f t="shared" si="117"/>
        <v>85916.902289724632</v>
      </c>
    </row>
    <row r="465" spans="1:40">
      <c r="A465" s="156">
        <f>'BD Plant List'!A464</f>
        <v>53752</v>
      </c>
      <c r="B465" s="148">
        <f t="shared" si="108"/>
        <v>40</v>
      </c>
      <c r="C465" s="148">
        <f t="shared" si="108"/>
        <v>10</v>
      </c>
      <c r="D465" s="148">
        <f t="shared" si="108"/>
        <v>56</v>
      </c>
      <c r="E465" s="148">
        <f t="shared" si="108"/>
        <v>70</v>
      </c>
      <c r="F465" s="148">
        <f t="shared" si="108"/>
        <v>9</v>
      </c>
      <c r="G465" s="148">
        <f t="shared" si="108"/>
        <v>50</v>
      </c>
      <c r="H465" s="148">
        <f t="shared" si="107"/>
        <v>39</v>
      </c>
      <c r="I465" s="148">
        <f t="shared" si="107"/>
        <v>39</v>
      </c>
      <c r="J465" s="148">
        <f t="shared" si="107"/>
        <v>100</v>
      </c>
      <c r="K465" s="148">
        <f t="shared" si="107"/>
        <v>26</v>
      </c>
      <c r="L465" s="148">
        <f t="shared" si="107"/>
        <v>7</v>
      </c>
      <c r="M465" s="148">
        <f t="shared" si="107"/>
        <v>12</v>
      </c>
      <c r="N465" s="148">
        <f t="shared" si="107"/>
        <v>10</v>
      </c>
      <c r="O465" s="148">
        <f t="shared" si="107"/>
        <v>105</v>
      </c>
      <c r="P465" s="148">
        <f t="shared" si="103"/>
        <v>573</v>
      </c>
      <c r="R465" s="163">
        <f>Ethanol!AM16</f>
        <v>118141.20613934257</v>
      </c>
      <c r="S465" s="157">
        <f t="shared" si="109"/>
        <v>31.209362425830129</v>
      </c>
      <c r="T465" s="154">
        <f t="shared" si="110"/>
        <v>0.71001104995188202</v>
      </c>
      <c r="V465" s="149">
        <f t="shared" si="111"/>
        <v>455</v>
      </c>
      <c r="W465" s="149">
        <f t="shared" si="112"/>
        <v>108</v>
      </c>
      <c r="X465" s="149">
        <f t="shared" si="113"/>
        <v>10</v>
      </c>
      <c r="Y465" s="149">
        <f t="shared" si="104"/>
        <v>573</v>
      </c>
      <c r="AA465" s="158">
        <f t="shared" si="105"/>
        <v>0.79406631762652702</v>
      </c>
      <c r="AB465" s="158">
        <f t="shared" si="105"/>
        <v>0.18848167539267016</v>
      </c>
      <c r="AC465" s="158">
        <f t="shared" si="105"/>
        <v>1.7452006980802792E-2</v>
      </c>
      <c r="AE465" s="148"/>
      <c r="AF465" s="161">
        <f t="shared" si="106"/>
        <v>311105.17616693547</v>
      </c>
      <c r="AG465" s="161">
        <f t="shared" si="114"/>
        <v>247038.14163343044</v>
      </c>
      <c r="AH465" s="162">
        <f t="shared" si="115"/>
        <v>9.7253728560107255</v>
      </c>
      <c r="AI465" s="159"/>
      <c r="AJ465" s="157"/>
      <c r="AK465" s="157">
        <f t="shared" si="116"/>
        <v>9.2391042132101884</v>
      </c>
      <c r="AN465" s="161">
        <f t="shared" si="117"/>
        <v>93331.552850080639</v>
      </c>
    </row>
    <row r="466" spans="1:40">
      <c r="A466" s="156">
        <f>'BD Plant List'!A465</f>
        <v>53783</v>
      </c>
      <c r="B466" s="148">
        <f t="shared" si="108"/>
        <v>40</v>
      </c>
      <c r="C466" s="148">
        <f t="shared" si="108"/>
        <v>10</v>
      </c>
      <c r="D466" s="148">
        <f t="shared" si="108"/>
        <v>56</v>
      </c>
      <c r="E466" s="148">
        <f t="shared" si="108"/>
        <v>70</v>
      </c>
      <c r="F466" s="148">
        <f t="shared" si="108"/>
        <v>9</v>
      </c>
      <c r="G466" s="148">
        <f t="shared" si="108"/>
        <v>50</v>
      </c>
      <c r="H466" s="148">
        <f t="shared" si="107"/>
        <v>39</v>
      </c>
      <c r="I466" s="148">
        <f t="shared" si="107"/>
        <v>39</v>
      </c>
      <c r="J466" s="148">
        <f t="shared" si="107"/>
        <v>100</v>
      </c>
      <c r="K466" s="148">
        <f t="shared" si="107"/>
        <v>26</v>
      </c>
      <c r="L466" s="148">
        <f t="shared" si="107"/>
        <v>7</v>
      </c>
      <c r="M466" s="148">
        <f t="shared" si="107"/>
        <v>12</v>
      </c>
      <c r="N466" s="148">
        <f t="shared" si="107"/>
        <v>10</v>
      </c>
      <c r="O466" s="148">
        <f t="shared" si="107"/>
        <v>105</v>
      </c>
      <c r="P466" s="148">
        <f t="shared" si="103"/>
        <v>573</v>
      </c>
      <c r="R466" s="163">
        <f>Ethanol!AM17</f>
        <v>106478.60572339817</v>
      </c>
      <c r="S466" s="157">
        <f t="shared" si="109"/>
        <v>28.128453273950097</v>
      </c>
      <c r="T466" s="154">
        <f t="shared" si="110"/>
        <v>0.57799276276483613</v>
      </c>
      <c r="V466" s="149">
        <f t="shared" si="111"/>
        <v>455</v>
      </c>
      <c r="W466" s="149">
        <f t="shared" si="112"/>
        <v>108</v>
      </c>
      <c r="X466" s="149">
        <f t="shared" si="113"/>
        <v>10</v>
      </c>
      <c r="Y466" s="149">
        <f t="shared" si="104"/>
        <v>573</v>
      </c>
      <c r="AA466" s="158">
        <f t="shared" si="105"/>
        <v>0.79406631762652702</v>
      </c>
      <c r="AB466" s="158">
        <f t="shared" si="105"/>
        <v>0.18848167539267016</v>
      </c>
      <c r="AC466" s="158">
        <f t="shared" si="105"/>
        <v>1.7452006980802792E-2</v>
      </c>
      <c r="AE466" s="148"/>
      <c r="AF466" s="161">
        <f t="shared" si="106"/>
        <v>280393.66173828189</v>
      </c>
      <c r="AG466" s="161">
        <f t="shared" si="114"/>
        <v>222651.16246233552</v>
      </c>
      <c r="AH466" s="162">
        <f t="shared" si="115"/>
        <v>8.7653086987009772</v>
      </c>
      <c r="AI466" s="159"/>
      <c r="AJ466" s="157"/>
      <c r="AK466" s="157">
        <f t="shared" si="116"/>
        <v>8.327043263765928</v>
      </c>
      <c r="AN466" s="161">
        <f t="shared" si="117"/>
        <v>84118.098521484557</v>
      </c>
    </row>
    <row r="467" spans="1:40">
      <c r="A467" s="156">
        <f>'BD Plant List'!A466</f>
        <v>53813</v>
      </c>
      <c r="B467" s="148">
        <f t="shared" si="108"/>
        <v>40</v>
      </c>
      <c r="C467" s="148">
        <f t="shared" si="108"/>
        <v>10</v>
      </c>
      <c r="D467" s="148">
        <f t="shared" si="108"/>
        <v>56</v>
      </c>
      <c r="E467" s="148">
        <f t="shared" si="108"/>
        <v>70</v>
      </c>
      <c r="F467" s="148">
        <f t="shared" si="108"/>
        <v>9</v>
      </c>
      <c r="G467" s="148">
        <f t="shared" si="108"/>
        <v>50</v>
      </c>
      <c r="H467" s="148">
        <f t="shared" si="107"/>
        <v>39</v>
      </c>
      <c r="I467" s="148">
        <f t="shared" si="107"/>
        <v>39</v>
      </c>
      <c r="J467" s="148">
        <f t="shared" si="107"/>
        <v>100</v>
      </c>
      <c r="K467" s="148">
        <f t="shared" si="107"/>
        <v>26</v>
      </c>
      <c r="L467" s="148">
        <f t="shared" si="107"/>
        <v>7</v>
      </c>
      <c r="M467" s="148">
        <f t="shared" si="107"/>
        <v>12</v>
      </c>
      <c r="N467" s="148">
        <f t="shared" si="107"/>
        <v>10</v>
      </c>
      <c r="O467" s="148">
        <f t="shared" si="107"/>
        <v>105</v>
      </c>
      <c r="P467" s="148">
        <f t="shared" si="103"/>
        <v>573</v>
      </c>
      <c r="R467" s="163">
        <f>Ethanol!AM18</f>
        <v>109812.7337178341</v>
      </c>
      <c r="S467" s="157">
        <f t="shared" si="109"/>
        <v>29.009229866240236</v>
      </c>
      <c r="T467" s="154">
        <f t="shared" si="110"/>
        <v>0.61596095992889388</v>
      </c>
      <c r="V467" s="149">
        <f t="shared" si="111"/>
        <v>455</v>
      </c>
      <c r="W467" s="149">
        <f t="shared" si="112"/>
        <v>108</v>
      </c>
      <c r="X467" s="149">
        <f t="shared" si="113"/>
        <v>10</v>
      </c>
      <c r="Y467" s="149">
        <f t="shared" si="104"/>
        <v>573</v>
      </c>
      <c r="AA467" s="158">
        <f t="shared" si="105"/>
        <v>0.79406631762652702</v>
      </c>
      <c r="AB467" s="158">
        <f t="shared" si="105"/>
        <v>0.18848167539267016</v>
      </c>
      <c r="AC467" s="158">
        <f t="shared" si="105"/>
        <v>1.7452006980802792E-2</v>
      </c>
      <c r="AE467" s="148"/>
      <c r="AF467" s="161">
        <f t="shared" si="106"/>
        <v>289173.53212362982</v>
      </c>
      <c r="AG467" s="161">
        <f t="shared" si="114"/>
        <v>229622.96180846696</v>
      </c>
      <c r="AH467" s="162">
        <f t="shared" si="115"/>
        <v>9.0397737981795458</v>
      </c>
      <c r="AI467" s="159"/>
      <c r="AJ467" s="157"/>
      <c r="AK467" s="157">
        <f t="shared" si="116"/>
        <v>8.5877851082705678</v>
      </c>
      <c r="AN467" s="161">
        <f t="shared" si="117"/>
        <v>86752.05963708894</v>
      </c>
    </row>
    <row r="468" spans="1:40">
      <c r="A468" s="156">
        <f>'BD Plant List'!A467</f>
        <v>53844</v>
      </c>
      <c r="B468" s="148">
        <f t="shared" si="108"/>
        <v>40</v>
      </c>
      <c r="C468" s="148">
        <f t="shared" si="108"/>
        <v>10</v>
      </c>
      <c r="D468" s="148">
        <f t="shared" si="108"/>
        <v>56</v>
      </c>
      <c r="E468" s="148">
        <f t="shared" si="108"/>
        <v>70</v>
      </c>
      <c r="F468" s="148">
        <f t="shared" si="108"/>
        <v>9</v>
      </c>
      <c r="G468" s="148">
        <f t="shared" si="108"/>
        <v>50</v>
      </c>
      <c r="H468" s="148">
        <f t="shared" si="107"/>
        <v>39</v>
      </c>
      <c r="I468" s="148">
        <f t="shared" si="107"/>
        <v>39</v>
      </c>
      <c r="J468" s="148">
        <f t="shared" si="107"/>
        <v>100</v>
      </c>
      <c r="K468" s="148">
        <f t="shared" si="107"/>
        <v>26</v>
      </c>
      <c r="L468" s="148">
        <f t="shared" si="107"/>
        <v>7</v>
      </c>
      <c r="M468" s="148">
        <f t="shared" si="107"/>
        <v>12</v>
      </c>
      <c r="N468" s="148">
        <f t="shared" si="107"/>
        <v>10</v>
      </c>
      <c r="O468" s="148">
        <f t="shared" si="107"/>
        <v>105</v>
      </c>
      <c r="P468" s="148">
        <f t="shared" si="103"/>
        <v>573</v>
      </c>
      <c r="R468" s="163">
        <f>Ethanol!AM19</f>
        <v>109179.34217106304</v>
      </c>
      <c r="S468" s="157">
        <f t="shared" si="109"/>
        <v>28.841906821329722</v>
      </c>
      <c r="T468" s="154">
        <f t="shared" si="110"/>
        <v>0.59265304226681015</v>
      </c>
      <c r="V468" s="149">
        <f t="shared" si="111"/>
        <v>455</v>
      </c>
      <c r="W468" s="149">
        <f t="shared" si="112"/>
        <v>108</v>
      </c>
      <c r="X468" s="149">
        <f t="shared" si="113"/>
        <v>10</v>
      </c>
      <c r="Y468" s="149">
        <f t="shared" si="104"/>
        <v>573</v>
      </c>
      <c r="AA468" s="158">
        <f t="shared" si="105"/>
        <v>0.79406631762652702</v>
      </c>
      <c r="AB468" s="158">
        <f t="shared" si="105"/>
        <v>0.18848167539267016</v>
      </c>
      <c r="AC468" s="158">
        <f t="shared" si="105"/>
        <v>1.7452006980802792E-2</v>
      </c>
      <c r="AE468" s="148"/>
      <c r="AF468" s="161">
        <f t="shared" si="106"/>
        <v>287505.60105046601</v>
      </c>
      <c r="AG468" s="161">
        <f t="shared" si="114"/>
        <v>228298.5139231449</v>
      </c>
      <c r="AH468" s="162">
        <f t="shared" si="115"/>
        <v>8.9876330662749755</v>
      </c>
      <c r="AI468" s="159"/>
      <c r="AJ468" s="157"/>
      <c r="AK468" s="157">
        <f t="shared" si="116"/>
        <v>8.5382514129612268</v>
      </c>
      <c r="AN468" s="161">
        <f t="shared" si="117"/>
        <v>86251.680315139805</v>
      </c>
    </row>
    <row r="469" spans="1:40">
      <c r="A469" s="156">
        <f>'BD Plant List'!A468</f>
        <v>53874</v>
      </c>
      <c r="B469" s="148">
        <f t="shared" si="108"/>
        <v>40</v>
      </c>
      <c r="C469" s="148">
        <f t="shared" si="108"/>
        <v>10</v>
      </c>
      <c r="D469" s="148">
        <f t="shared" si="108"/>
        <v>56</v>
      </c>
      <c r="E469" s="148">
        <f t="shared" si="108"/>
        <v>70</v>
      </c>
      <c r="F469" s="148">
        <f t="shared" si="108"/>
        <v>9</v>
      </c>
      <c r="G469" s="148">
        <f t="shared" si="108"/>
        <v>50</v>
      </c>
      <c r="H469" s="148">
        <f t="shared" si="107"/>
        <v>39</v>
      </c>
      <c r="I469" s="148">
        <f t="shared" si="107"/>
        <v>39</v>
      </c>
      <c r="J469" s="148">
        <f t="shared" si="107"/>
        <v>100</v>
      </c>
      <c r="K469" s="148">
        <f t="shared" si="107"/>
        <v>26</v>
      </c>
      <c r="L469" s="148">
        <f t="shared" si="107"/>
        <v>7</v>
      </c>
      <c r="M469" s="148">
        <f t="shared" si="107"/>
        <v>12</v>
      </c>
      <c r="N469" s="148">
        <f t="shared" si="107"/>
        <v>10</v>
      </c>
      <c r="O469" s="148">
        <f t="shared" si="107"/>
        <v>105</v>
      </c>
      <c r="P469" s="148">
        <f t="shared" si="103"/>
        <v>573</v>
      </c>
      <c r="R469" s="163">
        <f>Ethanol!AM20</f>
        <v>119786.66236196042</v>
      </c>
      <c r="S469" s="157">
        <f t="shared" si="109"/>
        <v>31.644042596159085</v>
      </c>
      <c r="T469" s="154">
        <f t="shared" si="110"/>
        <v>0.67190666361827023</v>
      </c>
      <c r="V469" s="149">
        <f t="shared" si="111"/>
        <v>455</v>
      </c>
      <c r="W469" s="149">
        <f t="shared" si="112"/>
        <v>108</v>
      </c>
      <c r="X469" s="149">
        <f t="shared" si="113"/>
        <v>10</v>
      </c>
      <c r="Y469" s="149">
        <f t="shared" si="104"/>
        <v>573</v>
      </c>
      <c r="AA469" s="158">
        <f t="shared" si="105"/>
        <v>0.79406631762652702</v>
      </c>
      <c r="AB469" s="158">
        <f t="shared" si="105"/>
        <v>0.18848167539267016</v>
      </c>
      <c r="AC469" s="158">
        <f t="shared" si="105"/>
        <v>1.7452006980802792E-2</v>
      </c>
      <c r="AE469" s="148"/>
      <c r="AF469" s="161">
        <f t="shared" si="106"/>
        <v>315438.21088649583</v>
      </c>
      <c r="AG469" s="161">
        <f t="shared" si="114"/>
        <v>250478.85855733961</v>
      </c>
      <c r="AH469" s="162">
        <f t="shared" si="115"/>
        <v>9.8608266557994888</v>
      </c>
      <c r="AI469" s="159"/>
      <c r="AJ469" s="157"/>
      <c r="AK469" s="157">
        <f t="shared" si="116"/>
        <v>9.3677853230095138</v>
      </c>
      <c r="AN469" s="161">
        <f t="shared" si="117"/>
        <v>94631.46326594874</v>
      </c>
    </row>
    <row r="470" spans="1:40">
      <c r="A470" s="156">
        <f>'BD Plant List'!A469</f>
        <v>53905</v>
      </c>
      <c r="B470" s="148">
        <f t="shared" si="108"/>
        <v>40</v>
      </c>
      <c r="C470" s="148">
        <f t="shared" si="108"/>
        <v>10</v>
      </c>
      <c r="D470" s="148">
        <f t="shared" si="108"/>
        <v>56</v>
      </c>
      <c r="E470" s="148">
        <f t="shared" si="108"/>
        <v>70</v>
      </c>
      <c r="F470" s="148">
        <f t="shared" si="108"/>
        <v>9</v>
      </c>
      <c r="G470" s="148">
        <f t="shared" si="108"/>
        <v>50</v>
      </c>
      <c r="H470" s="148">
        <f t="shared" si="107"/>
        <v>39</v>
      </c>
      <c r="I470" s="148">
        <f t="shared" si="107"/>
        <v>39</v>
      </c>
      <c r="J470" s="148">
        <f t="shared" si="107"/>
        <v>100</v>
      </c>
      <c r="K470" s="148">
        <f t="shared" si="107"/>
        <v>26</v>
      </c>
      <c r="L470" s="148">
        <f t="shared" si="107"/>
        <v>7</v>
      </c>
      <c r="M470" s="148">
        <f t="shared" si="107"/>
        <v>12</v>
      </c>
      <c r="N470" s="148">
        <f t="shared" si="107"/>
        <v>10</v>
      </c>
      <c r="O470" s="148">
        <f t="shared" si="107"/>
        <v>105</v>
      </c>
      <c r="P470" s="148">
        <f t="shared" si="103"/>
        <v>573</v>
      </c>
      <c r="R470" s="163">
        <f>Ethanol!AM21</f>
        <v>120446.33826843882</v>
      </c>
      <c r="S470" s="157">
        <f t="shared" si="109"/>
        <v>31.818309180373486</v>
      </c>
      <c r="T470" s="154">
        <f t="shared" si="110"/>
        <v>0.65381314253427469</v>
      </c>
      <c r="V470" s="149">
        <f t="shared" si="111"/>
        <v>455</v>
      </c>
      <c r="W470" s="149">
        <f t="shared" si="112"/>
        <v>108</v>
      </c>
      <c r="X470" s="149">
        <f t="shared" si="113"/>
        <v>10</v>
      </c>
      <c r="Y470" s="149">
        <f t="shared" si="104"/>
        <v>573</v>
      </c>
      <c r="AA470" s="158">
        <f t="shared" si="105"/>
        <v>0.79406631762652702</v>
      </c>
      <c r="AB470" s="158">
        <f t="shared" si="105"/>
        <v>0.18848167539267016</v>
      </c>
      <c r="AC470" s="158">
        <f t="shared" si="105"/>
        <v>1.7452006980802792E-2</v>
      </c>
      <c r="AE470" s="148"/>
      <c r="AF470" s="161">
        <f t="shared" si="106"/>
        <v>317175.35744022223</v>
      </c>
      <c r="AG470" s="161">
        <f t="shared" si="114"/>
        <v>251858.26812443475</v>
      </c>
      <c r="AH470" s="162">
        <f t="shared" si="115"/>
        <v>9.915131113695935</v>
      </c>
      <c r="AI470" s="159"/>
      <c r="AJ470" s="157"/>
      <c r="AK470" s="157">
        <f t="shared" si="116"/>
        <v>9.4193745580111372</v>
      </c>
      <c r="AN470" s="161">
        <f t="shared" si="117"/>
        <v>95152.607232066672</v>
      </c>
    </row>
    <row r="471" spans="1:40">
      <c r="A471" s="156">
        <f>'BD Plant List'!A470</f>
        <v>53936</v>
      </c>
      <c r="B471" s="148">
        <f t="shared" si="108"/>
        <v>40</v>
      </c>
      <c r="C471" s="148">
        <f t="shared" si="108"/>
        <v>10</v>
      </c>
      <c r="D471" s="148">
        <f t="shared" si="108"/>
        <v>56</v>
      </c>
      <c r="E471" s="148">
        <f t="shared" si="108"/>
        <v>70</v>
      </c>
      <c r="F471" s="148">
        <f t="shared" si="108"/>
        <v>9</v>
      </c>
      <c r="G471" s="148">
        <f t="shared" si="108"/>
        <v>50</v>
      </c>
      <c r="H471" s="148">
        <f t="shared" si="107"/>
        <v>39</v>
      </c>
      <c r="I471" s="148">
        <f t="shared" si="107"/>
        <v>39</v>
      </c>
      <c r="J471" s="148">
        <f t="shared" si="107"/>
        <v>100</v>
      </c>
      <c r="K471" s="148">
        <f t="shared" si="107"/>
        <v>26</v>
      </c>
      <c r="L471" s="148">
        <f t="shared" si="107"/>
        <v>7</v>
      </c>
      <c r="M471" s="148">
        <f t="shared" si="107"/>
        <v>12</v>
      </c>
      <c r="N471" s="148">
        <f t="shared" si="107"/>
        <v>10</v>
      </c>
      <c r="O471" s="148">
        <f t="shared" si="107"/>
        <v>105</v>
      </c>
      <c r="P471" s="148">
        <f t="shared" si="103"/>
        <v>573</v>
      </c>
      <c r="R471" s="163">
        <f>Ethanol!AM22</f>
        <v>105749.38909478817</v>
      </c>
      <c r="S471" s="157">
        <f t="shared" si="109"/>
        <v>27.935816117170191</v>
      </c>
      <c r="T471" s="154">
        <f t="shared" si="110"/>
        <v>0.57403439074295548</v>
      </c>
      <c r="V471" s="149">
        <f t="shared" si="111"/>
        <v>455</v>
      </c>
      <c r="W471" s="149">
        <f t="shared" si="112"/>
        <v>108</v>
      </c>
      <c r="X471" s="149">
        <f t="shared" si="113"/>
        <v>10</v>
      </c>
      <c r="Y471" s="149">
        <f t="shared" si="104"/>
        <v>573</v>
      </c>
      <c r="AA471" s="158">
        <f t="shared" si="105"/>
        <v>0.79406631762652702</v>
      </c>
      <c r="AB471" s="158">
        <f t="shared" si="105"/>
        <v>0.18848167539267016</v>
      </c>
      <c r="AC471" s="158">
        <f t="shared" si="105"/>
        <v>1.7452006980802792E-2</v>
      </c>
      <c r="AE471" s="148"/>
      <c r="AF471" s="161">
        <f t="shared" si="106"/>
        <v>278473.39128294226</v>
      </c>
      <c r="AG471" s="161">
        <f t="shared" si="114"/>
        <v>221126.34037301698</v>
      </c>
      <c r="AH471" s="162">
        <f t="shared" si="115"/>
        <v>8.7052796551708944</v>
      </c>
      <c r="AI471" s="159"/>
      <c r="AJ471" s="157"/>
      <c r="AK471" s="157">
        <f t="shared" si="116"/>
        <v>8.2700156724123488</v>
      </c>
      <c r="AN471" s="161">
        <f t="shared" si="117"/>
        <v>83542.017384882667</v>
      </c>
    </row>
    <row r="472" spans="1:40">
      <c r="A472" s="156">
        <f>'BD Plant List'!A471</f>
        <v>53966</v>
      </c>
      <c r="B472" s="148">
        <f t="shared" si="108"/>
        <v>40</v>
      </c>
      <c r="C472" s="148">
        <f t="shared" si="108"/>
        <v>10</v>
      </c>
      <c r="D472" s="148">
        <f t="shared" si="108"/>
        <v>56</v>
      </c>
      <c r="E472" s="148">
        <f t="shared" si="108"/>
        <v>70</v>
      </c>
      <c r="F472" s="148">
        <f t="shared" si="108"/>
        <v>9</v>
      </c>
      <c r="G472" s="148">
        <f t="shared" si="108"/>
        <v>50</v>
      </c>
      <c r="H472" s="148">
        <f t="shared" si="107"/>
        <v>39</v>
      </c>
      <c r="I472" s="148">
        <f t="shared" si="107"/>
        <v>39</v>
      </c>
      <c r="J472" s="148">
        <f t="shared" si="107"/>
        <v>100</v>
      </c>
      <c r="K472" s="148">
        <f t="shared" si="107"/>
        <v>26</v>
      </c>
      <c r="L472" s="148">
        <f t="shared" si="107"/>
        <v>7</v>
      </c>
      <c r="M472" s="148">
        <f t="shared" si="107"/>
        <v>12</v>
      </c>
      <c r="N472" s="148">
        <f t="shared" si="107"/>
        <v>10</v>
      </c>
      <c r="O472" s="148">
        <f t="shared" si="107"/>
        <v>105</v>
      </c>
      <c r="P472" s="148">
        <f t="shared" si="103"/>
        <v>573</v>
      </c>
      <c r="R472" s="163">
        <f>Ethanol!AM23</f>
        <v>105165.00464620737</v>
      </c>
      <c r="S472" s="157">
        <f t="shared" si="109"/>
        <v>27.781439277388603</v>
      </c>
      <c r="T472" s="154">
        <f t="shared" si="110"/>
        <v>0.58989094451697732</v>
      </c>
      <c r="V472" s="149">
        <f t="shared" si="111"/>
        <v>455</v>
      </c>
      <c r="W472" s="149">
        <f t="shared" si="112"/>
        <v>108</v>
      </c>
      <c r="X472" s="149">
        <f t="shared" si="113"/>
        <v>10</v>
      </c>
      <c r="Y472" s="149">
        <f t="shared" si="104"/>
        <v>573</v>
      </c>
      <c r="AA472" s="158">
        <f t="shared" si="105"/>
        <v>0.79406631762652702</v>
      </c>
      <c r="AB472" s="158">
        <f t="shared" si="105"/>
        <v>0.18848167539267016</v>
      </c>
      <c r="AC472" s="158">
        <f t="shared" si="105"/>
        <v>1.7452006980802792E-2</v>
      </c>
      <c r="AE472" s="148"/>
      <c r="AF472" s="161">
        <f t="shared" si="106"/>
        <v>276934.51223501278</v>
      </c>
      <c r="AG472" s="161">
        <f t="shared" si="114"/>
        <v>219904.36835415498</v>
      </c>
      <c r="AH472" s="162">
        <f t="shared" si="115"/>
        <v>8.6571731829295384</v>
      </c>
      <c r="AI472" s="159"/>
      <c r="AJ472" s="157"/>
      <c r="AK472" s="157">
        <f t="shared" si="116"/>
        <v>8.224314523783061</v>
      </c>
      <c r="AN472" s="161">
        <f t="shared" si="117"/>
        <v>83080.353670503828</v>
      </c>
    </row>
    <row r="473" spans="1:40">
      <c r="A473" s="156">
        <f>'BD Plant List'!A472</f>
        <v>53997</v>
      </c>
      <c r="B473" s="148">
        <f t="shared" si="108"/>
        <v>40</v>
      </c>
      <c r="C473" s="148">
        <f t="shared" si="108"/>
        <v>10</v>
      </c>
      <c r="D473" s="148">
        <f t="shared" si="108"/>
        <v>56</v>
      </c>
      <c r="E473" s="148">
        <f t="shared" si="108"/>
        <v>70</v>
      </c>
      <c r="F473" s="148">
        <f t="shared" si="108"/>
        <v>9</v>
      </c>
      <c r="G473" s="148">
        <f t="shared" si="108"/>
        <v>50</v>
      </c>
      <c r="H473" s="148">
        <f t="shared" si="107"/>
        <v>39</v>
      </c>
      <c r="I473" s="148">
        <f t="shared" si="107"/>
        <v>39</v>
      </c>
      <c r="J473" s="148">
        <f t="shared" si="107"/>
        <v>100</v>
      </c>
      <c r="K473" s="148">
        <f t="shared" si="107"/>
        <v>26</v>
      </c>
      <c r="L473" s="148">
        <f t="shared" si="107"/>
        <v>7</v>
      </c>
      <c r="M473" s="148">
        <f t="shared" si="107"/>
        <v>12</v>
      </c>
      <c r="N473" s="148">
        <f t="shared" si="107"/>
        <v>10</v>
      </c>
      <c r="O473" s="148">
        <f t="shared" si="107"/>
        <v>105</v>
      </c>
      <c r="P473" s="148">
        <f t="shared" si="103"/>
        <v>573</v>
      </c>
      <c r="R473" s="163">
        <f>Ethanol!AM24</f>
        <v>117743.8829266035</v>
      </c>
      <c r="S473" s="157">
        <f t="shared" si="109"/>
        <v>31.104401552720848</v>
      </c>
      <c r="T473" s="154">
        <f t="shared" si="110"/>
        <v>0.63914353244064115</v>
      </c>
      <c r="V473" s="149">
        <f t="shared" si="111"/>
        <v>455</v>
      </c>
      <c r="W473" s="149">
        <f t="shared" si="112"/>
        <v>108</v>
      </c>
      <c r="X473" s="149">
        <f t="shared" si="113"/>
        <v>10</v>
      </c>
      <c r="Y473" s="149">
        <f t="shared" si="104"/>
        <v>573</v>
      </c>
      <c r="AA473" s="158">
        <f t="shared" si="105"/>
        <v>0.79406631762652702</v>
      </c>
      <c r="AB473" s="158">
        <f t="shared" si="105"/>
        <v>0.18848167539267016</v>
      </c>
      <c r="AC473" s="158">
        <f t="shared" si="105"/>
        <v>1.7452006980802792E-2</v>
      </c>
      <c r="AE473" s="148"/>
      <c r="AF473" s="161">
        <f t="shared" si="106"/>
        <v>310058.89170672261</v>
      </c>
      <c r="AG473" s="161">
        <f t="shared" si="114"/>
        <v>246207.32238491933</v>
      </c>
      <c r="AH473" s="162">
        <f t="shared" si="115"/>
        <v>9.6926652469172652</v>
      </c>
      <c r="AI473" s="159"/>
      <c r="AJ473" s="157"/>
      <c r="AK473" s="157">
        <f t="shared" si="116"/>
        <v>9.2080319845714023</v>
      </c>
      <c r="AN473" s="161">
        <f t="shared" si="117"/>
        <v>93017.667512016778</v>
      </c>
    </row>
    <row r="474" spans="1:40">
      <c r="A474" s="156">
        <f>'BD Plant List'!A473</f>
        <v>54027</v>
      </c>
      <c r="B474" s="148">
        <f t="shared" si="108"/>
        <v>40</v>
      </c>
      <c r="C474" s="148">
        <f t="shared" si="108"/>
        <v>10</v>
      </c>
      <c r="D474" s="148">
        <f t="shared" si="108"/>
        <v>56</v>
      </c>
      <c r="E474" s="148">
        <f t="shared" si="108"/>
        <v>70</v>
      </c>
      <c r="F474" s="148">
        <f t="shared" si="108"/>
        <v>9</v>
      </c>
      <c r="G474" s="148">
        <f t="shared" si="108"/>
        <v>50</v>
      </c>
      <c r="H474" s="148">
        <f t="shared" si="107"/>
        <v>39</v>
      </c>
      <c r="I474" s="148">
        <f t="shared" si="107"/>
        <v>39</v>
      </c>
      <c r="J474" s="148">
        <f t="shared" si="107"/>
        <v>100</v>
      </c>
      <c r="K474" s="148">
        <f t="shared" si="107"/>
        <v>26</v>
      </c>
      <c r="L474" s="148">
        <f t="shared" si="107"/>
        <v>7</v>
      </c>
      <c r="M474" s="148">
        <f t="shared" si="107"/>
        <v>12</v>
      </c>
      <c r="N474" s="148">
        <f t="shared" si="107"/>
        <v>10</v>
      </c>
      <c r="O474" s="148">
        <f t="shared" si="107"/>
        <v>105</v>
      </c>
      <c r="P474" s="148">
        <f t="shared" si="103"/>
        <v>573</v>
      </c>
      <c r="R474" s="163">
        <f>Ethanol!AM25</f>
        <v>110035.46929641417</v>
      </c>
      <c r="S474" s="157">
        <f t="shared" si="109"/>
        <v>29.068069924033736</v>
      </c>
      <c r="T474" s="154">
        <f t="shared" si="110"/>
        <v>0.61721032706645218</v>
      </c>
      <c r="V474" s="149">
        <f t="shared" si="111"/>
        <v>455</v>
      </c>
      <c r="W474" s="149">
        <f t="shared" si="112"/>
        <v>108</v>
      </c>
      <c r="X474" s="149">
        <f t="shared" si="113"/>
        <v>10</v>
      </c>
      <c r="Y474" s="149">
        <f t="shared" si="104"/>
        <v>573</v>
      </c>
      <c r="AA474" s="158">
        <f t="shared" si="105"/>
        <v>0.79406631762652702</v>
      </c>
      <c r="AB474" s="158">
        <f t="shared" si="105"/>
        <v>0.18848167539267016</v>
      </c>
      <c r="AC474" s="158">
        <f t="shared" si="105"/>
        <v>1.7452006980802792E-2</v>
      </c>
      <c r="AE474" s="148"/>
      <c r="AF474" s="161">
        <f t="shared" si="106"/>
        <v>289760.06914722401</v>
      </c>
      <c r="AG474" s="161">
        <f t="shared" si="114"/>
        <v>230088.71110294401</v>
      </c>
      <c r="AH474" s="162">
        <f t="shared" si="115"/>
        <v>9.0581093698295891</v>
      </c>
      <c r="AI474" s="159"/>
      <c r="AJ474" s="157"/>
      <c r="AK474" s="157">
        <f t="shared" si="116"/>
        <v>8.6052039013381094</v>
      </c>
      <c r="AN474" s="161">
        <f t="shared" si="117"/>
        <v>86928.020744167196</v>
      </c>
    </row>
    <row r="475" spans="1:40">
      <c r="A475" s="156">
        <f>'BD Plant List'!A474</f>
        <v>54058</v>
      </c>
      <c r="B475" s="148">
        <f t="shared" si="108"/>
        <v>40</v>
      </c>
      <c r="C475" s="148">
        <f t="shared" si="108"/>
        <v>10</v>
      </c>
      <c r="D475" s="148">
        <f t="shared" si="108"/>
        <v>56</v>
      </c>
      <c r="E475" s="148">
        <f t="shared" si="108"/>
        <v>70</v>
      </c>
      <c r="F475" s="148">
        <f t="shared" si="108"/>
        <v>9</v>
      </c>
      <c r="G475" s="148">
        <f t="shared" si="108"/>
        <v>50</v>
      </c>
      <c r="H475" s="148">
        <f t="shared" si="107"/>
        <v>39</v>
      </c>
      <c r="I475" s="148">
        <f t="shared" si="107"/>
        <v>39</v>
      </c>
      <c r="J475" s="148">
        <f t="shared" si="107"/>
        <v>100</v>
      </c>
      <c r="K475" s="148">
        <f t="shared" si="107"/>
        <v>26</v>
      </c>
      <c r="L475" s="148">
        <f t="shared" si="107"/>
        <v>7</v>
      </c>
      <c r="M475" s="148">
        <f t="shared" si="107"/>
        <v>12</v>
      </c>
      <c r="N475" s="148">
        <f t="shared" si="107"/>
        <v>10</v>
      </c>
      <c r="O475" s="148">
        <f t="shared" si="107"/>
        <v>105</v>
      </c>
      <c r="P475" s="148">
        <f t="shared" si="103"/>
        <v>573</v>
      </c>
      <c r="R475" s="163">
        <f>Ethanol!AN14</f>
        <v>113865.70870884314</v>
      </c>
      <c r="S475" s="157">
        <f t="shared" si="109"/>
        <v>30.079904269615096</v>
      </c>
      <c r="T475" s="154">
        <f t="shared" si="110"/>
        <v>0.61809182336370594</v>
      </c>
      <c r="V475" s="149">
        <f t="shared" si="111"/>
        <v>455</v>
      </c>
      <c r="W475" s="149">
        <f t="shared" si="112"/>
        <v>108</v>
      </c>
      <c r="X475" s="149">
        <f t="shared" si="113"/>
        <v>10</v>
      </c>
      <c r="Y475" s="149">
        <f t="shared" si="104"/>
        <v>573</v>
      </c>
      <c r="AA475" s="158">
        <f t="shared" si="105"/>
        <v>0.79406631762652702</v>
      </c>
      <c r="AB475" s="158">
        <f t="shared" si="105"/>
        <v>0.18848167539267016</v>
      </c>
      <c r="AC475" s="158">
        <f t="shared" si="105"/>
        <v>1.7452006980802792E-2</v>
      </c>
      <c r="AE475" s="148"/>
      <c r="AF475" s="161">
        <f t="shared" si="106"/>
        <v>299846.36626662029</v>
      </c>
      <c r="AG475" s="161">
        <f t="shared" si="114"/>
        <v>238097.89991503005</v>
      </c>
      <c r="AH475" s="162">
        <f t="shared" si="115"/>
        <v>9.3734143140649113</v>
      </c>
      <c r="AI475" s="159"/>
      <c r="AJ475" s="157"/>
      <c r="AK475" s="157">
        <f t="shared" si="116"/>
        <v>8.9047435983616658</v>
      </c>
      <c r="AN475" s="161">
        <f t="shared" si="117"/>
        <v>89953.90987998608</v>
      </c>
    </row>
    <row r="476" spans="1:40">
      <c r="A476" s="156">
        <f>'BD Plant List'!A475</f>
        <v>54089</v>
      </c>
      <c r="B476" s="148">
        <f t="shared" si="108"/>
        <v>40</v>
      </c>
      <c r="C476" s="148">
        <f t="shared" si="108"/>
        <v>10</v>
      </c>
      <c r="D476" s="148">
        <f t="shared" si="108"/>
        <v>56</v>
      </c>
      <c r="E476" s="148">
        <f t="shared" si="108"/>
        <v>70</v>
      </c>
      <c r="F476" s="148">
        <f t="shared" si="108"/>
        <v>9</v>
      </c>
      <c r="G476" s="148">
        <f t="shared" si="108"/>
        <v>50</v>
      </c>
      <c r="H476" s="148">
        <f t="shared" si="107"/>
        <v>39</v>
      </c>
      <c r="I476" s="148">
        <f t="shared" si="107"/>
        <v>39</v>
      </c>
      <c r="J476" s="148">
        <f t="shared" si="107"/>
        <v>100</v>
      </c>
      <c r="K476" s="148">
        <f t="shared" si="107"/>
        <v>26</v>
      </c>
      <c r="L476" s="148">
        <f t="shared" si="107"/>
        <v>7</v>
      </c>
      <c r="M476" s="148">
        <f t="shared" si="107"/>
        <v>12</v>
      </c>
      <c r="N476" s="148">
        <f t="shared" si="107"/>
        <v>10</v>
      </c>
      <c r="O476" s="148">
        <f t="shared" si="107"/>
        <v>105</v>
      </c>
      <c r="P476" s="148">
        <f t="shared" si="103"/>
        <v>573</v>
      </c>
      <c r="R476" s="163">
        <f>Ethanol!AN15</f>
        <v>108076.81816031376</v>
      </c>
      <c r="S476" s="157">
        <f t="shared" si="109"/>
        <v>28.550653053410091</v>
      </c>
      <c r="T476" s="154">
        <f t="shared" si="110"/>
        <v>0.58666826349685763</v>
      </c>
      <c r="V476" s="149">
        <f t="shared" si="111"/>
        <v>455</v>
      </c>
      <c r="W476" s="149">
        <f t="shared" si="112"/>
        <v>108</v>
      </c>
      <c r="X476" s="149">
        <f t="shared" si="113"/>
        <v>10</v>
      </c>
      <c r="Y476" s="149">
        <f t="shared" si="104"/>
        <v>573</v>
      </c>
      <c r="AA476" s="158">
        <f t="shared" si="105"/>
        <v>0.79406631762652702</v>
      </c>
      <c r="AB476" s="158">
        <f t="shared" si="105"/>
        <v>0.18848167539267016</v>
      </c>
      <c r="AC476" s="158">
        <f t="shared" si="105"/>
        <v>1.7452006980802792E-2</v>
      </c>
      <c r="AE476" s="148"/>
      <c r="AF476" s="161">
        <f t="shared" si="106"/>
        <v>284602.28782215965</v>
      </c>
      <c r="AG476" s="161">
        <f t="shared" si="114"/>
        <v>225993.09067902729</v>
      </c>
      <c r="AH476" s="162">
        <f t="shared" si="115"/>
        <v>8.8968733945428777</v>
      </c>
      <c r="AI476" s="159"/>
      <c r="AJ476" s="157"/>
      <c r="AK476" s="157">
        <f t="shared" si="116"/>
        <v>8.4520297248157341</v>
      </c>
      <c r="AN476" s="161">
        <f t="shared" si="117"/>
        <v>85380.686346647883</v>
      </c>
    </row>
    <row r="477" spans="1:40">
      <c r="A477" s="156">
        <f>'BD Plant List'!A476</f>
        <v>54118</v>
      </c>
      <c r="B477" s="148">
        <f t="shared" si="108"/>
        <v>40</v>
      </c>
      <c r="C477" s="148">
        <f t="shared" si="108"/>
        <v>10</v>
      </c>
      <c r="D477" s="148">
        <f t="shared" si="108"/>
        <v>56</v>
      </c>
      <c r="E477" s="148">
        <f t="shared" si="108"/>
        <v>70</v>
      </c>
      <c r="F477" s="148">
        <f t="shared" si="108"/>
        <v>9</v>
      </c>
      <c r="G477" s="148">
        <f t="shared" si="108"/>
        <v>50</v>
      </c>
      <c r="H477" s="148">
        <f t="shared" si="107"/>
        <v>39</v>
      </c>
      <c r="I477" s="148">
        <f t="shared" si="107"/>
        <v>39</v>
      </c>
      <c r="J477" s="148">
        <f t="shared" si="107"/>
        <v>100</v>
      </c>
      <c r="K477" s="148">
        <f t="shared" si="107"/>
        <v>26</v>
      </c>
      <c r="L477" s="148">
        <f t="shared" si="107"/>
        <v>7</v>
      </c>
      <c r="M477" s="148">
        <f t="shared" si="107"/>
        <v>12</v>
      </c>
      <c r="N477" s="148">
        <f t="shared" si="107"/>
        <v>10</v>
      </c>
      <c r="O477" s="148">
        <f t="shared" si="107"/>
        <v>105</v>
      </c>
      <c r="P477" s="148">
        <f t="shared" si="103"/>
        <v>573</v>
      </c>
      <c r="R477" s="163">
        <f>Ethanol!AN16</f>
        <v>117404.18378231909</v>
      </c>
      <c r="S477" s="157">
        <f t="shared" si="109"/>
        <v>31.014663229775234</v>
      </c>
      <c r="T477" s="154">
        <f t="shared" si="110"/>
        <v>0.68125125346741044</v>
      </c>
      <c r="V477" s="149">
        <f t="shared" si="111"/>
        <v>455</v>
      </c>
      <c r="W477" s="149">
        <f t="shared" si="112"/>
        <v>108</v>
      </c>
      <c r="X477" s="149">
        <f t="shared" si="113"/>
        <v>10</v>
      </c>
      <c r="Y477" s="149">
        <f t="shared" si="104"/>
        <v>573</v>
      </c>
      <c r="AA477" s="158">
        <f t="shared" si="105"/>
        <v>0.79406631762652702</v>
      </c>
      <c r="AB477" s="158">
        <f t="shared" si="105"/>
        <v>0.18848167539267016</v>
      </c>
      <c r="AC477" s="158">
        <f t="shared" si="105"/>
        <v>1.7452006980802792E-2</v>
      </c>
      <c r="AE477" s="148"/>
      <c r="AF477" s="161">
        <f t="shared" si="106"/>
        <v>309164.35062677361</v>
      </c>
      <c r="AG477" s="161">
        <f t="shared" si="114"/>
        <v>245496.99744359858</v>
      </c>
      <c r="AH477" s="162">
        <f t="shared" si="115"/>
        <v>9.6647012456598453</v>
      </c>
      <c r="AI477" s="159"/>
      <c r="AJ477" s="157"/>
      <c r="AK477" s="157">
        <f t="shared" si="116"/>
        <v>9.1814661833768518</v>
      </c>
      <c r="AN477" s="161">
        <f t="shared" si="117"/>
        <v>92749.305188032085</v>
      </c>
    </row>
    <row r="478" spans="1:40">
      <c r="A478" s="156">
        <f>'BD Plant List'!A477</f>
        <v>54149</v>
      </c>
      <c r="B478" s="148">
        <f t="shared" si="108"/>
        <v>40</v>
      </c>
      <c r="C478" s="148">
        <f t="shared" si="108"/>
        <v>10</v>
      </c>
      <c r="D478" s="148">
        <f t="shared" si="108"/>
        <v>56</v>
      </c>
      <c r="E478" s="148">
        <f t="shared" si="108"/>
        <v>70</v>
      </c>
      <c r="F478" s="148">
        <f t="shared" si="108"/>
        <v>9</v>
      </c>
      <c r="G478" s="148">
        <f t="shared" si="108"/>
        <v>50</v>
      </c>
      <c r="H478" s="148">
        <f t="shared" si="107"/>
        <v>39</v>
      </c>
      <c r="I478" s="148">
        <f t="shared" si="107"/>
        <v>39</v>
      </c>
      <c r="J478" s="148">
        <f t="shared" si="107"/>
        <v>100</v>
      </c>
      <c r="K478" s="148">
        <f t="shared" si="107"/>
        <v>26</v>
      </c>
      <c r="L478" s="148">
        <f t="shared" si="107"/>
        <v>7</v>
      </c>
      <c r="M478" s="148">
        <f t="shared" si="107"/>
        <v>12</v>
      </c>
      <c r="N478" s="148">
        <f t="shared" si="107"/>
        <v>10</v>
      </c>
      <c r="O478" s="148">
        <f t="shared" si="107"/>
        <v>105</v>
      </c>
      <c r="P478" s="148">
        <f t="shared" si="103"/>
        <v>573</v>
      </c>
      <c r="R478" s="163">
        <f>Ethanol!AN17</f>
        <v>105814.26814684983</v>
      </c>
      <c r="S478" s="157">
        <f t="shared" si="109"/>
        <v>27.952955216353324</v>
      </c>
      <c r="T478" s="154">
        <f t="shared" si="110"/>
        <v>0.57438657062258414</v>
      </c>
      <c r="V478" s="149">
        <f t="shared" si="111"/>
        <v>455</v>
      </c>
      <c r="W478" s="149">
        <f t="shared" si="112"/>
        <v>108</v>
      </c>
      <c r="X478" s="149">
        <f t="shared" si="113"/>
        <v>10</v>
      </c>
      <c r="Y478" s="149">
        <f t="shared" si="104"/>
        <v>573</v>
      </c>
      <c r="AA478" s="158">
        <f t="shared" si="105"/>
        <v>0.79406631762652702</v>
      </c>
      <c r="AB478" s="158">
        <f t="shared" si="105"/>
        <v>0.18848167539267016</v>
      </c>
      <c r="AC478" s="158">
        <f t="shared" si="105"/>
        <v>1.7452006980802792E-2</v>
      </c>
      <c r="AE478" s="148"/>
      <c r="AF478" s="161">
        <f t="shared" si="106"/>
        <v>278644.23945337126</v>
      </c>
      <c r="AG478" s="161">
        <f t="shared" si="114"/>
        <v>221262.00515058276</v>
      </c>
      <c r="AH478" s="162">
        <f t="shared" si="115"/>
        <v>8.7106204925676263</v>
      </c>
      <c r="AI478" s="159"/>
      <c r="AJ478" s="157"/>
      <c r="AK478" s="157">
        <f t="shared" si="116"/>
        <v>8.2750894679392442</v>
      </c>
      <c r="AN478" s="161">
        <f t="shared" si="117"/>
        <v>83593.271836011379</v>
      </c>
    </row>
    <row r="479" spans="1:40">
      <c r="A479" s="156">
        <f>'BD Plant List'!A478</f>
        <v>54179</v>
      </c>
      <c r="B479" s="148">
        <f t="shared" si="108"/>
        <v>40</v>
      </c>
      <c r="C479" s="148">
        <f t="shared" si="108"/>
        <v>10</v>
      </c>
      <c r="D479" s="148">
        <f t="shared" si="108"/>
        <v>56</v>
      </c>
      <c r="E479" s="148">
        <f t="shared" si="108"/>
        <v>70</v>
      </c>
      <c r="F479" s="148">
        <f t="shared" si="108"/>
        <v>9</v>
      </c>
      <c r="G479" s="148">
        <f t="shared" si="108"/>
        <v>50</v>
      </c>
      <c r="H479" s="148">
        <f t="shared" si="107"/>
        <v>39</v>
      </c>
      <c r="I479" s="148">
        <f t="shared" si="107"/>
        <v>39</v>
      </c>
      <c r="J479" s="148">
        <f t="shared" si="107"/>
        <v>100</v>
      </c>
      <c r="K479" s="148">
        <f t="shared" si="107"/>
        <v>26</v>
      </c>
      <c r="L479" s="148">
        <f t="shared" si="107"/>
        <v>7</v>
      </c>
      <c r="M479" s="148">
        <f t="shared" si="107"/>
        <v>12</v>
      </c>
      <c r="N479" s="148">
        <f t="shared" si="107"/>
        <v>10</v>
      </c>
      <c r="O479" s="148">
        <f t="shared" si="107"/>
        <v>105</v>
      </c>
      <c r="P479" s="148">
        <f t="shared" si="103"/>
        <v>573</v>
      </c>
      <c r="R479" s="163">
        <f>Ethanol!AN18</f>
        <v>109127.54619059039</v>
      </c>
      <c r="S479" s="157">
        <f t="shared" si="109"/>
        <v>28.828223877168266</v>
      </c>
      <c r="T479" s="154">
        <f t="shared" si="110"/>
        <v>0.612117609957325</v>
      </c>
      <c r="V479" s="149">
        <f t="shared" si="111"/>
        <v>455</v>
      </c>
      <c r="W479" s="149">
        <f t="shared" si="112"/>
        <v>108</v>
      </c>
      <c r="X479" s="149">
        <f t="shared" si="113"/>
        <v>10</v>
      </c>
      <c r="Y479" s="149">
        <f t="shared" si="104"/>
        <v>573</v>
      </c>
      <c r="AA479" s="158">
        <f t="shared" si="105"/>
        <v>0.79406631762652702</v>
      </c>
      <c r="AB479" s="158">
        <f t="shared" si="105"/>
        <v>0.18848167539267016</v>
      </c>
      <c r="AC479" s="158">
        <f t="shared" si="105"/>
        <v>1.7452006980802792E-2</v>
      </c>
      <c r="AE479" s="148"/>
      <c r="AF479" s="161">
        <f t="shared" si="106"/>
        <v>287369.20496855472</v>
      </c>
      <c r="AG479" s="161">
        <f t="shared" si="114"/>
        <v>228190.20638864292</v>
      </c>
      <c r="AH479" s="162">
        <f t="shared" si="115"/>
        <v>8.9833692260874543</v>
      </c>
      <c r="AI479" s="159"/>
      <c r="AJ479" s="157"/>
      <c r="AK479" s="157">
        <f t="shared" si="116"/>
        <v>8.5342007647830815</v>
      </c>
      <c r="AN479" s="161">
        <f t="shared" si="117"/>
        <v>86210.761490566409</v>
      </c>
    </row>
    <row r="480" spans="1:40">
      <c r="A480" s="156">
        <f>'BD Plant List'!A479</f>
        <v>54210</v>
      </c>
      <c r="B480" s="148">
        <f t="shared" si="108"/>
        <v>40</v>
      </c>
      <c r="C480" s="148">
        <f t="shared" si="108"/>
        <v>10</v>
      </c>
      <c r="D480" s="148">
        <f t="shared" si="108"/>
        <v>56</v>
      </c>
      <c r="E480" s="148">
        <f t="shared" si="108"/>
        <v>70</v>
      </c>
      <c r="F480" s="148">
        <f t="shared" si="108"/>
        <v>9</v>
      </c>
      <c r="G480" s="148">
        <f t="shared" si="108"/>
        <v>50</v>
      </c>
      <c r="H480" s="148">
        <f t="shared" si="107"/>
        <v>39</v>
      </c>
      <c r="I480" s="148">
        <f t="shared" si="107"/>
        <v>39</v>
      </c>
      <c r="J480" s="148">
        <f t="shared" si="107"/>
        <v>100</v>
      </c>
      <c r="K480" s="148">
        <f t="shared" si="107"/>
        <v>26</v>
      </c>
      <c r="L480" s="148">
        <f t="shared" si="107"/>
        <v>7</v>
      </c>
      <c r="M480" s="148">
        <f t="shared" si="107"/>
        <v>12</v>
      </c>
      <c r="N480" s="148">
        <f t="shared" si="107"/>
        <v>10</v>
      </c>
      <c r="O480" s="148">
        <f t="shared" si="107"/>
        <v>105</v>
      </c>
      <c r="P480" s="148">
        <f t="shared" si="103"/>
        <v>573</v>
      </c>
      <c r="R480" s="163">
        <f>Ethanol!AN19</f>
        <v>108498.17090708989</v>
      </c>
      <c r="S480" s="157">
        <f t="shared" si="109"/>
        <v>28.661961808525938</v>
      </c>
      <c r="T480" s="154">
        <f t="shared" si="110"/>
        <v>0.5889554726179117</v>
      </c>
      <c r="V480" s="149">
        <f t="shared" si="111"/>
        <v>455</v>
      </c>
      <c r="W480" s="149">
        <f t="shared" si="112"/>
        <v>108</v>
      </c>
      <c r="X480" s="149">
        <f t="shared" si="113"/>
        <v>10</v>
      </c>
      <c r="Y480" s="149">
        <f t="shared" si="104"/>
        <v>573</v>
      </c>
      <c r="AA480" s="158">
        <f t="shared" si="105"/>
        <v>0.79406631762652702</v>
      </c>
      <c r="AB480" s="158">
        <f t="shared" si="105"/>
        <v>0.18848167539267016</v>
      </c>
      <c r="AC480" s="158">
        <f t="shared" si="105"/>
        <v>1.7452006980802792E-2</v>
      </c>
      <c r="AE480" s="148"/>
      <c r="AF480" s="161">
        <f t="shared" si="106"/>
        <v>285711.85005533678</v>
      </c>
      <c r="AG480" s="161">
        <f t="shared" si="114"/>
        <v>226874.15667570371</v>
      </c>
      <c r="AH480" s="162">
        <f t="shared" si="115"/>
        <v>8.9315591125934368</v>
      </c>
      <c r="AI480" s="159"/>
      <c r="AJ480" s="157"/>
      <c r="AK480" s="157">
        <f t="shared" si="116"/>
        <v>8.4849811569637641</v>
      </c>
      <c r="AN480" s="161">
        <f t="shared" si="117"/>
        <v>85713.555016601022</v>
      </c>
    </row>
    <row r="481" spans="1:40">
      <c r="A481" s="156">
        <f>'BD Plant List'!A480</f>
        <v>54240</v>
      </c>
      <c r="B481" s="148">
        <f t="shared" si="108"/>
        <v>40</v>
      </c>
      <c r="C481" s="148">
        <f t="shared" si="108"/>
        <v>10</v>
      </c>
      <c r="D481" s="148">
        <f t="shared" si="108"/>
        <v>56</v>
      </c>
      <c r="E481" s="148">
        <f t="shared" si="108"/>
        <v>70</v>
      </c>
      <c r="F481" s="148">
        <f t="shared" si="108"/>
        <v>9</v>
      </c>
      <c r="G481" s="148">
        <f t="shared" si="108"/>
        <v>50</v>
      </c>
      <c r="H481" s="148">
        <f t="shared" si="107"/>
        <v>39</v>
      </c>
      <c r="I481" s="148">
        <f t="shared" si="107"/>
        <v>39</v>
      </c>
      <c r="J481" s="148">
        <f t="shared" si="107"/>
        <v>100</v>
      </c>
      <c r="K481" s="148">
        <f t="shared" si="107"/>
        <v>26</v>
      </c>
      <c r="L481" s="148">
        <f t="shared" si="107"/>
        <v>7</v>
      </c>
      <c r="M481" s="148">
        <f t="shared" si="107"/>
        <v>12</v>
      </c>
      <c r="N481" s="148">
        <f t="shared" si="107"/>
        <v>10</v>
      </c>
      <c r="O481" s="148">
        <f t="shared" si="107"/>
        <v>105</v>
      </c>
      <c r="P481" s="148">
        <f t="shared" si="103"/>
        <v>573</v>
      </c>
      <c r="R481" s="163">
        <f>Ethanol!AN20</f>
        <v>119039.2967119362</v>
      </c>
      <c r="S481" s="157">
        <f t="shared" si="109"/>
        <v>31.446611012392189</v>
      </c>
      <c r="T481" s="154">
        <f t="shared" si="110"/>
        <v>0.66771454447487777</v>
      </c>
      <c r="V481" s="149">
        <f t="shared" si="111"/>
        <v>455</v>
      </c>
      <c r="W481" s="149">
        <f t="shared" si="112"/>
        <v>108</v>
      </c>
      <c r="X481" s="149">
        <f t="shared" si="113"/>
        <v>10</v>
      </c>
      <c r="Y481" s="149">
        <f t="shared" si="104"/>
        <v>573</v>
      </c>
      <c r="AA481" s="158">
        <f t="shared" si="105"/>
        <v>0.79406631762652702</v>
      </c>
      <c r="AB481" s="158">
        <f t="shared" si="105"/>
        <v>0.18848167539267016</v>
      </c>
      <c r="AC481" s="158">
        <f t="shared" si="105"/>
        <v>1.7452006980802792E-2</v>
      </c>
      <c r="AE481" s="148"/>
      <c r="AF481" s="161">
        <f t="shared" si="106"/>
        <v>313470.14800809871</v>
      </c>
      <c r="AG481" s="161">
        <f t="shared" si="114"/>
        <v>248916.08611463333</v>
      </c>
      <c r="AH481" s="162">
        <f t="shared" si="115"/>
        <v>9.7993035865522735</v>
      </c>
      <c r="AI481" s="159"/>
      <c r="AJ481" s="157"/>
      <c r="AK481" s="157">
        <f t="shared" si="116"/>
        <v>9.3093384072246597</v>
      </c>
      <c r="AN481" s="161">
        <f t="shared" si="117"/>
        <v>94041.044402429601</v>
      </c>
    </row>
    <row r="482" spans="1:40">
      <c r="A482" s="156">
        <f>'BD Plant List'!A481</f>
        <v>54271</v>
      </c>
      <c r="B482" s="148">
        <f t="shared" si="108"/>
        <v>40</v>
      </c>
      <c r="C482" s="148">
        <f t="shared" si="108"/>
        <v>10</v>
      </c>
      <c r="D482" s="148">
        <f t="shared" si="108"/>
        <v>56</v>
      </c>
      <c r="E482" s="148">
        <f t="shared" si="108"/>
        <v>70</v>
      </c>
      <c r="F482" s="148">
        <f t="shared" si="108"/>
        <v>9</v>
      </c>
      <c r="G482" s="148">
        <f t="shared" si="108"/>
        <v>50</v>
      </c>
      <c r="H482" s="148">
        <f t="shared" si="107"/>
        <v>39</v>
      </c>
      <c r="I482" s="148">
        <f t="shared" si="107"/>
        <v>39</v>
      </c>
      <c r="J482" s="148">
        <f t="shared" si="107"/>
        <v>100</v>
      </c>
      <c r="K482" s="148">
        <f t="shared" si="107"/>
        <v>26</v>
      </c>
      <c r="L482" s="148">
        <f t="shared" si="107"/>
        <v>7</v>
      </c>
      <c r="M482" s="148">
        <f t="shared" si="107"/>
        <v>12</v>
      </c>
      <c r="N482" s="148">
        <f t="shared" si="107"/>
        <v>10</v>
      </c>
      <c r="O482" s="148">
        <f t="shared" si="107"/>
        <v>105</v>
      </c>
      <c r="P482" s="148">
        <f t="shared" si="103"/>
        <v>573</v>
      </c>
      <c r="R482" s="163">
        <f>Ethanol!AN21</f>
        <v>119694.78512478316</v>
      </c>
      <c r="S482" s="157">
        <f t="shared" si="109"/>
        <v>31.619771386413969</v>
      </c>
      <c r="T482" s="154">
        <f t="shared" si="110"/>
        <v>0.64973352226769676</v>
      </c>
      <c r="V482" s="149">
        <f t="shared" si="111"/>
        <v>455</v>
      </c>
      <c r="W482" s="149">
        <f t="shared" si="112"/>
        <v>108</v>
      </c>
      <c r="X482" s="149">
        <f t="shared" si="113"/>
        <v>10</v>
      </c>
      <c r="Y482" s="149">
        <f t="shared" si="104"/>
        <v>573</v>
      </c>
      <c r="AA482" s="158">
        <f t="shared" si="105"/>
        <v>0.79406631762652702</v>
      </c>
      <c r="AB482" s="158">
        <f t="shared" si="105"/>
        <v>0.18848167539267016</v>
      </c>
      <c r="AC482" s="158">
        <f t="shared" si="105"/>
        <v>1.7452006980802792E-2</v>
      </c>
      <c r="AE482" s="148"/>
      <c r="AF482" s="161">
        <f t="shared" si="106"/>
        <v>315196.26749526238</v>
      </c>
      <c r="AG482" s="161">
        <f t="shared" si="114"/>
        <v>250286.7394595888</v>
      </c>
      <c r="AH482" s="162">
        <f t="shared" si="115"/>
        <v>9.8532633303711457</v>
      </c>
      <c r="AI482" s="159"/>
      <c r="AJ482" s="157"/>
      <c r="AK482" s="157">
        <f t="shared" si="116"/>
        <v>9.3606001638525882</v>
      </c>
      <c r="AN482" s="161">
        <f t="shared" si="117"/>
        <v>94558.880248578702</v>
      </c>
    </row>
    <row r="483" spans="1:40">
      <c r="A483" s="156">
        <f>'BD Plant List'!A482</f>
        <v>54302</v>
      </c>
      <c r="B483" s="148">
        <f t="shared" si="108"/>
        <v>40</v>
      </c>
      <c r="C483" s="148">
        <f t="shared" si="108"/>
        <v>10</v>
      </c>
      <c r="D483" s="148">
        <f t="shared" si="108"/>
        <v>56</v>
      </c>
      <c r="E483" s="148">
        <f t="shared" si="108"/>
        <v>70</v>
      </c>
      <c r="F483" s="148">
        <f t="shared" si="108"/>
        <v>9</v>
      </c>
      <c r="G483" s="148">
        <f t="shared" si="108"/>
        <v>50</v>
      </c>
      <c r="H483" s="148">
        <f t="shared" si="107"/>
        <v>39</v>
      </c>
      <c r="I483" s="148">
        <f t="shared" si="107"/>
        <v>39</v>
      </c>
      <c r="J483" s="148">
        <f t="shared" si="107"/>
        <v>100</v>
      </c>
      <c r="K483" s="148">
        <f t="shared" si="107"/>
        <v>26</v>
      </c>
      <c r="L483" s="148">
        <f t="shared" si="107"/>
        <v>7</v>
      </c>
      <c r="M483" s="148">
        <f t="shared" si="107"/>
        <v>12</v>
      </c>
      <c r="N483" s="148">
        <f t="shared" si="107"/>
        <v>10</v>
      </c>
      <c r="O483" s="148">
        <f t="shared" si="107"/>
        <v>105</v>
      </c>
      <c r="P483" s="148">
        <f t="shared" si="103"/>
        <v>573</v>
      </c>
      <c r="R483" s="163">
        <f>Ethanol!AN22</f>
        <v>105089.56817202672</v>
      </c>
      <c r="S483" s="157">
        <f t="shared" si="109"/>
        <v>27.761511224004298</v>
      </c>
      <c r="T483" s="154">
        <f t="shared" si="110"/>
        <v>0.57045271613812798</v>
      </c>
      <c r="V483" s="149">
        <f t="shared" si="111"/>
        <v>455</v>
      </c>
      <c r="W483" s="149">
        <f t="shared" si="112"/>
        <v>108</v>
      </c>
      <c r="X483" s="149">
        <f t="shared" si="113"/>
        <v>10</v>
      </c>
      <c r="Y483" s="149">
        <f t="shared" si="104"/>
        <v>573</v>
      </c>
      <c r="AA483" s="158">
        <f t="shared" si="105"/>
        <v>0.79406631762652702</v>
      </c>
      <c r="AB483" s="158">
        <f t="shared" si="105"/>
        <v>0.18848167539267016</v>
      </c>
      <c r="AC483" s="158">
        <f t="shared" si="105"/>
        <v>1.7452006980802792E-2</v>
      </c>
      <c r="AE483" s="148"/>
      <c r="AF483" s="161">
        <f t="shared" si="106"/>
        <v>276735.86285300372</v>
      </c>
      <c r="AG483" s="161">
        <f t="shared" si="114"/>
        <v>219746.62757088427</v>
      </c>
      <c r="AH483" s="162">
        <f t="shared" si="115"/>
        <v>8.6509632595478152</v>
      </c>
      <c r="AI483" s="159"/>
      <c r="AJ483" s="157"/>
      <c r="AK483" s="157">
        <f t="shared" si="116"/>
        <v>8.2184150965704248</v>
      </c>
      <c r="AN483" s="161">
        <f t="shared" si="117"/>
        <v>83020.758855901106</v>
      </c>
    </row>
    <row r="484" spans="1:40">
      <c r="A484" s="156">
        <f>'BD Plant List'!A483</f>
        <v>54332</v>
      </c>
      <c r="B484" s="148">
        <f t="shared" si="108"/>
        <v>40</v>
      </c>
      <c r="C484" s="148">
        <f t="shared" si="108"/>
        <v>10</v>
      </c>
      <c r="D484" s="148">
        <f t="shared" si="108"/>
        <v>56</v>
      </c>
      <c r="E484" s="148">
        <f t="shared" si="108"/>
        <v>70</v>
      </c>
      <c r="F484" s="148">
        <f t="shared" si="108"/>
        <v>9</v>
      </c>
      <c r="G484" s="148">
        <f t="shared" si="108"/>
        <v>50</v>
      </c>
      <c r="H484" s="148">
        <f t="shared" si="107"/>
        <v>39</v>
      </c>
      <c r="I484" s="148">
        <f t="shared" si="107"/>
        <v>39</v>
      </c>
      <c r="J484" s="148">
        <f t="shared" si="107"/>
        <v>100</v>
      </c>
      <c r="K484" s="148">
        <f t="shared" si="107"/>
        <v>26</v>
      </c>
      <c r="L484" s="148">
        <f t="shared" si="107"/>
        <v>7</v>
      </c>
      <c r="M484" s="148">
        <f t="shared" si="107"/>
        <v>12</v>
      </c>
      <c r="N484" s="148">
        <f t="shared" si="107"/>
        <v>10</v>
      </c>
      <c r="O484" s="148">
        <f t="shared" si="107"/>
        <v>105</v>
      </c>
      <c r="P484" s="148">
        <f t="shared" si="103"/>
        <v>573</v>
      </c>
      <c r="R484" s="163">
        <f>Ethanol!AN23</f>
        <v>104508.8918035052</v>
      </c>
      <c r="S484" s="157">
        <f t="shared" si="109"/>
        <v>27.608113947731972</v>
      </c>
      <c r="T484" s="154">
        <f t="shared" si="110"/>
        <v>0.5862106801001844</v>
      </c>
      <c r="V484" s="149">
        <f t="shared" si="111"/>
        <v>455</v>
      </c>
      <c r="W484" s="149">
        <f t="shared" si="112"/>
        <v>108</v>
      </c>
      <c r="X484" s="149">
        <f t="shared" si="113"/>
        <v>10</v>
      </c>
      <c r="Y484" s="149">
        <f t="shared" si="104"/>
        <v>573</v>
      </c>
      <c r="AA484" s="158">
        <f t="shared" si="105"/>
        <v>0.79406631762652702</v>
      </c>
      <c r="AB484" s="158">
        <f t="shared" si="105"/>
        <v>0.18848167539267016</v>
      </c>
      <c r="AC484" s="158">
        <f t="shared" si="105"/>
        <v>1.7452006980802792E-2</v>
      </c>
      <c r="AE484" s="148"/>
      <c r="AF484" s="161">
        <f t="shared" si="106"/>
        <v>275206.74841589708</v>
      </c>
      <c r="AG484" s="161">
        <f t="shared" si="114"/>
        <v>218532.40930058144</v>
      </c>
      <c r="AH484" s="162">
        <f t="shared" si="115"/>
        <v>8.6031620361043579</v>
      </c>
      <c r="AI484" s="159"/>
      <c r="AJ484" s="157"/>
      <c r="AK484" s="157">
        <f t="shared" si="116"/>
        <v>8.173003934299139</v>
      </c>
      <c r="AN484" s="161">
        <f t="shared" si="117"/>
        <v>82562.02452476912</v>
      </c>
    </row>
    <row r="485" spans="1:40">
      <c r="A485" s="156">
        <f>'BD Plant List'!A484</f>
        <v>54363</v>
      </c>
      <c r="B485" s="148">
        <f t="shared" si="108"/>
        <v>40</v>
      </c>
      <c r="C485" s="148">
        <f t="shared" si="108"/>
        <v>10</v>
      </c>
      <c r="D485" s="148">
        <f t="shared" si="108"/>
        <v>56</v>
      </c>
      <c r="E485" s="148">
        <f t="shared" si="108"/>
        <v>70</v>
      </c>
      <c r="F485" s="148">
        <f t="shared" si="108"/>
        <v>9</v>
      </c>
      <c r="G485" s="148">
        <f t="shared" si="108"/>
        <v>50</v>
      </c>
      <c r="H485" s="148">
        <f t="shared" si="107"/>
        <v>39</v>
      </c>
      <c r="I485" s="148">
        <f t="shared" si="107"/>
        <v>39</v>
      </c>
      <c r="J485" s="148">
        <f t="shared" si="107"/>
        <v>100</v>
      </c>
      <c r="K485" s="148">
        <f t="shared" si="107"/>
        <v>26</v>
      </c>
      <c r="L485" s="148">
        <f t="shared" si="107"/>
        <v>7</v>
      </c>
      <c r="M485" s="148">
        <f t="shared" si="107"/>
        <v>12</v>
      </c>
      <c r="N485" s="148">
        <f t="shared" si="107"/>
        <v>10</v>
      </c>
      <c r="O485" s="148">
        <f t="shared" si="107"/>
        <v>105</v>
      </c>
      <c r="P485" s="148">
        <f t="shared" si="103"/>
        <v>573</v>
      </c>
      <c r="R485" s="163">
        <f>Ethanol!AN24</f>
        <v>117009.32112257833</v>
      </c>
      <c r="S485" s="157">
        <f t="shared" si="109"/>
        <v>30.910352360951521</v>
      </c>
      <c r="T485" s="154">
        <f t="shared" si="110"/>
        <v>0.63515614545669674</v>
      </c>
      <c r="V485" s="149">
        <f t="shared" si="111"/>
        <v>455</v>
      </c>
      <c r="W485" s="149">
        <f t="shared" si="112"/>
        <v>108</v>
      </c>
      <c r="X485" s="149">
        <f t="shared" si="113"/>
        <v>10</v>
      </c>
      <c r="Y485" s="149">
        <f t="shared" si="104"/>
        <v>573</v>
      </c>
      <c r="AA485" s="158">
        <f t="shared" si="105"/>
        <v>0.79406631762652702</v>
      </c>
      <c r="AB485" s="158">
        <f t="shared" si="105"/>
        <v>0.18848167539267016</v>
      </c>
      <c r="AC485" s="158">
        <f t="shared" si="105"/>
        <v>1.7452006980802792E-2</v>
      </c>
      <c r="AE485" s="148"/>
      <c r="AF485" s="161">
        <f t="shared" si="106"/>
        <v>308124.54562278965</v>
      </c>
      <c r="AG485" s="161">
        <f t="shared" si="114"/>
        <v>244671.32331303539</v>
      </c>
      <c r="AH485" s="162">
        <f t="shared" si="115"/>
        <v>9.6321961890552448</v>
      </c>
      <c r="AI485" s="159"/>
      <c r="AJ485" s="157"/>
      <c r="AK485" s="157">
        <f t="shared" si="116"/>
        <v>9.1505863796024816</v>
      </c>
      <c r="AN485" s="161">
        <f t="shared" si="117"/>
        <v>92437.363686836892</v>
      </c>
    </row>
    <row r="486" spans="1:40">
      <c r="A486" s="156">
        <f>'BD Plant List'!A485</f>
        <v>54393</v>
      </c>
      <c r="B486" s="148">
        <f t="shared" si="108"/>
        <v>40</v>
      </c>
      <c r="C486" s="148">
        <f t="shared" si="108"/>
        <v>10</v>
      </c>
      <c r="D486" s="148">
        <f t="shared" si="108"/>
        <v>56</v>
      </c>
      <c r="E486" s="148">
        <f t="shared" si="108"/>
        <v>70</v>
      </c>
      <c r="F486" s="148">
        <f t="shared" si="108"/>
        <v>9</v>
      </c>
      <c r="G486" s="148">
        <f t="shared" si="108"/>
        <v>50</v>
      </c>
      <c r="H486" s="148">
        <f t="shared" si="107"/>
        <v>39</v>
      </c>
      <c r="I486" s="148">
        <f t="shared" si="107"/>
        <v>39</v>
      </c>
      <c r="J486" s="148">
        <f t="shared" si="107"/>
        <v>100</v>
      </c>
      <c r="K486" s="148">
        <f t="shared" si="107"/>
        <v>26</v>
      </c>
      <c r="L486" s="148">
        <f t="shared" si="107"/>
        <v>7</v>
      </c>
      <c r="M486" s="148">
        <f t="shared" si="107"/>
        <v>12</v>
      </c>
      <c r="N486" s="148">
        <f t="shared" si="107"/>
        <v>10</v>
      </c>
      <c r="O486" s="148">
        <f t="shared" si="107"/>
        <v>105</v>
      </c>
      <c r="P486" s="148">
        <f t="shared" si="103"/>
        <v>573</v>
      </c>
      <c r="R486" s="163">
        <f>Ethanol!AN25</f>
        <v>109349.35325335921</v>
      </c>
      <c r="S486" s="157">
        <f t="shared" si="109"/>
        <v>28.886818648939904</v>
      </c>
      <c r="T486" s="154">
        <f t="shared" si="110"/>
        <v>0.61336176886928817</v>
      </c>
      <c r="V486" s="149">
        <f t="shared" si="111"/>
        <v>455</v>
      </c>
      <c r="W486" s="149">
        <f t="shared" si="112"/>
        <v>108</v>
      </c>
      <c r="X486" s="149">
        <f t="shared" si="113"/>
        <v>10</v>
      </c>
      <c r="Y486" s="149">
        <f t="shared" si="104"/>
        <v>573</v>
      </c>
      <c r="AA486" s="158">
        <f t="shared" si="105"/>
        <v>0.79406631762652702</v>
      </c>
      <c r="AB486" s="158">
        <f t="shared" si="105"/>
        <v>0.18848167539267016</v>
      </c>
      <c r="AC486" s="158">
        <f t="shared" si="105"/>
        <v>1.7452006980802792E-2</v>
      </c>
      <c r="AE486" s="148"/>
      <c r="AF486" s="161">
        <f t="shared" si="106"/>
        <v>287953.29690051259</v>
      </c>
      <c r="AG486" s="161">
        <f t="shared" si="114"/>
        <v>228654.01411820808</v>
      </c>
      <c r="AH486" s="162">
        <f t="shared" si="115"/>
        <v>9.0016283624042028</v>
      </c>
      <c r="AI486" s="159"/>
      <c r="AJ486" s="157"/>
      <c r="AK486" s="157">
        <f t="shared" si="116"/>
        <v>8.5515469442839915</v>
      </c>
      <c r="AN486" s="161">
        <f t="shared" si="117"/>
        <v>86385.989070153781</v>
      </c>
    </row>
    <row r="487" spans="1:40">
      <c r="A487" s="156">
        <f>'BD Plant List'!A486</f>
        <v>54424</v>
      </c>
      <c r="B487" s="148">
        <f t="shared" si="108"/>
        <v>40</v>
      </c>
      <c r="C487" s="148">
        <f t="shared" si="108"/>
        <v>10</v>
      </c>
      <c r="D487" s="148">
        <f t="shared" si="108"/>
        <v>56</v>
      </c>
      <c r="E487" s="148">
        <f t="shared" si="108"/>
        <v>70</v>
      </c>
      <c r="F487" s="148">
        <f t="shared" si="108"/>
        <v>9</v>
      </c>
      <c r="G487" s="148">
        <f t="shared" si="108"/>
        <v>50</v>
      </c>
      <c r="H487" s="148">
        <f t="shared" si="107"/>
        <v>39</v>
      </c>
      <c r="I487" s="148">
        <f t="shared" si="107"/>
        <v>39</v>
      </c>
      <c r="J487" s="148">
        <f t="shared" si="107"/>
        <v>100</v>
      </c>
      <c r="K487" s="148">
        <f t="shared" si="107"/>
        <v>26</v>
      </c>
      <c r="L487" s="148">
        <f t="shared" si="107"/>
        <v>7</v>
      </c>
      <c r="M487" s="148">
        <f t="shared" si="107"/>
        <v>12</v>
      </c>
      <c r="N487" s="148">
        <f t="shared" si="107"/>
        <v>10</v>
      </c>
      <c r="O487" s="148">
        <f t="shared" si="107"/>
        <v>105</v>
      </c>
      <c r="P487" s="148">
        <f t="shared" si="103"/>
        <v>573</v>
      </c>
      <c r="R487" s="163">
        <f>Ethanol!AO14</f>
        <v>113150.66685689232</v>
      </c>
      <c r="S487" s="157">
        <f t="shared" si="109"/>
        <v>29.891011663585246</v>
      </c>
      <c r="T487" s="154">
        <f t="shared" si="110"/>
        <v>0.61421039560933477</v>
      </c>
      <c r="V487" s="149">
        <f t="shared" si="111"/>
        <v>455</v>
      </c>
      <c r="W487" s="149">
        <f t="shared" si="112"/>
        <v>108</v>
      </c>
      <c r="X487" s="149">
        <f t="shared" si="113"/>
        <v>10</v>
      </c>
      <c r="Y487" s="149">
        <f t="shared" si="104"/>
        <v>573</v>
      </c>
      <c r="AA487" s="158">
        <f t="shared" si="105"/>
        <v>0.79406631762652702</v>
      </c>
      <c r="AB487" s="158">
        <f t="shared" si="105"/>
        <v>0.18848167539267016</v>
      </c>
      <c r="AC487" s="158">
        <f t="shared" si="105"/>
        <v>1.7452006980802792E-2</v>
      </c>
      <c r="AE487" s="148"/>
      <c r="AF487" s="161">
        <f t="shared" si="106"/>
        <v>297963.42272314982</v>
      </c>
      <c r="AG487" s="161">
        <f t="shared" si="114"/>
        <v>236602.71786916783</v>
      </c>
      <c r="AH487" s="162">
        <f t="shared" si="115"/>
        <v>9.3145521368016109</v>
      </c>
      <c r="AI487" s="159"/>
      <c r="AJ487" s="157"/>
      <c r="AK487" s="157">
        <f t="shared" si="116"/>
        <v>8.8488245299615294</v>
      </c>
      <c r="AN487" s="161">
        <f t="shared" si="117"/>
        <v>89389.026816944941</v>
      </c>
    </row>
    <row r="488" spans="1:40">
      <c r="A488" s="156">
        <f>'BD Plant List'!A487</f>
        <v>54455</v>
      </c>
      <c r="B488" s="148">
        <f t="shared" si="108"/>
        <v>40</v>
      </c>
      <c r="C488" s="148">
        <f t="shared" si="108"/>
        <v>10</v>
      </c>
      <c r="D488" s="148">
        <f t="shared" si="108"/>
        <v>56</v>
      </c>
      <c r="E488" s="148">
        <f t="shared" si="108"/>
        <v>70</v>
      </c>
      <c r="F488" s="148">
        <f t="shared" si="108"/>
        <v>9</v>
      </c>
      <c r="G488" s="148">
        <f t="shared" si="108"/>
        <v>50</v>
      </c>
      <c r="H488" s="148">
        <f t="shared" si="107"/>
        <v>39</v>
      </c>
      <c r="I488" s="148">
        <f t="shared" si="107"/>
        <v>39</v>
      </c>
      <c r="J488" s="148">
        <f t="shared" si="107"/>
        <v>100</v>
      </c>
      <c r="K488" s="148">
        <f t="shared" si="107"/>
        <v>26</v>
      </c>
      <c r="L488" s="148">
        <f t="shared" si="107"/>
        <v>7</v>
      </c>
      <c r="M488" s="148">
        <f t="shared" si="107"/>
        <v>12</v>
      </c>
      <c r="N488" s="148">
        <f t="shared" si="107"/>
        <v>10</v>
      </c>
      <c r="O488" s="148">
        <f t="shared" si="107"/>
        <v>105</v>
      </c>
      <c r="P488" s="148">
        <f t="shared" si="103"/>
        <v>573</v>
      </c>
      <c r="R488" s="163">
        <f>Ethanol!AO15</f>
        <v>107398.01297058444</v>
      </c>
      <c r="S488" s="157">
        <f t="shared" si="109"/>
        <v>28.371333086439293</v>
      </c>
      <c r="T488" s="154">
        <f t="shared" si="110"/>
        <v>0.58298353749650067</v>
      </c>
      <c r="V488" s="149">
        <f t="shared" si="111"/>
        <v>455</v>
      </c>
      <c r="W488" s="149">
        <f t="shared" si="112"/>
        <v>108</v>
      </c>
      <c r="X488" s="149">
        <f t="shared" si="113"/>
        <v>10</v>
      </c>
      <c r="Y488" s="149">
        <f t="shared" si="104"/>
        <v>573</v>
      </c>
      <c r="AA488" s="158">
        <f t="shared" si="105"/>
        <v>0.79406631762652702</v>
      </c>
      <c r="AB488" s="158">
        <f t="shared" si="105"/>
        <v>0.18848167539267016</v>
      </c>
      <c r="AC488" s="158">
        <f t="shared" si="105"/>
        <v>1.7452006980802792E-2</v>
      </c>
      <c r="AE488" s="148"/>
      <c r="AF488" s="161">
        <f t="shared" si="106"/>
        <v>282814.7674892057</v>
      </c>
      <c r="AG488" s="161">
        <f t="shared" si="114"/>
        <v>224573.68099055599</v>
      </c>
      <c r="AH488" s="162">
        <f t="shared" si="115"/>
        <v>8.8409942158681094</v>
      </c>
      <c r="AI488" s="159"/>
      <c r="AJ488" s="157"/>
      <c r="AK488" s="157">
        <f t="shared" si="116"/>
        <v>8.398944505074704</v>
      </c>
      <c r="AN488" s="161">
        <f t="shared" si="117"/>
        <v>84844.430246761709</v>
      </c>
    </row>
    <row r="489" spans="1:40">
      <c r="A489" s="156">
        <f>'BD Plant List'!A488</f>
        <v>54483</v>
      </c>
      <c r="B489" s="148">
        <f t="shared" si="108"/>
        <v>40</v>
      </c>
      <c r="C489" s="148">
        <f t="shared" si="108"/>
        <v>10</v>
      </c>
      <c r="D489" s="148">
        <f t="shared" si="108"/>
        <v>56</v>
      </c>
      <c r="E489" s="148">
        <f t="shared" si="108"/>
        <v>70</v>
      </c>
      <c r="F489" s="148">
        <f t="shared" si="108"/>
        <v>9</v>
      </c>
      <c r="G489" s="148">
        <f t="shared" si="108"/>
        <v>50</v>
      </c>
      <c r="H489" s="148">
        <f t="shared" si="107"/>
        <v>39</v>
      </c>
      <c r="I489" s="148">
        <f t="shared" si="107"/>
        <v>39</v>
      </c>
      <c r="J489" s="148">
        <f t="shared" si="107"/>
        <v>100</v>
      </c>
      <c r="K489" s="148">
        <f t="shared" si="107"/>
        <v>26</v>
      </c>
      <c r="L489" s="148">
        <f t="shared" si="107"/>
        <v>7</v>
      </c>
      <c r="M489" s="148">
        <f t="shared" si="107"/>
        <v>12</v>
      </c>
      <c r="N489" s="148">
        <f t="shared" si="107"/>
        <v>10</v>
      </c>
      <c r="O489" s="148">
        <f t="shared" ref="H489:V521" si="118">O$4</f>
        <v>105</v>
      </c>
      <c r="P489" s="148">
        <f t="shared" si="103"/>
        <v>573</v>
      </c>
      <c r="R489" s="163">
        <f>Ethanol!AO16</f>
        <v>116666.92845681304</v>
      </c>
      <c r="S489" s="157">
        <f t="shared" si="109"/>
        <v>30.819902490436302</v>
      </c>
      <c r="T489" s="154">
        <f t="shared" si="110"/>
        <v>0.70115086069616361</v>
      </c>
      <c r="V489" s="149">
        <f t="shared" si="111"/>
        <v>455</v>
      </c>
      <c r="W489" s="149">
        <f t="shared" si="112"/>
        <v>108</v>
      </c>
      <c r="X489" s="149">
        <f t="shared" si="113"/>
        <v>10</v>
      </c>
      <c r="Y489" s="149">
        <f t="shared" si="104"/>
        <v>573</v>
      </c>
      <c r="AA489" s="158">
        <f t="shared" si="105"/>
        <v>0.79406631762652702</v>
      </c>
      <c r="AB489" s="158">
        <f t="shared" si="105"/>
        <v>0.18848167539267016</v>
      </c>
      <c r="AC489" s="158">
        <f t="shared" si="105"/>
        <v>1.7452006980802792E-2</v>
      </c>
      <c r="AE489" s="148"/>
      <c r="AF489" s="161">
        <f t="shared" si="106"/>
        <v>307222.91160294105</v>
      </c>
      <c r="AG489" s="161">
        <f t="shared" si="114"/>
        <v>243955.36610704742</v>
      </c>
      <c r="AH489" s="162">
        <f t="shared" si="115"/>
        <v>9.6040104573656322</v>
      </c>
      <c r="AI489" s="159"/>
      <c r="AJ489" s="157"/>
      <c r="AK489" s="157">
        <f t="shared" si="116"/>
        <v>9.1238099344973502</v>
      </c>
      <c r="AN489" s="161">
        <f t="shared" si="117"/>
        <v>92166.873480882306</v>
      </c>
    </row>
    <row r="490" spans="1:40">
      <c r="A490" s="156">
        <f>'BD Plant List'!A489</f>
        <v>54514</v>
      </c>
      <c r="B490" s="148">
        <f t="shared" si="108"/>
        <v>40</v>
      </c>
      <c r="C490" s="148">
        <f t="shared" si="108"/>
        <v>10</v>
      </c>
      <c r="D490" s="148">
        <f t="shared" si="108"/>
        <v>56</v>
      </c>
      <c r="E490" s="148">
        <f t="shared" si="108"/>
        <v>70</v>
      </c>
      <c r="F490" s="148">
        <f t="shared" si="108"/>
        <v>9</v>
      </c>
      <c r="G490" s="148">
        <f t="shared" si="108"/>
        <v>50</v>
      </c>
      <c r="H490" s="148">
        <f t="shared" si="118"/>
        <v>39</v>
      </c>
      <c r="I490" s="148">
        <f t="shared" si="118"/>
        <v>39</v>
      </c>
      <c r="J490" s="148">
        <f t="shared" si="118"/>
        <v>100</v>
      </c>
      <c r="K490" s="148">
        <f t="shared" si="118"/>
        <v>26</v>
      </c>
      <c r="L490" s="148">
        <f t="shared" si="118"/>
        <v>7</v>
      </c>
      <c r="M490" s="148">
        <f t="shared" si="118"/>
        <v>12</v>
      </c>
      <c r="N490" s="148">
        <f t="shared" si="118"/>
        <v>10</v>
      </c>
      <c r="O490" s="148">
        <f t="shared" si="118"/>
        <v>105</v>
      </c>
      <c r="P490" s="148">
        <f t="shared" si="103"/>
        <v>573</v>
      </c>
      <c r="R490" s="163">
        <f>Ethanol!AO17</f>
        <v>105149.74075200751</v>
      </c>
      <c r="S490" s="157">
        <f t="shared" si="109"/>
        <v>27.777407014457825</v>
      </c>
      <c r="T490" s="154">
        <f t="shared" si="110"/>
        <v>0.57077934809869424</v>
      </c>
      <c r="V490" s="149">
        <f t="shared" si="111"/>
        <v>455</v>
      </c>
      <c r="W490" s="149">
        <f t="shared" si="112"/>
        <v>108</v>
      </c>
      <c r="X490" s="149">
        <f t="shared" si="113"/>
        <v>10</v>
      </c>
      <c r="Y490" s="149">
        <f t="shared" si="104"/>
        <v>573</v>
      </c>
      <c r="AA490" s="158">
        <f t="shared" si="105"/>
        <v>0.79406631762652702</v>
      </c>
      <c r="AB490" s="158">
        <f t="shared" si="105"/>
        <v>0.18848167539267016</v>
      </c>
      <c r="AC490" s="158">
        <f t="shared" si="105"/>
        <v>1.7452006980802792E-2</v>
      </c>
      <c r="AE490" s="148"/>
      <c r="AF490" s="161">
        <f t="shared" si="106"/>
        <v>276894.31731361977</v>
      </c>
      <c r="AG490" s="161">
        <f t="shared" si="114"/>
        <v>219872.45092093715</v>
      </c>
      <c r="AH490" s="162">
        <f t="shared" si="115"/>
        <v>8.6559166606103606</v>
      </c>
      <c r="AI490" s="159"/>
      <c r="AJ490" s="157"/>
      <c r="AK490" s="157">
        <f t="shared" si="116"/>
        <v>8.2231208275798426</v>
      </c>
      <c r="AN490" s="161">
        <f t="shared" si="117"/>
        <v>83068.295194085935</v>
      </c>
    </row>
    <row r="491" spans="1:40">
      <c r="A491" s="156">
        <f>'BD Plant List'!A490</f>
        <v>54544</v>
      </c>
      <c r="B491" s="148">
        <f t="shared" si="108"/>
        <v>40</v>
      </c>
      <c r="C491" s="148">
        <f t="shared" si="108"/>
        <v>10</v>
      </c>
      <c r="D491" s="148">
        <f t="shared" si="108"/>
        <v>56</v>
      </c>
      <c r="E491" s="148">
        <f t="shared" si="108"/>
        <v>70</v>
      </c>
      <c r="F491" s="148">
        <f t="shared" si="108"/>
        <v>9</v>
      </c>
      <c r="G491" s="148">
        <f t="shared" si="108"/>
        <v>50</v>
      </c>
      <c r="H491" s="148">
        <f t="shared" si="118"/>
        <v>39</v>
      </c>
      <c r="I491" s="148">
        <f t="shared" si="118"/>
        <v>39</v>
      </c>
      <c r="J491" s="148">
        <f t="shared" si="118"/>
        <v>100</v>
      </c>
      <c r="K491" s="148">
        <f t="shared" si="118"/>
        <v>26</v>
      </c>
      <c r="L491" s="148">
        <f t="shared" si="118"/>
        <v>7</v>
      </c>
      <c r="M491" s="148">
        <f t="shared" si="118"/>
        <v>12</v>
      </c>
      <c r="N491" s="148">
        <f t="shared" si="118"/>
        <v>10</v>
      </c>
      <c r="O491" s="148">
        <f t="shared" si="118"/>
        <v>105</v>
      </c>
      <c r="P491" s="148">
        <f t="shared" si="103"/>
        <v>573</v>
      </c>
      <c r="R491" s="163">
        <f>Ethanol!AO18</f>
        <v>108442.11486204174</v>
      </c>
      <c r="S491" s="157">
        <f t="shared" si="109"/>
        <v>28.647153483105566</v>
      </c>
      <c r="T491" s="154">
        <f t="shared" si="110"/>
        <v>0.60827289245686622</v>
      </c>
      <c r="V491" s="149">
        <f t="shared" si="111"/>
        <v>455</v>
      </c>
      <c r="W491" s="149">
        <f t="shared" si="112"/>
        <v>108</v>
      </c>
      <c r="X491" s="149">
        <f t="shared" si="113"/>
        <v>10</v>
      </c>
      <c r="Y491" s="149">
        <f t="shared" si="104"/>
        <v>573</v>
      </c>
      <c r="AA491" s="158">
        <f t="shared" si="105"/>
        <v>0.79406631762652702</v>
      </c>
      <c r="AB491" s="158">
        <f t="shared" si="105"/>
        <v>0.18848167539267016</v>
      </c>
      <c r="AC491" s="158">
        <f t="shared" si="105"/>
        <v>1.7452006980802792E-2</v>
      </c>
      <c r="AE491" s="148"/>
      <c r="AF491" s="161">
        <f t="shared" si="106"/>
        <v>285564.23580337659</v>
      </c>
      <c r="AG491" s="161">
        <f t="shared" si="114"/>
        <v>226756.9411702205</v>
      </c>
      <c r="AH491" s="162">
        <f t="shared" si="115"/>
        <v>8.9269445842951232</v>
      </c>
      <c r="AI491" s="159"/>
      <c r="AJ491" s="157"/>
      <c r="AK491" s="157">
        <f t="shared" si="116"/>
        <v>8.4805973550803664</v>
      </c>
      <c r="AN491" s="161">
        <f t="shared" si="117"/>
        <v>85669.270741012981</v>
      </c>
    </row>
    <row r="492" spans="1:40">
      <c r="A492" s="156">
        <f>'BD Plant List'!A491</f>
        <v>54575</v>
      </c>
      <c r="B492" s="148">
        <f t="shared" si="108"/>
        <v>40</v>
      </c>
      <c r="C492" s="148">
        <f t="shared" si="108"/>
        <v>10</v>
      </c>
      <c r="D492" s="148">
        <f t="shared" si="108"/>
        <v>56</v>
      </c>
      <c r="E492" s="148">
        <f t="shared" si="108"/>
        <v>70</v>
      </c>
      <c r="F492" s="148">
        <f t="shared" si="108"/>
        <v>9</v>
      </c>
      <c r="G492" s="148">
        <f t="shared" si="108"/>
        <v>50</v>
      </c>
      <c r="H492" s="148">
        <f t="shared" si="118"/>
        <v>39</v>
      </c>
      <c r="I492" s="148">
        <f t="shared" si="118"/>
        <v>39</v>
      </c>
      <c r="J492" s="148">
        <f t="shared" si="118"/>
        <v>100</v>
      </c>
      <c r="K492" s="148">
        <f t="shared" si="118"/>
        <v>26</v>
      </c>
      <c r="L492" s="148">
        <f t="shared" si="118"/>
        <v>7</v>
      </c>
      <c r="M492" s="148">
        <f t="shared" si="118"/>
        <v>12</v>
      </c>
      <c r="N492" s="148">
        <f t="shared" si="118"/>
        <v>10</v>
      </c>
      <c r="O492" s="148">
        <f t="shared" si="118"/>
        <v>105</v>
      </c>
      <c r="P492" s="148">
        <f t="shared" si="103"/>
        <v>573</v>
      </c>
      <c r="R492" s="163">
        <f>Ethanol!AO19</f>
        <v>107816.78200049221</v>
      </c>
      <c r="S492" s="157">
        <f t="shared" si="109"/>
        <v>28.481959301070031</v>
      </c>
      <c r="T492" s="154">
        <f t="shared" si="110"/>
        <v>0.5852567215498824</v>
      </c>
      <c r="V492" s="149">
        <f t="shared" si="111"/>
        <v>455</v>
      </c>
      <c r="W492" s="149">
        <f t="shared" si="112"/>
        <v>108</v>
      </c>
      <c r="X492" s="149">
        <f t="shared" si="113"/>
        <v>10</v>
      </c>
      <c r="Y492" s="149">
        <f t="shared" si="104"/>
        <v>573</v>
      </c>
      <c r="AA492" s="158">
        <f t="shared" si="105"/>
        <v>0.79406631762652702</v>
      </c>
      <c r="AB492" s="158">
        <f t="shared" si="105"/>
        <v>0.18848167539267016</v>
      </c>
      <c r="AC492" s="158">
        <f t="shared" si="105"/>
        <v>1.7452006980802792E-2</v>
      </c>
      <c r="AE492" s="148"/>
      <c r="AF492" s="161">
        <f t="shared" si="106"/>
        <v>283917.52593462955</v>
      </c>
      <c r="AG492" s="161">
        <f t="shared" si="114"/>
        <v>225449.34432854527</v>
      </c>
      <c r="AH492" s="162">
        <f t="shared" si="115"/>
        <v>8.8754672425917374</v>
      </c>
      <c r="AI492" s="159"/>
      <c r="AJ492" s="157"/>
      <c r="AK492" s="157">
        <f t="shared" si="116"/>
        <v>8.4316938804621504</v>
      </c>
      <c r="AN492" s="161">
        <f t="shared" si="117"/>
        <v>85175.257780388856</v>
      </c>
    </row>
    <row r="493" spans="1:40">
      <c r="A493" s="156">
        <f>'BD Plant List'!A492</f>
        <v>54605</v>
      </c>
      <c r="B493" s="148">
        <f t="shared" si="108"/>
        <v>40</v>
      </c>
      <c r="C493" s="148">
        <f t="shared" si="108"/>
        <v>10</v>
      </c>
      <c r="D493" s="148">
        <f t="shared" si="108"/>
        <v>56</v>
      </c>
      <c r="E493" s="148">
        <f t="shared" si="108"/>
        <v>70</v>
      </c>
      <c r="F493" s="148">
        <f t="shared" si="108"/>
        <v>9</v>
      </c>
      <c r="G493" s="148">
        <f t="shared" si="108"/>
        <v>50</v>
      </c>
      <c r="H493" s="148">
        <f t="shared" si="118"/>
        <v>39</v>
      </c>
      <c r="I493" s="148">
        <f t="shared" si="118"/>
        <v>39</v>
      </c>
      <c r="J493" s="148">
        <f t="shared" si="118"/>
        <v>100</v>
      </c>
      <c r="K493" s="148">
        <f t="shared" si="118"/>
        <v>26</v>
      </c>
      <c r="L493" s="148">
        <f t="shared" si="118"/>
        <v>7</v>
      </c>
      <c r="M493" s="148">
        <f t="shared" si="118"/>
        <v>12</v>
      </c>
      <c r="N493" s="148">
        <f t="shared" si="118"/>
        <v>10</v>
      </c>
      <c r="O493" s="148">
        <f t="shared" si="118"/>
        <v>105</v>
      </c>
      <c r="P493" s="148">
        <f t="shared" si="103"/>
        <v>573</v>
      </c>
      <c r="R493" s="163">
        <f>Ethanol!AO20</f>
        <v>118291.7011571343</v>
      </c>
      <c r="S493" s="157">
        <f t="shared" si="109"/>
        <v>31.24911869468017</v>
      </c>
      <c r="T493" s="154">
        <f t="shared" si="110"/>
        <v>0.66352113575091687</v>
      </c>
      <c r="V493" s="149">
        <f t="shared" si="111"/>
        <v>455</v>
      </c>
      <c r="W493" s="149">
        <f t="shared" si="112"/>
        <v>108</v>
      </c>
      <c r="X493" s="149">
        <f t="shared" si="113"/>
        <v>10</v>
      </c>
      <c r="Y493" s="149">
        <f t="shared" si="104"/>
        <v>573</v>
      </c>
      <c r="AA493" s="158">
        <f t="shared" si="105"/>
        <v>0.79406631762652702</v>
      </c>
      <c r="AB493" s="158">
        <f t="shared" si="105"/>
        <v>0.18848167539267016</v>
      </c>
      <c r="AC493" s="158">
        <f t="shared" si="105"/>
        <v>1.7452006980802792E-2</v>
      </c>
      <c r="AE493" s="148"/>
      <c r="AF493" s="161">
        <f t="shared" si="106"/>
        <v>311501.47971378703</v>
      </c>
      <c r="AG493" s="161">
        <f t="shared" si="114"/>
        <v>247352.83293154117</v>
      </c>
      <c r="AH493" s="162">
        <f t="shared" si="115"/>
        <v>9.7377615915656204</v>
      </c>
      <c r="AI493" s="159"/>
      <c r="AJ493" s="157"/>
      <c r="AK493" s="157">
        <f t="shared" si="116"/>
        <v>9.2508735119873382</v>
      </c>
      <c r="AN493" s="161">
        <f t="shared" si="117"/>
        <v>93450.443914136107</v>
      </c>
    </row>
    <row r="494" spans="1:40">
      <c r="A494" s="156">
        <f>'BD Plant List'!A493</f>
        <v>54636</v>
      </c>
      <c r="B494" s="148">
        <f t="shared" si="108"/>
        <v>40</v>
      </c>
      <c r="C494" s="148">
        <f t="shared" si="108"/>
        <v>10</v>
      </c>
      <c r="D494" s="148">
        <f t="shared" si="108"/>
        <v>56</v>
      </c>
      <c r="E494" s="148">
        <f t="shared" si="108"/>
        <v>70</v>
      </c>
      <c r="F494" s="148">
        <f t="shared" si="108"/>
        <v>9</v>
      </c>
      <c r="G494" s="148">
        <f t="shared" si="108"/>
        <v>50</v>
      </c>
      <c r="H494" s="148">
        <f t="shared" si="118"/>
        <v>39</v>
      </c>
      <c r="I494" s="148">
        <f t="shared" si="118"/>
        <v>39</v>
      </c>
      <c r="J494" s="148">
        <f t="shared" si="118"/>
        <v>100</v>
      </c>
      <c r="K494" s="148">
        <f t="shared" si="118"/>
        <v>26</v>
      </c>
      <c r="L494" s="148">
        <f t="shared" si="118"/>
        <v>7</v>
      </c>
      <c r="M494" s="148">
        <f t="shared" si="118"/>
        <v>12</v>
      </c>
      <c r="N494" s="148">
        <f t="shared" si="118"/>
        <v>10</v>
      </c>
      <c r="O494" s="148">
        <f t="shared" si="118"/>
        <v>105</v>
      </c>
      <c r="P494" s="148">
        <f t="shared" si="103"/>
        <v>573</v>
      </c>
      <c r="R494" s="163">
        <f>Ethanol!AO21</f>
        <v>118943.12204120617</v>
      </c>
      <c r="S494" s="157">
        <f t="shared" si="109"/>
        <v>31.421204549625433</v>
      </c>
      <c r="T494" s="154">
        <f t="shared" si="110"/>
        <v>0.64565330521946074</v>
      </c>
      <c r="V494" s="149">
        <f t="shared" si="111"/>
        <v>455</v>
      </c>
      <c r="W494" s="149">
        <f t="shared" si="112"/>
        <v>108</v>
      </c>
      <c r="X494" s="149">
        <f t="shared" si="113"/>
        <v>10</v>
      </c>
      <c r="Y494" s="149">
        <f t="shared" si="104"/>
        <v>573</v>
      </c>
      <c r="AA494" s="158">
        <f t="shared" si="105"/>
        <v>0.79406631762652702</v>
      </c>
      <c r="AB494" s="158">
        <f t="shared" si="105"/>
        <v>0.18848167539267016</v>
      </c>
      <c r="AC494" s="158">
        <f t="shared" si="105"/>
        <v>1.7452006980802792E-2</v>
      </c>
      <c r="AE494" s="148"/>
      <c r="AF494" s="161">
        <f t="shared" si="106"/>
        <v>313216.8880418429</v>
      </c>
      <c r="AG494" s="161">
        <f t="shared" si="114"/>
        <v>248714.98090582638</v>
      </c>
      <c r="AH494" s="162">
        <f t="shared" si="115"/>
        <v>9.7913864968024829</v>
      </c>
      <c r="AI494" s="159"/>
      <c r="AJ494" s="157"/>
      <c r="AK494" s="157">
        <f t="shared" si="116"/>
        <v>9.3018171719623588</v>
      </c>
      <c r="AN494" s="161">
        <f t="shared" si="117"/>
        <v>93965.066412552871</v>
      </c>
    </row>
    <row r="495" spans="1:40">
      <c r="A495" s="156">
        <f>'BD Plant List'!A494</f>
        <v>54667</v>
      </c>
      <c r="B495" s="148">
        <f t="shared" si="108"/>
        <v>40</v>
      </c>
      <c r="C495" s="148">
        <f t="shared" si="108"/>
        <v>10</v>
      </c>
      <c r="D495" s="148">
        <f t="shared" si="108"/>
        <v>56</v>
      </c>
      <c r="E495" s="148">
        <f t="shared" si="108"/>
        <v>70</v>
      </c>
      <c r="F495" s="148">
        <f t="shared" si="108"/>
        <v>9</v>
      </c>
      <c r="G495" s="148">
        <f t="shared" si="108"/>
        <v>50</v>
      </c>
      <c r="H495" s="148">
        <f t="shared" si="118"/>
        <v>39</v>
      </c>
      <c r="I495" s="148">
        <f t="shared" si="118"/>
        <v>39</v>
      </c>
      <c r="J495" s="148">
        <f t="shared" si="118"/>
        <v>100</v>
      </c>
      <c r="K495" s="148">
        <f t="shared" si="118"/>
        <v>26</v>
      </c>
      <c r="L495" s="148">
        <f t="shared" si="118"/>
        <v>7</v>
      </c>
      <c r="M495" s="148">
        <f t="shared" si="118"/>
        <v>12</v>
      </c>
      <c r="N495" s="148">
        <f t="shared" si="118"/>
        <v>10</v>
      </c>
      <c r="O495" s="148">
        <f t="shared" si="118"/>
        <v>105</v>
      </c>
      <c r="P495" s="148">
        <f t="shared" si="103"/>
        <v>573</v>
      </c>
      <c r="R495" s="163">
        <f>Ethanol!AO22</f>
        <v>104429.59453344168</v>
      </c>
      <c r="S495" s="157">
        <f t="shared" si="109"/>
        <v>27.58716598789929</v>
      </c>
      <c r="T495" s="154">
        <f t="shared" si="110"/>
        <v>0.5668702125532421</v>
      </c>
      <c r="V495" s="149">
        <f t="shared" si="111"/>
        <v>455</v>
      </c>
      <c r="W495" s="149">
        <f t="shared" si="112"/>
        <v>108</v>
      </c>
      <c r="X495" s="149">
        <f t="shared" si="113"/>
        <v>10</v>
      </c>
      <c r="Y495" s="149">
        <f t="shared" si="104"/>
        <v>573</v>
      </c>
      <c r="AA495" s="158">
        <f t="shared" si="105"/>
        <v>0.79406631762652702</v>
      </c>
      <c r="AB495" s="158">
        <f t="shared" si="105"/>
        <v>0.18848167539267016</v>
      </c>
      <c r="AC495" s="158">
        <f t="shared" si="105"/>
        <v>1.7452006980802792E-2</v>
      </c>
      <c r="AE495" s="148"/>
      <c r="AF495" s="161">
        <f t="shared" si="106"/>
        <v>274997.93227139645</v>
      </c>
      <c r="AG495" s="161">
        <f t="shared" si="114"/>
        <v>218366.59543365685</v>
      </c>
      <c r="AH495" s="162">
        <f t="shared" si="115"/>
        <v>8.5966342923726593</v>
      </c>
      <c r="AI495" s="159"/>
      <c r="AJ495" s="157"/>
      <c r="AK495" s="157">
        <f t="shared" si="116"/>
        <v>8.1668025777540265</v>
      </c>
      <c r="AN495" s="161">
        <f t="shared" si="117"/>
        <v>82499.379681418926</v>
      </c>
    </row>
    <row r="496" spans="1:40">
      <c r="A496" s="156">
        <f>'BD Plant List'!A495</f>
        <v>54697</v>
      </c>
      <c r="B496" s="148">
        <f t="shared" si="108"/>
        <v>40</v>
      </c>
      <c r="C496" s="148">
        <f t="shared" si="108"/>
        <v>10</v>
      </c>
      <c r="D496" s="148">
        <f t="shared" si="108"/>
        <v>56</v>
      </c>
      <c r="E496" s="148">
        <f t="shared" si="108"/>
        <v>70</v>
      </c>
      <c r="F496" s="148">
        <f t="shared" si="108"/>
        <v>9</v>
      </c>
      <c r="G496" s="148">
        <f t="shared" si="108"/>
        <v>50</v>
      </c>
      <c r="H496" s="148">
        <f t="shared" si="118"/>
        <v>39</v>
      </c>
      <c r="I496" s="148">
        <f t="shared" si="118"/>
        <v>39</v>
      </c>
      <c r="J496" s="148">
        <f t="shared" si="118"/>
        <v>100</v>
      </c>
      <c r="K496" s="148">
        <f t="shared" si="118"/>
        <v>26</v>
      </c>
      <c r="L496" s="148">
        <f t="shared" si="118"/>
        <v>7</v>
      </c>
      <c r="M496" s="148">
        <f t="shared" si="118"/>
        <v>12</v>
      </c>
      <c r="N496" s="148">
        <f t="shared" si="118"/>
        <v>10</v>
      </c>
      <c r="O496" s="148">
        <f t="shared" si="118"/>
        <v>105</v>
      </c>
      <c r="P496" s="148">
        <f t="shared" si="103"/>
        <v>573</v>
      </c>
      <c r="R496" s="163">
        <f>Ethanol!AO23</f>
        <v>103852.53793948976</v>
      </c>
      <c r="S496" s="157">
        <f t="shared" si="109"/>
        <v>27.434724947475011</v>
      </c>
      <c r="T496" s="154">
        <f t="shared" si="110"/>
        <v>0.58252906374801505</v>
      </c>
      <c r="V496" s="149">
        <f t="shared" si="111"/>
        <v>455</v>
      </c>
      <c r="W496" s="149">
        <f t="shared" si="112"/>
        <v>108</v>
      </c>
      <c r="X496" s="149">
        <f t="shared" si="113"/>
        <v>10</v>
      </c>
      <c r="Y496" s="149">
        <f t="shared" si="104"/>
        <v>573</v>
      </c>
      <c r="AA496" s="158">
        <f t="shared" si="105"/>
        <v>0.79406631762652702</v>
      </c>
      <c r="AB496" s="158">
        <f t="shared" si="105"/>
        <v>0.18848167539267016</v>
      </c>
      <c r="AC496" s="158">
        <f t="shared" si="105"/>
        <v>1.7452006980802792E-2</v>
      </c>
      <c r="AE496" s="148"/>
      <c r="AF496" s="161">
        <f t="shared" si="106"/>
        <v>273478.34990732308</v>
      </c>
      <c r="AG496" s="161">
        <f t="shared" si="114"/>
        <v>217159.94626148691</v>
      </c>
      <c r="AH496" s="162">
        <f t="shared" si="115"/>
        <v>8.5491310484275918</v>
      </c>
      <c r="AI496" s="159"/>
      <c r="AJ496" s="157"/>
      <c r="AK496" s="157">
        <f t="shared" si="116"/>
        <v>8.1216744960062126</v>
      </c>
      <c r="AN496" s="161">
        <f t="shared" si="117"/>
        <v>82043.504972196912</v>
      </c>
    </row>
    <row r="497" spans="1:40">
      <c r="A497" s="156">
        <f>'BD Plant List'!A496</f>
        <v>54728</v>
      </c>
      <c r="B497" s="148">
        <f t="shared" si="108"/>
        <v>40</v>
      </c>
      <c r="C497" s="148">
        <f t="shared" si="108"/>
        <v>10</v>
      </c>
      <c r="D497" s="148">
        <f t="shared" si="108"/>
        <v>56</v>
      </c>
      <c r="E497" s="148">
        <f t="shared" si="108"/>
        <v>70</v>
      </c>
      <c r="F497" s="148">
        <f t="shared" si="108"/>
        <v>9</v>
      </c>
      <c r="G497" s="148">
        <f t="shared" si="108"/>
        <v>50</v>
      </c>
      <c r="H497" s="148">
        <f t="shared" si="118"/>
        <v>39</v>
      </c>
      <c r="I497" s="148">
        <f t="shared" si="118"/>
        <v>39</v>
      </c>
      <c r="J497" s="148">
        <f t="shared" si="118"/>
        <v>100</v>
      </c>
      <c r="K497" s="148">
        <f t="shared" si="118"/>
        <v>26</v>
      </c>
      <c r="L497" s="148">
        <f t="shared" si="118"/>
        <v>7</v>
      </c>
      <c r="M497" s="148">
        <f t="shared" si="118"/>
        <v>12</v>
      </c>
      <c r="N497" s="148">
        <f t="shared" si="118"/>
        <v>10</v>
      </c>
      <c r="O497" s="148">
        <f t="shared" si="118"/>
        <v>105</v>
      </c>
      <c r="P497" s="148">
        <f t="shared" si="103"/>
        <v>573</v>
      </c>
      <c r="R497" s="163">
        <f>Ethanol!AO24</f>
        <v>116274.4518776006</v>
      </c>
      <c r="S497" s="157">
        <f t="shared" si="109"/>
        <v>30.716221952505752</v>
      </c>
      <c r="T497" s="154">
        <f t="shared" si="110"/>
        <v>0.63116708960561829</v>
      </c>
      <c r="V497" s="149">
        <f t="shared" si="111"/>
        <v>455</v>
      </c>
      <c r="W497" s="149">
        <f t="shared" si="112"/>
        <v>108</v>
      </c>
      <c r="X497" s="149">
        <f t="shared" si="113"/>
        <v>10</v>
      </c>
      <c r="Y497" s="149">
        <f t="shared" si="104"/>
        <v>573</v>
      </c>
      <c r="AA497" s="158">
        <f t="shared" si="105"/>
        <v>0.79406631762652702</v>
      </c>
      <c r="AB497" s="158">
        <f t="shared" si="105"/>
        <v>0.18848167539267016</v>
      </c>
      <c r="AC497" s="158">
        <f t="shared" si="105"/>
        <v>1.7452006980802792E-2</v>
      </c>
      <c r="AE497" s="148"/>
      <c r="AF497" s="161">
        <f t="shared" si="106"/>
        <v>306189.38994434831</v>
      </c>
      <c r="AG497" s="161">
        <f t="shared" si="114"/>
        <v>243134.68136942142</v>
      </c>
      <c r="AH497" s="162">
        <f t="shared" si="115"/>
        <v>9.5717018226832451</v>
      </c>
      <c r="AI497" s="159"/>
      <c r="AJ497" s="157"/>
      <c r="AK497" s="157">
        <f t="shared" si="116"/>
        <v>9.0931167315490828</v>
      </c>
      <c r="AN497" s="161">
        <f t="shared" si="117"/>
        <v>91856.816983304481</v>
      </c>
    </row>
    <row r="498" spans="1:40">
      <c r="A498" s="156">
        <f>'BD Plant List'!A497</f>
        <v>54758</v>
      </c>
      <c r="B498" s="148">
        <f t="shared" si="108"/>
        <v>40</v>
      </c>
      <c r="C498" s="148">
        <f t="shared" si="108"/>
        <v>10</v>
      </c>
      <c r="D498" s="148">
        <f t="shared" si="108"/>
        <v>56</v>
      </c>
      <c r="E498" s="148">
        <f t="shared" si="108"/>
        <v>70</v>
      </c>
      <c r="F498" s="148">
        <f t="shared" si="108"/>
        <v>9</v>
      </c>
      <c r="G498" s="148">
        <f t="shared" si="108"/>
        <v>50</v>
      </c>
      <c r="H498" s="148">
        <f t="shared" si="118"/>
        <v>39</v>
      </c>
      <c r="I498" s="148">
        <f t="shared" si="118"/>
        <v>39</v>
      </c>
      <c r="J498" s="148">
        <f t="shared" si="118"/>
        <v>100</v>
      </c>
      <c r="K498" s="148">
        <f t="shared" si="118"/>
        <v>26</v>
      </c>
      <c r="L498" s="148">
        <f t="shared" si="118"/>
        <v>7</v>
      </c>
      <c r="M498" s="148">
        <f t="shared" si="118"/>
        <v>12</v>
      </c>
      <c r="N498" s="148">
        <f t="shared" si="118"/>
        <v>10</v>
      </c>
      <c r="O498" s="148">
        <f t="shared" si="118"/>
        <v>105</v>
      </c>
      <c r="P498" s="148">
        <f t="shared" si="103"/>
        <v>573</v>
      </c>
      <c r="R498" s="163">
        <f>Ethanol!AO25</f>
        <v>108662.81083438662</v>
      </c>
      <c r="S498" s="157">
        <f t="shared" si="109"/>
        <v>28.705454738119915</v>
      </c>
      <c r="T498" s="154">
        <f t="shared" si="110"/>
        <v>0.60951081904675786</v>
      </c>
      <c r="V498" s="149">
        <f t="shared" si="111"/>
        <v>455</v>
      </c>
      <c r="W498" s="149">
        <f t="shared" si="112"/>
        <v>108</v>
      </c>
      <c r="X498" s="149">
        <f t="shared" si="113"/>
        <v>10</v>
      </c>
      <c r="Y498" s="149">
        <f t="shared" si="104"/>
        <v>573</v>
      </c>
      <c r="AA498" s="158">
        <f t="shared" si="105"/>
        <v>0.79406631762652702</v>
      </c>
      <c r="AB498" s="158">
        <f t="shared" si="105"/>
        <v>0.18848167539267016</v>
      </c>
      <c r="AC498" s="158">
        <f t="shared" si="105"/>
        <v>1.7452006980802792E-2</v>
      </c>
      <c r="AE498" s="148"/>
      <c r="AF498" s="161">
        <f t="shared" si="106"/>
        <v>286145.40186388476</v>
      </c>
      <c r="AG498" s="161">
        <f t="shared" si="114"/>
        <v>227218.42556381773</v>
      </c>
      <c r="AH498" s="162">
        <f t="shared" si="115"/>
        <v>8.9451122557538181</v>
      </c>
      <c r="AI498" s="159"/>
      <c r="AJ498" s="157"/>
      <c r="AK498" s="157">
        <f t="shared" si="116"/>
        <v>8.4978566429661271</v>
      </c>
      <c r="AN498" s="161">
        <f t="shared" si="117"/>
        <v>85843.620559165429</v>
      </c>
    </row>
    <row r="499" spans="1:40">
      <c r="A499" s="156">
        <f>'BD Plant List'!A498</f>
        <v>54789</v>
      </c>
      <c r="B499" s="148">
        <f t="shared" si="108"/>
        <v>40</v>
      </c>
      <c r="C499" s="148">
        <f t="shared" si="108"/>
        <v>10</v>
      </c>
      <c r="D499" s="148">
        <f t="shared" si="108"/>
        <v>56</v>
      </c>
      <c r="E499" s="148">
        <f t="shared" si="108"/>
        <v>70</v>
      </c>
      <c r="F499" s="148">
        <f t="shared" si="108"/>
        <v>9</v>
      </c>
      <c r="G499" s="148">
        <f t="shared" si="108"/>
        <v>50</v>
      </c>
      <c r="H499" s="148">
        <f t="shared" si="118"/>
        <v>39</v>
      </c>
      <c r="I499" s="148">
        <f t="shared" si="118"/>
        <v>39</v>
      </c>
      <c r="J499" s="148">
        <f t="shared" si="118"/>
        <v>100</v>
      </c>
      <c r="K499" s="148">
        <f t="shared" si="118"/>
        <v>26</v>
      </c>
      <c r="L499" s="148">
        <f t="shared" si="118"/>
        <v>7</v>
      </c>
      <c r="M499" s="148">
        <f t="shared" si="118"/>
        <v>12</v>
      </c>
      <c r="N499" s="148">
        <f t="shared" si="118"/>
        <v>10</v>
      </c>
      <c r="O499" s="148">
        <f t="shared" si="118"/>
        <v>105</v>
      </c>
      <c r="P499" s="148">
        <f t="shared" si="103"/>
        <v>573</v>
      </c>
      <c r="R499" s="163">
        <f>Ethanol!AP14</f>
        <v>112391.72204497762</v>
      </c>
      <c r="S499" s="157">
        <f t="shared" si="109"/>
        <v>29.690521212621739</v>
      </c>
      <c r="T499" s="154">
        <f t="shared" si="110"/>
        <v>0.61009065150069997</v>
      </c>
      <c r="V499" s="149">
        <f t="shared" si="111"/>
        <v>455</v>
      </c>
      <c r="W499" s="149">
        <f t="shared" si="112"/>
        <v>108</v>
      </c>
      <c r="X499" s="149">
        <f t="shared" si="113"/>
        <v>10</v>
      </c>
      <c r="Y499" s="149">
        <f t="shared" si="104"/>
        <v>573</v>
      </c>
      <c r="AA499" s="158">
        <f t="shared" si="105"/>
        <v>0.79406631762652702</v>
      </c>
      <c r="AB499" s="158">
        <f t="shared" si="105"/>
        <v>0.18848167539267016</v>
      </c>
      <c r="AC499" s="158">
        <f t="shared" si="105"/>
        <v>1.7452006980802792E-2</v>
      </c>
      <c r="AE499" s="148"/>
      <c r="AF499" s="161">
        <f t="shared" si="106"/>
        <v>295964.86805177439</v>
      </c>
      <c r="AG499" s="161">
        <f t="shared" si="114"/>
        <v>235015.73292069344</v>
      </c>
      <c r="AH499" s="162">
        <f t="shared" si="115"/>
        <v>9.2520758720485663</v>
      </c>
      <c r="AI499" s="159"/>
      <c r="AJ499" s="157"/>
      <c r="AK499" s="157">
        <f t="shared" si="116"/>
        <v>8.7894720784461384</v>
      </c>
      <c r="AN499" s="161">
        <f t="shared" si="117"/>
        <v>88789.460415532318</v>
      </c>
    </row>
    <row r="500" spans="1:40">
      <c r="A500" s="156">
        <f>'BD Plant List'!A499</f>
        <v>54820</v>
      </c>
      <c r="B500" s="148">
        <f t="shared" si="108"/>
        <v>40</v>
      </c>
      <c r="C500" s="148">
        <f t="shared" si="108"/>
        <v>10</v>
      </c>
      <c r="D500" s="148">
        <f t="shared" si="108"/>
        <v>56</v>
      </c>
      <c r="E500" s="148">
        <f t="shared" si="108"/>
        <v>70</v>
      </c>
      <c r="F500" s="148">
        <f t="shared" si="108"/>
        <v>9</v>
      </c>
      <c r="G500" s="148">
        <f t="shared" si="108"/>
        <v>50</v>
      </c>
      <c r="H500" s="148">
        <f t="shared" si="118"/>
        <v>39</v>
      </c>
      <c r="I500" s="148">
        <f t="shared" si="118"/>
        <v>39</v>
      </c>
      <c r="J500" s="148">
        <f t="shared" si="118"/>
        <v>100</v>
      </c>
      <c r="K500" s="148">
        <f t="shared" si="118"/>
        <v>26</v>
      </c>
      <c r="L500" s="148">
        <f t="shared" si="118"/>
        <v>7</v>
      </c>
      <c r="M500" s="148">
        <f t="shared" si="118"/>
        <v>12</v>
      </c>
      <c r="N500" s="148">
        <f t="shared" si="118"/>
        <v>10</v>
      </c>
      <c r="O500" s="148">
        <f t="shared" si="118"/>
        <v>105</v>
      </c>
      <c r="P500" s="148">
        <f t="shared" si="103"/>
        <v>573</v>
      </c>
      <c r="R500" s="163">
        <f>Ethanol!AP15</f>
        <v>106677.75485693911</v>
      </c>
      <c r="S500" s="157">
        <f t="shared" si="109"/>
        <v>28.181062500557605</v>
      </c>
      <c r="T500" s="154">
        <f t="shared" si="110"/>
        <v>0.57907379455629815</v>
      </c>
      <c r="V500" s="149">
        <f t="shared" si="111"/>
        <v>455</v>
      </c>
      <c r="W500" s="149">
        <f t="shared" si="112"/>
        <v>108</v>
      </c>
      <c r="X500" s="149">
        <f t="shared" si="113"/>
        <v>10</v>
      </c>
      <c r="Y500" s="149">
        <f t="shared" si="104"/>
        <v>573</v>
      </c>
      <c r="AA500" s="158">
        <f t="shared" si="105"/>
        <v>0.79406631762652702</v>
      </c>
      <c r="AB500" s="158">
        <f t="shared" si="105"/>
        <v>0.18848167539267016</v>
      </c>
      <c r="AC500" s="158">
        <f t="shared" si="105"/>
        <v>1.7452006980802792E-2</v>
      </c>
      <c r="AE500" s="148"/>
      <c r="AF500" s="161">
        <f t="shared" si="106"/>
        <v>280918.08778993966</v>
      </c>
      <c r="AG500" s="161">
        <f t="shared" si="114"/>
        <v>223067.59152604282</v>
      </c>
      <c r="AH500" s="162">
        <f t="shared" si="115"/>
        <v>8.7817026364381015</v>
      </c>
      <c r="AI500" s="159"/>
      <c r="AJ500" s="157"/>
      <c r="AK500" s="157">
        <f t="shared" si="116"/>
        <v>8.3426175046161966</v>
      </c>
      <c r="AN500" s="161">
        <f t="shared" si="117"/>
        <v>84275.426336981895</v>
      </c>
    </row>
    <row r="501" spans="1:40">
      <c r="A501" s="156">
        <f>'BD Plant List'!A500</f>
        <v>54848</v>
      </c>
      <c r="B501" s="148">
        <f t="shared" si="108"/>
        <v>40</v>
      </c>
      <c r="C501" s="148">
        <f t="shared" si="108"/>
        <v>10</v>
      </c>
      <c r="D501" s="148">
        <f t="shared" si="108"/>
        <v>56</v>
      </c>
      <c r="E501" s="148">
        <f t="shared" ref="C501:I534" si="119">E$4</f>
        <v>70</v>
      </c>
      <c r="F501" s="148">
        <f t="shared" si="119"/>
        <v>9</v>
      </c>
      <c r="G501" s="148">
        <f t="shared" si="119"/>
        <v>50</v>
      </c>
      <c r="H501" s="148">
        <f t="shared" si="118"/>
        <v>39</v>
      </c>
      <c r="I501" s="148">
        <f t="shared" si="118"/>
        <v>39</v>
      </c>
      <c r="J501" s="148">
        <f t="shared" si="118"/>
        <v>100</v>
      </c>
      <c r="K501" s="148">
        <f t="shared" si="118"/>
        <v>26</v>
      </c>
      <c r="L501" s="148">
        <f t="shared" si="118"/>
        <v>7</v>
      </c>
      <c r="M501" s="148">
        <f t="shared" si="118"/>
        <v>12</v>
      </c>
      <c r="N501" s="148">
        <f t="shared" si="118"/>
        <v>10</v>
      </c>
      <c r="O501" s="148">
        <f t="shared" si="118"/>
        <v>105</v>
      </c>
      <c r="P501" s="148">
        <f t="shared" si="103"/>
        <v>573</v>
      </c>
      <c r="R501" s="163">
        <f>Ethanol!AP16</f>
        <v>115884.37942291958</v>
      </c>
      <c r="S501" s="157">
        <f t="shared" si="109"/>
        <v>30.61317651215267</v>
      </c>
      <c r="T501" s="154">
        <f t="shared" si="110"/>
        <v>0.69644785757515104</v>
      </c>
      <c r="V501" s="149">
        <f t="shared" si="111"/>
        <v>455</v>
      </c>
      <c r="W501" s="149">
        <f t="shared" si="112"/>
        <v>108</v>
      </c>
      <c r="X501" s="149">
        <f t="shared" si="113"/>
        <v>10</v>
      </c>
      <c r="Y501" s="149">
        <f t="shared" si="104"/>
        <v>573</v>
      </c>
      <c r="AA501" s="158">
        <f t="shared" si="105"/>
        <v>0.79406631762652702</v>
      </c>
      <c r="AB501" s="158">
        <f t="shared" si="105"/>
        <v>0.18848167539267016</v>
      </c>
      <c r="AC501" s="158">
        <f t="shared" si="105"/>
        <v>1.7452006980802792E-2</v>
      </c>
      <c r="AE501" s="148"/>
      <c r="AF501" s="161">
        <f t="shared" si="106"/>
        <v>305162.19914702157</v>
      </c>
      <c r="AG501" s="161">
        <f t="shared" si="114"/>
        <v>242319.02375548834</v>
      </c>
      <c r="AH501" s="162">
        <f t="shared" si="115"/>
        <v>9.5395910953036882</v>
      </c>
      <c r="AI501" s="159"/>
      <c r="AJ501" s="157"/>
      <c r="AK501" s="157">
        <f t="shared" si="116"/>
        <v>9.0626115405385033</v>
      </c>
      <c r="AN501" s="161">
        <f t="shared" si="117"/>
        <v>91548.659744106466</v>
      </c>
    </row>
    <row r="502" spans="1:40">
      <c r="A502" s="156">
        <f>'BD Plant List'!A501</f>
        <v>54879</v>
      </c>
      <c r="B502" s="148">
        <f t="shared" ref="B502:B534" si="120">B$4</f>
        <v>40</v>
      </c>
      <c r="C502" s="148">
        <f t="shared" si="119"/>
        <v>10</v>
      </c>
      <c r="D502" s="148">
        <f t="shared" si="119"/>
        <v>56</v>
      </c>
      <c r="E502" s="148">
        <f t="shared" si="119"/>
        <v>70</v>
      </c>
      <c r="F502" s="148">
        <f t="shared" si="119"/>
        <v>9</v>
      </c>
      <c r="G502" s="148">
        <f t="shared" si="119"/>
        <v>50</v>
      </c>
      <c r="H502" s="148">
        <f t="shared" si="118"/>
        <v>39</v>
      </c>
      <c r="I502" s="148">
        <f t="shared" si="118"/>
        <v>39</v>
      </c>
      <c r="J502" s="148">
        <f t="shared" si="118"/>
        <v>100</v>
      </c>
      <c r="K502" s="148">
        <f t="shared" si="118"/>
        <v>26</v>
      </c>
      <c r="L502" s="148">
        <f t="shared" si="118"/>
        <v>7</v>
      </c>
      <c r="M502" s="148">
        <f t="shared" si="118"/>
        <v>12</v>
      </c>
      <c r="N502" s="148">
        <f t="shared" si="118"/>
        <v>10</v>
      </c>
      <c r="O502" s="148">
        <f t="shared" si="118"/>
        <v>105</v>
      </c>
      <c r="P502" s="148">
        <f t="shared" si="103"/>
        <v>573</v>
      </c>
      <c r="R502" s="163">
        <f>Ethanol!AP17</f>
        <v>104444.48940061897</v>
      </c>
      <c r="S502" s="157">
        <f t="shared" si="109"/>
        <v>27.591100764961514</v>
      </c>
      <c r="T502" s="154">
        <f t="shared" si="110"/>
        <v>0.56695106565394082</v>
      </c>
      <c r="V502" s="149">
        <f t="shared" si="111"/>
        <v>455</v>
      </c>
      <c r="W502" s="149">
        <f t="shared" si="112"/>
        <v>108</v>
      </c>
      <c r="X502" s="149">
        <f t="shared" si="113"/>
        <v>10</v>
      </c>
      <c r="Y502" s="149">
        <f t="shared" si="104"/>
        <v>573</v>
      </c>
      <c r="AA502" s="158">
        <f t="shared" si="105"/>
        <v>0.79406631762652702</v>
      </c>
      <c r="AB502" s="158">
        <f t="shared" si="105"/>
        <v>0.18848167539267016</v>
      </c>
      <c r="AC502" s="158">
        <f t="shared" si="105"/>
        <v>1.7452006980802792E-2</v>
      </c>
      <c r="AE502" s="148"/>
      <c r="AF502" s="161">
        <f t="shared" si="106"/>
        <v>275037.15542162996</v>
      </c>
      <c r="AG502" s="161">
        <f t="shared" si="114"/>
        <v>218397.74121612849</v>
      </c>
      <c r="AH502" s="162">
        <f t="shared" si="115"/>
        <v>8.5978604364224243</v>
      </c>
      <c r="AI502" s="159"/>
      <c r="AJ502" s="157"/>
      <c r="AK502" s="157">
        <f t="shared" si="116"/>
        <v>8.1679674146013035</v>
      </c>
      <c r="AN502" s="161">
        <f t="shared" si="117"/>
        <v>82511.14662648899</v>
      </c>
    </row>
    <row r="503" spans="1:40">
      <c r="A503" s="156">
        <f>'BD Plant List'!A502</f>
        <v>54909</v>
      </c>
      <c r="B503" s="148">
        <f t="shared" si="120"/>
        <v>40</v>
      </c>
      <c r="C503" s="148">
        <f t="shared" si="119"/>
        <v>10</v>
      </c>
      <c r="D503" s="148">
        <f t="shared" si="119"/>
        <v>56</v>
      </c>
      <c r="E503" s="148">
        <f t="shared" si="119"/>
        <v>70</v>
      </c>
      <c r="F503" s="148">
        <f t="shared" si="119"/>
        <v>9</v>
      </c>
      <c r="G503" s="148">
        <f t="shared" si="119"/>
        <v>50</v>
      </c>
      <c r="H503" s="148">
        <f t="shared" si="118"/>
        <v>39</v>
      </c>
      <c r="I503" s="148">
        <f t="shared" si="118"/>
        <v>39</v>
      </c>
      <c r="J503" s="148">
        <f t="shared" si="118"/>
        <v>100</v>
      </c>
      <c r="K503" s="148">
        <f t="shared" si="118"/>
        <v>26</v>
      </c>
      <c r="L503" s="148">
        <f t="shared" si="118"/>
        <v>7</v>
      </c>
      <c r="M503" s="148">
        <f t="shared" si="118"/>
        <v>12</v>
      </c>
      <c r="N503" s="148">
        <f t="shared" si="118"/>
        <v>10</v>
      </c>
      <c r="O503" s="148">
        <f t="shared" si="118"/>
        <v>105</v>
      </c>
      <c r="P503" s="148">
        <f t="shared" si="103"/>
        <v>573</v>
      </c>
      <c r="R503" s="163">
        <f>Ethanol!AP18</f>
        <v>107714.82255732063</v>
      </c>
      <c r="S503" s="157">
        <f t="shared" si="109"/>
        <v>28.455024674967394</v>
      </c>
      <c r="T503" s="154">
        <f t="shared" si="110"/>
        <v>0.60419336860751005</v>
      </c>
      <c r="V503" s="149">
        <f t="shared" si="111"/>
        <v>455</v>
      </c>
      <c r="W503" s="149">
        <f t="shared" si="112"/>
        <v>108</v>
      </c>
      <c r="X503" s="149">
        <f t="shared" si="113"/>
        <v>10</v>
      </c>
      <c r="Y503" s="149">
        <f t="shared" si="104"/>
        <v>573</v>
      </c>
      <c r="AA503" s="158">
        <f t="shared" si="105"/>
        <v>0.79406631762652702</v>
      </c>
      <c r="AB503" s="158">
        <f t="shared" si="105"/>
        <v>0.18848167539267016</v>
      </c>
      <c r="AC503" s="158">
        <f t="shared" si="105"/>
        <v>1.7452006980802792E-2</v>
      </c>
      <c r="AE503" s="148"/>
      <c r="AF503" s="161">
        <f t="shared" si="106"/>
        <v>283649.03273427766</v>
      </c>
      <c r="AG503" s="161">
        <f t="shared" si="114"/>
        <v>225236.14292163408</v>
      </c>
      <c r="AH503" s="162">
        <f t="shared" si="115"/>
        <v>8.8670739509245973</v>
      </c>
      <c r="AI503" s="159"/>
      <c r="AJ503" s="157"/>
      <c r="AK503" s="157">
        <f t="shared" si="116"/>
        <v>8.4237202533783666</v>
      </c>
      <c r="AN503" s="161">
        <f t="shared" si="117"/>
        <v>85094.7098202833</v>
      </c>
    </row>
    <row r="504" spans="1:40">
      <c r="A504" s="156">
        <f>'BD Plant List'!A503</f>
        <v>54940</v>
      </c>
      <c r="B504" s="148">
        <f t="shared" si="120"/>
        <v>40</v>
      </c>
      <c r="C504" s="148">
        <f t="shared" si="119"/>
        <v>10</v>
      </c>
      <c r="D504" s="148">
        <f t="shared" si="119"/>
        <v>56</v>
      </c>
      <c r="E504" s="148">
        <f t="shared" si="119"/>
        <v>70</v>
      </c>
      <c r="F504" s="148">
        <f t="shared" si="119"/>
        <v>9</v>
      </c>
      <c r="G504" s="148">
        <f t="shared" si="119"/>
        <v>50</v>
      </c>
      <c r="H504" s="148">
        <f t="shared" si="118"/>
        <v>39</v>
      </c>
      <c r="I504" s="148">
        <f t="shared" si="118"/>
        <v>39</v>
      </c>
      <c r="J504" s="148">
        <f t="shared" si="118"/>
        <v>100</v>
      </c>
      <c r="K504" s="148">
        <f t="shared" si="118"/>
        <v>26</v>
      </c>
      <c r="L504" s="148">
        <f t="shared" si="118"/>
        <v>7</v>
      </c>
      <c r="M504" s="148">
        <f t="shared" si="118"/>
        <v>12</v>
      </c>
      <c r="N504" s="148">
        <f t="shared" si="118"/>
        <v>10</v>
      </c>
      <c r="O504" s="148">
        <f t="shared" si="118"/>
        <v>105</v>
      </c>
      <c r="P504" s="148">
        <f t="shared" si="103"/>
        <v>573</v>
      </c>
      <c r="R504" s="163">
        <f>Ethanol!AP19</f>
        <v>107093.63346312038</v>
      </c>
      <c r="S504" s="157">
        <f t="shared" si="109"/>
        <v>28.290925151952514</v>
      </c>
      <c r="T504" s="154">
        <f t="shared" si="110"/>
        <v>0.58133128865972339</v>
      </c>
      <c r="V504" s="149">
        <f t="shared" si="111"/>
        <v>455</v>
      </c>
      <c r="W504" s="149">
        <f t="shared" si="112"/>
        <v>108</v>
      </c>
      <c r="X504" s="149">
        <f t="shared" si="113"/>
        <v>10</v>
      </c>
      <c r="Y504" s="149">
        <f t="shared" si="104"/>
        <v>573</v>
      </c>
      <c r="AA504" s="158">
        <f t="shared" si="105"/>
        <v>0.79406631762652702</v>
      </c>
      <c r="AB504" s="158">
        <f t="shared" si="105"/>
        <v>0.18848167539267016</v>
      </c>
      <c r="AC504" s="158">
        <f t="shared" si="105"/>
        <v>1.7452006980802792E-2</v>
      </c>
      <c r="AE504" s="148"/>
      <c r="AF504" s="161">
        <f t="shared" si="106"/>
        <v>282013.23478621704</v>
      </c>
      <c r="AG504" s="161">
        <f t="shared" si="114"/>
        <v>223937.21086863655</v>
      </c>
      <c r="AH504" s="162">
        <f t="shared" si="115"/>
        <v>8.8159377237553969</v>
      </c>
      <c r="AI504" s="159"/>
      <c r="AJ504" s="157"/>
      <c r="AK504" s="157">
        <f t="shared" si="116"/>
        <v>8.375140837567626</v>
      </c>
      <c r="AN504" s="161">
        <f t="shared" si="117"/>
        <v>84603.970435865107</v>
      </c>
    </row>
    <row r="505" spans="1:40">
      <c r="A505" s="156">
        <f>'BD Plant List'!A504</f>
        <v>54970</v>
      </c>
      <c r="B505" s="148">
        <f t="shared" si="120"/>
        <v>40</v>
      </c>
      <c r="C505" s="148">
        <f t="shared" si="119"/>
        <v>10</v>
      </c>
      <c r="D505" s="148">
        <f t="shared" si="119"/>
        <v>56</v>
      </c>
      <c r="E505" s="148">
        <f t="shared" si="119"/>
        <v>70</v>
      </c>
      <c r="F505" s="148">
        <f t="shared" si="119"/>
        <v>9</v>
      </c>
      <c r="G505" s="148">
        <f t="shared" si="119"/>
        <v>50</v>
      </c>
      <c r="H505" s="148">
        <f t="shared" si="118"/>
        <v>39</v>
      </c>
      <c r="I505" s="148">
        <f t="shared" si="118"/>
        <v>39</v>
      </c>
      <c r="J505" s="148">
        <f t="shared" si="118"/>
        <v>100</v>
      </c>
      <c r="K505" s="148">
        <f t="shared" si="118"/>
        <v>26</v>
      </c>
      <c r="L505" s="148">
        <f t="shared" si="118"/>
        <v>7</v>
      </c>
      <c r="M505" s="148">
        <f t="shared" si="118"/>
        <v>12</v>
      </c>
      <c r="N505" s="148">
        <f t="shared" si="118"/>
        <v>10</v>
      </c>
      <c r="O505" s="148">
        <f t="shared" si="118"/>
        <v>105</v>
      </c>
      <c r="P505" s="148">
        <f t="shared" si="103"/>
        <v>573</v>
      </c>
      <c r="R505" s="163">
        <f>Ethanol!AP20</f>
        <v>117498.28833845601</v>
      </c>
      <c r="S505" s="157">
        <f t="shared" si="109"/>
        <v>31.039522830369926</v>
      </c>
      <c r="T505" s="154">
        <f t="shared" si="110"/>
        <v>0.65907072909162434</v>
      </c>
      <c r="V505" s="149">
        <f t="shared" si="111"/>
        <v>455</v>
      </c>
      <c r="W505" s="149">
        <f t="shared" si="112"/>
        <v>108</v>
      </c>
      <c r="X505" s="149">
        <f t="shared" si="113"/>
        <v>10</v>
      </c>
      <c r="Y505" s="149">
        <f t="shared" si="104"/>
        <v>573</v>
      </c>
      <c r="AA505" s="158">
        <f t="shared" si="105"/>
        <v>0.79406631762652702</v>
      </c>
      <c r="AB505" s="158">
        <f t="shared" si="105"/>
        <v>0.18848167539267016</v>
      </c>
      <c r="AC505" s="158">
        <f t="shared" si="105"/>
        <v>1.7452006980802792E-2</v>
      </c>
      <c r="AE505" s="148"/>
      <c r="AF505" s="161">
        <f t="shared" si="106"/>
        <v>309412.15929126751</v>
      </c>
      <c r="AG505" s="161">
        <f t="shared" si="114"/>
        <v>245693.7739572892</v>
      </c>
      <c r="AH505" s="162">
        <f t="shared" si="115"/>
        <v>9.6724479237731664</v>
      </c>
      <c r="AI505" s="159"/>
      <c r="AJ505" s="157"/>
      <c r="AK505" s="157">
        <f t="shared" si="116"/>
        <v>9.1888255275845072</v>
      </c>
      <c r="AN505" s="161">
        <f t="shared" si="117"/>
        <v>92823.647787380251</v>
      </c>
    </row>
    <row r="506" spans="1:40">
      <c r="A506" s="156">
        <f>'BD Plant List'!A505</f>
        <v>55001</v>
      </c>
      <c r="B506" s="148">
        <f t="shared" si="120"/>
        <v>40</v>
      </c>
      <c r="C506" s="148">
        <f t="shared" si="119"/>
        <v>10</v>
      </c>
      <c r="D506" s="148">
        <f t="shared" si="119"/>
        <v>56</v>
      </c>
      <c r="E506" s="148">
        <f t="shared" si="119"/>
        <v>70</v>
      </c>
      <c r="F506" s="148">
        <f t="shared" si="119"/>
        <v>9</v>
      </c>
      <c r="G506" s="148">
        <f t="shared" si="119"/>
        <v>50</v>
      </c>
      <c r="H506" s="148">
        <f t="shared" si="118"/>
        <v>39</v>
      </c>
      <c r="I506" s="148">
        <f t="shared" si="118"/>
        <v>39</v>
      </c>
      <c r="J506" s="148">
        <f t="shared" si="118"/>
        <v>100</v>
      </c>
      <c r="K506" s="148">
        <f t="shared" si="118"/>
        <v>26</v>
      </c>
      <c r="L506" s="148">
        <f t="shared" si="118"/>
        <v>7</v>
      </c>
      <c r="M506" s="148">
        <f t="shared" si="118"/>
        <v>12</v>
      </c>
      <c r="N506" s="148">
        <f t="shared" si="118"/>
        <v>10</v>
      </c>
      <c r="O506" s="148">
        <f t="shared" si="118"/>
        <v>105</v>
      </c>
      <c r="P506" s="148">
        <f t="shared" si="103"/>
        <v>573</v>
      </c>
      <c r="R506" s="163">
        <f>Ethanol!AP21</f>
        <v>118145.38086176157</v>
      </c>
      <c r="S506" s="157">
        <f t="shared" si="109"/>
        <v>31.210465262251557</v>
      </c>
      <c r="T506" s="154">
        <f t="shared" si="110"/>
        <v>0.64132296462995086</v>
      </c>
      <c r="V506" s="149">
        <f t="shared" si="111"/>
        <v>455</v>
      </c>
      <c r="W506" s="149">
        <f t="shared" si="112"/>
        <v>108</v>
      </c>
      <c r="X506" s="149">
        <f t="shared" si="113"/>
        <v>10</v>
      </c>
      <c r="Y506" s="149">
        <f t="shared" si="104"/>
        <v>573</v>
      </c>
      <c r="AA506" s="158">
        <f t="shared" si="105"/>
        <v>0.79406631762652702</v>
      </c>
      <c r="AB506" s="158">
        <f t="shared" si="105"/>
        <v>0.18848167539267016</v>
      </c>
      <c r="AC506" s="158">
        <f t="shared" si="105"/>
        <v>1.7452006980802792E-2</v>
      </c>
      <c r="AE506" s="148"/>
      <c r="AF506" s="161">
        <f t="shared" si="106"/>
        <v>311116.16960263887</v>
      </c>
      <c r="AG506" s="161">
        <f t="shared" si="114"/>
        <v>247046.87115043748</v>
      </c>
      <c r="AH506" s="162">
        <f t="shared" si="115"/>
        <v>9.7257165187633081</v>
      </c>
      <c r="AI506" s="159"/>
      <c r="AJ506" s="157"/>
      <c r="AK506" s="157">
        <f t="shared" si="116"/>
        <v>9.2394306928251417</v>
      </c>
      <c r="AN506" s="161">
        <f t="shared" si="117"/>
        <v>93334.850880791651</v>
      </c>
    </row>
    <row r="507" spans="1:40">
      <c r="A507" s="156">
        <f>'BD Plant List'!A506</f>
        <v>55032</v>
      </c>
      <c r="B507" s="148">
        <f t="shared" si="120"/>
        <v>40</v>
      </c>
      <c r="C507" s="148">
        <f t="shared" si="119"/>
        <v>10</v>
      </c>
      <c r="D507" s="148">
        <f t="shared" si="119"/>
        <v>56</v>
      </c>
      <c r="E507" s="148">
        <f t="shared" si="119"/>
        <v>70</v>
      </c>
      <c r="F507" s="148">
        <f t="shared" si="119"/>
        <v>9</v>
      </c>
      <c r="G507" s="148">
        <f t="shared" si="119"/>
        <v>50</v>
      </c>
      <c r="H507" s="148">
        <f t="shared" si="118"/>
        <v>39</v>
      </c>
      <c r="I507" s="148">
        <f t="shared" si="118"/>
        <v>39</v>
      </c>
      <c r="J507" s="148">
        <f t="shared" si="118"/>
        <v>100</v>
      </c>
      <c r="K507" s="148">
        <f t="shared" si="118"/>
        <v>26</v>
      </c>
      <c r="L507" s="148">
        <f t="shared" si="118"/>
        <v>7</v>
      </c>
      <c r="M507" s="148">
        <f t="shared" si="118"/>
        <v>12</v>
      </c>
      <c r="N507" s="148">
        <f t="shared" si="118"/>
        <v>10</v>
      </c>
      <c r="O507" s="148">
        <f t="shared" si="118"/>
        <v>105</v>
      </c>
      <c r="P507" s="148">
        <f t="shared" si="103"/>
        <v>573</v>
      </c>
      <c r="R507" s="163">
        <f>Ethanol!AP22</f>
        <v>103729.16217355644</v>
      </c>
      <c r="S507" s="157">
        <f t="shared" si="109"/>
        <v>27.402132771388409</v>
      </c>
      <c r="T507" s="154">
        <f t="shared" si="110"/>
        <v>0.5630680888113927</v>
      </c>
      <c r="V507" s="149">
        <f t="shared" si="111"/>
        <v>455</v>
      </c>
      <c r="W507" s="149">
        <f t="shared" si="112"/>
        <v>108</v>
      </c>
      <c r="X507" s="149">
        <f t="shared" si="113"/>
        <v>10</v>
      </c>
      <c r="Y507" s="149">
        <f t="shared" si="104"/>
        <v>573</v>
      </c>
      <c r="AA507" s="158">
        <f t="shared" si="105"/>
        <v>0.79406631762652702</v>
      </c>
      <c r="AB507" s="158">
        <f t="shared" si="105"/>
        <v>0.18848167539267016</v>
      </c>
      <c r="AC507" s="158">
        <f t="shared" si="105"/>
        <v>1.7452006980802792E-2</v>
      </c>
      <c r="AE507" s="148"/>
      <c r="AF507" s="161">
        <f t="shared" si="106"/>
        <v>273153.46039036533</v>
      </c>
      <c r="AG507" s="161">
        <f t="shared" si="114"/>
        <v>216901.96243912081</v>
      </c>
      <c r="AH507" s="162">
        <f t="shared" si="115"/>
        <v>8.5389747671070637</v>
      </c>
      <c r="AI507" s="159"/>
      <c r="AJ507" s="157"/>
      <c r="AK507" s="157">
        <f t="shared" si="116"/>
        <v>8.1120260287517105</v>
      </c>
      <c r="AN507" s="161">
        <f t="shared" si="117"/>
        <v>81946.038117109594</v>
      </c>
    </row>
    <row r="508" spans="1:40">
      <c r="A508" s="156">
        <f>'BD Plant List'!A507</f>
        <v>55062</v>
      </c>
      <c r="B508" s="148">
        <f t="shared" si="120"/>
        <v>40</v>
      </c>
      <c r="C508" s="148">
        <f t="shared" si="119"/>
        <v>10</v>
      </c>
      <c r="D508" s="148">
        <f t="shared" si="119"/>
        <v>56</v>
      </c>
      <c r="E508" s="148">
        <f t="shared" si="119"/>
        <v>70</v>
      </c>
      <c r="F508" s="148">
        <f t="shared" si="119"/>
        <v>9</v>
      </c>
      <c r="G508" s="148">
        <f t="shared" si="119"/>
        <v>50</v>
      </c>
      <c r="H508" s="148">
        <f t="shared" si="118"/>
        <v>39</v>
      </c>
      <c r="I508" s="148">
        <f t="shared" si="118"/>
        <v>39</v>
      </c>
      <c r="J508" s="148">
        <f t="shared" si="118"/>
        <v>100</v>
      </c>
      <c r="K508" s="148">
        <f t="shared" si="118"/>
        <v>26</v>
      </c>
      <c r="L508" s="148">
        <f t="shared" si="118"/>
        <v>7</v>
      </c>
      <c r="M508" s="148">
        <f t="shared" si="118"/>
        <v>12</v>
      </c>
      <c r="N508" s="148">
        <f t="shared" si="118"/>
        <v>10</v>
      </c>
      <c r="O508" s="148">
        <f t="shared" si="118"/>
        <v>105</v>
      </c>
      <c r="P508" s="148">
        <f t="shared" si="103"/>
        <v>573</v>
      </c>
      <c r="R508" s="163">
        <f>Ethanol!AP23</f>
        <v>103155.99486256433</v>
      </c>
      <c r="S508" s="157">
        <f t="shared" si="109"/>
        <v>27.250719162843623</v>
      </c>
      <c r="T508" s="154">
        <f t="shared" si="110"/>
        <v>0.57862201829190929</v>
      </c>
      <c r="V508" s="149">
        <f t="shared" si="111"/>
        <v>455</v>
      </c>
      <c r="W508" s="149">
        <f t="shared" si="112"/>
        <v>108</v>
      </c>
      <c r="X508" s="149">
        <f t="shared" si="113"/>
        <v>10</v>
      </c>
      <c r="Y508" s="149">
        <f t="shared" si="104"/>
        <v>573</v>
      </c>
      <c r="AA508" s="158">
        <f t="shared" si="105"/>
        <v>0.79406631762652702</v>
      </c>
      <c r="AB508" s="158">
        <f t="shared" si="105"/>
        <v>0.18848167539267016</v>
      </c>
      <c r="AC508" s="158">
        <f t="shared" si="105"/>
        <v>1.7452006980802792E-2</v>
      </c>
      <c r="AE508" s="148"/>
      <c r="AF508" s="161">
        <f t="shared" si="106"/>
        <v>271644.11980475276</v>
      </c>
      <c r="AG508" s="161">
        <f t="shared" si="114"/>
        <v>215703.44591825915</v>
      </c>
      <c r="AH508" s="162">
        <f t="shared" si="115"/>
        <v>8.491791688565435</v>
      </c>
      <c r="AI508" s="159"/>
      <c r="AJ508" s="157"/>
      <c r="AK508" s="157">
        <f t="shared" si="116"/>
        <v>8.0672021041371629</v>
      </c>
      <c r="AN508" s="161">
        <f t="shared" si="117"/>
        <v>81493.235941425824</v>
      </c>
    </row>
    <row r="509" spans="1:40">
      <c r="A509" s="156">
        <f>'BD Plant List'!A508</f>
        <v>55093</v>
      </c>
      <c r="B509" s="148">
        <f t="shared" si="120"/>
        <v>40</v>
      </c>
      <c r="C509" s="148">
        <f t="shared" si="119"/>
        <v>10</v>
      </c>
      <c r="D509" s="148">
        <f t="shared" si="119"/>
        <v>56</v>
      </c>
      <c r="E509" s="148">
        <f t="shared" si="119"/>
        <v>70</v>
      </c>
      <c r="F509" s="148">
        <f t="shared" si="119"/>
        <v>9</v>
      </c>
      <c r="G509" s="148">
        <f t="shared" si="119"/>
        <v>50</v>
      </c>
      <c r="H509" s="148">
        <f t="shared" si="118"/>
        <v>39</v>
      </c>
      <c r="I509" s="148">
        <f t="shared" si="118"/>
        <v>39</v>
      </c>
      <c r="J509" s="148">
        <f t="shared" si="118"/>
        <v>100</v>
      </c>
      <c r="K509" s="148">
        <f t="shared" si="118"/>
        <v>26</v>
      </c>
      <c r="L509" s="148">
        <f t="shared" si="118"/>
        <v>7</v>
      </c>
      <c r="M509" s="148">
        <f t="shared" si="118"/>
        <v>12</v>
      </c>
      <c r="N509" s="148">
        <f t="shared" si="118"/>
        <v>10</v>
      </c>
      <c r="O509" s="148">
        <f t="shared" si="118"/>
        <v>105</v>
      </c>
      <c r="P509" s="148">
        <f t="shared" si="103"/>
        <v>573</v>
      </c>
      <c r="R509" s="163">
        <f>Ethanol!AP24</f>
        <v>115494.53908005066</v>
      </c>
      <c r="S509" s="157">
        <f t="shared" si="109"/>
        <v>30.510192388776986</v>
      </c>
      <c r="T509" s="154">
        <f t="shared" si="110"/>
        <v>0.62693352597554464</v>
      </c>
      <c r="V509" s="149">
        <f t="shared" si="111"/>
        <v>455</v>
      </c>
      <c r="W509" s="149">
        <f t="shared" si="112"/>
        <v>108</v>
      </c>
      <c r="X509" s="149">
        <f t="shared" si="113"/>
        <v>10</v>
      </c>
      <c r="Y509" s="149">
        <f t="shared" si="104"/>
        <v>573</v>
      </c>
      <c r="AA509" s="158">
        <f t="shared" si="105"/>
        <v>0.79406631762652702</v>
      </c>
      <c r="AB509" s="158">
        <f t="shared" si="105"/>
        <v>0.18848167539267016</v>
      </c>
      <c r="AC509" s="158">
        <f t="shared" si="105"/>
        <v>1.7452006980802792E-2</v>
      </c>
      <c r="AE509" s="148"/>
      <c r="AF509" s="161">
        <f t="shared" si="106"/>
        <v>304135.6195774668</v>
      </c>
      <c r="AG509" s="161">
        <f t="shared" si="114"/>
        <v>241503.85149694135</v>
      </c>
      <c r="AH509" s="162">
        <f t="shared" si="115"/>
        <v>9.507499475346437</v>
      </c>
      <c r="AI509" s="159"/>
      <c r="AJ509" s="157"/>
      <c r="AK509" s="157">
        <f t="shared" si="116"/>
        <v>9.0321245015791156</v>
      </c>
      <c r="AN509" s="161">
        <f t="shared" si="117"/>
        <v>91240.685873240029</v>
      </c>
    </row>
    <row r="510" spans="1:40">
      <c r="A510" s="156">
        <f>'BD Plant List'!A509</f>
        <v>55123</v>
      </c>
      <c r="B510" s="148">
        <f t="shared" si="120"/>
        <v>40</v>
      </c>
      <c r="C510" s="148">
        <f t="shared" si="119"/>
        <v>10</v>
      </c>
      <c r="D510" s="148">
        <f t="shared" si="119"/>
        <v>56</v>
      </c>
      <c r="E510" s="148">
        <f t="shared" si="119"/>
        <v>70</v>
      </c>
      <c r="F510" s="148">
        <f t="shared" si="119"/>
        <v>9</v>
      </c>
      <c r="G510" s="148">
        <f t="shared" si="119"/>
        <v>50</v>
      </c>
      <c r="H510" s="148">
        <f t="shared" si="118"/>
        <v>39</v>
      </c>
      <c r="I510" s="148">
        <f t="shared" si="118"/>
        <v>39</v>
      </c>
      <c r="J510" s="148">
        <f t="shared" si="118"/>
        <v>100</v>
      </c>
      <c r="K510" s="148">
        <f t="shared" si="118"/>
        <v>26</v>
      </c>
      <c r="L510" s="148">
        <f t="shared" si="118"/>
        <v>7</v>
      </c>
      <c r="M510" s="148">
        <f t="shared" si="118"/>
        <v>12</v>
      </c>
      <c r="N510" s="148">
        <f t="shared" si="118"/>
        <v>10</v>
      </c>
      <c r="O510" s="148">
        <f t="shared" si="118"/>
        <v>105</v>
      </c>
      <c r="P510" s="148">
        <f t="shared" si="103"/>
        <v>573</v>
      </c>
      <c r="R510" s="163">
        <f>Ethanol!AP25</f>
        <v>107933.83561275247</v>
      </c>
      <c r="S510" s="157">
        <f t="shared" si="109"/>
        <v>28.512881353820823</v>
      </c>
      <c r="T510" s="154">
        <f t="shared" si="110"/>
        <v>0.60542185538944737</v>
      </c>
      <c r="V510" s="149">
        <f t="shared" si="111"/>
        <v>455</v>
      </c>
      <c r="W510" s="149">
        <f t="shared" si="112"/>
        <v>108</v>
      </c>
      <c r="X510" s="149">
        <f t="shared" si="113"/>
        <v>10</v>
      </c>
      <c r="Y510" s="149">
        <f t="shared" si="104"/>
        <v>573</v>
      </c>
      <c r="AA510" s="158">
        <f t="shared" si="105"/>
        <v>0.79406631762652702</v>
      </c>
      <c r="AB510" s="158">
        <f t="shared" si="105"/>
        <v>0.18848167539267016</v>
      </c>
      <c r="AC510" s="158">
        <f t="shared" si="105"/>
        <v>1.7452006980802792E-2</v>
      </c>
      <c r="AE510" s="148"/>
      <c r="AF510" s="161">
        <f t="shared" si="106"/>
        <v>284225.76711358153</v>
      </c>
      <c r="AG510" s="161">
        <f t="shared" si="114"/>
        <v>225694.10826645652</v>
      </c>
      <c r="AH510" s="162">
        <f t="shared" si="115"/>
        <v>8.885103084823033</v>
      </c>
      <c r="AI510" s="159"/>
      <c r="AJ510" s="157"/>
      <c r="AK510" s="157">
        <f t="shared" si="116"/>
        <v>8.4408479305818815</v>
      </c>
      <c r="AN510" s="161">
        <f t="shared" si="117"/>
        <v>85267.73013407446</v>
      </c>
    </row>
  </sheetData>
  <mergeCells count="30">
    <mergeCell ref="AK4:AK5"/>
    <mergeCell ref="AL4:AL5"/>
    <mergeCell ref="AM4:AM5"/>
    <mergeCell ref="AN4:AN5"/>
    <mergeCell ref="AO4:AO5"/>
    <mergeCell ref="R5:R6"/>
    <mergeCell ref="AE4:AE5"/>
    <mergeCell ref="AF4:AF5"/>
    <mergeCell ref="AG4:AG5"/>
    <mergeCell ref="AH4:AH5"/>
    <mergeCell ref="AI4:AI5"/>
    <mergeCell ref="AJ4:AJ5"/>
    <mergeCell ref="N1:N2"/>
    <mergeCell ref="O1:O2"/>
    <mergeCell ref="P1:P3"/>
    <mergeCell ref="R2:R3"/>
    <mergeCell ref="S2:S3"/>
    <mergeCell ref="T2:T3"/>
    <mergeCell ref="H1:H2"/>
    <mergeCell ref="I1:I2"/>
    <mergeCell ref="J1:J2"/>
    <mergeCell ref="K1:K2"/>
    <mergeCell ref="L1:L2"/>
    <mergeCell ref="M1:M2"/>
    <mergeCell ref="B1:B2"/>
    <mergeCell ref="C1:C2"/>
    <mergeCell ref="D1:D2"/>
    <mergeCell ref="E1:E2"/>
    <mergeCell ref="F1:F2"/>
    <mergeCell ref="G1: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7186-4419-4ECB-B55D-E508EEE4CD0D}">
  <dimension ref="A1:O426"/>
  <sheetViews>
    <sheetView workbookViewId="0">
      <pane xSplit="1" ySplit="6" topLeftCell="B7" activePane="bottomRight" state="frozen"/>
      <selection activeCell="A7" sqref="A7"/>
      <selection pane="topRight" activeCell="A7" sqref="A7"/>
      <selection pane="bottomLeft" activeCell="A7" sqref="A7"/>
      <selection pane="bottomRight" activeCell="A7" sqref="A7"/>
    </sheetView>
  </sheetViews>
  <sheetFormatPr defaultRowHeight="12.75"/>
  <cols>
    <col min="2" max="15" width="12.5" customWidth="1"/>
  </cols>
  <sheetData>
    <row r="1" spans="1:15">
      <c r="B1" s="147" t="s">
        <v>159</v>
      </c>
      <c r="C1" s="147" t="s">
        <v>160</v>
      </c>
      <c r="D1" s="147" t="s">
        <v>161</v>
      </c>
      <c r="E1" s="147" t="s">
        <v>161</v>
      </c>
      <c r="F1" s="147" t="s">
        <v>161</v>
      </c>
      <c r="G1" s="147" t="s">
        <v>161</v>
      </c>
      <c r="H1" s="147" t="s">
        <v>162</v>
      </c>
      <c r="I1" s="147" t="s">
        <v>162</v>
      </c>
      <c r="J1" s="147" t="s">
        <v>163</v>
      </c>
      <c r="K1" s="147" t="s">
        <v>164</v>
      </c>
      <c r="L1" s="147" t="s">
        <v>165</v>
      </c>
      <c r="M1" s="147" t="s">
        <v>166</v>
      </c>
      <c r="N1" s="147" t="s">
        <v>167</v>
      </c>
      <c r="O1" s="147" t="s">
        <v>168</v>
      </c>
    </row>
    <row r="2" spans="1:15">
      <c r="B2" s="147"/>
      <c r="C2" s="147"/>
      <c r="D2" s="147"/>
      <c r="E2" s="147"/>
      <c r="F2" s="147"/>
      <c r="G2" s="147"/>
      <c r="H2" s="147"/>
      <c r="I2" s="147"/>
      <c r="J2" s="147"/>
      <c r="K2" s="147"/>
      <c r="L2" s="147"/>
      <c r="M2" s="147"/>
      <c r="N2" s="147"/>
      <c r="O2" s="147"/>
    </row>
    <row r="3" spans="1:15">
      <c r="B3" s="149" t="s">
        <v>172</v>
      </c>
      <c r="C3" s="149" t="s">
        <v>173</v>
      </c>
      <c r="D3" s="149" t="s">
        <v>174</v>
      </c>
      <c r="E3" s="149" t="s">
        <v>175</v>
      </c>
      <c r="F3" s="149" t="s">
        <v>176</v>
      </c>
      <c r="G3" s="149" t="s">
        <v>177</v>
      </c>
      <c r="H3" s="149" t="s">
        <v>178</v>
      </c>
      <c r="I3" s="149" t="s">
        <v>179</v>
      </c>
      <c r="J3" s="149" t="s">
        <v>180</v>
      </c>
      <c r="K3" s="149" t="s">
        <v>180</v>
      </c>
      <c r="L3" s="149" t="s">
        <v>172</v>
      </c>
      <c r="M3" s="149" t="s">
        <v>173</v>
      </c>
      <c r="N3" s="149" t="s">
        <v>172</v>
      </c>
      <c r="O3" s="149" t="s">
        <v>181</v>
      </c>
    </row>
    <row r="4" spans="1:15">
      <c r="B4" s="149">
        <v>40</v>
      </c>
      <c r="C4" s="149">
        <v>10</v>
      </c>
      <c r="D4" s="149">
        <v>56</v>
      </c>
      <c r="E4" s="149">
        <v>70</v>
      </c>
      <c r="F4" s="149">
        <v>9</v>
      </c>
      <c r="G4" s="149">
        <v>50</v>
      </c>
      <c r="H4" s="149">
        <v>39</v>
      </c>
      <c r="I4" s="149">
        <v>39</v>
      </c>
      <c r="J4" s="149">
        <v>100</v>
      </c>
      <c r="K4" s="149">
        <v>26</v>
      </c>
      <c r="L4" s="149">
        <v>7</v>
      </c>
      <c r="M4" s="149">
        <v>12</v>
      </c>
      <c r="N4" s="149">
        <v>10</v>
      </c>
      <c r="O4" s="149">
        <v>105</v>
      </c>
    </row>
    <row r="5" spans="1:15">
      <c r="B5" s="149" t="s">
        <v>193</v>
      </c>
      <c r="C5" s="149" t="s">
        <v>194</v>
      </c>
      <c r="D5" s="149" t="s">
        <v>195</v>
      </c>
      <c r="E5" s="149" t="s">
        <v>195</v>
      </c>
      <c r="F5" s="149" t="s">
        <v>195</v>
      </c>
      <c r="G5" s="149" t="s">
        <v>195</v>
      </c>
      <c r="H5" s="149" t="s">
        <v>193</v>
      </c>
      <c r="I5" s="149" t="s">
        <v>195</v>
      </c>
      <c r="J5" s="149" t="s">
        <v>195</v>
      </c>
      <c r="K5" s="149" t="s">
        <v>195</v>
      </c>
      <c r="L5" s="149" t="s">
        <v>193</v>
      </c>
      <c r="M5" s="149" t="s">
        <v>193</v>
      </c>
      <c r="N5" s="149" t="s">
        <v>193</v>
      </c>
      <c r="O5" s="149" t="s">
        <v>195</v>
      </c>
    </row>
    <row r="7" spans="1:15">
      <c r="A7" s="156">
        <f>'Ethanol Plant List'!A7</f>
        <v>39814</v>
      </c>
    </row>
    <row r="8" spans="1:15">
      <c r="A8" s="156">
        <f>'Ethanol Plant List'!A8</f>
        <v>39845</v>
      </c>
    </row>
    <row r="9" spans="1:15">
      <c r="A9" s="156">
        <f>'Ethanol Plant List'!A9</f>
        <v>39873</v>
      </c>
    </row>
    <row r="10" spans="1:15">
      <c r="A10" s="156">
        <f>'Ethanol Plant List'!A10</f>
        <v>39904</v>
      </c>
    </row>
    <row r="11" spans="1:15">
      <c r="A11" s="156">
        <f>'Ethanol Plant List'!A11</f>
        <v>39934</v>
      </c>
    </row>
    <row r="12" spans="1:15">
      <c r="A12" s="156">
        <f>'Ethanol Plant List'!A12</f>
        <v>39965</v>
      </c>
    </row>
    <row r="13" spans="1:15">
      <c r="A13" s="156">
        <f>'Ethanol Plant List'!A13</f>
        <v>39995</v>
      </c>
    </row>
    <row r="14" spans="1:15">
      <c r="A14" s="156">
        <f>'Ethanol Plant List'!A14</f>
        <v>40026</v>
      </c>
    </row>
    <row r="15" spans="1:15">
      <c r="A15" s="156">
        <f>'Ethanol Plant List'!A15</f>
        <v>40057</v>
      </c>
    </row>
    <row r="16" spans="1:15">
      <c r="A16" s="156">
        <f>'Ethanol Plant List'!A16</f>
        <v>40087</v>
      </c>
    </row>
    <row r="17" spans="1:1">
      <c r="A17" s="156">
        <f>'Ethanol Plant List'!A17</f>
        <v>40118</v>
      </c>
    </row>
    <row r="18" spans="1:1">
      <c r="A18" s="156">
        <f>'Ethanol Plant List'!A18</f>
        <v>40148</v>
      </c>
    </row>
    <row r="19" spans="1:1">
      <c r="A19" s="156">
        <f>'Ethanol Plant List'!A19</f>
        <v>40179</v>
      </c>
    </row>
    <row r="20" spans="1:1">
      <c r="A20" s="156">
        <f>'Ethanol Plant List'!A20</f>
        <v>40210</v>
      </c>
    </row>
    <row r="21" spans="1:1">
      <c r="A21" s="156">
        <f>'Ethanol Plant List'!A21</f>
        <v>40238</v>
      </c>
    </row>
    <row r="22" spans="1:1">
      <c r="A22" s="156">
        <f>'Ethanol Plant List'!A22</f>
        <v>40269</v>
      </c>
    </row>
    <row r="23" spans="1:1">
      <c r="A23" s="156">
        <f>'Ethanol Plant List'!A23</f>
        <v>40299</v>
      </c>
    </row>
    <row r="24" spans="1:1">
      <c r="A24" s="156">
        <f>'Ethanol Plant List'!A24</f>
        <v>40330</v>
      </c>
    </row>
    <row r="25" spans="1:1">
      <c r="A25" s="156">
        <f>'Ethanol Plant List'!A25</f>
        <v>40360</v>
      </c>
    </row>
    <row r="26" spans="1:1">
      <c r="A26" s="156">
        <f>'Ethanol Plant List'!A26</f>
        <v>40391</v>
      </c>
    </row>
    <row r="27" spans="1:1">
      <c r="A27" s="156">
        <f>'Ethanol Plant List'!A27</f>
        <v>40422</v>
      </c>
    </row>
    <row r="28" spans="1:1">
      <c r="A28" s="156">
        <f>'Ethanol Plant List'!A28</f>
        <v>40452</v>
      </c>
    </row>
    <row r="29" spans="1:1">
      <c r="A29" s="156">
        <f>'Ethanol Plant List'!A29</f>
        <v>40483</v>
      </c>
    </row>
    <row r="30" spans="1:1">
      <c r="A30" s="156">
        <f>'Ethanol Plant List'!A30</f>
        <v>40513</v>
      </c>
    </row>
    <row r="31" spans="1:1">
      <c r="A31" s="156">
        <f>'Ethanol Plant List'!A31</f>
        <v>40544</v>
      </c>
    </row>
    <row r="32" spans="1:1">
      <c r="A32" s="156">
        <f>'Ethanol Plant List'!A32</f>
        <v>40575</v>
      </c>
    </row>
    <row r="33" spans="1:1">
      <c r="A33" s="156">
        <f>'Ethanol Plant List'!A33</f>
        <v>40603</v>
      </c>
    </row>
    <row r="34" spans="1:1">
      <c r="A34" s="156">
        <f>'Ethanol Plant List'!A34</f>
        <v>40634</v>
      </c>
    </row>
    <row r="35" spans="1:1">
      <c r="A35" s="156">
        <f>'Ethanol Plant List'!A35</f>
        <v>40664</v>
      </c>
    </row>
    <row r="36" spans="1:1">
      <c r="A36" s="156">
        <f>'Ethanol Plant List'!A36</f>
        <v>40695</v>
      </c>
    </row>
    <row r="37" spans="1:1">
      <c r="A37" s="156">
        <f>'Ethanol Plant List'!A37</f>
        <v>40725</v>
      </c>
    </row>
    <row r="38" spans="1:1">
      <c r="A38" s="156">
        <f>'Ethanol Plant List'!A38</f>
        <v>40756</v>
      </c>
    </row>
    <row r="39" spans="1:1">
      <c r="A39" s="156">
        <f>'Ethanol Plant List'!A39</f>
        <v>40787</v>
      </c>
    </row>
    <row r="40" spans="1:1">
      <c r="A40" s="156">
        <f>'Ethanol Plant List'!A40</f>
        <v>40817</v>
      </c>
    </row>
    <row r="41" spans="1:1">
      <c r="A41" s="156">
        <f>'Ethanol Plant List'!A41</f>
        <v>40848</v>
      </c>
    </row>
    <row r="42" spans="1:1">
      <c r="A42" s="156">
        <f>'Ethanol Plant List'!A42</f>
        <v>40878</v>
      </c>
    </row>
    <row r="43" spans="1:1">
      <c r="A43" s="156">
        <f>'Ethanol Plant List'!A43</f>
        <v>40909</v>
      </c>
    </row>
    <row r="44" spans="1:1">
      <c r="A44" s="156">
        <f>'Ethanol Plant List'!A44</f>
        <v>40940</v>
      </c>
    </row>
    <row r="45" spans="1:1">
      <c r="A45" s="156">
        <f>'Ethanol Plant List'!A45</f>
        <v>40969</v>
      </c>
    </row>
    <row r="46" spans="1:1">
      <c r="A46" s="156">
        <f>'Ethanol Plant List'!A46</f>
        <v>41000</v>
      </c>
    </row>
    <row r="47" spans="1:1">
      <c r="A47" s="156">
        <f>'Ethanol Plant List'!A47</f>
        <v>41030</v>
      </c>
    </row>
    <row r="48" spans="1:1">
      <c r="A48" s="156">
        <f>'Ethanol Plant List'!A48</f>
        <v>41061</v>
      </c>
    </row>
    <row r="49" spans="1:1">
      <c r="A49" s="156">
        <f>'Ethanol Plant List'!A49</f>
        <v>41091</v>
      </c>
    </row>
    <row r="50" spans="1:1">
      <c r="A50" s="156">
        <f>'Ethanol Plant List'!A50</f>
        <v>41122</v>
      </c>
    </row>
    <row r="51" spans="1:1">
      <c r="A51" s="156">
        <f>'Ethanol Plant List'!A51</f>
        <v>41153</v>
      </c>
    </row>
    <row r="52" spans="1:1">
      <c r="A52" s="156">
        <f>'Ethanol Plant List'!A52</f>
        <v>41183</v>
      </c>
    </row>
    <row r="53" spans="1:1">
      <c r="A53" s="156">
        <f>'Ethanol Plant List'!A53</f>
        <v>41214</v>
      </c>
    </row>
    <row r="54" spans="1:1">
      <c r="A54" s="156">
        <f>'Ethanol Plant List'!A54</f>
        <v>41244</v>
      </c>
    </row>
    <row r="55" spans="1:1">
      <c r="A55" s="156">
        <f>'Ethanol Plant List'!A55</f>
        <v>41275</v>
      </c>
    </row>
    <row r="56" spans="1:1">
      <c r="A56" s="156">
        <f>'Ethanol Plant List'!A56</f>
        <v>41306</v>
      </c>
    </row>
    <row r="57" spans="1:1">
      <c r="A57" s="156">
        <f>'Ethanol Plant List'!A57</f>
        <v>41334</v>
      </c>
    </row>
    <row r="58" spans="1:1">
      <c r="A58" s="156">
        <f>'Ethanol Plant List'!A58</f>
        <v>41365</v>
      </c>
    </row>
    <row r="59" spans="1:1">
      <c r="A59" s="156">
        <f>'Ethanol Plant List'!A59</f>
        <v>41395</v>
      </c>
    </row>
    <row r="60" spans="1:1">
      <c r="A60" s="156">
        <f>'Ethanol Plant List'!A60</f>
        <v>41426</v>
      </c>
    </row>
    <row r="61" spans="1:1">
      <c r="A61" s="156">
        <f>'Ethanol Plant List'!A61</f>
        <v>41456</v>
      </c>
    </row>
    <row r="62" spans="1:1">
      <c r="A62" s="156">
        <f>'Ethanol Plant List'!A62</f>
        <v>41487</v>
      </c>
    </row>
    <row r="63" spans="1:1">
      <c r="A63" s="156">
        <f>'Ethanol Plant List'!A63</f>
        <v>41518</v>
      </c>
    </row>
    <row r="64" spans="1:1">
      <c r="A64" s="156">
        <f>'Ethanol Plant List'!A64</f>
        <v>41548</v>
      </c>
    </row>
    <row r="65" spans="1:1">
      <c r="A65" s="156">
        <f>'Ethanol Plant List'!A65</f>
        <v>41579</v>
      </c>
    </row>
    <row r="66" spans="1:1">
      <c r="A66" s="156">
        <f>'Ethanol Plant List'!A66</f>
        <v>41609</v>
      </c>
    </row>
    <row r="67" spans="1:1">
      <c r="A67" s="156">
        <f>'Ethanol Plant List'!A67</f>
        <v>41640</v>
      </c>
    </row>
    <row r="68" spans="1:1">
      <c r="A68" s="156">
        <f>'Ethanol Plant List'!A68</f>
        <v>41671</v>
      </c>
    </row>
    <row r="69" spans="1:1">
      <c r="A69" s="156">
        <f>'Ethanol Plant List'!A69</f>
        <v>41699</v>
      </c>
    </row>
    <row r="70" spans="1:1">
      <c r="A70" s="156">
        <f>'Ethanol Plant List'!A70</f>
        <v>41730</v>
      </c>
    </row>
    <row r="71" spans="1:1">
      <c r="A71" s="156">
        <f>'Ethanol Plant List'!A71</f>
        <v>41760</v>
      </c>
    </row>
    <row r="72" spans="1:1">
      <c r="A72" s="156">
        <f>'Ethanol Plant List'!A72</f>
        <v>41791</v>
      </c>
    </row>
    <row r="73" spans="1:1">
      <c r="A73" s="156">
        <f>'Ethanol Plant List'!A73</f>
        <v>41821</v>
      </c>
    </row>
    <row r="74" spans="1:1">
      <c r="A74" s="156">
        <f>'Ethanol Plant List'!A74</f>
        <v>41852</v>
      </c>
    </row>
    <row r="75" spans="1:1">
      <c r="A75" s="156">
        <f>'Ethanol Plant List'!A75</f>
        <v>41883</v>
      </c>
    </row>
    <row r="76" spans="1:1">
      <c r="A76" s="156">
        <f>'Ethanol Plant List'!A76</f>
        <v>41913</v>
      </c>
    </row>
    <row r="77" spans="1:1">
      <c r="A77" s="156">
        <f>'Ethanol Plant List'!A77</f>
        <v>41944</v>
      </c>
    </row>
    <row r="78" spans="1:1">
      <c r="A78" s="156">
        <f>'Ethanol Plant List'!A78</f>
        <v>41974</v>
      </c>
    </row>
    <row r="79" spans="1:1">
      <c r="A79" s="156">
        <f>'Ethanol Plant List'!A79</f>
        <v>42005</v>
      </c>
    </row>
    <row r="80" spans="1:1">
      <c r="A80" s="156">
        <f>'Ethanol Plant List'!A80</f>
        <v>42036</v>
      </c>
    </row>
    <row r="81" spans="1:1">
      <c r="A81" s="156">
        <f>'Ethanol Plant List'!A81</f>
        <v>42064</v>
      </c>
    </row>
    <row r="82" spans="1:1">
      <c r="A82" s="156">
        <f>'Ethanol Plant List'!A82</f>
        <v>42095</v>
      </c>
    </row>
    <row r="83" spans="1:1">
      <c r="A83" s="156">
        <f>'Ethanol Plant List'!A83</f>
        <v>42125</v>
      </c>
    </row>
    <row r="84" spans="1:1">
      <c r="A84" s="156">
        <f>'Ethanol Plant List'!A84</f>
        <v>42156</v>
      </c>
    </row>
    <row r="85" spans="1:1">
      <c r="A85" s="156">
        <f>'Ethanol Plant List'!A85</f>
        <v>42186</v>
      </c>
    </row>
    <row r="86" spans="1:1">
      <c r="A86" s="156">
        <f>'Ethanol Plant List'!A86</f>
        <v>42217</v>
      </c>
    </row>
    <row r="87" spans="1:1">
      <c r="A87" s="156">
        <f>'Ethanol Plant List'!A87</f>
        <v>42248</v>
      </c>
    </row>
    <row r="88" spans="1:1">
      <c r="A88" s="156">
        <f>'Ethanol Plant List'!A88</f>
        <v>42278</v>
      </c>
    </row>
    <row r="89" spans="1:1">
      <c r="A89" s="156">
        <f>'Ethanol Plant List'!A89</f>
        <v>42309</v>
      </c>
    </row>
    <row r="90" spans="1:1">
      <c r="A90" s="156">
        <f>'Ethanol Plant List'!A90</f>
        <v>42339</v>
      </c>
    </row>
    <row r="91" spans="1:1">
      <c r="A91" s="156">
        <f>'Ethanol Plant List'!A91</f>
        <v>42370</v>
      </c>
    </row>
    <row r="92" spans="1:1">
      <c r="A92" s="156">
        <f>'Ethanol Plant List'!A92</f>
        <v>42401</v>
      </c>
    </row>
    <row r="93" spans="1:1">
      <c r="A93" s="156">
        <f>'Ethanol Plant List'!A93</f>
        <v>42430</v>
      </c>
    </row>
    <row r="94" spans="1:1">
      <c r="A94" s="156">
        <f>'Ethanol Plant List'!A94</f>
        <v>42461</v>
      </c>
    </row>
    <row r="95" spans="1:1">
      <c r="A95" s="156">
        <f>'Ethanol Plant List'!A95</f>
        <v>42491</v>
      </c>
    </row>
    <row r="96" spans="1:1">
      <c r="A96" s="156">
        <f>'Ethanol Plant List'!A96</f>
        <v>42522</v>
      </c>
    </row>
    <row r="97" spans="1:1">
      <c r="A97" s="156">
        <f>'Ethanol Plant List'!A97</f>
        <v>42552</v>
      </c>
    </row>
    <row r="98" spans="1:1">
      <c r="A98" s="156">
        <f>'Ethanol Plant List'!A98</f>
        <v>42583</v>
      </c>
    </row>
    <row r="99" spans="1:1">
      <c r="A99" s="156">
        <f>'Ethanol Plant List'!A99</f>
        <v>42614</v>
      </c>
    </row>
    <row r="100" spans="1:1">
      <c r="A100" s="156">
        <f>'Ethanol Plant List'!A100</f>
        <v>42644</v>
      </c>
    </row>
    <row r="101" spans="1:1">
      <c r="A101" s="156">
        <f>'Ethanol Plant List'!A101</f>
        <v>42675</v>
      </c>
    </row>
    <row r="102" spans="1:1">
      <c r="A102" s="156">
        <f>'Ethanol Plant List'!A102</f>
        <v>42705</v>
      </c>
    </row>
    <row r="103" spans="1:1">
      <c r="A103" s="156">
        <f>'Ethanol Plant List'!A103</f>
        <v>42736</v>
      </c>
    </row>
    <row r="104" spans="1:1">
      <c r="A104" s="156">
        <f>'Ethanol Plant List'!A104</f>
        <v>42767</v>
      </c>
    </row>
    <row r="105" spans="1:1">
      <c r="A105" s="156">
        <f>'Ethanol Plant List'!A105</f>
        <v>42795</v>
      </c>
    </row>
    <row r="106" spans="1:1">
      <c r="A106" s="156">
        <f>'Ethanol Plant List'!A106</f>
        <v>42826</v>
      </c>
    </row>
    <row r="107" spans="1:1">
      <c r="A107" s="156">
        <f>'Ethanol Plant List'!A107</f>
        <v>42856</v>
      </c>
    </row>
    <row r="108" spans="1:1">
      <c r="A108" s="156">
        <f>'Ethanol Plant List'!A108</f>
        <v>42887</v>
      </c>
    </row>
    <row r="109" spans="1:1">
      <c r="A109" s="156">
        <f>'Ethanol Plant List'!A109</f>
        <v>42917</v>
      </c>
    </row>
    <row r="110" spans="1:1">
      <c r="A110" s="156">
        <f>'Ethanol Plant List'!A110</f>
        <v>42948</v>
      </c>
    </row>
    <row r="111" spans="1:1">
      <c r="A111" s="156">
        <f>'Ethanol Plant List'!A111</f>
        <v>42979</v>
      </c>
    </row>
    <row r="112" spans="1:1">
      <c r="A112" s="156">
        <f>'Ethanol Plant List'!A112</f>
        <v>43009</v>
      </c>
    </row>
    <row r="113" spans="1:1">
      <c r="A113" s="156">
        <f>'Ethanol Plant List'!A113</f>
        <v>43040</v>
      </c>
    </row>
    <row r="114" spans="1:1">
      <c r="A114" s="156">
        <f>'Ethanol Plant List'!A114</f>
        <v>43070</v>
      </c>
    </row>
    <row r="115" spans="1:1">
      <c r="A115" s="156">
        <f>'Ethanol Plant List'!A115</f>
        <v>43101</v>
      </c>
    </row>
    <row r="116" spans="1:1">
      <c r="A116" s="156">
        <f>'Ethanol Plant List'!A116</f>
        <v>43132</v>
      </c>
    </row>
    <row r="117" spans="1:1">
      <c r="A117" s="156">
        <f>'Ethanol Plant List'!A117</f>
        <v>43160</v>
      </c>
    </row>
    <row r="118" spans="1:1">
      <c r="A118" s="156">
        <f>'Ethanol Plant List'!A118</f>
        <v>43191</v>
      </c>
    </row>
    <row r="119" spans="1:1">
      <c r="A119" s="156">
        <f>'Ethanol Plant List'!A119</f>
        <v>43221</v>
      </c>
    </row>
    <row r="120" spans="1:1">
      <c r="A120" s="156">
        <f>'Ethanol Plant List'!A120</f>
        <v>43252</v>
      </c>
    </row>
    <row r="121" spans="1:1">
      <c r="A121" s="156">
        <f>'Ethanol Plant List'!A121</f>
        <v>43282</v>
      </c>
    </row>
    <row r="122" spans="1:1">
      <c r="A122" s="156">
        <f>'Ethanol Plant List'!A122</f>
        <v>43313</v>
      </c>
    </row>
    <row r="123" spans="1:1">
      <c r="A123" s="156">
        <f>'Ethanol Plant List'!A123</f>
        <v>43344</v>
      </c>
    </row>
    <row r="124" spans="1:1">
      <c r="A124" s="156">
        <f>'Ethanol Plant List'!A124</f>
        <v>43374</v>
      </c>
    </row>
    <row r="125" spans="1:1">
      <c r="A125" s="156">
        <f>'Ethanol Plant List'!A125</f>
        <v>43405</v>
      </c>
    </row>
    <row r="126" spans="1:1">
      <c r="A126" s="156">
        <f>'Ethanol Plant List'!A126</f>
        <v>43435</v>
      </c>
    </row>
    <row r="127" spans="1:1">
      <c r="A127" s="156">
        <f>'Ethanol Plant List'!A127</f>
        <v>43466</v>
      </c>
    </row>
    <row r="128" spans="1:1">
      <c r="A128" s="156">
        <f>'Ethanol Plant List'!A128</f>
        <v>43497</v>
      </c>
    </row>
    <row r="129" spans="1:1">
      <c r="A129" s="156">
        <f>'Ethanol Plant List'!A129</f>
        <v>43525</v>
      </c>
    </row>
    <row r="130" spans="1:1">
      <c r="A130" s="156">
        <f>'Ethanol Plant List'!A130</f>
        <v>43556</v>
      </c>
    </row>
    <row r="131" spans="1:1">
      <c r="A131" s="156">
        <f>'Ethanol Plant List'!A131</f>
        <v>43586</v>
      </c>
    </row>
    <row r="132" spans="1:1">
      <c r="A132" s="156">
        <f>'Ethanol Plant List'!A132</f>
        <v>43617</v>
      </c>
    </row>
    <row r="133" spans="1:1">
      <c r="A133" s="156">
        <f>'Ethanol Plant List'!A133</f>
        <v>43647</v>
      </c>
    </row>
    <row r="134" spans="1:1">
      <c r="A134" s="156">
        <f>'Ethanol Plant List'!A134</f>
        <v>43678</v>
      </c>
    </row>
    <row r="135" spans="1:1">
      <c r="A135" s="156">
        <f>'Ethanol Plant List'!A135</f>
        <v>43709</v>
      </c>
    </row>
    <row r="136" spans="1:1">
      <c r="A136" s="156">
        <f>'Ethanol Plant List'!A136</f>
        <v>43739</v>
      </c>
    </row>
    <row r="137" spans="1:1">
      <c r="A137" s="156">
        <f>'Ethanol Plant List'!A137</f>
        <v>43770</v>
      </c>
    </row>
    <row r="138" spans="1:1">
      <c r="A138" s="156">
        <f>'Ethanol Plant List'!A138</f>
        <v>43800</v>
      </c>
    </row>
    <row r="139" spans="1:1">
      <c r="A139" s="156">
        <f>'Ethanol Plant List'!A139</f>
        <v>43831</v>
      </c>
    </row>
    <row r="140" spans="1:1">
      <c r="A140" s="156">
        <f>'Ethanol Plant List'!A140</f>
        <v>43862</v>
      </c>
    </row>
    <row r="141" spans="1:1">
      <c r="A141" s="156">
        <f>'Ethanol Plant List'!A141</f>
        <v>43891</v>
      </c>
    </row>
    <row r="142" spans="1:1">
      <c r="A142" s="156">
        <f>'Ethanol Plant List'!A142</f>
        <v>43922</v>
      </c>
    </row>
    <row r="143" spans="1:1">
      <c r="A143" s="156">
        <f>'Ethanol Plant List'!A143</f>
        <v>43952</v>
      </c>
    </row>
    <row r="144" spans="1:1">
      <c r="A144" s="156">
        <f>'Ethanol Plant List'!A144</f>
        <v>43983</v>
      </c>
    </row>
    <row r="145" spans="1:1">
      <c r="A145" s="156">
        <f>'Ethanol Plant List'!A145</f>
        <v>44013</v>
      </c>
    </row>
    <row r="146" spans="1:1">
      <c r="A146" s="156">
        <f>'Ethanol Plant List'!A146</f>
        <v>44044</v>
      </c>
    </row>
    <row r="147" spans="1:1">
      <c r="A147" s="156">
        <f>'Ethanol Plant List'!A147</f>
        <v>44075</v>
      </c>
    </row>
    <row r="148" spans="1:1">
      <c r="A148" s="156">
        <f>'Ethanol Plant List'!A148</f>
        <v>44105</v>
      </c>
    </row>
    <row r="149" spans="1:1">
      <c r="A149" s="156">
        <f>'Ethanol Plant List'!A149</f>
        <v>44136</v>
      </c>
    </row>
    <row r="150" spans="1:1">
      <c r="A150" s="156">
        <f>'Ethanol Plant List'!A150</f>
        <v>44166</v>
      </c>
    </row>
    <row r="151" spans="1:1">
      <c r="A151" s="156">
        <f>'Ethanol Plant List'!A151</f>
        <v>44197</v>
      </c>
    </row>
    <row r="152" spans="1:1">
      <c r="A152" s="156">
        <f>'Ethanol Plant List'!A152</f>
        <v>44228</v>
      </c>
    </row>
    <row r="153" spans="1:1">
      <c r="A153" s="156">
        <f>'Ethanol Plant List'!A153</f>
        <v>44256</v>
      </c>
    </row>
    <row r="154" spans="1:1">
      <c r="A154" s="156">
        <f>'Ethanol Plant List'!A154</f>
        <v>44287</v>
      </c>
    </row>
    <row r="155" spans="1:1">
      <c r="A155" s="156">
        <f>'Ethanol Plant List'!A155</f>
        <v>44317</v>
      </c>
    </row>
    <row r="156" spans="1:1">
      <c r="A156" s="156">
        <f>'Ethanol Plant List'!A156</f>
        <v>44348</v>
      </c>
    </row>
    <row r="157" spans="1:1">
      <c r="A157" s="156">
        <f>'Ethanol Plant List'!A157</f>
        <v>44378</v>
      </c>
    </row>
    <row r="158" spans="1:1">
      <c r="A158" s="156">
        <f>'Ethanol Plant List'!A158</f>
        <v>44409</v>
      </c>
    </row>
    <row r="159" spans="1:1">
      <c r="A159" s="156">
        <f>'Ethanol Plant List'!A159</f>
        <v>44440</v>
      </c>
    </row>
    <row r="160" spans="1:1">
      <c r="A160" s="156">
        <f>'Ethanol Plant List'!A160</f>
        <v>44470</v>
      </c>
    </row>
    <row r="161" spans="1:1">
      <c r="A161" s="156">
        <f>'Ethanol Plant List'!A161</f>
        <v>44501</v>
      </c>
    </row>
    <row r="162" spans="1:1">
      <c r="A162" s="156">
        <f>'Ethanol Plant List'!A162</f>
        <v>44531</v>
      </c>
    </row>
    <row r="163" spans="1:1">
      <c r="A163" s="156">
        <f>'Ethanol Plant List'!A163</f>
        <v>44562</v>
      </c>
    </row>
    <row r="164" spans="1:1">
      <c r="A164" s="156">
        <f>'Ethanol Plant List'!A164</f>
        <v>44593</v>
      </c>
    </row>
    <row r="165" spans="1:1">
      <c r="A165" s="156">
        <f>'Ethanol Plant List'!A165</f>
        <v>44621</v>
      </c>
    </row>
    <row r="166" spans="1:1">
      <c r="A166" s="156">
        <f>'Ethanol Plant List'!A166</f>
        <v>44652</v>
      </c>
    </row>
    <row r="167" spans="1:1">
      <c r="A167" s="156">
        <f>'Ethanol Plant List'!A167</f>
        <v>44682</v>
      </c>
    </row>
    <row r="168" spans="1:1">
      <c r="A168" s="156">
        <f>'Ethanol Plant List'!A168</f>
        <v>44713</v>
      </c>
    </row>
    <row r="169" spans="1:1">
      <c r="A169" s="156">
        <f>'Ethanol Plant List'!A169</f>
        <v>44743</v>
      </c>
    </row>
    <row r="170" spans="1:1">
      <c r="A170" s="156">
        <f>'Ethanol Plant List'!A170</f>
        <v>44774</v>
      </c>
    </row>
    <row r="171" spans="1:1">
      <c r="A171" s="156">
        <f>'Ethanol Plant List'!A171</f>
        <v>44805</v>
      </c>
    </row>
    <row r="172" spans="1:1">
      <c r="A172" s="156">
        <f>'Ethanol Plant List'!A172</f>
        <v>44835</v>
      </c>
    </row>
    <row r="173" spans="1:1">
      <c r="A173" s="156">
        <f>'Ethanol Plant List'!A173</f>
        <v>44866</v>
      </c>
    </row>
    <row r="174" spans="1:1">
      <c r="A174" s="156">
        <f>'Ethanol Plant List'!A174</f>
        <v>44896</v>
      </c>
    </row>
    <row r="175" spans="1:1">
      <c r="A175" s="156">
        <f>'Ethanol Plant List'!A175</f>
        <v>44927</v>
      </c>
    </row>
    <row r="176" spans="1:1">
      <c r="A176" s="156">
        <f>'Ethanol Plant List'!A176</f>
        <v>44958</v>
      </c>
    </row>
    <row r="177" spans="1:1">
      <c r="A177" s="156">
        <f>'Ethanol Plant List'!A177</f>
        <v>44986</v>
      </c>
    </row>
    <row r="178" spans="1:1">
      <c r="A178" s="156">
        <f>'Ethanol Plant List'!A178</f>
        <v>45017</v>
      </c>
    </row>
    <row r="179" spans="1:1">
      <c r="A179" s="156">
        <f>'Ethanol Plant List'!A179</f>
        <v>45047</v>
      </c>
    </row>
    <row r="180" spans="1:1">
      <c r="A180" s="156">
        <f>'Ethanol Plant List'!A180</f>
        <v>45078</v>
      </c>
    </row>
    <row r="181" spans="1:1">
      <c r="A181" s="156">
        <f>'Ethanol Plant List'!A181</f>
        <v>45108</v>
      </c>
    </row>
    <row r="182" spans="1:1">
      <c r="A182" s="156">
        <f>'Ethanol Plant List'!A182</f>
        <v>45139</v>
      </c>
    </row>
    <row r="183" spans="1:1">
      <c r="A183" s="156">
        <f>'Ethanol Plant List'!A183</f>
        <v>45170</v>
      </c>
    </row>
    <row r="184" spans="1:1">
      <c r="A184" s="156">
        <f>'Ethanol Plant List'!A184</f>
        <v>45200</v>
      </c>
    </row>
    <row r="185" spans="1:1">
      <c r="A185" s="156">
        <f>'Ethanol Plant List'!A185</f>
        <v>45231</v>
      </c>
    </row>
    <row r="186" spans="1:1">
      <c r="A186" s="156">
        <f>'Ethanol Plant List'!A186</f>
        <v>45261</v>
      </c>
    </row>
    <row r="187" spans="1:1">
      <c r="A187" s="156">
        <f>'Ethanol Plant List'!A187</f>
        <v>45292</v>
      </c>
    </row>
    <row r="188" spans="1:1">
      <c r="A188" s="156">
        <f>'Ethanol Plant List'!A188</f>
        <v>45323</v>
      </c>
    </row>
    <row r="189" spans="1:1">
      <c r="A189" s="156">
        <f>'Ethanol Plant List'!A189</f>
        <v>45352</v>
      </c>
    </row>
    <row r="190" spans="1:1">
      <c r="A190" s="156">
        <f>'Ethanol Plant List'!A190</f>
        <v>45383</v>
      </c>
    </row>
    <row r="191" spans="1:1">
      <c r="A191" s="156">
        <f>'Ethanol Plant List'!A191</f>
        <v>45413</v>
      </c>
    </row>
    <row r="192" spans="1:1">
      <c r="A192" s="156">
        <f>'Ethanol Plant List'!A192</f>
        <v>45444</v>
      </c>
    </row>
    <row r="193" spans="1:1">
      <c r="A193" s="156">
        <f>'Ethanol Plant List'!A193</f>
        <v>45474</v>
      </c>
    </row>
    <row r="194" spans="1:1">
      <c r="A194" s="156">
        <f>'Ethanol Plant List'!A194</f>
        <v>45505</v>
      </c>
    </row>
    <row r="195" spans="1:1">
      <c r="A195" s="156">
        <f>'Ethanol Plant List'!A195</f>
        <v>45536</v>
      </c>
    </row>
    <row r="196" spans="1:1">
      <c r="A196" s="156">
        <f>'Ethanol Plant List'!A196</f>
        <v>45566</v>
      </c>
    </row>
    <row r="197" spans="1:1">
      <c r="A197" s="156">
        <f>'Ethanol Plant List'!A197</f>
        <v>45597</v>
      </c>
    </row>
    <row r="198" spans="1:1">
      <c r="A198" s="156">
        <f>'Ethanol Plant List'!A198</f>
        <v>45627</v>
      </c>
    </row>
    <row r="199" spans="1:1">
      <c r="A199" s="156">
        <f>'Ethanol Plant List'!A199</f>
        <v>45658</v>
      </c>
    </row>
    <row r="200" spans="1:1">
      <c r="A200" s="156">
        <f>'Ethanol Plant List'!A200</f>
        <v>45689</v>
      </c>
    </row>
    <row r="201" spans="1:1">
      <c r="A201" s="156">
        <f>'Ethanol Plant List'!A201</f>
        <v>45717</v>
      </c>
    </row>
    <row r="202" spans="1:1">
      <c r="A202" s="156">
        <f>'Ethanol Plant List'!A202</f>
        <v>45748</v>
      </c>
    </row>
    <row r="203" spans="1:1">
      <c r="A203" s="156">
        <f>'Ethanol Plant List'!A203</f>
        <v>45778</v>
      </c>
    </row>
    <row r="204" spans="1:1">
      <c r="A204" s="156">
        <f>'Ethanol Plant List'!A204</f>
        <v>45809</v>
      </c>
    </row>
    <row r="205" spans="1:1">
      <c r="A205" s="156">
        <f>'Ethanol Plant List'!A205</f>
        <v>45839</v>
      </c>
    </row>
    <row r="206" spans="1:1">
      <c r="A206" s="156">
        <f>'Ethanol Plant List'!A206</f>
        <v>45870</v>
      </c>
    </row>
    <row r="207" spans="1:1">
      <c r="A207" s="156">
        <f>'Ethanol Plant List'!A207</f>
        <v>45901</v>
      </c>
    </row>
    <row r="208" spans="1:1">
      <c r="A208" s="156">
        <f>'Ethanol Plant List'!A208</f>
        <v>45931</v>
      </c>
    </row>
    <row r="209" spans="1:1">
      <c r="A209" s="156">
        <f>'Ethanol Plant List'!A209</f>
        <v>45962</v>
      </c>
    </row>
    <row r="210" spans="1:1">
      <c r="A210" s="156">
        <f>'Ethanol Plant List'!A210</f>
        <v>45992</v>
      </c>
    </row>
    <row r="211" spans="1:1">
      <c r="A211" s="156">
        <f>'Ethanol Plant List'!A211</f>
        <v>46023</v>
      </c>
    </row>
    <row r="212" spans="1:1">
      <c r="A212" s="156">
        <f>'Ethanol Plant List'!A212</f>
        <v>46054</v>
      </c>
    </row>
    <row r="213" spans="1:1">
      <c r="A213" s="156">
        <f>'Ethanol Plant List'!A213</f>
        <v>46082</v>
      </c>
    </row>
    <row r="214" spans="1:1">
      <c r="A214" s="156">
        <f>'Ethanol Plant List'!A214</f>
        <v>46113</v>
      </c>
    </row>
    <row r="215" spans="1:1">
      <c r="A215" s="156">
        <f>'Ethanol Plant List'!A215</f>
        <v>46143</v>
      </c>
    </row>
    <row r="216" spans="1:1">
      <c r="A216" s="156">
        <f>'Ethanol Plant List'!A216</f>
        <v>46174</v>
      </c>
    </row>
    <row r="217" spans="1:1">
      <c r="A217" s="156">
        <f>'Ethanol Plant List'!A217</f>
        <v>46204</v>
      </c>
    </row>
    <row r="218" spans="1:1">
      <c r="A218" s="156">
        <f>'Ethanol Plant List'!A218</f>
        <v>46235</v>
      </c>
    </row>
    <row r="219" spans="1:1">
      <c r="A219" s="156">
        <f>'Ethanol Plant List'!A219</f>
        <v>46266</v>
      </c>
    </row>
    <row r="220" spans="1:1">
      <c r="A220" s="156">
        <f>'Ethanol Plant List'!A220</f>
        <v>46296</v>
      </c>
    </row>
    <row r="221" spans="1:1">
      <c r="A221" s="156">
        <f>'Ethanol Plant List'!A221</f>
        <v>46327</v>
      </c>
    </row>
    <row r="222" spans="1:1">
      <c r="A222" s="156">
        <f>'Ethanol Plant List'!A222</f>
        <v>46357</v>
      </c>
    </row>
    <row r="223" spans="1:1">
      <c r="A223" s="156">
        <f>'Ethanol Plant List'!A223</f>
        <v>46388</v>
      </c>
    </row>
    <row r="224" spans="1:1">
      <c r="A224" s="156">
        <f>'Ethanol Plant List'!A224</f>
        <v>46419</v>
      </c>
    </row>
    <row r="225" spans="1:1">
      <c r="A225" s="156">
        <f>'Ethanol Plant List'!A225</f>
        <v>46447</v>
      </c>
    </row>
    <row r="226" spans="1:1">
      <c r="A226" s="156">
        <f>'Ethanol Plant List'!A226</f>
        <v>46478</v>
      </c>
    </row>
    <row r="227" spans="1:1">
      <c r="A227" s="156">
        <f>'Ethanol Plant List'!A227</f>
        <v>46508</v>
      </c>
    </row>
    <row r="228" spans="1:1">
      <c r="A228" s="156">
        <f>'Ethanol Plant List'!A228</f>
        <v>46539</v>
      </c>
    </row>
    <row r="229" spans="1:1">
      <c r="A229" s="156">
        <f>'Ethanol Plant List'!A229</f>
        <v>46569</v>
      </c>
    </row>
    <row r="230" spans="1:1">
      <c r="A230" s="156">
        <f>'Ethanol Plant List'!A230</f>
        <v>46600</v>
      </c>
    </row>
    <row r="231" spans="1:1">
      <c r="A231" s="156">
        <f>'Ethanol Plant List'!A231</f>
        <v>46631</v>
      </c>
    </row>
    <row r="232" spans="1:1">
      <c r="A232" s="156">
        <f>'Ethanol Plant List'!A232</f>
        <v>46661</v>
      </c>
    </row>
    <row r="233" spans="1:1">
      <c r="A233" s="156">
        <f>'Ethanol Plant List'!A233</f>
        <v>46692</v>
      </c>
    </row>
    <row r="234" spans="1:1">
      <c r="A234" s="156">
        <f>'Ethanol Plant List'!A234</f>
        <v>46722</v>
      </c>
    </row>
    <row r="235" spans="1:1">
      <c r="A235" s="156">
        <f>'Ethanol Plant List'!A235</f>
        <v>46753</v>
      </c>
    </row>
    <row r="236" spans="1:1">
      <c r="A236" s="156">
        <f>'Ethanol Plant List'!A236</f>
        <v>46784</v>
      </c>
    </row>
    <row r="237" spans="1:1">
      <c r="A237" s="156">
        <f>'Ethanol Plant List'!A237</f>
        <v>46813</v>
      </c>
    </row>
    <row r="238" spans="1:1">
      <c r="A238" s="156">
        <f>'Ethanol Plant List'!A238</f>
        <v>46844</v>
      </c>
    </row>
    <row r="239" spans="1:1">
      <c r="A239" s="156">
        <f>'Ethanol Plant List'!A239</f>
        <v>46874</v>
      </c>
    </row>
    <row r="240" spans="1:1">
      <c r="A240" s="156">
        <f>'Ethanol Plant List'!A240</f>
        <v>46905</v>
      </c>
    </row>
    <row r="241" spans="1:1">
      <c r="A241" s="156">
        <f>'Ethanol Plant List'!A241</f>
        <v>46935</v>
      </c>
    </row>
    <row r="242" spans="1:1">
      <c r="A242" s="156">
        <f>'Ethanol Plant List'!A242</f>
        <v>46966</v>
      </c>
    </row>
    <row r="243" spans="1:1">
      <c r="A243" s="156">
        <f>'Ethanol Plant List'!A243</f>
        <v>46997</v>
      </c>
    </row>
    <row r="244" spans="1:1">
      <c r="A244" s="156">
        <f>'Ethanol Plant List'!A244</f>
        <v>47027</v>
      </c>
    </row>
    <row r="245" spans="1:1">
      <c r="A245" s="156">
        <f>'Ethanol Plant List'!A245</f>
        <v>47058</v>
      </c>
    </row>
    <row r="246" spans="1:1">
      <c r="A246" s="156">
        <f>'Ethanol Plant List'!A246</f>
        <v>47088</v>
      </c>
    </row>
    <row r="247" spans="1:1">
      <c r="A247" s="156">
        <f>'Ethanol Plant List'!A247</f>
        <v>47119</v>
      </c>
    </row>
    <row r="248" spans="1:1">
      <c r="A248" s="156">
        <f>'Ethanol Plant List'!A248</f>
        <v>47150</v>
      </c>
    </row>
    <row r="249" spans="1:1">
      <c r="A249" s="156">
        <f>'Ethanol Plant List'!A249</f>
        <v>47178</v>
      </c>
    </row>
    <row r="250" spans="1:1">
      <c r="A250" s="156">
        <f>'Ethanol Plant List'!A250</f>
        <v>47209</v>
      </c>
    </row>
    <row r="251" spans="1:1">
      <c r="A251" s="156">
        <f>'Ethanol Plant List'!A251</f>
        <v>47239</v>
      </c>
    </row>
    <row r="252" spans="1:1">
      <c r="A252" s="156">
        <f>'Ethanol Plant List'!A252</f>
        <v>47270</v>
      </c>
    </row>
    <row r="253" spans="1:1">
      <c r="A253" s="156">
        <f>'Ethanol Plant List'!A253</f>
        <v>47300</v>
      </c>
    </row>
    <row r="254" spans="1:1">
      <c r="A254" s="156">
        <f>'Ethanol Plant List'!A254</f>
        <v>47331</v>
      </c>
    </row>
    <row r="255" spans="1:1">
      <c r="A255" s="156">
        <f>'Ethanol Plant List'!A255</f>
        <v>47362</v>
      </c>
    </row>
    <row r="256" spans="1:1">
      <c r="A256" s="156">
        <f>'Ethanol Plant List'!A256</f>
        <v>47392</v>
      </c>
    </row>
    <row r="257" spans="1:1">
      <c r="A257" s="156">
        <f>'Ethanol Plant List'!A257</f>
        <v>47423</v>
      </c>
    </row>
    <row r="258" spans="1:1">
      <c r="A258" s="156">
        <f>'Ethanol Plant List'!A258</f>
        <v>47453</v>
      </c>
    </row>
    <row r="259" spans="1:1">
      <c r="A259" s="156">
        <f>'Ethanol Plant List'!A259</f>
        <v>47484</v>
      </c>
    </row>
    <row r="260" spans="1:1">
      <c r="A260" s="156">
        <f>'Ethanol Plant List'!A260</f>
        <v>47515</v>
      </c>
    </row>
    <row r="261" spans="1:1">
      <c r="A261" s="156">
        <f>'Ethanol Plant List'!A261</f>
        <v>47543</v>
      </c>
    </row>
    <row r="262" spans="1:1">
      <c r="A262" s="156">
        <f>'Ethanol Plant List'!A262</f>
        <v>47574</v>
      </c>
    </row>
    <row r="263" spans="1:1">
      <c r="A263" s="156">
        <f>'Ethanol Plant List'!A263</f>
        <v>47604</v>
      </c>
    </row>
    <row r="264" spans="1:1">
      <c r="A264" s="156">
        <f>'Ethanol Plant List'!A264</f>
        <v>47635</v>
      </c>
    </row>
    <row r="265" spans="1:1">
      <c r="A265" s="156">
        <f>'Ethanol Plant List'!A265</f>
        <v>47665</v>
      </c>
    </row>
    <row r="266" spans="1:1">
      <c r="A266" s="156">
        <f>'Ethanol Plant List'!A266</f>
        <v>47696</v>
      </c>
    </row>
    <row r="267" spans="1:1">
      <c r="A267" s="156">
        <f>'Ethanol Plant List'!A267</f>
        <v>47727</v>
      </c>
    </row>
    <row r="268" spans="1:1">
      <c r="A268" s="156">
        <f>'Ethanol Plant List'!A268</f>
        <v>47757</v>
      </c>
    </row>
    <row r="269" spans="1:1">
      <c r="A269" s="156">
        <f>'Ethanol Plant List'!A269</f>
        <v>47788</v>
      </c>
    </row>
    <row r="270" spans="1:1">
      <c r="A270" s="156">
        <f>'Ethanol Plant List'!A270</f>
        <v>47818</v>
      </c>
    </row>
    <row r="271" spans="1:1">
      <c r="A271" s="156">
        <f>'Ethanol Plant List'!A271</f>
        <v>47849</v>
      </c>
    </row>
    <row r="272" spans="1:1">
      <c r="A272" s="156">
        <f>'Ethanol Plant List'!A272</f>
        <v>47880</v>
      </c>
    </row>
    <row r="273" spans="1:1">
      <c r="A273" s="156">
        <f>'Ethanol Plant List'!A273</f>
        <v>47908</v>
      </c>
    </row>
    <row r="274" spans="1:1">
      <c r="A274" s="156">
        <f>'Ethanol Plant List'!A274</f>
        <v>47939</v>
      </c>
    </row>
    <row r="275" spans="1:1">
      <c r="A275" s="156">
        <f>'Ethanol Plant List'!A275</f>
        <v>47969</v>
      </c>
    </row>
    <row r="276" spans="1:1">
      <c r="A276" s="156">
        <f>'Ethanol Plant List'!A276</f>
        <v>48000</v>
      </c>
    </row>
    <row r="277" spans="1:1">
      <c r="A277" s="156">
        <f>'Ethanol Plant List'!A277</f>
        <v>48030</v>
      </c>
    </row>
    <row r="278" spans="1:1">
      <c r="A278" s="156">
        <f>'Ethanol Plant List'!A278</f>
        <v>48061</v>
      </c>
    </row>
    <row r="279" spans="1:1">
      <c r="A279" s="156">
        <f>'Ethanol Plant List'!A279</f>
        <v>48092</v>
      </c>
    </row>
    <row r="280" spans="1:1">
      <c r="A280" s="156">
        <f>'Ethanol Plant List'!A280</f>
        <v>48122</v>
      </c>
    </row>
    <row r="281" spans="1:1">
      <c r="A281" s="156">
        <f>'Ethanol Plant List'!A281</f>
        <v>48153</v>
      </c>
    </row>
    <row r="282" spans="1:1">
      <c r="A282" s="156">
        <f>'Ethanol Plant List'!A282</f>
        <v>48183</v>
      </c>
    </row>
    <row r="283" spans="1:1">
      <c r="A283" s="156">
        <f>'Ethanol Plant List'!A283</f>
        <v>48214</v>
      </c>
    </row>
    <row r="284" spans="1:1">
      <c r="A284" s="156">
        <f>'Ethanol Plant List'!A284</f>
        <v>48245</v>
      </c>
    </row>
    <row r="285" spans="1:1">
      <c r="A285" s="156">
        <f>'Ethanol Plant List'!A285</f>
        <v>48274</v>
      </c>
    </row>
    <row r="286" spans="1:1">
      <c r="A286" s="156">
        <f>'Ethanol Plant List'!A286</f>
        <v>48305</v>
      </c>
    </row>
    <row r="287" spans="1:1">
      <c r="A287" s="156">
        <f>'Ethanol Plant List'!A287</f>
        <v>48335</v>
      </c>
    </row>
    <row r="288" spans="1:1">
      <c r="A288" s="156">
        <f>'Ethanol Plant List'!A288</f>
        <v>48366</v>
      </c>
    </row>
    <row r="289" spans="1:1">
      <c r="A289" s="156">
        <f>'Ethanol Plant List'!A289</f>
        <v>48396</v>
      </c>
    </row>
    <row r="290" spans="1:1">
      <c r="A290" s="156">
        <f>'Ethanol Plant List'!A290</f>
        <v>48427</v>
      </c>
    </row>
    <row r="291" spans="1:1">
      <c r="A291" s="156">
        <f>'Ethanol Plant List'!A291</f>
        <v>48458</v>
      </c>
    </row>
    <row r="292" spans="1:1">
      <c r="A292" s="156">
        <f>'Ethanol Plant List'!A292</f>
        <v>48488</v>
      </c>
    </row>
    <row r="293" spans="1:1">
      <c r="A293" s="156">
        <f>'Ethanol Plant List'!A293</f>
        <v>48519</v>
      </c>
    </row>
    <row r="294" spans="1:1">
      <c r="A294" s="156">
        <f>'Ethanol Plant List'!A294</f>
        <v>48549</v>
      </c>
    </row>
    <row r="295" spans="1:1">
      <c r="A295" s="156">
        <f>'Ethanol Plant List'!A295</f>
        <v>48580</v>
      </c>
    </row>
    <row r="296" spans="1:1">
      <c r="A296" s="156">
        <f>'Ethanol Plant List'!A296</f>
        <v>48611</v>
      </c>
    </row>
    <row r="297" spans="1:1">
      <c r="A297" s="156">
        <f>'Ethanol Plant List'!A297</f>
        <v>48639</v>
      </c>
    </row>
    <row r="298" spans="1:1">
      <c r="A298" s="156">
        <f>'Ethanol Plant List'!A298</f>
        <v>48670</v>
      </c>
    </row>
    <row r="299" spans="1:1">
      <c r="A299" s="156">
        <f>'Ethanol Plant List'!A299</f>
        <v>48700</v>
      </c>
    </row>
    <row r="300" spans="1:1">
      <c r="A300" s="156">
        <f>'Ethanol Plant List'!A300</f>
        <v>48731</v>
      </c>
    </row>
    <row r="301" spans="1:1">
      <c r="A301" s="156">
        <f>'Ethanol Plant List'!A301</f>
        <v>48761</v>
      </c>
    </row>
    <row r="302" spans="1:1">
      <c r="A302" s="156">
        <f>'Ethanol Plant List'!A302</f>
        <v>48792</v>
      </c>
    </row>
    <row r="303" spans="1:1">
      <c r="A303" s="156">
        <f>'Ethanol Plant List'!A303</f>
        <v>48823</v>
      </c>
    </row>
    <row r="304" spans="1:1">
      <c r="A304" s="156">
        <f>'Ethanol Plant List'!A304</f>
        <v>48853</v>
      </c>
    </row>
    <row r="305" spans="1:1">
      <c r="A305" s="156">
        <f>'Ethanol Plant List'!A305</f>
        <v>48884</v>
      </c>
    </row>
    <row r="306" spans="1:1">
      <c r="A306" s="156">
        <f>'Ethanol Plant List'!A306</f>
        <v>48914</v>
      </c>
    </row>
    <row r="307" spans="1:1">
      <c r="A307" s="156">
        <f>'Ethanol Plant List'!A307</f>
        <v>48945</v>
      </c>
    </row>
    <row r="308" spans="1:1">
      <c r="A308" s="156">
        <f>'Ethanol Plant List'!A308</f>
        <v>48976</v>
      </c>
    </row>
    <row r="309" spans="1:1">
      <c r="A309" s="156">
        <f>'Ethanol Plant List'!A309</f>
        <v>49004</v>
      </c>
    </row>
    <row r="310" spans="1:1">
      <c r="A310" s="156">
        <f>'Ethanol Plant List'!A310</f>
        <v>49035</v>
      </c>
    </row>
    <row r="311" spans="1:1">
      <c r="A311" s="156">
        <f>'Ethanol Plant List'!A311</f>
        <v>49065</v>
      </c>
    </row>
    <row r="312" spans="1:1">
      <c r="A312" s="156">
        <f>'Ethanol Plant List'!A312</f>
        <v>49096</v>
      </c>
    </row>
    <row r="313" spans="1:1">
      <c r="A313" s="156">
        <f>'Ethanol Plant List'!A313</f>
        <v>49126</v>
      </c>
    </row>
    <row r="314" spans="1:1">
      <c r="A314" s="156">
        <f>'Ethanol Plant List'!A314</f>
        <v>49157</v>
      </c>
    </row>
    <row r="315" spans="1:1">
      <c r="A315" s="156">
        <f>'Ethanol Plant List'!A315</f>
        <v>49188</v>
      </c>
    </row>
    <row r="316" spans="1:1">
      <c r="A316" s="156">
        <f>'Ethanol Plant List'!A316</f>
        <v>49218</v>
      </c>
    </row>
    <row r="317" spans="1:1">
      <c r="A317" s="156">
        <f>'Ethanol Plant List'!A317</f>
        <v>49249</v>
      </c>
    </row>
    <row r="318" spans="1:1">
      <c r="A318" s="156">
        <f>'Ethanol Plant List'!A318</f>
        <v>49279</v>
      </c>
    </row>
    <row r="319" spans="1:1">
      <c r="A319" s="156">
        <f>'Ethanol Plant List'!A319</f>
        <v>49310</v>
      </c>
    </row>
    <row r="320" spans="1:1">
      <c r="A320" s="156">
        <f>'Ethanol Plant List'!A320</f>
        <v>49341</v>
      </c>
    </row>
    <row r="321" spans="1:1">
      <c r="A321" s="156">
        <f>'Ethanol Plant List'!A321</f>
        <v>49369</v>
      </c>
    </row>
    <row r="322" spans="1:1">
      <c r="A322" s="156">
        <f>'Ethanol Plant List'!A322</f>
        <v>49400</v>
      </c>
    </row>
    <row r="323" spans="1:1">
      <c r="A323" s="156">
        <f>'Ethanol Plant List'!A323</f>
        <v>49430</v>
      </c>
    </row>
    <row r="324" spans="1:1">
      <c r="A324" s="156">
        <f>'Ethanol Plant List'!A324</f>
        <v>49461</v>
      </c>
    </row>
    <row r="325" spans="1:1">
      <c r="A325" s="156">
        <f>'Ethanol Plant List'!A325</f>
        <v>49491</v>
      </c>
    </row>
    <row r="326" spans="1:1">
      <c r="A326" s="156">
        <f>'Ethanol Plant List'!A326</f>
        <v>49522</v>
      </c>
    </row>
    <row r="327" spans="1:1">
      <c r="A327" s="156">
        <f>'Ethanol Plant List'!A327</f>
        <v>49553</v>
      </c>
    </row>
    <row r="328" spans="1:1">
      <c r="A328" s="156">
        <f>'Ethanol Plant List'!A328</f>
        <v>49583</v>
      </c>
    </row>
    <row r="329" spans="1:1">
      <c r="A329" s="156">
        <f>'Ethanol Plant List'!A329</f>
        <v>49614</v>
      </c>
    </row>
    <row r="330" spans="1:1">
      <c r="A330" s="156">
        <f>'Ethanol Plant List'!A330</f>
        <v>49644</v>
      </c>
    </row>
    <row r="331" spans="1:1">
      <c r="A331" s="156">
        <f>'Ethanol Plant List'!A331</f>
        <v>49675</v>
      </c>
    </row>
    <row r="332" spans="1:1">
      <c r="A332" s="156">
        <f>'Ethanol Plant List'!A332</f>
        <v>49706</v>
      </c>
    </row>
    <row r="333" spans="1:1">
      <c r="A333" s="156">
        <f>'Ethanol Plant List'!A333</f>
        <v>49735</v>
      </c>
    </row>
    <row r="334" spans="1:1">
      <c r="A334" s="156">
        <f>'Ethanol Plant List'!A334</f>
        <v>49766</v>
      </c>
    </row>
    <row r="335" spans="1:1">
      <c r="A335" s="156">
        <f>'Ethanol Plant List'!A335</f>
        <v>49796</v>
      </c>
    </row>
    <row r="336" spans="1:1">
      <c r="A336" s="156">
        <f>'Ethanol Plant List'!A336</f>
        <v>49827</v>
      </c>
    </row>
    <row r="337" spans="1:1">
      <c r="A337" s="156">
        <f>'Ethanol Plant List'!A337</f>
        <v>49857</v>
      </c>
    </row>
    <row r="338" spans="1:1">
      <c r="A338" s="156">
        <f>'Ethanol Plant List'!A338</f>
        <v>49888</v>
      </c>
    </row>
    <row r="339" spans="1:1">
      <c r="A339" s="156">
        <f>'Ethanol Plant List'!A339</f>
        <v>49919</v>
      </c>
    </row>
    <row r="340" spans="1:1">
      <c r="A340" s="156">
        <f>'Ethanol Plant List'!A340</f>
        <v>49949</v>
      </c>
    </row>
    <row r="341" spans="1:1">
      <c r="A341" s="156">
        <f>'Ethanol Plant List'!A341</f>
        <v>49980</v>
      </c>
    </row>
    <row r="342" spans="1:1">
      <c r="A342" s="156">
        <f>'Ethanol Plant List'!A342</f>
        <v>50010</v>
      </c>
    </row>
    <row r="343" spans="1:1">
      <c r="A343" s="156">
        <f>'Ethanol Plant List'!A343</f>
        <v>50041</v>
      </c>
    </row>
    <row r="344" spans="1:1">
      <c r="A344" s="156">
        <f>'Ethanol Plant List'!A344</f>
        <v>50072</v>
      </c>
    </row>
    <row r="345" spans="1:1">
      <c r="A345" s="156">
        <f>'Ethanol Plant List'!A345</f>
        <v>50100</v>
      </c>
    </row>
    <row r="346" spans="1:1">
      <c r="A346" s="156">
        <f>'Ethanol Plant List'!A346</f>
        <v>50131</v>
      </c>
    </row>
    <row r="347" spans="1:1">
      <c r="A347" s="156">
        <f>'Ethanol Plant List'!A347</f>
        <v>50161</v>
      </c>
    </row>
    <row r="348" spans="1:1">
      <c r="A348" s="156">
        <f>'Ethanol Plant List'!A348</f>
        <v>50192</v>
      </c>
    </row>
    <row r="349" spans="1:1">
      <c r="A349" s="156">
        <f>'Ethanol Plant List'!A349</f>
        <v>50222</v>
      </c>
    </row>
    <row r="350" spans="1:1">
      <c r="A350" s="156">
        <f>'Ethanol Plant List'!A350</f>
        <v>50253</v>
      </c>
    </row>
    <row r="351" spans="1:1">
      <c r="A351" s="156">
        <f>'Ethanol Plant List'!A351</f>
        <v>50284</v>
      </c>
    </row>
    <row r="352" spans="1:1">
      <c r="A352" s="156">
        <f>'Ethanol Plant List'!A352</f>
        <v>50314</v>
      </c>
    </row>
    <row r="353" spans="1:1">
      <c r="A353" s="156">
        <f>'Ethanol Plant List'!A353</f>
        <v>50345</v>
      </c>
    </row>
    <row r="354" spans="1:1">
      <c r="A354" s="156">
        <f>'Ethanol Plant List'!A354</f>
        <v>50375</v>
      </c>
    </row>
    <row r="355" spans="1:1">
      <c r="A355" s="156">
        <f>'Ethanol Plant List'!A355</f>
        <v>50406</v>
      </c>
    </row>
    <row r="356" spans="1:1">
      <c r="A356" s="156">
        <f>'Ethanol Plant List'!A356</f>
        <v>50437</v>
      </c>
    </row>
    <row r="357" spans="1:1">
      <c r="A357" s="156">
        <f>'Ethanol Plant List'!A357</f>
        <v>50465</v>
      </c>
    </row>
    <row r="358" spans="1:1">
      <c r="A358" s="156">
        <f>'Ethanol Plant List'!A358</f>
        <v>50496</v>
      </c>
    </row>
    <row r="359" spans="1:1">
      <c r="A359" s="156">
        <f>'Ethanol Plant List'!A359</f>
        <v>50526</v>
      </c>
    </row>
    <row r="360" spans="1:1">
      <c r="A360" s="156">
        <f>'Ethanol Plant List'!A360</f>
        <v>50557</v>
      </c>
    </row>
    <row r="361" spans="1:1">
      <c r="A361" s="156">
        <f>'Ethanol Plant List'!A361</f>
        <v>50587</v>
      </c>
    </row>
    <row r="362" spans="1:1">
      <c r="A362" s="156">
        <f>'Ethanol Plant List'!A362</f>
        <v>50618</v>
      </c>
    </row>
    <row r="363" spans="1:1">
      <c r="A363" s="156">
        <f>'Ethanol Plant List'!A363</f>
        <v>50649</v>
      </c>
    </row>
    <row r="364" spans="1:1">
      <c r="A364" s="156">
        <f>'Ethanol Plant List'!A364</f>
        <v>50679</v>
      </c>
    </row>
    <row r="365" spans="1:1">
      <c r="A365" s="156">
        <f>'Ethanol Plant List'!A365</f>
        <v>50710</v>
      </c>
    </row>
    <row r="366" spans="1:1">
      <c r="A366" s="156">
        <f>'Ethanol Plant List'!A366</f>
        <v>50740</v>
      </c>
    </row>
    <row r="367" spans="1:1">
      <c r="A367" s="156">
        <f>'Ethanol Plant List'!A367</f>
        <v>50771</v>
      </c>
    </row>
    <row r="368" spans="1:1">
      <c r="A368" s="156">
        <f>'Ethanol Plant List'!A368</f>
        <v>50802</v>
      </c>
    </row>
    <row r="369" spans="1:1">
      <c r="A369" s="156">
        <f>'Ethanol Plant List'!A369</f>
        <v>50830</v>
      </c>
    </row>
    <row r="370" spans="1:1">
      <c r="A370" s="156">
        <f>'Ethanol Plant List'!A370</f>
        <v>50861</v>
      </c>
    </row>
    <row r="371" spans="1:1">
      <c r="A371" s="156">
        <f>'Ethanol Plant List'!A371</f>
        <v>50891</v>
      </c>
    </row>
    <row r="372" spans="1:1">
      <c r="A372" s="156">
        <f>'Ethanol Plant List'!A372</f>
        <v>50922</v>
      </c>
    </row>
    <row r="373" spans="1:1">
      <c r="A373" s="156">
        <f>'Ethanol Plant List'!A373</f>
        <v>50952</v>
      </c>
    </row>
    <row r="374" spans="1:1">
      <c r="A374" s="156">
        <f>'Ethanol Plant List'!A374</f>
        <v>50983</v>
      </c>
    </row>
    <row r="375" spans="1:1">
      <c r="A375" s="156">
        <f>'Ethanol Plant List'!A375</f>
        <v>51014</v>
      </c>
    </row>
    <row r="376" spans="1:1">
      <c r="A376" s="156">
        <f>'Ethanol Plant List'!A376</f>
        <v>51044</v>
      </c>
    </row>
    <row r="377" spans="1:1">
      <c r="A377" s="156">
        <f>'Ethanol Plant List'!A377</f>
        <v>51075</v>
      </c>
    </row>
    <row r="378" spans="1:1">
      <c r="A378" s="156">
        <f>'Ethanol Plant List'!A378</f>
        <v>51105</v>
      </c>
    </row>
    <row r="379" spans="1:1">
      <c r="A379" s="156">
        <f>'Ethanol Plant List'!A379</f>
        <v>51136</v>
      </c>
    </row>
    <row r="380" spans="1:1">
      <c r="A380" s="156">
        <f>'Ethanol Plant List'!A380</f>
        <v>51167</v>
      </c>
    </row>
    <row r="381" spans="1:1">
      <c r="A381" s="156">
        <f>'Ethanol Plant List'!A381</f>
        <v>51196</v>
      </c>
    </row>
    <row r="382" spans="1:1">
      <c r="A382" s="156">
        <f>'Ethanol Plant List'!A382</f>
        <v>51227</v>
      </c>
    </row>
    <row r="383" spans="1:1">
      <c r="A383" s="156">
        <f>'Ethanol Plant List'!A383</f>
        <v>51257</v>
      </c>
    </row>
    <row r="384" spans="1:1">
      <c r="A384" s="156">
        <f>'Ethanol Plant List'!A384</f>
        <v>51288</v>
      </c>
    </row>
    <row r="385" spans="1:1">
      <c r="A385" s="156">
        <f>'Ethanol Plant List'!A385</f>
        <v>51318</v>
      </c>
    </row>
    <row r="386" spans="1:1">
      <c r="A386" s="156">
        <f>'Ethanol Plant List'!A386</f>
        <v>51349</v>
      </c>
    </row>
    <row r="387" spans="1:1">
      <c r="A387" s="156">
        <f>'Ethanol Plant List'!A387</f>
        <v>51380</v>
      </c>
    </row>
    <row r="388" spans="1:1">
      <c r="A388" s="156">
        <f>'Ethanol Plant List'!A388</f>
        <v>51410</v>
      </c>
    </row>
    <row r="389" spans="1:1">
      <c r="A389" s="156">
        <f>'Ethanol Plant List'!A389</f>
        <v>51441</v>
      </c>
    </row>
    <row r="390" spans="1:1">
      <c r="A390" s="156">
        <f>'Ethanol Plant List'!A390</f>
        <v>51471</v>
      </c>
    </row>
    <row r="391" spans="1:1">
      <c r="A391" s="156">
        <f>'Ethanol Plant List'!A391</f>
        <v>51502</v>
      </c>
    </row>
    <row r="392" spans="1:1">
      <c r="A392" s="156">
        <f>'Ethanol Plant List'!A392</f>
        <v>51533</v>
      </c>
    </row>
    <row r="393" spans="1:1">
      <c r="A393" s="156">
        <f>'Ethanol Plant List'!A393</f>
        <v>51561</v>
      </c>
    </row>
    <row r="394" spans="1:1">
      <c r="A394" s="156">
        <f>'Ethanol Plant List'!A394</f>
        <v>51592</v>
      </c>
    </row>
    <row r="395" spans="1:1">
      <c r="A395" s="156">
        <f>'Ethanol Plant List'!A395</f>
        <v>51622</v>
      </c>
    </row>
    <row r="396" spans="1:1">
      <c r="A396" s="156">
        <f>'Ethanol Plant List'!A396</f>
        <v>51653</v>
      </c>
    </row>
    <row r="397" spans="1:1">
      <c r="A397" s="156">
        <f>'Ethanol Plant List'!A397</f>
        <v>51683</v>
      </c>
    </row>
    <row r="398" spans="1:1">
      <c r="A398" s="156">
        <f>'Ethanol Plant List'!A398</f>
        <v>51714</v>
      </c>
    </row>
    <row r="399" spans="1:1">
      <c r="A399" s="156">
        <f>'Ethanol Plant List'!A399</f>
        <v>51745</v>
      </c>
    </row>
    <row r="400" spans="1:1">
      <c r="A400" s="156">
        <f>'Ethanol Plant List'!A400</f>
        <v>51775</v>
      </c>
    </row>
    <row r="401" spans="1:1">
      <c r="A401" s="156">
        <f>'Ethanol Plant List'!A401</f>
        <v>51806</v>
      </c>
    </row>
    <row r="402" spans="1:1">
      <c r="A402" s="156">
        <f>'Ethanol Plant List'!A402</f>
        <v>51836</v>
      </c>
    </row>
    <row r="403" spans="1:1">
      <c r="A403" s="156">
        <f>'Ethanol Plant List'!A403</f>
        <v>51867</v>
      </c>
    </row>
    <row r="404" spans="1:1">
      <c r="A404" s="156">
        <f>'Ethanol Plant List'!A404</f>
        <v>51898</v>
      </c>
    </row>
    <row r="405" spans="1:1">
      <c r="A405" s="156">
        <f>'Ethanol Plant List'!A405</f>
        <v>51926</v>
      </c>
    </row>
    <row r="406" spans="1:1">
      <c r="A406" s="156">
        <f>'Ethanol Plant List'!A406</f>
        <v>51957</v>
      </c>
    </row>
    <row r="407" spans="1:1">
      <c r="A407" s="156">
        <f>'Ethanol Plant List'!A407</f>
        <v>51987</v>
      </c>
    </row>
    <row r="408" spans="1:1">
      <c r="A408" s="156">
        <f>'Ethanol Plant List'!A408</f>
        <v>52018</v>
      </c>
    </row>
    <row r="409" spans="1:1">
      <c r="A409" s="156">
        <f>'Ethanol Plant List'!A409</f>
        <v>52048</v>
      </c>
    </row>
    <row r="410" spans="1:1">
      <c r="A410" s="156">
        <f>'Ethanol Plant List'!A410</f>
        <v>52079</v>
      </c>
    </row>
    <row r="411" spans="1:1">
      <c r="A411" s="156">
        <f>'Ethanol Plant List'!A411</f>
        <v>52110</v>
      </c>
    </row>
    <row r="412" spans="1:1">
      <c r="A412" s="156">
        <f>'Ethanol Plant List'!A412</f>
        <v>52140</v>
      </c>
    </row>
    <row r="413" spans="1:1">
      <c r="A413" s="156">
        <f>'Ethanol Plant List'!A413</f>
        <v>52171</v>
      </c>
    </row>
    <row r="414" spans="1:1">
      <c r="A414" s="156">
        <f>'Ethanol Plant List'!A414</f>
        <v>52201</v>
      </c>
    </row>
    <row r="415" spans="1:1">
      <c r="A415" s="156">
        <f>'Ethanol Plant List'!A415</f>
        <v>52232</v>
      </c>
    </row>
    <row r="416" spans="1:1">
      <c r="A416" s="156">
        <f>'Ethanol Plant List'!A416</f>
        <v>52263</v>
      </c>
    </row>
    <row r="417" spans="1:1">
      <c r="A417" s="156">
        <f>'Ethanol Plant List'!A417</f>
        <v>52291</v>
      </c>
    </row>
    <row r="418" spans="1:1">
      <c r="A418" s="156">
        <f>'Ethanol Plant List'!A418</f>
        <v>52322</v>
      </c>
    </row>
    <row r="419" spans="1:1">
      <c r="A419" s="156">
        <f>'Ethanol Plant List'!A419</f>
        <v>52352</v>
      </c>
    </row>
    <row r="420" spans="1:1">
      <c r="A420" s="156">
        <f>'Ethanol Plant List'!A420</f>
        <v>52383</v>
      </c>
    </row>
    <row r="421" spans="1:1">
      <c r="A421" s="156">
        <f>'Ethanol Plant List'!A421</f>
        <v>52413</v>
      </c>
    </row>
    <row r="422" spans="1:1">
      <c r="A422" s="156">
        <f>'Ethanol Plant List'!A422</f>
        <v>52444</v>
      </c>
    </row>
    <row r="423" spans="1:1">
      <c r="A423" s="156">
        <f>'Ethanol Plant List'!A423</f>
        <v>52475</v>
      </c>
    </row>
    <row r="424" spans="1:1">
      <c r="A424" s="156">
        <f>'Ethanol Plant List'!A424</f>
        <v>52505</v>
      </c>
    </row>
    <row r="425" spans="1:1">
      <c r="A425" s="156">
        <f>'Ethanol Plant List'!A425</f>
        <v>52536</v>
      </c>
    </row>
    <row r="426" spans="1:1">
      <c r="A426" s="156">
        <f>'Ethanol Plant List'!A426</f>
        <v>52566</v>
      </c>
    </row>
  </sheetData>
  <mergeCells count="14">
    <mergeCell ref="N1:N2"/>
    <mergeCell ref="O1:O2"/>
    <mergeCell ref="H1:H2"/>
    <mergeCell ref="I1:I2"/>
    <mergeCell ref="J1:J2"/>
    <mergeCell ref="K1:K2"/>
    <mergeCell ref="L1:L2"/>
    <mergeCell ref="M1:M2"/>
    <mergeCell ref="B1:B2"/>
    <mergeCell ref="C1:C2"/>
    <mergeCell ref="D1:D2"/>
    <mergeCell ref="E1:E2"/>
    <mergeCell ref="F1:F2"/>
    <mergeCell ref="G1: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DDBE-951D-4D88-B1FC-28C564C92529}">
  <dimension ref="A1:E2"/>
  <sheetViews>
    <sheetView workbookViewId="0">
      <selection activeCell="A7" sqref="A7"/>
    </sheetView>
  </sheetViews>
  <sheetFormatPr defaultRowHeight="12.75"/>
  <cols>
    <col min="5" max="5" width="12.33203125" bestFit="1" customWidth="1"/>
  </cols>
  <sheetData>
    <row r="1" spans="1:5">
      <c r="B1" t="s">
        <v>202</v>
      </c>
      <c r="C1" t="s">
        <v>203</v>
      </c>
      <c r="D1" t="s">
        <v>204</v>
      </c>
      <c r="E1" t="s">
        <v>205</v>
      </c>
    </row>
    <row r="2" spans="1:5">
      <c r="A2" t="s">
        <v>195</v>
      </c>
      <c r="B2" s="165">
        <v>2.8</v>
      </c>
      <c r="C2" s="165">
        <f>1/B2</f>
        <v>0.35714285714285715</v>
      </c>
      <c r="D2" s="166">
        <f>C2/39.3679</f>
        <v>9.0719306120686447E-3</v>
      </c>
      <c r="E2" s="167">
        <f>D2*264.17</f>
        <v>2.3965319097901738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A3375-4E08-4C88-BD45-6EBDCEAD0093}">
  <dimension ref="A1:BO325"/>
  <sheetViews>
    <sheetView zoomScaleNormal="100" workbookViewId="0">
      <pane xSplit="1" ySplit="2" topLeftCell="H18"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39" width="11.6640625" style="113" customWidth="1"/>
    <col min="40" max="40" width="8.83203125" style="113" customWidth="1"/>
    <col min="41" max="42" width="9.33203125" style="113"/>
    <col min="43" max="46" width="15.5" style="113" bestFit="1" customWidth="1"/>
    <col min="47" max="47" width="16.5" style="113" bestFit="1" customWidth="1"/>
    <col min="48" max="48" width="18.5" style="113" bestFit="1" customWidth="1"/>
    <col min="49" max="49" width="16.5" style="113" bestFit="1" customWidth="1"/>
    <col min="50" max="58" width="18.5" style="113" bestFit="1" customWidth="1"/>
    <col min="59" max="59" width="11.33203125" style="113" bestFit="1" customWidth="1"/>
    <col min="60" max="64" width="11" style="113" bestFit="1" customWidth="1"/>
    <col min="65" max="16384" width="9.33203125" style="113"/>
  </cols>
  <sheetData>
    <row r="1" spans="1:42">
      <c r="A1" s="111" t="s">
        <v>206</v>
      </c>
      <c r="B1" s="111"/>
      <c r="C1" s="111"/>
      <c r="D1" s="111"/>
      <c r="E1" s="111"/>
      <c r="F1" s="111"/>
      <c r="G1" s="111"/>
      <c r="H1" s="111"/>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row>
    <row r="2" spans="1:42" ht="12" thickBot="1">
      <c r="A2" s="168" t="s">
        <v>207</v>
      </c>
      <c r="B2" s="169">
        <v>2013</v>
      </c>
      <c r="C2" s="169">
        <v>2014</v>
      </c>
      <c r="D2" s="169">
        <v>2015</v>
      </c>
      <c r="E2" s="169">
        <v>2016</v>
      </c>
      <c r="F2" s="169">
        <v>2017</v>
      </c>
      <c r="G2" s="169">
        <v>2018</v>
      </c>
      <c r="H2" s="169">
        <v>2019</v>
      </c>
      <c r="I2" s="169">
        <v>2020</v>
      </c>
      <c r="J2" s="169">
        <v>2021</v>
      </c>
      <c r="K2" s="169">
        <v>2022</v>
      </c>
      <c r="L2" s="169">
        <v>2023</v>
      </c>
      <c r="M2" s="169">
        <v>2024</v>
      </c>
      <c r="N2" s="169">
        <v>2025</v>
      </c>
      <c r="O2" s="169">
        <v>2026</v>
      </c>
      <c r="P2" s="169">
        <v>2027</v>
      </c>
      <c r="Q2" s="169">
        <v>2028</v>
      </c>
      <c r="R2" s="169">
        <v>2029</v>
      </c>
      <c r="S2" s="169">
        <v>2030</v>
      </c>
      <c r="T2" s="169">
        <v>2031</v>
      </c>
      <c r="U2" s="169">
        <v>2032</v>
      </c>
      <c r="V2" s="169">
        <v>2033</v>
      </c>
      <c r="W2" s="169">
        <v>2034</v>
      </c>
      <c r="X2" s="169">
        <v>2035</v>
      </c>
      <c r="Y2" s="169">
        <v>2036</v>
      </c>
      <c r="Z2" s="169">
        <v>2037</v>
      </c>
      <c r="AA2" s="169">
        <v>2038</v>
      </c>
      <c r="AB2" s="169">
        <v>2039</v>
      </c>
      <c r="AC2" s="169">
        <v>2040</v>
      </c>
      <c r="AD2" s="169">
        <v>2041</v>
      </c>
      <c r="AE2" s="169">
        <v>2042</v>
      </c>
      <c r="AF2" s="169">
        <v>2043</v>
      </c>
      <c r="AG2" s="169">
        <v>2044</v>
      </c>
      <c r="AH2" s="169">
        <v>2045</v>
      </c>
      <c r="AI2" s="169">
        <v>2046</v>
      </c>
      <c r="AJ2" s="169">
        <v>2047</v>
      </c>
      <c r="AK2" s="169">
        <v>2048</v>
      </c>
      <c r="AL2" s="169">
        <v>2049</v>
      </c>
      <c r="AM2" s="169">
        <v>2050</v>
      </c>
      <c r="AP2" s="113" t="s">
        <v>208</v>
      </c>
    </row>
    <row r="3" spans="1:42" ht="12" thickTop="1">
      <c r="A3" s="116" t="s">
        <v>120</v>
      </c>
      <c r="B3" s="116"/>
      <c r="C3" s="116"/>
      <c r="D3" s="116"/>
      <c r="E3" s="116"/>
      <c r="F3" s="116"/>
      <c r="G3" s="116"/>
      <c r="H3" s="116"/>
      <c r="I3" s="13">
        <v>6227</v>
      </c>
      <c r="J3" s="13">
        <f>I10</f>
        <v>8864</v>
      </c>
      <c r="K3" s="13">
        <f>J10</f>
        <v>6926</v>
      </c>
      <c r="L3" s="13">
        <f>K10</f>
        <v>5059</v>
      </c>
      <c r="M3" s="13">
        <f>L10</f>
        <v>11139</v>
      </c>
      <c r="N3" s="118">
        <f t="shared" ref="N3:AM3" si="0">M10</f>
        <v>49050</v>
      </c>
      <c r="O3" s="119">
        <f t="shared" si="0"/>
        <v>45000</v>
      </c>
      <c r="P3" s="119">
        <f t="shared" si="0"/>
        <v>50000</v>
      </c>
      <c r="Q3" s="119">
        <f t="shared" si="0"/>
        <v>50000</v>
      </c>
      <c r="R3" s="119">
        <f t="shared" si="0"/>
        <v>52000</v>
      </c>
      <c r="S3" s="119">
        <f t="shared" si="0"/>
        <v>55000</v>
      </c>
      <c r="T3" s="119">
        <f t="shared" si="0"/>
        <v>55000</v>
      </c>
      <c r="U3" s="119">
        <f t="shared" si="0"/>
        <v>55000</v>
      </c>
      <c r="V3" s="119">
        <f t="shared" si="0"/>
        <v>55000</v>
      </c>
      <c r="W3" s="119">
        <f t="shared" si="0"/>
        <v>55000</v>
      </c>
      <c r="X3" s="119">
        <f t="shared" si="0"/>
        <v>60000</v>
      </c>
      <c r="Y3" s="119">
        <f t="shared" si="0"/>
        <v>60000</v>
      </c>
      <c r="Z3" s="119">
        <f t="shared" si="0"/>
        <v>60000</v>
      </c>
      <c r="AA3" s="119">
        <f t="shared" si="0"/>
        <v>60000</v>
      </c>
      <c r="AB3" s="119">
        <f t="shared" si="0"/>
        <v>60000</v>
      </c>
      <c r="AC3" s="119">
        <f t="shared" si="0"/>
        <v>60000</v>
      </c>
      <c r="AD3" s="119">
        <f t="shared" si="0"/>
        <v>60000</v>
      </c>
      <c r="AE3" s="119">
        <f t="shared" si="0"/>
        <v>60000</v>
      </c>
      <c r="AF3" s="119">
        <f t="shared" si="0"/>
        <v>60000</v>
      </c>
      <c r="AG3" s="119">
        <f t="shared" si="0"/>
        <v>60000</v>
      </c>
      <c r="AH3" s="119">
        <f t="shared" si="0"/>
        <v>60000</v>
      </c>
      <c r="AI3" s="119">
        <f t="shared" si="0"/>
        <v>60000</v>
      </c>
      <c r="AJ3" s="119">
        <f t="shared" si="0"/>
        <v>60000</v>
      </c>
      <c r="AK3" s="119">
        <f t="shared" si="0"/>
        <v>60000</v>
      </c>
      <c r="AL3" s="119">
        <f t="shared" si="0"/>
        <v>60000</v>
      </c>
      <c r="AM3" s="119">
        <f t="shared" si="0"/>
        <v>60000</v>
      </c>
    </row>
    <row r="4" spans="1:42">
      <c r="A4" s="116" t="s">
        <v>3</v>
      </c>
      <c r="B4" s="170">
        <f t="shared" ref="B4:H4" si="1">B103/$I$121*1000000</f>
        <v>159000.04625931443</v>
      </c>
      <c r="C4" s="170">
        <f t="shared" si="1"/>
        <v>351000.10211961874</v>
      </c>
      <c r="D4" s="170">
        <f t="shared" si="1"/>
        <v>397000.11550281662</v>
      </c>
      <c r="E4" s="170">
        <f t="shared" si="1"/>
        <v>464000.13499573531</v>
      </c>
      <c r="F4" s="170">
        <f t="shared" si="1"/>
        <v>397000.11550281662</v>
      </c>
      <c r="G4" s="170">
        <f t="shared" si="1"/>
        <v>308000.08960923809</v>
      </c>
      <c r="H4" s="170">
        <f t="shared" si="1"/>
        <v>359000.10444713139</v>
      </c>
      <c r="I4" s="13">
        <f>I34</f>
        <v>457810</v>
      </c>
      <c r="J4" s="13">
        <f>J34</f>
        <v>430742</v>
      </c>
      <c r="K4" s="13">
        <f>K34</f>
        <v>369192</v>
      </c>
      <c r="L4" s="13">
        <f>L34</f>
        <v>508106</v>
      </c>
      <c r="M4" s="13">
        <f>M34</f>
        <v>1120304</v>
      </c>
      <c r="N4" s="119">
        <f>N103/$I$121*1000000</f>
        <v>1135623.3303971163</v>
      </c>
      <c r="O4" s="119">
        <f>O103/$I$121*1000000</f>
        <v>1400602.1074897766</v>
      </c>
      <c r="P4" s="119">
        <f t="shared" ref="P4:AK4" si="2">P103/$I$121*1000000</f>
        <v>1835924.3841420044</v>
      </c>
      <c r="Q4" s="119">
        <f t="shared" si="2"/>
        <v>2044121.9947148089</v>
      </c>
      <c r="R4" s="119">
        <f t="shared" si="2"/>
        <v>2044121.9947148089</v>
      </c>
      <c r="S4" s="119">
        <f t="shared" si="2"/>
        <v>2157684.3277545203</v>
      </c>
      <c r="T4" s="119">
        <f t="shared" si="2"/>
        <v>2195538.4387677577</v>
      </c>
      <c r="U4" s="119">
        <f t="shared" si="2"/>
        <v>2233392.5497809951</v>
      </c>
      <c r="V4" s="119">
        <f t="shared" si="2"/>
        <v>2271246.6607942325</v>
      </c>
      <c r="W4" s="119">
        <f t="shared" si="2"/>
        <v>2309100.7718074694</v>
      </c>
      <c r="X4" s="119">
        <f>X103/$I$121*1000000</f>
        <v>2346954.8828207063</v>
      </c>
      <c r="Y4" s="119">
        <f t="shared" si="2"/>
        <v>2365881.938327325</v>
      </c>
      <c r="Z4" s="119">
        <f t="shared" si="2"/>
        <v>2365881.938327325</v>
      </c>
      <c r="AA4" s="119">
        <f t="shared" si="2"/>
        <v>2365881.938327325</v>
      </c>
      <c r="AB4" s="119">
        <f t="shared" si="2"/>
        <v>2365881.938327325</v>
      </c>
      <c r="AC4" s="119">
        <f t="shared" si="2"/>
        <v>2365881.938327325</v>
      </c>
      <c r="AD4" s="119">
        <f t="shared" si="2"/>
        <v>2365881.938327325</v>
      </c>
      <c r="AE4" s="119">
        <f t="shared" si="2"/>
        <v>2365881.938327325</v>
      </c>
      <c r="AF4" s="119">
        <f t="shared" si="2"/>
        <v>2365881.938327325</v>
      </c>
      <c r="AG4" s="119">
        <f t="shared" si="2"/>
        <v>2365881.938327325</v>
      </c>
      <c r="AH4" s="119">
        <f t="shared" si="2"/>
        <v>2365881.938327325</v>
      </c>
      <c r="AI4" s="119">
        <f t="shared" si="2"/>
        <v>2365881.938327325</v>
      </c>
      <c r="AJ4" s="119">
        <f t="shared" si="2"/>
        <v>2365881.938327325</v>
      </c>
      <c r="AK4" s="119">
        <f t="shared" si="2"/>
        <v>2365881.938327325</v>
      </c>
      <c r="AL4" s="119">
        <f>AL103/$I$121*1000000</f>
        <v>2365881.938327325</v>
      </c>
      <c r="AM4" s="119">
        <f>AM103/$I$121*1000000</f>
        <v>2365881.938327325</v>
      </c>
    </row>
    <row r="5" spans="1:42">
      <c r="A5" s="116" t="s">
        <v>121</v>
      </c>
      <c r="B5" s="116"/>
      <c r="C5" s="116"/>
      <c r="D5" s="116"/>
      <c r="E5" s="116"/>
      <c r="F5" s="116"/>
      <c r="G5" s="116"/>
      <c r="H5" s="116"/>
      <c r="I5" s="13">
        <f>I50</f>
        <v>451697.70409999997</v>
      </c>
      <c r="J5" s="13">
        <f>J50</f>
        <v>441694.63489999995</v>
      </c>
      <c r="K5" s="13">
        <f>K50</f>
        <v>591375.92300000007</v>
      </c>
      <c r="L5" s="13">
        <f>L50</f>
        <v>694405.08660000004</v>
      </c>
      <c r="M5" s="13">
        <f>M50</f>
        <v>508803.36830000009</v>
      </c>
      <c r="N5" s="119">
        <v>450000</v>
      </c>
      <c r="O5" s="119">
        <v>400000</v>
      </c>
      <c r="P5" s="119">
        <v>350000</v>
      </c>
      <c r="Q5" s="119">
        <v>350000</v>
      </c>
      <c r="R5" s="119">
        <v>300000</v>
      </c>
      <c r="S5" s="119">
        <v>275000</v>
      </c>
      <c r="T5" s="119">
        <v>250000</v>
      </c>
      <c r="U5" s="119">
        <v>200000</v>
      </c>
      <c r="V5" s="119">
        <v>200000</v>
      </c>
      <c r="W5" s="119">
        <v>175000</v>
      </c>
      <c r="X5" s="119">
        <v>175000</v>
      </c>
      <c r="Y5" s="119">
        <v>150000</v>
      </c>
      <c r="Z5" s="119">
        <v>150000</v>
      </c>
      <c r="AA5" s="119">
        <v>150000</v>
      </c>
      <c r="AB5" s="119">
        <v>125000</v>
      </c>
      <c r="AC5" s="119">
        <v>125000</v>
      </c>
      <c r="AD5" s="119">
        <v>125000</v>
      </c>
      <c r="AE5" s="119">
        <v>125000</v>
      </c>
      <c r="AF5" s="119">
        <v>125000</v>
      </c>
      <c r="AG5" s="119">
        <v>125000</v>
      </c>
      <c r="AH5" s="119">
        <v>100000</v>
      </c>
      <c r="AI5" s="119">
        <v>100000</v>
      </c>
      <c r="AJ5" s="119">
        <v>100000</v>
      </c>
      <c r="AK5" s="119">
        <v>100000</v>
      </c>
      <c r="AL5" s="119">
        <v>100000</v>
      </c>
      <c r="AM5" s="119">
        <v>100000</v>
      </c>
    </row>
    <row r="6" spans="1:42">
      <c r="A6" s="116" t="s">
        <v>122</v>
      </c>
      <c r="B6" s="116"/>
      <c r="C6" s="116"/>
      <c r="D6" s="116"/>
      <c r="E6" s="116"/>
      <c r="F6" s="116"/>
      <c r="G6" s="116"/>
      <c r="H6" s="116"/>
      <c r="I6" s="13">
        <f>SUM(I3:I5)</f>
        <v>915734.70409999997</v>
      </c>
      <c r="J6" s="13">
        <f>SUM(J3:J5)</f>
        <v>881300.63489999995</v>
      </c>
      <c r="K6" s="13">
        <f>SUM(K3:K5)</f>
        <v>967493.92300000007</v>
      </c>
      <c r="L6" s="13">
        <f>SUM(L3:L5)</f>
        <v>1207570.0866</v>
      </c>
      <c r="M6" s="118">
        <f t="shared" ref="M6:AK6" si="3">SUM(M3:M5)</f>
        <v>1640246.3683000002</v>
      </c>
      <c r="N6" s="119">
        <f t="shared" si="3"/>
        <v>1634673.3303971163</v>
      </c>
      <c r="O6" s="119">
        <f t="shared" si="3"/>
        <v>1845602.1074897766</v>
      </c>
      <c r="P6" s="119">
        <f t="shared" si="3"/>
        <v>2235924.3841420044</v>
      </c>
      <c r="Q6" s="119">
        <f t="shared" si="3"/>
        <v>2444121.9947148087</v>
      </c>
      <c r="R6" s="119">
        <f t="shared" si="3"/>
        <v>2396121.9947148087</v>
      </c>
      <c r="S6" s="119">
        <f t="shared" si="3"/>
        <v>2487684.3277545203</v>
      </c>
      <c r="T6" s="119">
        <f t="shared" si="3"/>
        <v>2500538.4387677577</v>
      </c>
      <c r="U6" s="119">
        <f t="shared" si="3"/>
        <v>2488392.5497809951</v>
      </c>
      <c r="V6" s="119">
        <f t="shared" si="3"/>
        <v>2526246.6607942325</v>
      </c>
      <c r="W6" s="119">
        <f t="shared" si="3"/>
        <v>2539100.7718074694</v>
      </c>
      <c r="X6" s="119">
        <f t="shared" si="3"/>
        <v>2581954.8828207063</v>
      </c>
      <c r="Y6" s="119">
        <f t="shared" si="3"/>
        <v>2575881.938327325</v>
      </c>
      <c r="Z6" s="119">
        <f t="shared" si="3"/>
        <v>2575881.938327325</v>
      </c>
      <c r="AA6" s="119">
        <f t="shared" si="3"/>
        <v>2575881.938327325</v>
      </c>
      <c r="AB6" s="119">
        <f t="shared" si="3"/>
        <v>2550881.938327325</v>
      </c>
      <c r="AC6" s="119">
        <f t="shared" si="3"/>
        <v>2550881.938327325</v>
      </c>
      <c r="AD6" s="119">
        <f t="shared" si="3"/>
        <v>2550881.938327325</v>
      </c>
      <c r="AE6" s="119">
        <f t="shared" si="3"/>
        <v>2550881.938327325</v>
      </c>
      <c r="AF6" s="119">
        <f t="shared" si="3"/>
        <v>2550881.938327325</v>
      </c>
      <c r="AG6" s="119">
        <f t="shared" si="3"/>
        <v>2550881.938327325</v>
      </c>
      <c r="AH6" s="119">
        <f t="shared" si="3"/>
        <v>2525881.938327325</v>
      </c>
      <c r="AI6" s="119">
        <f t="shared" si="3"/>
        <v>2525881.938327325</v>
      </c>
      <c r="AJ6" s="119">
        <f t="shared" si="3"/>
        <v>2525881.938327325</v>
      </c>
      <c r="AK6" s="119">
        <f t="shared" si="3"/>
        <v>2525881.938327325</v>
      </c>
      <c r="AL6" s="119">
        <f>SUM(AL3:AL5)</f>
        <v>2525881.938327325</v>
      </c>
      <c r="AM6" s="119">
        <f>SUM(AM3:AM5)</f>
        <v>2525881.938327325</v>
      </c>
    </row>
    <row r="7" spans="1:42">
      <c r="A7" s="116" t="s">
        <v>148</v>
      </c>
      <c r="B7" s="116"/>
      <c r="C7" s="116"/>
      <c r="D7" s="116"/>
      <c r="E7" s="116"/>
      <c r="F7" s="116"/>
      <c r="G7" s="116"/>
      <c r="H7" s="116"/>
      <c r="I7" s="13">
        <f>I9-I8</f>
        <v>559596.43539999996</v>
      </c>
      <c r="J7" s="13">
        <f>J9-J8</f>
        <v>535106.49529999995</v>
      </c>
      <c r="K7" s="13">
        <f>K9-K8</f>
        <v>670664.74280000001</v>
      </c>
      <c r="L7" s="13">
        <f>L9-L8</f>
        <v>797539.02149999992</v>
      </c>
      <c r="M7" s="118">
        <f>M9-M8</f>
        <v>1213563.0120000001</v>
      </c>
      <c r="N7" s="119">
        <f t="shared" ref="N7:AK7" si="4">N9-N8</f>
        <v>1202673.3303971163</v>
      </c>
      <c r="O7" s="119">
        <f t="shared" si="4"/>
        <v>1391602.1074897766</v>
      </c>
      <c r="P7" s="119">
        <f t="shared" si="4"/>
        <v>1748924.3841420044</v>
      </c>
      <c r="Q7" s="119">
        <f t="shared" si="4"/>
        <v>1933121.9947148087</v>
      </c>
      <c r="R7" s="119">
        <f t="shared" si="4"/>
        <v>1898121.9947148087</v>
      </c>
      <c r="S7" s="119">
        <f t="shared" si="4"/>
        <v>1974684.3277545203</v>
      </c>
      <c r="T7" s="119">
        <f t="shared" si="4"/>
        <v>1987538.4387677577</v>
      </c>
      <c r="U7" s="119">
        <f t="shared" si="4"/>
        <v>1976392.5497809951</v>
      </c>
      <c r="V7" s="119">
        <f t="shared" si="4"/>
        <v>2010246.6607942325</v>
      </c>
      <c r="W7" s="119">
        <f t="shared" si="4"/>
        <v>2015100.7718074694</v>
      </c>
      <c r="X7" s="119">
        <f t="shared" si="4"/>
        <v>2051954.8828207063</v>
      </c>
      <c r="Y7" s="119">
        <f t="shared" si="4"/>
        <v>2046881.938327325</v>
      </c>
      <c r="Z7" s="119">
        <f t="shared" si="4"/>
        <v>2046881.938327325</v>
      </c>
      <c r="AA7" s="119">
        <f t="shared" si="4"/>
        <v>2046881.938327325</v>
      </c>
      <c r="AB7" s="119">
        <f t="shared" si="4"/>
        <v>2025881.938327325</v>
      </c>
      <c r="AC7" s="119">
        <f t="shared" si="4"/>
        <v>2025881.938327325</v>
      </c>
      <c r="AD7" s="119">
        <f t="shared" si="4"/>
        <v>2025881.938327325</v>
      </c>
      <c r="AE7" s="119">
        <f t="shared" si="4"/>
        <v>2025881.938327325</v>
      </c>
      <c r="AF7" s="119">
        <f t="shared" si="4"/>
        <v>2025881.938327325</v>
      </c>
      <c r="AG7" s="119">
        <f t="shared" si="4"/>
        <v>2025881.938327325</v>
      </c>
      <c r="AH7" s="119">
        <f t="shared" si="4"/>
        <v>2004881.938327325</v>
      </c>
      <c r="AI7" s="119">
        <f t="shared" si="4"/>
        <v>2004881.938327325</v>
      </c>
      <c r="AJ7" s="119">
        <f t="shared" si="4"/>
        <v>2004881.938327325</v>
      </c>
      <c r="AK7" s="119">
        <f t="shared" si="4"/>
        <v>2004881.938327325</v>
      </c>
      <c r="AL7" s="119">
        <f>AL9-AL8</f>
        <v>2004881.938327325</v>
      </c>
      <c r="AM7" s="119">
        <f>AM9-AM8</f>
        <v>2004881.938327325</v>
      </c>
    </row>
    <row r="8" spans="1:42">
      <c r="A8" s="116" t="s">
        <v>123</v>
      </c>
      <c r="B8" s="116"/>
      <c r="C8" s="116"/>
      <c r="D8" s="116"/>
      <c r="E8" s="116"/>
      <c r="F8" s="116"/>
      <c r="G8" s="116"/>
      <c r="H8" s="116"/>
      <c r="I8" s="13">
        <f>I66</f>
        <v>347274.26870000002</v>
      </c>
      <c r="J8" s="13">
        <f>J66</f>
        <v>339268.13959999999</v>
      </c>
      <c r="K8" s="13">
        <f>K66</f>
        <v>291770.18020000006</v>
      </c>
      <c r="L8" s="13">
        <f>L66</f>
        <v>398892.06510000012</v>
      </c>
      <c r="M8" s="13">
        <f>M66</f>
        <v>377633.35630000004</v>
      </c>
      <c r="N8" s="119">
        <f>MROUND(M8*1.025,1000)</f>
        <v>387000</v>
      </c>
      <c r="O8" s="119">
        <f>MROUND(FORECAST(O6,I8:N8,I6:N6),1000)</f>
        <v>404000</v>
      </c>
      <c r="P8" s="119">
        <f t="shared" ref="P8:AG8" si="5">MROUND(FORECAST(P6,J8:O8,J6:O6),1000)</f>
        <v>437000</v>
      </c>
      <c r="Q8" s="119">
        <f t="shared" si="5"/>
        <v>459000</v>
      </c>
      <c r="R8" s="119">
        <f t="shared" si="5"/>
        <v>443000</v>
      </c>
      <c r="S8" s="119">
        <f t="shared" si="5"/>
        <v>458000</v>
      </c>
      <c r="T8" s="119">
        <f t="shared" si="5"/>
        <v>458000</v>
      </c>
      <c r="U8" s="119">
        <f t="shared" si="5"/>
        <v>457000</v>
      </c>
      <c r="V8" s="119">
        <f t="shared" si="5"/>
        <v>461000</v>
      </c>
      <c r="W8" s="119">
        <f t="shared" si="5"/>
        <v>464000</v>
      </c>
      <c r="X8" s="119">
        <f t="shared" si="5"/>
        <v>470000</v>
      </c>
      <c r="Y8" s="119">
        <f t="shared" si="5"/>
        <v>469000</v>
      </c>
      <c r="Z8" s="119">
        <f t="shared" si="5"/>
        <v>469000</v>
      </c>
      <c r="AA8" s="119">
        <f t="shared" si="5"/>
        <v>469000</v>
      </c>
      <c r="AB8" s="119">
        <f t="shared" si="5"/>
        <v>465000</v>
      </c>
      <c r="AC8" s="119">
        <f t="shared" si="5"/>
        <v>465000</v>
      </c>
      <c r="AD8" s="119">
        <f t="shared" si="5"/>
        <v>465000</v>
      </c>
      <c r="AE8" s="119">
        <f t="shared" si="5"/>
        <v>465000</v>
      </c>
      <c r="AF8" s="119">
        <f t="shared" si="5"/>
        <v>465000</v>
      </c>
      <c r="AG8" s="119">
        <f t="shared" si="5"/>
        <v>465000</v>
      </c>
      <c r="AH8" s="119">
        <f t="shared" ref="AH8:AM8" si="6">MROUND(FORECAST(AH6,V8:AG8,V6:AG6),1000)</f>
        <v>461000</v>
      </c>
      <c r="AI8" s="119">
        <f t="shared" si="6"/>
        <v>461000</v>
      </c>
      <c r="AJ8" s="119">
        <f t="shared" si="6"/>
        <v>461000</v>
      </c>
      <c r="AK8" s="119">
        <f t="shared" si="6"/>
        <v>461000</v>
      </c>
      <c r="AL8" s="119">
        <f t="shared" si="6"/>
        <v>461000</v>
      </c>
      <c r="AM8" s="119">
        <f t="shared" si="6"/>
        <v>461000</v>
      </c>
    </row>
    <row r="9" spans="1:42">
      <c r="A9" s="116" t="s">
        <v>126</v>
      </c>
      <c r="B9" s="116"/>
      <c r="C9" s="116"/>
      <c r="D9" s="116"/>
      <c r="E9" s="116"/>
      <c r="F9" s="116"/>
      <c r="G9" s="116"/>
      <c r="H9" s="116"/>
      <c r="I9" s="13">
        <f>I6-I10</f>
        <v>906870.70409999997</v>
      </c>
      <c r="J9" s="13">
        <f>J6-J10</f>
        <v>874374.63489999995</v>
      </c>
      <c r="K9" s="13">
        <f>K6-K10</f>
        <v>962434.92300000007</v>
      </c>
      <c r="L9" s="13">
        <f>L6-L10</f>
        <v>1196431.0866</v>
      </c>
      <c r="M9" s="118">
        <f>M6-M10</f>
        <v>1591196.3683000002</v>
      </c>
      <c r="N9" s="119">
        <f t="shared" ref="N9:AK9" si="7">N6-N10</f>
        <v>1589673.3303971163</v>
      </c>
      <c r="O9" s="119">
        <f t="shared" si="7"/>
        <v>1795602.1074897766</v>
      </c>
      <c r="P9" s="119">
        <f t="shared" si="7"/>
        <v>2185924.3841420044</v>
      </c>
      <c r="Q9" s="119">
        <f t="shared" si="7"/>
        <v>2392121.9947148087</v>
      </c>
      <c r="R9" s="119">
        <f t="shared" si="7"/>
        <v>2341121.9947148087</v>
      </c>
      <c r="S9" s="119">
        <f t="shared" si="7"/>
        <v>2432684.3277545203</v>
      </c>
      <c r="T9" s="119">
        <f t="shared" si="7"/>
        <v>2445538.4387677577</v>
      </c>
      <c r="U9" s="119">
        <f t="shared" si="7"/>
        <v>2433392.5497809951</v>
      </c>
      <c r="V9" s="119">
        <f t="shared" si="7"/>
        <v>2471246.6607942325</v>
      </c>
      <c r="W9" s="119">
        <f t="shared" si="7"/>
        <v>2479100.7718074694</v>
      </c>
      <c r="X9" s="119">
        <f t="shared" si="7"/>
        <v>2521954.8828207063</v>
      </c>
      <c r="Y9" s="119">
        <f t="shared" si="7"/>
        <v>2515881.938327325</v>
      </c>
      <c r="Z9" s="119">
        <f t="shared" si="7"/>
        <v>2515881.938327325</v>
      </c>
      <c r="AA9" s="119">
        <f t="shared" si="7"/>
        <v>2515881.938327325</v>
      </c>
      <c r="AB9" s="119">
        <f t="shared" si="7"/>
        <v>2490881.938327325</v>
      </c>
      <c r="AC9" s="119">
        <f t="shared" si="7"/>
        <v>2490881.938327325</v>
      </c>
      <c r="AD9" s="119">
        <f t="shared" si="7"/>
        <v>2490881.938327325</v>
      </c>
      <c r="AE9" s="119">
        <f t="shared" si="7"/>
        <v>2490881.938327325</v>
      </c>
      <c r="AF9" s="119">
        <f t="shared" si="7"/>
        <v>2490881.938327325</v>
      </c>
      <c r="AG9" s="119">
        <f t="shared" si="7"/>
        <v>2490881.938327325</v>
      </c>
      <c r="AH9" s="119">
        <f t="shared" si="7"/>
        <v>2465881.938327325</v>
      </c>
      <c r="AI9" s="119">
        <f t="shared" si="7"/>
        <v>2465881.938327325</v>
      </c>
      <c r="AJ9" s="119">
        <f t="shared" si="7"/>
        <v>2465881.938327325</v>
      </c>
      <c r="AK9" s="119">
        <f t="shared" si="7"/>
        <v>2465881.938327325</v>
      </c>
      <c r="AL9" s="119">
        <f>AL6-AL10</f>
        <v>2465881.938327325</v>
      </c>
      <c r="AM9" s="119">
        <f>AM6-AM10</f>
        <v>2465881.938327325</v>
      </c>
    </row>
    <row r="10" spans="1:42" ht="12" thickBot="1">
      <c r="A10" s="116" t="s">
        <v>127</v>
      </c>
      <c r="B10" s="116"/>
      <c r="C10" s="116"/>
      <c r="D10" s="116"/>
      <c r="E10" s="116"/>
      <c r="F10" s="116"/>
      <c r="G10" s="116"/>
      <c r="H10" s="116"/>
      <c r="I10" s="13">
        <f>I97</f>
        <v>8864</v>
      </c>
      <c r="J10" s="13">
        <f>J97</f>
        <v>6926</v>
      </c>
      <c r="K10" s="13">
        <f>K97</f>
        <v>5059</v>
      </c>
      <c r="L10" s="13">
        <f>L97</f>
        <v>11139</v>
      </c>
      <c r="M10" s="118">
        <f>M97</f>
        <v>49050</v>
      </c>
      <c r="N10" s="119">
        <v>45000</v>
      </c>
      <c r="O10" s="119">
        <v>50000</v>
      </c>
      <c r="P10" s="119">
        <v>50000</v>
      </c>
      <c r="Q10" s="119">
        <v>52000</v>
      </c>
      <c r="R10" s="119">
        <v>55000</v>
      </c>
      <c r="S10" s="119">
        <v>55000</v>
      </c>
      <c r="T10" s="119">
        <v>55000</v>
      </c>
      <c r="U10" s="119">
        <v>55000</v>
      </c>
      <c r="V10" s="119">
        <v>55000</v>
      </c>
      <c r="W10" s="119">
        <v>60000</v>
      </c>
      <c r="X10" s="119">
        <v>60000</v>
      </c>
      <c r="Y10" s="119">
        <v>60000</v>
      </c>
      <c r="Z10" s="119">
        <v>60000</v>
      </c>
      <c r="AA10" s="119">
        <v>60000</v>
      </c>
      <c r="AB10" s="119">
        <v>60000</v>
      </c>
      <c r="AC10" s="119">
        <v>60000</v>
      </c>
      <c r="AD10" s="119">
        <v>60000</v>
      </c>
      <c r="AE10" s="119">
        <v>60000</v>
      </c>
      <c r="AF10" s="119">
        <v>60000</v>
      </c>
      <c r="AG10" s="119">
        <v>60000</v>
      </c>
      <c r="AH10" s="119">
        <v>60000</v>
      </c>
      <c r="AI10" s="119">
        <v>60000</v>
      </c>
      <c r="AJ10" s="119">
        <v>60000</v>
      </c>
      <c r="AK10" s="119">
        <v>60000</v>
      </c>
      <c r="AL10" s="119">
        <v>60000</v>
      </c>
      <c r="AM10" s="119">
        <v>60000</v>
      </c>
    </row>
    <row r="11" spans="1:42">
      <c r="A11" s="171"/>
      <c r="B11" s="171"/>
      <c r="C11" s="171"/>
      <c r="D11" s="171"/>
      <c r="E11" s="171"/>
      <c r="F11" s="171"/>
      <c r="G11" s="171"/>
      <c r="H11" s="171"/>
      <c r="I11" s="172"/>
      <c r="J11" s="172"/>
      <c r="K11" s="17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row>
    <row r="12" spans="1:42">
      <c r="A12" s="116" t="s">
        <v>209</v>
      </c>
      <c r="B12" s="116"/>
      <c r="C12" s="116"/>
      <c r="D12" s="116"/>
      <c r="E12" s="116"/>
      <c r="F12" s="116"/>
      <c r="G12" s="116"/>
      <c r="H12" s="116"/>
      <c r="I12" s="129">
        <f t="shared" ref="I12:AM12" si="8">I10/I9</f>
        <v>9.7742709737181823E-3</v>
      </c>
      <c r="J12" s="129">
        <f t="shared" si="8"/>
        <v>7.9210897978440435E-3</v>
      </c>
      <c r="K12" s="129">
        <f t="shared" si="8"/>
        <v>5.2564592982875368E-3</v>
      </c>
      <c r="L12" s="129">
        <f t="shared" si="8"/>
        <v>9.3101893830380509E-3</v>
      </c>
      <c r="M12" s="129">
        <f>M10/M9</f>
        <v>3.0825862211088351E-2</v>
      </c>
      <c r="N12" s="129">
        <f t="shared" si="8"/>
        <v>2.8307702683015103E-2</v>
      </c>
      <c r="O12" s="129">
        <f t="shared" si="8"/>
        <v>2.7845812717328122E-2</v>
      </c>
      <c r="P12" s="129">
        <f t="shared" si="8"/>
        <v>2.2873618302046372E-2</v>
      </c>
      <c r="Q12" s="129">
        <f t="shared" si="8"/>
        <v>2.1738021771000645E-2</v>
      </c>
      <c r="R12" s="129">
        <f t="shared" si="8"/>
        <v>2.3493008960731244E-2</v>
      </c>
      <c r="S12" s="129">
        <f t="shared" si="8"/>
        <v>2.260876981550974E-2</v>
      </c>
      <c r="T12" s="129">
        <f t="shared" si="8"/>
        <v>2.2489934784142279E-2</v>
      </c>
      <c r="U12" s="129">
        <f t="shared" si="8"/>
        <v>2.2602189689842681E-2</v>
      </c>
      <c r="V12" s="129">
        <f t="shared" si="8"/>
        <v>2.2255973421254349E-2</v>
      </c>
      <c r="W12" s="129">
        <f t="shared" si="8"/>
        <v>2.4202323956462261E-2</v>
      </c>
      <c r="X12" s="129">
        <f t="shared" si="8"/>
        <v>2.3791067956335676E-2</v>
      </c>
      <c r="Y12" s="129">
        <f t="shared" si="8"/>
        <v>2.3848495863796684E-2</v>
      </c>
      <c r="Z12" s="129">
        <f t="shared" si="8"/>
        <v>2.3848495863796684E-2</v>
      </c>
      <c r="AA12" s="129">
        <f t="shared" si="8"/>
        <v>2.3848495863796684E-2</v>
      </c>
      <c r="AB12" s="129">
        <f t="shared" si="8"/>
        <v>2.4087853814657771E-2</v>
      </c>
      <c r="AC12" s="129">
        <f t="shared" si="8"/>
        <v>2.4087853814657771E-2</v>
      </c>
      <c r="AD12" s="129">
        <f t="shared" si="8"/>
        <v>2.4087853814657771E-2</v>
      </c>
      <c r="AE12" s="129">
        <f t="shared" si="8"/>
        <v>2.4087853814657771E-2</v>
      </c>
      <c r="AF12" s="129">
        <f t="shared" si="8"/>
        <v>2.4087853814657771E-2</v>
      </c>
      <c r="AG12" s="129">
        <f t="shared" si="8"/>
        <v>2.4087853814657771E-2</v>
      </c>
      <c r="AH12" s="129">
        <f t="shared" si="8"/>
        <v>2.43320651598996E-2</v>
      </c>
      <c r="AI12" s="129">
        <f t="shared" si="8"/>
        <v>2.43320651598996E-2</v>
      </c>
      <c r="AJ12" s="129">
        <f t="shared" si="8"/>
        <v>2.43320651598996E-2</v>
      </c>
      <c r="AK12" s="129">
        <f t="shared" si="8"/>
        <v>2.43320651598996E-2</v>
      </c>
      <c r="AL12" s="129">
        <f t="shared" si="8"/>
        <v>2.43320651598996E-2</v>
      </c>
      <c r="AM12" s="129">
        <f t="shared" si="8"/>
        <v>2.43320651598996E-2</v>
      </c>
    </row>
    <row r="13" spans="1:42">
      <c r="A13" s="116" t="s">
        <v>210</v>
      </c>
      <c r="B13" s="116"/>
      <c r="C13" s="116"/>
      <c r="D13" s="116"/>
      <c r="E13" s="116"/>
      <c r="F13" s="116"/>
      <c r="G13" s="116"/>
      <c r="H13" s="116"/>
      <c r="I13" s="13"/>
      <c r="J13" s="13"/>
      <c r="K13" s="118">
        <f>('Annual Diesel Sales'!AE7-'Annual Diesel Sales'!AE8)/$I$121*1000000</f>
        <v>167720.35228228429</v>
      </c>
      <c r="L13" s="118">
        <f>('Annual Diesel Sales'!AF7-'Annual Diesel Sales'!AF8)/$I$121*1000000</f>
        <v>73828.158145282083</v>
      </c>
      <c r="M13" s="118">
        <f>('Annual Diesel Sales'!AG7-'Annual Diesel Sales'!AG8)/$I$121*1000000</f>
        <v>-530463.1556204271</v>
      </c>
      <c r="N13" s="118">
        <f>('Annual Diesel Sales'!AH7-'Annual Diesel Sales'!AH8)/$I$121*1000000</f>
        <v>-538078.30793656758</v>
      </c>
      <c r="O13" s="118">
        <f>('Annual Diesel Sales'!AI7-'Annual Diesel Sales'!AI8)/$I$121*1000000</f>
        <v>-795503.82989091158</v>
      </c>
      <c r="P13" s="118">
        <f>('Annual Diesel Sales'!AJ7-'Annual Diesel Sales'!AJ8)/$I$121*1000000</f>
        <v>-1223425.0098961073</v>
      </c>
      <c r="Q13" s="118">
        <f>('Annual Diesel Sales'!AK7-'Annual Diesel Sales'!AK8)/$I$121*1000000</f>
        <v>-1424380.5588694504</v>
      </c>
      <c r="R13" s="118">
        <f>('Annual Diesel Sales'!AL7-'Annual Diesel Sales'!AL8)/$I$121*1000000</f>
        <v>-1417304.2482867581</v>
      </c>
      <c r="S13" s="118">
        <f>('Annual Diesel Sales'!AM7-'Annual Diesel Sales'!AM8)/$I$121*1000000</f>
        <v>-1229274.4216534381</v>
      </c>
      <c r="T13" s="118">
        <f>('Annual Diesel Sales'!AN7-'Annual Diesel Sales'!AN8)/$I$121*1000000</f>
        <v>-1255507.415893089</v>
      </c>
      <c r="U13" s="118">
        <f>('Annual Diesel Sales'!AO7-'Annual Diesel Sales'!AO8)/$I$121*1000000</f>
        <v>-1281846.1242576125</v>
      </c>
      <c r="V13" s="118">
        <f>('Annual Diesel Sales'!AP7-'Annual Diesel Sales'!AP8)/$I$121*1000000</f>
        <v>-1308094.9596178548</v>
      </c>
      <c r="W13" s="118">
        <f>('Annual Diesel Sales'!AQ7-'Annual Diesel Sales'!AQ8)/$I$121*1000000</f>
        <v>-1334254.2011482206</v>
      </c>
      <c r="X13" s="118">
        <f>('Annual Diesel Sales'!AR7-'Annual Diesel Sales'!AR8)/$I$121*1000000</f>
        <v>-1360321.4248269859</v>
      </c>
      <c r="Y13" s="118">
        <f>('Annual Diesel Sales'!AS7-'Annual Diesel Sales'!AS8)/$I$121*1000000</f>
        <v>-1367365.7913081446</v>
      </c>
      <c r="Z13" s="118">
        <f>('Annual Diesel Sales'!AT7-'Annual Diesel Sales'!AT8)/$I$121*1000000</f>
        <v>-1355383.9243730658</v>
      </c>
      <c r="AA13" s="118">
        <f>('Annual Diesel Sales'!AU7-'Annual Diesel Sales'!AU8)/$I$121*1000000</f>
        <v>-1343296.3459518426</v>
      </c>
      <c r="AB13" s="118">
        <f>('Annual Diesel Sales'!AV7-'Annual Diesel Sales'!AV8)/$I$121*1000000</f>
        <v>-1331095.6067531672</v>
      </c>
      <c r="AC13" s="118">
        <f>('Annual Diesel Sales'!AW7-'Annual Diesel Sales'!AW8)/$I$121*1000000</f>
        <v>-1318774.6707889787</v>
      </c>
      <c r="AD13" s="118">
        <f>('Annual Diesel Sales'!AX7-'Annual Diesel Sales'!AX8)/$I$121*1000000</f>
        <v>-1306292.3696444535</v>
      </c>
      <c r="AE13" s="118">
        <f>('Annual Diesel Sales'!AY7-'Annual Diesel Sales'!AY8)/$I$121*1000000</f>
        <v>-1293646.4130440846</v>
      </c>
      <c r="AF13" s="118">
        <f>('Annual Diesel Sales'!AZ7-'Annual Diesel Sales'!AZ8)/$I$121*1000000</f>
        <v>-1280834.4762227919</v>
      </c>
      <c r="AG13" s="118">
        <f>('Annual Diesel Sales'!BA7-'Annual Diesel Sales'!BA8)/$I$121*1000000</f>
        <v>-1267854.1993856502</v>
      </c>
      <c r="AH13" s="118">
        <f>('Annual Diesel Sales'!BB7-'Annual Diesel Sales'!BB8)/$I$121*1000000</f>
        <v>-1254703.187158945</v>
      </c>
      <c r="AI13" s="118">
        <f>('Annual Diesel Sales'!BC7-'Annual Diesel Sales'!BC8)/$I$121*1000000</f>
        <v>-1241379.0080324153</v>
      </c>
      <c r="AJ13" s="118">
        <f>('Annual Diesel Sales'!BD7-'Annual Diesel Sales'!BD8)/$I$121*1000000</f>
        <v>-1227879.1937925334</v>
      </c>
      <c r="AK13" s="118">
        <f>('Annual Diesel Sales'!BE7-'Annual Diesel Sales'!BE8)/$I$121*1000000</f>
        <v>-1214201.2389466842</v>
      </c>
      <c r="AL13" s="118">
        <f>('Annual Diesel Sales'!BF7-'Annual Diesel Sales'!BF8)/$I$121*1000000</f>
        <v>-1200342.6001380901</v>
      </c>
      <c r="AM13" s="118">
        <f>('Annual Diesel Sales'!BG7-'Annual Diesel Sales'!BG8)/$I$121*1000000</f>
        <v>-1186300.695551333</v>
      </c>
    </row>
    <row r="14" spans="1:42">
      <c r="A14" s="116" t="s">
        <v>211</v>
      </c>
      <c r="B14" s="116"/>
      <c r="C14" s="116"/>
      <c r="D14" s="116"/>
      <c r="E14" s="116"/>
      <c r="F14" s="116"/>
      <c r="G14" s="116"/>
      <c r="H14" s="116"/>
      <c r="I14" s="13"/>
      <c r="J14" s="13"/>
      <c r="K14" s="118"/>
      <c r="Q14" s="13">
        <f t="shared" ref="Q14:AM14" si="9">Q83</f>
        <v>619740.66206114949</v>
      </c>
      <c r="R14" s="13">
        <f t="shared" si="9"/>
        <v>626816.97264384176</v>
      </c>
      <c r="S14" s="13">
        <f t="shared" si="9"/>
        <v>928409.08932886133</v>
      </c>
      <c r="T14" s="13">
        <f t="shared" si="9"/>
        <v>940030.191773111</v>
      </c>
      <c r="U14" s="13">
        <f t="shared" si="9"/>
        <v>951545.58009248809</v>
      </c>
      <c r="V14" s="13">
        <f t="shared" si="9"/>
        <v>963150.84141614533</v>
      </c>
      <c r="W14" s="13">
        <f t="shared" si="9"/>
        <v>974845.69656967942</v>
      </c>
      <c r="X14" s="13">
        <f t="shared" si="9"/>
        <v>986632.56957481382</v>
      </c>
      <c r="Y14" s="13">
        <f t="shared" si="9"/>
        <v>998515.25143560569</v>
      </c>
      <c r="Z14" s="13">
        <f t="shared" si="9"/>
        <v>1010497.1183706846</v>
      </c>
      <c r="AA14" s="13">
        <f t="shared" si="9"/>
        <v>1022584.6967919079</v>
      </c>
      <c r="AB14" s="13">
        <f t="shared" si="9"/>
        <v>1034785.435990583</v>
      </c>
      <c r="AC14" s="13">
        <f t="shared" si="9"/>
        <v>1047106.3719547716</v>
      </c>
      <c r="AD14" s="13">
        <f t="shared" si="9"/>
        <v>1059588.6730992966</v>
      </c>
      <c r="AE14" s="13">
        <f t="shared" si="9"/>
        <v>1072234.6296996656</v>
      </c>
      <c r="AF14" s="13">
        <f t="shared" si="9"/>
        <v>1085046.5665209582</v>
      </c>
      <c r="AG14" s="13">
        <f t="shared" si="9"/>
        <v>1098026.8433580999</v>
      </c>
      <c r="AH14" s="13">
        <f t="shared" si="9"/>
        <v>1111177.8555848051</v>
      </c>
      <c r="AI14" s="13">
        <f t="shared" si="9"/>
        <v>1124502.0347113349</v>
      </c>
      <c r="AJ14" s="13">
        <f t="shared" si="9"/>
        <v>1138001.848951217</v>
      </c>
      <c r="AK14" s="13">
        <f t="shared" si="9"/>
        <v>1151679.8037970664</v>
      </c>
      <c r="AL14" s="13">
        <f t="shared" si="9"/>
        <v>1165538.4426056601</v>
      </c>
      <c r="AM14" s="13">
        <f t="shared" si="9"/>
        <v>1179580.3471924171</v>
      </c>
    </row>
    <row r="15" spans="1:42">
      <c r="A15" s="116" t="s">
        <v>212</v>
      </c>
      <c r="B15" s="116"/>
      <c r="C15" s="116"/>
      <c r="D15" s="116"/>
      <c r="E15" s="116"/>
      <c r="F15" s="116"/>
      <c r="G15" s="116"/>
      <c r="H15" s="116"/>
      <c r="I15" s="13"/>
      <c r="J15" s="13"/>
      <c r="K15" s="118"/>
    </row>
    <row r="16" spans="1:42">
      <c r="A16" s="116" t="s">
        <v>4</v>
      </c>
      <c r="B16" s="116"/>
      <c r="C16" s="116"/>
      <c r="D16" s="116"/>
      <c r="E16" s="116"/>
      <c r="F16" s="116"/>
      <c r="G16" s="116"/>
      <c r="H16" s="116"/>
      <c r="I16" s="13">
        <f>I174</f>
        <v>455166</v>
      </c>
      <c r="J16" s="13">
        <f>J174</f>
        <v>435053</v>
      </c>
      <c r="K16" s="13">
        <f>K174</f>
        <v>375686</v>
      </c>
      <c r="L16" s="13">
        <f>L174</f>
        <v>514036</v>
      </c>
      <c r="M16" s="13">
        <f>M174</f>
        <v>1120304</v>
      </c>
      <c r="N16" s="118">
        <f t="shared" ref="N16:AK16" si="10">N7*$I$122</f>
        <v>1051978.3620983576</v>
      </c>
      <c r="O16" s="118">
        <f t="shared" si="10"/>
        <v>1217234.3634213076</v>
      </c>
      <c r="P16" s="118">
        <f t="shared" si="10"/>
        <v>1529784.1588090113</v>
      </c>
      <c r="Q16" s="118">
        <f t="shared" si="10"/>
        <v>1690901.8087770431</v>
      </c>
      <c r="R16" s="118">
        <f t="shared" si="10"/>
        <v>1660287.3087770431</v>
      </c>
      <c r="S16" s="118">
        <f t="shared" si="10"/>
        <v>1727256.381486879</v>
      </c>
      <c r="T16" s="118">
        <f t="shared" si="10"/>
        <v>1738499.8723901578</v>
      </c>
      <c r="U16" s="118">
        <f t="shared" si="10"/>
        <v>1728750.5632934365</v>
      </c>
      <c r="V16" s="118">
        <f t="shared" si="10"/>
        <v>1758362.7541967153</v>
      </c>
      <c r="W16" s="118">
        <f t="shared" si="10"/>
        <v>1762608.6450999936</v>
      </c>
      <c r="X16" s="118">
        <f t="shared" si="10"/>
        <v>1794844.936003272</v>
      </c>
      <c r="Y16" s="118">
        <f t="shared" si="10"/>
        <v>1790407.6314549113</v>
      </c>
      <c r="Z16" s="118">
        <f t="shared" si="10"/>
        <v>1790407.6314549113</v>
      </c>
      <c r="AA16" s="118">
        <f t="shared" si="10"/>
        <v>1790407.6314549113</v>
      </c>
      <c r="AB16" s="118">
        <f t="shared" si="10"/>
        <v>1772038.9314549114</v>
      </c>
      <c r="AC16" s="118">
        <f t="shared" si="10"/>
        <v>1772038.9314549114</v>
      </c>
      <c r="AD16" s="118">
        <f t="shared" si="10"/>
        <v>1772038.9314549114</v>
      </c>
      <c r="AE16" s="118">
        <f t="shared" si="10"/>
        <v>1772038.9314549114</v>
      </c>
      <c r="AF16" s="118">
        <f t="shared" si="10"/>
        <v>1772038.9314549114</v>
      </c>
      <c r="AG16" s="118">
        <f t="shared" si="10"/>
        <v>1772038.9314549114</v>
      </c>
      <c r="AH16" s="118">
        <f t="shared" si="10"/>
        <v>1753670.2314549112</v>
      </c>
      <c r="AI16" s="118">
        <f t="shared" si="10"/>
        <v>1753670.2314549112</v>
      </c>
      <c r="AJ16" s="118">
        <f t="shared" si="10"/>
        <v>1753670.2314549112</v>
      </c>
      <c r="AK16" s="118">
        <f t="shared" si="10"/>
        <v>1753670.2314549112</v>
      </c>
      <c r="AL16" s="118">
        <f>AL7*$I$122</f>
        <v>1753670.2314549112</v>
      </c>
      <c r="AM16" s="118">
        <f>AM7*$I$122</f>
        <v>1753670.2314549112</v>
      </c>
    </row>
    <row r="17" spans="1:67">
      <c r="A17" s="116" t="s">
        <v>124</v>
      </c>
      <c r="B17" s="116"/>
      <c r="C17" s="116"/>
      <c r="D17" s="116"/>
      <c r="E17" s="116"/>
      <c r="F17" s="116"/>
      <c r="G17" s="116"/>
      <c r="H17" s="116"/>
      <c r="I17" s="13">
        <f>I190</f>
        <v>1796</v>
      </c>
      <c r="J17" s="13">
        <f>J190</f>
        <v>588</v>
      </c>
      <c r="K17" s="13">
        <f>K190</f>
        <v>783</v>
      </c>
      <c r="L17" s="13">
        <f>L190</f>
        <v>1429</v>
      </c>
      <c r="M17" s="13">
        <f>M190</f>
        <v>916</v>
      </c>
      <c r="N17" s="118">
        <f t="shared" ref="N17:AK17" si="11">N9-N8-N18-N16</f>
        <v>148021.63790164236</v>
      </c>
      <c r="O17" s="118">
        <f t="shared" si="11"/>
        <v>24765.636578692356</v>
      </c>
      <c r="P17" s="118">
        <f t="shared" si="11"/>
        <v>-244784.15880901134</v>
      </c>
      <c r="Q17" s="118">
        <f t="shared" si="11"/>
        <v>-360901.80877704313</v>
      </c>
      <c r="R17" s="118">
        <f t="shared" si="11"/>
        <v>-283287.30877704313</v>
      </c>
      <c r="S17" s="118">
        <f t="shared" si="11"/>
        <v>-302256.38148687896</v>
      </c>
      <c r="T17" s="118">
        <f t="shared" si="11"/>
        <v>-263499.87239015778</v>
      </c>
      <c r="U17" s="118">
        <f t="shared" si="11"/>
        <v>-201750.56329343654</v>
      </c>
      <c r="V17" s="118">
        <f t="shared" si="11"/>
        <v>-178362.75419671531</v>
      </c>
      <c r="W17" s="118">
        <f t="shared" si="11"/>
        <v>-127608.64509999356</v>
      </c>
      <c r="X17" s="118">
        <f t="shared" si="11"/>
        <v>-102844.93600327196</v>
      </c>
      <c r="Y17" s="118">
        <f t="shared" si="11"/>
        <v>-39407.631454911316</v>
      </c>
      <c r="Z17" s="118">
        <f t="shared" si="11"/>
        <v>21592.368545088684</v>
      </c>
      <c r="AA17" s="118">
        <f t="shared" si="11"/>
        <v>84592.368545088684</v>
      </c>
      <c r="AB17" s="118">
        <f t="shared" si="11"/>
        <v>168961.06854508864</v>
      </c>
      <c r="AC17" s="118">
        <f t="shared" si="11"/>
        <v>236961.06854508864</v>
      </c>
      <c r="AD17" s="118">
        <f t="shared" si="11"/>
        <v>306961.06854508864</v>
      </c>
      <c r="AE17" s="118">
        <f t="shared" si="11"/>
        <v>-747032.93145491136</v>
      </c>
      <c r="AF17" s="118">
        <f t="shared" si="11"/>
        <v>-747031.93145491136</v>
      </c>
      <c r="AG17" s="118">
        <f t="shared" si="11"/>
        <v>-747030.93145491136</v>
      </c>
      <c r="AH17" s="118">
        <f t="shared" si="11"/>
        <v>-728661.23145491118</v>
      </c>
      <c r="AI17" s="118">
        <f t="shared" si="11"/>
        <v>-728660.23145491118</v>
      </c>
      <c r="AJ17" s="118">
        <f t="shared" si="11"/>
        <v>-728659.23145491118</v>
      </c>
      <c r="AK17" s="118">
        <f t="shared" si="11"/>
        <v>-728658.23145491118</v>
      </c>
      <c r="AL17" s="118">
        <f>AL9-AL8-AL18-AL16</f>
        <v>-728657.23145491118</v>
      </c>
      <c r="AM17" s="118">
        <f>AM9-AM8-AM18-AM16</f>
        <v>-728656.23145491118</v>
      </c>
    </row>
    <row r="18" spans="1:67">
      <c r="A18" s="116" t="s">
        <v>125</v>
      </c>
      <c r="B18" s="116"/>
      <c r="C18" s="116"/>
      <c r="D18" s="116"/>
      <c r="E18" s="116"/>
      <c r="F18" s="116"/>
      <c r="G18" s="116"/>
      <c r="H18" s="116"/>
      <c r="I18" s="13">
        <f>I9-SUM(I16:I17)</f>
        <v>449908.70409999997</v>
      </c>
      <c r="J18" s="13">
        <f>J9-SUM(J16:J17)</f>
        <v>438733.63489999995</v>
      </c>
      <c r="K18" s="13">
        <f>K9-SUM(K16:K17)</f>
        <v>585965.92300000007</v>
      </c>
      <c r="L18" s="13">
        <f>L9-SUM(L16:L17)</f>
        <v>680966.08660000004</v>
      </c>
      <c r="M18" s="13">
        <f>M9-SUM(M16:M17)</f>
        <v>469976.36830000021</v>
      </c>
      <c r="N18" s="118">
        <f t="shared" ref="N18:AM18" si="12">N7-N82</f>
        <v>2673.3303971162532</v>
      </c>
      <c r="O18" s="118">
        <f t="shared" si="12"/>
        <v>149602.10748977656</v>
      </c>
      <c r="P18" s="118">
        <f t="shared" si="12"/>
        <v>463924.38414200442</v>
      </c>
      <c r="Q18" s="118">
        <f t="shared" si="12"/>
        <v>603121.99471480865</v>
      </c>
      <c r="R18" s="118">
        <f t="shared" si="12"/>
        <v>521121.99471480865</v>
      </c>
      <c r="S18" s="118">
        <f t="shared" si="12"/>
        <v>549684.32775452035</v>
      </c>
      <c r="T18" s="118">
        <f t="shared" si="12"/>
        <v>512538.43876775773</v>
      </c>
      <c r="U18" s="118">
        <f t="shared" si="12"/>
        <v>449392.54978099512</v>
      </c>
      <c r="V18" s="118">
        <f t="shared" si="12"/>
        <v>430246.66079423251</v>
      </c>
      <c r="W18" s="118">
        <f t="shared" si="12"/>
        <v>380100.77180746943</v>
      </c>
      <c r="X18" s="118">
        <f t="shared" si="12"/>
        <v>359954.88282070635</v>
      </c>
      <c r="Y18" s="118">
        <f t="shared" si="12"/>
        <v>295881.93832732504</v>
      </c>
      <c r="Z18" s="118">
        <f t="shared" si="12"/>
        <v>234881.93832732504</v>
      </c>
      <c r="AA18" s="118">
        <f t="shared" si="12"/>
        <v>171881.93832732504</v>
      </c>
      <c r="AB18" s="118">
        <f t="shared" si="12"/>
        <v>84881.938327325042</v>
      </c>
      <c r="AC18" s="118">
        <f t="shared" si="12"/>
        <v>16881.938327325042</v>
      </c>
      <c r="AD18" s="118">
        <f t="shared" si="12"/>
        <v>-53118.061672674958</v>
      </c>
      <c r="AE18" s="118">
        <f t="shared" si="12"/>
        <v>1000875.938327325</v>
      </c>
      <c r="AF18" s="118">
        <f t="shared" si="12"/>
        <v>1000874.938327325</v>
      </c>
      <c r="AG18" s="118">
        <f t="shared" si="12"/>
        <v>1000873.938327325</v>
      </c>
      <c r="AH18" s="118">
        <f t="shared" si="12"/>
        <v>979872.93832732504</v>
      </c>
      <c r="AI18" s="118">
        <f t="shared" si="12"/>
        <v>979871.93832732504</v>
      </c>
      <c r="AJ18" s="118">
        <f t="shared" si="12"/>
        <v>979870.93832732504</v>
      </c>
      <c r="AK18" s="118">
        <f t="shared" si="12"/>
        <v>979869.93832732504</v>
      </c>
      <c r="AL18" s="118">
        <f t="shared" si="12"/>
        <v>979868.93832732504</v>
      </c>
      <c r="AM18" s="118">
        <f t="shared" si="12"/>
        <v>979867.93832732504</v>
      </c>
    </row>
    <row r="19" spans="1:67">
      <c r="A19" s="116"/>
      <c r="B19" s="116"/>
      <c r="C19" s="116"/>
      <c r="D19" s="116"/>
      <c r="E19" s="116"/>
      <c r="F19" s="116"/>
      <c r="G19" s="116"/>
      <c r="H19" s="116"/>
      <c r="I19" s="128">
        <f>I16/I7</f>
        <v>0.81338259360899434</v>
      </c>
      <c r="J19" s="128">
        <f>J16/J7</f>
        <v>0.81302134027749684</v>
      </c>
      <c r="K19" s="128">
        <f>K16/K7</f>
        <v>0.56016959894376606</v>
      </c>
      <c r="L19" s="128">
        <f>L16/L7</f>
        <v>0.64452771104943363</v>
      </c>
      <c r="M19" s="128">
        <f>M16/M7</f>
        <v>0.92315272377467605</v>
      </c>
      <c r="N19" s="128">
        <f t="shared" ref="N19:S19" si="13">N16/N7</f>
        <v>0.87470000000000003</v>
      </c>
      <c r="O19" s="128">
        <f t="shared" si="13"/>
        <v>0.87470000000000003</v>
      </c>
      <c r="P19" s="128">
        <f t="shared" si="13"/>
        <v>0.87470000000000003</v>
      </c>
      <c r="Q19" s="128">
        <f t="shared" si="13"/>
        <v>0.87470000000000003</v>
      </c>
      <c r="R19" s="128">
        <f t="shared" si="13"/>
        <v>0.87470000000000003</v>
      </c>
      <c r="S19" s="128">
        <f t="shared" si="13"/>
        <v>0.87470000000000003</v>
      </c>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row>
    <row r="20" spans="1:67" ht="12" thickBot="1">
      <c r="A20" s="138" t="s">
        <v>128</v>
      </c>
      <c r="B20" s="138"/>
      <c r="C20" s="138"/>
      <c r="D20" s="138"/>
      <c r="E20" s="138"/>
      <c r="F20" s="138"/>
      <c r="G20" s="138"/>
      <c r="H20" s="138"/>
      <c r="AP20" s="175" t="s">
        <v>65</v>
      </c>
      <c r="AQ20" s="175"/>
      <c r="AR20" s="175"/>
      <c r="AS20" s="175"/>
      <c r="AT20" s="175"/>
      <c r="AU20" s="175"/>
      <c r="AV20" s="175"/>
      <c r="AW20" s="175"/>
      <c r="AX20" s="175"/>
      <c r="AY20" s="175"/>
      <c r="AZ20" s="175"/>
      <c r="BA20" s="174"/>
      <c r="BB20" s="174"/>
      <c r="BC20" s="174"/>
      <c r="BD20" s="174"/>
      <c r="BE20" s="174"/>
      <c r="BF20" s="174"/>
      <c r="BG20" s="174"/>
      <c r="BH20" s="174"/>
      <c r="BI20" s="174"/>
      <c r="BJ20" s="174"/>
      <c r="BK20" s="174"/>
      <c r="BL20" s="174"/>
      <c r="BM20" s="174"/>
      <c r="BN20" s="174"/>
      <c r="BO20" s="174"/>
    </row>
    <row r="21" spans="1:67" ht="12" thickBot="1">
      <c r="A21" s="176"/>
      <c r="B21" s="176"/>
      <c r="C21" s="176"/>
      <c r="D21" s="176"/>
      <c r="E21" s="176"/>
      <c r="F21" s="176"/>
      <c r="G21" s="176"/>
      <c r="H21" s="176"/>
      <c r="I21" s="177">
        <f t="shared" ref="I21:AK21" si="14">I2</f>
        <v>2020</v>
      </c>
      <c r="J21" s="177">
        <f t="shared" si="14"/>
        <v>2021</v>
      </c>
      <c r="K21" s="177">
        <f t="shared" si="14"/>
        <v>2022</v>
      </c>
      <c r="L21" s="177">
        <f t="shared" si="14"/>
        <v>2023</v>
      </c>
      <c r="M21" s="177">
        <f t="shared" si="14"/>
        <v>2024</v>
      </c>
      <c r="N21" s="177">
        <f t="shared" si="14"/>
        <v>2025</v>
      </c>
      <c r="O21" s="177">
        <f t="shared" si="14"/>
        <v>2026</v>
      </c>
      <c r="P21" s="177">
        <f t="shared" si="14"/>
        <v>2027</v>
      </c>
      <c r="Q21" s="177">
        <f t="shared" si="14"/>
        <v>2028</v>
      </c>
      <c r="R21" s="177">
        <f t="shared" si="14"/>
        <v>2029</v>
      </c>
      <c r="S21" s="177">
        <f t="shared" si="14"/>
        <v>2030</v>
      </c>
      <c r="T21" s="177">
        <f t="shared" si="14"/>
        <v>2031</v>
      </c>
      <c r="U21" s="177">
        <f t="shared" si="14"/>
        <v>2032</v>
      </c>
      <c r="V21" s="177">
        <f t="shared" si="14"/>
        <v>2033</v>
      </c>
      <c r="W21" s="177">
        <f t="shared" si="14"/>
        <v>2034</v>
      </c>
      <c r="X21" s="177">
        <f t="shared" si="14"/>
        <v>2035</v>
      </c>
      <c r="Y21" s="177">
        <f t="shared" si="14"/>
        <v>2036</v>
      </c>
      <c r="Z21" s="177">
        <f t="shared" si="14"/>
        <v>2037</v>
      </c>
      <c r="AA21" s="177">
        <f t="shared" si="14"/>
        <v>2038</v>
      </c>
      <c r="AB21" s="177">
        <f t="shared" si="14"/>
        <v>2039</v>
      </c>
      <c r="AC21" s="177">
        <f t="shared" si="14"/>
        <v>2040</v>
      </c>
      <c r="AD21" s="177">
        <f t="shared" si="14"/>
        <v>2041</v>
      </c>
      <c r="AE21" s="177">
        <f t="shared" si="14"/>
        <v>2042</v>
      </c>
      <c r="AF21" s="177">
        <f t="shared" si="14"/>
        <v>2043</v>
      </c>
      <c r="AG21" s="177">
        <f t="shared" si="14"/>
        <v>2044</v>
      </c>
      <c r="AH21" s="177">
        <f t="shared" si="14"/>
        <v>2045</v>
      </c>
      <c r="AI21" s="177">
        <f t="shared" si="14"/>
        <v>2046</v>
      </c>
      <c r="AJ21" s="177">
        <f t="shared" si="14"/>
        <v>2047</v>
      </c>
      <c r="AK21" s="177">
        <f t="shared" si="14"/>
        <v>2048</v>
      </c>
      <c r="AL21" s="177">
        <f>AL2</f>
        <v>2049</v>
      </c>
      <c r="AM21" s="177">
        <f>AM2</f>
        <v>2050</v>
      </c>
      <c r="AP21" s="174"/>
      <c r="AQ21" s="178">
        <v>2019</v>
      </c>
      <c r="AR21" s="178">
        <v>2020</v>
      </c>
      <c r="AS21" s="178">
        <v>2021</v>
      </c>
      <c r="AT21" s="178">
        <v>2022</v>
      </c>
      <c r="AU21" s="178">
        <v>2023</v>
      </c>
      <c r="AV21" s="178">
        <v>2024</v>
      </c>
      <c r="AW21" s="178">
        <v>2025</v>
      </c>
      <c r="AX21" s="178">
        <v>2026</v>
      </c>
      <c r="AY21" s="178">
        <v>2027</v>
      </c>
      <c r="AZ21" s="178">
        <v>2028</v>
      </c>
      <c r="BA21" s="178">
        <v>2029</v>
      </c>
      <c r="BB21" s="178">
        <v>2030</v>
      </c>
      <c r="BC21" s="178">
        <v>2031</v>
      </c>
      <c r="BD21" s="178">
        <v>2032</v>
      </c>
      <c r="BE21" s="178">
        <v>2033</v>
      </c>
      <c r="BF21" s="178">
        <v>2034</v>
      </c>
    </row>
    <row r="22" spans="1:67">
      <c r="A22" s="138" t="s">
        <v>129</v>
      </c>
      <c r="B22" s="170">
        <f t="shared" ref="B22:G22" si="15">B$34*(SUM(C22:E22)/SUM(C$34:E$34))</f>
        <v>11960.518288759949</v>
      </c>
      <c r="C22" s="170">
        <f t="shared" si="15"/>
        <v>26599.013555952821</v>
      </c>
      <c r="D22" s="170">
        <f t="shared" si="15"/>
        <v>29989.841466289119</v>
      </c>
      <c r="E22" s="170">
        <f t="shared" si="15"/>
        <v>34581.888160003742</v>
      </c>
      <c r="F22" s="170">
        <f t="shared" si="15"/>
        <v>30760.34744888846</v>
      </c>
      <c r="G22" s="170">
        <f t="shared" si="15"/>
        <v>22965.383217535964</v>
      </c>
      <c r="H22" s="170">
        <f>H$34*(SUM(I22:K22)/SUM(I$34:K$34))</f>
        <v>25574.116321170346</v>
      </c>
      <c r="I22" s="13">
        <f>Data!$D3</f>
        <v>38613</v>
      </c>
      <c r="J22" s="13">
        <f>Data!$D15</f>
        <v>28834</v>
      </c>
      <c r="K22" s="13">
        <f>Data!$D27</f>
        <v>22151</v>
      </c>
      <c r="L22" s="13">
        <f>Data!$D39</f>
        <v>36671</v>
      </c>
      <c r="M22" s="13">
        <f>Data!$D51</f>
        <v>44804</v>
      </c>
      <c r="N22" s="13">
        <f>Data!$D63</f>
        <v>38041</v>
      </c>
      <c r="O22" s="119">
        <f t="shared" ref="O22:Y32" si="16">O$34*(SUM(L22:N22)/SUM(L$34:N$34))</f>
        <v>60561.629137336829</v>
      </c>
      <c r="P22" s="119">
        <f t="shared" si="16"/>
        <v>72003.721494171128</v>
      </c>
      <c r="Q22" s="119">
        <f t="shared" si="16"/>
        <v>79764.008087458249</v>
      </c>
      <c r="R22" s="119">
        <f t="shared" si="16"/>
        <v>82192.009826696594</v>
      </c>
      <c r="S22" s="119">
        <f t="shared" si="16"/>
        <v>85212.173458623511</v>
      </c>
      <c r="T22" s="119">
        <f t="shared" si="16"/>
        <v>86883.364240128154</v>
      </c>
      <c r="U22" s="119">
        <f t="shared" si="16"/>
        <v>88774.942627227516</v>
      </c>
      <c r="V22" s="119">
        <f t="shared" si="16"/>
        <v>89955.338043441108</v>
      </c>
      <c r="W22" s="119">
        <f t="shared" si="16"/>
        <v>91539.165760218093</v>
      </c>
      <c r="X22" s="119">
        <f t="shared" si="16"/>
        <v>93092.809326194314</v>
      </c>
      <c r="Y22" s="119">
        <f t="shared" si="16"/>
        <v>93779.820058010067</v>
      </c>
      <c r="Z22" s="119">
        <f t="shared" ref="Z22:Z32" si="17">Z$34*(SUM(W22:Y22)/SUM(W$34:Y$34))</f>
        <v>93804.513188821569</v>
      </c>
      <c r="AA22" s="119">
        <f t="shared" ref="AA22:AB32" si="18">AA$34*(SUM(X22:Z22)/SUM(X$34:Z$34))</f>
        <v>93809.205405423112</v>
      </c>
      <c r="AB22" s="119">
        <f t="shared" si="18"/>
        <v>93797.84621741825</v>
      </c>
      <c r="AC22" s="119">
        <f>AC$34*(SUM(Z22:AB22)/SUM(Z$34:AB$34))</f>
        <v>93803.854937220982</v>
      </c>
      <c r="AD22" s="119">
        <f t="shared" ref="AD22:AD32" si="19">AD$34*(SUM(AA22:AC22)/SUM(AA$34:AC$34))</f>
        <v>93803.635520020776</v>
      </c>
      <c r="AE22" s="119">
        <f t="shared" ref="AE22:AE32" si="20">AE$34*(SUM(AB22:AD22)/SUM(AB$34:AD$34))</f>
        <v>93801.77889155336</v>
      </c>
      <c r="AF22" s="119">
        <f t="shared" ref="AF22:AM32" si="21">AF$34*(SUM(AC22:AE22)/SUM(AC$34:AE$34))</f>
        <v>93803.089782931711</v>
      </c>
      <c r="AG22" s="119">
        <f t="shared" si="21"/>
        <v>93802.834731501964</v>
      </c>
      <c r="AH22" s="119">
        <f t="shared" si="21"/>
        <v>93802.567801995669</v>
      </c>
      <c r="AI22" s="119">
        <f t="shared" si="21"/>
        <v>93802.830772143105</v>
      </c>
      <c r="AJ22" s="119">
        <f t="shared" si="21"/>
        <v>93802.744435213594</v>
      </c>
      <c r="AK22" s="119">
        <f t="shared" si="21"/>
        <v>93802.714336450794</v>
      </c>
      <c r="AL22" s="119">
        <f t="shared" si="21"/>
        <v>93802.763181269169</v>
      </c>
      <c r="AM22" s="119">
        <f t="shared" si="21"/>
        <v>93802.740650977867</v>
      </c>
      <c r="AP22" s="179" t="s">
        <v>213</v>
      </c>
      <c r="AQ22" s="180">
        <f t="shared" ref="AQ22:BF22" si="22">SUM(H22:H24)</f>
        <v>78113.828874510233</v>
      </c>
      <c r="AR22" s="180">
        <f t="shared" si="22"/>
        <v>107068</v>
      </c>
      <c r="AS22" s="180">
        <f t="shared" si="22"/>
        <v>95284</v>
      </c>
      <c r="AT22" s="180">
        <f t="shared" si="22"/>
        <v>71317</v>
      </c>
      <c r="AU22" s="180">
        <f t="shared" si="22"/>
        <v>116690</v>
      </c>
      <c r="AV22" s="180">
        <f t="shared" si="22"/>
        <v>220017</v>
      </c>
      <c r="AW22" s="180">
        <f t="shared" si="22"/>
        <v>174474.61259320131</v>
      </c>
      <c r="AX22" s="180">
        <f t="shared" si="22"/>
        <v>259028.00665764624</v>
      </c>
      <c r="AY22" s="180">
        <f t="shared" si="22"/>
        <v>328128.79668519797</v>
      </c>
      <c r="AZ22" s="180">
        <f t="shared" si="22"/>
        <v>356087.41524282645</v>
      </c>
      <c r="BA22" s="180">
        <f t="shared" si="22"/>
        <v>365126.79429122736</v>
      </c>
      <c r="BB22" s="180">
        <f t="shared" si="22"/>
        <v>382188.82654630893</v>
      </c>
      <c r="BC22" s="180">
        <f t="shared" si="22"/>
        <v>387862.88541006693</v>
      </c>
      <c r="BD22" s="180">
        <f t="shared" si="22"/>
        <v>396304.92229945923</v>
      </c>
      <c r="BE22" s="180">
        <f t="shared" si="22"/>
        <v>402191.94284683972</v>
      </c>
      <c r="BF22" s="180">
        <f t="shared" si="22"/>
        <v>408858.44510699611</v>
      </c>
    </row>
    <row r="23" spans="1:67">
      <c r="A23" s="138" t="s">
        <v>130</v>
      </c>
      <c r="B23" s="170">
        <f t="shared" ref="B23:H33" si="23">B$34*(SUM(C23:E23)/SUM(C$34:E$34))</f>
        <v>11666.254807876776</v>
      </c>
      <c r="C23" s="170">
        <f t="shared" si="23"/>
        <v>25859.28258357881</v>
      </c>
      <c r="D23" s="170">
        <f t="shared" si="23"/>
        <v>29259.781786581541</v>
      </c>
      <c r="E23" s="170">
        <f t="shared" si="23"/>
        <v>33808.613787994713</v>
      </c>
      <c r="F23" s="170">
        <f t="shared" si="23"/>
        <v>29612.451975686261</v>
      </c>
      <c r="G23" s="170">
        <f t="shared" si="23"/>
        <v>22736.830731316055</v>
      </c>
      <c r="H23" s="170">
        <f>H$34*(SUM(I23:K23)/SUM(I$34:K$34))</f>
        <v>25177.366151675196</v>
      </c>
      <c r="I23" s="13">
        <f>Data!$D4</f>
        <v>35986</v>
      </c>
      <c r="J23" s="13">
        <f>Data!$D16</f>
        <v>30932</v>
      </c>
      <c r="K23" s="13">
        <f>Data!$D28</f>
        <v>21290</v>
      </c>
      <c r="L23" s="13">
        <f>Data!$D40</f>
        <v>37187</v>
      </c>
      <c r="M23" s="13">
        <f>Data!$D52</f>
        <v>64489</v>
      </c>
      <c r="N23" s="13">
        <f>Data!$D64</f>
        <v>38294</v>
      </c>
      <c r="O23" s="119">
        <f t="shared" si="16"/>
        <v>70926.162441455846</v>
      </c>
      <c r="P23" s="119">
        <f t="shared" si="16"/>
        <v>87218.465622269185</v>
      </c>
      <c r="Q23" s="119">
        <f t="shared" si="16"/>
        <v>91841.436497325965</v>
      </c>
      <c r="R23" s="119">
        <f t="shared" si="16"/>
        <v>96768.799184922958</v>
      </c>
      <c r="S23" s="119">
        <f t="shared" si="16"/>
        <v>100461.57172113437</v>
      </c>
      <c r="T23" s="119">
        <f t="shared" si="16"/>
        <v>101613.12017815899</v>
      </c>
      <c r="U23" s="119">
        <f t="shared" si="16"/>
        <v>104329.97617732998</v>
      </c>
      <c r="V23" s="119">
        <f t="shared" si="16"/>
        <v>105656.78209538736</v>
      </c>
      <c r="W23" s="119">
        <f t="shared" si="16"/>
        <v>107387.52873165793</v>
      </c>
      <c r="X23" s="119">
        <f t="shared" si="16"/>
        <v>109317.80996817369</v>
      </c>
      <c r="Y23" s="119">
        <f t="shared" si="16"/>
        <v>110096.35273060757</v>
      </c>
      <c r="Z23" s="119">
        <f t="shared" si="17"/>
        <v>110108.38660055227</v>
      </c>
      <c r="AA23" s="119">
        <f t="shared" si="18"/>
        <v>110134.5418781195</v>
      </c>
      <c r="AB23" s="119">
        <f t="shared" si="18"/>
        <v>110113.09373642647</v>
      </c>
      <c r="AC23" s="119">
        <f t="shared" ref="AC23:AC32" si="24">AC$34*(SUM(Z23:AB23)/SUM(Z$34:AB$34))</f>
        <v>110118.67407169944</v>
      </c>
      <c r="AD23" s="119">
        <f t="shared" si="19"/>
        <v>110122.10322874847</v>
      </c>
      <c r="AE23" s="119">
        <f t="shared" si="20"/>
        <v>110117.95701229146</v>
      </c>
      <c r="AF23" s="119">
        <f t="shared" si="21"/>
        <v>110119.57810424648</v>
      </c>
      <c r="AG23" s="119">
        <f t="shared" si="21"/>
        <v>110119.87944842881</v>
      </c>
      <c r="AH23" s="119">
        <f t="shared" si="21"/>
        <v>110119.13818832225</v>
      </c>
      <c r="AI23" s="119">
        <f t="shared" si="21"/>
        <v>110119.53191366585</v>
      </c>
      <c r="AJ23" s="119">
        <f t="shared" si="21"/>
        <v>110119.51651680563</v>
      </c>
      <c r="AK23" s="119">
        <f t="shared" si="21"/>
        <v>110119.39553959793</v>
      </c>
      <c r="AL23" s="119">
        <f t="shared" si="21"/>
        <v>110119.48132335648</v>
      </c>
      <c r="AM23" s="119">
        <f t="shared" si="21"/>
        <v>110119.46445992001</v>
      </c>
      <c r="AP23" s="181" t="s">
        <v>214</v>
      </c>
      <c r="AQ23" s="180">
        <f t="shared" ref="AQ23:BF23" si="25">SUM(H25:H27)</f>
        <v>85951.500028587514</v>
      </c>
      <c r="AR23" s="180">
        <f t="shared" si="25"/>
        <v>113284</v>
      </c>
      <c r="AS23" s="180">
        <f t="shared" si="25"/>
        <v>105170</v>
      </c>
      <c r="AT23" s="180">
        <f t="shared" si="25"/>
        <v>82674</v>
      </c>
      <c r="AU23" s="180">
        <f t="shared" si="25"/>
        <v>124645</v>
      </c>
      <c r="AV23" s="180">
        <f t="shared" si="25"/>
        <v>323199</v>
      </c>
      <c r="AW23" s="180">
        <f t="shared" si="25"/>
        <v>294700.17088976852</v>
      </c>
      <c r="AX23" s="180">
        <f t="shared" si="25"/>
        <v>376264.97452656901</v>
      </c>
      <c r="AY23" s="180">
        <f t="shared" si="25"/>
        <v>499164.63887799025</v>
      </c>
      <c r="AZ23" s="180">
        <f t="shared" si="25"/>
        <v>547073.66538436094</v>
      </c>
      <c r="BA23" s="180">
        <f t="shared" si="25"/>
        <v>550646.43049893691</v>
      </c>
      <c r="BB23" s="180">
        <f t="shared" si="25"/>
        <v>581612.97048813675</v>
      </c>
      <c r="BC23" s="180">
        <f t="shared" si="25"/>
        <v>590311.01726995886</v>
      </c>
      <c r="BD23" s="180">
        <f t="shared" si="25"/>
        <v>601370.7377347037</v>
      </c>
      <c r="BE23" s="180">
        <f t="shared" si="25"/>
        <v>611480.93982510327</v>
      </c>
      <c r="BF23" s="180">
        <f t="shared" si="25"/>
        <v>621428.95132551249</v>
      </c>
    </row>
    <row r="24" spans="1:67">
      <c r="A24" s="138" t="s">
        <v>131</v>
      </c>
      <c r="B24" s="170">
        <f t="shared" ref="B24:B33" si="26">B$34*(SUM(C24:E24)/SUM(C$34:E$34))</f>
        <v>11969.20233524486</v>
      </c>
      <c r="C24" s="170">
        <f t="shared" si="23"/>
        <v>26322.338332141902</v>
      </c>
      <c r="D24" s="170">
        <f t="shared" si="23"/>
        <v>29884.173829018917</v>
      </c>
      <c r="E24" s="170">
        <f t="shared" si="23"/>
        <v>35030.426394290582</v>
      </c>
      <c r="F24" s="170">
        <f t="shared" si="23"/>
        <v>29425.86023775749</v>
      </c>
      <c r="G24" s="170">
        <f t="shared" si="23"/>
        <v>23540.184919899308</v>
      </c>
      <c r="H24" s="170">
        <f t="shared" si="23"/>
        <v>27362.346401664694</v>
      </c>
      <c r="I24" s="13">
        <f>Data!$D5</f>
        <v>32469</v>
      </c>
      <c r="J24" s="13">
        <f>Data!$D17</f>
        <v>35518</v>
      </c>
      <c r="K24" s="13">
        <f>Data!$D29</f>
        <v>27876</v>
      </c>
      <c r="L24" s="13">
        <f>Data!$D41</f>
        <v>42832</v>
      </c>
      <c r="M24" s="13">
        <f>Data!$D53</f>
        <v>110724</v>
      </c>
      <c r="N24" s="119">
        <f>N$34*(SUM(I24:M24)/SUM(I$34:M$34))</f>
        <v>98139.612593201309</v>
      </c>
      <c r="O24" s="119">
        <f t="shared" si="16"/>
        <v>127540.21507885357</v>
      </c>
      <c r="P24" s="119">
        <f t="shared" si="16"/>
        <v>168906.60956875767</v>
      </c>
      <c r="Q24" s="119">
        <f t="shared" si="16"/>
        <v>184481.97065804221</v>
      </c>
      <c r="R24" s="119">
        <f t="shared" si="16"/>
        <v>186165.98527960782</v>
      </c>
      <c r="S24" s="119">
        <f t="shared" si="16"/>
        <v>196515.08136655105</v>
      </c>
      <c r="T24" s="119">
        <f t="shared" si="16"/>
        <v>199366.40099177981</v>
      </c>
      <c r="U24" s="119">
        <f t="shared" si="16"/>
        <v>203200.0034949017</v>
      </c>
      <c r="V24" s="119">
        <f t="shared" si="16"/>
        <v>206579.82270801126</v>
      </c>
      <c r="W24" s="119">
        <f t="shared" si="16"/>
        <v>209931.75061512005</v>
      </c>
      <c r="X24" s="119">
        <f t="shared" si="16"/>
        <v>213456.20979287798</v>
      </c>
      <c r="Y24" s="119">
        <f t="shared" si="16"/>
        <v>215152.93139207966</v>
      </c>
      <c r="Z24" s="119">
        <f t="shared" si="17"/>
        <v>215141.80990568653</v>
      </c>
      <c r="AA24" s="119">
        <f t="shared" si="18"/>
        <v>215157.40343938643</v>
      </c>
      <c r="AB24" s="119">
        <f t="shared" si="18"/>
        <v>215150.71491238422</v>
      </c>
      <c r="AC24" s="119">
        <f t="shared" si="24"/>
        <v>215149.9760858191</v>
      </c>
      <c r="AD24" s="119">
        <f t="shared" si="19"/>
        <v>215152.69814586325</v>
      </c>
      <c r="AE24" s="119">
        <f t="shared" si="20"/>
        <v>215151.12971468887</v>
      </c>
      <c r="AF24" s="119">
        <f t="shared" si="21"/>
        <v>215151.26798212377</v>
      </c>
      <c r="AG24" s="119">
        <f t="shared" si="21"/>
        <v>215151.69861422532</v>
      </c>
      <c r="AH24" s="119">
        <f t="shared" si="21"/>
        <v>215151.36543701266</v>
      </c>
      <c r="AI24" s="119">
        <f t="shared" si="21"/>
        <v>215151.44401112059</v>
      </c>
      <c r="AJ24" s="119">
        <f t="shared" si="21"/>
        <v>215151.50268745288</v>
      </c>
      <c r="AK24" s="119">
        <f t="shared" si="21"/>
        <v>215151.4373785287</v>
      </c>
      <c r="AL24" s="119">
        <f t="shared" si="21"/>
        <v>215151.46135903409</v>
      </c>
      <c r="AM24" s="119">
        <f t="shared" si="21"/>
        <v>215151.46714167189</v>
      </c>
      <c r="AP24" s="179" t="s">
        <v>215</v>
      </c>
      <c r="AQ24" s="180">
        <f t="shared" ref="AQ24:BF24" si="27">SUM(H28:H30)</f>
        <v>92532.415070227988</v>
      </c>
      <c r="AR24" s="180">
        <f t="shared" si="27"/>
        <v>119769</v>
      </c>
      <c r="AS24" s="180">
        <f t="shared" si="27"/>
        <v>112673</v>
      </c>
      <c r="AT24" s="180">
        <f t="shared" si="27"/>
        <v>91742</v>
      </c>
      <c r="AU24" s="180">
        <f t="shared" si="27"/>
        <v>126026</v>
      </c>
      <c r="AV24" s="180">
        <f t="shared" si="27"/>
        <v>304402</v>
      </c>
      <c r="AW24" s="180">
        <f t="shared" si="27"/>
        <v>296919.3579405772</v>
      </c>
      <c r="AX24" s="180">
        <f t="shared" si="27"/>
        <v>368564.38422988571</v>
      </c>
      <c r="AY24" s="180">
        <f t="shared" si="27"/>
        <v>486974.57907284005</v>
      </c>
      <c r="AZ24" s="180">
        <f t="shared" si="27"/>
        <v>538811.68265920645</v>
      </c>
      <c r="BA24" s="180">
        <f t="shared" si="27"/>
        <v>539748.63714655442</v>
      </c>
      <c r="BB24" s="180">
        <f t="shared" si="27"/>
        <v>570194.81939987384</v>
      </c>
      <c r="BC24" s="180">
        <f t="shared" si="27"/>
        <v>579562.41256925347</v>
      </c>
      <c r="BD24" s="180">
        <f t="shared" si="27"/>
        <v>589827.49276819674</v>
      </c>
      <c r="BE24" s="180">
        <f t="shared" si="27"/>
        <v>599856.8016335601</v>
      </c>
      <c r="BF24" s="180">
        <f t="shared" si="27"/>
        <v>609740.39053803158</v>
      </c>
    </row>
    <row r="25" spans="1:67">
      <c r="A25" s="138" t="s">
        <v>132</v>
      </c>
      <c r="B25" s="170">
        <f t="shared" si="26"/>
        <v>12446.776515921929</v>
      </c>
      <c r="C25" s="170">
        <f t="shared" si="23"/>
        <v>27444.267521799877</v>
      </c>
      <c r="D25" s="170">
        <f t="shared" si="23"/>
        <v>31110.979154870682</v>
      </c>
      <c r="E25" s="170">
        <f t="shared" si="23"/>
        <v>36322.068652243783</v>
      </c>
      <c r="F25" s="170">
        <f t="shared" si="23"/>
        <v>30928.458011758023</v>
      </c>
      <c r="G25" s="170">
        <f t="shared" si="23"/>
        <v>24358.376691272308</v>
      </c>
      <c r="H25" s="170">
        <f t="shared" si="23"/>
        <v>28003.426171942472</v>
      </c>
      <c r="I25" s="13">
        <f>Data!$D6</f>
        <v>35267</v>
      </c>
      <c r="J25" s="13">
        <f>Data!$D18</f>
        <v>35393</v>
      </c>
      <c r="K25" s="13">
        <f>Data!$D30</f>
        <v>27449</v>
      </c>
      <c r="L25" s="13">
        <f>Data!$D42</f>
        <v>34504</v>
      </c>
      <c r="M25" s="13">
        <f>Data!$D54</f>
        <v>92393</v>
      </c>
      <c r="N25" s="119">
        <f t="shared" ref="N25:N32" si="28">N$34*(SUM(I25:M25)/SUM(I$34:M$34))</f>
        <v>88533.759140826689</v>
      </c>
      <c r="O25" s="119">
        <f t="shared" si="16"/>
        <v>109163.94239986013</v>
      </c>
      <c r="P25" s="119">
        <f t="shared" si="16"/>
        <v>145653.03018022137</v>
      </c>
      <c r="Q25" s="119">
        <f t="shared" si="16"/>
        <v>160527.61483055443</v>
      </c>
      <c r="R25" s="119">
        <f t="shared" si="16"/>
        <v>160778.54996540744</v>
      </c>
      <c r="S25" s="119">
        <f t="shared" si="16"/>
        <v>170074.59497535106</v>
      </c>
      <c r="T25" s="119">
        <f t="shared" si="16"/>
        <v>172727.78222264335</v>
      </c>
      <c r="U25" s="119">
        <f t="shared" si="16"/>
        <v>175806.35918722316</v>
      </c>
      <c r="V25" s="119">
        <f t="shared" si="16"/>
        <v>178830.59875352329</v>
      </c>
      <c r="W25" s="119">
        <f t="shared" si="16"/>
        <v>181747.17033879532</v>
      </c>
      <c r="X25" s="119">
        <f t="shared" si="16"/>
        <v>184754.53307406433</v>
      </c>
      <c r="Y25" s="119">
        <f t="shared" si="16"/>
        <v>186247.37095846407</v>
      </c>
      <c r="Z25" s="119">
        <f t="shared" si="17"/>
        <v>186236.21104155108</v>
      </c>
      <c r="AA25" s="119">
        <f t="shared" si="18"/>
        <v>186242.68551941161</v>
      </c>
      <c r="AB25" s="119">
        <f t="shared" si="18"/>
        <v>186242.08917314227</v>
      </c>
      <c r="AC25" s="119">
        <f t="shared" si="24"/>
        <v>186240.32857803497</v>
      </c>
      <c r="AD25" s="119">
        <f t="shared" si="19"/>
        <v>186241.70109019629</v>
      </c>
      <c r="AE25" s="119">
        <f t="shared" si="20"/>
        <v>186241.3729471245</v>
      </c>
      <c r="AF25" s="119">
        <f t="shared" si="21"/>
        <v>186241.13420511861</v>
      </c>
      <c r="AG25" s="119">
        <f t="shared" si="21"/>
        <v>186241.40274747982</v>
      </c>
      <c r="AH25" s="119">
        <f t="shared" si="21"/>
        <v>186241.30329990765</v>
      </c>
      <c r="AI25" s="119">
        <f t="shared" si="21"/>
        <v>186241.28008416871</v>
      </c>
      <c r="AJ25" s="119">
        <f t="shared" si="21"/>
        <v>186241.32871051872</v>
      </c>
      <c r="AK25" s="119">
        <f t="shared" si="21"/>
        <v>186241.30403153173</v>
      </c>
      <c r="AL25" s="119">
        <f t="shared" si="21"/>
        <v>186241.30427540638</v>
      </c>
      <c r="AM25" s="119">
        <f t="shared" si="21"/>
        <v>186241.3123391523</v>
      </c>
      <c r="AP25" s="181" t="s">
        <v>216</v>
      </c>
      <c r="AQ25" s="180">
        <f t="shared" ref="AQ25:BF25" si="29">SUM(H31:H33)</f>
        <v>102402.36047380565</v>
      </c>
      <c r="AR25" s="180">
        <f t="shared" si="29"/>
        <v>117689</v>
      </c>
      <c r="AS25" s="180">
        <f t="shared" si="29"/>
        <v>117615</v>
      </c>
      <c r="AT25" s="180">
        <f t="shared" si="29"/>
        <v>123459</v>
      </c>
      <c r="AU25" s="180">
        <f t="shared" si="29"/>
        <v>140745</v>
      </c>
      <c r="AV25" s="180">
        <f t="shared" si="29"/>
        <v>272686</v>
      </c>
      <c r="AW25" s="180">
        <f t="shared" si="29"/>
        <v>369529.18897356931</v>
      </c>
      <c r="AX25" s="180">
        <f t="shared" si="29"/>
        <v>396744.74207567563</v>
      </c>
      <c r="AY25" s="180">
        <f t="shared" si="29"/>
        <v>521656.36950597604</v>
      </c>
      <c r="AZ25" s="180">
        <f t="shared" si="29"/>
        <v>602149.23142841493</v>
      </c>
      <c r="BA25" s="180">
        <f t="shared" si="29"/>
        <v>588600.13277809008</v>
      </c>
      <c r="BB25" s="180">
        <f t="shared" si="29"/>
        <v>623687.71132020094</v>
      </c>
      <c r="BC25" s="180">
        <f t="shared" si="29"/>
        <v>637802.12351847836</v>
      </c>
      <c r="BD25" s="180">
        <f t="shared" si="29"/>
        <v>645889.39697863546</v>
      </c>
      <c r="BE25" s="180">
        <f t="shared" si="29"/>
        <v>657716.97648872947</v>
      </c>
      <c r="BF25" s="180">
        <f t="shared" si="29"/>
        <v>669072.98483692924</v>
      </c>
    </row>
    <row r="26" spans="1:67" ht="12" thickBot="1">
      <c r="A26" s="138" t="s">
        <v>133</v>
      </c>
      <c r="B26" s="170">
        <f t="shared" si="26"/>
        <v>12625.118197333581</v>
      </c>
      <c r="C26" s="170">
        <f t="shared" si="23"/>
        <v>28071.842504024673</v>
      </c>
      <c r="D26" s="170">
        <f t="shared" si="23"/>
        <v>31570.020310962413</v>
      </c>
      <c r="E26" s="170">
        <f t="shared" si="23"/>
        <v>36594.887217517957</v>
      </c>
      <c r="F26" s="170">
        <f t="shared" si="23"/>
        <v>32445.855634092379</v>
      </c>
      <c r="G26" s="170">
        <f t="shared" si="23"/>
        <v>23919.845922986788</v>
      </c>
      <c r="H26" s="170">
        <f t="shared" si="23"/>
        <v>27550.16051067751</v>
      </c>
      <c r="I26" s="13">
        <f>Data!$D7</f>
        <v>40458</v>
      </c>
      <c r="J26" s="13">
        <f>Data!$D19</f>
        <v>28879</v>
      </c>
      <c r="K26" s="13">
        <f>Data!$D31</f>
        <v>27184</v>
      </c>
      <c r="L26" s="13">
        <f>Data!$D43</f>
        <v>42519</v>
      </c>
      <c r="M26" s="13">
        <f>Data!$D55</f>
        <v>98861</v>
      </c>
      <c r="N26" s="119">
        <f t="shared" si="28"/>
        <v>93607.591945822831</v>
      </c>
      <c r="O26" s="119">
        <f t="shared" si="16"/>
        <v>119073.85952758425</v>
      </c>
      <c r="P26" s="119">
        <f t="shared" si="16"/>
        <v>156423.84208068773</v>
      </c>
      <c r="Q26" s="119">
        <f t="shared" si="16"/>
        <v>172568.7086746417</v>
      </c>
      <c r="R26" s="119">
        <f t="shared" si="16"/>
        <v>173445.06204499886</v>
      </c>
      <c r="S26" s="119">
        <f t="shared" si="16"/>
        <v>182996.44683462434</v>
      </c>
      <c r="T26" s="119">
        <f t="shared" si="16"/>
        <v>185955.10677665073</v>
      </c>
      <c r="U26" s="119">
        <f t="shared" si="16"/>
        <v>189357.39836520806</v>
      </c>
      <c r="V26" s="119">
        <f t="shared" si="16"/>
        <v>192520.3282677528</v>
      </c>
      <c r="W26" s="119">
        <f t="shared" si="16"/>
        <v>195693.8013445554</v>
      </c>
      <c r="X26" s="119">
        <f t="shared" si="16"/>
        <v>198941.30408114442</v>
      </c>
      <c r="Y26" s="119">
        <f t="shared" si="16"/>
        <v>200531.22735432125</v>
      </c>
      <c r="Z26" s="119">
        <f t="shared" si="17"/>
        <v>200527.7401549936</v>
      </c>
      <c r="AA26" s="119">
        <f t="shared" si="18"/>
        <v>200534.85013050112</v>
      </c>
      <c r="AB26" s="119">
        <f t="shared" si="18"/>
        <v>200531.27254660532</v>
      </c>
      <c r="AC26" s="119">
        <f t="shared" si="24"/>
        <v>200531.28761070003</v>
      </c>
      <c r="AD26" s="119">
        <f t="shared" si="19"/>
        <v>200532.47009593548</v>
      </c>
      <c r="AE26" s="119">
        <f t="shared" si="20"/>
        <v>200531.67675108029</v>
      </c>
      <c r="AF26" s="119">
        <f t="shared" si="21"/>
        <v>200531.81148590529</v>
      </c>
      <c r="AG26" s="119">
        <f t="shared" si="21"/>
        <v>200531.9861109737</v>
      </c>
      <c r="AH26" s="119">
        <f t="shared" si="21"/>
        <v>200531.8247826531</v>
      </c>
      <c r="AI26" s="119">
        <f t="shared" si="21"/>
        <v>200531.87412651069</v>
      </c>
      <c r="AJ26" s="119">
        <f t="shared" si="21"/>
        <v>200531.89500671253</v>
      </c>
      <c r="AK26" s="119">
        <f t="shared" si="21"/>
        <v>200531.86463862547</v>
      </c>
      <c r="AL26" s="119">
        <f t="shared" si="21"/>
        <v>200531.87792394956</v>
      </c>
      <c r="AM26" s="119">
        <f t="shared" si="21"/>
        <v>200531.87918976255</v>
      </c>
      <c r="AP26" s="182" t="s">
        <v>217</v>
      </c>
      <c r="AQ26" s="180">
        <f>SUM(AQ22:AQ25)</f>
        <v>359000.10444713139</v>
      </c>
      <c r="AR26" s="180">
        <f>SUM(AR22:AR25)</f>
        <v>457810</v>
      </c>
      <c r="AS26" s="180">
        <f>SUM(AS22:AS25)</f>
        <v>430742</v>
      </c>
      <c r="AT26" s="180">
        <f>SUM(AT22:AT25)</f>
        <v>369192</v>
      </c>
      <c r="AU26" s="180">
        <f>SUM(AU22:AU25)</f>
        <v>508106</v>
      </c>
      <c r="AV26" s="183">
        <f t="shared" ref="AV26:BF26" si="30">SUM(AV22:AV24)</f>
        <v>847618</v>
      </c>
      <c r="AW26" s="184">
        <f t="shared" si="30"/>
        <v>766094.14142354706</v>
      </c>
      <c r="AX26" s="185">
        <f t="shared" si="30"/>
        <v>1003857.3654141009</v>
      </c>
      <c r="AY26" s="185">
        <f t="shared" si="30"/>
        <v>1314268.0146360283</v>
      </c>
      <c r="AZ26" s="185">
        <f t="shared" si="30"/>
        <v>1441972.7632863938</v>
      </c>
      <c r="BA26" s="185">
        <f t="shared" si="30"/>
        <v>1455521.8619367187</v>
      </c>
      <c r="BB26" s="185">
        <f t="shared" si="30"/>
        <v>1533996.6164343194</v>
      </c>
      <c r="BC26" s="185">
        <f t="shared" si="30"/>
        <v>1557736.3152492791</v>
      </c>
      <c r="BD26" s="185">
        <f t="shared" si="30"/>
        <v>1587503.1528023598</v>
      </c>
      <c r="BE26" s="185">
        <f t="shared" si="30"/>
        <v>1613529.684305503</v>
      </c>
      <c r="BF26" s="186">
        <f t="shared" si="30"/>
        <v>1640027.7869705402</v>
      </c>
      <c r="BG26" s="187">
        <f>(BF26/AW26)^(1/10)-1</f>
        <v>7.9088108151969871E-2</v>
      </c>
    </row>
    <row r="27" spans="1:67">
      <c r="A27" s="138" t="s">
        <v>134</v>
      </c>
      <c r="B27" s="170">
        <f t="shared" si="26"/>
        <v>13558.595448198168</v>
      </c>
      <c r="C27" s="170">
        <f t="shared" si="23"/>
        <v>29847.634433741277</v>
      </c>
      <c r="D27" s="170">
        <f t="shared" si="23"/>
        <v>33932.540566201824</v>
      </c>
      <c r="E27" s="170">
        <f t="shared" si="23"/>
        <v>39572.13747311465</v>
      </c>
      <c r="F27" s="170">
        <f t="shared" si="23"/>
        <v>33470.604347140863</v>
      </c>
      <c r="G27" s="170">
        <f t="shared" si="23"/>
        <v>26874.487202137261</v>
      </c>
      <c r="H27" s="170">
        <f t="shared" si="23"/>
        <v>30397.913345967539</v>
      </c>
      <c r="I27" s="13">
        <f>Data!$D8</f>
        <v>37559</v>
      </c>
      <c r="J27" s="13">
        <f>Data!$D20</f>
        <v>40898</v>
      </c>
      <c r="K27" s="13">
        <f>Data!$D32</f>
        <v>28041</v>
      </c>
      <c r="L27" s="13">
        <f>Data!$D44</f>
        <v>47622</v>
      </c>
      <c r="M27" s="13">
        <f>Data!$D56</f>
        <v>131945</v>
      </c>
      <c r="N27" s="119">
        <f t="shared" si="28"/>
        <v>112558.81980311898</v>
      </c>
      <c r="O27" s="119">
        <f t="shared" si="16"/>
        <v>148027.17259912463</v>
      </c>
      <c r="P27" s="119">
        <f t="shared" si="16"/>
        <v>197087.76661708119</v>
      </c>
      <c r="Q27" s="119">
        <f t="shared" si="16"/>
        <v>213977.34187916477</v>
      </c>
      <c r="R27" s="119">
        <f t="shared" si="16"/>
        <v>216422.81848853058</v>
      </c>
      <c r="S27" s="119">
        <f t="shared" si="16"/>
        <v>228541.92867816138</v>
      </c>
      <c r="T27" s="119">
        <f t="shared" si="16"/>
        <v>231628.12827066481</v>
      </c>
      <c r="U27" s="119">
        <f t="shared" si="16"/>
        <v>236206.9801822725</v>
      </c>
      <c r="V27" s="119">
        <f t="shared" si="16"/>
        <v>240130.01280382715</v>
      </c>
      <c r="W27" s="119">
        <f t="shared" si="16"/>
        <v>243987.97964216175</v>
      </c>
      <c r="X27" s="119">
        <f t="shared" si="16"/>
        <v>248111.93501640111</v>
      </c>
      <c r="Y27" s="119">
        <f t="shared" si="16"/>
        <v>250078.52713879439</v>
      </c>
      <c r="Z27" s="119">
        <f t="shared" si="17"/>
        <v>250060.1218993791</v>
      </c>
      <c r="AA27" s="119">
        <f t="shared" si="18"/>
        <v>250083.75135513858</v>
      </c>
      <c r="AB27" s="119">
        <f t="shared" si="18"/>
        <v>250074.13346443736</v>
      </c>
      <c r="AC27" s="119">
        <f t="shared" si="24"/>
        <v>250072.66890631834</v>
      </c>
      <c r="AD27" s="119">
        <f t="shared" si="19"/>
        <v>250076.85124196479</v>
      </c>
      <c r="AE27" s="119">
        <f t="shared" si="20"/>
        <v>250074.55120424021</v>
      </c>
      <c r="AF27" s="119">
        <f t="shared" si="21"/>
        <v>250074.6904508411</v>
      </c>
      <c r="AG27" s="119">
        <f t="shared" si="21"/>
        <v>250075.36429901537</v>
      </c>
      <c r="AH27" s="119">
        <f t="shared" si="21"/>
        <v>250074.86865136554</v>
      </c>
      <c r="AI27" s="119">
        <f t="shared" si="21"/>
        <v>250074.974467074</v>
      </c>
      <c r="AJ27" s="119">
        <f t="shared" si="21"/>
        <v>250075.06913915166</v>
      </c>
      <c r="AK27" s="119">
        <f t="shared" si="21"/>
        <v>250074.97075253044</v>
      </c>
      <c r="AL27" s="119">
        <f t="shared" si="21"/>
        <v>250075.00478625204</v>
      </c>
      <c r="AM27" s="119">
        <f t="shared" si="21"/>
        <v>250075.01489264474</v>
      </c>
      <c r="AP27" s="174"/>
      <c r="AQ27" s="174"/>
      <c r="AR27" s="174"/>
      <c r="AS27" s="174"/>
      <c r="AT27" s="174"/>
      <c r="AU27" s="174">
        <f>(AU26/AT26)-1</f>
        <v>0.3762649244837375</v>
      </c>
      <c r="AV27" s="174"/>
      <c r="AW27" s="174"/>
      <c r="AX27" s="174"/>
      <c r="AY27" s="174"/>
      <c r="AZ27" s="174"/>
      <c r="BA27" s="174"/>
      <c r="BB27" s="174"/>
      <c r="BC27" s="174"/>
      <c r="BD27" s="174"/>
      <c r="BE27" s="174"/>
      <c r="BF27" s="174"/>
    </row>
    <row r="28" spans="1:67">
      <c r="A28" s="138" t="s">
        <v>135</v>
      </c>
      <c r="B28" s="170">
        <f t="shared" si="26"/>
        <v>14795.672296117727</v>
      </c>
      <c r="C28" s="170">
        <f t="shared" si="23"/>
        <v>32840.937839909064</v>
      </c>
      <c r="D28" s="170">
        <f t="shared" si="23"/>
        <v>37111.412208075701</v>
      </c>
      <c r="E28" s="170">
        <f t="shared" si="23"/>
        <v>42829.755756384344</v>
      </c>
      <c r="F28" s="170">
        <f t="shared" si="23"/>
        <v>37762.250276581559</v>
      </c>
      <c r="G28" s="170">
        <f t="shared" si="23"/>
        <v>28685.678781241884</v>
      </c>
      <c r="H28" s="170">
        <f t="shared" si="23"/>
        <v>31765.131555954438</v>
      </c>
      <c r="I28" s="13">
        <f>Data!$D9</f>
        <v>46540</v>
      </c>
      <c r="J28" s="13">
        <f>Data!$D21</f>
        <v>37886</v>
      </c>
      <c r="K28" s="13">
        <f>Data!$D33</f>
        <v>26862</v>
      </c>
      <c r="L28" s="13">
        <f>Data!$D45</f>
        <v>46154</v>
      </c>
      <c r="M28" s="13">
        <f>Data!$D57</f>
        <v>106971</v>
      </c>
      <c r="N28" s="119">
        <f t="shared" si="28"/>
        <v>104039.34497614912</v>
      </c>
      <c r="O28" s="119">
        <f t="shared" si="16"/>
        <v>130311.3531894616</v>
      </c>
      <c r="P28" s="119">
        <f t="shared" si="16"/>
        <v>171375.84672670858</v>
      </c>
      <c r="Q28" s="119">
        <f t="shared" si="16"/>
        <v>189690.33267692846</v>
      </c>
      <c r="R28" s="119">
        <f t="shared" si="16"/>
        <v>190210.65777797371</v>
      </c>
      <c r="S28" s="119">
        <f t="shared" si="16"/>
        <v>200784.53494793491</v>
      </c>
      <c r="T28" s="119">
        <f t="shared" si="16"/>
        <v>204119.76044463363</v>
      </c>
      <c r="U28" s="119">
        <f t="shared" si="16"/>
        <v>207762.02507137277</v>
      </c>
      <c r="V28" s="119">
        <f t="shared" si="16"/>
        <v>211264.24843584184</v>
      </c>
      <c r="W28" s="119">
        <f t="shared" si="16"/>
        <v>214756.54277436575</v>
      </c>
      <c r="X28" s="119">
        <f t="shared" si="16"/>
        <v>218302.97005254429</v>
      </c>
      <c r="Y28" s="119">
        <f t="shared" si="16"/>
        <v>220055.92939301633</v>
      </c>
      <c r="Z28" s="119">
        <f t="shared" si="17"/>
        <v>220052.37271560857</v>
      </c>
      <c r="AA28" s="119">
        <f t="shared" si="18"/>
        <v>220057.24336937474</v>
      </c>
      <c r="AB28" s="119">
        <f t="shared" si="18"/>
        <v>220055.18182599987</v>
      </c>
      <c r="AC28" s="119">
        <f t="shared" si="24"/>
        <v>220054.9326369944</v>
      </c>
      <c r="AD28" s="119">
        <f t="shared" si="19"/>
        <v>220055.78594412302</v>
      </c>
      <c r="AE28" s="119">
        <f t="shared" si="20"/>
        <v>220055.30013570579</v>
      </c>
      <c r="AF28" s="119">
        <f t="shared" si="21"/>
        <v>220055.33957227445</v>
      </c>
      <c r="AG28" s="119">
        <f t="shared" si="21"/>
        <v>220055.47521736778</v>
      </c>
      <c r="AH28" s="119">
        <f t="shared" si="21"/>
        <v>220055.37164178269</v>
      </c>
      <c r="AI28" s="119">
        <f t="shared" si="21"/>
        <v>220055.39547714166</v>
      </c>
      <c r="AJ28" s="119">
        <f t="shared" si="21"/>
        <v>220055.41411209738</v>
      </c>
      <c r="AK28" s="119">
        <f t="shared" si="21"/>
        <v>220055.39374367395</v>
      </c>
      <c r="AL28" s="119">
        <f t="shared" si="21"/>
        <v>220055.401110971</v>
      </c>
      <c r="AM28" s="119">
        <f t="shared" si="21"/>
        <v>220055.40298891411</v>
      </c>
      <c r="AP28" s="188" t="s">
        <v>218</v>
      </c>
      <c r="AQ28" s="189">
        <f t="shared" ref="AQ28:BF28" si="31">AQ24/AQ23-1</f>
        <v>7.6565447251667029E-2</v>
      </c>
      <c r="AR28" s="189">
        <f t="shared" si="31"/>
        <v>5.7245506867695362E-2</v>
      </c>
      <c r="AS28" s="189">
        <f t="shared" si="31"/>
        <v>7.1341637349053855E-2</v>
      </c>
      <c r="AT28" s="189">
        <f t="shared" si="31"/>
        <v>0.10968381837095098</v>
      </c>
      <c r="AU28" s="189">
        <f t="shared" si="31"/>
        <v>1.107946568253837E-2</v>
      </c>
      <c r="AV28" s="189">
        <f t="shared" si="31"/>
        <v>-5.8159214601530285E-2</v>
      </c>
      <c r="AW28" s="190">
        <f t="shared" si="31"/>
        <v>7.5303215607525065E-3</v>
      </c>
      <c r="AX28" s="190">
        <f t="shared" si="31"/>
        <v>-2.0465870644410855E-2</v>
      </c>
      <c r="AY28" s="190">
        <f t="shared" si="31"/>
        <v>-2.4420920184872741E-2</v>
      </c>
      <c r="AZ28" s="190">
        <f t="shared" si="31"/>
        <v>-1.5102139342331178E-2</v>
      </c>
      <c r="BA28" s="190">
        <f t="shared" si="31"/>
        <v>-1.9790908918646877E-2</v>
      </c>
      <c r="BB28" s="190">
        <f t="shared" si="31"/>
        <v>-1.9631871480926377E-2</v>
      </c>
      <c r="BC28" s="190">
        <f t="shared" si="31"/>
        <v>-1.8208375561775902E-2</v>
      </c>
      <c r="BD28" s="190">
        <f t="shared" si="31"/>
        <v>-1.9194889678185945E-2</v>
      </c>
      <c r="BE28" s="190">
        <f t="shared" si="31"/>
        <v>-1.9009812791332292E-2</v>
      </c>
      <c r="BF28" s="190">
        <f t="shared" si="31"/>
        <v>-1.8809166780126896E-2</v>
      </c>
    </row>
    <row r="29" spans="1:67">
      <c r="A29" s="138" t="s">
        <v>136</v>
      </c>
      <c r="B29" s="170">
        <f t="shared" si="26"/>
        <v>13136.761082887084</v>
      </c>
      <c r="C29" s="170">
        <f t="shared" si="23"/>
        <v>28979.136745108524</v>
      </c>
      <c r="D29" s="170">
        <f t="shared" si="23"/>
        <v>32851.20844767183</v>
      </c>
      <c r="E29" s="170">
        <f t="shared" si="23"/>
        <v>38306.475137151399</v>
      </c>
      <c r="F29" s="170">
        <f t="shared" si="23"/>
        <v>32704.863495936093</v>
      </c>
      <c r="G29" s="170">
        <f t="shared" si="23"/>
        <v>25721.81672038445</v>
      </c>
      <c r="H29" s="170">
        <f t="shared" si="23"/>
        <v>29414.030011974883</v>
      </c>
      <c r="I29" s="13">
        <f>Data!$D10</f>
        <v>37526</v>
      </c>
      <c r="J29" s="13">
        <f>Data!$D22</f>
        <v>37246</v>
      </c>
      <c r="K29" s="13">
        <f>Data!$D34</f>
        <v>28279</v>
      </c>
      <c r="L29" s="13">
        <f>Data!$D46</f>
        <v>41597</v>
      </c>
      <c r="M29" s="13">
        <f>Data!$D58</f>
        <v>91506</v>
      </c>
      <c r="N29" s="119">
        <f t="shared" si="28"/>
        <v>92920.194822106016</v>
      </c>
      <c r="O29" s="119">
        <f t="shared" si="16"/>
        <v>114531.38409294501</v>
      </c>
      <c r="P29" s="119">
        <f t="shared" si="16"/>
        <v>150105.04312290941</v>
      </c>
      <c r="Q29" s="119">
        <f t="shared" si="16"/>
        <v>167169.32978398149</v>
      </c>
      <c r="R29" s="119">
        <f t="shared" si="16"/>
        <v>167150.6156128397</v>
      </c>
      <c r="S29" s="119">
        <f t="shared" si="16"/>
        <v>176435.93831070061</v>
      </c>
      <c r="T29" s="119">
        <f t="shared" si="16"/>
        <v>179538.43184870464</v>
      </c>
      <c r="U29" s="119">
        <f t="shared" si="16"/>
        <v>182629.43290273644</v>
      </c>
      <c r="V29" s="119">
        <f t="shared" si="16"/>
        <v>185725.44933177304</v>
      </c>
      <c r="W29" s="119">
        <f t="shared" si="16"/>
        <v>188821.98959929976</v>
      </c>
      <c r="X29" s="119">
        <f t="shared" si="16"/>
        <v>191916.47807608978</v>
      </c>
      <c r="Y29" s="119">
        <f t="shared" si="16"/>
        <v>193464.45252976863</v>
      </c>
      <c r="Z29" s="119">
        <f t="shared" si="17"/>
        <v>193464.59575645489</v>
      </c>
      <c r="AA29" s="119">
        <f t="shared" si="18"/>
        <v>193464.4138911475</v>
      </c>
      <c r="AB29" s="119">
        <f t="shared" si="18"/>
        <v>193464.48739245703</v>
      </c>
      <c r="AC29" s="119">
        <f t="shared" si="24"/>
        <v>193464.49901335314</v>
      </c>
      <c r="AD29" s="119">
        <f t="shared" si="19"/>
        <v>193464.46676565256</v>
      </c>
      <c r="AE29" s="119">
        <f t="shared" si="20"/>
        <v>193464.4843904876</v>
      </c>
      <c r="AF29" s="119">
        <f t="shared" si="21"/>
        <v>193464.48338983109</v>
      </c>
      <c r="AG29" s="119">
        <f t="shared" si="21"/>
        <v>193464.47818199042</v>
      </c>
      <c r="AH29" s="119">
        <f t="shared" si="21"/>
        <v>193464.48198743639</v>
      </c>
      <c r="AI29" s="119">
        <f t="shared" si="21"/>
        <v>193464.48118641932</v>
      </c>
      <c r="AJ29" s="119">
        <f t="shared" si="21"/>
        <v>193464.48045194874</v>
      </c>
      <c r="AK29" s="119">
        <f t="shared" si="21"/>
        <v>193464.48120860147</v>
      </c>
      <c r="AL29" s="119">
        <f t="shared" si="21"/>
        <v>193464.48094898989</v>
      </c>
      <c r="AM29" s="119">
        <f t="shared" si="21"/>
        <v>193464.48086984671</v>
      </c>
      <c r="AP29" s="188"/>
      <c r="AQ29" s="191">
        <f t="shared" ref="AQ29:BF29" si="32">AQ24-AQ23</f>
        <v>6580.9150416404736</v>
      </c>
      <c r="AR29" s="191">
        <f t="shared" si="32"/>
        <v>6485</v>
      </c>
      <c r="AS29" s="191">
        <f t="shared" si="32"/>
        <v>7503</v>
      </c>
      <c r="AT29" s="191">
        <f t="shared" si="32"/>
        <v>9068</v>
      </c>
      <c r="AU29" s="191">
        <f t="shared" si="32"/>
        <v>1381</v>
      </c>
      <c r="AV29" s="191">
        <f t="shared" si="32"/>
        <v>-18797</v>
      </c>
      <c r="AW29" s="192">
        <f t="shared" si="32"/>
        <v>2219.1870508086868</v>
      </c>
      <c r="AX29" s="192">
        <f t="shared" si="32"/>
        <v>-7700.5902966833091</v>
      </c>
      <c r="AY29" s="192">
        <f t="shared" si="32"/>
        <v>-12190.059805150202</v>
      </c>
      <c r="AZ29" s="192">
        <f t="shared" si="32"/>
        <v>-8261.9827251544921</v>
      </c>
      <c r="BA29" s="192">
        <f t="shared" si="32"/>
        <v>-10897.79335238249</v>
      </c>
      <c r="BB29" s="192">
        <f t="shared" si="32"/>
        <v>-11418.151088262908</v>
      </c>
      <c r="BC29" s="192">
        <f t="shared" si="32"/>
        <v>-10748.604700705386</v>
      </c>
      <c r="BD29" s="192">
        <f t="shared" si="32"/>
        <v>-11543.244966506958</v>
      </c>
      <c r="BE29" s="192">
        <f t="shared" si="32"/>
        <v>-11624.13819154317</v>
      </c>
      <c r="BF29" s="192">
        <f t="shared" si="32"/>
        <v>-11688.560787480907</v>
      </c>
    </row>
    <row r="30" spans="1:67">
      <c r="A30" s="138" t="s">
        <v>137</v>
      </c>
      <c r="B30" s="170">
        <f t="shared" si="26"/>
        <v>13357.310237767615</v>
      </c>
      <c r="C30" s="170">
        <f t="shared" si="23"/>
        <v>29362.645346906713</v>
      </c>
      <c r="D30" s="170">
        <f t="shared" si="23"/>
        <v>33225.401640586351</v>
      </c>
      <c r="E30" s="170">
        <f t="shared" si="23"/>
        <v>39229.940485301609</v>
      </c>
      <c r="F30" s="170">
        <f t="shared" si="23"/>
        <v>32781.717265589672</v>
      </c>
      <c r="G30" s="170">
        <f t="shared" si="23"/>
        <v>25823.341034613615</v>
      </c>
      <c r="H30" s="170">
        <f t="shared" si="23"/>
        <v>31353.253502298678</v>
      </c>
      <c r="I30" s="13">
        <f>Data!$D11</f>
        <v>35703</v>
      </c>
      <c r="J30" s="13">
        <f>Data!$D23</f>
        <v>37541</v>
      </c>
      <c r="K30" s="13">
        <f>Data!$D35</f>
        <v>36601</v>
      </c>
      <c r="L30" s="13">
        <f>Data!$D47</f>
        <v>38275</v>
      </c>
      <c r="M30" s="13">
        <f>Data!$D59</f>
        <v>105925</v>
      </c>
      <c r="N30" s="119">
        <f t="shared" si="28"/>
        <v>99959.818142322067</v>
      </c>
      <c r="O30" s="119">
        <f t="shared" si="16"/>
        <v>123721.64694747911</v>
      </c>
      <c r="P30" s="119">
        <f t="shared" si="16"/>
        <v>165493.68922322206</v>
      </c>
      <c r="Q30" s="119">
        <f t="shared" si="16"/>
        <v>181952.02019829652</v>
      </c>
      <c r="R30" s="119">
        <f t="shared" si="16"/>
        <v>182387.36375574107</v>
      </c>
      <c r="S30" s="119">
        <f t="shared" si="16"/>
        <v>192974.34614123832</v>
      </c>
      <c r="T30" s="119">
        <f t="shared" si="16"/>
        <v>195904.22027591517</v>
      </c>
      <c r="U30" s="119">
        <f t="shared" si="16"/>
        <v>199436.03479408749</v>
      </c>
      <c r="V30" s="119">
        <f t="shared" si="16"/>
        <v>202867.10386594519</v>
      </c>
      <c r="W30" s="119">
        <f t="shared" si="16"/>
        <v>206161.85816436613</v>
      </c>
      <c r="X30" s="119">
        <f t="shared" si="16"/>
        <v>209582.38779507065</v>
      </c>
      <c r="Y30" s="119">
        <f t="shared" si="16"/>
        <v>211274.36810976162</v>
      </c>
      <c r="Z30" s="119">
        <f t="shared" si="17"/>
        <v>211259.6408588943</v>
      </c>
      <c r="AA30" s="119">
        <f t="shared" si="18"/>
        <v>211268.84918573752</v>
      </c>
      <c r="AB30" s="119">
        <f t="shared" si="18"/>
        <v>211267.61938479784</v>
      </c>
      <c r="AC30" s="119">
        <f t="shared" si="24"/>
        <v>211265.36980980987</v>
      </c>
      <c r="AD30" s="119">
        <f t="shared" si="19"/>
        <v>211267.2794601151</v>
      </c>
      <c r="AE30" s="119">
        <f t="shared" si="20"/>
        <v>211266.75621824097</v>
      </c>
      <c r="AF30" s="119">
        <f t="shared" si="21"/>
        <v>211266.46849605531</v>
      </c>
      <c r="AG30" s="119">
        <f t="shared" si="21"/>
        <v>211266.8347248038</v>
      </c>
      <c r="AH30" s="119">
        <f t="shared" si="21"/>
        <v>211266.68647970003</v>
      </c>
      <c r="AI30" s="119">
        <f t="shared" si="21"/>
        <v>211266.66323351976</v>
      </c>
      <c r="AJ30" s="119">
        <f t="shared" si="21"/>
        <v>211266.72814600787</v>
      </c>
      <c r="AK30" s="119">
        <f t="shared" si="21"/>
        <v>211266.69261974256</v>
      </c>
      <c r="AL30" s="119">
        <f t="shared" si="21"/>
        <v>211266.6946664234</v>
      </c>
      <c r="AM30" s="119">
        <f t="shared" si="21"/>
        <v>211266.70514405795</v>
      </c>
      <c r="AP30" s="193" t="s">
        <v>219</v>
      </c>
      <c r="AQ30" s="194" t="e">
        <f>AQ24/#REF!-1</f>
        <v>#REF!</v>
      </c>
      <c r="AR30" s="194">
        <f>AR24/AQ24-1</f>
        <v>0.29434641805361572</v>
      </c>
      <c r="AS30" s="194">
        <f>AS24/AR24-1</f>
        <v>-5.9247384548589355E-2</v>
      </c>
      <c r="AT30" s="194">
        <f>AT24/AS24-1</f>
        <v>-0.18576766394788458</v>
      </c>
      <c r="AU30" s="194">
        <f>AU24/AT24-1</f>
        <v>0.37370015914194155</v>
      </c>
      <c r="AV30" s="194">
        <f>AV24/AU24-1</f>
        <v>1.4153904749813528</v>
      </c>
      <c r="AW30" s="195">
        <f t="shared" ref="AW30:BF30" si="33">AW24/AV24-1</f>
        <v>-2.4581448411714724E-2</v>
      </c>
      <c r="AX30" s="195">
        <f t="shared" si="33"/>
        <v>0.24129456154774154</v>
      </c>
      <c r="AY30" s="195">
        <f t="shared" si="33"/>
        <v>0.32127411087311675</v>
      </c>
      <c r="AZ30" s="195">
        <f t="shared" si="33"/>
        <v>0.10644724758540791</v>
      </c>
      <c r="BA30" s="195">
        <f t="shared" si="33"/>
        <v>1.7389275650516733E-3</v>
      </c>
      <c r="BB30" s="195">
        <f t="shared" si="33"/>
        <v>5.6408076200575197E-2</v>
      </c>
      <c r="BC30" s="195">
        <f t="shared" si="33"/>
        <v>1.6428758821833922E-2</v>
      </c>
      <c r="BD30" s="195">
        <f t="shared" si="33"/>
        <v>1.7711776982632932E-2</v>
      </c>
      <c r="BE30" s="195">
        <f t="shared" si="33"/>
        <v>1.7003800243853506E-2</v>
      </c>
      <c r="BF30" s="195">
        <f t="shared" si="33"/>
        <v>1.6476580539815489E-2</v>
      </c>
    </row>
    <row r="31" spans="1:67">
      <c r="A31" s="138" t="s">
        <v>138</v>
      </c>
      <c r="B31" s="170">
        <f t="shared" si="26"/>
        <v>13699.053021265696</v>
      </c>
      <c r="C31" s="170">
        <f t="shared" si="23"/>
        <v>30147.820090935493</v>
      </c>
      <c r="D31" s="170">
        <f t="shared" si="23"/>
        <v>33976.61330198776</v>
      </c>
      <c r="E31" s="170">
        <f t="shared" si="23"/>
        <v>40298.536806913391</v>
      </c>
      <c r="F31" s="170">
        <f t="shared" si="23"/>
        <v>33776.011356616953</v>
      </c>
      <c r="G31" s="170">
        <f t="shared" si="23"/>
        <v>25972.456748368124</v>
      </c>
      <c r="H31" s="170">
        <f t="shared" si="23"/>
        <v>32660.245607419765</v>
      </c>
      <c r="I31" s="13">
        <f>Data!$D12</f>
        <v>37064</v>
      </c>
      <c r="J31" s="13">
        <f>Data!$D24</f>
        <v>35477</v>
      </c>
      <c r="K31" s="13">
        <f>Data!$D36</f>
        <v>41883</v>
      </c>
      <c r="L31" s="13">
        <f>Data!$D48</f>
        <v>40733</v>
      </c>
      <c r="M31" s="13">
        <f>Data!$D60</f>
        <v>68160</v>
      </c>
      <c r="N31" s="119">
        <f t="shared" si="28"/>
        <v>87869.18344422814</v>
      </c>
      <c r="O31" s="119">
        <f t="shared" si="16"/>
        <v>99704.126493540462</v>
      </c>
      <c r="P31" s="119">
        <f t="shared" si="16"/>
        <v>128402.36282178604</v>
      </c>
      <c r="Q31" s="119">
        <f t="shared" si="16"/>
        <v>147728.88596550602</v>
      </c>
      <c r="R31" s="119">
        <f t="shared" si="16"/>
        <v>145484.66139903193</v>
      </c>
      <c r="S31" s="119">
        <f t="shared" si="16"/>
        <v>153559.78837457165</v>
      </c>
      <c r="T31" s="119">
        <f t="shared" si="16"/>
        <v>157047.59680526279</v>
      </c>
      <c r="U31" s="119">
        <f t="shared" si="16"/>
        <v>159227.40087664567</v>
      </c>
      <c r="V31" s="119">
        <f t="shared" si="16"/>
        <v>162011.99519188973</v>
      </c>
      <c r="W31" s="119">
        <f t="shared" si="16"/>
        <v>164833.37042543324</v>
      </c>
      <c r="X31" s="119">
        <f t="shared" si="16"/>
        <v>167425.06401458915</v>
      </c>
      <c r="Y31" s="119">
        <f t="shared" si="16"/>
        <v>168808.20684150004</v>
      </c>
      <c r="Z31" s="119">
        <f t="shared" si="17"/>
        <v>168822.99234552641</v>
      </c>
      <c r="AA31" s="119">
        <f t="shared" si="18"/>
        <v>168802.22700588757</v>
      </c>
      <c r="AB31" s="119">
        <f t="shared" si="18"/>
        <v>168811.1420643047</v>
      </c>
      <c r="AC31" s="119">
        <f t="shared" si="24"/>
        <v>168812.12047190624</v>
      </c>
      <c r="AD31" s="119">
        <f t="shared" si="19"/>
        <v>168808.49651403283</v>
      </c>
      <c r="AE31" s="119">
        <f t="shared" si="20"/>
        <v>168810.58635008126</v>
      </c>
      <c r="AF31" s="119">
        <f t="shared" si="21"/>
        <v>168810.40111200677</v>
      </c>
      <c r="AG31" s="119">
        <f t="shared" si="21"/>
        <v>168809.82799204029</v>
      </c>
      <c r="AH31" s="119">
        <f t="shared" si="21"/>
        <v>168810.27181804279</v>
      </c>
      <c r="AI31" s="119">
        <f t="shared" si="21"/>
        <v>168810.16697402997</v>
      </c>
      <c r="AJ31" s="119">
        <f t="shared" si="21"/>
        <v>168810.0889280377</v>
      </c>
      <c r="AK31" s="119">
        <f t="shared" si="21"/>
        <v>168810.17590670352</v>
      </c>
      <c r="AL31" s="119">
        <f t="shared" si="21"/>
        <v>168810.14393625705</v>
      </c>
      <c r="AM31" s="119">
        <f t="shared" si="21"/>
        <v>168810.13625699942</v>
      </c>
      <c r="AP31" s="193"/>
      <c r="AQ31" s="196" t="e">
        <f>AQ24-#REF!</f>
        <v>#REF!</v>
      </c>
      <c r="AR31" s="196">
        <f>AR24-AQ24</f>
        <v>27236.584929772012</v>
      </c>
      <c r="AS31" s="196">
        <f>AS24-AR24</f>
        <v>-7096</v>
      </c>
      <c r="AT31" s="196">
        <f>AT24-AS24</f>
        <v>-20931</v>
      </c>
      <c r="AU31" s="196">
        <f>AU24-AT24</f>
        <v>34284</v>
      </c>
      <c r="AV31" s="196">
        <f>AV24-AU24</f>
        <v>178376</v>
      </c>
      <c r="AW31" s="197">
        <f t="shared" ref="AW31:BF31" si="34">AW24-AV24</f>
        <v>-7482.6420594227966</v>
      </c>
      <c r="AX31" s="197">
        <f t="shared" si="34"/>
        <v>71645.026289308502</v>
      </c>
      <c r="AY31" s="197">
        <f t="shared" si="34"/>
        <v>118410.19484295434</v>
      </c>
      <c r="AZ31" s="197">
        <f t="shared" si="34"/>
        <v>51837.1035863664</v>
      </c>
      <c r="BA31" s="197">
        <f t="shared" si="34"/>
        <v>936.95448734797537</v>
      </c>
      <c r="BB31" s="197">
        <f t="shared" si="34"/>
        <v>30446.182253319421</v>
      </c>
      <c r="BC31" s="197">
        <f t="shared" si="34"/>
        <v>9367.5931693796301</v>
      </c>
      <c r="BD31" s="197">
        <f t="shared" si="34"/>
        <v>10265.080198943266</v>
      </c>
      <c r="BE31" s="197">
        <f t="shared" si="34"/>
        <v>10029.30886536336</v>
      </c>
      <c r="BF31" s="197">
        <f t="shared" si="34"/>
        <v>9883.5889044714859</v>
      </c>
    </row>
    <row r="32" spans="1:67">
      <c r="A32" s="138" t="s">
        <v>139</v>
      </c>
      <c r="B32" s="170">
        <f t="shared" si="26"/>
        <v>15573.492365622989</v>
      </c>
      <c r="C32" s="170">
        <f t="shared" si="23"/>
        <v>34351.022547432098</v>
      </c>
      <c r="D32" s="170">
        <f t="shared" si="23"/>
        <v>38710.867474244085</v>
      </c>
      <c r="E32" s="170">
        <f t="shared" si="23"/>
        <v>45649.25933137456</v>
      </c>
      <c r="F32" s="170">
        <f t="shared" si="23"/>
        <v>38755.503862955651</v>
      </c>
      <c r="G32" s="170">
        <f t="shared" si="23"/>
        <v>29582.65261773864</v>
      </c>
      <c r="H32" s="170">
        <f t="shared" si="23"/>
        <v>36340.317503319777</v>
      </c>
      <c r="I32" s="13">
        <f>Data!$D13</f>
        <v>43882</v>
      </c>
      <c r="J32" s="13">
        <f>Data!$D25</f>
        <v>39602</v>
      </c>
      <c r="K32" s="13">
        <f>Data!$D37</f>
        <v>43833</v>
      </c>
      <c r="L32" s="13">
        <f>Data!$D49</f>
        <v>53396</v>
      </c>
      <c r="M32" s="13">
        <f>Data!$D61</f>
        <v>94078</v>
      </c>
      <c r="N32" s="119">
        <f t="shared" si="28"/>
        <v>108122.80653878968</v>
      </c>
      <c r="O32" s="119">
        <f t="shared" si="16"/>
        <v>129517.0437957245</v>
      </c>
      <c r="P32" s="119">
        <f t="shared" si="16"/>
        <v>166553.80475652579</v>
      </c>
      <c r="Q32" s="119">
        <f t="shared" si="16"/>
        <v>188973.65692568099</v>
      </c>
      <c r="R32" s="119">
        <f t="shared" si="16"/>
        <v>187759.16341081212</v>
      </c>
      <c r="S32" s="119">
        <f t="shared" si="16"/>
        <v>197874.36185496533</v>
      </c>
      <c r="T32" s="119">
        <f t="shared" si="16"/>
        <v>201983.13070972479</v>
      </c>
      <c r="U32" s="119">
        <f t="shared" si="16"/>
        <v>205144.27634647716</v>
      </c>
      <c r="V32" s="119">
        <f t="shared" si="16"/>
        <v>208621.29962454046</v>
      </c>
      <c r="W32" s="119">
        <f t="shared" si="16"/>
        <v>212207.18139844795</v>
      </c>
      <c r="X32" s="119">
        <f t="shared" si="16"/>
        <v>215612.83864948252</v>
      </c>
      <c r="Y32" s="119">
        <f t="shared" si="16"/>
        <v>217363.83868595317</v>
      </c>
      <c r="Z32" s="119">
        <f t="shared" si="17"/>
        <v>217380.00631195537</v>
      </c>
      <c r="AA32" s="119">
        <f t="shared" si="18"/>
        <v>217365.20175380717</v>
      </c>
      <c r="AB32" s="119">
        <f t="shared" si="18"/>
        <v>217369.68225057193</v>
      </c>
      <c r="AC32" s="119">
        <f t="shared" si="24"/>
        <v>217371.63010544484</v>
      </c>
      <c r="AD32" s="119">
        <f t="shared" si="19"/>
        <v>217368.83803660801</v>
      </c>
      <c r="AE32" s="119">
        <f t="shared" si="20"/>
        <v>217370.05013087494</v>
      </c>
      <c r="AF32" s="119">
        <f t="shared" si="21"/>
        <v>217370.17275764261</v>
      </c>
      <c r="AG32" s="119">
        <f t="shared" si="21"/>
        <v>217369.68697504184</v>
      </c>
      <c r="AH32" s="119">
        <f t="shared" si="21"/>
        <v>217369.96995451982</v>
      </c>
      <c r="AI32" s="119">
        <f t="shared" si="21"/>
        <v>217369.9432290681</v>
      </c>
      <c r="AJ32" s="119">
        <f t="shared" si="21"/>
        <v>217369.86671954324</v>
      </c>
      <c r="AK32" s="119">
        <f t="shared" si="21"/>
        <v>217369.92663437707</v>
      </c>
      <c r="AL32" s="119">
        <f t="shared" si="21"/>
        <v>217369.91219432949</v>
      </c>
      <c r="AM32" s="119">
        <f t="shared" si="21"/>
        <v>217369.90184941664</v>
      </c>
      <c r="AP32" s="198" t="s">
        <v>219</v>
      </c>
      <c r="AQ32" s="189" t="e">
        <f>AQ26/#REF!-1</f>
        <v>#REF!</v>
      </c>
      <c r="AR32" s="189">
        <f>AR26/AQ26-1</f>
        <v>0.27523639778611808</v>
      </c>
      <c r="AS32" s="189">
        <f t="shared" ref="AS32:BF32" si="35">AS26/AR26-1</f>
        <v>-5.9124964504925659E-2</v>
      </c>
      <c r="AT32" s="189">
        <f t="shared" si="35"/>
        <v>-0.14289296144792007</v>
      </c>
      <c r="AU32" s="189">
        <f t="shared" si="35"/>
        <v>0.3762649244837375</v>
      </c>
      <c r="AV32" s="190">
        <f t="shared" si="35"/>
        <v>0.66819128292128016</v>
      </c>
      <c r="AW32" s="190">
        <f t="shared" si="35"/>
        <v>-9.6179952026093085E-2</v>
      </c>
      <c r="AX32" s="190">
        <f t="shared" si="35"/>
        <v>0.31035771080137109</v>
      </c>
      <c r="AY32" s="190">
        <f t="shared" si="35"/>
        <v>0.30921788285518037</v>
      </c>
      <c r="AZ32" s="190">
        <f t="shared" si="35"/>
        <v>9.716796515490933E-2</v>
      </c>
      <c r="BA32" s="190">
        <f t="shared" si="35"/>
        <v>9.3962236980433822E-3</v>
      </c>
      <c r="BB32" s="190">
        <f t="shared" si="35"/>
        <v>5.3915201516232969E-2</v>
      </c>
      <c r="BC32" s="190">
        <f t="shared" si="35"/>
        <v>1.5475717847501569E-2</v>
      </c>
      <c r="BD32" s="190">
        <f t="shared" si="35"/>
        <v>1.9109034861472862E-2</v>
      </c>
      <c r="BE32" s="190">
        <f t="shared" si="35"/>
        <v>1.6394632953767418E-2</v>
      </c>
      <c r="BF32" s="190">
        <f t="shared" si="35"/>
        <v>1.6422445104530281E-2</v>
      </c>
    </row>
    <row r="33" spans="1:59">
      <c r="A33" s="138" t="s">
        <v>140</v>
      </c>
      <c r="B33" s="170">
        <f t="shared" si="26"/>
        <v>14211.291662318077</v>
      </c>
      <c r="C33" s="170">
        <f t="shared" si="23"/>
        <v>31174.160618087513</v>
      </c>
      <c r="D33" s="170">
        <f t="shared" si="23"/>
        <v>35377.275316326442</v>
      </c>
      <c r="E33" s="170">
        <f t="shared" si="23"/>
        <v>41776.145793444623</v>
      </c>
      <c r="F33" s="170">
        <f t="shared" si="23"/>
        <v>34576.19158981325</v>
      </c>
      <c r="G33" s="170">
        <f t="shared" si="23"/>
        <v>27819.035021743661</v>
      </c>
      <c r="H33" s="170">
        <f t="shared" si="23"/>
        <v>33401.7973630661</v>
      </c>
      <c r="I33" s="13">
        <f>Data!$D14</f>
        <v>36743</v>
      </c>
      <c r="J33" s="13">
        <f>Data!$D26</f>
        <v>42536</v>
      </c>
      <c r="K33" s="13">
        <f>Data!$D38</f>
        <v>37743</v>
      </c>
      <c r="L33" s="13">
        <f>Data!$D50</f>
        <v>46616</v>
      </c>
      <c r="M33" s="13">
        <f>Data!$D62</f>
        <v>110448</v>
      </c>
      <c r="N33" s="119">
        <f>N34-SUM(N22:N32)</f>
        <v>173537.19899055152</v>
      </c>
      <c r="O33" s="119">
        <f t="shared" ref="O33:AM33" si="36">O34-SUM(O22:O32)</f>
        <v>167523.57178641064</v>
      </c>
      <c r="P33" s="119">
        <f t="shared" si="36"/>
        <v>226700.20192766422</v>
      </c>
      <c r="Q33" s="119">
        <f t="shared" si="36"/>
        <v>265446.68853722792</v>
      </c>
      <c r="R33" s="119">
        <f t="shared" si="36"/>
        <v>255356.30796824605</v>
      </c>
      <c r="S33" s="119">
        <f t="shared" si="36"/>
        <v>272253.56109066401</v>
      </c>
      <c r="T33" s="119">
        <f t="shared" si="36"/>
        <v>278771.39600349078</v>
      </c>
      <c r="U33" s="119">
        <f t="shared" si="36"/>
        <v>281517.71975551266</v>
      </c>
      <c r="V33" s="119">
        <f t="shared" si="36"/>
        <v>287083.68167229928</v>
      </c>
      <c r="W33" s="119">
        <f t="shared" si="36"/>
        <v>292032.43301304802</v>
      </c>
      <c r="X33" s="119">
        <f t="shared" si="36"/>
        <v>296440.54297407414</v>
      </c>
      <c r="Y33" s="119">
        <f t="shared" si="36"/>
        <v>299028.91313504847</v>
      </c>
      <c r="Z33" s="119">
        <f t="shared" si="36"/>
        <v>299023.54754790151</v>
      </c>
      <c r="AA33" s="119">
        <f t="shared" si="36"/>
        <v>298961.56539339013</v>
      </c>
      <c r="AB33" s="119">
        <f t="shared" si="36"/>
        <v>299004.67535877996</v>
      </c>
      <c r="AC33" s="119">
        <f t="shared" si="36"/>
        <v>298996.59610002371</v>
      </c>
      <c r="AD33" s="119">
        <f t="shared" si="36"/>
        <v>298987.61228406429</v>
      </c>
      <c r="AE33" s="119">
        <f t="shared" si="36"/>
        <v>298996.29458095552</v>
      </c>
      <c r="AF33" s="119">
        <f t="shared" si="36"/>
        <v>298993.50098834792</v>
      </c>
      <c r="AG33" s="119">
        <f t="shared" si="36"/>
        <v>298992.46928445622</v>
      </c>
      <c r="AH33" s="119">
        <f t="shared" si="36"/>
        <v>298994.08828458656</v>
      </c>
      <c r="AI33" s="119">
        <f t="shared" si="36"/>
        <v>298993.35285246326</v>
      </c>
      <c r="AJ33" s="119">
        <f t="shared" si="36"/>
        <v>298993.30347383511</v>
      </c>
      <c r="AK33" s="119">
        <f t="shared" si="36"/>
        <v>298993.58153696125</v>
      </c>
      <c r="AL33" s="119">
        <f t="shared" si="36"/>
        <v>298993.41262108623</v>
      </c>
      <c r="AM33" s="119">
        <f t="shared" si="36"/>
        <v>298993.43254396087</v>
      </c>
      <c r="AP33" s="198"/>
      <c r="AQ33" s="191" t="e">
        <f>AQ26-#REF!</f>
        <v>#REF!</v>
      </c>
      <c r="AR33" s="191">
        <f>AR26-AQ26</f>
        <v>98809.895552868606</v>
      </c>
      <c r="AS33" s="191">
        <f t="shared" ref="AS33:BF33" si="37">AS26-AR26</f>
        <v>-27068</v>
      </c>
      <c r="AT33" s="191">
        <f t="shared" si="37"/>
        <v>-61550</v>
      </c>
      <c r="AU33" s="191">
        <f t="shared" si="37"/>
        <v>138914</v>
      </c>
      <c r="AV33" s="192">
        <f t="shared" si="37"/>
        <v>339512</v>
      </c>
      <c r="AW33" s="192">
        <f t="shared" si="37"/>
        <v>-81523.858576452942</v>
      </c>
      <c r="AX33" s="192">
        <f t="shared" si="37"/>
        <v>237763.22399055387</v>
      </c>
      <c r="AY33" s="192">
        <f t="shared" si="37"/>
        <v>310410.64922192739</v>
      </c>
      <c r="AZ33" s="192">
        <f t="shared" si="37"/>
        <v>127704.74865036551</v>
      </c>
      <c r="BA33" s="192">
        <f t="shared" si="37"/>
        <v>13549.098650324857</v>
      </c>
      <c r="BB33" s="192">
        <f t="shared" si="37"/>
        <v>78474.754497600719</v>
      </c>
      <c r="BC33" s="192">
        <f t="shared" si="37"/>
        <v>23739.698814959731</v>
      </c>
      <c r="BD33" s="192">
        <f t="shared" si="37"/>
        <v>29766.837553080637</v>
      </c>
      <c r="BE33" s="192">
        <f t="shared" si="37"/>
        <v>26026.531503143255</v>
      </c>
      <c r="BF33" s="192">
        <f t="shared" si="37"/>
        <v>26498.10266503715</v>
      </c>
    </row>
    <row r="34" spans="1:59" ht="12" thickBot="1">
      <c r="A34" s="138" t="s">
        <v>141</v>
      </c>
      <c r="B34" s="170">
        <f t="shared" ref="B34:G34" si="38">B4</f>
        <v>159000.04625931443</v>
      </c>
      <c r="C34" s="170">
        <f t="shared" si="38"/>
        <v>351000.10211961874</v>
      </c>
      <c r="D34" s="170">
        <f t="shared" si="38"/>
        <v>397000.11550281662</v>
      </c>
      <c r="E34" s="170">
        <f t="shared" si="38"/>
        <v>464000.13499573531</v>
      </c>
      <c r="F34" s="170">
        <f t="shared" si="38"/>
        <v>397000.11550281662</v>
      </c>
      <c r="G34" s="170">
        <f t="shared" si="38"/>
        <v>308000.08960923809</v>
      </c>
      <c r="H34" s="170">
        <f>H4</f>
        <v>359000.10444713139</v>
      </c>
      <c r="I34" s="13">
        <f>SUM(I22:I33)</f>
        <v>457810</v>
      </c>
      <c r="J34" s="13">
        <f>SUM(J22:J33)</f>
        <v>430742</v>
      </c>
      <c r="K34" s="13">
        <f>SUM(K22:K33)</f>
        <v>369192</v>
      </c>
      <c r="L34" s="13">
        <f>SUM(L22:L33)</f>
        <v>508106</v>
      </c>
      <c r="M34" s="13">
        <f>SUM(M22:M33)</f>
        <v>1120304</v>
      </c>
      <c r="N34" s="119">
        <f t="shared" ref="N34:AK34" si="39">N4</f>
        <v>1135623.3303971163</v>
      </c>
      <c r="O34" s="119">
        <f t="shared" si="39"/>
        <v>1400602.1074897766</v>
      </c>
      <c r="P34" s="119">
        <f t="shared" si="39"/>
        <v>1835924.3841420044</v>
      </c>
      <c r="Q34" s="119">
        <f t="shared" si="39"/>
        <v>2044121.9947148089</v>
      </c>
      <c r="R34" s="119">
        <f t="shared" si="39"/>
        <v>2044121.9947148089</v>
      </c>
      <c r="S34" s="119">
        <f t="shared" si="39"/>
        <v>2157684.3277545203</v>
      </c>
      <c r="T34" s="119">
        <f t="shared" si="39"/>
        <v>2195538.4387677577</v>
      </c>
      <c r="U34" s="119">
        <f t="shared" si="39"/>
        <v>2233392.5497809951</v>
      </c>
      <c r="V34" s="119">
        <f t="shared" si="39"/>
        <v>2271246.6607942325</v>
      </c>
      <c r="W34" s="119">
        <f t="shared" si="39"/>
        <v>2309100.7718074694</v>
      </c>
      <c r="X34" s="119">
        <f t="shared" si="39"/>
        <v>2346954.8828207063</v>
      </c>
      <c r="Y34" s="119">
        <f t="shared" si="39"/>
        <v>2365881.938327325</v>
      </c>
      <c r="Z34" s="119">
        <f t="shared" si="39"/>
        <v>2365881.938327325</v>
      </c>
      <c r="AA34" s="119">
        <f t="shared" si="39"/>
        <v>2365881.938327325</v>
      </c>
      <c r="AB34" s="119">
        <f t="shared" si="39"/>
        <v>2365881.938327325</v>
      </c>
      <c r="AC34" s="119">
        <f t="shared" si="39"/>
        <v>2365881.938327325</v>
      </c>
      <c r="AD34" s="119">
        <f t="shared" si="39"/>
        <v>2365881.938327325</v>
      </c>
      <c r="AE34" s="119">
        <f t="shared" si="39"/>
        <v>2365881.938327325</v>
      </c>
      <c r="AF34" s="119">
        <f t="shared" si="39"/>
        <v>2365881.938327325</v>
      </c>
      <c r="AG34" s="119">
        <f t="shared" si="39"/>
        <v>2365881.938327325</v>
      </c>
      <c r="AH34" s="119">
        <f t="shared" si="39"/>
        <v>2365881.938327325</v>
      </c>
      <c r="AI34" s="119">
        <f t="shared" si="39"/>
        <v>2365881.938327325</v>
      </c>
      <c r="AJ34" s="119">
        <f t="shared" si="39"/>
        <v>2365881.938327325</v>
      </c>
      <c r="AK34" s="119">
        <f t="shared" si="39"/>
        <v>2365881.938327325</v>
      </c>
      <c r="AL34" s="119">
        <f>AL4</f>
        <v>2365881.938327325</v>
      </c>
      <c r="AM34" s="119">
        <f>AM4</f>
        <v>2365881.938327325</v>
      </c>
    </row>
    <row r="35" spans="1:59">
      <c r="A35" s="199"/>
      <c r="B35" s="199"/>
      <c r="C35" s="199"/>
      <c r="D35" s="199"/>
      <c r="E35" s="199"/>
      <c r="F35" s="199"/>
      <c r="G35" s="200">
        <f t="shared" ref="G35:W35" si="40">(G34/F34)-1</f>
        <v>-0.22418136020151136</v>
      </c>
      <c r="H35" s="200">
        <f t="shared" si="40"/>
        <v>0.1655844155844155</v>
      </c>
      <c r="I35" s="200">
        <f t="shared" si="40"/>
        <v>0.27523639778611808</v>
      </c>
      <c r="J35" s="200">
        <f t="shared" si="40"/>
        <v>-5.9124964504925659E-2</v>
      </c>
      <c r="K35" s="200">
        <f t="shared" si="40"/>
        <v>-0.14289296144792007</v>
      </c>
      <c r="L35" s="200">
        <f t="shared" si="40"/>
        <v>0.3762649244837375</v>
      </c>
      <c r="M35" s="200">
        <f t="shared" si="40"/>
        <v>1.2048627648561521</v>
      </c>
      <c r="N35" s="200">
        <f t="shared" si="40"/>
        <v>1.3674261983458225E-2</v>
      </c>
      <c r="O35" s="200">
        <f t="shared" si="40"/>
        <v>0.23333333333333317</v>
      </c>
      <c r="P35" s="200">
        <f t="shared" si="40"/>
        <v>0.31081081081081074</v>
      </c>
      <c r="Q35" s="200">
        <f t="shared" si="40"/>
        <v>0.11340206185566992</v>
      </c>
      <c r="R35" s="200">
        <f t="shared" si="40"/>
        <v>0</v>
      </c>
      <c r="S35" s="200">
        <f t="shared" si="40"/>
        <v>5.555555555555558E-2</v>
      </c>
      <c r="T35" s="200">
        <f t="shared" si="40"/>
        <v>1.7543859649122862E-2</v>
      </c>
      <c r="U35" s="200">
        <f t="shared" si="40"/>
        <v>1.7241379310344973E-2</v>
      </c>
      <c r="V35" s="200">
        <f t="shared" si="40"/>
        <v>1.6949152542373058E-2</v>
      </c>
      <c r="W35" s="200">
        <f t="shared" si="40"/>
        <v>1.6666666666666607E-2</v>
      </c>
      <c r="X35" s="199"/>
      <c r="Y35" s="199"/>
      <c r="Z35" s="199"/>
      <c r="AA35" s="199"/>
      <c r="AB35" s="199"/>
      <c r="AC35" s="199"/>
      <c r="AD35" s="199"/>
      <c r="AE35" s="199"/>
      <c r="AF35" s="199"/>
      <c r="AG35" s="199"/>
      <c r="AH35" s="199"/>
      <c r="AI35" s="199"/>
      <c r="AJ35" s="199"/>
      <c r="AK35" s="199"/>
      <c r="AL35" s="199"/>
      <c r="AM35" s="199"/>
      <c r="AP35" s="174"/>
      <c r="AQ35" s="174"/>
      <c r="AR35" s="174"/>
      <c r="AS35" s="174"/>
      <c r="AT35" s="174"/>
      <c r="AU35" s="174"/>
      <c r="AV35" s="174"/>
      <c r="AW35" s="174"/>
      <c r="AX35" s="174"/>
      <c r="AY35" s="174"/>
      <c r="AZ35" s="174"/>
      <c r="BA35" s="174"/>
      <c r="BB35" s="174"/>
      <c r="BC35" s="174"/>
      <c r="BD35" s="174"/>
      <c r="BE35" s="174"/>
      <c r="BF35" s="174"/>
    </row>
    <row r="36" spans="1:59" ht="12" thickBot="1">
      <c r="A36" s="138" t="s">
        <v>142</v>
      </c>
      <c r="B36" s="138"/>
      <c r="C36" s="138"/>
      <c r="D36" s="138"/>
      <c r="E36" s="138"/>
      <c r="F36" s="138"/>
      <c r="G36" s="138"/>
      <c r="H36" s="138"/>
      <c r="AP36" s="175" t="s">
        <v>65</v>
      </c>
      <c r="AQ36" s="175"/>
      <c r="AR36" s="175"/>
      <c r="AS36" s="175"/>
      <c r="AT36" s="175"/>
      <c r="AU36" s="174"/>
      <c r="AV36" s="174"/>
      <c r="AW36" s="174"/>
      <c r="AX36" s="174"/>
      <c r="AY36" s="174"/>
      <c r="AZ36" s="174"/>
      <c r="BA36" s="174"/>
      <c r="BB36" s="174"/>
      <c r="BC36" s="174"/>
      <c r="BD36" s="174"/>
      <c r="BE36" s="174"/>
      <c r="BF36" s="174"/>
    </row>
    <row r="37" spans="1:59" ht="12" thickBot="1">
      <c r="A37" s="176"/>
      <c r="B37" s="176"/>
      <c r="C37" s="176"/>
      <c r="D37" s="176"/>
      <c r="E37" s="176"/>
      <c r="F37" s="176"/>
      <c r="G37" s="176"/>
      <c r="H37" s="176"/>
      <c r="I37" s="177">
        <f t="shared" ref="I37:AK37" si="41">I2</f>
        <v>2020</v>
      </c>
      <c r="J37" s="177">
        <f t="shared" si="41"/>
        <v>2021</v>
      </c>
      <c r="K37" s="177">
        <f t="shared" si="41"/>
        <v>2022</v>
      </c>
      <c r="L37" s="177">
        <f t="shared" si="41"/>
        <v>2023</v>
      </c>
      <c r="M37" s="177">
        <f t="shared" si="41"/>
        <v>2024</v>
      </c>
      <c r="N37" s="177">
        <f t="shared" si="41"/>
        <v>2025</v>
      </c>
      <c r="O37" s="177">
        <f t="shared" si="41"/>
        <v>2026</v>
      </c>
      <c r="P37" s="177">
        <f t="shared" si="41"/>
        <v>2027</v>
      </c>
      <c r="Q37" s="177">
        <f t="shared" si="41"/>
        <v>2028</v>
      </c>
      <c r="R37" s="177">
        <f t="shared" si="41"/>
        <v>2029</v>
      </c>
      <c r="S37" s="177">
        <f t="shared" si="41"/>
        <v>2030</v>
      </c>
      <c r="T37" s="177">
        <f t="shared" si="41"/>
        <v>2031</v>
      </c>
      <c r="U37" s="177">
        <f t="shared" si="41"/>
        <v>2032</v>
      </c>
      <c r="V37" s="177">
        <f t="shared" si="41"/>
        <v>2033</v>
      </c>
      <c r="W37" s="177">
        <f t="shared" si="41"/>
        <v>2034</v>
      </c>
      <c r="X37" s="177">
        <f t="shared" si="41"/>
        <v>2035</v>
      </c>
      <c r="Y37" s="177">
        <f t="shared" si="41"/>
        <v>2036</v>
      </c>
      <c r="Z37" s="177">
        <f t="shared" si="41"/>
        <v>2037</v>
      </c>
      <c r="AA37" s="177">
        <f t="shared" si="41"/>
        <v>2038</v>
      </c>
      <c r="AB37" s="177">
        <f t="shared" si="41"/>
        <v>2039</v>
      </c>
      <c r="AC37" s="177">
        <f t="shared" si="41"/>
        <v>2040</v>
      </c>
      <c r="AD37" s="177">
        <f t="shared" si="41"/>
        <v>2041</v>
      </c>
      <c r="AE37" s="177">
        <f t="shared" si="41"/>
        <v>2042</v>
      </c>
      <c r="AF37" s="177">
        <f t="shared" si="41"/>
        <v>2043</v>
      </c>
      <c r="AG37" s="177">
        <f t="shared" si="41"/>
        <v>2044</v>
      </c>
      <c r="AH37" s="177">
        <f t="shared" si="41"/>
        <v>2045</v>
      </c>
      <c r="AI37" s="177">
        <f t="shared" si="41"/>
        <v>2046</v>
      </c>
      <c r="AJ37" s="177">
        <f t="shared" si="41"/>
        <v>2047</v>
      </c>
      <c r="AK37" s="177">
        <f t="shared" si="41"/>
        <v>2048</v>
      </c>
      <c r="AL37" s="177">
        <f>AL2</f>
        <v>2049</v>
      </c>
      <c r="AM37" s="177">
        <f>AM2</f>
        <v>2050</v>
      </c>
      <c r="AO37" s="113" t="s">
        <v>220</v>
      </c>
      <c r="AP37" s="174"/>
      <c r="AQ37" s="178">
        <v>2019</v>
      </c>
      <c r="AR37" s="178">
        <v>2020</v>
      </c>
      <c r="AS37" s="178">
        <v>2021</v>
      </c>
      <c r="AT37" s="178">
        <v>2022</v>
      </c>
      <c r="AU37" s="178">
        <v>2023</v>
      </c>
      <c r="AV37" s="178">
        <v>2024</v>
      </c>
      <c r="AW37" s="201">
        <v>2024</v>
      </c>
      <c r="AX37" s="202">
        <v>2025</v>
      </c>
      <c r="AY37" s="202">
        <v>2026</v>
      </c>
      <c r="AZ37" s="202">
        <v>2027</v>
      </c>
      <c r="BA37" s="202">
        <v>2028</v>
      </c>
      <c r="BB37" s="202">
        <v>2029</v>
      </c>
      <c r="BC37" s="202">
        <v>2030</v>
      </c>
      <c r="BD37" s="202">
        <v>2031</v>
      </c>
      <c r="BE37" s="202">
        <v>2032</v>
      </c>
      <c r="BF37" s="203">
        <v>2033</v>
      </c>
    </row>
    <row r="38" spans="1:59">
      <c r="A38" s="138" t="s">
        <v>129</v>
      </c>
      <c r="B38" s="138"/>
      <c r="C38" s="138"/>
      <c r="D38" s="138"/>
      <c r="E38" s="138"/>
      <c r="F38" s="138"/>
      <c r="G38" s="138"/>
      <c r="H38" s="138"/>
      <c r="I38" s="13">
        <f>I128*$I$122</f>
        <v>29844.764000000003</v>
      </c>
      <c r="J38" s="13">
        <f>J128*$I$122</f>
        <v>39357.126499999998</v>
      </c>
      <c r="K38" s="13">
        <f>K128*$I$122</f>
        <v>23477.822700000001</v>
      </c>
      <c r="L38" s="13">
        <f>L128*$I$122</f>
        <v>9455.5069999999996</v>
      </c>
      <c r="M38" s="13">
        <f>M128*$I$122</f>
        <v>10681.8364</v>
      </c>
      <c r="N38" s="118">
        <f>N$50*(SUM(I38:M38)/SUM(I$50:M$50))</f>
        <v>18886.947625256787</v>
      </c>
      <c r="O38" s="119">
        <f t="shared" ref="O38:Y48" si="42">O$50*(SUM(J38:N38)/SUM(J$50:N$50))</f>
        <v>15167.335893241474</v>
      </c>
      <c r="P38" s="119">
        <f t="shared" si="42"/>
        <v>10279.236160375713</v>
      </c>
      <c r="Q38" s="119">
        <f t="shared" si="42"/>
        <v>9389.4485231181625</v>
      </c>
      <c r="R38" s="119">
        <f t="shared" si="42"/>
        <v>9384.7920000984759</v>
      </c>
      <c r="S38" s="119">
        <f t="shared" si="42"/>
        <v>9380.8832732837382</v>
      </c>
      <c r="T38" s="119">
        <f t="shared" si="42"/>
        <v>8000.2531119578443</v>
      </c>
      <c r="U38" s="119">
        <f t="shared" si="42"/>
        <v>6089.7853205028105</v>
      </c>
      <c r="V38" s="119">
        <f t="shared" si="42"/>
        <v>6144.7508696670584</v>
      </c>
      <c r="W38" s="119">
        <f t="shared" si="42"/>
        <v>5571.4949393585603</v>
      </c>
      <c r="X38" s="119">
        <f t="shared" si="42"/>
        <v>5597.9584682588666</v>
      </c>
      <c r="Y38" s="119">
        <f t="shared" si="42"/>
        <v>4710.6364064617701</v>
      </c>
      <c r="Z38" s="119">
        <f t="shared" ref="Z38:Z48" si="43">Z$50*(SUM(U38:Y38)/SUM(U$50:Y$50))</f>
        <v>4685.7710007081778</v>
      </c>
      <c r="AA38" s="119">
        <f t="shared" ref="AA38:AM48" si="44">AA$50*(SUM(V38:Z38)/SUM(V$50:Z$50))</f>
        <v>4713.637356080194</v>
      </c>
      <c r="AB38" s="119">
        <f t="shared" si="44"/>
        <v>3949.921589198058</v>
      </c>
      <c r="AC38" s="119">
        <f t="shared" si="44"/>
        <v>3942.9874701178442</v>
      </c>
      <c r="AD38" s="119">
        <f t="shared" si="44"/>
        <v>3929.0988968867937</v>
      </c>
      <c r="AE38" s="119">
        <f t="shared" si="44"/>
        <v>3929.8919098131601</v>
      </c>
      <c r="AF38" s="119">
        <f t="shared" si="44"/>
        <v>3935.6802350184712</v>
      </c>
      <c r="AG38" s="119">
        <f t="shared" si="44"/>
        <v>3937.5160202068651</v>
      </c>
      <c r="AH38" s="119">
        <f t="shared" si="44"/>
        <v>3148.0279251269012</v>
      </c>
      <c r="AI38" s="119">
        <f t="shared" si="44"/>
        <v>3146.7024978420318</v>
      </c>
      <c r="AJ38" s="119">
        <f t="shared" si="44"/>
        <v>3147.4467109578136</v>
      </c>
      <c r="AK38" s="119">
        <f t="shared" si="44"/>
        <v>3148.2497071185603</v>
      </c>
      <c r="AL38" s="119">
        <f t="shared" si="44"/>
        <v>3148.1795926194613</v>
      </c>
      <c r="AM38" s="119">
        <f t="shared" si="44"/>
        <v>3147.721286732954</v>
      </c>
      <c r="AP38" s="179" t="s">
        <v>213</v>
      </c>
      <c r="AQ38" s="180">
        <f t="shared" ref="AQ38:AV38" si="45">SUM(H38:H40)</f>
        <v>0</v>
      </c>
      <c r="AR38" s="180">
        <f t="shared" si="45"/>
        <v>74919.804400000008</v>
      </c>
      <c r="AS38" s="180">
        <f t="shared" si="45"/>
        <v>73267.496099999989</v>
      </c>
      <c r="AT38" s="180">
        <f t="shared" si="45"/>
        <v>51635.290399999998</v>
      </c>
      <c r="AU38" s="180">
        <f t="shared" si="45"/>
        <v>51726.2592</v>
      </c>
      <c r="AV38" s="180">
        <f t="shared" si="45"/>
        <v>98385.381300000008</v>
      </c>
      <c r="AW38" s="204">
        <f t="shared" ref="AW38:BF38" si="46">SUM(N41:N43)</f>
        <v>174314.67409821</v>
      </c>
      <c r="AX38" s="183">
        <f t="shared" si="46"/>
        <v>152505.66843101979</v>
      </c>
      <c r="AY38" s="183">
        <f t="shared" si="46"/>
        <v>130899.82122639628</v>
      </c>
      <c r="AZ38" s="183">
        <f t="shared" si="46"/>
        <v>137883.89694362052</v>
      </c>
      <c r="BA38" s="183">
        <f t="shared" si="46"/>
        <v>112495.78015846008</v>
      </c>
      <c r="BB38" s="183">
        <f t="shared" si="46"/>
        <v>105258.08445182125</v>
      </c>
      <c r="BC38" s="183">
        <f t="shared" si="46"/>
        <v>95379.589733032539</v>
      </c>
      <c r="BD38" s="183">
        <f t="shared" si="46"/>
        <v>76317.006231256484</v>
      </c>
      <c r="BE38" s="183">
        <f t="shared" si="46"/>
        <v>76703.17927537323</v>
      </c>
      <c r="BF38" s="205">
        <f t="shared" si="46"/>
        <v>66593.377121420519</v>
      </c>
    </row>
    <row r="39" spans="1:59">
      <c r="A39" s="138" t="s">
        <v>130</v>
      </c>
      <c r="B39" s="138"/>
      <c r="C39" s="138"/>
      <c r="D39" s="138"/>
      <c r="E39" s="138"/>
      <c r="F39" s="138"/>
      <c r="G39" s="138"/>
      <c r="H39" s="138"/>
      <c r="I39" s="13">
        <f t="shared" ref="I39:M49" si="47">I129*$I$122</f>
        <v>19169.925200000001</v>
      </c>
      <c r="J39" s="13">
        <f t="shared" si="47"/>
        <v>7543.4128000000001</v>
      </c>
      <c r="K39" s="13">
        <f t="shared" si="47"/>
        <v>10061.6741</v>
      </c>
      <c r="L39" s="13">
        <f t="shared" si="47"/>
        <v>14326.711300000001</v>
      </c>
      <c r="M39" s="13">
        <f t="shared" si="47"/>
        <v>22613.6191</v>
      </c>
      <c r="N39" s="118">
        <f t="shared" ref="N39:N48" si="48">N$50*(SUM(I39:M39)/SUM(I$50:M$50))</f>
        <v>12340.845036506351</v>
      </c>
      <c r="O39" s="119">
        <f t="shared" si="42"/>
        <v>9959.6895211251376</v>
      </c>
      <c r="P39" s="119">
        <f t="shared" si="42"/>
        <v>9171.9095343942208</v>
      </c>
      <c r="Q39" s="119">
        <f t="shared" si="42"/>
        <v>9963.5431222737388</v>
      </c>
      <c r="R39" s="119">
        <f t="shared" si="42"/>
        <v>9333.0340284783924</v>
      </c>
      <c r="S39" s="119">
        <f t="shared" si="42"/>
        <v>7546.7464009534615</v>
      </c>
      <c r="T39" s="119">
        <f t="shared" si="42"/>
        <v>6861.9287473470067</v>
      </c>
      <c r="U39" s="119">
        <f t="shared" si="42"/>
        <v>5623.2343388126983</v>
      </c>
      <c r="V39" s="119">
        <f t="shared" si="42"/>
        <v>5720.5071473258622</v>
      </c>
      <c r="W39" s="119">
        <f t="shared" si="42"/>
        <v>5012.2072375596317</v>
      </c>
      <c r="X39" s="119">
        <f t="shared" si="42"/>
        <v>4894.3719796361502</v>
      </c>
      <c r="Y39" s="119">
        <f t="shared" si="42"/>
        <v>4216.8374176022025</v>
      </c>
      <c r="Z39" s="119">
        <f t="shared" si="43"/>
        <v>4244.5263534894239</v>
      </c>
      <c r="AA39" s="119">
        <f t="shared" si="44"/>
        <v>4250.9029651082255</v>
      </c>
      <c r="AB39" s="119">
        <f t="shared" si="44"/>
        <v>3534.1946802180678</v>
      </c>
      <c r="AC39" s="119">
        <f t="shared" si="44"/>
        <v>3523.4722326756782</v>
      </c>
      <c r="AD39" s="119">
        <f t="shared" si="44"/>
        <v>3530.3452944809992</v>
      </c>
      <c r="AE39" s="119">
        <f t="shared" si="44"/>
        <v>3533.9706529578507</v>
      </c>
      <c r="AF39" s="119">
        <f t="shared" si="44"/>
        <v>3533.247274123235</v>
      </c>
      <c r="AG39" s="119">
        <f t="shared" si="44"/>
        <v>3531.0460268911665</v>
      </c>
      <c r="AH39" s="119">
        <f t="shared" si="44"/>
        <v>2824.333036980629</v>
      </c>
      <c r="AI39" s="119">
        <f t="shared" si="44"/>
        <v>2825.4903809056468</v>
      </c>
      <c r="AJ39" s="119">
        <f t="shared" si="44"/>
        <v>2825.7543255406135</v>
      </c>
      <c r="AK39" s="119">
        <f t="shared" si="44"/>
        <v>2825.4310989893256</v>
      </c>
      <c r="AL39" s="119">
        <f t="shared" si="44"/>
        <v>2825.1533084395014</v>
      </c>
      <c r="AM39" s="119">
        <f t="shared" si="44"/>
        <v>2825.2324301711433</v>
      </c>
      <c r="AP39" s="181" t="s">
        <v>214</v>
      </c>
      <c r="AQ39" s="180">
        <f t="shared" ref="AQ39:AV39" si="49">SUM(H41:H43)</f>
        <v>0</v>
      </c>
      <c r="AR39" s="180">
        <f t="shared" si="49"/>
        <v>191363.36720000001</v>
      </c>
      <c r="AS39" s="180">
        <f t="shared" si="49"/>
        <v>187614.40299999999</v>
      </c>
      <c r="AT39" s="180">
        <f t="shared" si="49"/>
        <v>173219.4651</v>
      </c>
      <c r="AU39" s="180">
        <f t="shared" si="49"/>
        <v>312615.15590000001</v>
      </c>
      <c r="AV39" s="180">
        <f t="shared" si="49"/>
        <v>176418.24300000002</v>
      </c>
      <c r="AW39" s="206">
        <f t="shared" ref="AW39:BF39" si="50">SUM(N44:N46)</f>
        <v>153833.33761792525</v>
      </c>
      <c r="AX39" s="207">
        <f t="shared" si="50"/>
        <v>135154.50791120072</v>
      </c>
      <c r="AY39" s="207">
        <f t="shared" si="50"/>
        <v>119171.0657991761</v>
      </c>
      <c r="AZ39" s="207">
        <f t="shared" si="50"/>
        <v>117555.51014681382</v>
      </c>
      <c r="BA39" s="207">
        <f t="shared" si="50"/>
        <v>105980.24431186993</v>
      </c>
      <c r="BB39" s="207">
        <f t="shared" si="50"/>
        <v>93900.5584277952</v>
      </c>
      <c r="BC39" s="207">
        <f t="shared" si="50"/>
        <v>85337.595014456077</v>
      </c>
      <c r="BD39" s="207">
        <f t="shared" si="50"/>
        <v>68451.799829522759</v>
      </c>
      <c r="BE39" s="207">
        <f t="shared" si="50"/>
        <v>68541.921124430228</v>
      </c>
      <c r="BF39" s="208">
        <f t="shared" si="50"/>
        <v>60316.016958296314</v>
      </c>
    </row>
    <row r="40" spans="1:59">
      <c r="A40" s="138" t="s">
        <v>131</v>
      </c>
      <c r="B40" s="138"/>
      <c r="C40" s="138"/>
      <c r="D40" s="138"/>
      <c r="E40" s="138"/>
      <c r="F40" s="138"/>
      <c r="G40" s="138"/>
      <c r="H40" s="138"/>
      <c r="I40" s="13">
        <f t="shared" si="47"/>
        <v>25905.1152</v>
      </c>
      <c r="J40" s="13">
        <f t="shared" si="47"/>
        <v>26366.9568</v>
      </c>
      <c r="K40" s="13">
        <f t="shared" si="47"/>
        <v>18095.793600000001</v>
      </c>
      <c r="L40" s="13">
        <f t="shared" si="47"/>
        <v>27944.0409</v>
      </c>
      <c r="M40" s="13">
        <f t="shared" si="47"/>
        <v>65089.925800000005</v>
      </c>
      <c r="N40" s="119">
        <f>N$50*(SUM(I40:M40)/SUM(I$50:M$50))</f>
        <v>27355.454410260631</v>
      </c>
      <c r="O40" s="119">
        <f t="shared" si="42"/>
        <v>24547.289499675553</v>
      </c>
      <c r="P40" s="119">
        <f t="shared" si="42"/>
        <v>21576.689687166916</v>
      </c>
      <c r="Q40" s="119">
        <f t="shared" si="42"/>
        <v>24250.784398314361</v>
      </c>
      <c r="R40" s="119">
        <f t="shared" si="42"/>
        <v>23725.453285496857</v>
      </c>
      <c r="S40" s="119">
        <f t="shared" si="42"/>
        <v>18054.221406622397</v>
      </c>
      <c r="T40" s="119">
        <f t="shared" si="42"/>
        <v>16739.468399593443</v>
      </c>
      <c r="U40" s="119">
        <f t="shared" si="42"/>
        <v>13684.802252746753</v>
      </c>
      <c r="V40" s="119">
        <f t="shared" si="42"/>
        <v>14029.77887167619</v>
      </c>
      <c r="W40" s="119">
        <f t="shared" si="42"/>
        <v>12319.10345944795</v>
      </c>
      <c r="X40" s="119">
        <f t="shared" si="42"/>
        <v>11904.35501660471</v>
      </c>
      <c r="Y40" s="119">
        <f t="shared" si="42"/>
        <v>10301.626200010358</v>
      </c>
      <c r="Z40" s="119">
        <f t="shared" si="43"/>
        <v>10373.277633414327</v>
      </c>
      <c r="AA40" s="119">
        <f t="shared" si="44"/>
        <v>10399.083737850624</v>
      </c>
      <c r="AB40" s="119">
        <f t="shared" si="44"/>
        <v>8640.2259448949953</v>
      </c>
      <c r="AC40" s="119">
        <f t="shared" si="44"/>
        <v>8603.0947554625018</v>
      </c>
      <c r="AD40" s="119">
        <f t="shared" si="44"/>
        <v>8628.0907627915731</v>
      </c>
      <c r="AE40" s="119">
        <f t="shared" si="44"/>
        <v>8637.7357100766694</v>
      </c>
      <c r="AF40" s="119">
        <f t="shared" si="44"/>
        <v>8636.1982521300706</v>
      </c>
      <c r="AG40" s="119">
        <f t="shared" si="44"/>
        <v>8629.0690850711635</v>
      </c>
      <c r="AH40" s="119">
        <f t="shared" si="44"/>
        <v>6901.470170485115</v>
      </c>
      <c r="AI40" s="119">
        <f t="shared" si="44"/>
        <v>6905.4273300924324</v>
      </c>
      <c r="AJ40" s="119">
        <f t="shared" si="44"/>
        <v>6906.0696604966015</v>
      </c>
      <c r="AK40" s="119">
        <f t="shared" si="44"/>
        <v>6905.1335451409786</v>
      </c>
      <c r="AL40" s="119">
        <f t="shared" si="44"/>
        <v>6904.2228173878648</v>
      </c>
      <c r="AM40" s="119">
        <f t="shared" si="44"/>
        <v>6904.464704720599</v>
      </c>
      <c r="AP40" s="179" t="s">
        <v>215</v>
      </c>
      <c r="AQ40" s="180">
        <f t="shared" ref="AQ40:AV40" si="51">SUM(H44:H46)</f>
        <v>0</v>
      </c>
      <c r="AR40" s="180">
        <f t="shared" si="51"/>
        <v>165066.38640000002</v>
      </c>
      <c r="AS40" s="180">
        <f t="shared" si="51"/>
        <v>142360.0491</v>
      </c>
      <c r="AT40" s="180">
        <f t="shared" si="51"/>
        <v>212449.76010000001</v>
      </c>
      <c r="AU40" s="180">
        <f t="shared" si="51"/>
        <v>197419.79</v>
      </c>
      <c r="AV40" s="180">
        <f t="shared" si="51"/>
        <v>201593.8584</v>
      </c>
      <c r="AW40" s="204">
        <f t="shared" ref="AW40:BF40" si="52">SUM(N47:N49)</f>
        <v>63268.741211840985</v>
      </c>
      <c r="AX40" s="183">
        <f t="shared" si="52"/>
        <v>62665.508743737329</v>
      </c>
      <c r="AY40" s="183">
        <f t="shared" si="52"/>
        <v>58901.277592490704</v>
      </c>
      <c r="AZ40" s="183">
        <f t="shared" si="52"/>
        <v>50956.816865859342</v>
      </c>
      <c r="BA40" s="183">
        <f t="shared" si="52"/>
        <v>39080.696215596254</v>
      </c>
      <c r="BB40" s="183">
        <f t="shared" si="52"/>
        <v>40859.506039523927</v>
      </c>
      <c r="BC40" s="183">
        <f t="shared" si="52"/>
        <v>37681.164993613071</v>
      </c>
      <c r="BD40" s="183">
        <f t="shared" si="52"/>
        <v>29833.372027158475</v>
      </c>
      <c r="BE40" s="183">
        <f t="shared" si="52"/>
        <v>28859.862711527436</v>
      </c>
      <c r="BF40" s="205">
        <f t="shared" si="52"/>
        <v>25187.800283917011</v>
      </c>
    </row>
    <row r="41" spans="1:59">
      <c r="A41" s="138" t="s">
        <v>132</v>
      </c>
      <c r="B41" s="138"/>
      <c r="C41" s="138"/>
      <c r="D41" s="138"/>
      <c r="E41" s="138"/>
      <c r="F41" s="138"/>
      <c r="G41" s="138"/>
      <c r="H41" s="138"/>
      <c r="I41" s="13">
        <f t="shared" si="47"/>
        <v>59041.3753</v>
      </c>
      <c r="J41" s="13">
        <f t="shared" si="47"/>
        <v>53054.928500000002</v>
      </c>
      <c r="K41" s="13">
        <f t="shared" si="47"/>
        <v>53012.068200000002</v>
      </c>
      <c r="L41" s="13">
        <f t="shared" si="47"/>
        <v>115691.3208</v>
      </c>
      <c r="M41" s="13">
        <f t="shared" si="47"/>
        <v>47619.542700000005</v>
      </c>
      <c r="N41" s="119">
        <f t="shared" si="48"/>
        <v>54981.37504161206</v>
      </c>
      <c r="O41" s="119">
        <f t="shared" si="42"/>
        <v>48298.66647448828</v>
      </c>
      <c r="P41" s="119">
        <f t="shared" si="42"/>
        <v>42298.155264178502</v>
      </c>
      <c r="Q41" s="119">
        <f t="shared" si="42"/>
        <v>44986.181235200514</v>
      </c>
      <c r="R41" s="119">
        <f t="shared" si="42"/>
        <v>34707.139746738387</v>
      </c>
      <c r="S41" s="119">
        <f t="shared" si="42"/>
        <v>33486.306694383718</v>
      </c>
      <c r="T41" s="119">
        <f t="shared" si="42"/>
        <v>30414.395435073046</v>
      </c>
      <c r="U41" s="119">
        <f t="shared" si="42"/>
        <v>24379.302082042512</v>
      </c>
      <c r="V41" s="119">
        <f t="shared" si="42"/>
        <v>24432.483664500094</v>
      </c>
      <c r="W41" s="119">
        <f t="shared" si="42"/>
        <v>21059.946803248251</v>
      </c>
      <c r="X41" s="119">
        <f t="shared" si="42"/>
        <v>21281.978244425754</v>
      </c>
      <c r="Y41" s="119">
        <f t="shared" si="42"/>
        <v>18235.215934393451</v>
      </c>
      <c r="Z41" s="119">
        <f t="shared" si="43"/>
        <v>18231.487788101676</v>
      </c>
      <c r="AA41" s="119">
        <f t="shared" si="44"/>
        <v>18219.019841412213</v>
      </c>
      <c r="AB41" s="119">
        <f t="shared" si="44"/>
        <v>15160.570095559584</v>
      </c>
      <c r="AC41" s="119">
        <f t="shared" si="44"/>
        <v>15188.045317315446</v>
      </c>
      <c r="AD41" s="119">
        <f t="shared" si="44"/>
        <v>15184.703388711137</v>
      </c>
      <c r="AE41" s="119">
        <f t="shared" si="44"/>
        <v>15182.190079833341</v>
      </c>
      <c r="AF41" s="119">
        <f t="shared" si="44"/>
        <v>15179.717062083024</v>
      </c>
      <c r="AG41" s="119">
        <f t="shared" si="44"/>
        <v>15179.045188700507</v>
      </c>
      <c r="AH41" s="119">
        <f t="shared" si="44"/>
        <v>12146.192165862953</v>
      </c>
      <c r="AI41" s="119">
        <f t="shared" si="44"/>
        <v>12145.30798086516</v>
      </c>
      <c r="AJ41" s="119">
        <f t="shared" si="44"/>
        <v>12144.774343886083</v>
      </c>
      <c r="AK41" s="119">
        <f t="shared" si="44"/>
        <v>12144.552134799585</v>
      </c>
      <c r="AL41" s="119">
        <f t="shared" si="44"/>
        <v>12144.737488402723</v>
      </c>
      <c r="AM41" s="119">
        <f t="shared" si="44"/>
        <v>12145.112822763302</v>
      </c>
      <c r="AP41" s="181" t="s">
        <v>216</v>
      </c>
      <c r="AQ41" s="180">
        <f t="shared" ref="AQ41:AV41" si="53">SUM(H47:H49)</f>
        <v>0</v>
      </c>
      <c r="AR41" s="180">
        <f t="shared" si="53"/>
        <v>20348.146100000002</v>
      </c>
      <c r="AS41" s="180">
        <f t="shared" si="53"/>
        <v>38452.686699999998</v>
      </c>
      <c r="AT41" s="180">
        <f t="shared" si="53"/>
        <v>154071.40740000003</v>
      </c>
      <c r="AU41" s="180">
        <f t="shared" si="53"/>
        <v>132643.88150000002</v>
      </c>
      <c r="AV41" s="180">
        <f t="shared" si="53"/>
        <v>32405.885600000001</v>
      </c>
      <c r="AW41" s="209">
        <f t="shared" ref="AW41:BF41" si="54">SUM(O38:O40)</f>
        <v>49674.314914042159</v>
      </c>
      <c r="AX41" s="210">
        <f t="shared" si="54"/>
        <v>41027.835381936849</v>
      </c>
      <c r="AY41" s="210">
        <f t="shared" si="54"/>
        <v>43603.776043706261</v>
      </c>
      <c r="AZ41" s="210">
        <f t="shared" si="54"/>
        <v>42443.279314073727</v>
      </c>
      <c r="BA41" s="210">
        <f t="shared" si="54"/>
        <v>34981.851080859597</v>
      </c>
      <c r="BB41" s="210">
        <f t="shared" si="54"/>
        <v>31601.650258898295</v>
      </c>
      <c r="BC41" s="210">
        <f t="shared" si="54"/>
        <v>25397.82191206226</v>
      </c>
      <c r="BD41" s="210">
        <f t="shared" si="54"/>
        <v>25895.03688866911</v>
      </c>
      <c r="BE41" s="210">
        <f t="shared" si="54"/>
        <v>22902.805636366142</v>
      </c>
      <c r="BF41" s="211">
        <f t="shared" si="54"/>
        <v>22396.685464499726</v>
      </c>
    </row>
    <row r="42" spans="1:59" ht="12" thickBot="1">
      <c r="A42" s="138" t="s">
        <v>133</v>
      </c>
      <c r="B42" s="138"/>
      <c r="C42" s="138"/>
      <c r="D42" s="138"/>
      <c r="E42" s="138"/>
      <c r="F42" s="138"/>
      <c r="G42" s="138"/>
      <c r="H42" s="138"/>
      <c r="I42" s="13">
        <f t="shared" si="47"/>
        <v>68719.056100000002</v>
      </c>
      <c r="J42" s="13">
        <f t="shared" si="47"/>
        <v>61770.439300000005</v>
      </c>
      <c r="K42" s="13">
        <f t="shared" si="47"/>
        <v>60683.1872</v>
      </c>
      <c r="L42" s="13">
        <f t="shared" si="47"/>
        <v>90147.45670000001</v>
      </c>
      <c r="M42" s="13">
        <f t="shared" si="47"/>
        <v>70870.818100000004</v>
      </c>
      <c r="N42" s="119">
        <f t="shared" si="48"/>
        <v>58961.0504561138</v>
      </c>
      <c r="O42" s="119">
        <f t="shared" si="42"/>
        <v>50989.930699593911</v>
      </c>
      <c r="P42" s="119">
        <f t="shared" si="42"/>
        <v>43892.853665222319</v>
      </c>
      <c r="Q42" s="119">
        <f t="shared" si="42"/>
        <v>45856.087990465698</v>
      </c>
      <c r="R42" s="119">
        <f t="shared" si="42"/>
        <v>39426.40833176973</v>
      </c>
      <c r="S42" s="119">
        <f t="shared" si="42"/>
        <v>35545.805980740806</v>
      </c>
      <c r="T42" s="119">
        <f t="shared" si="42"/>
        <v>32195.68457728246</v>
      </c>
      <c r="U42" s="119">
        <f t="shared" si="42"/>
        <v>25825.159415800787</v>
      </c>
      <c r="V42" s="119">
        <f t="shared" si="42"/>
        <v>26014.421279426835</v>
      </c>
      <c r="W42" s="119">
        <f t="shared" si="42"/>
        <v>22715.354226431518</v>
      </c>
      <c r="X42" s="119">
        <f t="shared" si="42"/>
        <v>22638.067689949476</v>
      </c>
      <c r="Y42" s="119">
        <f t="shared" si="42"/>
        <v>19408.303078333662</v>
      </c>
      <c r="Z42" s="119">
        <f t="shared" si="43"/>
        <v>19433.550948323711</v>
      </c>
      <c r="AA42" s="119">
        <f t="shared" si="44"/>
        <v>19448.770098082092</v>
      </c>
      <c r="AB42" s="119">
        <f t="shared" si="44"/>
        <v>16194.38219392507</v>
      </c>
      <c r="AC42" s="119">
        <f t="shared" si="44"/>
        <v>16187.179001435667</v>
      </c>
      <c r="AD42" s="119">
        <f t="shared" si="44"/>
        <v>16191.461664303606</v>
      </c>
      <c r="AE42" s="119">
        <f t="shared" si="44"/>
        <v>16195.43405667966</v>
      </c>
      <c r="AF42" s="119">
        <f t="shared" si="44"/>
        <v>16195.620579697323</v>
      </c>
      <c r="AG42" s="119">
        <f t="shared" si="44"/>
        <v>16192.815499208264</v>
      </c>
      <c r="AH42" s="119">
        <f t="shared" si="44"/>
        <v>12954.001728211922</v>
      </c>
      <c r="AI42" s="119">
        <f t="shared" si="44"/>
        <v>12954.88892135013</v>
      </c>
      <c r="AJ42" s="119">
        <f t="shared" si="44"/>
        <v>12955.26274524301</v>
      </c>
      <c r="AK42" s="119">
        <f t="shared" si="44"/>
        <v>12955.016267947392</v>
      </c>
      <c r="AL42" s="119">
        <f t="shared" si="44"/>
        <v>12954.663840373471</v>
      </c>
      <c r="AM42" s="119">
        <f t="shared" si="44"/>
        <v>12954.766700625187</v>
      </c>
      <c r="AP42" s="182" t="s">
        <v>217</v>
      </c>
      <c r="AQ42" s="180">
        <f>SUM(AQ38:AQ41)</f>
        <v>0</v>
      </c>
      <c r="AR42" s="180">
        <f>SUM(AR38:AR41)</f>
        <v>451697.70410000003</v>
      </c>
      <c r="AS42" s="180">
        <f>SUM(AS38:AS41)</f>
        <v>441694.6349</v>
      </c>
      <c r="AT42" s="180">
        <f>SUM(AT38:AT41)</f>
        <v>591375.92300000007</v>
      </c>
      <c r="AU42" s="180">
        <f>SUM(AU38:AU41)</f>
        <v>694405.08660000004</v>
      </c>
      <c r="AV42" s="183">
        <f>SUM(AV38:AV40)</f>
        <v>476397.48270000005</v>
      </c>
      <c r="AW42" s="184">
        <f t="shared" ref="AW42:BF42" si="55">SUM(AW38:AW40)</f>
        <v>391416.75292797625</v>
      </c>
      <c r="AX42" s="185">
        <f t="shared" si="55"/>
        <v>350325.68508595787</v>
      </c>
      <c r="AY42" s="185">
        <f t="shared" si="55"/>
        <v>308972.16461806308</v>
      </c>
      <c r="AZ42" s="185">
        <f t="shared" si="55"/>
        <v>306396.22395629366</v>
      </c>
      <c r="BA42" s="185">
        <f t="shared" si="55"/>
        <v>257556.72068592627</v>
      </c>
      <c r="BB42" s="185">
        <f t="shared" si="55"/>
        <v>240018.1489191404</v>
      </c>
      <c r="BC42" s="185">
        <f t="shared" si="55"/>
        <v>218398.34974110167</v>
      </c>
      <c r="BD42" s="185">
        <f t="shared" si="55"/>
        <v>174602.17808793773</v>
      </c>
      <c r="BE42" s="185">
        <f t="shared" si="55"/>
        <v>174104.9631113309</v>
      </c>
      <c r="BF42" s="186">
        <f t="shared" si="55"/>
        <v>152097.19436363384</v>
      </c>
      <c r="BG42" s="187">
        <f>(BF42/AW42)^(1/10)-1</f>
        <v>-9.0195293143191968E-2</v>
      </c>
    </row>
    <row r="43" spans="1:59">
      <c r="A43" s="138" t="s">
        <v>134</v>
      </c>
      <c r="B43" s="138"/>
      <c r="C43" s="138"/>
      <c r="D43" s="138"/>
      <c r="E43" s="138"/>
      <c r="F43" s="138"/>
      <c r="G43" s="138"/>
      <c r="H43" s="138"/>
      <c r="I43" s="13">
        <f t="shared" si="47"/>
        <v>63602.935799999999</v>
      </c>
      <c r="J43" s="13">
        <f t="shared" si="47"/>
        <v>72789.035199999998</v>
      </c>
      <c r="K43" s="13">
        <f t="shared" si="47"/>
        <v>59524.209699999999</v>
      </c>
      <c r="L43" s="13">
        <f t="shared" si="47"/>
        <v>106776.3784</v>
      </c>
      <c r="M43" s="13">
        <f t="shared" si="47"/>
        <v>57927.8822</v>
      </c>
      <c r="N43" s="119">
        <f t="shared" si="48"/>
        <v>60372.248600484134</v>
      </c>
      <c r="O43" s="119">
        <f t="shared" si="42"/>
        <v>53217.071256937612</v>
      </c>
      <c r="P43" s="119">
        <f t="shared" si="42"/>
        <v>44708.812296995464</v>
      </c>
      <c r="Q43" s="119">
        <f t="shared" si="42"/>
        <v>47041.627717954325</v>
      </c>
      <c r="R43" s="119">
        <f t="shared" si="42"/>
        <v>38362.232079951973</v>
      </c>
      <c r="S43" s="119">
        <f t="shared" si="42"/>
        <v>36225.97177669673</v>
      </c>
      <c r="T43" s="119">
        <f t="shared" si="42"/>
        <v>32769.50972067703</v>
      </c>
      <c r="U43" s="119">
        <f t="shared" si="42"/>
        <v>26112.544733413186</v>
      </c>
      <c r="V43" s="119">
        <f t="shared" si="42"/>
        <v>26256.274331446293</v>
      </c>
      <c r="W43" s="119">
        <f t="shared" si="42"/>
        <v>22818.076091740746</v>
      </c>
      <c r="X43" s="119">
        <f t="shared" si="42"/>
        <v>22938.105376768588</v>
      </c>
      <c r="Y43" s="119">
        <f t="shared" si="42"/>
        <v>19634.17653810688</v>
      </c>
      <c r="Z43" s="119">
        <f t="shared" si="43"/>
        <v>19626.52951191262</v>
      </c>
      <c r="AA43" s="119">
        <f t="shared" si="44"/>
        <v>19636.440326466203</v>
      </c>
      <c r="AB43" s="119">
        <f t="shared" si="44"/>
        <v>16352.082475780475</v>
      </c>
      <c r="AC43" s="119">
        <f t="shared" si="44"/>
        <v>16364.555704839131</v>
      </c>
      <c r="AD43" s="119">
        <f t="shared" si="44"/>
        <v>16359.604385197377</v>
      </c>
      <c r="AE43" s="119">
        <f t="shared" si="44"/>
        <v>16359.113408184408</v>
      </c>
      <c r="AF43" s="119">
        <f t="shared" si="44"/>
        <v>16359.960827012999</v>
      </c>
      <c r="AG43" s="119">
        <f t="shared" si="44"/>
        <v>16359.063360202877</v>
      </c>
      <c r="AH43" s="119">
        <f t="shared" si="44"/>
        <v>13088.367629669887</v>
      </c>
      <c r="AI43" s="119">
        <f t="shared" si="44"/>
        <v>13087.684935044592</v>
      </c>
      <c r="AJ43" s="119">
        <f t="shared" si="44"/>
        <v>13087.68524523735</v>
      </c>
      <c r="AK43" s="119">
        <f t="shared" si="44"/>
        <v>13087.774908575948</v>
      </c>
      <c r="AL43" s="119">
        <f t="shared" si="44"/>
        <v>13087.728776901075</v>
      </c>
      <c r="AM43" s="119">
        <f t="shared" si="44"/>
        <v>13087.848299085768</v>
      </c>
      <c r="AP43" s="174"/>
      <c r="AQ43" s="174"/>
      <c r="AR43" s="174"/>
      <c r="AS43" s="174"/>
      <c r="AT43" s="174"/>
      <c r="AU43" s="174"/>
      <c r="AV43" s="174"/>
      <c r="AW43" s="174"/>
      <c r="AX43" s="174"/>
      <c r="AY43" s="174"/>
      <c r="AZ43" s="174"/>
      <c r="BA43" s="174"/>
      <c r="BB43" s="174"/>
      <c r="BC43" s="174"/>
      <c r="BD43" s="174"/>
      <c r="BE43" s="174"/>
      <c r="BF43" s="174"/>
    </row>
    <row r="44" spans="1:59">
      <c r="A44" s="138" t="s">
        <v>135</v>
      </c>
      <c r="B44" s="138"/>
      <c r="C44" s="138"/>
      <c r="D44" s="138"/>
      <c r="E44" s="138"/>
      <c r="F44" s="138"/>
      <c r="G44" s="138"/>
      <c r="H44" s="138"/>
      <c r="I44" s="13">
        <f t="shared" si="47"/>
        <v>43758.616900000001</v>
      </c>
      <c r="J44" s="13">
        <f t="shared" si="47"/>
        <v>49915.6302</v>
      </c>
      <c r="K44" s="13">
        <f t="shared" si="47"/>
        <v>62942.537300000004</v>
      </c>
      <c r="L44" s="13">
        <f t="shared" si="47"/>
        <v>79733.2785</v>
      </c>
      <c r="M44" s="13">
        <f t="shared" si="47"/>
        <v>72879.129300000001</v>
      </c>
      <c r="N44" s="119">
        <f t="shared" si="48"/>
        <v>51768.728358065193</v>
      </c>
      <c r="O44" s="119">
        <f t="shared" si="42"/>
        <v>47238.474059683896</v>
      </c>
      <c r="P44" s="119">
        <f t="shared" si="42"/>
        <v>41631.022459051703</v>
      </c>
      <c r="Q44" s="119">
        <f t="shared" si="42"/>
        <v>42708.621978924886</v>
      </c>
      <c r="R44" s="119">
        <f t="shared" si="42"/>
        <v>37336.150712726463</v>
      </c>
      <c r="S44" s="119">
        <f t="shared" si="42"/>
        <v>32804.229368283428</v>
      </c>
      <c r="T44" s="119">
        <f t="shared" si="42"/>
        <v>30107.2385938314</v>
      </c>
      <c r="U44" s="119">
        <f t="shared" si="42"/>
        <v>24208.165654140048</v>
      </c>
      <c r="V44" s="119">
        <f t="shared" si="42"/>
        <v>24314.822735695452</v>
      </c>
      <c r="W44" s="119">
        <f t="shared" si="42"/>
        <v>21252.9438663824</v>
      </c>
      <c r="X44" s="119">
        <f t="shared" si="42"/>
        <v>21109.359125643845</v>
      </c>
      <c r="Y44" s="119">
        <f t="shared" si="42"/>
        <v>18148.879496353973</v>
      </c>
      <c r="Z44" s="119">
        <f t="shared" si="43"/>
        <v>18172.361813035954</v>
      </c>
      <c r="AA44" s="119">
        <f t="shared" si="44"/>
        <v>18176.182418313812</v>
      </c>
      <c r="AB44" s="119">
        <f t="shared" si="44"/>
        <v>15134.332299957809</v>
      </c>
      <c r="AC44" s="119">
        <f t="shared" si="44"/>
        <v>15123.519192217565</v>
      </c>
      <c r="AD44" s="119">
        <f t="shared" si="44"/>
        <v>15134.870574978413</v>
      </c>
      <c r="AE44" s="119">
        <f t="shared" si="44"/>
        <v>15137.271536759919</v>
      </c>
      <c r="AF44" s="119">
        <f t="shared" si="44"/>
        <v>15135.8030811976</v>
      </c>
      <c r="AG44" s="119">
        <f t="shared" si="44"/>
        <v>15133.159337022264</v>
      </c>
      <c r="AH44" s="119">
        <f t="shared" si="44"/>
        <v>12106.339795548123</v>
      </c>
      <c r="AI44" s="119">
        <f t="shared" si="44"/>
        <v>12107.907387584388</v>
      </c>
      <c r="AJ44" s="119">
        <f t="shared" si="44"/>
        <v>12107.909763149966</v>
      </c>
      <c r="AK44" s="119">
        <f t="shared" si="44"/>
        <v>12107.476248091336</v>
      </c>
      <c r="AL44" s="119">
        <f t="shared" si="44"/>
        <v>12107.198577408777</v>
      </c>
      <c r="AM44" s="119">
        <f t="shared" si="44"/>
        <v>12107.366354356516</v>
      </c>
      <c r="AP44" s="188" t="s">
        <v>218</v>
      </c>
      <c r="AQ44" s="189" t="e">
        <f t="shared" ref="AQ44:BF44" si="56">AQ40/AQ39-1</f>
        <v>#DIV/0!</v>
      </c>
      <c r="AR44" s="189">
        <f t="shared" si="56"/>
        <v>-0.13741909533038354</v>
      </c>
      <c r="AS44" s="189">
        <f t="shared" si="56"/>
        <v>-0.24120938039069417</v>
      </c>
      <c r="AT44" s="189">
        <f t="shared" si="56"/>
        <v>0.22647740528093818</v>
      </c>
      <c r="AU44" s="189">
        <f t="shared" si="56"/>
        <v>-0.36848938295508915</v>
      </c>
      <c r="AV44" s="189">
        <f t="shared" si="56"/>
        <v>0.14270414993306546</v>
      </c>
      <c r="AW44" s="190">
        <f t="shared" si="56"/>
        <v>-0.58871892015382843</v>
      </c>
      <c r="AX44" s="190">
        <f t="shared" si="56"/>
        <v>-0.53634170467395847</v>
      </c>
      <c r="AY44" s="190">
        <f t="shared" si="56"/>
        <v>-0.50574179061426228</v>
      </c>
      <c r="AZ44" s="190">
        <f t="shared" si="56"/>
        <v>-0.56652974580077176</v>
      </c>
      <c r="BA44" s="190">
        <f t="shared" si="56"/>
        <v>-0.63124546023320338</v>
      </c>
      <c r="BB44" s="190">
        <f t="shared" si="56"/>
        <v>-0.564864078301059</v>
      </c>
      <c r="BC44" s="190">
        <f t="shared" si="56"/>
        <v>-0.5584458996386068</v>
      </c>
      <c r="BD44" s="190">
        <f t="shared" si="56"/>
        <v>-0.56416964781849954</v>
      </c>
      <c r="BE44" s="190">
        <f t="shared" si="56"/>
        <v>-0.57894581537719714</v>
      </c>
      <c r="BF44" s="190">
        <f t="shared" si="56"/>
        <v>-0.58240279192619182</v>
      </c>
    </row>
    <row r="45" spans="1:59">
      <c r="A45" s="138" t="s">
        <v>136</v>
      </c>
      <c r="B45" s="138"/>
      <c r="C45" s="138"/>
      <c r="D45" s="138"/>
      <c r="E45" s="138"/>
      <c r="F45" s="138"/>
      <c r="G45" s="138"/>
      <c r="H45" s="138"/>
      <c r="I45" s="13">
        <f t="shared" si="47"/>
        <v>61726.704300000005</v>
      </c>
      <c r="J45" s="13">
        <f t="shared" si="47"/>
        <v>61265.737400000005</v>
      </c>
      <c r="K45" s="13">
        <f t="shared" si="47"/>
        <v>71062.377399999998</v>
      </c>
      <c r="L45" s="13">
        <f>L135*$I$122</f>
        <v>69004.208299999998</v>
      </c>
      <c r="M45" s="13">
        <f t="shared" si="47"/>
        <v>74083.59120000001</v>
      </c>
      <c r="N45" s="119">
        <f t="shared" si="48"/>
        <v>56441.775487166233</v>
      </c>
      <c r="O45" s="119">
        <f t="shared" si="42"/>
        <v>49415.222797911774</v>
      </c>
      <c r="P45" s="119">
        <f t="shared" si="42"/>
        <v>42351.649752886988</v>
      </c>
      <c r="Q45" s="119">
        <f t="shared" si="42"/>
        <v>42424.017121947982</v>
      </c>
      <c r="R45" s="119">
        <f t="shared" si="42"/>
        <v>38573.31794320335</v>
      </c>
      <c r="S45" s="119">
        <f t="shared" si="42"/>
        <v>34071.15965046324</v>
      </c>
      <c r="T45" s="119">
        <f t="shared" si="42"/>
        <v>30870.950338270646</v>
      </c>
      <c r="U45" s="119">
        <f t="shared" si="42"/>
        <v>24693.914073019303</v>
      </c>
      <c r="V45" s="119">
        <f t="shared" si="42"/>
        <v>24819.39769118611</v>
      </c>
      <c r="W45" s="119">
        <f t="shared" si="42"/>
        <v>21861.248528020376</v>
      </c>
      <c r="X45" s="119">
        <f t="shared" si="42"/>
        <v>21686.742999243583</v>
      </c>
      <c r="Y45" s="119">
        <f t="shared" si="42"/>
        <v>18589.838044461001</v>
      </c>
      <c r="Z45" s="119">
        <f t="shared" si="43"/>
        <v>18608.523555988395</v>
      </c>
      <c r="AA45" s="119">
        <f t="shared" si="44"/>
        <v>18629.250144511669</v>
      </c>
      <c r="AB45" s="119">
        <f t="shared" si="44"/>
        <v>15527.43801128516</v>
      </c>
      <c r="AC45" s="119">
        <f t="shared" si="44"/>
        <v>15506.965459248304</v>
      </c>
      <c r="AD45" s="119">
        <f t="shared" si="44"/>
        <v>15511.074145624023</v>
      </c>
      <c r="AE45" s="119">
        <f t="shared" si="44"/>
        <v>15515.416910492138</v>
      </c>
      <c r="AF45" s="119">
        <f t="shared" si="44"/>
        <v>15517.335513684864</v>
      </c>
      <c r="AG45" s="119">
        <f t="shared" si="44"/>
        <v>15515.646008066897</v>
      </c>
      <c r="AH45" s="119">
        <f t="shared" si="44"/>
        <v>12410.630085938597</v>
      </c>
      <c r="AI45" s="119">
        <f t="shared" si="44"/>
        <v>12411.683777301087</v>
      </c>
      <c r="AJ45" s="119">
        <f t="shared" si="44"/>
        <v>12412.297790518884</v>
      </c>
      <c r="AK45" s="119">
        <f t="shared" si="44"/>
        <v>12412.289668274603</v>
      </c>
      <c r="AL45" s="119">
        <f t="shared" si="44"/>
        <v>12411.913777161915</v>
      </c>
      <c r="AM45" s="119">
        <f t="shared" si="44"/>
        <v>12411.763019839016</v>
      </c>
      <c r="AP45" s="188"/>
      <c r="AQ45" s="191">
        <f t="shared" ref="AQ45:BF45" si="57">AQ40-AQ39</f>
        <v>0</v>
      </c>
      <c r="AR45" s="191">
        <f t="shared" si="57"/>
        <v>-26296.98079999999</v>
      </c>
      <c r="AS45" s="191">
        <f t="shared" si="57"/>
        <v>-45254.353899999987</v>
      </c>
      <c r="AT45" s="191">
        <f t="shared" si="57"/>
        <v>39230.295000000013</v>
      </c>
      <c r="AU45" s="191">
        <f t="shared" si="57"/>
        <v>-115195.3659</v>
      </c>
      <c r="AV45" s="191">
        <f t="shared" si="57"/>
        <v>25175.615399999981</v>
      </c>
      <c r="AW45" s="192">
        <f t="shared" si="57"/>
        <v>-90564.596406084267</v>
      </c>
      <c r="AX45" s="192">
        <f t="shared" si="57"/>
        <v>-72488.999167463393</v>
      </c>
      <c r="AY45" s="192">
        <f t="shared" si="57"/>
        <v>-60269.788206685393</v>
      </c>
      <c r="AZ45" s="192">
        <f t="shared" si="57"/>
        <v>-66598.693280954467</v>
      </c>
      <c r="BA45" s="192">
        <f t="shared" si="57"/>
        <v>-66899.548096273676</v>
      </c>
      <c r="BB45" s="192">
        <f t="shared" si="57"/>
        <v>-53041.052388271273</v>
      </c>
      <c r="BC45" s="192">
        <f t="shared" si="57"/>
        <v>-47656.430020843007</v>
      </c>
      <c r="BD45" s="192">
        <f t="shared" si="57"/>
        <v>-38618.427802364284</v>
      </c>
      <c r="BE45" s="192">
        <f t="shared" si="57"/>
        <v>-39682.058412902792</v>
      </c>
      <c r="BF45" s="192">
        <f t="shared" si="57"/>
        <v>-35128.216674379306</v>
      </c>
    </row>
    <row r="46" spans="1:59">
      <c r="A46" s="138" t="s">
        <v>137</v>
      </c>
      <c r="B46" s="138"/>
      <c r="C46" s="138"/>
      <c r="D46" s="138"/>
      <c r="E46" s="138"/>
      <c r="F46" s="138"/>
      <c r="G46" s="138"/>
      <c r="H46" s="138"/>
      <c r="I46" s="13">
        <f t="shared" si="47"/>
        <v>59581.065200000005</v>
      </c>
      <c r="J46" s="13">
        <f t="shared" si="47"/>
        <v>31178.681500000002</v>
      </c>
      <c r="K46" s="13">
        <f t="shared" si="47"/>
        <v>78444.845400000006</v>
      </c>
      <c r="L46" s="13">
        <f t="shared" si="47"/>
        <v>48682.303200000002</v>
      </c>
      <c r="M46" s="13">
        <f t="shared" si="47"/>
        <v>54631.137900000002</v>
      </c>
      <c r="N46" s="119">
        <f t="shared" si="48"/>
        <v>45622.833772693826</v>
      </c>
      <c r="O46" s="119">
        <f t="shared" si="42"/>
        <v>38500.811053605059</v>
      </c>
      <c r="P46" s="119">
        <f t="shared" si="42"/>
        <v>35188.393587237413</v>
      </c>
      <c r="Q46" s="119">
        <f t="shared" si="42"/>
        <v>32422.871045940945</v>
      </c>
      <c r="R46" s="119">
        <f t="shared" si="42"/>
        <v>30070.77565594012</v>
      </c>
      <c r="S46" s="119">
        <f t="shared" si="42"/>
        <v>27025.169409048525</v>
      </c>
      <c r="T46" s="119">
        <f t="shared" si="42"/>
        <v>24359.406082354042</v>
      </c>
      <c r="U46" s="119">
        <f t="shared" si="42"/>
        <v>19549.720102363415</v>
      </c>
      <c r="V46" s="119">
        <f t="shared" si="42"/>
        <v>19407.700697548662</v>
      </c>
      <c r="W46" s="119">
        <f t="shared" si="42"/>
        <v>17201.824563893537</v>
      </c>
      <c r="X46" s="119">
        <f t="shared" si="42"/>
        <v>17109.244226964936</v>
      </c>
      <c r="Y46" s="119">
        <f t="shared" si="42"/>
        <v>14644.184350968688</v>
      </c>
      <c r="Z46" s="119">
        <f t="shared" si="43"/>
        <v>14652.112323623207</v>
      </c>
      <c r="AA46" s="119">
        <f t="shared" si="44"/>
        <v>14649.7175581763</v>
      </c>
      <c r="AB46" s="119">
        <f t="shared" si="44"/>
        <v>12227.669222441667</v>
      </c>
      <c r="AC46" s="119">
        <f t="shared" si="44"/>
        <v>12213.821280362466</v>
      </c>
      <c r="AD46" s="119">
        <f t="shared" si="44"/>
        <v>12212.054417066489</v>
      </c>
      <c r="AE46" s="119">
        <f t="shared" si="44"/>
        <v>12213.958296605582</v>
      </c>
      <c r="AF46" s="119">
        <f t="shared" si="44"/>
        <v>12214.850148971636</v>
      </c>
      <c r="AG46" s="119">
        <f t="shared" si="44"/>
        <v>12216.470673089567</v>
      </c>
      <c r="AH46" s="119">
        <f t="shared" si="44"/>
        <v>9771.3847705753196</v>
      </c>
      <c r="AI46" s="119">
        <f t="shared" si="44"/>
        <v>9771.4530510514323</v>
      </c>
      <c r="AJ46" s="119">
        <f t="shared" si="44"/>
        <v>9771.8464243988765</v>
      </c>
      <c r="AK46" s="119">
        <f t="shared" si="44"/>
        <v>9772.0009214703314</v>
      </c>
      <c r="AL46" s="119">
        <f t="shared" si="44"/>
        <v>9772.0296839210514</v>
      </c>
      <c r="AM46" s="119">
        <f t="shared" si="44"/>
        <v>9771.7429702834015</v>
      </c>
      <c r="AP46" s="193" t="s">
        <v>219</v>
      </c>
      <c r="AQ46" s="194" t="e">
        <f>AQ40/#REF!-1</f>
        <v>#REF!</v>
      </c>
      <c r="AR46" s="194" t="e">
        <f>AR40/AQ40-1</f>
        <v>#DIV/0!</v>
      </c>
      <c r="AS46" s="194">
        <f>AS40/AR40-1</f>
        <v>-0.13755881978888473</v>
      </c>
      <c r="AT46" s="194">
        <f>AT40/AS40-1</f>
        <v>0.49234115500175113</v>
      </c>
      <c r="AU46" s="194">
        <f>AU40/AT40-1</f>
        <v>-7.0745997043844211E-2</v>
      </c>
      <c r="AV46" s="194">
        <f>AV40/AU40-1</f>
        <v>2.1143110323438075E-2</v>
      </c>
      <c r="AW46" s="195">
        <f t="shared" ref="AW46:BF46" si="58">AW40/AV40-1</f>
        <v>-0.68615739728387981</v>
      </c>
      <c r="AX46" s="195">
        <f t="shared" si="58"/>
        <v>-9.5344471305959244E-3</v>
      </c>
      <c r="AY46" s="195">
        <f t="shared" si="58"/>
        <v>-6.0068628288648784E-2</v>
      </c>
      <c r="AZ46" s="195">
        <f t="shared" si="58"/>
        <v>-0.13487756210646606</v>
      </c>
      <c r="BA46" s="195">
        <f t="shared" si="58"/>
        <v>-0.23306245132081616</v>
      </c>
      <c r="BB46" s="195">
        <f t="shared" si="58"/>
        <v>4.5516328934226857E-2</v>
      </c>
      <c r="BC46" s="195">
        <f t="shared" si="58"/>
        <v>-7.7787064846951526E-2</v>
      </c>
      <c r="BD46" s="195">
        <f t="shared" si="58"/>
        <v>-0.20826832099763348</v>
      </c>
      <c r="BE46" s="195">
        <f t="shared" si="58"/>
        <v>-3.2631554848872479E-2</v>
      </c>
      <c r="BF46" s="195">
        <f t="shared" si="58"/>
        <v>-0.12723769562991372</v>
      </c>
    </row>
    <row r="47" spans="1:59">
      <c r="A47" s="138" t="s">
        <v>138</v>
      </c>
      <c r="B47" s="138"/>
      <c r="C47" s="138"/>
      <c r="D47" s="138"/>
      <c r="E47" s="138"/>
      <c r="F47" s="138"/>
      <c r="G47" s="138"/>
      <c r="H47" s="138"/>
      <c r="I47" s="13">
        <f t="shared" si="47"/>
        <v>10666.9665</v>
      </c>
      <c r="J47" s="13">
        <f t="shared" si="47"/>
        <v>21675.940699999999</v>
      </c>
      <c r="K47" s="13">
        <f t="shared" si="47"/>
        <v>77316.482400000008</v>
      </c>
      <c r="L47" s="13">
        <f t="shared" si="47"/>
        <v>51288.909200000002</v>
      </c>
      <c r="M47" s="13">
        <f t="shared" si="47"/>
        <v>11505.8038</v>
      </c>
      <c r="N47" s="119">
        <f t="shared" si="48"/>
        <v>28870.914573806214</v>
      </c>
      <c r="O47" s="119">
        <f t="shared" si="42"/>
        <v>28389.910320607665</v>
      </c>
      <c r="P47" s="119">
        <f t="shared" si="42"/>
        <v>26121.385152361734</v>
      </c>
      <c r="Q47" s="119">
        <f t="shared" si="42"/>
        <v>21289.007602339003</v>
      </c>
      <c r="R47" s="119">
        <f t="shared" si="42"/>
        <v>16928.817472993243</v>
      </c>
      <c r="S47" s="119">
        <f t="shared" si="42"/>
        <v>18075.680896529546</v>
      </c>
      <c r="T47" s="119">
        <f t="shared" si="42"/>
        <v>16538.030066392712</v>
      </c>
      <c r="U47" s="119">
        <f t="shared" si="42"/>
        <v>12977.432287293934</v>
      </c>
      <c r="V47" s="119">
        <f t="shared" si="42"/>
        <v>12481.304483716136</v>
      </c>
      <c r="W47" s="119">
        <f t="shared" si="42"/>
        <v>11000.180743846509</v>
      </c>
      <c r="X47" s="119">
        <f t="shared" si="42"/>
        <v>11307.009076010268</v>
      </c>
      <c r="Y47" s="119">
        <f t="shared" si="42"/>
        <v>9645.5934985889344</v>
      </c>
      <c r="Z47" s="119">
        <f t="shared" si="43"/>
        <v>9568.5866815759637</v>
      </c>
      <c r="AA47" s="119">
        <f t="shared" si="44"/>
        <v>9529.8837324243195</v>
      </c>
      <c r="AB47" s="119">
        <f t="shared" si="44"/>
        <v>7976.7583956946874</v>
      </c>
      <c r="AC47" s="119">
        <f t="shared" si="44"/>
        <v>8004.6385640490298</v>
      </c>
      <c r="AD47" s="119">
        <f t="shared" si="44"/>
        <v>7986.6894414880253</v>
      </c>
      <c r="AE47" s="119">
        <f t="shared" si="44"/>
        <v>7975.2882991170409</v>
      </c>
      <c r="AF47" s="119">
        <f t="shared" si="44"/>
        <v>7975.6266216871354</v>
      </c>
      <c r="AG47" s="119">
        <f t="shared" si="44"/>
        <v>7983.800264407183</v>
      </c>
      <c r="AH47" s="119">
        <f t="shared" si="44"/>
        <v>6388.1669105197461</v>
      </c>
      <c r="AI47" s="119">
        <f t="shared" si="44"/>
        <v>6384.9285895365201</v>
      </c>
      <c r="AJ47" s="119">
        <f t="shared" si="44"/>
        <v>6383.967075698718</v>
      </c>
      <c r="AK47" s="119">
        <f t="shared" si="44"/>
        <v>6384.8162657907824</v>
      </c>
      <c r="AL47" s="119">
        <f t="shared" si="44"/>
        <v>6385.8436392291333</v>
      </c>
      <c r="AM47" s="119">
        <f t="shared" si="44"/>
        <v>6385.5444961549792</v>
      </c>
      <c r="AP47" s="193"/>
      <c r="AQ47" s="196" t="e">
        <f>AQ40-#REF!</f>
        <v>#REF!</v>
      </c>
      <c r="AR47" s="196">
        <f>AR40-AQ40</f>
        <v>165066.38640000002</v>
      </c>
      <c r="AS47" s="196">
        <f>AS40-AR40</f>
        <v>-22706.337300000014</v>
      </c>
      <c r="AT47" s="196">
        <f>AT40-AS40</f>
        <v>70089.71100000001</v>
      </c>
      <c r="AU47" s="196">
        <f>AU40-AT40</f>
        <v>-15029.970100000006</v>
      </c>
      <c r="AV47" s="196">
        <f>AV40-AU40</f>
        <v>4174.0683999999892</v>
      </c>
      <c r="AW47" s="197">
        <f t="shared" ref="AW47:BF47" si="59">AW40-AV40</f>
        <v>-138325.11718815903</v>
      </c>
      <c r="AX47" s="197">
        <f t="shared" si="59"/>
        <v>-603.23246810365526</v>
      </c>
      <c r="AY47" s="197">
        <f t="shared" si="59"/>
        <v>-3764.2311512466258</v>
      </c>
      <c r="AZ47" s="197">
        <f t="shared" si="59"/>
        <v>-7944.4607266313615</v>
      </c>
      <c r="BA47" s="197">
        <f t="shared" si="59"/>
        <v>-11876.120650263088</v>
      </c>
      <c r="BB47" s="197">
        <f t="shared" si="59"/>
        <v>1778.8098239276733</v>
      </c>
      <c r="BC47" s="197">
        <f t="shared" si="59"/>
        <v>-3178.3410459108563</v>
      </c>
      <c r="BD47" s="197">
        <f t="shared" si="59"/>
        <v>-7847.7929664545954</v>
      </c>
      <c r="BE47" s="197">
        <f t="shared" si="59"/>
        <v>-973.5093156310395</v>
      </c>
      <c r="BF47" s="197">
        <f t="shared" si="59"/>
        <v>-3672.0624276104245</v>
      </c>
    </row>
    <row r="48" spans="1:59">
      <c r="A48" s="138" t="s">
        <v>139</v>
      </c>
      <c r="B48" s="138"/>
      <c r="C48" s="138"/>
      <c r="D48" s="138"/>
      <c r="E48" s="138"/>
      <c r="F48" s="138"/>
      <c r="G48" s="138"/>
      <c r="H48" s="138"/>
      <c r="I48" s="13">
        <f t="shared" si="47"/>
        <v>5296.3085000000001</v>
      </c>
      <c r="J48" s="13">
        <f t="shared" si="47"/>
        <v>8594.8022000000001</v>
      </c>
      <c r="K48" s="13">
        <f t="shared" si="47"/>
        <v>22250.618600000002</v>
      </c>
      <c r="L48" s="13">
        <f>L138*$I$122</f>
        <v>37919.119700000003</v>
      </c>
      <c r="M48" s="13">
        <f t="shared" si="47"/>
        <v>9331.2996000000003</v>
      </c>
      <c r="N48" s="119">
        <f t="shared" si="48"/>
        <v>13960.860090067546</v>
      </c>
      <c r="O48" s="119">
        <f t="shared" si="42"/>
        <v>13707.690042831957</v>
      </c>
      <c r="P48" s="119">
        <f t="shared" si="42"/>
        <v>12860.000269123888</v>
      </c>
      <c r="Q48" s="119">
        <f t="shared" si="42"/>
        <v>12784.009365923515</v>
      </c>
      <c r="R48" s="119">
        <f t="shared" si="42"/>
        <v>9128.1946103973987</v>
      </c>
      <c r="S48" s="119">
        <f t="shared" si="42"/>
        <v>9281.7337589430736</v>
      </c>
      <c r="T48" s="119">
        <f t="shared" si="42"/>
        <v>8621.1385145104232</v>
      </c>
      <c r="U48" s="119">
        <f t="shared" si="42"/>
        <v>6908.2067565768266</v>
      </c>
      <c r="V48" s="119">
        <f t="shared" si="42"/>
        <v>6796.113891832907</v>
      </c>
      <c r="W48" s="119">
        <f t="shared" si="42"/>
        <v>5819.3410760372326</v>
      </c>
      <c r="X48" s="119">
        <f t="shared" si="42"/>
        <v>5954.2213178478014</v>
      </c>
      <c r="Y48" s="119">
        <f t="shared" si="42"/>
        <v>5114.8532335207792</v>
      </c>
      <c r="Z48" s="119">
        <f t="shared" si="43"/>
        <v>5098.7893793025914</v>
      </c>
      <c r="AA48" s="119">
        <f t="shared" si="44"/>
        <v>5079.4092173896433</v>
      </c>
      <c r="AB48" s="119">
        <f t="shared" si="44"/>
        <v>4229.1584725153198</v>
      </c>
      <c r="AC48" s="119">
        <f t="shared" si="44"/>
        <v>4246.0719367626889</v>
      </c>
      <c r="AD48" s="119">
        <f t="shared" si="44"/>
        <v>4244.3361141948253</v>
      </c>
      <c r="AE48" s="119">
        <f t="shared" si="44"/>
        <v>4240.3268741046431</v>
      </c>
      <c r="AF48" s="119">
        <f t="shared" si="44"/>
        <v>4238.3274259552154</v>
      </c>
      <c r="AG48" s="119">
        <f t="shared" si="44"/>
        <v>4239.6441647065394</v>
      </c>
      <c r="AH48" s="119">
        <f t="shared" si="44"/>
        <v>3393.3930425158255</v>
      </c>
      <c r="AI48" s="119">
        <f t="shared" si="44"/>
        <v>3392.6712702461746</v>
      </c>
      <c r="AJ48" s="119">
        <f t="shared" si="44"/>
        <v>3392.0630917440694</v>
      </c>
      <c r="AK48" s="119">
        <f t="shared" si="44"/>
        <v>3392.0179991214222</v>
      </c>
      <c r="AL48" s="119">
        <f t="shared" si="44"/>
        <v>3392.3408701588623</v>
      </c>
      <c r="AM48" s="119">
        <f t="shared" si="44"/>
        <v>3392.4972547572706</v>
      </c>
      <c r="AP48" s="198" t="s">
        <v>219</v>
      </c>
      <c r="AQ48" s="189" t="e">
        <f>AQ42/#REF!-1</f>
        <v>#REF!</v>
      </c>
      <c r="AR48" s="189" t="e">
        <f>AR42/AQ42-1</f>
        <v>#DIV/0!</v>
      </c>
      <c r="AS48" s="189">
        <f t="shared" ref="AS48:BF48" si="60">AS42/AR42-1</f>
        <v>-2.2145494894491358E-2</v>
      </c>
      <c r="AT48" s="189">
        <f t="shared" si="60"/>
        <v>0.33887957034816152</v>
      </c>
      <c r="AU48" s="189">
        <f t="shared" si="60"/>
        <v>0.17421940865861041</v>
      </c>
      <c r="AV48" s="190">
        <f t="shared" si="60"/>
        <v>-0.31394874275392437</v>
      </c>
      <c r="AW48" s="190">
        <f t="shared" si="60"/>
        <v>-0.17838198743283118</v>
      </c>
      <c r="AX48" s="190">
        <f t="shared" si="60"/>
        <v>-0.10498035031622543</v>
      </c>
      <c r="AY48" s="190">
        <f t="shared" si="60"/>
        <v>-0.11804307314134865</v>
      </c>
      <c r="AZ48" s="190">
        <f t="shared" si="60"/>
        <v>-8.3371285725808431E-3</v>
      </c>
      <c r="BA48" s="190">
        <f t="shared" si="60"/>
        <v>-0.15939982105436845</v>
      </c>
      <c r="BB48" s="190">
        <f t="shared" si="60"/>
        <v>-6.8095958513825883E-2</v>
      </c>
      <c r="BC48" s="190">
        <f t="shared" si="60"/>
        <v>-9.0075685007145911E-2</v>
      </c>
      <c r="BD48" s="190">
        <f t="shared" si="60"/>
        <v>-0.20053343674566093</v>
      </c>
      <c r="BE48" s="190">
        <f t="shared" si="60"/>
        <v>-2.8477020278430132E-3</v>
      </c>
      <c r="BF48" s="190">
        <f t="shared" si="60"/>
        <v>-0.1264051773964896</v>
      </c>
    </row>
    <row r="49" spans="1:59">
      <c r="A49" s="138" t="s">
        <v>140</v>
      </c>
      <c r="B49" s="138"/>
      <c r="C49" s="138"/>
      <c r="D49" s="138"/>
      <c r="E49" s="138"/>
      <c r="F49" s="138"/>
      <c r="G49" s="138"/>
      <c r="H49" s="138"/>
      <c r="I49" s="13">
        <f t="shared" si="47"/>
        <v>4384.8711000000003</v>
      </c>
      <c r="J49" s="13">
        <f t="shared" si="47"/>
        <v>8181.9438</v>
      </c>
      <c r="K49" s="13">
        <f t="shared" si="47"/>
        <v>54504.306400000001</v>
      </c>
      <c r="L49" s="13">
        <f>L139*$I$122</f>
        <v>43435.852599999998</v>
      </c>
      <c r="M49" s="13">
        <f t="shared" si="47"/>
        <v>11568.7822</v>
      </c>
      <c r="N49" s="119">
        <f t="shared" ref="N49:X49" si="61">N50-SUM(N38:N48)</f>
        <v>20436.966547967226</v>
      </c>
      <c r="O49" s="119">
        <f t="shared" si="61"/>
        <v>20567.908380297711</v>
      </c>
      <c r="P49" s="119">
        <f t="shared" si="61"/>
        <v>19919.892171005078</v>
      </c>
      <c r="Q49" s="119">
        <f t="shared" si="61"/>
        <v>16883.799897596822</v>
      </c>
      <c r="R49" s="119">
        <f t="shared" si="61"/>
        <v>13023.684132205613</v>
      </c>
      <c r="S49" s="119">
        <f t="shared" si="61"/>
        <v>13502.091384051309</v>
      </c>
      <c r="T49" s="119">
        <f t="shared" si="61"/>
        <v>12521.996412709937</v>
      </c>
      <c r="U49" s="119">
        <f t="shared" si="61"/>
        <v>9947.7329832877149</v>
      </c>
      <c r="V49" s="119">
        <f t="shared" si="61"/>
        <v>9582.4443359783909</v>
      </c>
      <c r="W49" s="119">
        <f t="shared" si="61"/>
        <v>8368.2784640332684</v>
      </c>
      <c r="X49" s="119">
        <f t="shared" si="61"/>
        <v>8578.5864786460006</v>
      </c>
      <c r="Y49" s="119">
        <f t="shared" ref="Y49:AE49" si="62">Y50-SUM(Y38:Y48)</f>
        <v>7349.8558011982823</v>
      </c>
      <c r="Z49" s="119">
        <f t="shared" si="62"/>
        <v>7304.4830105239525</v>
      </c>
      <c r="AA49" s="119">
        <f t="shared" si="62"/>
        <v>7267.702604184713</v>
      </c>
      <c r="AB49" s="119">
        <f t="shared" si="62"/>
        <v>6073.2666185291018</v>
      </c>
      <c r="AC49" s="119">
        <f t="shared" si="62"/>
        <v>6095.6490855136799</v>
      </c>
      <c r="AD49" s="119">
        <f t="shared" si="62"/>
        <v>6087.6709142767359</v>
      </c>
      <c r="AE49" s="119">
        <f t="shared" si="62"/>
        <v>6079.4022653755965</v>
      </c>
      <c r="AF49" s="119">
        <f t="shared" ref="AF49:AK49" si="63">AF50-SUM(AF38:AF48)</f>
        <v>6077.6329784384143</v>
      </c>
      <c r="AG49" s="119">
        <f t="shared" si="63"/>
        <v>6082.7243724267173</v>
      </c>
      <c r="AH49" s="119">
        <f t="shared" si="63"/>
        <v>4867.692738564976</v>
      </c>
      <c r="AI49" s="119">
        <f t="shared" si="63"/>
        <v>4865.8538781803945</v>
      </c>
      <c r="AJ49" s="119">
        <f t="shared" si="63"/>
        <v>4864.922823128014</v>
      </c>
      <c r="AK49" s="119">
        <f t="shared" si="63"/>
        <v>4865.2412346797355</v>
      </c>
      <c r="AL49" s="119">
        <f>AL50-SUM(AL38:AL48)</f>
        <v>4865.9876279961754</v>
      </c>
      <c r="AM49" s="119">
        <f>AM50-SUM(AM38:AM48)</f>
        <v>4865.9396605098736</v>
      </c>
      <c r="AP49" s="198"/>
      <c r="AQ49" s="191" t="e">
        <f>AQ42-#REF!</f>
        <v>#REF!</v>
      </c>
      <c r="AR49" s="191">
        <f>AR42-AQ42</f>
        <v>451697.70410000003</v>
      </c>
      <c r="AS49" s="191">
        <f t="shared" ref="AS49:BF49" si="64">AS42-AR42</f>
        <v>-10003.069200000027</v>
      </c>
      <c r="AT49" s="191">
        <f t="shared" si="64"/>
        <v>149681.28810000006</v>
      </c>
      <c r="AU49" s="191">
        <f t="shared" si="64"/>
        <v>103029.16359999997</v>
      </c>
      <c r="AV49" s="192">
        <f t="shared" si="64"/>
        <v>-218007.60389999999</v>
      </c>
      <c r="AW49" s="192">
        <f t="shared" si="64"/>
        <v>-84980.729772023798</v>
      </c>
      <c r="AX49" s="192">
        <f t="shared" si="64"/>
        <v>-41091.067842018383</v>
      </c>
      <c r="AY49" s="192">
        <f t="shared" si="64"/>
        <v>-41353.520467894792</v>
      </c>
      <c r="AZ49" s="192">
        <f t="shared" si="64"/>
        <v>-2575.9406617694185</v>
      </c>
      <c r="BA49" s="192">
        <f t="shared" si="64"/>
        <v>-48839.503270367393</v>
      </c>
      <c r="BB49" s="192">
        <f t="shared" si="64"/>
        <v>-17538.57176678587</v>
      </c>
      <c r="BC49" s="192">
        <f t="shared" si="64"/>
        <v>-21619.799178038724</v>
      </c>
      <c r="BD49" s="192">
        <f t="shared" si="64"/>
        <v>-43796.171653163939</v>
      </c>
      <c r="BE49" s="192">
        <f t="shared" si="64"/>
        <v>-497.21497660683235</v>
      </c>
      <c r="BF49" s="192">
        <f t="shared" si="64"/>
        <v>-22007.76874769706</v>
      </c>
    </row>
    <row r="50" spans="1:59" ht="12" thickBot="1">
      <c r="A50" s="138" t="s">
        <v>141</v>
      </c>
      <c r="B50" s="138"/>
      <c r="C50" s="138"/>
      <c r="D50" s="138"/>
      <c r="E50" s="138"/>
      <c r="F50" s="138"/>
      <c r="G50" s="138"/>
      <c r="H50" s="138"/>
      <c r="I50" s="13">
        <f>SUM(I38:I49)</f>
        <v>451697.70409999997</v>
      </c>
      <c r="J50" s="13">
        <f>SUM(J38:J49)</f>
        <v>441694.63489999995</v>
      </c>
      <c r="K50" s="13">
        <f>SUM(K38:K49)</f>
        <v>591375.92300000007</v>
      </c>
      <c r="L50" s="13">
        <f>SUM(L38:L49)</f>
        <v>694405.08660000004</v>
      </c>
      <c r="M50" s="13">
        <f>SUM(M38:M49)</f>
        <v>508803.36830000009</v>
      </c>
      <c r="N50" s="119">
        <f>N5</f>
        <v>450000</v>
      </c>
      <c r="O50" s="119">
        <f t="shared" ref="O50:AK50" si="65">O5</f>
        <v>400000</v>
      </c>
      <c r="P50" s="119">
        <f t="shared" si="65"/>
        <v>350000</v>
      </c>
      <c r="Q50" s="119">
        <f t="shared" si="65"/>
        <v>350000</v>
      </c>
      <c r="R50" s="119">
        <f t="shared" si="65"/>
        <v>300000</v>
      </c>
      <c r="S50" s="119">
        <f t="shared" si="65"/>
        <v>275000</v>
      </c>
      <c r="T50" s="119">
        <f t="shared" si="65"/>
        <v>250000</v>
      </c>
      <c r="U50" s="119">
        <f t="shared" si="65"/>
        <v>200000</v>
      </c>
      <c r="V50" s="119">
        <f t="shared" si="65"/>
        <v>200000</v>
      </c>
      <c r="W50" s="119">
        <f t="shared" si="65"/>
        <v>175000</v>
      </c>
      <c r="X50" s="119">
        <f t="shared" si="65"/>
        <v>175000</v>
      </c>
      <c r="Y50" s="119">
        <f t="shared" si="65"/>
        <v>150000</v>
      </c>
      <c r="Z50" s="119">
        <f t="shared" si="65"/>
        <v>150000</v>
      </c>
      <c r="AA50" s="119">
        <f t="shared" si="65"/>
        <v>150000</v>
      </c>
      <c r="AB50" s="119">
        <f t="shared" si="65"/>
        <v>125000</v>
      </c>
      <c r="AC50" s="119">
        <f t="shared" si="65"/>
        <v>125000</v>
      </c>
      <c r="AD50" s="119">
        <f t="shared" si="65"/>
        <v>125000</v>
      </c>
      <c r="AE50" s="119">
        <f t="shared" si="65"/>
        <v>125000</v>
      </c>
      <c r="AF50" s="119">
        <f t="shared" si="65"/>
        <v>125000</v>
      </c>
      <c r="AG50" s="119">
        <f t="shared" si="65"/>
        <v>125000</v>
      </c>
      <c r="AH50" s="119">
        <f t="shared" si="65"/>
        <v>100000</v>
      </c>
      <c r="AI50" s="119">
        <f t="shared" si="65"/>
        <v>100000</v>
      </c>
      <c r="AJ50" s="119">
        <f t="shared" si="65"/>
        <v>100000</v>
      </c>
      <c r="AK50" s="119">
        <f t="shared" si="65"/>
        <v>100000</v>
      </c>
      <c r="AL50" s="119">
        <f>AL5</f>
        <v>100000</v>
      </c>
      <c r="AM50" s="119">
        <f>AM5</f>
        <v>100000</v>
      </c>
    </row>
    <row r="51" spans="1:59">
      <c r="A51" s="199"/>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P51" s="174"/>
      <c r="AQ51" s="174"/>
      <c r="AR51" s="174"/>
      <c r="AS51" s="174"/>
      <c r="AT51" s="174"/>
      <c r="AU51" s="174"/>
      <c r="AV51" s="174"/>
      <c r="AW51" s="174"/>
      <c r="AX51" s="174"/>
      <c r="AY51" s="174"/>
      <c r="AZ51" s="174"/>
      <c r="BA51" s="174"/>
      <c r="BB51" s="174"/>
      <c r="BC51" s="174"/>
      <c r="BD51" s="174"/>
      <c r="BE51" s="174"/>
      <c r="BF51" s="174"/>
    </row>
    <row r="52" spans="1:59" ht="12" thickBot="1">
      <c r="A52" s="138" t="s">
        <v>143</v>
      </c>
      <c r="B52" s="138"/>
      <c r="C52" s="138"/>
      <c r="D52" s="138"/>
      <c r="E52" s="138"/>
      <c r="F52" s="138"/>
      <c r="G52" s="138"/>
      <c r="H52" s="138"/>
      <c r="AP52" s="175" t="s">
        <v>65</v>
      </c>
      <c r="AQ52" s="175"/>
      <c r="AR52" s="175"/>
      <c r="AS52" s="175"/>
      <c r="AT52" s="175"/>
      <c r="AU52" s="174"/>
      <c r="AV52" s="174"/>
      <c r="AW52" s="174"/>
      <c r="AX52" s="174"/>
      <c r="AY52" s="174"/>
      <c r="AZ52" s="174"/>
      <c r="BA52" s="174"/>
      <c r="BB52" s="174"/>
      <c r="BC52" s="174"/>
      <c r="BD52" s="174"/>
      <c r="BE52" s="174"/>
      <c r="BF52" s="174"/>
    </row>
    <row r="53" spans="1:59" ht="12" thickBot="1">
      <c r="A53" s="176"/>
      <c r="B53" s="176"/>
      <c r="C53" s="176"/>
      <c r="D53" s="176"/>
      <c r="E53" s="176"/>
      <c r="F53" s="176"/>
      <c r="G53" s="176"/>
      <c r="H53" s="176"/>
      <c r="I53" s="177">
        <f t="shared" ref="I53:AK53" si="66">I2</f>
        <v>2020</v>
      </c>
      <c r="J53" s="177">
        <f t="shared" si="66"/>
        <v>2021</v>
      </c>
      <c r="K53" s="177">
        <f t="shared" si="66"/>
        <v>2022</v>
      </c>
      <c r="L53" s="177">
        <f t="shared" si="66"/>
        <v>2023</v>
      </c>
      <c r="M53" s="177">
        <f t="shared" si="66"/>
        <v>2024</v>
      </c>
      <c r="N53" s="177">
        <f t="shared" si="66"/>
        <v>2025</v>
      </c>
      <c r="O53" s="177">
        <f t="shared" si="66"/>
        <v>2026</v>
      </c>
      <c r="P53" s="177">
        <f t="shared" si="66"/>
        <v>2027</v>
      </c>
      <c r="Q53" s="177">
        <f t="shared" si="66"/>
        <v>2028</v>
      </c>
      <c r="R53" s="177">
        <f t="shared" si="66"/>
        <v>2029</v>
      </c>
      <c r="S53" s="177">
        <f t="shared" si="66"/>
        <v>2030</v>
      </c>
      <c r="T53" s="177">
        <f t="shared" si="66"/>
        <v>2031</v>
      </c>
      <c r="U53" s="177">
        <f t="shared" si="66"/>
        <v>2032</v>
      </c>
      <c r="V53" s="177">
        <f t="shared" si="66"/>
        <v>2033</v>
      </c>
      <c r="W53" s="177">
        <f t="shared" si="66"/>
        <v>2034</v>
      </c>
      <c r="X53" s="177">
        <f t="shared" si="66"/>
        <v>2035</v>
      </c>
      <c r="Y53" s="177">
        <f t="shared" si="66"/>
        <v>2036</v>
      </c>
      <c r="Z53" s="177">
        <f t="shared" si="66"/>
        <v>2037</v>
      </c>
      <c r="AA53" s="177">
        <f t="shared" si="66"/>
        <v>2038</v>
      </c>
      <c r="AB53" s="177">
        <f t="shared" si="66"/>
        <v>2039</v>
      </c>
      <c r="AC53" s="177">
        <f t="shared" si="66"/>
        <v>2040</v>
      </c>
      <c r="AD53" s="177">
        <f t="shared" si="66"/>
        <v>2041</v>
      </c>
      <c r="AE53" s="177">
        <f t="shared" si="66"/>
        <v>2042</v>
      </c>
      <c r="AF53" s="177">
        <f t="shared" si="66"/>
        <v>2043</v>
      </c>
      <c r="AG53" s="177">
        <f t="shared" si="66"/>
        <v>2044</v>
      </c>
      <c r="AH53" s="177">
        <f t="shared" si="66"/>
        <v>2045</v>
      </c>
      <c r="AI53" s="177">
        <f t="shared" si="66"/>
        <v>2046</v>
      </c>
      <c r="AJ53" s="177">
        <f t="shared" si="66"/>
        <v>2047</v>
      </c>
      <c r="AK53" s="177">
        <f t="shared" si="66"/>
        <v>2048</v>
      </c>
      <c r="AL53" s="177">
        <f>AL2</f>
        <v>2049</v>
      </c>
      <c r="AM53" s="177">
        <f>AM2</f>
        <v>2050</v>
      </c>
      <c r="AP53" s="174"/>
      <c r="AQ53" s="178">
        <v>2019</v>
      </c>
      <c r="AR53" s="178">
        <v>2020</v>
      </c>
      <c r="AS53" s="178">
        <v>2021</v>
      </c>
      <c r="AT53" s="178">
        <v>2022</v>
      </c>
      <c r="AU53" s="178">
        <v>2023</v>
      </c>
      <c r="AV53" s="178">
        <v>2024</v>
      </c>
      <c r="AW53" s="201">
        <v>2024</v>
      </c>
      <c r="AX53" s="202">
        <v>2025</v>
      </c>
      <c r="AY53" s="202">
        <v>2026</v>
      </c>
      <c r="AZ53" s="202">
        <v>2027</v>
      </c>
      <c r="BA53" s="202">
        <v>2028</v>
      </c>
      <c r="BB53" s="202">
        <v>2029</v>
      </c>
      <c r="BC53" s="202">
        <v>2030</v>
      </c>
      <c r="BD53" s="202">
        <v>2031</v>
      </c>
      <c r="BE53" s="202">
        <v>2032</v>
      </c>
      <c r="BF53" s="203">
        <v>2033</v>
      </c>
    </row>
    <row r="54" spans="1:59">
      <c r="A54" s="138" t="s">
        <v>129</v>
      </c>
      <c r="B54" s="138"/>
      <c r="C54" s="138"/>
      <c r="D54" s="138"/>
      <c r="E54" s="138"/>
      <c r="F54" s="138"/>
      <c r="G54" s="138"/>
      <c r="H54" s="138"/>
      <c r="I54" s="13">
        <f>I144*$I$122</f>
        <v>23133.190900000001</v>
      </c>
      <c r="J54" s="13">
        <f t="shared" ref="I54:M65" si="67">J144*$I$122</f>
        <v>25135.379199999999</v>
      </c>
      <c r="K54" s="13">
        <f t="shared" si="67"/>
        <v>20600.934400000002</v>
      </c>
      <c r="L54" s="13">
        <f t="shared" si="67"/>
        <v>29690.816800000001</v>
      </c>
      <c r="M54" s="13">
        <f t="shared" si="67"/>
        <v>31555.677200000002</v>
      </c>
      <c r="N54" s="118">
        <f>N$66*(SUM(I54:M54)/SUM(I$66:M$66))</f>
        <v>28694.894420693268</v>
      </c>
      <c r="O54" s="119">
        <f t="shared" ref="O54:Y64" si="68">O$66*(SUM(J54:N54)/SUM(J$66:N$66))</f>
        <v>30544.35479661862</v>
      </c>
      <c r="P54" s="119">
        <f t="shared" si="68"/>
        <v>33160.342048735416</v>
      </c>
      <c r="Q54" s="119">
        <f t="shared" si="68"/>
        <v>35182.169497187351</v>
      </c>
      <c r="R54" s="119">
        <f t="shared" si="68"/>
        <v>34145.474208578707</v>
      </c>
      <c r="S54" s="119">
        <f t="shared" si="68"/>
        <v>34775.151932906345</v>
      </c>
      <c r="T54" s="119">
        <f t="shared" si="68"/>
        <v>34918.596800401683</v>
      </c>
      <c r="U54" s="119">
        <f t="shared" si="68"/>
        <v>34894.480115711289</v>
      </c>
      <c r="V54" s="119">
        <f t="shared" si="68"/>
        <v>35241.853735277386</v>
      </c>
      <c r="W54" s="119">
        <f t="shared" si="68"/>
        <v>35452.199539698806</v>
      </c>
      <c r="X54" s="119">
        <f t="shared" si="68"/>
        <v>35849.726979233194</v>
      </c>
      <c r="Y54" s="119">
        <f t="shared" si="68"/>
        <v>35805.786152762426</v>
      </c>
      <c r="Z54" s="119">
        <f t="shared" ref="Z54:Z64" si="69">Z$66*(SUM(U54:Y54)/SUM(U$66:Y$66))</f>
        <v>35815.363127590856</v>
      </c>
      <c r="AA54" s="119">
        <f t="shared" ref="AA54:AM64" si="70">AA$66*(SUM(V54:Z54)/SUM(V$66:Z$66))</f>
        <v>35816.267446082253</v>
      </c>
      <c r="AB54" s="119">
        <f t="shared" si="70"/>
        <v>35503.543190557844</v>
      </c>
      <c r="AC54" s="119">
        <f t="shared" si="70"/>
        <v>35498.57788503218</v>
      </c>
      <c r="AD54" s="119">
        <f t="shared" si="70"/>
        <v>35504.657714138593</v>
      </c>
      <c r="AE54" s="119">
        <f t="shared" si="70"/>
        <v>35505.512367759024</v>
      </c>
      <c r="AF54" s="119">
        <f t="shared" si="70"/>
        <v>35504.628488905102</v>
      </c>
      <c r="AG54" s="119">
        <f t="shared" si="70"/>
        <v>35503.383929278556</v>
      </c>
      <c r="AH54" s="119">
        <f t="shared" si="70"/>
        <v>35197.946897865506</v>
      </c>
      <c r="AI54" s="119">
        <f t="shared" si="70"/>
        <v>35198.89515400838</v>
      </c>
      <c r="AJ54" s="119">
        <f t="shared" si="70"/>
        <v>35198.825685038173</v>
      </c>
      <c r="AK54" s="119">
        <f t="shared" si="70"/>
        <v>35198.571790531394</v>
      </c>
      <c r="AL54" s="119">
        <f t="shared" si="70"/>
        <v>35198.442794954026</v>
      </c>
      <c r="AM54" s="119">
        <f t="shared" si="70"/>
        <v>35198.53646447949</v>
      </c>
      <c r="AP54" s="179" t="s">
        <v>213</v>
      </c>
      <c r="AQ54" s="180">
        <f t="shared" ref="AQ54:AV54" si="71">SUM(H54:H56)</f>
        <v>0</v>
      </c>
      <c r="AR54" s="180">
        <f t="shared" si="71"/>
        <v>72649.083200000008</v>
      </c>
      <c r="AS54" s="180">
        <f t="shared" si="71"/>
        <v>79063.258300000001</v>
      </c>
      <c r="AT54" s="180">
        <f t="shared" si="71"/>
        <v>58172.798200000005</v>
      </c>
      <c r="AU54" s="180">
        <f t="shared" si="71"/>
        <v>96203.87950000001</v>
      </c>
      <c r="AV54" s="180">
        <f t="shared" si="71"/>
        <v>96049.9323</v>
      </c>
      <c r="AW54" s="204">
        <f t="shared" ref="AW54:BF54" si="72">SUM(N57:N59)</f>
        <v>93967.749749902403</v>
      </c>
      <c r="AX54" s="183">
        <f t="shared" si="72"/>
        <v>97207.430992844893</v>
      </c>
      <c r="AY54" s="183">
        <f t="shared" si="72"/>
        <v>105602.78132041838</v>
      </c>
      <c r="AZ54" s="183">
        <f t="shared" si="72"/>
        <v>111979.61537136385</v>
      </c>
      <c r="BA54" s="183">
        <f t="shared" si="72"/>
        <v>107637.15850341295</v>
      </c>
      <c r="BB54" s="183">
        <f t="shared" si="72"/>
        <v>111036.99016881581</v>
      </c>
      <c r="BC54" s="183">
        <f t="shared" si="72"/>
        <v>111007.04278575192</v>
      </c>
      <c r="BD54" s="183">
        <f t="shared" si="72"/>
        <v>110908.85134565039</v>
      </c>
      <c r="BE54" s="183">
        <f t="shared" si="72"/>
        <v>111971.25820600995</v>
      </c>
      <c r="BF54" s="205">
        <f t="shared" si="72"/>
        <v>112599.22866423955</v>
      </c>
    </row>
    <row r="55" spans="1:59">
      <c r="A55" s="138" t="s">
        <v>130</v>
      </c>
      <c r="B55" s="138"/>
      <c r="C55" s="138"/>
      <c r="D55" s="138"/>
      <c r="E55" s="138"/>
      <c r="F55" s="138"/>
      <c r="G55" s="138"/>
      <c r="H55" s="138"/>
      <c r="I55" s="13">
        <f t="shared" si="67"/>
        <v>25572.729200000002</v>
      </c>
      <c r="J55" s="13">
        <f t="shared" si="67"/>
        <v>24907.0825</v>
      </c>
      <c r="K55" s="13">
        <f t="shared" si="67"/>
        <v>15743.7253</v>
      </c>
      <c r="L55" s="13">
        <f t="shared" si="67"/>
        <v>30851.543700000002</v>
      </c>
      <c r="M55" s="13">
        <f t="shared" si="67"/>
        <v>31654.5183</v>
      </c>
      <c r="N55" s="118">
        <f t="shared" ref="N55:N64" si="73">N$66*(SUM(I55:M55)/SUM(I$66:M$66))</f>
        <v>28389.147335507572</v>
      </c>
      <c r="O55" s="119">
        <f t="shared" si="68"/>
        <v>29614.211912700299</v>
      </c>
      <c r="P55" s="119">
        <f t="shared" si="68"/>
        <v>32024.291882543032</v>
      </c>
      <c r="Q55" s="119">
        <f t="shared" si="68"/>
        <v>34927.456434110085</v>
      </c>
      <c r="R55" s="119">
        <f t="shared" si="68"/>
        <v>33603.091825690957</v>
      </c>
      <c r="S55" s="119">
        <f t="shared" si="68"/>
        <v>34093.73489242854</v>
      </c>
      <c r="T55" s="119">
        <f t="shared" si="68"/>
        <v>34180.988833231531</v>
      </c>
      <c r="U55" s="119">
        <f t="shared" si="68"/>
        <v>34215.126690766243</v>
      </c>
      <c r="V55" s="119">
        <f t="shared" si="68"/>
        <v>34655.122544941019</v>
      </c>
      <c r="W55" s="119">
        <f t="shared" si="68"/>
        <v>34794.511225821276</v>
      </c>
      <c r="X55" s="119">
        <f t="shared" si="68"/>
        <v>35166.038976492018</v>
      </c>
      <c r="Y55" s="119">
        <f t="shared" si="68"/>
        <v>35126.635800526936</v>
      </c>
      <c r="Z55" s="119">
        <f t="shared" si="69"/>
        <v>35151.243915070569</v>
      </c>
      <c r="AA55" s="119">
        <f t="shared" si="70"/>
        <v>35158.626705991213</v>
      </c>
      <c r="AB55" s="119">
        <f t="shared" si="70"/>
        <v>34839.654562201809</v>
      </c>
      <c r="AC55" s="119">
        <f t="shared" si="70"/>
        <v>34833.741665897265</v>
      </c>
      <c r="AD55" s="119">
        <f t="shared" si="70"/>
        <v>34842.150077922473</v>
      </c>
      <c r="AE55" s="119">
        <f t="shared" si="70"/>
        <v>34845.185971321785</v>
      </c>
      <c r="AF55" s="119">
        <f t="shared" si="70"/>
        <v>34843.925258587624</v>
      </c>
      <c r="AG55" s="119">
        <f t="shared" si="70"/>
        <v>34840.9315071862</v>
      </c>
      <c r="AH55" s="119">
        <f t="shared" si="70"/>
        <v>34541.47776159225</v>
      </c>
      <c r="AI55" s="119">
        <f t="shared" si="70"/>
        <v>34542.956542790766</v>
      </c>
      <c r="AJ55" s="119">
        <f t="shared" si="70"/>
        <v>34543.061681537183</v>
      </c>
      <c r="AK55" s="119">
        <f t="shared" si="70"/>
        <v>34542.583060324665</v>
      </c>
      <c r="AL55" s="119">
        <f t="shared" si="70"/>
        <v>34542.258928164454</v>
      </c>
      <c r="AM55" s="119">
        <f t="shared" si="70"/>
        <v>34542.467594881862</v>
      </c>
      <c r="AP55" s="181" t="s">
        <v>214</v>
      </c>
      <c r="AQ55" s="180">
        <f t="shared" ref="AQ55:AV55" si="74">SUM(H57:H59)</f>
        <v>0</v>
      </c>
      <c r="AR55" s="180">
        <f t="shared" si="74"/>
        <v>88266.851699999999</v>
      </c>
      <c r="AS55" s="180">
        <f t="shared" si="74"/>
        <v>79695.666400000002</v>
      </c>
      <c r="AT55" s="180">
        <f t="shared" si="74"/>
        <v>65876.281100000007</v>
      </c>
      <c r="AU55" s="180">
        <f t="shared" si="74"/>
        <v>99361.546499999997</v>
      </c>
      <c r="AV55" s="180">
        <f t="shared" si="74"/>
        <v>92893.140000000014</v>
      </c>
      <c r="AW55" s="206">
        <f t="shared" ref="AW55:BF55" si="75">SUM(N60:N62)</f>
        <v>99532.346700282156</v>
      </c>
      <c r="AX55" s="207">
        <f t="shared" si="75"/>
        <v>102447.12101648583</v>
      </c>
      <c r="AY55" s="207">
        <f t="shared" si="75"/>
        <v>109815.22298870778</v>
      </c>
      <c r="AZ55" s="207">
        <f t="shared" si="75"/>
        <v>116020.64780664365</v>
      </c>
      <c r="BA55" s="207">
        <f t="shared" si="75"/>
        <v>111852.61415035141</v>
      </c>
      <c r="BB55" s="207">
        <f t="shared" si="75"/>
        <v>116041.27808423081</v>
      </c>
      <c r="BC55" s="207">
        <f t="shared" si="75"/>
        <v>115733.30890198098</v>
      </c>
      <c r="BD55" s="207">
        <f t="shared" si="75"/>
        <v>115407.81546469402</v>
      </c>
      <c r="BE55" s="207">
        <f t="shared" si="75"/>
        <v>116527.76320529333</v>
      </c>
      <c r="BF55" s="208">
        <f t="shared" si="75"/>
        <v>117286.39869575732</v>
      </c>
    </row>
    <row r="56" spans="1:59">
      <c r="A56" s="138" t="s">
        <v>131</v>
      </c>
      <c r="B56" s="138"/>
      <c r="C56" s="138"/>
      <c r="D56" s="138"/>
      <c r="E56" s="138"/>
      <c r="F56" s="138"/>
      <c r="G56" s="138"/>
      <c r="H56" s="138"/>
      <c r="I56" s="13">
        <f t="shared" si="67"/>
        <v>23943.163100000002</v>
      </c>
      <c r="J56" s="13">
        <f t="shared" si="67"/>
        <v>29020.796600000001</v>
      </c>
      <c r="K56" s="13">
        <f t="shared" si="67"/>
        <v>21828.138500000001</v>
      </c>
      <c r="L56" s="13">
        <f t="shared" si="67"/>
        <v>35661.519</v>
      </c>
      <c r="M56" s="13">
        <f t="shared" si="67"/>
        <v>32839.736799999999</v>
      </c>
      <c r="N56" s="119">
        <f t="shared" si="73"/>
        <v>31600.938482726437</v>
      </c>
      <c r="O56" s="119">
        <f t="shared" si="68"/>
        <v>33982.775239759467</v>
      </c>
      <c r="P56" s="119">
        <f t="shared" si="68"/>
        <v>36645.075773424207</v>
      </c>
      <c r="Q56" s="119">
        <f t="shared" si="68"/>
        <v>39094.086786931854</v>
      </c>
      <c r="R56" s="119">
        <f t="shared" si="68"/>
        <v>37369.365054706686</v>
      </c>
      <c r="S56" s="119">
        <f t="shared" si="68"/>
        <v>38423.02654112548</v>
      </c>
      <c r="T56" s="119">
        <f t="shared" si="68"/>
        <v>38603.163499929142</v>
      </c>
      <c r="U56" s="119">
        <f t="shared" si="68"/>
        <v>38532.845219000279</v>
      </c>
      <c r="V56" s="119">
        <f t="shared" si="68"/>
        <v>38910.930353354146</v>
      </c>
      <c r="W56" s="119">
        <f t="shared" si="68"/>
        <v>39092.423992097363</v>
      </c>
      <c r="X56" s="119">
        <f t="shared" si="68"/>
        <v>39588.47829181375</v>
      </c>
      <c r="Y56" s="119">
        <f t="shared" si="68"/>
        <v>39535.652638984982</v>
      </c>
      <c r="Z56" s="119">
        <f t="shared" si="69"/>
        <v>39536.706162116549</v>
      </c>
      <c r="AA56" s="119">
        <f t="shared" si="70"/>
        <v>39535.150357734259</v>
      </c>
      <c r="AB56" s="119">
        <f t="shared" si="70"/>
        <v>39188.001418572116</v>
      </c>
      <c r="AC56" s="119">
        <f t="shared" si="70"/>
        <v>39190.245441583298</v>
      </c>
      <c r="AD56" s="119">
        <f t="shared" si="70"/>
        <v>39194.855177077843</v>
      </c>
      <c r="AE56" s="119">
        <f t="shared" si="70"/>
        <v>39194.130188188639</v>
      </c>
      <c r="AF56" s="119">
        <f t="shared" si="70"/>
        <v>39193.047617504337</v>
      </c>
      <c r="AG56" s="119">
        <f t="shared" si="70"/>
        <v>39192.05596858525</v>
      </c>
      <c r="AH56" s="119">
        <f t="shared" si="70"/>
        <v>38855.723937696799</v>
      </c>
      <c r="AI56" s="119">
        <f t="shared" si="70"/>
        <v>38856.244610880385</v>
      </c>
      <c r="AJ56" s="119">
        <f t="shared" si="70"/>
        <v>38855.953504892685</v>
      </c>
      <c r="AK56" s="119">
        <f t="shared" si="70"/>
        <v>38855.747868498453</v>
      </c>
      <c r="AL56" s="119">
        <f t="shared" si="70"/>
        <v>38855.716602661407</v>
      </c>
      <c r="AM56" s="119">
        <f t="shared" si="70"/>
        <v>38855.877304925947</v>
      </c>
      <c r="AP56" s="179" t="s">
        <v>215</v>
      </c>
      <c r="AQ56" s="180">
        <f t="shared" ref="AQ56:AV56" si="76">SUM(H60:H62)</f>
        <v>0</v>
      </c>
      <c r="AR56" s="180">
        <f t="shared" si="76"/>
        <v>95789.271699999998</v>
      </c>
      <c r="AS56" s="180">
        <f t="shared" si="76"/>
        <v>90287.4087</v>
      </c>
      <c r="AT56" s="180">
        <f t="shared" si="76"/>
        <v>70363.492100000003</v>
      </c>
      <c r="AU56" s="180">
        <f t="shared" si="76"/>
        <v>101403.97100000001</v>
      </c>
      <c r="AV56" s="180">
        <f t="shared" si="76"/>
        <v>93481.813099999999</v>
      </c>
      <c r="AW56" s="204">
        <f t="shared" ref="AW56:BF56" si="77">SUM(N63:N65)</f>
        <v>104814.92331088817</v>
      </c>
      <c r="AX56" s="183">
        <f t="shared" si="77"/>
        <v>110204.10604159092</v>
      </c>
      <c r="AY56" s="183">
        <f t="shared" si="77"/>
        <v>119752.28598617112</v>
      </c>
      <c r="AZ56" s="183">
        <f t="shared" si="77"/>
        <v>121796.02410376322</v>
      </c>
      <c r="BA56" s="183">
        <f t="shared" si="77"/>
        <v>118392.29625725928</v>
      </c>
      <c r="BB56" s="183">
        <f t="shared" si="77"/>
        <v>123629.81838049294</v>
      </c>
      <c r="BC56" s="183">
        <f t="shared" si="77"/>
        <v>123556.89917870471</v>
      </c>
      <c r="BD56" s="183">
        <f t="shared" si="77"/>
        <v>123040.88116417776</v>
      </c>
      <c r="BE56" s="183">
        <f t="shared" si="77"/>
        <v>123693.07195512409</v>
      </c>
      <c r="BF56" s="205">
        <f t="shared" si="77"/>
        <v>124775.23788238566</v>
      </c>
    </row>
    <row r="57" spans="1:59">
      <c r="A57" s="138" t="s">
        <v>132</v>
      </c>
      <c r="B57" s="138"/>
      <c r="C57" s="138"/>
      <c r="D57" s="138"/>
      <c r="E57" s="138"/>
      <c r="F57" s="138"/>
      <c r="G57" s="138"/>
      <c r="H57" s="138"/>
      <c r="I57" s="13">
        <f t="shared" si="67"/>
        <v>28147.846000000001</v>
      </c>
      <c r="J57" s="13">
        <f t="shared" si="67"/>
        <v>27858.320299999999</v>
      </c>
      <c r="K57" s="13">
        <f t="shared" si="67"/>
        <v>23529.43</v>
      </c>
      <c r="L57" s="13">
        <f t="shared" si="67"/>
        <v>30094.928200000002</v>
      </c>
      <c r="M57" s="13">
        <f t="shared" si="67"/>
        <v>33360.183300000004</v>
      </c>
      <c r="N57" s="119">
        <f t="shared" si="73"/>
        <v>31534.194954982431</v>
      </c>
      <c r="O57" s="119">
        <f t="shared" si="68"/>
        <v>32953.040101807281</v>
      </c>
      <c r="P57" s="119">
        <f t="shared" si="68"/>
        <v>35601.206337687872</v>
      </c>
      <c r="Q57" s="119">
        <f t="shared" si="68"/>
        <v>37448.51024445342</v>
      </c>
      <c r="R57" s="119">
        <f t="shared" si="68"/>
        <v>36668.704662226628</v>
      </c>
      <c r="S57" s="119">
        <f t="shared" si="68"/>
        <v>37458.305439403848</v>
      </c>
      <c r="T57" s="119">
        <f t="shared" si="68"/>
        <v>37482.704765013725</v>
      </c>
      <c r="U57" s="119">
        <f t="shared" si="68"/>
        <v>37423.219588512176</v>
      </c>
      <c r="V57" s="119">
        <f t="shared" si="68"/>
        <v>37788.108134734117</v>
      </c>
      <c r="W57" s="119">
        <f t="shared" si="68"/>
        <v>38069.812807074741</v>
      </c>
      <c r="X57" s="119">
        <f t="shared" si="68"/>
        <v>38496.262334781182</v>
      </c>
      <c r="Y57" s="119">
        <f t="shared" si="68"/>
        <v>38425.537003690202</v>
      </c>
      <c r="Z57" s="119">
        <f t="shared" si="69"/>
        <v>38433.941748584082</v>
      </c>
      <c r="AA57" s="119">
        <f t="shared" si="70"/>
        <v>38439.437416004017</v>
      </c>
      <c r="AB57" s="119">
        <f t="shared" si="70"/>
        <v>38110.73086681436</v>
      </c>
      <c r="AC57" s="119">
        <f t="shared" si="70"/>
        <v>38102.582347135496</v>
      </c>
      <c r="AD57" s="119">
        <f t="shared" si="70"/>
        <v>38105.770929711638</v>
      </c>
      <c r="AE57" s="119">
        <f t="shared" si="70"/>
        <v>38107.370526504958</v>
      </c>
      <c r="AF57" s="119">
        <f t="shared" si="70"/>
        <v>38107.616925748938</v>
      </c>
      <c r="AG57" s="119">
        <f t="shared" si="70"/>
        <v>38106.814319183075</v>
      </c>
      <c r="AH57" s="119">
        <f t="shared" si="70"/>
        <v>37778.237194519985</v>
      </c>
      <c r="AI57" s="119">
        <f t="shared" si="70"/>
        <v>37778.922172297811</v>
      </c>
      <c r="AJ57" s="119">
        <f t="shared" si="70"/>
        <v>37779.111387455952</v>
      </c>
      <c r="AK57" s="119">
        <f t="shared" si="70"/>
        <v>37779.020156348401</v>
      </c>
      <c r="AL57" s="119">
        <f t="shared" si="70"/>
        <v>37778.861200060725</v>
      </c>
      <c r="AM57" s="119">
        <f t="shared" si="70"/>
        <v>37778.830422136583</v>
      </c>
      <c r="AP57" s="181" t="s">
        <v>216</v>
      </c>
      <c r="AQ57" s="180">
        <f t="shared" ref="AQ57:AV57" si="78">SUM(H63:H65)</f>
        <v>0</v>
      </c>
      <c r="AR57" s="180">
        <f t="shared" si="78"/>
        <v>90569.06210000001</v>
      </c>
      <c r="AS57" s="180">
        <f t="shared" si="78"/>
        <v>90221.806200000006</v>
      </c>
      <c r="AT57" s="180">
        <f t="shared" si="78"/>
        <v>97357.608799999987</v>
      </c>
      <c r="AU57" s="180">
        <f t="shared" si="78"/>
        <v>101922.66810000001</v>
      </c>
      <c r="AV57" s="180">
        <f t="shared" si="78"/>
        <v>95208.4709</v>
      </c>
      <c r="AW57" s="209">
        <f t="shared" ref="AW57:BF57" si="79">SUM(O54:O56)</f>
        <v>94141.341949078385</v>
      </c>
      <c r="AX57" s="210">
        <f t="shared" si="79"/>
        <v>101829.70970470266</v>
      </c>
      <c r="AY57" s="210">
        <f t="shared" si="79"/>
        <v>109203.71271822928</v>
      </c>
      <c r="AZ57" s="210">
        <f t="shared" si="79"/>
        <v>105117.93108897636</v>
      </c>
      <c r="BA57" s="210">
        <f t="shared" si="79"/>
        <v>107291.91336646037</v>
      </c>
      <c r="BB57" s="210">
        <f t="shared" si="79"/>
        <v>107702.74913356236</v>
      </c>
      <c r="BC57" s="210">
        <f t="shared" si="79"/>
        <v>107642.4520254778</v>
      </c>
      <c r="BD57" s="210">
        <f t="shared" si="79"/>
        <v>108807.90663357254</v>
      </c>
      <c r="BE57" s="210">
        <f t="shared" si="79"/>
        <v>109339.13475761744</v>
      </c>
      <c r="BF57" s="211">
        <f t="shared" si="79"/>
        <v>110604.24424753897</v>
      </c>
    </row>
    <row r="58" spans="1:59" ht="12" thickBot="1">
      <c r="A58" s="138" t="s">
        <v>133</v>
      </c>
      <c r="B58" s="138"/>
      <c r="C58" s="138"/>
      <c r="D58" s="138"/>
      <c r="E58" s="138"/>
      <c r="F58" s="138"/>
      <c r="G58" s="138"/>
      <c r="H58" s="138"/>
      <c r="I58" s="13">
        <f t="shared" si="67"/>
        <v>31843.4535</v>
      </c>
      <c r="J58" s="13">
        <f t="shared" si="67"/>
        <v>25368.9241</v>
      </c>
      <c r="K58" s="13">
        <f t="shared" si="67"/>
        <v>20444.363100000002</v>
      </c>
      <c r="L58" s="13">
        <f t="shared" si="67"/>
        <v>32554.584600000002</v>
      </c>
      <c r="M58" s="13">
        <f t="shared" si="67"/>
        <v>27044.849300000002</v>
      </c>
      <c r="N58" s="119">
        <f t="shared" si="73"/>
        <v>30269.540134491926</v>
      </c>
      <c r="O58" s="119">
        <f t="shared" si="68"/>
        <v>30545.381186672297</v>
      </c>
      <c r="P58" s="119">
        <f t="shared" si="68"/>
        <v>33106.763579378094</v>
      </c>
      <c r="Q58" s="119">
        <f t="shared" si="68"/>
        <v>35153.554440947897</v>
      </c>
      <c r="R58" s="119">
        <f t="shared" si="68"/>
        <v>33498.053810446494</v>
      </c>
      <c r="S58" s="119">
        <f t="shared" si="68"/>
        <v>34957.074302153531</v>
      </c>
      <c r="T58" s="119">
        <f t="shared" si="68"/>
        <v>34804.842758916864</v>
      </c>
      <c r="U58" s="119">
        <f t="shared" si="68"/>
        <v>34760.431052581909</v>
      </c>
      <c r="V58" s="119">
        <f t="shared" si="68"/>
        <v>35091.513795290775</v>
      </c>
      <c r="W58" s="119">
        <f t="shared" si="68"/>
        <v>35276.209439524268</v>
      </c>
      <c r="X58" s="119">
        <f t="shared" si="68"/>
        <v>35769.509805822301</v>
      </c>
      <c r="Y58" s="119">
        <f t="shared" si="68"/>
        <v>35672.933209373099</v>
      </c>
      <c r="Z58" s="119">
        <f t="shared" si="69"/>
        <v>35679.280540678941</v>
      </c>
      <c r="AA58" s="119">
        <f t="shared" si="70"/>
        <v>35680.476015787957</v>
      </c>
      <c r="AB58" s="119">
        <f t="shared" si="70"/>
        <v>35372.259799317282</v>
      </c>
      <c r="AC58" s="119">
        <f t="shared" si="70"/>
        <v>35376.226988687238</v>
      </c>
      <c r="AD58" s="119">
        <f t="shared" si="70"/>
        <v>35373.661573614758</v>
      </c>
      <c r="AE58" s="119">
        <f t="shared" si="70"/>
        <v>35374.661717492527</v>
      </c>
      <c r="AF58" s="119">
        <f t="shared" si="70"/>
        <v>35374.597696061996</v>
      </c>
      <c r="AG58" s="119">
        <f t="shared" si="70"/>
        <v>35374.281555034759</v>
      </c>
      <c r="AH58" s="119">
        <f t="shared" si="70"/>
        <v>35070.387532791778</v>
      </c>
      <c r="AI58" s="119">
        <f t="shared" si="70"/>
        <v>35070.081441005197</v>
      </c>
      <c r="AJ58" s="119">
        <f t="shared" si="70"/>
        <v>35070.223816763086</v>
      </c>
      <c r="AK58" s="119">
        <f t="shared" si="70"/>
        <v>35070.195724688194</v>
      </c>
      <c r="AL58" s="119">
        <f t="shared" si="70"/>
        <v>35070.174708705264</v>
      </c>
      <c r="AM58" s="119">
        <f t="shared" si="70"/>
        <v>35070.212644790707</v>
      </c>
      <c r="AP58" s="182" t="s">
        <v>217</v>
      </c>
      <c r="AQ58" s="180">
        <f>SUM(AQ54:AQ57)</f>
        <v>0</v>
      </c>
      <c r="AR58" s="180">
        <f>SUM(AR54:AR57)</f>
        <v>347274.26870000002</v>
      </c>
      <c r="AS58" s="180">
        <f>SUM(AS54:AS57)</f>
        <v>339268.13959999999</v>
      </c>
      <c r="AT58" s="180">
        <f>SUM(AT54:AT57)</f>
        <v>291770.1802</v>
      </c>
      <c r="AU58" s="180">
        <f>SUM(AU54:AU57)</f>
        <v>398892.06510000001</v>
      </c>
      <c r="AV58" s="183">
        <f>SUM(AV54:AV56)</f>
        <v>282424.88540000003</v>
      </c>
      <c r="AW58" s="184">
        <f t="shared" ref="AW58:BF58" si="80">SUM(AW54:AW56)</f>
        <v>298315.0197610727</v>
      </c>
      <c r="AX58" s="185">
        <f t="shared" si="80"/>
        <v>309858.65805092163</v>
      </c>
      <c r="AY58" s="185">
        <f t="shared" si="80"/>
        <v>335170.29029529728</v>
      </c>
      <c r="AZ58" s="185">
        <f t="shared" si="80"/>
        <v>349796.28728177072</v>
      </c>
      <c r="BA58" s="185">
        <f t="shared" si="80"/>
        <v>337882.06891102361</v>
      </c>
      <c r="BB58" s="185">
        <f t="shared" si="80"/>
        <v>350708.08663353953</v>
      </c>
      <c r="BC58" s="185">
        <f t="shared" si="80"/>
        <v>350297.25086643762</v>
      </c>
      <c r="BD58" s="185">
        <f t="shared" si="80"/>
        <v>349357.54797452217</v>
      </c>
      <c r="BE58" s="185">
        <f t="shared" si="80"/>
        <v>352192.09336642735</v>
      </c>
      <c r="BF58" s="186">
        <f t="shared" si="80"/>
        <v>354660.86524238251</v>
      </c>
      <c r="BG58" s="187">
        <f>(BF58/AW58)^(1/10)-1</f>
        <v>1.745173083379159E-2</v>
      </c>
    </row>
    <row r="59" spans="1:59">
      <c r="A59" s="138" t="s">
        <v>134</v>
      </c>
      <c r="B59" s="138"/>
      <c r="C59" s="138"/>
      <c r="D59" s="138"/>
      <c r="E59" s="138"/>
      <c r="F59" s="138"/>
      <c r="G59" s="138"/>
      <c r="H59" s="138"/>
      <c r="I59" s="13">
        <f t="shared" si="67"/>
        <v>28275.552200000002</v>
      </c>
      <c r="J59" s="13">
        <f t="shared" si="67"/>
        <v>26468.422000000002</v>
      </c>
      <c r="K59" s="13">
        <f t="shared" si="67"/>
        <v>21902.488000000001</v>
      </c>
      <c r="L59" s="13">
        <f t="shared" si="67"/>
        <v>36712.0337</v>
      </c>
      <c r="M59" s="13">
        <f t="shared" si="67"/>
        <v>32488.107400000001</v>
      </c>
      <c r="N59" s="119">
        <f t="shared" si="73"/>
        <v>32164.014660428053</v>
      </c>
      <c r="O59" s="119">
        <f t="shared" si="68"/>
        <v>33709.009704365315</v>
      </c>
      <c r="P59" s="119">
        <f t="shared" si="68"/>
        <v>36894.811403352425</v>
      </c>
      <c r="Q59" s="119">
        <f t="shared" si="68"/>
        <v>39377.550685962531</v>
      </c>
      <c r="R59" s="119">
        <f t="shared" si="68"/>
        <v>37470.400030739824</v>
      </c>
      <c r="S59" s="119">
        <f t="shared" si="68"/>
        <v>38621.610427258434</v>
      </c>
      <c r="T59" s="119">
        <f t="shared" si="68"/>
        <v>38719.495261821336</v>
      </c>
      <c r="U59" s="119">
        <f t="shared" si="68"/>
        <v>38725.200704556315</v>
      </c>
      <c r="V59" s="119">
        <f t="shared" si="68"/>
        <v>39091.63627598506</v>
      </c>
      <c r="W59" s="119">
        <f t="shared" si="68"/>
        <v>39253.206417640533</v>
      </c>
      <c r="X59" s="119">
        <f t="shared" si="68"/>
        <v>39762.071397307649</v>
      </c>
      <c r="Y59" s="119">
        <f t="shared" si="68"/>
        <v>39702.902647999486</v>
      </c>
      <c r="Z59" s="119">
        <f t="shared" si="69"/>
        <v>39713.452469192744</v>
      </c>
      <c r="AA59" s="119">
        <f t="shared" si="70"/>
        <v>39707.849660784763</v>
      </c>
      <c r="AB59" s="119">
        <f t="shared" si="70"/>
        <v>39357.052287787359</v>
      </c>
      <c r="AC59" s="119">
        <f t="shared" si="70"/>
        <v>39360.865813547607</v>
      </c>
      <c r="AD59" s="119">
        <f t="shared" si="70"/>
        <v>39365.249096653846</v>
      </c>
      <c r="AE59" s="119">
        <f t="shared" si="70"/>
        <v>39365.442879341768</v>
      </c>
      <c r="AF59" s="119">
        <f t="shared" si="70"/>
        <v>39363.569677210668</v>
      </c>
      <c r="AG59" s="119">
        <f t="shared" si="70"/>
        <v>39362.43595090825</v>
      </c>
      <c r="AH59" s="119">
        <f t="shared" si="70"/>
        <v>39024.901821738604</v>
      </c>
      <c r="AI59" s="119">
        <f t="shared" si="70"/>
        <v>39025.427546453386</v>
      </c>
      <c r="AJ59" s="119">
        <f t="shared" si="70"/>
        <v>39025.187570425493</v>
      </c>
      <c r="AK59" s="119">
        <f t="shared" si="70"/>
        <v>39024.860312695841</v>
      </c>
      <c r="AL59" s="119">
        <f t="shared" si="70"/>
        <v>39024.840574371658</v>
      </c>
      <c r="AM59" s="119">
        <f t="shared" si="70"/>
        <v>39025.043565136999</v>
      </c>
      <c r="AP59" s="174"/>
      <c r="AQ59" s="174"/>
      <c r="AR59" s="174"/>
      <c r="AS59" s="174"/>
      <c r="AT59" s="174"/>
      <c r="AU59" s="174"/>
      <c r="AV59" s="174"/>
      <c r="AW59" s="174"/>
      <c r="AX59" s="174"/>
      <c r="AY59" s="174"/>
      <c r="AZ59" s="174"/>
      <c r="BA59" s="174"/>
      <c r="BB59" s="174"/>
      <c r="BC59" s="174"/>
      <c r="BD59" s="174"/>
      <c r="BE59" s="174"/>
      <c r="BF59" s="174"/>
    </row>
    <row r="60" spans="1:59">
      <c r="A60" s="138" t="s">
        <v>135</v>
      </c>
      <c r="B60" s="138"/>
      <c r="C60" s="138"/>
      <c r="D60" s="138"/>
      <c r="E60" s="138"/>
      <c r="F60" s="138"/>
      <c r="G60" s="138"/>
      <c r="H60" s="138"/>
      <c r="I60" s="13">
        <f t="shared" si="67"/>
        <v>34236.632700000002</v>
      </c>
      <c r="J60" s="13">
        <f t="shared" si="67"/>
        <v>30014.4558</v>
      </c>
      <c r="K60" s="13">
        <f t="shared" si="67"/>
        <v>23577.538500000002</v>
      </c>
      <c r="L60" s="13">
        <f t="shared" si="67"/>
        <v>38678.359300000004</v>
      </c>
      <c r="M60" s="13">
        <f>M150*$I$122</f>
        <v>37035.672700000003</v>
      </c>
      <c r="N60" s="119">
        <f t="shared" si="73"/>
        <v>36066.582029760488</v>
      </c>
      <c r="O60" s="119">
        <f t="shared" si="68"/>
        <v>37229.401347732542</v>
      </c>
      <c r="P60" s="119">
        <f t="shared" si="68"/>
        <v>40564.158264862133</v>
      </c>
      <c r="Q60" s="119">
        <f t="shared" si="68"/>
        <v>43409.050727362868</v>
      </c>
      <c r="R60" s="119">
        <f t="shared" si="68"/>
        <v>41691.206316719865</v>
      </c>
      <c r="S60" s="119">
        <f t="shared" si="68"/>
        <v>42781.156149478185</v>
      </c>
      <c r="T60" s="119">
        <f t="shared" si="68"/>
        <v>42798.33600418867</v>
      </c>
      <c r="U60" s="119">
        <f t="shared" si="68"/>
        <v>42810.849538986055</v>
      </c>
      <c r="V60" s="119">
        <f t="shared" si="68"/>
        <v>43261.17187588357</v>
      </c>
      <c r="W60" s="119">
        <f t="shared" si="68"/>
        <v>43474.317973982841</v>
      </c>
      <c r="X60" s="119">
        <f t="shared" si="68"/>
        <v>43998.755798513521</v>
      </c>
      <c r="Y60" s="119">
        <f t="shared" si="68"/>
        <v>43924.272393436855</v>
      </c>
      <c r="Z60" s="119">
        <f t="shared" si="69"/>
        <v>43943.616284100193</v>
      </c>
      <c r="AA60" s="119">
        <f t="shared" si="70"/>
        <v>43945.306900495096</v>
      </c>
      <c r="AB60" s="119">
        <f t="shared" si="70"/>
        <v>43557.503309694905</v>
      </c>
      <c r="AC60" s="119">
        <f t="shared" si="70"/>
        <v>43555.421190906003</v>
      </c>
      <c r="AD60" s="119">
        <f t="shared" si="70"/>
        <v>43560.396164554717</v>
      </c>
      <c r="AE60" s="119">
        <f t="shared" si="70"/>
        <v>43562.556103786614</v>
      </c>
      <c r="AF60" s="119">
        <f t="shared" si="70"/>
        <v>43561.292574619314</v>
      </c>
      <c r="AG60" s="119">
        <f t="shared" si="70"/>
        <v>43559.433868712309</v>
      </c>
      <c r="AH60" s="119">
        <f t="shared" si="70"/>
        <v>43185.111851651134</v>
      </c>
      <c r="AI60" s="119">
        <f t="shared" si="70"/>
        <v>43185.985544891169</v>
      </c>
      <c r="AJ60" s="119">
        <f t="shared" si="70"/>
        <v>43186.046246882826</v>
      </c>
      <c r="AK60" s="119">
        <f t="shared" si="70"/>
        <v>43185.688763508377</v>
      </c>
      <c r="AL60" s="119">
        <f t="shared" si="70"/>
        <v>43185.51093680066</v>
      </c>
      <c r="AM60" s="119">
        <f t="shared" si="70"/>
        <v>43185.668668746832</v>
      </c>
      <c r="AP60" s="188" t="s">
        <v>218</v>
      </c>
      <c r="AQ60" s="189" t="e">
        <f t="shared" ref="AQ60:BF60" si="81">AQ56/AQ55-1</f>
        <v>#DIV/0!</v>
      </c>
      <c r="AR60" s="189">
        <f t="shared" si="81"/>
        <v>8.5223612886603073E-2</v>
      </c>
      <c r="AS60" s="189">
        <f t="shared" si="81"/>
        <v>0.13290236192817639</v>
      </c>
      <c r="AT60" s="189">
        <f t="shared" si="81"/>
        <v>6.8115730351997694E-2</v>
      </c>
      <c r="AU60" s="189">
        <f t="shared" si="81"/>
        <v>2.055548219551917E-2</v>
      </c>
      <c r="AV60" s="189">
        <f t="shared" si="81"/>
        <v>6.3370998116758503E-3</v>
      </c>
      <c r="AW60" s="190">
        <f t="shared" si="81"/>
        <v>5.307396826996591E-2</v>
      </c>
      <c r="AX60" s="190">
        <f t="shared" si="81"/>
        <v>7.5716964499732642E-2</v>
      </c>
      <c r="AY60" s="190">
        <f t="shared" si="81"/>
        <v>9.0488938846712941E-2</v>
      </c>
      <c r="AZ60" s="190">
        <f t="shared" si="81"/>
        <v>4.9778866144107647E-2</v>
      </c>
      <c r="BA60" s="190">
        <f t="shared" si="81"/>
        <v>5.8466958117914691E-2</v>
      </c>
      <c r="BB60" s="190">
        <f t="shared" si="81"/>
        <v>6.5395180245721107E-2</v>
      </c>
      <c r="BC60" s="190">
        <f t="shared" si="81"/>
        <v>6.7600160670683307E-2</v>
      </c>
      <c r="BD60" s="190">
        <f t="shared" si="81"/>
        <v>6.6139937479527733E-2</v>
      </c>
      <c r="BE60" s="190">
        <f t="shared" si="81"/>
        <v>6.1490142372399692E-2</v>
      </c>
      <c r="BF60" s="190">
        <f t="shared" si="81"/>
        <v>6.3850875036708166E-2</v>
      </c>
    </row>
    <row r="61" spans="1:59">
      <c r="A61" s="138" t="s">
        <v>136</v>
      </c>
      <c r="B61" s="138"/>
      <c r="C61" s="138"/>
      <c r="D61" s="138"/>
      <c r="E61" s="138"/>
      <c r="F61" s="138"/>
      <c r="G61" s="138"/>
      <c r="H61" s="138"/>
      <c r="I61" s="13">
        <f t="shared" si="67"/>
        <v>32748.768</v>
      </c>
      <c r="J61" s="13">
        <f t="shared" si="67"/>
        <v>32991.0599</v>
      </c>
      <c r="K61" s="13">
        <f t="shared" si="67"/>
        <v>23560.9192</v>
      </c>
      <c r="L61" s="13">
        <f>L151*$I$122</f>
        <v>36956.949700000005</v>
      </c>
      <c r="M61" s="13">
        <f>M151*$I$122</f>
        <v>25757.2909</v>
      </c>
      <c r="N61" s="119">
        <f t="shared" si="73"/>
        <v>33524.348064042912</v>
      </c>
      <c r="O61" s="119">
        <f t="shared" si="68"/>
        <v>34396.877614052908</v>
      </c>
      <c r="P61" s="119">
        <f t="shared" si="68"/>
        <v>36241.585467066841</v>
      </c>
      <c r="Q61" s="119">
        <f t="shared" si="68"/>
        <v>38211.821079092682</v>
      </c>
      <c r="R61" s="119">
        <f t="shared" si="68"/>
        <v>36075.384385692596</v>
      </c>
      <c r="S61" s="119">
        <f t="shared" si="68"/>
        <v>38370.942538664865</v>
      </c>
      <c r="T61" s="119">
        <f t="shared" si="68"/>
        <v>38141.684632772834</v>
      </c>
      <c r="U61" s="119">
        <f t="shared" si="68"/>
        <v>37905.954799646766</v>
      </c>
      <c r="V61" s="119">
        <f t="shared" si="68"/>
        <v>38238.84308041141</v>
      </c>
      <c r="W61" s="119">
        <f t="shared" si="68"/>
        <v>38459.386727648416</v>
      </c>
      <c r="X61" s="119">
        <f t="shared" si="68"/>
        <v>39088.294837335859</v>
      </c>
      <c r="Y61" s="119">
        <f t="shared" si="68"/>
        <v>38948.148464283709</v>
      </c>
      <c r="Z61" s="119">
        <f t="shared" si="69"/>
        <v>38926.520676205924</v>
      </c>
      <c r="AA61" s="119">
        <f t="shared" si="70"/>
        <v>38931.461588332713</v>
      </c>
      <c r="AB61" s="119">
        <f t="shared" si="70"/>
        <v>38605.093001546382</v>
      </c>
      <c r="AC61" s="119">
        <f t="shared" si="70"/>
        <v>38617.538912887547</v>
      </c>
      <c r="AD61" s="119">
        <f t="shared" si="70"/>
        <v>38606.493208863569</v>
      </c>
      <c r="AE61" s="119">
        <f t="shared" si="70"/>
        <v>38604.588484930908</v>
      </c>
      <c r="AF61" s="119">
        <f t="shared" si="70"/>
        <v>38606.615056419454</v>
      </c>
      <c r="AG61" s="119">
        <f t="shared" si="70"/>
        <v>38608.065732929579</v>
      </c>
      <c r="AH61" s="119">
        <f t="shared" si="70"/>
        <v>38276.542771428096</v>
      </c>
      <c r="AI61" s="119">
        <f t="shared" si="70"/>
        <v>38274.77928580677</v>
      </c>
      <c r="AJ61" s="119">
        <f t="shared" si="70"/>
        <v>38274.856540279812</v>
      </c>
      <c r="AK61" s="119">
        <f t="shared" si="70"/>
        <v>38275.329086616592</v>
      </c>
      <c r="AL61" s="119">
        <f t="shared" si="70"/>
        <v>38275.49300357949</v>
      </c>
      <c r="AM61" s="119">
        <f t="shared" si="70"/>
        <v>38275.40013754215</v>
      </c>
      <c r="AP61" s="188"/>
      <c r="AQ61" s="191">
        <f t="shared" ref="AQ61:BF61" si="82">AQ56-AQ55</f>
        <v>0</v>
      </c>
      <c r="AR61" s="191">
        <f t="shared" si="82"/>
        <v>7522.4199999999983</v>
      </c>
      <c r="AS61" s="191">
        <f t="shared" si="82"/>
        <v>10591.742299999998</v>
      </c>
      <c r="AT61" s="191">
        <f t="shared" si="82"/>
        <v>4487.2109999999957</v>
      </c>
      <c r="AU61" s="191">
        <f t="shared" si="82"/>
        <v>2042.4245000000083</v>
      </c>
      <c r="AV61" s="191">
        <f t="shared" si="82"/>
        <v>588.67309999998542</v>
      </c>
      <c r="AW61" s="192">
        <f t="shared" si="82"/>
        <v>5282.5766106060182</v>
      </c>
      <c r="AX61" s="192">
        <f t="shared" si="82"/>
        <v>7756.9850251050811</v>
      </c>
      <c r="AY61" s="192">
        <f t="shared" si="82"/>
        <v>9937.0629974633339</v>
      </c>
      <c r="AZ61" s="192">
        <f t="shared" si="82"/>
        <v>5775.3762971195683</v>
      </c>
      <c r="BA61" s="192">
        <f t="shared" si="82"/>
        <v>6539.6821069078724</v>
      </c>
      <c r="BB61" s="192">
        <f t="shared" si="82"/>
        <v>7588.5402962621301</v>
      </c>
      <c r="BC61" s="192">
        <f t="shared" si="82"/>
        <v>7823.5902767237276</v>
      </c>
      <c r="BD61" s="192">
        <f t="shared" si="82"/>
        <v>7633.0656994837336</v>
      </c>
      <c r="BE61" s="192">
        <f t="shared" si="82"/>
        <v>7165.3087498307577</v>
      </c>
      <c r="BF61" s="192">
        <f t="shared" si="82"/>
        <v>7488.8391866283346</v>
      </c>
    </row>
    <row r="62" spans="1:59">
      <c r="A62" s="138" t="s">
        <v>137</v>
      </c>
      <c r="B62" s="138"/>
      <c r="C62" s="138"/>
      <c r="D62" s="138"/>
      <c r="E62" s="138"/>
      <c r="F62" s="138"/>
      <c r="G62" s="138"/>
      <c r="H62" s="138"/>
      <c r="I62" s="13">
        <f t="shared" si="67"/>
        <v>28803.871000000003</v>
      </c>
      <c r="J62" s="13">
        <f t="shared" si="67"/>
        <v>27281.893</v>
      </c>
      <c r="K62" s="13">
        <f t="shared" si="67"/>
        <v>23225.0344</v>
      </c>
      <c r="L62" s="13">
        <f t="shared" si="67"/>
        <v>25768.662</v>
      </c>
      <c r="M62" s="13">
        <f t="shared" si="67"/>
        <v>30688.8495</v>
      </c>
      <c r="N62" s="119">
        <f t="shared" si="73"/>
        <v>29941.416606478753</v>
      </c>
      <c r="O62" s="119">
        <f t="shared" si="68"/>
        <v>30820.842054700381</v>
      </c>
      <c r="P62" s="119">
        <f t="shared" si="68"/>
        <v>33009.47925677881</v>
      </c>
      <c r="Q62" s="119">
        <f t="shared" si="68"/>
        <v>34399.776000188118</v>
      </c>
      <c r="R62" s="119">
        <f t="shared" si="68"/>
        <v>34086.023447938955</v>
      </c>
      <c r="S62" s="119">
        <f t="shared" si="68"/>
        <v>34889.179396087762</v>
      </c>
      <c r="T62" s="119">
        <f t="shared" si="68"/>
        <v>34793.288265019481</v>
      </c>
      <c r="U62" s="119">
        <f t="shared" si="68"/>
        <v>34691.011126061196</v>
      </c>
      <c r="V62" s="119">
        <f t="shared" si="68"/>
        <v>35027.748248998345</v>
      </c>
      <c r="W62" s="119">
        <f t="shared" si="68"/>
        <v>35352.693994126064</v>
      </c>
      <c r="X62" s="119">
        <f t="shared" si="68"/>
        <v>35741.663570164332</v>
      </c>
      <c r="Y62" s="119">
        <f t="shared" si="68"/>
        <v>35653.42166270531</v>
      </c>
      <c r="Z62" s="119">
        <f t="shared" si="69"/>
        <v>35658.253599467433</v>
      </c>
      <c r="AA62" s="119">
        <f t="shared" si="70"/>
        <v>35669.285608397528</v>
      </c>
      <c r="AB62" s="119">
        <f t="shared" si="70"/>
        <v>35371.64590867587</v>
      </c>
      <c r="AC62" s="119">
        <f t="shared" si="70"/>
        <v>35360.305598836836</v>
      </c>
      <c r="AD62" s="119">
        <f t="shared" si="70"/>
        <v>35360.078842879149</v>
      </c>
      <c r="AE62" s="119">
        <f t="shared" si="70"/>
        <v>35362.237395880598</v>
      </c>
      <c r="AF62" s="119">
        <f t="shared" si="70"/>
        <v>35363.869604946987</v>
      </c>
      <c r="AG62" s="119">
        <f t="shared" si="70"/>
        <v>35363.62747024389</v>
      </c>
      <c r="AH62" s="119">
        <f t="shared" si="70"/>
        <v>35057.834330664526</v>
      </c>
      <c r="AI62" s="119">
        <f t="shared" si="70"/>
        <v>35058.175598521142</v>
      </c>
      <c r="AJ62" s="119">
        <f t="shared" si="70"/>
        <v>35058.631061078355</v>
      </c>
      <c r="AK62" s="119">
        <f t="shared" si="70"/>
        <v>35058.748658960096</v>
      </c>
      <c r="AL62" s="119">
        <f t="shared" si="70"/>
        <v>35058.56426681453</v>
      </c>
      <c r="AM62" s="119">
        <f t="shared" si="70"/>
        <v>35058.390783207731</v>
      </c>
      <c r="AP62" s="193" t="s">
        <v>219</v>
      </c>
      <c r="AQ62" s="194" t="e">
        <f>AQ56/#REF!-1</f>
        <v>#REF!</v>
      </c>
      <c r="AR62" s="194" t="e">
        <f>AR56/AQ56-1</f>
        <v>#DIV/0!</v>
      </c>
      <c r="AS62" s="194">
        <f>AS56/AR56-1</f>
        <v>-5.7437152432175731E-2</v>
      </c>
      <c r="AT62" s="194">
        <f>AT56/AS56-1</f>
        <v>-0.22067215004698648</v>
      </c>
      <c r="AU62" s="194">
        <f>AU56/AT56-1</f>
        <v>0.44114466143729092</v>
      </c>
      <c r="AV62" s="194">
        <f>AV56/AU56-1</f>
        <v>-7.8124730440783274E-2</v>
      </c>
      <c r="AW62" s="195">
        <f t="shared" ref="AW62:BF62" si="83">AW56/AV56-1</f>
        <v>0.12123331624692435</v>
      </c>
      <c r="AX62" s="195">
        <f t="shared" si="83"/>
        <v>5.1416177777643846E-2</v>
      </c>
      <c r="AY62" s="195">
        <f t="shared" si="83"/>
        <v>8.664087289975142E-2</v>
      </c>
      <c r="AZ62" s="195">
        <f t="shared" si="83"/>
        <v>1.7066380827403194E-2</v>
      </c>
      <c r="BA62" s="195">
        <f t="shared" si="83"/>
        <v>-2.7946132655399025E-2</v>
      </c>
      <c r="BB62" s="195">
        <f t="shared" si="83"/>
        <v>4.4238707152472578E-2</v>
      </c>
      <c r="BC62" s="195">
        <f t="shared" si="83"/>
        <v>-5.8981888628040213E-4</v>
      </c>
      <c r="BD62" s="195">
        <f t="shared" si="83"/>
        <v>-4.1763593773960217E-3</v>
      </c>
      <c r="BE62" s="195">
        <f t="shared" si="83"/>
        <v>5.3006024077160152E-3</v>
      </c>
      <c r="BF62" s="195">
        <f t="shared" si="83"/>
        <v>8.7487998329782712E-3</v>
      </c>
    </row>
    <row r="63" spans="1:59">
      <c r="A63" s="138" t="s">
        <v>138</v>
      </c>
      <c r="B63" s="138"/>
      <c r="C63" s="138"/>
      <c r="D63" s="138"/>
      <c r="E63" s="138"/>
      <c r="F63" s="138"/>
      <c r="G63" s="138"/>
      <c r="H63" s="138"/>
      <c r="I63" s="13">
        <f t="shared" si="67"/>
        <v>30122.918600000001</v>
      </c>
      <c r="J63" s="13">
        <f t="shared" si="67"/>
        <v>29963.7232</v>
      </c>
      <c r="K63" s="13">
        <f t="shared" si="67"/>
        <v>33576.234199999999</v>
      </c>
      <c r="L63" s="13">
        <f t="shared" si="67"/>
        <v>34783.320200000002</v>
      </c>
      <c r="M63" s="13">
        <f t="shared" si="67"/>
        <v>35133.200199999999</v>
      </c>
      <c r="N63" s="119">
        <f t="shared" si="73"/>
        <v>36074.683845266984</v>
      </c>
      <c r="O63" s="119">
        <f t="shared" si="68"/>
        <v>38165.592969625664</v>
      </c>
      <c r="P63" s="119">
        <f t="shared" si="68"/>
        <v>41773.52684611873</v>
      </c>
      <c r="Q63" s="119">
        <f t="shared" si="68"/>
        <v>42574.675198880577</v>
      </c>
      <c r="R63" s="119">
        <f t="shared" si="68"/>
        <v>41566.074461436874</v>
      </c>
      <c r="S63" s="119">
        <f t="shared" si="68"/>
        <v>43037.92742777869</v>
      </c>
      <c r="T63" s="119">
        <f t="shared" si="68"/>
        <v>43098.569278491123</v>
      </c>
      <c r="U63" s="119">
        <f t="shared" si="68"/>
        <v>42974.369560180334</v>
      </c>
      <c r="V63" s="119">
        <f t="shared" si="68"/>
        <v>43212.745029555983</v>
      </c>
      <c r="W63" s="119">
        <f t="shared" si="68"/>
        <v>43585.776983510572</v>
      </c>
      <c r="X63" s="119">
        <f t="shared" si="68"/>
        <v>44159.013268656592</v>
      </c>
      <c r="Y63" s="119">
        <f t="shared" si="68"/>
        <v>44063.762927474054</v>
      </c>
      <c r="Z63" s="119">
        <f t="shared" si="69"/>
        <v>44049.96474960709</v>
      </c>
      <c r="AA63" s="119">
        <f t="shared" si="70"/>
        <v>44039.61522832371</v>
      </c>
      <c r="AB63" s="119">
        <f t="shared" si="70"/>
        <v>43679.039691700549</v>
      </c>
      <c r="AC63" s="119">
        <f t="shared" si="70"/>
        <v>43678.906523304577</v>
      </c>
      <c r="AD63" s="119">
        <f t="shared" si="70"/>
        <v>43676.829029093133</v>
      </c>
      <c r="AE63" s="119">
        <f t="shared" si="70"/>
        <v>43674.592875372284</v>
      </c>
      <c r="AF63" s="119">
        <f t="shared" si="70"/>
        <v>43674.657473904816</v>
      </c>
      <c r="AG63" s="119">
        <f t="shared" si="70"/>
        <v>43676.805118675067</v>
      </c>
      <c r="AH63" s="119">
        <f t="shared" si="70"/>
        <v>43300.647595862931</v>
      </c>
      <c r="AI63" s="119">
        <f t="shared" si="70"/>
        <v>43300.141445424684</v>
      </c>
      <c r="AJ63" s="119">
        <f t="shared" si="70"/>
        <v>43299.946188502174</v>
      </c>
      <c r="AK63" s="119">
        <f t="shared" si="70"/>
        <v>43300.157023827247</v>
      </c>
      <c r="AL63" s="119">
        <f t="shared" si="70"/>
        <v>43300.397786325972</v>
      </c>
      <c r="AM63" s="119">
        <f t="shared" si="70"/>
        <v>43300.258007988596</v>
      </c>
      <c r="AP63" s="193"/>
      <c r="AQ63" s="196" t="e">
        <f>AQ56-#REF!</f>
        <v>#REF!</v>
      </c>
      <c r="AR63" s="196">
        <f>AR56-AQ56</f>
        <v>95789.271699999998</v>
      </c>
      <c r="AS63" s="196">
        <f>AS56-AR56</f>
        <v>-5501.8629999999976</v>
      </c>
      <c r="AT63" s="196">
        <f>AT56-AS56</f>
        <v>-19923.916599999997</v>
      </c>
      <c r="AU63" s="196">
        <f>AU56-AT56</f>
        <v>31040.478900000002</v>
      </c>
      <c r="AV63" s="196">
        <f>AV56-AU56</f>
        <v>-7922.1579000000056</v>
      </c>
      <c r="AW63" s="197">
        <f t="shared" ref="AW63:BF63" si="84">AW56-AV56</f>
        <v>11333.110210888175</v>
      </c>
      <c r="AX63" s="197">
        <f t="shared" si="84"/>
        <v>5389.1827307027415</v>
      </c>
      <c r="AY63" s="197">
        <f t="shared" si="84"/>
        <v>9548.1799445802026</v>
      </c>
      <c r="AZ63" s="197">
        <f t="shared" si="84"/>
        <v>2043.7381175921037</v>
      </c>
      <c r="BA63" s="197">
        <f t="shared" si="84"/>
        <v>-3403.7278465039417</v>
      </c>
      <c r="BB63" s="197">
        <f t="shared" si="84"/>
        <v>5237.5221232336626</v>
      </c>
      <c r="BC63" s="197">
        <f t="shared" si="84"/>
        <v>-72.919201788230566</v>
      </c>
      <c r="BD63" s="197">
        <f t="shared" si="84"/>
        <v>-516.01801452695508</v>
      </c>
      <c r="BE63" s="197">
        <f t="shared" si="84"/>
        <v>652.19079094633344</v>
      </c>
      <c r="BF63" s="197">
        <f t="shared" si="84"/>
        <v>1082.1659272615652</v>
      </c>
    </row>
    <row r="64" spans="1:59">
      <c r="A64" s="138" t="s">
        <v>139</v>
      </c>
      <c r="B64" s="138"/>
      <c r="C64" s="138"/>
      <c r="D64" s="138"/>
      <c r="E64" s="138"/>
      <c r="F64" s="138"/>
      <c r="G64" s="138"/>
      <c r="H64" s="138"/>
      <c r="I64" s="13">
        <f t="shared" si="67"/>
        <v>32297.4228</v>
      </c>
      <c r="J64" s="13">
        <f t="shared" si="67"/>
        <v>29733.677100000001</v>
      </c>
      <c r="K64" s="13">
        <f t="shared" si="67"/>
        <v>35412.229500000001</v>
      </c>
      <c r="L64" s="13">
        <f t="shared" si="67"/>
        <v>32042.010400000003</v>
      </c>
      <c r="M64" s="13">
        <f t="shared" si="67"/>
        <v>35468.210299999999</v>
      </c>
      <c r="N64" s="119">
        <f t="shared" si="73"/>
        <v>36377.730325283846</v>
      </c>
      <c r="O64" s="119">
        <f t="shared" si="68"/>
        <v>38053.637724202701</v>
      </c>
      <c r="P64" s="119">
        <f t="shared" si="68"/>
        <v>41684.398386319306</v>
      </c>
      <c r="Q64" s="119">
        <f t="shared" si="68"/>
        <v>42047.023797018774</v>
      </c>
      <c r="R64" s="119">
        <f t="shared" si="68"/>
        <v>41546.617937900504</v>
      </c>
      <c r="S64" s="119">
        <f t="shared" si="68"/>
        <v>42942.210770982208</v>
      </c>
      <c r="T64" s="119">
        <f t="shared" si="68"/>
        <v>42922.962737992711</v>
      </c>
      <c r="U64" s="119">
        <f t="shared" si="68"/>
        <v>42790.442851001142</v>
      </c>
      <c r="V64" s="119">
        <f t="shared" si="68"/>
        <v>43009.629882086483</v>
      </c>
      <c r="W64" s="119">
        <f t="shared" si="68"/>
        <v>43447.652604085568</v>
      </c>
      <c r="X64" s="119">
        <f t="shared" si="68"/>
        <v>43996.110730065106</v>
      </c>
      <c r="Y64" s="119">
        <f t="shared" si="68"/>
        <v>43888.410666516596</v>
      </c>
      <c r="Z64" s="119">
        <f t="shared" si="69"/>
        <v>43875.494923796228</v>
      </c>
      <c r="AA64" s="119">
        <f t="shared" si="70"/>
        <v>43867.943909246438</v>
      </c>
      <c r="AB64" s="119">
        <f t="shared" si="70"/>
        <v>43515.659960561781</v>
      </c>
      <c r="AC64" s="119">
        <f t="shared" si="70"/>
        <v>43510.582147069414</v>
      </c>
      <c r="AD64" s="119">
        <f t="shared" si="70"/>
        <v>43507.065724152148</v>
      </c>
      <c r="AE64" s="119">
        <f t="shared" si="70"/>
        <v>43505.652464270934</v>
      </c>
      <c r="AF64" s="119">
        <f t="shared" si="70"/>
        <v>43506.530895433592</v>
      </c>
      <c r="AG64" s="119">
        <f t="shared" si="70"/>
        <v>43509.098238297571</v>
      </c>
      <c r="AH64" s="119">
        <f t="shared" si="70"/>
        <v>43133.525370026713</v>
      </c>
      <c r="AI64" s="119">
        <f t="shared" si="70"/>
        <v>43132.969974621032</v>
      </c>
      <c r="AJ64" s="119">
        <f t="shared" si="70"/>
        <v>43133.001799983416</v>
      </c>
      <c r="AK64" s="119">
        <f t="shared" si="70"/>
        <v>43133.321752842639</v>
      </c>
      <c r="AL64" s="119">
        <f t="shared" si="70"/>
        <v>43133.531312079082</v>
      </c>
      <c r="AM64" s="119">
        <f t="shared" si="70"/>
        <v>43133.270041910575</v>
      </c>
      <c r="AP64" s="198" t="s">
        <v>219</v>
      </c>
      <c r="AQ64" s="189" t="e">
        <f>AQ58/#REF!-1</f>
        <v>#REF!</v>
      </c>
      <c r="AR64" s="189" t="e">
        <f>AR58/AQ58-1</f>
        <v>#DIV/0!</v>
      </c>
      <c r="AS64" s="189">
        <f t="shared" ref="AS64:BF64" si="85">AS58/AR58-1</f>
        <v>-2.3054196125645854E-2</v>
      </c>
      <c r="AT64" s="189">
        <f t="shared" si="85"/>
        <v>-0.14000123753441895</v>
      </c>
      <c r="AU64" s="189">
        <f t="shared" si="85"/>
        <v>0.36714473297638239</v>
      </c>
      <c r="AV64" s="190">
        <f t="shared" si="85"/>
        <v>-0.29197667712643594</v>
      </c>
      <c r="AW64" s="190">
        <f t="shared" si="85"/>
        <v>5.6263223187883682E-2</v>
      </c>
      <c r="AX64" s="190">
        <f t="shared" si="85"/>
        <v>3.8696135042393998E-2</v>
      </c>
      <c r="AY64" s="190">
        <f t="shared" si="85"/>
        <v>8.1687671416352581E-2</v>
      </c>
      <c r="AZ64" s="190">
        <f t="shared" si="85"/>
        <v>4.3637510274515678E-2</v>
      </c>
      <c r="BA64" s="190">
        <f t="shared" si="85"/>
        <v>-3.4060448335032967E-2</v>
      </c>
      <c r="BB64" s="190">
        <f t="shared" si="85"/>
        <v>3.7960042578919717E-2</v>
      </c>
      <c r="BC64" s="190">
        <f t="shared" si="85"/>
        <v>-1.1714465185149736E-3</v>
      </c>
      <c r="BD64" s="190">
        <f t="shared" si="85"/>
        <v>-2.6825871159169568E-3</v>
      </c>
      <c r="BE64" s="190">
        <f t="shared" si="85"/>
        <v>8.1135942484686918E-3</v>
      </c>
      <c r="BF64" s="190">
        <f t="shared" si="85"/>
        <v>7.0097311167818255E-3</v>
      </c>
    </row>
    <row r="65" spans="1:64">
      <c r="A65" s="138" t="s">
        <v>140</v>
      </c>
      <c r="B65" s="138"/>
      <c r="C65" s="138"/>
      <c r="D65" s="138"/>
      <c r="E65" s="138"/>
      <c r="F65" s="138"/>
      <c r="G65" s="138"/>
      <c r="H65" s="138"/>
      <c r="I65" s="13">
        <f t="shared" si="67"/>
        <v>28148.720700000002</v>
      </c>
      <c r="J65" s="13">
        <f t="shared" si="67"/>
        <v>30524.405900000002</v>
      </c>
      <c r="K65" s="13">
        <f>K155*$I$122</f>
        <v>28369.145100000002</v>
      </c>
      <c r="L65" s="13">
        <f>L155*$I$122</f>
        <v>35097.337500000001</v>
      </c>
      <c r="M65" s="13">
        <f t="shared" si="67"/>
        <v>24607.060400000002</v>
      </c>
      <c r="N65" s="119">
        <f>N66-SUM(N54:N64)</f>
        <v>32362.509140337352</v>
      </c>
      <c r="O65" s="119">
        <f t="shared" ref="O65:Y65" si="86">O66-SUM(O54:O64)</f>
        <v>33984.875347762543</v>
      </c>
      <c r="P65" s="119">
        <f t="shared" si="86"/>
        <v>36294.360753733083</v>
      </c>
      <c r="Q65" s="119">
        <f t="shared" si="86"/>
        <v>37174.325107863871</v>
      </c>
      <c r="R65" s="119">
        <f t="shared" si="86"/>
        <v>35279.603857921902</v>
      </c>
      <c r="S65" s="119">
        <f t="shared" si="86"/>
        <v>37649.680181732052</v>
      </c>
      <c r="T65" s="119">
        <f t="shared" si="86"/>
        <v>37535.367162220879</v>
      </c>
      <c r="U65" s="119">
        <f t="shared" si="86"/>
        <v>37276.068752996274</v>
      </c>
      <c r="V65" s="119">
        <f t="shared" si="86"/>
        <v>37470.697043481632</v>
      </c>
      <c r="W65" s="119">
        <f t="shared" si="86"/>
        <v>37741.808294789516</v>
      </c>
      <c r="X65" s="119">
        <f t="shared" si="86"/>
        <v>38384.074009814474</v>
      </c>
      <c r="Y65" s="119">
        <f t="shared" si="86"/>
        <v>38252.536432246328</v>
      </c>
      <c r="Z65" s="119">
        <f t="shared" ref="Z65:AK65" si="87">Z66-SUM(Z54:Z64)</f>
        <v>38216.161803589377</v>
      </c>
      <c r="AA65" s="119">
        <f t="shared" si="87"/>
        <v>38208.579162820068</v>
      </c>
      <c r="AB65" s="119">
        <f t="shared" si="87"/>
        <v>37899.816002569743</v>
      </c>
      <c r="AC65" s="119">
        <f t="shared" si="87"/>
        <v>37915.005485112488</v>
      </c>
      <c r="AD65" s="119">
        <f t="shared" si="87"/>
        <v>37902.792461338104</v>
      </c>
      <c r="AE65" s="119">
        <f t="shared" si="87"/>
        <v>37898.069025149918</v>
      </c>
      <c r="AF65" s="119">
        <f t="shared" si="87"/>
        <v>37899.64873065718</v>
      </c>
      <c r="AG65" s="119">
        <f t="shared" si="87"/>
        <v>37903.06634096551</v>
      </c>
      <c r="AH65" s="119">
        <f t="shared" si="87"/>
        <v>37577.662934161723</v>
      </c>
      <c r="AI65" s="119">
        <f t="shared" si="87"/>
        <v>37575.420683299308</v>
      </c>
      <c r="AJ65" s="119">
        <f t="shared" si="87"/>
        <v>37575.154517160845</v>
      </c>
      <c r="AK65" s="119">
        <f t="shared" si="87"/>
        <v>37575.775801158103</v>
      </c>
      <c r="AL65" s="119">
        <f>AL66-SUM(AL54:AL64)</f>
        <v>37576.207885482698</v>
      </c>
      <c r="AM65" s="119">
        <f>AM66-SUM(AM54:AM64)</f>
        <v>37576.044364252593</v>
      </c>
      <c r="AP65" s="198"/>
      <c r="AQ65" s="191" t="e">
        <f>AQ58-#REF!</f>
        <v>#REF!</v>
      </c>
      <c r="AR65" s="191">
        <f>AR58-AQ58</f>
        <v>347274.26870000002</v>
      </c>
      <c r="AS65" s="191">
        <f t="shared" ref="AS65:BF65" si="88">AS58-AR58</f>
        <v>-8006.1291000000201</v>
      </c>
      <c r="AT65" s="191">
        <f t="shared" si="88"/>
        <v>-47497.959399999992</v>
      </c>
      <c r="AU65" s="191">
        <f t="shared" si="88"/>
        <v>107121.8849</v>
      </c>
      <c r="AV65" s="192">
        <f t="shared" si="88"/>
        <v>-116467.17969999998</v>
      </c>
      <c r="AW65" s="192">
        <f t="shared" si="88"/>
        <v>15890.134361072676</v>
      </c>
      <c r="AX65" s="192">
        <f t="shared" si="88"/>
        <v>11543.638289848925</v>
      </c>
      <c r="AY65" s="192">
        <f t="shared" si="88"/>
        <v>25311.632244375651</v>
      </c>
      <c r="AZ65" s="192">
        <f t="shared" si="88"/>
        <v>14625.996986473445</v>
      </c>
      <c r="BA65" s="192">
        <f t="shared" si="88"/>
        <v>-11914.218370747112</v>
      </c>
      <c r="BB65" s="192">
        <f t="shared" si="88"/>
        <v>12826.017722515913</v>
      </c>
      <c r="BC65" s="192">
        <f t="shared" si="88"/>
        <v>-410.83576710190391</v>
      </c>
      <c r="BD65" s="192">
        <f t="shared" si="88"/>
        <v>-939.70289191545453</v>
      </c>
      <c r="BE65" s="192">
        <f t="shared" si="88"/>
        <v>2834.5453919051797</v>
      </c>
      <c r="BF65" s="192">
        <f t="shared" si="88"/>
        <v>2468.7718759551644</v>
      </c>
    </row>
    <row r="66" spans="1:64" ht="12" thickBot="1">
      <c r="A66" s="138" t="s">
        <v>141</v>
      </c>
      <c r="B66" s="138"/>
      <c r="C66" s="138"/>
      <c r="D66" s="138"/>
      <c r="E66" s="138"/>
      <c r="F66" s="138"/>
      <c r="G66" s="138"/>
      <c r="H66" s="138"/>
      <c r="I66" s="13">
        <f>SUM(I54:I65)</f>
        <v>347274.26870000002</v>
      </c>
      <c r="J66" s="13">
        <f>SUM(J54:J65)</f>
        <v>339268.13959999999</v>
      </c>
      <c r="K66" s="13">
        <f>SUM(K54:K65)</f>
        <v>291770.18020000006</v>
      </c>
      <c r="L66" s="13">
        <f>SUM(L54:L65)</f>
        <v>398892.06510000012</v>
      </c>
      <c r="M66" s="13">
        <f>SUM(M54:M65)</f>
        <v>377633.35630000004</v>
      </c>
      <c r="N66" s="119">
        <f t="shared" ref="N66:AK66" si="89">N8</f>
        <v>387000</v>
      </c>
      <c r="O66" s="119">
        <f t="shared" si="89"/>
        <v>404000</v>
      </c>
      <c r="P66" s="119">
        <f t="shared" si="89"/>
        <v>437000</v>
      </c>
      <c r="Q66" s="119">
        <f t="shared" si="89"/>
        <v>459000</v>
      </c>
      <c r="R66" s="119">
        <f t="shared" si="89"/>
        <v>443000</v>
      </c>
      <c r="S66" s="119">
        <f t="shared" si="89"/>
        <v>458000</v>
      </c>
      <c r="T66" s="119">
        <f t="shared" si="89"/>
        <v>458000</v>
      </c>
      <c r="U66" s="119">
        <f t="shared" si="89"/>
        <v>457000</v>
      </c>
      <c r="V66" s="119">
        <f t="shared" si="89"/>
        <v>461000</v>
      </c>
      <c r="W66" s="119">
        <f t="shared" si="89"/>
        <v>464000</v>
      </c>
      <c r="X66" s="119">
        <f t="shared" si="89"/>
        <v>470000</v>
      </c>
      <c r="Y66" s="119">
        <f t="shared" si="89"/>
        <v>469000</v>
      </c>
      <c r="Z66" s="119">
        <f t="shared" si="89"/>
        <v>469000</v>
      </c>
      <c r="AA66" s="119">
        <f t="shared" si="89"/>
        <v>469000</v>
      </c>
      <c r="AB66" s="119">
        <f t="shared" si="89"/>
        <v>465000</v>
      </c>
      <c r="AC66" s="119">
        <f t="shared" si="89"/>
        <v>465000</v>
      </c>
      <c r="AD66" s="119">
        <f t="shared" si="89"/>
        <v>465000</v>
      </c>
      <c r="AE66" s="119">
        <f t="shared" si="89"/>
        <v>465000</v>
      </c>
      <c r="AF66" s="119">
        <f t="shared" si="89"/>
        <v>465000</v>
      </c>
      <c r="AG66" s="119">
        <f t="shared" si="89"/>
        <v>465000</v>
      </c>
      <c r="AH66" s="119">
        <f t="shared" si="89"/>
        <v>461000</v>
      </c>
      <c r="AI66" s="119">
        <f t="shared" si="89"/>
        <v>461000</v>
      </c>
      <c r="AJ66" s="119">
        <f t="shared" si="89"/>
        <v>461000</v>
      </c>
      <c r="AK66" s="119">
        <f t="shared" si="89"/>
        <v>461000</v>
      </c>
      <c r="AL66" s="119">
        <f>AL8</f>
        <v>461000</v>
      </c>
      <c r="AM66" s="119">
        <f>AM8</f>
        <v>461000</v>
      </c>
    </row>
    <row r="67" spans="1:64">
      <c r="A67" s="199"/>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199"/>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row>
    <row r="68" spans="1:64" ht="12" thickBot="1">
      <c r="A68" s="138" t="s">
        <v>156</v>
      </c>
      <c r="B68" s="138"/>
      <c r="C68" s="138"/>
      <c r="D68" s="138"/>
      <c r="E68" s="138"/>
      <c r="F68" s="138"/>
      <c r="G68" s="138"/>
      <c r="H68" s="138"/>
      <c r="AP68" s="175" t="s">
        <v>65</v>
      </c>
      <c r="AQ68" s="175"/>
      <c r="AR68" s="175"/>
      <c r="AS68" s="175"/>
      <c r="AT68" s="175"/>
      <c r="AU68" s="175"/>
      <c r="AV68" s="175"/>
      <c r="AW68" s="175"/>
      <c r="AX68" s="175"/>
      <c r="AY68" s="175"/>
      <c r="AZ68" s="175"/>
      <c r="BA68" s="174"/>
      <c r="BB68" s="174"/>
      <c r="BC68" s="174"/>
      <c r="BD68" s="174"/>
      <c r="BE68" s="174"/>
      <c r="BF68" s="174"/>
      <c r="BG68" s="174"/>
      <c r="BH68" s="174"/>
      <c r="BI68" s="174"/>
      <c r="BJ68" s="174"/>
      <c r="BK68" s="174"/>
      <c r="BL68" s="174"/>
    </row>
    <row r="69" spans="1:64" ht="12" thickBot="1">
      <c r="A69" s="176"/>
      <c r="B69" s="176"/>
      <c r="C69" s="176"/>
      <c r="D69" s="176"/>
      <c r="E69" s="176"/>
      <c r="F69" s="176"/>
      <c r="G69" s="176"/>
      <c r="H69" s="176"/>
      <c r="I69" s="177">
        <f>I2</f>
        <v>2020</v>
      </c>
      <c r="J69" s="177">
        <f t="shared" ref="J69:AK69" si="90">J2</f>
        <v>2021</v>
      </c>
      <c r="K69" s="177">
        <f t="shared" si="90"/>
        <v>2022</v>
      </c>
      <c r="L69" s="177">
        <f t="shared" si="90"/>
        <v>2023</v>
      </c>
      <c r="M69" s="177">
        <f t="shared" si="90"/>
        <v>2024</v>
      </c>
      <c r="N69" s="177">
        <f t="shared" si="90"/>
        <v>2025</v>
      </c>
      <c r="O69" s="177">
        <f t="shared" si="90"/>
        <v>2026</v>
      </c>
      <c r="P69" s="177">
        <f t="shared" si="90"/>
        <v>2027</v>
      </c>
      <c r="Q69" s="177">
        <f t="shared" si="90"/>
        <v>2028</v>
      </c>
      <c r="R69" s="177">
        <f t="shared" si="90"/>
        <v>2029</v>
      </c>
      <c r="S69" s="177">
        <f t="shared" si="90"/>
        <v>2030</v>
      </c>
      <c r="T69" s="177">
        <f t="shared" si="90"/>
        <v>2031</v>
      </c>
      <c r="U69" s="177">
        <f t="shared" si="90"/>
        <v>2032</v>
      </c>
      <c r="V69" s="177">
        <f t="shared" si="90"/>
        <v>2033</v>
      </c>
      <c r="W69" s="177">
        <f t="shared" si="90"/>
        <v>2034</v>
      </c>
      <c r="X69" s="177">
        <f t="shared" si="90"/>
        <v>2035</v>
      </c>
      <c r="Y69" s="177">
        <f t="shared" si="90"/>
        <v>2036</v>
      </c>
      <c r="Z69" s="177">
        <f t="shared" si="90"/>
        <v>2037</v>
      </c>
      <c r="AA69" s="177">
        <f t="shared" si="90"/>
        <v>2038</v>
      </c>
      <c r="AB69" s="177">
        <f t="shared" si="90"/>
        <v>2039</v>
      </c>
      <c r="AC69" s="177">
        <f t="shared" si="90"/>
        <v>2040</v>
      </c>
      <c r="AD69" s="177">
        <f t="shared" si="90"/>
        <v>2041</v>
      </c>
      <c r="AE69" s="177">
        <f t="shared" si="90"/>
        <v>2042</v>
      </c>
      <c r="AF69" s="177">
        <f t="shared" si="90"/>
        <v>2043</v>
      </c>
      <c r="AG69" s="177">
        <f t="shared" si="90"/>
        <v>2044</v>
      </c>
      <c r="AH69" s="177">
        <f t="shared" si="90"/>
        <v>2045</v>
      </c>
      <c r="AI69" s="177">
        <f t="shared" si="90"/>
        <v>2046</v>
      </c>
      <c r="AJ69" s="177">
        <f t="shared" si="90"/>
        <v>2047</v>
      </c>
      <c r="AK69" s="177">
        <f t="shared" si="90"/>
        <v>2048</v>
      </c>
      <c r="AL69" s="177">
        <f>AL2</f>
        <v>2049</v>
      </c>
      <c r="AM69" s="177">
        <f>AM2</f>
        <v>2050</v>
      </c>
      <c r="AP69" s="174"/>
      <c r="AQ69" s="178">
        <v>2019</v>
      </c>
      <c r="AR69" s="178">
        <v>2020</v>
      </c>
      <c r="AS69" s="178">
        <v>2021</v>
      </c>
      <c r="AT69" s="178">
        <v>2022</v>
      </c>
      <c r="AU69" s="178">
        <v>2023</v>
      </c>
      <c r="AV69" s="178">
        <v>2024</v>
      </c>
      <c r="AW69" s="201">
        <v>2024</v>
      </c>
      <c r="AX69" s="202">
        <v>2025</v>
      </c>
      <c r="AY69" s="202">
        <v>2026</v>
      </c>
      <c r="AZ69" s="202">
        <v>2027</v>
      </c>
      <c r="BA69" s="202">
        <v>2028</v>
      </c>
      <c r="BB69" s="202">
        <v>2029</v>
      </c>
      <c r="BC69" s="202">
        <v>2030</v>
      </c>
      <c r="BD69" s="202">
        <v>2031</v>
      </c>
      <c r="BE69" s="202">
        <v>2032</v>
      </c>
      <c r="BF69" s="203">
        <v>2033</v>
      </c>
    </row>
    <row r="70" spans="1:64">
      <c r="A70" s="138" t="s">
        <v>129</v>
      </c>
      <c r="B70" s="138"/>
      <c r="C70" s="138"/>
      <c r="D70" s="138"/>
      <c r="E70" s="138"/>
      <c r="F70" s="138"/>
      <c r="G70" s="138"/>
      <c r="H70" s="138"/>
      <c r="I70" s="13">
        <f>I3+I22+I38-I54-I86</f>
        <v>40224.573099999994</v>
      </c>
      <c r="J70" s="13">
        <f>I97+J22+J38-J54-J86</f>
        <v>44321.747300000003</v>
      </c>
      <c r="K70" s="13">
        <f>J97+K22+K38-K54-K86</f>
        <v>28609.888300000002</v>
      </c>
      <c r="L70" s="13">
        <f>K97+L22+L38-L54-L86</f>
        <v>16570.690199999997</v>
      </c>
      <c r="M70" s="13">
        <f>L97+M22+M38-M54-M86</f>
        <v>23238.159199999995</v>
      </c>
      <c r="N70" s="13">
        <f>M97+N22+N38-N54-N86</f>
        <v>54599.053204563519</v>
      </c>
      <c r="O70" s="119">
        <f t="shared" ref="O70:O80" si="91">(SUM(M70:N70)/SUM(M$82:N$82))*O$82</f>
        <v>40054.39979226359</v>
      </c>
      <c r="P70" s="119">
        <f t="shared" ref="P70:P80" si="92">(SUM(N70:O70)/SUM(N$82:O$82))*P$82</f>
        <v>49807.406675234575</v>
      </c>
      <c r="Q70" s="119">
        <f t="shared" ref="Q70:AF80" si="93">(SUM(O70:P70)/SUM(O$82:P$82))*Q$82</f>
        <v>47295.687614472714</v>
      </c>
      <c r="R70" s="119">
        <f t="shared" si="93"/>
        <v>51132.298599207235</v>
      </c>
      <c r="S70" s="119">
        <f t="shared" si="93"/>
        <v>51813.771833946776</v>
      </c>
      <c r="T70" s="119">
        <f t="shared" si="93"/>
        <v>54191.810809743816</v>
      </c>
      <c r="U70" s="119">
        <f t="shared" si="93"/>
        <v>55817.422309281217</v>
      </c>
      <c r="V70" s="119">
        <f t="shared" si="93"/>
        <v>57899.596378434238</v>
      </c>
      <c r="W70" s="119">
        <f t="shared" si="93"/>
        <v>59841.430818929766</v>
      </c>
      <c r="X70" s="119">
        <f t="shared" si="93"/>
        <v>61965.106692982859</v>
      </c>
      <c r="Y70" s="119">
        <f t="shared" si="93"/>
        <v>64106.777031367303</v>
      </c>
      <c r="Z70" s="119">
        <f t="shared" si="93"/>
        <v>66349.768605437843</v>
      </c>
      <c r="AA70" s="119">
        <f t="shared" si="93"/>
        <v>68651.7044819</v>
      </c>
      <c r="AB70" s="119">
        <f t="shared" si="93"/>
        <v>71070.751088289326</v>
      </c>
      <c r="AC70" s="119">
        <f t="shared" si="93"/>
        <v>73559.332610196638</v>
      </c>
      <c r="AD70" s="119">
        <f t="shared" si="93"/>
        <v>76123.023799785398</v>
      </c>
      <c r="AE70" s="119">
        <f t="shared" si="93"/>
        <v>37530.653966333171</v>
      </c>
      <c r="AF70" s="119">
        <f t="shared" si="93"/>
        <v>37530.795780039058</v>
      </c>
      <c r="AG70" s="119">
        <f t="shared" ref="AG70:AM80" si="94">(SUM(AE70:AF70)/SUM(AE$82:AF$82))*AG$82</f>
        <v>37530.779795849841</v>
      </c>
      <c r="AH70" s="119">
        <f t="shared" si="94"/>
        <v>37530.842710646655</v>
      </c>
      <c r="AI70" s="119">
        <f t="shared" si="94"/>
        <v>37530.866175931209</v>
      </c>
      <c r="AJ70" s="119">
        <f t="shared" si="94"/>
        <v>37530.909365981512</v>
      </c>
      <c r="AK70" s="119">
        <f t="shared" si="94"/>
        <v>37530.942693644138</v>
      </c>
      <c r="AL70" s="119">
        <f t="shared" si="94"/>
        <v>37530.980952503</v>
      </c>
      <c r="AM70" s="119">
        <f t="shared" si="94"/>
        <v>37531.016745762543</v>
      </c>
      <c r="AP70" s="179" t="s">
        <v>213</v>
      </c>
      <c r="AQ70" s="180">
        <f t="shared" ref="AQ70:AV70" si="95">SUM(H70:H72)</f>
        <v>0</v>
      </c>
      <c r="AR70" s="180">
        <f t="shared" si="95"/>
        <v>104632.72119999999</v>
      </c>
      <c r="AS70" s="180">
        <f t="shared" si="95"/>
        <v>93165.237800000003</v>
      </c>
      <c r="AT70" s="180">
        <f t="shared" si="95"/>
        <v>67226.492200000008</v>
      </c>
      <c r="AU70" s="180">
        <f t="shared" si="95"/>
        <v>71115.37969999999</v>
      </c>
      <c r="AV70" s="180">
        <f t="shared" si="95"/>
        <v>203327.44900000002</v>
      </c>
      <c r="AW70" s="204">
        <f t="shared" ref="AW70:BF70" si="96">SUM(N73:N75)</f>
        <v>398466.6468229196</v>
      </c>
      <c r="AX70" s="183">
        <f t="shared" si="96"/>
        <v>405270.84663496079</v>
      </c>
      <c r="AY70" s="183">
        <f t="shared" si="96"/>
        <v>422933.12002185761</v>
      </c>
      <c r="AZ70" s="183">
        <f t="shared" si="96"/>
        <v>435896.82455622021</v>
      </c>
      <c r="BA70" s="183">
        <f t="shared" si="96"/>
        <v>452240.47177208913</v>
      </c>
      <c r="BB70" s="183">
        <f t="shared" si="96"/>
        <v>467527.02152487659</v>
      </c>
      <c r="BC70" s="183">
        <f t="shared" si="96"/>
        <v>484174.5369782385</v>
      </c>
      <c r="BD70" s="183">
        <f t="shared" si="96"/>
        <v>501120.09649457131</v>
      </c>
      <c r="BE70" s="183">
        <f t="shared" si="96"/>
        <v>518576.12288042624</v>
      </c>
      <c r="BF70" s="205">
        <f t="shared" si="96"/>
        <v>536595.8540965952</v>
      </c>
    </row>
    <row r="71" spans="1:64">
      <c r="A71" s="138" t="s">
        <v>130</v>
      </c>
      <c r="B71" s="138"/>
      <c r="C71" s="138"/>
      <c r="D71" s="138"/>
      <c r="E71" s="138"/>
      <c r="F71" s="138"/>
      <c r="G71" s="138"/>
      <c r="H71" s="138"/>
      <c r="I71" s="13">
        <f t="shared" ref="I71:N81" si="97">I86+I23+I39-I55-I87</f>
        <v>28667.195999999996</v>
      </c>
      <c r="J71" s="13">
        <f t="shared" si="97"/>
        <v>14786.330299999998</v>
      </c>
      <c r="K71" s="13">
        <f t="shared" si="97"/>
        <v>13368.948800000006</v>
      </c>
      <c r="L71" s="13">
        <f t="shared" si="97"/>
        <v>21340.167600000001</v>
      </c>
      <c r="M71" s="13">
        <f t="shared" si="97"/>
        <v>40040.1008</v>
      </c>
      <c r="N71" s="13">
        <f t="shared" si="97"/>
        <v>36005.697700998775</v>
      </c>
      <c r="O71" s="119">
        <f t="shared" si="91"/>
        <v>39132.552690213532</v>
      </c>
      <c r="P71" s="119">
        <f t="shared" si="92"/>
        <v>39538.350431084284</v>
      </c>
      <c r="Q71" s="119">
        <f t="shared" si="93"/>
        <v>41405.738484893591</v>
      </c>
      <c r="R71" s="119">
        <f t="shared" si="93"/>
        <v>42623.330951166936</v>
      </c>
      <c r="S71" s="119">
        <f t="shared" si="93"/>
        <v>44233.994808417534</v>
      </c>
      <c r="T71" s="119">
        <f t="shared" si="93"/>
        <v>45722.53943447076</v>
      </c>
      <c r="U71" s="119">
        <f t="shared" si="93"/>
        <v>47366.768203065665</v>
      </c>
      <c r="V71" s="119">
        <f t="shared" si="93"/>
        <v>48994.372440808649</v>
      </c>
      <c r="W71" s="119">
        <f t="shared" si="93"/>
        <v>50708.228179187157</v>
      </c>
      <c r="X71" s="119">
        <f t="shared" si="93"/>
        <v>52471.788568906035</v>
      </c>
      <c r="Y71" s="119">
        <f t="shared" si="93"/>
        <v>54303.639713228484</v>
      </c>
      <c r="Z71" s="119">
        <f t="shared" si="93"/>
        <v>56194.329377643844</v>
      </c>
      <c r="AA71" s="119">
        <f t="shared" si="93"/>
        <v>58148.66462121404</v>
      </c>
      <c r="AB71" s="119">
        <f t="shared" si="93"/>
        <v>60195.213276860093</v>
      </c>
      <c r="AC71" s="119">
        <f t="shared" si="93"/>
        <v>62304.206157555273</v>
      </c>
      <c r="AD71" s="119">
        <f t="shared" si="93"/>
        <v>64475.010887126467</v>
      </c>
      <c r="AE71" s="119">
        <f t="shared" si="93"/>
        <v>31788.027922236073</v>
      </c>
      <c r="AF71" s="119">
        <f t="shared" si="93"/>
        <v>31788.047001477531</v>
      </c>
      <c r="AG71" s="119">
        <f t="shared" si="94"/>
        <v>31788.083980641019</v>
      </c>
      <c r="AH71" s="119">
        <f t="shared" si="94"/>
        <v>31788.112009839122</v>
      </c>
      <c r="AI71" s="119">
        <f t="shared" si="94"/>
        <v>31788.1445140221</v>
      </c>
      <c r="AJ71" s="119">
        <f t="shared" si="94"/>
        <v>31788.174780711553</v>
      </c>
      <c r="AK71" s="119">
        <f t="shared" si="94"/>
        <v>31788.206166148313</v>
      </c>
      <c r="AL71" s="119">
        <f t="shared" si="94"/>
        <v>31788.236992211147</v>
      </c>
      <c r="AM71" s="119">
        <f t="shared" si="94"/>
        <v>31788.268097961081</v>
      </c>
      <c r="AP71" s="181" t="s">
        <v>214</v>
      </c>
      <c r="AQ71" s="180">
        <f t="shared" ref="AQ71:AV71" si="98">SUM(H73:H75)</f>
        <v>0</v>
      </c>
      <c r="AR71" s="180">
        <f t="shared" si="98"/>
        <v>215900.51549999998</v>
      </c>
      <c r="AS71" s="180">
        <f t="shared" si="98"/>
        <v>212536.7366</v>
      </c>
      <c r="AT71" s="180">
        <f t="shared" si="98"/>
        <v>190155.18400000001</v>
      </c>
      <c r="AU71" s="180">
        <f t="shared" si="98"/>
        <v>337363.60939999996</v>
      </c>
      <c r="AV71" s="180">
        <f t="shared" si="98"/>
        <v>389091.103</v>
      </c>
      <c r="AW71" s="206">
        <f t="shared" ref="AW71:BF71" si="99">SUM(N76:N78)</f>
        <v>365974.8108561096</v>
      </c>
      <c r="AX71" s="207">
        <f t="shared" si="99"/>
        <v>410461.58994828351</v>
      </c>
      <c r="AY71" s="207">
        <f t="shared" si="99"/>
        <v>408567.06594334368</v>
      </c>
      <c r="AZ71" s="207">
        <f t="shared" si="99"/>
        <v>431067.71362717217</v>
      </c>
      <c r="BA71" s="207">
        <f t="shared" si="99"/>
        <v>442132.73096313595</v>
      </c>
      <c r="BB71" s="207">
        <f t="shared" si="99"/>
        <v>459664.06854125939</v>
      </c>
      <c r="BC71" s="207">
        <f t="shared" si="99"/>
        <v>474714.58931798104</v>
      </c>
      <c r="BD71" s="207">
        <f t="shared" si="99"/>
        <v>491998.69329346897</v>
      </c>
      <c r="BE71" s="207">
        <f t="shared" si="99"/>
        <v>508796.46453234216</v>
      </c>
      <c r="BF71" s="208">
        <f t="shared" si="99"/>
        <v>526649.52785490872</v>
      </c>
    </row>
    <row r="72" spans="1:64">
      <c r="A72" s="138" t="s">
        <v>131</v>
      </c>
      <c r="B72" s="138"/>
      <c r="C72" s="138"/>
      <c r="D72" s="138"/>
      <c r="E72" s="138"/>
      <c r="F72" s="138"/>
      <c r="G72" s="138"/>
      <c r="H72" s="138"/>
      <c r="I72" s="13">
        <f t="shared" si="97"/>
        <v>35740.952099999995</v>
      </c>
      <c r="J72" s="13">
        <f t="shared" si="97"/>
        <v>34057.160199999998</v>
      </c>
      <c r="K72" s="13">
        <f t="shared" si="97"/>
        <v>25247.655100000004</v>
      </c>
      <c r="L72" s="13">
        <f t="shared" si="97"/>
        <v>33204.521899999992</v>
      </c>
      <c r="M72" s="13">
        <f t="shared" si="97"/>
        <v>140049.18900000001</v>
      </c>
      <c r="N72" s="119">
        <f>(SUM(L72:M72)/SUM(L$82:M$82))*N$82-25000</f>
        <v>78378.37146839124</v>
      </c>
      <c r="O72" s="119">
        <f t="shared" si="91"/>
        <v>112401.05551540575</v>
      </c>
      <c r="P72" s="119">
        <f t="shared" si="92"/>
        <v>100389.66571424207</v>
      </c>
      <c r="Q72" s="119">
        <f t="shared" si="93"/>
        <v>111995.11643665674</v>
      </c>
      <c r="R72" s="119">
        <f t="shared" si="93"/>
        <v>111837.03442515781</v>
      </c>
      <c r="S72" s="119">
        <f t="shared" si="93"/>
        <v>117828.1547757982</v>
      </c>
      <c r="T72" s="119">
        <f t="shared" si="93"/>
        <v>120897.98503619205</v>
      </c>
      <c r="U72" s="119">
        <f t="shared" si="93"/>
        <v>125701.66051479625</v>
      </c>
      <c r="V72" s="119">
        <f t="shared" si="93"/>
        <v>129789.28713209911</v>
      </c>
      <c r="W72" s="119">
        <f t="shared" si="93"/>
        <v>134447.28014247632</v>
      </c>
      <c r="X72" s="119">
        <f t="shared" si="93"/>
        <v>139063.22607420891</v>
      </c>
      <c r="Y72" s="119">
        <f t="shared" si="93"/>
        <v>143948.57120090647</v>
      </c>
      <c r="Z72" s="119">
        <f t="shared" si="93"/>
        <v>148944.92496732762</v>
      </c>
      <c r="AA72" s="119">
        <f t="shared" si="93"/>
        <v>154132.83898833537</v>
      </c>
      <c r="AB72" s="119">
        <f t="shared" si="93"/>
        <v>159553.55026795276</v>
      </c>
      <c r="AC72" s="119">
        <f t="shared" si="93"/>
        <v>165145.69077984351</v>
      </c>
      <c r="AD72" s="119">
        <f t="shared" si="93"/>
        <v>170898.66383249834</v>
      </c>
      <c r="AE72" s="119">
        <f t="shared" si="93"/>
        <v>84258.189761198155</v>
      </c>
      <c r="AF72" s="119">
        <f t="shared" si="93"/>
        <v>84258.071998415617</v>
      </c>
      <c r="AG72" s="119">
        <f t="shared" si="94"/>
        <v>84258.254183606725</v>
      </c>
      <c r="AH72" s="119">
        <f t="shared" si="94"/>
        <v>84258.286394737865</v>
      </c>
      <c r="AI72" s="119">
        <f t="shared" si="94"/>
        <v>84258.393592935579</v>
      </c>
      <c r="AJ72" s="119">
        <f t="shared" si="94"/>
        <v>84258.463297581708</v>
      </c>
      <c r="AK72" s="119">
        <f t="shared" si="94"/>
        <v>84258.551749012768</v>
      </c>
      <c r="AL72" s="119">
        <f t="shared" si="94"/>
        <v>84258.6308270468</v>
      </c>
      <c r="AM72" s="119">
        <f t="shared" si="94"/>
        <v>84258.714591781623</v>
      </c>
      <c r="AP72" s="179" t="s">
        <v>215</v>
      </c>
      <c r="AQ72" s="180">
        <f t="shared" ref="AQ72:AV72" si="100">SUM(H76:H78)</f>
        <v>0</v>
      </c>
      <c r="AR72" s="180">
        <f t="shared" si="100"/>
        <v>190152.11470000003</v>
      </c>
      <c r="AS72" s="180">
        <f t="shared" si="100"/>
        <v>166577.64040000003</v>
      </c>
      <c r="AT72" s="180">
        <f t="shared" si="100"/>
        <v>233120.26799999998</v>
      </c>
      <c r="AU72" s="180">
        <f t="shared" si="100"/>
        <v>223571.81900000002</v>
      </c>
      <c r="AV72" s="180">
        <f t="shared" si="100"/>
        <v>431670.0453</v>
      </c>
      <c r="AW72" s="204">
        <f t="shared" ref="AW72:BF72" si="101">SUM(N79:N81)</f>
        <v>266575.41994701739</v>
      </c>
      <c r="AX72" s="183">
        <f t="shared" si="101"/>
        <v>234679.55541887291</v>
      </c>
      <c r="AY72" s="183">
        <f t="shared" si="101"/>
        <v>263764.39121423766</v>
      </c>
      <c r="AZ72" s="183">
        <f t="shared" si="101"/>
        <v>262338.91928058444</v>
      </c>
      <c r="BA72" s="183">
        <f t="shared" si="101"/>
        <v>277034.1332892428</v>
      </c>
      <c r="BB72" s="183">
        <f t="shared" si="101"/>
        <v>283932.98851570149</v>
      </c>
      <c r="BC72" s="183">
        <f t="shared" si="101"/>
        <v>295298.53842337371</v>
      </c>
      <c r="BD72" s="183">
        <f t="shared" si="101"/>
        <v>304995.35918481648</v>
      </c>
      <c r="BE72" s="183">
        <f t="shared" si="101"/>
        <v>315944.15663588955</v>
      </c>
      <c r="BF72" s="205">
        <f t="shared" si="101"/>
        <v>326757.67890790291</v>
      </c>
    </row>
    <row r="73" spans="1:64">
      <c r="A73" s="138" t="s">
        <v>132</v>
      </c>
      <c r="B73" s="138"/>
      <c r="C73" s="138"/>
      <c r="D73" s="138"/>
      <c r="E73" s="138"/>
      <c r="F73" s="138"/>
      <c r="G73" s="138"/>
      <c r="H73" s="138"/>
      <c r="I73" s="13">
        <f t="shared" si="97"/>
        <v>66449.529299999995</v>
      </c>
      <c r="J73" s="13">
        <f t="shared" si="97"/>
        <v>59601.608200000017</v>
      </c>
      <c r="K73" s="13">
        <f t="shared" si="97"/>
        <v>57454.638200000009</v>
      </c>
      <c r="L73" s="13">
        <f t="shared" si="97"/>
        <v>121090.39259999999</v>
      </c>
      <c r="M73" s="13">
        <f t="shared" si="97"/>
        <v>71285.359399999987</v>
      </c>
      <c r="N73" s="119">
        <f>(SUM(L73:M73)/SUM(L$82:M$82))*N$82</f>
        <v>114788.25964799065</v>
      </c>
      <c r="O73" s="119">
        <f t="shared" si="91"/>
        <v>95751.979007210757</v>
      </c>
      <c r="P73" s="119">
        <f t="shared" si="92"/>
        <v>110787.96342012032</v>
      </c>
      <c r="Q73" s="119">
        <f t="shared" si="93"/>
        <v>108705.23285649004</v>
      </c>
      <c r="R73" s="119">
        <f t="shared" si="93"/>
        <v>115580.16492271223</v>
      </c>
      <c r="S73" s="119">
        <f t="shared" si="93"/>
        <v>118066.74984682794</v>
      </c>
      <c r="T73" s="119">
        <f t="shared" si="93"/>
        <v>122994.00402750597</v>
      </c>
      <c r="U73" s="119">
        <f t="shared" si="93"/>
        <v>126930.95557451998</v>
      </c>
      <c r="V73" s="119">
        <f t="shared" si="93"/>
        <v>131539.45242211892</v>
      </c>
      <c r="W73" s="119">
        <f t="shared" si="93"/>
        <v>136015.16481316532</v>
      </c>
      <c r="X73" s="119">
        <f t="shared" si="93"/>
        <v>140809.45952164882</v>
      </c>
      <c r="Y73" s="119">
        <f t="shared" si="93"/>
        <v>145692.7914668649</v>
      </c>
      <c r="Z73" s="119">
        <f t="shared" si="93"/>
        <v>150781.89915515156</v>
      </c>
      <c r="AA73" s="119">
        <f t="shared" si="93"/>
        <v>156017.41367282651</v>
      </c>
      <c r="AB73" s="119">
        <f t="shared" si="93"/>
        <v>161512.73832359788</v>
      </c>
      <c r="AC73" s="119">
        <f t="shared" si="93"/>
        <v>167169.30696038174</v>
      </c>
      <c r="AD73" s="119">
        <f t="shared" si="93"/>
        <v>172994.9296570617</v>
      </c>
      <c r="AE73" s="119">
        <f t="shared" si="93"/>
        <v>85291.1897060419</v>
      </c>
      <c r="AF73" s="119">
        <f t="shared" si="93"/>
        <v>85291.420296873359</v>
      </c>
      <c r="AG73" s="119">
        <f t="shared" si="94"/>
        <v>85291.429817210024</v>
      </c>
      <c r="AH73" s="119">
        <f t="shared" si="94"/>
        <v>85291.549872848002</v>
      </c>
      <c r="AI73" s="119">
        <f t="shared" si="94"/>
        <v>85291.61466080838</v>
      </c>
      <c r="AJ73" s="119">
        <f t="shared" si="94"/>
        <v>85291.707082621011</v>
      </c>
      <c r="AK73" s="119">
        <f t="shared" si="94"/>
        <v>85291.785687500786</v>
      </c>
      <c r="AL73" s="119">
        <f t="shared" si="94"/>
        <v>85291.87120085035</v>
      </c>
      <c r="AM73" s="119">
        <f t="shared" si="94"/>
        <v>85291.953259963338</v>
      </c>
      <c r="AP73" s="181" t="s">
        <v>216</v>
      </c>
      <c r="AQ73" s="180">
        <f t="shared" ref="AQ73:AV73" si="102">SUM(H79:H81)</f>
        <v>0</v>
      </c>
      <c r="AR73" s="180">
        <f t="shared" si="102"/>
        <v>48911.084000000003</v>
      </c>
      <c r="AS73" s="180">
        <f t="shared" si="102"/>
        <v>62826.880499999999</v>
      </c>
      <c r="AT73" s="180">
        <f t="shared" si="102"/>
        <v>180162.79860000001</v>
      </c>
      <c r="AU73" s="180">
        <f t="shared" si="102"/>
        <v>165488.21340000001</v>
      </c>
      <c r="AV73" s="180">
        <f t="shared" si="102"/>
        <v>189474.41469999996</v>
      </c>
      <c r="AW73" s="209">
        <f t="shared" ref="AW73:BF73" si="103">SUM(O70:O72)</f>
        <v>191588.00799788287</v>
      </c>
      <c r="AX73" s="210">
        <f t="shared" si="103"/>
        <v>189735.42282056093</v>
      </c>
      <c r="AY73" s="210">
        <f t="shared" si="103"/>
        <v>200696.54253602304</v>
      </c>
      <c r="AZ73" s="210">
        <f t="shared" si="103"/>
        <v>205592.66397553199</v>
      </c>
      <c r="BA73" s="210">
        <f t="shared" si="103"/>
        <v>213875.92141816253</v>
      </c>
      <c r="BB73" s="210">
        <f t="shared" si="103"/>
        <v>220812.33528040664</v>
      </c>
      <c r="BC73" s="210">
        <f t="shared" si="103"/>
        <v>228885.85102714313</v>
      </c>
      <c r="BD73" s="210">
        <f t="shared" si="103"/>
        <v>236683.255951342</v>
      </c>
      <c r="BE73" s="210">
        <f t="shared" si="103"/>
        <v>244996.93914059323</v>
      </c>
      <c r="BF73" s="211">
        <f t="shared" si="103"/>
        <v>253500.1213360978</v>
      </c>
    </row>
    <row r="74" spans="1:64" ht="12" thickBot="1">
      <c r="A74" s="138" t="s">
        <v>133</v>
      </c>
      <c r="B74" s="138"/>
      <c r="C74" s="138"/>
      <c r="D74" s="138"/>
      <c r="E74" s="138"/>
      <c r="F74" s="138"/>
      <c r="G74" s="138"/>
      <c r="H74" s="138"/>
      <c r="I74" s="13">
        <f t="shared" si="97"/>
        <v>77376.602599999998</v>
      </c>
      <c r="J74" s="13">
        <f t="shared" si="97"/>
        <v>67023.515199999994</v>
      </c>
      <c r="K74" s="13">
        <f t="shared" si="97"/>
        <v>66818.824099999998</v>
      </c>
      <c r="L74" s="13">
        <f t="shared" si="97"/>
        <v>99696.872100000008</v>
      </c>
      <c r="M74" s="13">
        <f t="shared" si="97"/>
        <v>145948.9688</v>
      </c>
      <c r="N74" s="119">
        <f>(SUM(L74:M74)/SUM(L$82:M$82))*N$82-15000</f>
        <v>131573.87052957798</v>
      </c>
      <c r="O74" s="119">
        <f t="shared" si="91"/>
        <v>142811.00793043469</v>
      </c>
      <c r="P74" s="119">
        <f t="shared" si="92"/>
        <v>144383.52531577242</v>
      </c>
      <c r="Q74" s="119">
        <f t="shared" si="93"/>
        <v>151155.01749800376</v>
      </c>
      <c r="R74" s="119">
        <f t="shared" si="93"/>
        <v>155623.92866331543</v>
      </c>
      <c r="S74" s="119">
        <f t="shared" si="93"/>
        <v>161492.42640557067</v>
      </c>
      <c r="T74" s="119">
        <f t="shared" si="93"/>
        <v>166933.12766831083</v>
      </c>
      <c r="U74" s="119">
        <f t="shared" si="93"/>
        <v>172933.04174855759</v>
      </c>
      <c r="V74" s="119">
        <f t="shared" si="93"/>
        <v>178876.93127203602</v>
      </c>
      <c r="W74" s="119">
        <f t="shared" si="93"/>
        <v>185133.34595708741</v>
      </c>
      <c r="X74" s="119">
        <f t="shared" si="93"/>
        <v>191572.43828045935</v>
      </c>
      <c r="Y74" s="119">
        <f t="shared" si="93"/>
        <v>198260.2429215342</v>
      </c>
      <c r="Z74" s="119">
        <f t="shared" si="93"/>
        <v>205163.17697880112</v>
      </c>
      <c r="AA74" s="119">
        <f t="shared" si="93"/>
        <v>212298.31948165275</v>
      </c>
      <c r="AB74" s="119">
        <f t="shared" si="93"/>
        <v>219770.21009757009</v>
      </c>
      <c r="AC74" s="119">
        <f t="shared" si="93"/>
        <v>227470.04086075962</v>
      </c>
      <c r="AD74" s="119">
        <f t="shared" si="93"/>
        <v>235395.56499806771</v>
      </c>
      <c r="AE74" s="119">
        <f t="shared" si="93"/>
        <v>116056.75714259619</v>
      </c>
      <c r="AF74" s="119">
        <f t="shared" si="93"/>
        <v>116056.82797018933</v>
      </c>
      <c r="AG74" s="119">
        <f t="shared" si="94"/>
        <v>116056.96239452435</v>
      </c>
      <c r="AH74" s="119">
        <f t="shared" si="94"/>
        <v>116057.06502047295</v>
      </c>
      <c r="AI74" s="119">
        <f t="shared" si="94"/>
        <v>116057.18354562248</v>
      </c>
      <c r="AJ74" s="119">
        <f t="shared" si="94"/>
        <v>116057.29412116768</v>
      </c>
      <c r="AK74" s="119">
        <f t="shared" si="94"/>
        <v>116057.40867151698</v>
      </c>
      <c r="AL74" s="119">
        <f t="shared" si="94"/>
        <v>116057.52123446326</v>
      </c>
      <c r="AM74" s="119">
        <f t="shared" si="94"/>
        <v>116057.63479111154</v>
      </c>
      <c r="AP74" s="182" t="s">
        <v>217</v>
      </c>
      <c r="AQ74" s="180">
        <f>SUM(AQ70:AQ73)</f>
        <v>0</v>
      </c>
      <c r="AR74" s="180">
        <f>SUM(AR70:AR73)</f>
        <v>559596.43539999996</v>
      </c>
      <c r="AS74" s="180">
        <f>SUM(AS70:AS73)</f>
        <v>535106.49530000007</v>
      </c>
      <c r="AT74" s="180">
        <f>SUM(AT70:AT73)</f>
        <v>670664.74280000001</v>
      </c>
      <c r="AU74" s="180">
        <f>SUM(AU70:AU73)</f>
        <v>797539.02150000003</v>
      </c>
      <c r="AV74" s="183">
        <f>SUM(AV70:AV72)</f>
        <v>1024088.5973</v>
      </c>
      <c r="AW74" s="184">
        <f t="shared" ref="AW74:BF74" si="104">SUM(AW70:AW72)</f>
        <v>1031016.8776260465</v>
      </c>
      <c r="AX74" s="185">
        <f t="shared" si="104"/>
        <v>1050411.9920021172</v>
      </c>
      <c r="AY74" s="185">
        <f t="shared" si="104"/>
        <v>1095264.5771794389</v>
      </c>
      <c r="AZ74" s="185">
        <f t="shared" si="104"/>
        <v>1129303.4574639769</v>
      </c>
      <c r="BA74" s="185">
        <f t="shared" si="104"/>
        <v>1171407.3360244678</v>
      </c>
      <c r="BB74" s="185">
        <f t="shared" si="104"/>
        <v>1211124.0785818375</v>
      </c>
      <c r="BC74" s="185">
        <f t="shared" si="104"/>
        <v>1254187.6647195932</v>
      </c>
      <c r="BD74" s="185">
        <f t="shared" si="104"/>
        <v>1298114.1489728568</v>
      </c>
      <c r="BE74" s="185">
        <f t="shared" si="104"/>
        <v>1343316.7440486578</v>
      </c>
      <c r="BF74" s="186">
        <f t="shared" si="104"/>
        <v>1390003.0608594068</v>
      </c>
      <c r="BG74" s="187">
        <f>(BF74/AW74)^(1/10)-1</f>
        <v>3.0326804062287049E-2</v>
      </c>
    </row>
    <row r="75" spans="1:64">
      <c r="A75" s="138" t="s">
        <v>134</v>
      </c>
      <c r="B75" s="138"/>
      <c r="C75" s="138"/>
      <c r="D75" s="138"/>
      <c r="E75" s="138"/>
      <c r="F75" s="138"/>
      <c r="G75" s="138"/>
      <c r="H75" s="138"/>
      <c r="I75" s="13">
        <f t="shared" si="97"/>
        <v>72074.383600000001</v>
      </c>
      <c r="J75" s="13">
        <f t="shared" si="97"/>
        <v>85911.613199999993</v>
      </c>
      <c r="K75" s="13">
        <f t="shared" si="97"/>
        <v>65881.721700000009</v>
      </c>
      <c r="L75" s="13">
        <f t="shared" si="97"/>
        <v>116576.34469999999</v>
      </c>
      <c r="M75" s="13">
        <f t="shared" si="97"/>
        <v>171856.77479999998</v>
      </c>
      <c r="N75" s="119">
        <f>(SUM(L75:M75)/SUM(L$82:M$82))*N$82-20000</f>
        <v>152104.51664535096</v>
      </c>
      <c r="O75" s="119">
        <f t="shared" si="91"/>
        <v>166707.85969731535</v>
      </c>
      <c r="P75" s="119">
        <f t="shared" si="92"/>
        <v>167761.63128596486</v>
      </c>
      <c r="Q75" s="119">
        <f t="shared" si="93"/>
        <v>176036.57420172644</v>
      </c>
      <c r="R75" s="119">
        <f t="shared" si="93"/>
        <v>181036.37818606154</v>
      </c>
      <c r="S75" s="119">
        <f t="shared" si="93"/>
        <v>187967.84527247795</v>
      </c>
      <c r="T75" s="119">
        <f t="shared" si="93"/>
        <v>194247.40528242171</v>
      </c>
      <c r="U75" s="119">
        <f t="shared" si="93"/>
        <v>201256.09917149376</v>
      </c>
      <c r="V75" s="119">
        <f t="shared" si="93"/>
        <v>208159.7391862713</v>
      </c>
      <c r="W75" s="119">
        <f t="shared" si="93"/>
        <v>215447.34332634241</v>
      </c>
      <c r="X75" s="119">
        <f t="shared" si="93"/>
        <v>222937.22662872239</v>
      </c>
      <c r="Y75" s="119">
        <f t="shared" si="93"/>
        <v>230721.78599077804</v>
      </c>
      <c r="Z75" s="119">
        <f t="shared" si="93"/>
        <v>238754.03161967319</v>
      </c>
      <c r="AA75" s="119">
        <f t="shared" si="93"/>
        <v>247057.86079696775</v>
      </c>
      <c r="AB75" s="119">
        <f t="shared" si="93"/>
        <v>255752.88396547333</v>
      </c>
      <c r="AC75" s="119">
        <f t="shared" si="93"/>
        <v>264713.51840349688</v>
      </c>
      <c r="AD75" s="119">
        <f t="shared" si="93"/>
        <v>273936.62038609845</v>
      </c>
      <c r="AE75" s="119">
        <f t="shared" si="93"/>
        <v>135058.61647753618</v>
      </c>
      <c r="AF75" s="119">
        <f t="shared" si="93"/>
        <v>135058.68891744525</v>
      </c>
      <c r="AG75" s="119">
        <f t="shared" si="94"/>
        <v>135058.85034304616</v>
      </c>
      <c r="AH75" s="119">
        <f t="shared" si="94"/>
        <v>135058.96727577943</v>
      </c>
      <c r="AI75" s="119">
        <f t="shared" si="94"/>
        <v>135059.10645495739</v>
      </c>
      <c r="AJ75" s="119">
        <f t="shared" si="94"/>
        <v>135059.23451090761</v>
      </c>
      <c r="AK75" s="119">
        <f t="shared" si="94"/>
        <v>135059.36812847439</v>
      </c>
      <c r="AL75" s="119">
        <f t="shared" si="94"/>
        <v>135059.49896523156</v>
      </c>
      <c r="AM75" s="119">
        <f t="shared" si="94"/>
        <v>135059.63119239418</v>
      </c>
      <c r="AP75" s="174"/>
      <c r="AQ75" s="174"/>
      <c r="AR75" s="174"/>
      <c r="AS75" s="174"/>
      <c r="AT75" s="174"/>
      <c r="AU75" s="174"/>
      <c r="AV75" s="174"/>
      <c r="AW75" s="174"/>
      <c r="AX75" s="174"/>
      <c r="AY75" s="174"/>
      <c r="AZ75" s="174"/>
      <c r="BA75" s="174"/>
      <c r="BB75" s="174"/>
      <c r="BC75" s="174"/>
      <c r="BD75" s="174"/>
      <c r="BE75" s="174"/>
      <c r="BF75" s="174"/>
    </row>
    <row r="76" spans="1:64">
      <c r="A76" s="138" t="s">
        <v>135</v>
      </c>
      <c r="B76" s="138"/>
      <c r="C76" s="138"/>
      <c r="D76" s="138"/>
      <c r="E76" s="138"/>
      <c r="F76" s="138"/>
      <c r="G76" s="138"/>
      <c r="H76" s="138"/>
      <c r="I76" s="13">
        <f t="shared" si="97"/>
        <v>55675.984199999992</v>
      </c>
      <c r="J76" s="13">
        <f t="shared" si="97"/>
        <v>58345.174400000004</v>
      </c>
      <c r="K76" s="13">
        <f t="shared" si="97"/>
        <v>66976.998800000001</v>
      </c>
      <c r="L76" s="13">
        <f t="shared" si="97"/>
        <v>88401.919200000004</v>
      </c>
      <c r="M76" s="13">
        <f t="shared" si="97"/>
        <v>147199.4566</v>
      </c>
      <c r="N76" s="119">
        <f>(SUM(L76:M76)/SUM(L$82:M$82))*N$82-15000</f>
        <v>125580.46098634208</v>
      </c>
      <c r="O76" s="119">
        <f t="shared" si="91"/>
        <v>140370.33877209452</v>
      </c>
      <c r="P76" s="119">
        <f t="shared" si="92"/>
        <v>139945.44540933296</v>
      </c>
      <c r="Q76" s="119">
        <f t="shared" si="93"/>
        <v>147534.62325338286</v>
      </c>
      <c r="R76" s="119">
        <f t="shared" si="93"/>
        <v>151380.51799180105</v>
      </c>
      <c r="S76" s="119">
        <f t="shared" si="93"/>
        <v>157352.81724210826</v>
      </c>
      <c r="T76" s="119">
        <f t="shared" si="93"/>
        <v>162520.22465025561</v>
      </c>
      <c r="U76" s="119">
        <f t="shared" si="93"/>
        <v>168429.70171366882</v>
      </c>
      <c r="V76" s="119">
        <f t="shared" si="93"/>
        <v>174184.17177048652</v>
      </c>
      <c r="W76" s="119">
        <f t="shared" si="93"/>
        <v>180294.07246430448</v>
      </c>
      <c r="X76" s="119">
        <f t="shared" si="93"/>
        <v>186555.89090054942</v>
      </c>
      <c r="Y76" s="119">
        <f t="shared" si="93"/>
        <v>193073.12469247344</v>
      </c>
      <c r="Z76" s="119">
        <f t="shared" si="93"/>
        <v>199793.138615904</v>
      </c>
      <c r="AA76" s="119">
        <f t="shared" si="93"/>
        <v>206742.70101128481</v>
      </c>
      <c r="AB76" s="119">
        <f t="shared" si="93"/>
        <v>214018.46073131906</v>
      </c>
      <c r="AC76" s="119">
        <f t="shared" si="93"/>
        <v>221517.07912497147</v>
      </c>
      <c r="AD76" s="119">
        <f t="shared" si="93"/>
        <v>229235.03477499445</v>
      </c>
      <c r="AE76" s="119">
        <f t="shared" si="93"/>
        <v>113019.47682488954</v>
      </c>
      <c r="AF76" s="119">
        <f t="shared" si="93"/>
        <v>113019.52063606266</v>
      </c>
      <c r="AG76" s="119">
        <f t="shared" si="94"/>
        <v>113019.66412381566</v>
      </c>
      <c r="AH76" s="119">
        <f t="shared" si="94"/>
        <v>113019.75777325439</v>
      </c>
      <c r="AI76" s="119">
        <f t="shared" si="94"/>
        <v>113019.87634186241</v>
      </c>
      <c r="AJ76" s="119">
        <f t="shared" si="94"/>
        <v>113019.9824508797</v>
      </c>
      <c r="AK76" s="119">
        <f t="shared" si="94"/>
        <v>113020.09478969542</v>
      </c>
      <c r="AL76" s="119">
        <f t="shared" si="94"/>
        <v>113020.20401361039</v>
      </c>
      <c r="AM76" s="119">
        <f t="shared" si="94"/>
        <v>113020.3147949765</v>
      </c>
      <c r="AP76" s="188" t="s">
        <v>218</v>
      </c>
      <c r="AQ76" s="189"/>
      <c r="AR76" s="189">
        <f t="shared" ref="AR76:BF76" si="105">AR72/AR71-1</f>
        <v>-0.11926048782407817</v>
      </c>
      <c r="AS76" s="189">
        <f t="shared" si="105"/>
        <v>-0.21624071647668264</v>
      </c>
      <c r="AT76" s="189">
        <f t="shared" si="105"/>
        <v>0.22594747666726755</v>
      </c>
      <c r="AU76" s="189">
        <f t="shared" si="105"/>
        <v>-0.33729716907635132</v>
      </c>
      <c r="AV76" s="189">
        <f t="shared" si="105"/>
        <v>0.10943180651447593</v>
      </c>
      <c r="AW76" s="190">
        <f t="shared" si="105"/>
        <v>-0.2716017276614513</v>
      </c>
      <c r="AX76" s="190">
        <f t="shared" si="105"/>
        <v>-0.42825452815587062</v>
      </c>
      <c r="AY76" s="190">
        <f t="shared" si="105"/>
        <v>-0.35441592531392607</v>
      </c>
      <c r="AZ76" s="190">
        <f t="shared" si="105"/>
        <v>-0.39142062607017758</v>
      </c>
      <c r="BA76" s="190">
        <f t="shared" si="105"/>
        <v>-0.37341410420858145</v>
      </c>
      <c r="BB76" s="190">
        <f t="shared" si="105"/>
        <v>-0.38230327765935501</v>
      </c>
      <c r="BC76" s="190">
        <f t="shared" si="105"/>
        <v>-0.37794509570976753</v>
      </c>
      <c r="BD76" s="190">
        <f t="shared" si="105"/>
        <v>-0.38008908693809906</v>
      </c>
      <c r="BE76" s="190">
        <f t="shared" si="105"/>
        <v>-0.37903625779654715</v>
      </c>
      <c r="BF76" s="190">
        <f t="shared" si="105"/>
        <v>-0.37955383680145582</v>
      </c>
    </row>
    <row r="77" spans="1:64">
      <c r="A77" s="138" t="s">
        <v>136</v>
      </c>
      <c r="B77" s="138"/>
      <c r="C77" s="138"/>
      <c r="D77" s="138"/>
      <c r="E77" s="138"/>
      <c r="F77" s="138"/>
      <c r="G77" s="138"/>
      <c r="H77" s="138"/>
      <c r="I77" s="13">
        <f t="shared" si="97"/>
        <v>67638.936300000016</v>
      </c>
      <c r="J77" s="13">
        <f t="shared" si="97"/>
        <v>65803.67750000002</v>
      </c>
      <c r="K77" s="13">
        <f t="shared" si="97"/>
        <v>77424.458199999994</v>
      </c>
      <c r="L77" s="13">
        <f t="shared" si="97"/>
        <v>76583.258600000001</v>
      </c>
      <c r="M77" s="13">
        <f t="shared" si="97"/>
        <v>122065.30030000003</v>
      </c>
      <c r="N77" s="119">
        <f>(SUM(L77:M77)/SUM(L$82:M$82))*N$82-10000</f>
        <v>108531.16684743286</v>
      </c>
      <c r="O77" s="119">
        <f t="shared" si="91"/>
        <v>118663.0764447229</v>
      </c>
      <c r="P77" s="119">
        <f t="shared" si="92"/>
        <v>119551.43432859138</v>
      </c>
      <c r="Q77" s="119">
        <f t="shared" si="93"/>
        <v>125376.05830174436</v>
      </c>
      <c r="R77" s="119">
        <f t="shared" si="93"/>
        <v>128973.29153039094</v>
      </c>
      <c r="S77" s="119">
        <f t="shared" si="93"/>
        <v>133892.80513882262</v>
      </c>
      <c r="T77" s="119">
        <f t="shared" si="93"/>
        <v>138375.26502037473</v>
      </c>
      <c r="U77" s="119">
        <f t="shared" si="93"/>
        <v>143363.22177003251</v>
      </c>
      <c r="V77" s="119">
        <f t="shared" si="93"/>
        <v>148283.41410021432</v>
      </c>
      <c r="W77" s="119">
        <f t="shared" si="93"/>
        <v>153473.52740516688</v>
      </c>
      <c r="X77" s="119">
        <f t="shared" si="93"/>
        <v>158809.56299443389</v>
      </c>
      <c r="Y77" s="119">
        <f t="shared" si="93"/>
        <v>164354.58109098315</v>
      </c>
      <c r="Z77" s="119">
        <f t="shared" si="93"/>
        <v>170076.51149659473</v>
      </c>
      <c r="AA77" s="119">
        <f t="shared" si="93"/>
        <v>175991.66393536585</v>
      </c>
      <c r="AB77" s="119">
        <f t="shared" si="93"/>
        <v>182185.60578069856</v>
      </c>
      <c r="AC77" s="119">
        <f t="shared" si="93"/>
        <v>188568.69362148154</v>
      </c>
      <c r="AD77" s="119">
        <f t="shared" si="93"/>
        <v>195138.78188788163</v>
      </c>
      <c r="AE77" s="119">
        <f t="shared" si="93"/>
        <v>96209.017769557322</v>
      </c>
      <c r="AF77" s="119">
        <f t="shared" si="93"/>
        <v>96209.071143378111</v>
      </c>
      <c r="AG77" s="119">
        <f t="shared" si="94"/>
        <v>96209.185249298476</v>
      </c>
      <c r="AH77" s="119">
        <f t="shared" si="94"/>
        <v>96209.26898915424</v>
      </c>
      <c r="AI77" s="119">
        <f t="shared" si="94"/>
        <v>96209.367912049711</v>
      </c>
      <c r="AJ77" s="119">
        <f t="shared" si="94"/>
        <v>96209.459243421632</v>
      </c>
      <c r="AK77" s="119">
        <f t="shared" si="94"/>
        <v>96209.554370557176</v>
      </c>
      <c r="AL77" s="119">
        <f t="shared" si="94"/>
        <v>96209.647599809978</v>
      </c>
      <c r="AM77" s="119">
        <f t="shared" si="94"/>
        <v>96209.741778004638</v>
      </c>
      <c r="AP77" s="188"/>
      <c r="AQ77" s="191"/>
      <c r="AR77" s="191">
        <f t="shared" ref="AR77:BF77" si="106">AR72-AR71</f>
        <v>-25748.400799999945</v>
      </c>
      <c r="AS77" s="191">
        <f t="shared" si="106"/>
        <v>-45959.096199999971</v>
      </c>
      <c r="AT77" s="191">
        <f t="shared" si="106"/>
        <v>42965.083999999973</v>
      </c>
      <c r="AU77" s="191">
        <f t="shared" si="106"/>
        <v>-113791.79039999994</v>
      </c>
      <c r="AV77" s="191">
        <f t="shared" si="106"/>
        <v>42578.942299999995</v>
      </c>
      <c r="AW77" s="192">
        <f t="shared" si="106"/>
        <v>-99399.39090909221</v>
      </c>
      <c r="AX77" s="192">
        <f t="shared" si="106"/>
        <v>-175782.03452941059</v>
      </c>
      <c r="AY77" s="192">
        <f t="shared" si="106"/>
        <v>-144802.67472910602</v>
      </c>
      <c r="AZ77" s="192">
        <f t="shared" si="106"/>
        <v>-168728.79434658773</v>
      </c>
      <c r="BA77" s="192">
        <f t="shared" si="106"/>
        <v>-165098.59767389315</v>
      </c>
      <c r="BB77" s="192">
        <f t="shared" si="106"/>
        <v>-175731.08002555789</v>
      </c>
      <c r="BC77" s="192">
        <f t="shared" si="106"/>
        <v>-179416.05089460732</v>
      </c>
      <c r="BD77" s="192">
        <f t="shared" si="106"/>
        <v>-187003.33410865249</v>
      </c>
      <c r="BE77" s="192">
        <f t="shared" si="106"/>
        <v>-192852.30789645261</v>
      </c>
      <c r="BF77" s="192">
        <f t="shared" si="106"/>
        <v>-199891.84894700581</v>
      </c>
    </row>
    <row r="78" spans="1:64">
      <c r="A78" s="138" t="s">
        <v>137</v>
      </c>
      <c r="B78" s="138"/>
      <c r="C78" s="138"/>
      <c r="D78" s="138"/>
      <c r="E78" s="138"/>
      <c r="F78" s="138"/>
      <c r="G78" s="138"/>
      <c r="H78" s="138"/>
      <c r="I78" s="13">
        <f t="shared" si="97"/>
        <v>66837.194200000013</v>
      </c>
      <c r="J78" s="13">
        <f t="shared" si="97"/>
        <v>42428.78850000001</v>
      </c>
      <c r="K78" s="13">
        <f t="shared" si="97"/>
        <v>88718.811000000002</v>
      </c>
      <c r="L78" s="13">
        <f t="shared" si="97"/>
        <v>58586.641199999998</v>
      </c>
      <c r="M78" s="13">
        <f t="shared" si="97"/>
        <v>162405.28839999999</v>
      </c>
      <c r="N78" s="119">
        <f>(SUM(L78:M78)/SUM(L$82:M$82))*N$82</f>
        <v>131863.18302233468</v>
      </c>
      <c r="O78" s="119">
        <f t="shared" si="91"/>
        <v>151428.1747314661</v>
      </c>
      <c r="P78" s="119">
        <f t="shared" si="92"/>
        <v>149070.18620541933</v>
      </c>
      <c r="Q78" s="119">
        <f t="shared" si="93"/>
        <v>158157.032072045</v>
      </c>
      <c r="R78" s="119">
        <f t="shared" si="93"/>
        <v>161778.92144094393</v>
      </c>
      <c r="S78" s="119">
        <f t="shared" si="93"/>
        <v>168418.44616032849</v>
      </c>
      <c r="T78" s="119">
        <f t="shared" si="93"/>
        <v>173819.09964735075</v>
      </c>
      <c r="U78" s="119">
        <f t="shared" si="93"/>
        <v>180205.76980976766</v>
      </c>
      <c r="V78" s="119">
        <f t="shared" si="93"/>
        <v>186328.8786616413</v>
      </c>
      <c r="W78" s="119">
        <f t="shared" si="93"/>
        <v>192881.9279854373</v>
      </c>
      <c r="X78" s="119">
        <f t="shared" si="93"/>
        <v>199572.21923696951</v>
      </c>
      <c r="Y78" s="119">
        <f t="shared" si="93"/>
        <v>206548.60588711582</v>
      </c>
      <c r="Z78" s="119">
        <f t="shared" si="93"/>
        <v>213735.38632728509</v>
      </c>
      <c r="AA78" s="119">
        <f t="shared" si="93"/>
        <v>221171.05961324775</v>
      </c>
      <c r="AB78" s="119">
        <f t="shared" si="93"/>
        <v>228954.0036806548</v>
      </c>
      <c r="AC78" s="119">
        <f t="shared" si="93"/>
        <v>236976.21911882868</v>
      </c>
      <c r="AD78" s="119">
        <f t="shared" si="93"/>
        <v>245232.6413164876</v>
      </c>
      <c r="AE78" s="119">
        <f t="shared" si="93"/>
        <v>120906.79432469711</v>
      </c>
      <c r="AF78" s="119">
        <f t="shared" si="93"/>
        <v>120906.81670984649</v>
      </c>
      <c r="AG78" s="119">
        <f t="shared" si="94"/>
        <v>120906.98245293832</v>
      </c>
      <c r="AH78" s="119">
        <f t="shared" si="94"/>
        <v>120907.07651702398</v>
      </c>
      <c r="AI78" s="119">
        <f t="shared" si="94"/>
        <v>120907.20642063019</v>
      </c>
      <c r="AJ78" s="119">
        <f t="shared" si="94"/>
        <v>120907.3184044674</v>
      </c>
      <c r="AK78" s="119">
        <f t="shared" si="94"/>
        <v>120907.43934819347</v>
      </c>
      <c r="AL78" s="119">
        <f t="shared" si="94"/>
        <v>120907.55581197292</v>
      </c>
      <c r="AM78" s="119">
        <f t="shared" si="94"/>
        <v>120907.6745157268</v>
      </c>
      <c r="AP78" s="193" t="s">
        <v>219</v>
      </c>
      <c r="AQ78" s="194"/>
      <c r="AR78" s="194" t="e">
        <f t="shared" ref="AR78:BF78" si="107">AR72/AQ72-1</f>
        <v>#DIV/0!</v>
      </c>
      <c r="AS78" s="194">
        <f t="shared" si="107"/>
        <v>-0.1239769241440889</v>
      </c>
      <c r="AT78" s="194">
        <f t="shared" si="107"/>
        <v>0.39946914507980957</v>
      </c>
      <c r="AU78" s="194">
        <f t="shared" si="107"/>
        <v>-4.0959325767418786E-2</v>
      </c>
      <c r="AV78" s="194">
        <f t="shared" si="107"/>
        <v>0.93078916310109716</v>
      </c>
      <c r="AW78" s="195">
        <f t="shared" si="107"/>
        <v>-0.38245559809054142</v>
      </c>
      <c r="AX78" s="195">
        <f t="shared" si="107"/>
        <v>-0.11965043339136017</v>
      </c>
      <c r="AY78" s="195">
        <f t="shared" si="107"/>
        <v>0.12393425470511077</v>
      </c>
      <c r="AZ78" s="195">
        <f t="shared" si="107"/>
        <v>-5.404338042337975E-3</v>
      </c>
      <c r="BA78" s="195">
        <f t="shared" si="107"/>
        <v>5.6016141443889556E-2</v>
      </c>
      <c r="BB78" s="195">
        <f t="shared" si="107"/>
        <v>2.4902545922945274E-2</v>
      </c>
      <c r="BC78" s="195">
        <f t="shared" si="107"/>
        <v>4.0028987005304328E-2</v>
      </c>
      <c r="BD78" s="195">
        <f t="shared" si="107"/>
        <v>3.2837347632043823E-2</v>
      </c>
      <c r="BE78" s="195">
        <f t="shared" si="107"/>
        <v>3.589824278092868E-2</v>
      </c>
      <c r="BF78" s="195">
        <f t="shared" si="107"/>
        <v>3.422605560157721E-2</v>
      </c>
    </row>
    <row r="79" spans="1:64">
      <c r="A79" s="138" t="s">
        <v>138</v>
      </c>
      <c r="B79" s="138"/>
      <c r="C79" s="138"/>
      <c r="D79" s="138"/>
      <c r="E79" s="138"/>
      <c r="F79" s="138"/>
      <c r="G79" s="138"/>
      <c r="H79" s="138"/>
      <c r="I79" s="13">
        <f t="shared" si="97"/>
        <v>19586.047900000001</v>
      </c>
      <c r="J79" s="13">
        <f t="shared" si="97"/>
        <v>26833.217499999999</v>
      </c>
      <c r="K79" s="13">
        <f t="shared" si="97"/>
        <v>85616.248200000002</v>
      </c>
      <c r="L79" s="13">
        <f t="shared" si="97"/>
        <v>58353.588999999993</v>
      </c>
      <c r="M79" s="13">
        <f t="shared" si="97"/>
        <v>36421.603600000002</v>
      </c>
      <c r="N79" s="119">
        <f>(SUM(L79:M79)/SUM(L$82:M$82))*N$82+30000</f>
        <v>86551.198907631158</v>
      </c>
      <c r="O79" s="119">
        <f t="shared" si="91"/>
        <v>63280.809307694959</v>
      </c>
      <c r="P79" s="119">
        <f t="shared" si="92"/>
        <v>78842.80530577153</v>
      </c>
      <c r="Q79" s="119">
        <f t="shared" si="93"/>
        <v>74801.902428140253</v>
      </c>
      <c r="R79" s="119">
        <f t="shared" si="93"/>
        <v>80905.836539042648</v>
      </c>
      <c r="S79" s="119">
        <f t="shared" si="93"/>
        <v>81966.578510615305</v>
      </c>
      <c r="T79" s="119">
        <f t="shared" si="93"/>
        <v>85737.620341986258</v>
      </c>
      <c r="U79" s="119">
        <f t="shared" si="93"/>
        <v>88304.935051007793</v>
      </c>
      <c r="V79" s="119">
        <f t="shared" si="93"/>
        <v>91601.344943681077</v>
      </c>
      <c r="W79" s="119">
        <f t="shared" si="93"/>
        <v>94672.27801458523</v>
      </c>
      <c r="X79" s="119">
        <f t="shared" si="93"/>
        <v>98032.650091877615</v>
      </c>
      <c r="Y79" s="119">
        <f t="shared" si="93"/>
        <v>101420.59787027846</v>
      </c>
      <c r="Z79" s="119">
        <f t="shared" si="93"/>
        <v>104969.29576166913</v>
      </c>
      <c r="AA79" s="119">
        <f t="shared" si="93"/>
        <v>108611.01615489804</v>
      </c>
      <c r="AB79" s="119">
        <f t="shared" si="93"/>
        <v>112438.13003256221</v>
      </c>
      <c r="AC79" s="119">
        <f t="shared" si="93"/>
        <v>116375.19252898524</v>
      </c>
      <c r="AD79" s="119">
        <f t="shared" si="93"/>
        <v>120431.11331783724</v>
      </c>
      <c r="AE79" s="119">
        <f t="shared" si="93"/>
        <v>59375.705560378701</v>
      </c>
      <c r="AF79" s="119">
        <f t="shared" si="93"/>
        <v>59375.931618013456</v>
      </c>
      <c r="AG79" s="119">
        <f t="shared" si="94"/>
        <v>59375.905480086898</v>
      </c>
      <c r="AH79" s="119">
        <f t="shared" si="94"/>
        <v>59376.005440002511</v>
      </c>
      <c r="AI79" s="119">
        <f t="shared" si="94"/>
        <v>59376.04235096628</v>
      </c>
      <c r="AJ79" s="119">
        <f t="shared" si="94"/>
        <v>59376.110786421348</v>
      </c>
      <c r="AK79" s="119">
        <f t="shared" si="94"/>
        <v>59376.16345962308</v>
      </c>
      <c r="AL79" s="119">
        <f t="shared" si="94"/>
        <v>59376.224013955325</v>
      </c>
      <c r="AM79" s="119">
        <f t="shared" si="94"/>
        <v>59376.280627720393</v>
      </c>
      <c r="AP79" s="193"/>
      <c r="AQ79" s="196"/>
      <c r="AR79" s="196">
        <f t="shared" ref="AR79:BF79" si="108">AR72-AQ72</f>
        <v>190152.11470000003</v>
      </c>
      <c r="AS79" s="196">
        <f t="shared" si="108"/>
        <v>-23574.474300000002</v>
      </c>
      <c r="AT79" s="196">
        <f t="shared" si="108"/>
        <v>66542.627599999949</v>
      </c>
      <c r="AU79" s="196">
        <f t="shared" si="108"/>
        <v>-9548.4489999999641</v>
      </c>
      <c r="AV79" s="196">
        <f t="shared" si="108"/>
        <v>208098.22629999998</v>
      </c>
      <c r="AW79" s="197">
        <f t="shared" si="108"/>
        <v>-165094.62535298261</v>
      </c>
      <c r="AX79" s="197">
        <f t="shared" si="108"/>
        <v>-31895.864528144477</v>
      </c>
      <c r="AY79" s="197">
        <f t="shared" si="108"/>
        <v>29084.83579536475</v>
      </c>
      <c r="AZ79" s="197">
        <f t="shared" si="108"/>
        <v>-1425.4719336532289</v>
      </c>
      <c r="BA79" s="197">
        <f t="shared" si="108"/>
        <v>14695.214008658368</v>
      </c>
      <c r="BB79" s="197">
        <f t="shared" si="108"/>
        <v>6898.8552264586906</v>
      </c>
      <c r="BC79" s="197">
        <f t="shared" si="108"/>
        <v>11365.549907672219</v>
      </c>
      <c r="BD79" s="197">
        <f t="shared" si="108"/>
        <v>9696.8207614427665</v>
      </c>
      <c r="BE79" s="197">
        <f t="shared" si="108"/>
        <v>10948.797451073071</v>
      </c>
      <c r="BF79" s="197">
        <f t="shared" si="108"/>
        <v>10813.522272013361</v>
      </c>
    </row>
    <row r="80" spans="1:64">
      <c r="A80" s="138" t="s">
        <v>139</v>
      </c>
      <c r="B80" s="138"/>
      <c r="C80" s="138"/>
      <c r="D80" s="138"/>
      <c r="E80" s="138"/>
      <c r="F80" s="138"/>
      <c r="G80" s="138"/>
      <c r="H80" s="138"/>
      <c r="I80" s="13">
        <f t="shared" si="97"/>
        <v>13526.885699999999</v>
      </c>
      <c r="J80" s="13">
        <f t="shared" si="97"/>
        <v>18210.125099999997</v>
      </c>
      <c r="K80" s="13">
        <f t="shared" si="97"/>
        <v>31385.3891</v>
      </c>
      <c r="L80" s="13">
        <f t="shared" si="97"/>
        <v>52934.109300000011</v>
      </c>
      <c r="M80" s="13">
        <f t="shared" si="97"/>
        <v>72230.089299999992</v>
      </c>
      <c r="N80" s="119">
        <f>(SUM(L80:M80)/SUM(L$82:M$82))*N$82</f>
        <v>74683.947317484519</v>
      </c>
      <c r="O80" s="119">
        <f t="shared" si="91"/>
        <v>75600.774693557396</v>
      </c>
      <c r="P80" s="119">
        <f t="shared" si="92"/>
        <v>79081.02693865227</v>
      </c>
      <c r="Q80" s="119">
        <f t="shared" si="93"/>
        <v>81411.474543268254</v>
      </c>
      <c r="R80" s="119">
        <f t="shared" si="93"/>
        <v>84511.730225852618</v>
      </c>
      <c r="S80" s="119">
        <f t="shared" si="93"/>
        <v>87344.13254377438</v>
      </c>
      <c r="T80" s="119">
        <f t="shared" si="93"/>
        <v>90466.594427266187</v>
      </c>
      <c r="U80" s="119">
        <f t="shared" si="93"/>
        <v>93626.544856820328</v>
      </c>
      <c r="V80" s="119">
        <f t="shared" si="93"/>
        <v>96891.125938992918</v>
      </c>
      <c r="W80" s="119">
        <f t="shared" si="93"/>
        <v>100256.32177378651</v>
      </c>
      <c r="X80" s="119">
        <f t="shared" si="93"/>
        <v>103755.35972940056</v>
      </c>
      <c r="Y80" s="119">
        <f t="shared" si="93"/>
        <v>107371.34184312609</v>
      </c>
      <c r="Z80" s="119">
        <f t="shared" si="93"/>
        <v>111112.8618209173</v>
      </c>
      <c r="AA80" s="119">
        <f t="shared" si="93"/>
        <v>114975.54921978146</v>
      </c>
      <c r="AB80" s="119">
        <f t="shared" si="93"/>
        <v>119022.9470653638</v>
      </c>
      <c r="AC80" s="119">
        <f t="shared" si="93"/>
        <v>123192.60456940693</v>
      </c>
      <c r="AD80" s="119">
        <f t="shared" si="93"/>
        <v>127485.09667055402</v>
      </c>
      <c r="AE80" s="119">
        <f t="shared" si="93"/>
        <v>62853.754363299275</v>
      </c>
      <c r="AF80" s="119">
        <f t="shared" si="93"/>
        <v>62853.826533085587</v>
      </c>
      <c r="AG80" s="119">
        <f t="shared" si="94"/>
        <v>62853.882428765894</v>
      </c>
      <c r="AH80" s="119">
        <f t="shared" si="94"/>
        <v>62853.946461503176</v>
      </c>
      <c r="AI80" s="119">
        <f t="shared" si="94"/>
        <v>62854.00642570998</v>
      </c>
      <c r="AJ80" s="119">
        <f t="shared" si="94"/>
        <v>62854.068424183017</v>
      </c>
      <c r="AK80" s="119">
        <f t="shared" si="94"/>
        <v>62854.129405522435</v>
      </c>
      <c r="AL80" s="119">
        <f t="shared" si="94"/>
        <v>62854.190895428925</v>
      </c>
      <c r="AM80" s="119">
        <f t="shared" si="94"/>
        <v>62854.252131051748</v>
      </c>
      <c r="AP80" s="198" t="s">
        <v>219</v>
      </c>
      <c r="AQ80" s="189"/>
      <c r="AR80" s="189" t="e">
        <f t="shared" ref="AR80:BF80" si="109">AR74/AQ74-1</f>
        <v>#DIV/0!</v>
      </c>
      <c r="AS80" s="189">
        <f t="shared" si="109"/>
        <v>-4.3763574159464524E-2</v>
      </c>
      <c r="AT80" s="189">
        <f t="shared" si="109"/>
        <v>0.2533294749561974</v>
      </c>
      <c r="AU80" s="189">
        <f t="shared" si="109"/>
        <v>0.18917690256133746</v>
      </c>
      <c r="AV80" s="190">
        <f t="shared" si="109"/>
        <v>0.28406080416467749</v>
      </c>
      <c r="AW80" s="190">
        <f t="shared" si="109"/>
        <v>6.7653134155705175E-3</v>
      </c>
      <c r="AX80" s="190">
        <f t="shared" si="109"/>
        <v>1.881163615936976E-2</v>
      </c>
      <c r="AY80" s="190">
        <f t="shared" si="109"/>
        <v>4.2699993449076379E-2</v>
      </c>
      <c r="AZ80" s="190">
        <f t="shared" si="109"/>
        <v>3.1078226205576875E-2</v>
      </c>
      <c r="BA80" s="190">
        <f t="shared" si="109"/>
        <v>3.7283051142906753E-2</v>
      </c>
      <c r="BB80" s="190">
        <f t="shared" si="109"/>
        <v>3.390515095471458E-2</v>
      </c>
      <c r="BC80" s="190">
        <f t="shared" si="109"/>
        <v>3.55567087628057E-2</v>
      </c>
      <c r="BD80" s="190">
        <f t="shared" si="109"/>
        <v>3.5023852880170514E-2</v>
      </c>
      <c r="BE80" s="190">
        <f t="shared" si="109"/>
        <v>3.4821741301847675E-2</v>
      </c>
      <c r="BF80" s="190">
        <f t="shared" si="109"/>
        <v>3.4754511188507919E-2</v>
      </c>
    </row>
    <row r="81" spans="1:65">
      <c r="A81" s="138" t="s">
        <v>140</v>
      </c>
      <c r="B81" s="138"/>
      <c r="C81" s="138"/>
      <c r="D81" s="138"/>
      <c r="E81" s="138"/>
      <c r="F81" s="138"/>
      <c r="G81" s="138"/>
      <c r="H81" s="138"/>
      <c r="I81" s="13">
        <f t="shared" si="97"/>
        <v>15798.150400000002</v>
      </c>
      <c r="J81" s="13">
        <f t="shared" si="97"/>
        <v>17783.537899999999</v>
      </c>
      <c r="K81" s="13">
        <f t="shared" si="97"/>
        <v>63161.161300000007</v>
      </c>
      <c r="L81" s="13">
        <f t="shared" si="97"/>
        <v>54200.515099999997</v>
      </c>
      <c r="M81" s="13">
        <f t="shared" si="97"/>
        <v>80822.721799999985</v>
      </c>
      <c r="N81" s="119">
        <f t="shared" ref="N81:Y81" si="110">N82-SUM(N70:N80)</f>
        <v>105340.2737219017</v>
      </c>
      <c r="O81" s="119">
        <f t="shared" si="110"/>
        <v>95797.971417620545</v>
      </c>
      <c r="P81" s="119">
        <f t="shared" si="110"/>
        <v>105840.55896981386</v>
      </c>
      <c r="Q81" s="119">
        <f t="shared" si="110"/>
        <v>106125.54230917594</v>
      </c>
      <c r="R81" s="119">
        <f t="shared" si="110"/>
        <v>111616.56652434752</v>
      </c>
      <c r="S81" s="119">
        <f t="shared" si="110"/>
        <v>114622.27746131178</v>
      </c>
      <c r="T81" s="119">
        <f t="shared" si="110"/>
        <v>119094.32365412125</v>
      </c>
      <c r="U81" s="119">
        <f t="shared" si="110"/>
        <v>123063.87927698833</v>
      </c>
      <c r="V81" s="119">
        <f t="shared" si="110"/>
        <v>127451.68575321557</v>
      </c>
      <c r="W81" s="119">
        <f t="shared" si="110"/>
        <v>131829.0791195312</v>
      </c>
      <c r="X81" s="119">
        <f t="shared" si="110"/>
        <v>136455.07127984054</v>
      </c>
      <c r="Y81" s="119">
        <f t="shared" si="110"/>
        <v>141197.94029134372</v>
      </c>
      <c r="Z81" s="119">
        <f t="shared" ref="Z81:AE81" si="111">Z82-SUM(Z70:Z80)</f>
        <v>146124.67527359468</v>
      </c>
      <c r="AA81" s="119">
        <f t="shared" si="111"/>
        <v>151201.20802252577</v>
      </c>
      <c r="AB81" s="119">
        <f t="shared" si="111"/>
        <v>156525.50568965799</v>
      </c>
      <c r="AC81" s="119">
        <f t="shared" si="111"/>
        <v>162008.11526409257</v>
      </c>
      <c r="AD81" s="119">
        <f t="shared" si="111"/>
        <v>167653.51847160677</v>
      </c>
      <c r="AE81" s="119">
        <f t="shared" si="111"/>
        <v>82657.816181236412</v>
      </c>
      <c r="AF81" s="119">
        <f t="shared" ref="AF81:AK81" si="112">AF82-SUM(AF70:AF80)</f>
        <v>82657.981395173585</v>
      </c>
      <c r="AG81" s="119">
        <f t="shared" si="112"/>
        <v>82658.019750216627</v>
      </c>
      <c r="AH81" s="119">
        <f t="shared" si="112"/>
        <v>82658.121534737642</v>
      </c>
      <c r="AI81" s="119">
        <f t="shared" si="112"/>
        <v>82658.191604504362</v>
      </c>
      <c r="AJ81" s="119">
        <f t="shared" si="112"/>
        <v>82658.277531655738</v>
      </c>
      <c r="AK81" s="119">
        <f t="shared" si="112"/>
        <v>82658.355530110886</v>
      </c>
      <c r="AL81" s="119">
        <f>AL82-SUM(AL70:AL80)</f>
        <v>82658.437492916477</v>
      </c>
      <c r="AM81" s="119">
        <f>AM82-SUM(AM70:AM80)</f>
        <v>82658.517473545624</v>
      </c>
      <c r="AP81" s="198"/>
      <c r="AQ81" s="191"/>
      <c r="AR81" s="191">
        <f t="shared" ref="AR81:BF81" si="113">AR74-AQ74</f>
        <v>559596.43539999996</v>
      </c>
      <c r="AS81" s="191">
        <f t="shared" si="113"/>
        <v>-24489.940099999891</v>
      </c>
      <c r="AT81" s="191">
        <f t="shared" si="113"/>
        <v>135558.24749999994</v>
      </c>
      <c r="AU81" s="191">
        <f t="shared" si="113"/>
        <v>126874.27870000002</v>
      </c>
      <c r="AV81" s="192">
        <f t="shared" si="113"/>
        <v>226549.57579999999</v>
      </c>
      <c r="AW81" s="192">
        <f t="shared" si="113"/>
        <v>6928.2803260465153</v>
      </c>
      <c r="AX81" s="192">
        <f t="shared" si="113"/>
        <v>19395.114376070676</v>
      </c>
      <c r="AY81" s="192">
        <f t="shared" si="113"/>
        <v>44852.585177321685</v>
      </c>
      <c r="AZ81" s="192">
        <f t="shared" si="113"/>
        <v>34038.880284538027</v>
      </c>
      <c r="BA81" s="192">
        <f t="shared" si="113"/>
        <v>42103.878560490906</v>
      </c>
      <c r="BB81" s="192">
        <f t="shared" si="113"/>
        <v>39716.742557369638</v>
      </c>
      <c r="BC81" s="192">
        <f t="shared" si="113"/>
        <v>43063.586137755774</v>
      </c>
      <c r="BD81" s="192">
        <f t="shared" si="113"/>
        <v>43926.484253263567</v>
      </c>
      <c r="BE81" s="192">
        <f t="shared" si="113"/>
        <v>45202.595075801015</v>
      </c>
      <c r="BF81" s="192">
        <f t="shared" si="113"/>
        <v>46686.316810749006</v>
      </c>
    </row>
    <row r="82" spans="1:65" ht="12" thickBot="1">
      <c r="A82" s="138" t="s">
        <v>141</v>
      </c>
      <c r="B82" s="138"/>
      <c r="C82" s="138"/>
      <c r="D82" s="138"/>
      <c r="E82" s="138"/>
      <c r="F82" s="138"/>
      <c r="G82" s="138"/>
      <c r="H82" s="138"/>
      <c r="I82" s="13">
        <f>SUM(I70:I81)</f>
        <v>559596.43539999996</v>
      </c>
      <c r="J82" s="13">
        <f>SUM(J70:J81)</f>
        <v>535106.49530000018</v>
      </c>
      <c r="K82" s="13">
        <f>SUM(K70:K81)</f>
        <v>670664.74280000012</v>
      </c>
      <c r="L82" s="13">
        <f>SUM(L70:L81)</f>
        <v>797539.02150000003</v>
      </c>
      <c r="M82" s="13">
        <f>SUM(M70:M81)</f>
        <v>1213563.0120000001</v>
      </c>
      <c r="N82" s="119">
        <v>1200000</v>
      </c>
      <c r="O82" s="119">
        <f>MROUND(N82*1.035,1000)</f>
        <v>1242000</v>
      </c>
      <c r="P82" s="119">
        <f t="shared" ref="P82:AD82" si="114">MROUND(O82*1.035,1000)</f>
        <v>1285000</v>
      </c>
      <c r="Q82" s="119">
        <f t="shared" si="114"/>
        <v>1330000</v>
      </c>
      <c r="R82" s="119">
        <f t="shared" si="114"/>
        <v>1377000</v>
      </c>
      <c r="S82" s="119">
        <f t="shared" si="114"/>
        <v>1425000</v>
      </c>
      <c r="T82" s="119">
        <f t="shared" si="114"/>
        <v>1475000</v>
      </c>
      <c r="U82" s="119">
        <f t="shared" si="114"/>
        <v>1527000</v>
      </c>
      <c r="V82" s="119">
        <f t="shared" si="114"/>
        <v>1580000</v>
      </c>
      <c r="W82" s="119">
        <f t="shared" si="114"/>
        <v>1635000</v>
      </c>
      <c r="X82" s="119">
        <f t="shared" si="114"/>
        <v>1692000</v>
      </c>
      <c r="Y82" s="119">
        <f t="shared" si="114"/>
        <v>1751000</v>
      </c>
      <c r="Z82" s="119">
        <f t="shared" si="114"/>
        <v>1812000</v>
      </c>
      <c r="AA82" s="119">
        <f>MROUND(Z82*1.035,1000)</f>
        <v>1875000</v>
      </c>
      <c r="AB82" s="119">
        <f t="shared" si="114"/>
        <v>1941000</v>
      </c>
      <c r="AC82" s="119">
        <f t="shared" si="114"/>
        <v>2009000</v>
      </c>
      <c r="AD82" s="119">
        <f t="shared" si="114"/>
        <v>2079000</v>
      </c>
      <c r="AE82" s="119">
        <v>1025006</v>
      </c>
      <c r="AF82" s="119">
        <v>1025007</v>
      </c>
      <c r="AG82" s="119">
        <v>1025008</v>
      </c>
      <c r="AH82" s="119">
        <v>1025009</v>
      </c>
      <c r="AI82" s="119">
        <v>1025010</v>
      </c>
      <c r="AJ82" s="119">
        <v>1025011</v>
      </c>
      <c r="AK82" s="119">
        <v>1025012</v>
      </c>
      <c r="AL82" s="119">
        <v>1025013</v>
      </c>
      <c r="AM82" s="119">
        <v>1025014</v>
      </c>
    </row>
    <row r="83" spans="1:65">
      <c r="A83" s="199" t="s">
        <v>221</v>
      </c>
      <c r="B83" s="199"/>
      <c r="C83" s="199"/>
      <c r="D83" s="199"/>
      <c r="E83" s="199"/>
      <c r="F83" s="199"/>
      <c r="G83" s="199"/>
      <c r="H83" s="199"/>
      <c r="I83" s="199"/>
      <c r="J83" s="199"/>
      <c r="K83" s="212">
        <f>'Annual Diesel Sales'!AE7/'Renewable Fuel Ex Ethanol'!$I$121*1000000</f>
        <v>536912.21252793481</v>
      </c>
      <c r="L83" s="212">
        <f>'Annual Diesel Sales'!AF7/'Renewable Fuel Ex Ethanol'!$I$121*1000000</f>
        <v>581933.96580627293</v>
      </c>
      <c r="M83" s="212">
        <f>'Annual Diesel Sales'!AG7/'Renewable Fuel Ex Ethanol'!$I$121*1000000</f>
        <v>589840.4202984533</v>
      </c>
      <c r="N83" s="212">
        <f>'Annual Diesel Sales'!AH7/'Renewable Fuel Ex Ethanol'!$I$121*1000000</f>
        <v>597544.59258043242</v>
      </c>
      <c r="O83" s="212">
        <f>'Annual Diesel Sales'!AI7/'Renewable Fuel Ex Ethanol'!$I$121*1000000</f>
        <v>605097.74741338845</v>
      </c>
      <c r="P83" s="212">
        <f>'Annual Diesel Sales'!AJ7/'Renewable Fuel Ex Ethanol'!$I$121*1000000</f>
        <v>612498.67927304294</v>
      </c>
      <c r="Q83" s="212">
        <f>'Annual Diesel Sales'!AK7/'Renewable Fuel Ex Ethanol'!$I$121*1000000</f>
        <v>619740.66206114949</v>
      </c>
      <c r="R83" s="212">
        <f>'Annual Diesel Sales'!AL7/'Renewable Fuel Ex Ethanol'!$I$121*1000000</f>
        <v>626816.97264384176</v>
      </c>
      <c r="S83" s="212">
        <f>'Annual Diesel Sales'!AM7/'Renewable Fuel Ex Ethanol'!$I$121*1000000</f>
        <v>928409.08932886133</v>
      </c>
      <c r="T83" s="212">
        <f>'Annual Diesel Sales'!AN7/'Renewable Fuel Ex Ethanol'!$I$121*1000000</f>
        <v>940030.191773111</v>
      </c>
      <c r="U83" s="212">
        <f>'Annual Diesel Sales'!AO7/'Renewable Fuel Ex Ethanol'!$I$121*1000000</f>
        <v>951545.58009248809</v>
      </c>
      <c r="V83" s="212">
        <f>'Annual Diesel Sales'!AP7/'Renewable Fuel Ex Ethanol'!$I$121*1000000</f>
        <v>963150.84141614533</v>
      </c>
      <c r="W83" s="212">
        <f>'Annual Diesel Sales'!AQ7/'Renewable Fuel Ex Ethanol'!$I$121*1000000</f>
        <v>974845.69656967942</v>
      </c>
      <c r="X83" s="212">
        <f>'Annual Diesel Sales'!AR7/'Renewable Fuel Ex Ethanol'!$I$121*1000000</f>
        <v>986632.56957481382</v>
      </c>
      <c r="Y83" s="212">
        <f>'Annual Diesel Sales'!AS7/'Renewable Fuel Ex Ethanol'!$I$121*1000000</f>
        <v>998515.25143560569</v>
      </c>
      <c r="Z83" s="212">
        <f>'Annual Diesel Sales'!AT7/'Renewable Fuel Ex Ethanol'!$I$121*1000000</f>
        <v>1010497.1183706846</v>
      </c>
      <c r="AA83" s="212">
        <f>'Annual Diesel Sales'!AU7/'Renewable Fuel Ex Ethanol'!$I$121*1000000</f>
        <v>1022584.6967919079</v>
      </c>
      <c r="AB83" s="212">
        <f>'Annual Diesel Sales'!AV7/'Renewable Fuel Ex Ethanol'!$I$121*1000000</f>
        <v>1034785.435990583</v>
      </c>
      <c r="AC83" s="212">
        <f>'Annual Diesel Sales'!AW7/'Renewable Fuel Ex Ethanol'!$I$121*1000000</f>
        <v>1047106.3719547716</v>
      </c>
      <c r="AD83" s="212">
        <f>'Annual Diesel Sales'!AX7/'Renewable Fuel Ex Ethanol'!$I$121*1000000</f>
        <v>1059588.6730992966</v>
      </c>
      <c r="AE83" s="212">
        <f>'Annual Diesel Sales'!AY7/'Renewable Fuel Ex Ethanol'!$I$121*1000000</f>
        <v>1072234.6296996656</v>
      </c>
      <c r="AF83" s="212">
        <f>'Annual Diesel Sales'!AZ7/'Renewable Fuel Ex Ethanol'!$I$121*1000000</f>
        <v>1085046.5665209582</v>
      </c>
      <c r="AG83" s="212">
        <f>'Annual Diesel Sales'!BA7/'Renewable Fuel Ex Ethanol'!$I$121*1000000</f>
        <v>1098026.8433580999</v>
      </c>
      <c r="AH83" s="212">
        <f>'Annual Diesel Sales'!BB7/'Renewable Fuel Ex Ethanol'!$I$121*1000000</f>
        <v>1111177.8555848051</v>
      </c>
      <c r="AI83" s="212">
        <f>'Annual Diesel Sales'!BC7/'Renewable Fuel Ex Ethanol'!$I$121*1000000</f>
        <v>1124502.0347113349</v>
      </c>
      <c r="AJ83" s="212">
        <f>'Annual Diesel Sales'!BD7/'Renewable Fuel Ex Ethanol'!$I$121*1000000</f>
        <v>1138001.848951217</v>
      </c>
      <c r="AK83" s="212">
        <f>'Annual Diesel Sales'!BE7/'Renewable Fuel Ex Ethanol'!$I$121*1000000</f>
        <v>1151679.8037970664</v>
      </c>
      <c r="AL83" s="212">
        <f>'Annual Diesel Sales'!BF7/'Renewable Fuel Ex Ethanol'!$I$121*1000000</f>
        <v>1165538.4426056601</v>
      </c>
      <c r="AM83" s="212">
        <f>'Annual Diesel Sales'!BG7/'Renewable Fuel Ex Ethanol'!$I$121*1000000</f>
        <v>1179580.3471924171</v>
      </c>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row>
    <row r="84" spans="1:65" ht="12" thickBot="1">
      <c r="A84" s="138" t="s">
        <v>147</v>
      </c>
      <c r="B84" s="138"/>
      <c r="C84" s="138"/>
      <c r="D84" s="138"/>
      <c r="E84" s="138"/>
      <c r="F84" s="138"/>
      <c r="G84" s="138"/>
      <c r="H84" s="138"/>
      <c r="K84" s="129">
        <f>K82/K83</f>
        <v>1.2491143377840495</v>
      </c>
      <c r="L84" s="129">
        <f t="shared" ref="L84:Y84" si="115">L82/L83</f>
        <v>1.370497459097451</v>
      </c>
      <c r="M84" s="129">
        <f t="shared" si="115"/>
        <v>2.0574429459852031</v>
      </c>
      <c r="N84" s="129">
        <f t="shared" si="115"/>
        <v>2.0082183236198796</v>
      </c>
      <c r="O84" s="129">
        <f t="shared" si="115"/>
        <v>2.0525609379793228</v>
      </c>
      <c r="P84" s="129">
        <f t="shared" si="115"/>
        <v>2.0979637074893445</v>
      </c>
      <c r="Q84" s="129">
        <f t="shared" si="115"/>
        <v>2.1460589588823358</v>
      </c>
      <c r="R84" s="129">
        <f t="shared" si="115"/>
        <v>2.1968135198891834</v>
      </c>
      <c r="S84" s="129">
        <f t="shared" si="115"/>
        <v>1.5348837235427324</v>
      </c>
      <c r="T84" s="129">
        <f t="shared" si="115"/>
        <v>1.5690985384392964</v>
      </c>
      <c r="U84" s="129">
        <f t="shared" si="115"/>
        <v>1.6047575985288891</v>
      </c>
      <c r="V84" s="129">
        <f t="shared" si="115"/>
        <v>1.6404491716758358</v>
      </c>
      <c r="W84" s="129">
        <f t="shared" si="115"/>
        <v>1.6771885086565947</v>
      </c>
      <c r="X84" s="129">
        <f t="shared" si="115"/>
        <v>1.7149241289785944</v>
      </c>
      <c r="Y84" s="129">
        <f t="shared" si="115"/>
        <v>1.7536036605174699</v>
      </c>
      <c r="Z84" s="129">
        <f>Z82/Z83</f>
        <v>1.7931768107579076</v>
      </c>
      <c r="AA84" s="129">
        <f>AA82/AA83</f>
        <v>1.8335889495337865</v>
      </c>
      <c r="AB84" s="129">
        <f>AB82/AB83</f>
        <v>1.8757511774814579</v>
      </c>
      <c r="AC84" s="129">
        <f>AC82/AC83</f>
        <v>1.9186207378812286</v>
      </c>
      <c r="AD84" s="13"/>
      <c r="AE84" s="13"/>
      <c r="AF84" s="13"/>
      <c r="AG84" s="13"/>
      <c r="AH84" s="13"/>
      <c r="AI84" s="13"/>
      <c r="AJ84" s="13"/>
      <c r="AK84" s="13"/>
      <c r="AL84" s="13"/>
      <c r="AM84" s="13"/>
      <c r="AP84" s="175" t="s">
        <v>65</v>
      </c>
      <c r="AQ84" s="174"/>
      <c r="AR84" s="174"/>
      <c r="AS84" s="191"/>
      <c r="AT84" s="191"/>
      <c r="AU84" s="191"/>
      <c r="AV84" s="191"/>
      <c r="AW84" s="191"/>
      <c r="AX84" s="191"/>
      <c r="AY84" s="191"/>
      <c r="AZ84" s="174"/>
      <c r="BA84" s="174"/>
      <c r="BB84" s="174"/>
      <c r="BC84" s="174"/>
      <c r="BD84" s="174"/>
      <c r="BE84" s="174"/>
      <c r="BF84" s="174"/>
      <c r="BG84" s="174"/>
      <c r="BH84" s="174"/>
      <c r="BI84" s="174"/>
      <c r="BJ84" s="174"/>
      <c r="BK84" s="174"/>
      <c r="BL84" s="174"/>
      <c r="BM84" s="174"/>
    </row>
    <row r="85" spans="1:65" ht="12" thickBot="1">
      <c r="A85" s="176"/>
      <c r="B85" s="176"/>
      <c r="C85" s="176"/>
      <c r="D85" s="176"/>
      <c r="E85" s="176"/>
      <c r="F85" s="176"/>
      <c r="G85" s="176"/>
      <c r="H85" s="176"/>
      <c r="I85" s="177">
        <f t="shared" ref="I85:AK85" si="116">I2</f>
        <v>2020</v>
      </c>
      <c r="J85" s="177">
        <f t="shared" si="116"/>
        <v>2021</v>
      </c>
      <c r="K85" s="177">
        <f t="shared" si="116"/>
        <v>2022</v>
      </c>
      <c r="L85" s="177">
        <f t="shared" si="116"/>
        <v>2023</v>
      </c>
      <c r="M85" s="177">
        <f t="shared" si="116"/>
        <v>2024</v>
      </c>
      <c r="N85" s="177">
        <f t="shared" si="116"/>
        <v>2025</v>
      </c>
      <c r="O85" s="177">
        <f t="shared" si="116"/>
        <v>2026</v>
      </c>
      <c r="P85" s="177">
        <f t="shared" si="116"/>
        <v>2027</v>
      </c>
      <c r="Q85" s="177">
        <f t="shared" si="116"/>
        <v>2028</v>
      </c>
      <c r="R85" s="177">
        <f t="shared" si="116"/>
        <v>2029</v>
      </c>
      <c r="S85" s="177">
        <f t="shared" si="116"/>
        <v>2030</v>
      </c>
      <c r="T85" s="177">
        <f t="shared" si="116"/>
        <v>2031</v>
      </c>
      <c r="U85" s="177">
        <f t="shared" si="116"/>
        <v>2032</v>
      </c>
      <c r="V85" s="177">
        <f t="shared" si="116"/>
        <v>2033</v>
      </c>
      <c r="W85" s="177">
        <f t="shared" si="116"/>
        <v>2034</v>
      </c>
      <c r="X85" s="177">
        <f t="shared" si="116"/>
        <v>2035</v>
      </c>
      <c r="Y85" s="177">
        <f t="shared" si="116"/>
        <v>2036</v>
      </c>
      <c r="Z85" s="177">
        <f t="shared" si="116"/>
        <v>2037</v>
      </c>
      <c r="AA85" s="177">
        <f t="shared" si="116"/>
        <v>2038</v>
      </c>
      <c r="AB85" s="177">
        <f t="shared" si="116"/>
        <v>2039</v>
      </c>
      <c r="AC85" s="177">
        <f t="shared" si="116"/>
        <v>2040</v>
      </c>
      <c r="AD85" s="177">
        <f t="shared" si="116"/>
        <v>2041</v>
      </c>
      <c r="AE85" s="177">
        <f t="shared" si="116"/>
        <v>2042</v>
      </c>
      <c r="AF85" s="177">
        <f t="shared" si="116"/>
        <v>2043</v>
      </c>
      <c r="AG85" s="177">
        <f t="shared" si="116"/>
        <v>2044</v>
      </c>
      <c r="AH85" s="177">
        <f t="shared" si="116"/>
        <v>2045</v>
      </c>
      <c r="AI85" s="177">
        <f t="shared" si="116"/>
        <v>2046</v>
      </c>
      <c r="AJ85" s="177">
        <f t="shared" si="116"/>
        <v>2047</v>
      </c>
      <c r="AK85" s="177">
        <f t="shared" si="116"/>
        <v>2048</v>
      </c>
      <c r="AL85" s="177">
        <f>AL2</f>
        <v>2049</v>
      </c>
      <c r="AM85" s="177">
        <f>AM2</f>
        <v>2050</v>
      </c>
      <c r="AP85" s="213"/>
      <c r="AQ85" s="213">
        <v>2019</v>
      </c>
      <c r="AR85" s="213">
        <v>2020</v>
      </c>
      <c r="AS85" s="213">
        <v>2021</v>
      </c>
      <c r="AT85" s="213">
        <v>2022</v>
      </c>
      <c r="AU85" s="213">
        <v>2023</v>
      </c>
      <c r="AV85" s="214">
        <v>2024</v>
      </c>
      <c r="AW85" s="215">
        <v>2025</v>
      </c>
      <c r="AX85" s="215">
        <v>2026</v>
      </c>
      <c r="AY85" s="215">
        <v>2027</v>
      </c>
      <c r="AZ85" s="215">
        <v>2028</v>
      </c>
      <c r="BA85" s="215">
        <v>2029</v>
      </c>
      <c r="BB85" s="215">
        <v>2030</v>
      </c>
      <c r="BC85" s="215">
        <v>2031</v>
      </c>
      <c r="BD85" s="215">
        <v>2032</v>
      </c>
      <c r="BE85" s="216">
        <v>2033</v>
      </c>
    </row>
    <row r="86" spans="1:65">
      <c r="A86" s="138" t="s">
        <v>129</v>
      </c>
      <c r="B86" s="138"/>
      <c r="C86" s="138"/>
      <c r="D86" s="138"/>
      <c r="E86" s="138"/>
      <c r="F86" s="138"/>
      <c r="G86" s="138"/>
      <c r="H86" s="138"/>
      <c r="I86" s="13">
        <f>Data!$M3</f>
        <v>11327</v>
      </c>
      <c r="J86" s="13">
        <f>Data!$M15</f>
        <v>7598</v>
      </c>
      <c r="K86" s="13">
        <f>Data!$M27</f>
        <v>3344</v>
      </c>
      <c r="L86" s="13">
        <f>Data!$M39</f>
        <v>4924</v>
      </c>
      <c r="M86" s="13">
        <f>Data!$M51</f>
        <v>11831</v>
      </c>
      <c r="N86" s="13">
        <f>Data!$M63</f>
        <v>22684</v>
      </c>
      <c r="O86" s="119">
        <f t="shared" ref="O86:AM86" si="117">N97+O22+O38-O54-O70</f>
        <v>52803.540838812318</v>
      </c>
      <c r="P86" s="119">
        <f t="shared" si="117"/>
        <v>201590.64681746953</v>
      </c>
      <c r="Q86" s="119">
        <f t="shared" si="117"/>
        <v>672875.42152781319</v>
      </c>
      <c r="R86" s="119">
        <f t="shared" si="117"/>
        <v>1277620.8457627147</v>
      </c>
      <c r="S86" s="119">
        <f t="shared" si="117"/>
        <v>1803447.9444235687</v>
      </c>
      <c r="T86" s="119">
        <f t="shared" si="117"/>
        <v>2350901.3489549756</v>
      </c>
      <c r="U86" s="119">
        <f t="shared" si="117"/>
        <v>2861819.4035035302</v>
      </c>
      <c r="V86" s="119">
        <f t="shared" si="117"/>
        <v>3310017.7665611841</v>
      </c>
      <c r="W86" s="119">
        <f t="shared" si="117"/>
        <v>3739122.8188969679</v>
      </c>
      <c r="X86" s="119">
        <f t="shared" si="117"/>
        <v>4123282.4944857266</v>
      </c>
      <c r="Y86" s="119">
        <f t="shared" si="117"/>
        <v>4480939.3364645401</v>
      </c>
      <c r="Z86" s="119">
        <f t="shared" si="117"/>
        <v>4774568.533968023</v>
      </c>
      <c r="AA86" s="119">
        <f t="shared" si="117"/>
        <v>5007180.1906723687</v>
      </c>
      <c r="AB86" s="119">
        <f t="shared" si="117"/>
        <v>5176180.7316939402</v>
      </c>
      <c r="AC86" s="119">
        <f t="shared" si="117"/>
        <v>5258578.1284056064</v>
      </c>
      <c r="AD86" s="119">
        <f>AC97+AD22+AD38-AD54-AD70</f>
        <v>5272876.1877238061</v>
      </c>
      <c r="AE86" s="119">
        <f>AD97+AE22+AE38-AE54-AE70</f>
        <v>5258348.5776154213</v>
      </c>
      <c r="AF86" s="119">
        <f t="shared" si="117"/>
        <v>6259232.3572244775</v>
      </c>
      <c r="AG86" s="119">
        <f t="shared" si="117"/>
        <v>7260110.1368293734</v>
      </c>
      <c r="AH86" s="119">
        <f t="shared" si="117"/>
        <v>8260499.6942487275</v>
      </c>
      <c r="AI86" s="119">
        <f t="shared" si="117"/>
        <v>9240370.5983974934</v>
      </c>
      <c r="AJ86" s="119">
        <f t="shared" si="117"/>
        <v>10220243.220879922</v>
      </c>
      <c r="AK86" s="119">
        <f t="shared" si="117"/>
        <v>11200115.152671484</v>
      </c>
      <c r="AL86" s="119">
        <f t="shared" si="117"/>
        <v>12179985.16046585</v>
      </c>
      <c r="AM86" s="119">
        <f t="shared" si="117"/>
        <v>13159853.48849421</v>
      </c>
      <c r="AP86" s="217" t="s">
        <v>213</v>
      </c>
      <c r="AQ86" s="218">
        <f t="shared" ref="AQ86:BE86" si="118">I88</f>
        <v>10933</v>
      </c>
      <c r="AR86" s="218">
        <f t="shared" si="118"/>
        <v>5187</v>
      </c>
      <c r="AS86" s="218">
        <f t="shared" si="118"/>
        <v>4479</v>
      </c>
      <c r="AT86" s="218">
        <f t="shared" si="118"/>
        <v>6156</v>
      </c>
      <c r="AU86" s="218">
        <f t="shared" si="118"/>
        <v>30164</v>
      </c>
      <c r="AV86" s="219">
        <f t="shared" si="118"/>
        <v>24439.75705234427</v>
      </c>
      <c r="AW86" s="220">
        <f t="shared" si="118"/>
        <v>70646.302021843352</v>
      </c>
      <c r="AX86" s="220">
        <f t="shared" si="118"/>
        <v>279866.93742876389</v>
      </c>
      <c r="AY86" s="220">
        <f t="shared" si="118"/>
        <v>755990.75806117733</v>
      </c>
      <c r="AZ86" s="220">
        <f t="shared" si="118"/>
        <v>1368181.2952844985</v>
      </c>
      <c r="BA86" s="220">
        <f t="shared" si="118"/>
        <v>1891446.6543010604</v>
      </c>
      <c r="BB86" s="220">
        <f t="shared" si="118"/>
        <v>2436077.5904680318</v>
      </c>
      <c r="BC86" s="220">
        <f t="shared" si="118"/>
        <v>2942841.0191396927</v>
      </c>
      <c r="BD86" s="220">
        <f t="shared" si="118"/>
        <v>3389654.9449123819</v>
      </c>
      <c r="BE86" s="221">
        <f t="shared" si="118"/>
        <v>3814730.9654011717</v>
      </c>
    </row>
    <row r="87" spans="1:65">
      <c r="A87" s="138" t="s">
        <v>130</v>
      </c>
      <c r="B87" s="138"/>
      <c r="C87" s="138"/>
      <c r="D87" s="138"/>
      <c r="E87" s="138"/>
      <c r="F87" s="138"/>
      <c r="G87" s="138"/>
      <c r="H87" s="138"/>
      <c r="I87" s="13">
        <f>Data!$M4</f>
        <v>12243</v>
      </c>
      <c r="J87" s="13">
        <f>Data!$M16</f>
        <v>6380</v>
      </c>
      <c r="K87" s="13">
        <f>Data!$M28</f>
        <v>5583</v>
      </c>
      <c r="L87" s="13">
        <f>Data!$M40</f>
        <v>4246</v>
      </c>
      <c r="M87" s="13">
        <f>Data!$M52</f>
        <v>27239</v>
      </c>
      <c r="N87" s="13">
        <f>Data!$M64</f>
        <v>8924</v>
      </c>
      <c r="O87" s="119">
        <f t="shared" ref="O87:AM97" si="119">O86+O23+O39-O55-O71</f>
        <v>64942.628198479462</v>
      </c>
      <c r="P87" s="119">
        <f t="shared" si="119"/>
        <v>226418.37966050563</v>
      </c>
      <c r="Q87" s="119">
        <f t="shared" si="119"/>
        <v>698347.20622840931</v>
      </c>
      <c r="R87" s="119">
        <f t="shared" si="119"/>
        <v>1307496.2561992581</v>
      </c>
      <c r="S87" s="119">
        <f t="shared" si="119"/>
        <v>1833128.5328448105</v>
      </c>
      <c r="T87" s="119">
        <f t="shared" si="119"/>
        <v>2379472.8696127795</v>
      </c>
      <c r="U87" s="119">
        <f t="shared" si="119"/>
        <v>2890190.7191258408</v>
      </c>
      <c r="V87" s="119">
        <f t="shared" si="119"/>
        <v>3337745.5608181478</v>
      </c>
      <c r="W87" s="119">
        <f t="shared" si="119"/>
        <v>3766019.8154611774</v>
      </c>
      <c r="X87" s="119">
        <f t="shared" si="119"/>
        <v>4149856.8488881378</v>
      </c>
      <c r="Y87" s="119">
        <f t="shared" si="119"/>
        <v>4505822.2510989951</v>
      </c>
      <c r="Z87" s="119">
        <f t="shared" si="119"/>
        <v>4797575.8736293502</v>
      </c>
      <c r="AA87" s="119">
        <f t="shared" si="119"/>
        <v>5028258.3441883903</v>
      </c>
      <c r="AB87" s="119">
        <f t="shared" si="119"/>
        <v>5194793.1522715231</v>
      </c>
      <c r="AC87" s="119">
        <f t="shared" si="119"/>
        <v>5275082.32688653</v>
      </c>
      <c r="AD87" s="119">
        <f t="shared" si="119"/>
        <v>5287211.4752819873</v>
      </c>
      <c r="AE87" s="119">
        <f t="shared" si="119"/>
        <v>5305367.2913871119</v>
      </c>
      <c r="AF87" s="119">
        <f t="shared" si="119"/>
        <v>6306253.2103427816</v>
      </c>
      <c r="AG87" s="119">
        <f t="shared" si="119"/>
        <v>7307132.0468168659</v>
      </c>
      <c r="AH87" s="119">
        <f t="shared" si="119"/>
        <v>8307113.5757025992</v>
      </c>
      <c r="AI87" s="119">
        <f t="shared" si="119"/>
        <v>9286984.5196352527</v>
      </c>
      <c r="AJ87" s="119">
        <f t="shared" si="119"/>
        <v>10266857.25526002</v>
      </c>
      <c r="AK87" s="119">
        <f t="shared" si="119"/>
        <v>11246729.190083601</v>
      </c>
      <c r="AL87" s="119">
        <f t="shared" si="119"/>
        <v>12226599.299177269</v>
      </c>
      <c r="AM87" s="119">
        <f t="shared" si="119"/>
        <v>13206467.449691458</v>
      </c>
      <c r="AP87" s="222" t="s">
        <v>214</v>
      </c>
      <c r="AQ87" s="191">
        <f t="shared" ref="AQ87:BE87" si="120">I91</f>
        <v>11413</v>
      </c>
      <c r="AR87" s="191">
        <f t="shared" si="120"/>
        <v>5739</v>
      </c>
      <c r="AS87" s="191">
        <f t="shared" si="120"/>
        <v>4341</v>
      </c>
      <c r="AT87" s="191">
        <f t="shared" si="120"/>
        <v>6691</v>
      </c>
      <c r="AU87" s="191">
        <f t="shared" si="120"/>
        <v>47797</v>
      </c>
      <c r="AV87" s="223">
        <f t="shared" si="120"/>
        <v>1020.2054675007821</v>
      </c>
      <c r="AW87" s="192">
        <f t="shared" si="120"/>
        <v>96938.667351626471</v>
      </c>
      <c r="AX87" s="192">
        <f t="shared" si="120"/>
        <v>381395.49619087437</v>
      </c>
      <c r="AY87" s="192">
        <f t="shared" si="120"/>
        <v>893071.88046157465</v>
      </c>
      <c r="AZ87" s="192">
        <f t="shared" si="120"/>
        <v>1471445.8756663934</v>
      </c>
      <c r="BA87" s="192">
        <f t="shared" si="120"/>
        <v>1999753.6975473256</v>
      </c>
      <c r="BB87" s="192">
        <f t="shared" si="120"/>
        <v>2526586.6177070327</v>
      </c>
      <c r="BC87" s="192">
        <f t="shared" si="120"/>
        <v>3008499.8152654306</v>
      </c>
      <c r="BD87" s="192">
        <f t="shared" si="120"/>
        <v>3447291.682926422</v>
      </c>
      <c r="BE87" s="224">
        <f t="shared" si="120"/>
        <v>3853558.2110872697</v>
      </c>
    </row>
    <row r="88" spans="1:65">
      <c r="A88" s="138" t="s">
        <v>131</v>
      </c>
      <c r="B88" s="138"/>
      <c r="C88" s="138"/>
      <c r="D88" s="138"/>
      <c r="E88" s="138"/>
      <c r="F88" s="138"/>
      <c r="G88" s="138"/>
      <c r="H88" s="138"/>
      <c r="I88" s="13">
        <f>Data!$M5</f>
        <v>10933</v>
      </c>
      <c r="J88" s="13">
        <f>Data!$M17</f>
        <v>5187</v>
      </c>
      <c r="K88" s="13">
        <f>Data!$M29</f>
        <v>4479</v>
      </c>
      <c r="L88" s="13">
        <f>Data!$M41</f>
        <v>6156</v>
      </c>
      <c r="M88" s="13">
        <f>Data!$M53</f>
        <v>30164</v>
      </c>
      <c r="N88" s="119">
        <f>N87+N24+N40-N56-N72</f>
        <v>24439.75705234427</v>
      </c>
      <c r="O88" s="119">
        <f t="shared" si="119"/>
        <v>70646.302021843352</v>
      </c>
      <c r="P88" s="119">
        <f t="shared" si="119"/>
        <v>279866.93742876389</v>
      </c>
      <c r="Q88" s="119">
        <f t="shared" si="119"/>
        <v>755990.75806117733</v>
      </c>
      <c r="R88" s="119">
        <f t="shared" si="119"/>
        <v>1368181.2952844985</v>
      </c>
      <c r="S88" s="119">
        <f t="shared" si="119"/>
        <v>1891446.6543010604</v>
      </c>
      <c r="T88" s="119">
        <f t="shared" si="119"/>
        <v>2436077.5904680318</v>
      </c>
      <c r="U88" s="119">
        <f t="shared" si="119"/>
        <v>2942841.0191396927</v>
      </c>
      <c r="V88" s="119">
        <f t="shared" si="119"/>
        <v>3389654.9449123819</v>
      </c>
      <c r="W88" s="119">
        <f t="shared" si="119"/>
        <v>3814730.9654011717</v>
      </c>
      <c r="X88" s="119">
        <f t="shared" si="119"/>
        <v>4196565.7093315991</v>
      </c>
      <c r="Y88" s="119">
        <f t="shared" si="119"/>
        <v>4547792.5848511932</v>
      </c>
      <c r="Z88" s="119">
        <f t="shared" si="119"/>
        <v>4834609.3300390076</v>
      </c>
      <c r="AA88" s="119">
        <f t="shared" si="119"/>
        <v>5060146.842019557</v>
      </c>
      <c r="AB88" s="119">
        <f t="shared" si="119"/>
        <v>5219842.5414422778</v>
      </c>
      <c r="AC88" s="119">
        <f t="shared" si="119"/>
        <v>5294499.4615063854</v>
      </c>
      <c r="AD88" s="119">
        <f t="shared" si="119"/>
        <v>5300898.745181066</v>
      </c>
      <c r="AE88" s="119">
        <f t="shared" si="119"/>
        <v>5405703.8368624914</v>
      </c>
      <c r="AF88" s="119">
        <f t="shared" si="119"/>
        <v>6406589.5569611154</v>
      </c>
      <c r="AG88" s="119">
        <f t="shared" si="119"/>
        <v>7407462.5043639699</v>
      </c>
      <c r="AH88" s="119">
        <f t="shared" si="119"/>
        <v>8406052.4009776618</v>
      </c>
      <c r="AI88" s="119">
        <f t="shared" si="119"/>
        <v>9385926.7527726498</v>
      </c>
      <c r="AJ88" s="119">
        <f t="shared" si="119"/>
        <v>10365800.410805495</v>
      </c>
      <c r="AK88" s="119">
        <f t="shared" si="119"/>
        <v>11345671.46138976</v>
      </c>
      <c r="AL88" s="119">
        <f t="shared" si="119"/>
        <v>12325540.635923982</v>
      </c>
      <c r="AM88" s="119">
        <f t="shared" si="119"/>
        <v>13305408.78964114</v>
      </c>
      <c r="AP88" s="217" t="s">
        <v>215</v>
      </c>
      <c r="AQ88" s="218">
        <f t="shared" ref="AQ88:BE88" si="121">I94</f>
        <v>10307</v>
      </c>
      <c r="AR88" s="218">
        <f t="shared" si="121"/>
        <v>3907</v>
      </c>
      <c r="AS88" s="218">
        <f t="shared" si="121"/>
        <v>5049</v>
      </c>
      <c r="AT88" s="218">
        <f t="shared" si="121"/>
        <v>5161</v>
      </c>
      <c r="AU88" s="218">
        <f t="shared" si="121"/>
        <v>28641</v>
      </c>
      <c r="AV88" s="219">
        <f t="shared" si="121"/>
        <v>-13734.256530388535</v>
      </c>
      <c r="AW88" s="220">
        <f t="shared" si="121"/>
        <v>87748.84852794357</v>
      </c>
      <c r="AX88" s="220">
        <f t="shared" si="121"/>
        <v>469158.8521308389</v>
      </c>
      <c r="AY88" s="220">
        <f t="shared" si="121"/>
        <v>1002350.7118337791</v>
      </c>
      <c r="AZ88" s="220">
        <f t="shared" si="121"/>
        <v>1563189.4120113305</v>
      </c>
      <c r="BA88" s="220">
        <f t="shared" si="121"/>
        <v>2088143.7287495043</v>
      </c>
      <c r="BB88" s="220">
        <f t="shared" si="121"/>
        <v>2601038.72707078</v>
      </c>
      <c r="BC88" s="220">
        <f t="shared" si="121"/>
        <v>3059372.5991049875</v>
      </c>
      <c r="BD88" s="220">
        <f t="shared" si="121"/>
        <v>3490366.1779467771</v>
      </c>
      <c r="BE88" s="221">
        <f t="shared" si="121"/>
        <v>3879678.6920329314</v>
      </c>
    </row>
    <row r="89" spans="1:65">
      <c r="A89" s="138" t="s">
        <v>132</v>
      </c>
      <c r="B89" s="138"/>
      <c r="C89" s="138"/>
      <c r="D89" s="138"/>
      <c r="E89" s="138"/>
      <c r="F89" s="138"/>
      <c r="G89" s="138"/>
      <c r="H89" s="138"/>
      <c r="I89" s="13">
        <f>Data!$M6</f>
        <v>10644</v>
      </c>
      <c r="J89" s="13">
        <f>Data!$M18</f>
        <v>6175</v>
      </c>
      <c r="K89" s="13">
        <f>Data!$M30</f>
        <v>3956</v>
      </c>
      <c r="L89" s="13">
        <f>Data!$M42</f>
        <v>5166</v>
      </c>
      <c r="M89" s="13">
        <f>Data!$M54</f>
        <v>65531</v>
      </c>
      <c r="N89" s="119">
        <f t="shared" ref="N89:Y97" si="122">N88+N25+N41-N57-N73</f>
        <v>21632.436631809935</v>
      </c>
      <c r="O89" s="119">
        <f t="shared" si="122"/>
        <v>99403.891787173721</v>
      </c>
      <c r="P89" s="119">
        <f t="shared" si="122"/>
        <v>321428.95311535563</v>
      </c>
      <c r="Q89" s="119">
        <f t="shared" si="122"/>
        <v>815350.81102598878</v>
      </c>
      <c r="R89" s="119">
        <f t="shared" si="122"/>
        <v>1411418.1154117056</v>
      </c>
      <c r="S89" s="119">
        <f t="shared" si="122"/>
        <v>1939482.5006845635</v>
      </c>
      <c r="T89" s="119">
        <f t="shared" si="122"/>
        <v>2478743.0593332285</v>
      </c>
      <c r="U89" s="119">
        <f t="shared" si="122"/>
        <v>2978672.5052459263</v>
      </c>
      <c r="V89" s="119">
        <f t="shared" si="122"/>
        <v>3423590.4667735524</v>
      </c>
      <c r="W89" s="119">
        <f t="shared" si="122"/>
        <v>3843453.1049229754</v>
      </c>
      <c r="X89" s="119">
        <f t="shared" si="122"/>
        <v>4223296.4987936597</v>
      </c>
      <c r="Y89" s="119">
        <f t="shared" si="122"/>
        <v>4568156.8432734953</v>
      </c>
      <c r="Z89" s="119">
        <f t="shared" si="119"/>
        <v>4849861.1879649255</v>
      </c>
      <c r="AA89" s="119">
        <f t="shared" si="119"/>
        <v>5070151.6962915501</v>
      </c>
      <c r="AB89" s="119">
        <f t="shared" si="119"/>
        <v>5221621.7315205671</v>
      </c>
      <c r="AC89" s="119">
        <f t="shared" si="119"/>
        <v>5290655.9460942196</v>
      </c>
      <c r="AD89" s="119">
        <f t="shared" si="119"/>
        <v>5291224.4490732001</v>
      </c>
      <c r="AE89" s="119">
        <f t="shared" si="119"/>
        <v>5483728.8396569034</v>
      </c>
      <c r="AF89" s="119">
        <f t="shared" si="119"/>
        <v>6484611.3710056953</v>
      </c>
      <c r="AG89" s="119">
        <f t="shared" si="119"/>
        <v>7485484.7081637578</v>
      </c>
      <c r="AH89" s="119">
        <f t="shared" si="119"/>
        <v>8481370.1093760654</v>
      </c>
      <c r="AI89" s="119">
        <f t="shared" si="119"/>
        <v>9461242.8040045761</v>
      </c>
      <c r="AJ89" s="119">
        <f t="shared" si="119"/>
        <v>10441115.695389822</v>
      </c>
      <c r="AK89" s="119">
        <f t="shared" si="119"/>
        <v>11420986.511712242</v>
      </c>
      <c r="AL89" s="119">
        <f t="shared" si="119"/>
        <v>12400855.945286879</v>
      </c>
      <c r="AM89" s="119">
        <f t="shared" si="119"/>
        <v>13380724.431120956</v>
      </c>
      <c r="AP89" s="222" t="s">
        <v>216</v>
      </c>
      <c r="AQ89" s="191">
        <f t="shared" ref="AQ89:BE89" si="123">I97</f>
        <v>8864</v>
      </c>
      <c r="AR89" s="191">
        <f t="shared" si="123"/>
        <v>6926</v>
      </c>
      <c r="AS89" s="191">
        <f t="shared" si="123"/>
        <v>5059</v>
      </c>
      <c r="AT89" s="191">
        <f t="shared" si="123"/>
        <v>11139</v>
      </c>
      <c r="AU89" s="191">
        <f t="shared" si="123"/>
        <v>49050</v>
      </c>
      <c r="AV89" s="223">
        <f t="shared" si="123"/>
        <v>47673.330397116224</v>
      </c>
      <c r="AW89" s="192">
        <f t="shared" si="123"/>
        <v>202275.4378868927</v>
      </c>
      <c r="AX89" s="192">
        <f t="shared" si="123"/>
        <v>666199.82202889689</v>
      </c>
      <c r="AY89" s="192">
        <f t="shared" si="123"/>
        <v>1271321.8167437059</v>
      </c>
      <c r="AZ89" s="192">
        <f t="shared" si="123"/>
        <v>1795443.8114585145</v>
      </c>
      <c r="BA89" s="192">
        <f t="shared" si="123"/>
        <v>2345128.1392130349</v>
      </c>
      <c r="BB89" s="192">
        <f t="shared" si="123"/>
        <v>2857666.5779807926</v>
      </c>
      <c r="BC89" s="192">
        <f t="shared" si="123"/>
        <v>3307059.1277617877</v>
      </c>
      <c r="BD89" s="192">
        <f t="shared" si="123"/>
        <v>3737305.7885560198</v>
      </c>
      <c r="BE89" s="224">
        <f t="shared" si="123"/>
        <v>4122406.5603634892</v>
      </c>
    </row>
    <row r="90" spans="1:65" ht="12" thickBot="1">
      <c r="A90" s="138" t="s">
        <v>133</v>
      </c>
      <c r="B90" s="138"/>
      <c r="C90" s="138"/>
      <c r="D90" s="138"/>
      <c r="E90" s="138"/>
      <c r="F90" s="138"/>
      <c r="G90" s="138"/>
      <c r="H90" s="138"/>
      <c r="I90" s="13">
        <f>Data!$M7</f>
        <v>10601</v>
      </c>
      <c r="J90" s="13">
        <f>Data!$M19</f>
        <v>4432</v>
      </c>
      <c r="K90" s="13">
        <f>Data!$M31</f>
        <v>4560</v>
      </c>
      <c r="L90" s="13">
        <f>Data!$M43</f>
        <v>5581</v>
      </c>
      <c r="M90" s="13">
        <f>Data!$M55</f>
        <v>62269</v>
      </c>
      <c r="N90" s="119">
        <f t="shared" si="122"/>
        <v>12357.668369676656</v>
      </c>
      <c r="O90" s="119">
        <f t="shared" si="122"/>
        <v>96111.292897244886</v>
      </c>
      <c r="P90" s="119">
        <f t="shared" si="122"/>
        <v>344255.35996611509</v>
      </c>
      <c r="Q90" s="119">
        <f t="shared" si="122"/>
        <v>847467.03575214441</v>
      </c>
      <c r="R90" s="119">
        <f t="shared" si="122"/>
        <v>1435167.6033147122</v>
      </c>
      <c r="S90" s="119">
        <f t="shared" si="122"/>
        <v>1961575.252792204</v>
      </c>
      <c r="T90" s="119">
        <f t="shared" si="122"/>
        <v>2495155.8802599339</v>
      </c>
      <c r="U90" s="119">
        <f t="shared" si="122"/>
        <v>2986161.5902257953</v>
      </c>
      <c r="V90" s="119">
        <f t="shared" si="122"/>
        <v>3428156.7712534051</v>
      </c>
      <c r="W90" s="119">
        <f t="shared" si="122"/>
        <v>3841452.7050973503</v>
      </c>
      <c r="X90" s="119">
        <f t="shared" si="122"/>
        <v>4217533.9224784719</v>
      </c>
      <c r="Y90" s="119">
        <f t="shared" si="122"/>
        <v>4554163.1975752441</v>
      </c>
      <c r="Z90" s="119">
        <f t="shared" si="119"/>
        <v>4828980.0215487629</v>
      </c>
      <c r="AA90" s="119">
        <f t="shared" si="119"/>
        <v>5042156.5210226923</v>
      </c>
      <c r="AB90" s="119">
        <f t="shared" si="119"/>
        <v>5183204.9163642097</v>
      </c>
      <c r="AC90" s="119">
        <f t="shared" si="119"/>
        <v>5244528.1448569084</v>
      </c>
      <c r="AD90" s="119">
        <f t="shared" si="119"/>
        <v>5237179.1542617558</v>
      </c>
      <c r="AE90" s="119">
        <f t="shared" si="119"/>
        <v>5549024.531604575</v>
      </c>
      <c r="AF90" s="119">
        <f t="shared" si="119"/>
        <v>6549907.3774050465</v>
      </c>
      <c r="AG90" s="119">
        <f t="shared" si="119"/>
        <v>7550778.2658243803</v>
      </c>
      <c r="AH90" s="119">
        <f t="shared" si="119"/>
        <v>8543728.4833336659</v>
      </c>
      <c r="AI90" s="119">
        <f t="shared" si="119"/>
        <v>9523602.3020658083</v>
      </c>
      <c r="AJ90" s="119">
        <f t="shared" si="119"/>
        <v>10503475.335203845</v>
      </c>
      <c r="AK90" s="119">
        <f t="shared" si="119"/>
        <v>11483345.788222609</v>
      </c>
      <c r="AL90" s="119">
        <f t="shared" si="119"/>
        <v>12463214.791108033</v>
      </c>
      <c r="AM90" s="119">
        <f t="shared" si="119"/>
        <v>13443083.229575442</v>
      </c>
      <c r="AP90" s="182" t="s">
        <v>222</v>
      </c>
      <c r="AQ90" s="196">
        <f t="shared" ref="AQ90:BB90" si="124">AVERAGE(AQ86:AQ89)</f>
        <v>10379.25</v>
      </c>
      <c r="AR90" s="196">
        <f t="shared" si="124"/>
        <v>5439.75</v>
      </c>
      <c r="AS90" s="196">
        <f t="shared" si="124"/>
        <v>4732</v>
      </c>
      <c r="AT90" s="196">
        <f t="shared" si="124"/>
        <v>7286.75</v>
      </c>
      <c r="AU90" s="197">
        <f t="shared" si="124"/>
        <v>38913</v>
      </c>
      <c r="AV90" s="225">
        <f t="shared" si="124"/>
        <v>14849.759096643185</v>
      </c>
      <c r="AW90" s="226">
        <f t="shared" si="124"/>
        <v>114402.31394707653</v>
      </c>
      <c r="AX90" s="226">
        <f t="shared" si="124"/>
        <v>449155.27694484347</v>
      </c>
      <c r="AY90" s="226">
        <f t="shared" si="124"/>
        <v>980683.7917750593</v>
      </c>
      <c r="AZ90" s="226">
        <f t="shared" si="124"/>
        <v>1549565.0986051844</v>
      </c>
      <c r="BA90" s="226">
        <f t="shared" si="124"/>
        <v>2081118.0549527314</v>
      </c>
      <c r="BB90" s="226">
        <f t="shared" si="124"/>
        <v>2605342.3783066594</v>
      </c>
      <c r="BC90" s="226">
        <f>AVERAGE(BC86:BC89)</f>
        <v>3079443.1403179746</v>
      </c>
      <c r="BD90" s="226">
        <f>AVERAGE(BD86:BD89)</f>
        <v>3516154.6485854005</v>
      </c>
      <c r="BE90" s="227">
        <f>AVERAGE(BE86:BE89)</f>
        <v>3917593.607221216</v>
      </c>
    </row>
    <row r="91" spans="1:65">
      <c r="A91" s="138" t="s">
        <v>134</v>
      </c>
      <c r="B91" s="138"/>
      <c r="C91" s="138"/>
      <c r="D91" s="138"/>
      <c r="E91" s="138"/>
      <c r="F91" s="138"/>
      <c r="G91" s="138"/>
      <c r="H91" s="138"/>
      <c r="I91" s="13">
        <f>Data!$M8</f>
        <v>11413</v>
      </c>
      <c r="J91" s="13">
        <f>Data!$M20</f>
        <v>5739</v>
      </c>
      <c r="K91" s="13">
        <f>Data!$M32</f>
        <v>4341</v>
      </c>
      <c r="L91" s="13">
        <f>Data!$M44</f>
        <v>6691</v>
      </c>
      <c r="M91" s="13">
        <f>Data!$M56</f>
        <v>47797</v>
      </c>
      <c r="N91" s="119">
        <f t="shared" si="122"/>
        <v>1020.2054675007821</v>
      </c>
      <c r="O91" s="119">
        <f t="shared" si="122"/>
        <v>96938.667351626471</v>
      </c>
      <c r="P91" s="119">
        <f t="shared" si="122"/>
        <v>381395.49619087437</v>
      </c>
      <c r="Q91" s="119">
        <f t="shared" si="122"/>
        <v>893071.88046157465</v>
      </c>
      <c r="R91" s="119">
        <f t="shared" si="122"/>
        <v>1471445.8756663934</v>
      </c>
      <c r="S91" s="119">
        <f t="shared" si="122"/>
        <v>1999753.6975473256</v>
      </c>
      <c r="T91" s="119">
        <f t="shared" si="122"/>
        <v>2526586.6177070327</v>
      </c>
      <c r="U91" s="119">
        <f t="shared" si="122"/>
        <v>3008499.8152654306</v>
      </c>
      <c r="V91" s="119">
        <f t="shared" si="122"/>
        <v>3447291.682926422</v>
      </c>
      <c r="W91" s="119">
        <f t="shared" si="122"/>
        <v>3853558.2110872697</v>
      </c>
      <c r="X91" s="119">
        <f t="shared" si="122"/>
        <v>4225884.6648456119</v>
      </c>
      <c r="Y91" s="119">
        <f t="shared" si="122"/>
        <v>4553451.2126133684</v>
      </c>
      <c r="Z91" s="119">
        <f t="shared" si="119"/>
        <v>4820199.188871189</v>
      </c>
      <c r="AA91" s="119">
        <f t="shared" si="119"/>
        <v>5025111.0022465447</v>
      </c>
      <c r="AB91" s="119">
        <f t="shared" si="119"/>
        <v>5154521.1960511664</v>
      </c>
      <c r="AC91" s="119">
        <f t="shared" si="119"/>
        <v>5206890.9852510216</v>
      </c>
      <c r="AD91" s="119">
        <f t="shared" si="119"/>
        <v>5190313.7404061658</v>
      </c>
      <c r="AE91" s="119">
        <f t="shared" si="119"/>
        <v>5641034.136860122</v>
      </c>
      <c r="AF91" s="119">
        <f t="shared" si="119"/>
        <v>6641919.7700882442</v>
      </c>
      <c r="AG91" s="119">
        <f t="shared" si="119"/>
        <v>7642791.4071896449</v>
      </c>
      <c r="AH91" s="119">
        <f t="shared" si="119"/>
        <v>8632807.8505171835</v>
      </c>
      <c r="AI91" s="119">
        <f t="shared" si="119"/>
        <v>9612680.4274665173</v>
      </c>
      <c r="AJ91" s="119">
        <f t="shared" si="119"/>
        <v>10592553.667506902</v>
      </c>
      <c r="AK91" s="119">
        <f t="shared" si="119"/>
        <v>11572424.305442544</v>
      </c>
      <c r="AL91" s="119">
        <f t="shared" si="119"/>
        <v>12552293.185131582</v>
      </c>
      <c r="AM91" s="119">
        <f t="shared" si="119"/>
        <v>13532161.418009643</v>
      </c>
    </row>
    <row r="92" spans="1:65">
      <c r="A92" s="138" t="s">
        <v>135</v>
      </c>
      <c r="B92" s="138"/>
      <c r="C92" s="138"/>
      <c r="D92" s="138"/>
      <c r="E92" s="138"/>
      <c r="F92" s="138"/>
      <c r="G92" s="138"/>
      <c r="H92" s="138"/>
      <c r="I92" s="13">
        <f>Data!$M9</f>
        <v>11799</v>
      </c>
      <c r="J92" s="13">
        <f>Data!$M21</f>
        <v>5181</v>
      </c>
      <c r="K92" s="13">
        <f>Data!$M33</f>
        <v>3591</v>
      </c>
      <c r="L92" s="13">
        <f>Data!$M45</f>
        <v>5498</v>
      </c>
      <c r="M92" s="13">
        <f>Data!$M57</f>
        <v>43412</v>
      </c>
      <c r="N92" s="119">
        <f t="shared" si="122"/>
        <v>-4818.7642143874837</v>
      </c>
      <c r="O92" s="119">
        <f t="shared" si="122"/>
        <v>96888.754480944917</v>
      </c>
      <c r="P92" s="119">
        <f t="shared" si="122"/>
        <v>413892.76170243951</v>
      </c>
      <c r="Q92" s="119">
        <f t="shared" si="122"/>
        <v>934527.16113668203</v>
      </c>
      <c r="R92" s="119">
        <f t="shared" si="122"/>
        <v>1505920.9598485727</v>
      </c>
      <c r="S92" s="119">
        <f t="shared" si="122"/>
        <v>2033208.4884719574</v>
      </c>
      <c r="T92" s="119">
        <f t="shared" si="122"/>
        <v>2555495.0560910534</v>
      </c>
      <c r="U92" s="119">
        <f t="shared" si="122"/>
        <v>3029229.4547382887</v>
      </c>
      <c r="V92" s="119">
        <f t="shared" si="122"/>
        <v>3465425.4104515896</v>
      </c>
      <c r="W92" s="119">
        <f t="shared" si="122"/>
        <v>3865799.3072897303</v>
      </c>
      <c r="X92" s="119">
        <f t="shared" si="122"/>
        <v>4234742.3473247373</v>
      </c>
      <c r="Y92" s="119">
        <f t="shared" si="122"/>
        <v>4554658.6244168282</v>
      </c>
      <c r="Z92" s="119">
        <f t="shared" si="119"/>
        <v>4814687.1684998283</v>
      </c>
      <c r="AA92" s="119">
        <f t="shared" si="119"/>
        <v>5012656.420122453</v>
      </c>
      <c r="AB92" s="119">
        <f t="shared" si="119"/>
        <v>5132134.7461361103</v>
      </c>
      <c r="AC92" s="119">
        <f t="shared" si="119"/>
        <v>5176996.9367643557</v>
      </c>
      <c r="AD92" s="119">
        <f t="shared" si="119"/>
        <v>5152708.9659857173</v>
      </c>
      <c r="AE92" s="119">
        <f t="shared" si="119"/>
        <v>5719644.6756039113</v>
      </c>
      <c r="AF92" s="119">
        <f t="shared" si="119"/>
        <v>6720530.099531034</v>
      </c>
      <c r="AG92" s="119">
        <f t="shared" si="119"/>
        <v>7721400.9437515065</v>
      </c>
      <c r="AH92" s="119">
        <f t="shared" si="119"/>
        <v>8708764.6923296098</v>
      </c>
      <c r="AI92" s="119">
        <f t="shared" si="119"/>
        <v>9688637.8684444893</v>
      </c>
      <c r="AJ92" s="119">
        <f t="shared" si="119"/>
        <v>10668510.962684385</v>
      </c>
      <c r="AK92" s="119">
        <f t="shared" si="119"/>
        <v>11648381.391881105</v>
      </c>
      <c r="AL92" s="119">
        <f t="shared" si="119"/>
        <v>12628250.069869552</v>
      </c>
      <c r="AM92" s="119">
        <f t="shared" si="119"/>
        <v>13608118.203889189</v>
      </c>
    </row>
    <row r="93" spans="1:65">
      <c r="A93" s="138" t="s">
        <v>136</v>
      </c>
      <c r="B93" s="138"/>
      <c r="C93" s="138"/>
      <c r="D93" s="138"/>
      <c r="E93" s="138"/>
      <c r="F93" s="138"/>
      <c r="G93" s="138"/>
      <c r="H93" s="138"/>
      <c r="I93" s="13">
        <f>Data!$M10</f>
        <v>10664</v>
      </c>
      <c r="J93" s="13">
        <f>Data!$M22</f>
        <v>4898</v>
      </c>
      <c r="K93" s="13">
        <f>Data!$M34</f>
        <v>1947</v>
      </c>
      <c r="L93" s="13">
        <f>Data!$M46</f>
        <v>2559</v>
      </c>
      <c r="M93" s="13">
        <f>Data!$M58</f>
        <v>61179</v>
      </c>
      <c r="N93" s="119">
        <f t="shared" si="122"/>
        <v>2487.6911834089988</v>
      </c>
      <c r="O93" s="119">
        <f t="shared" si="122"/>
        <v>107775.40731302589</v>
      </c>
      <c r="P93" s="119">
        <f t="shared" si="122"/>
        <v>450556.43478257762</v>
      </c>
      <c r="Q93" s="119">
        <f t="shared" si="122"/>
        <v>980532.62866177468</v>
      </c>
      <c r="R93" s="119">
        <f t="shared" si="122"/>
        <v>1546596.217488532</v>
      </c>
      <c r="S93" s="119">
        <f t="shared" si="122"/>
        <v>2071451.8387556337</v>
      </c>
      <c r="T93" s="119">
        <f t="shared" si="122"/>
        <v>2589387.488624881</v>
      </c>
      <c r="U93" s="119">
        <f t="shared" si="122"/>
        <v>3055283.6251443652</v>
      </c>
      <c r="V93" s="119">
        <f t="shared" si="122"/>
        <v>3489448.0002939231</v>
      </c>
      <c r="W93" s="119">
        <f t="shared" si="122"/>
        <v>3884549.631284235</v>
      </c>
      <c r="X93" s="119">
        <f t="shared" si="122"/>
        <v>4250447.7105683014</v>
      </c>
      <c r="Y93" s="119">
        <f t="shared" si="122"/>
        <v>4563410.1854357906</v>
      </c>
      <c r="Z93" s="119">
        <f t="shared" si="119"/>
        <v>4817757.2556394711</v>
      </c>
      <c r="AA93" s="119">
        <f t="shared" si="119"/>
        <v>5009826.9586344138</v>
      </c>
      <c r="AB93" s="119">
        <f t="shared" si="119"/>
        <v>5120335.9727576077</v>
      </c>
      <c r="AC93" s="119">
        <f t="shared" si="119"/>
        <v>5158782.1687025875</v>
      </c>
      <c r="AD93" s="119">
        <f t="shared" si="119"/>
        <v>5127939.2318002488</v>
      </c>
      <c r="AE93" s="119">
        <f t="shared" si="119"/>
        <v>5793810.9706504028</v>
      </c>
      <c r="AF93" s="119">
        <f t="shared" si="119"/>
        <v>6794696.2322347518</v>
      </c>
      <c r="AG93" s="119">
        <f t="shared" si="119"/>
        <v>7795563.8169593355</v>
      </c>
      <c r="AH93" s="119">
        <f t="shared" si="119"/>
        <v>8780153.9926424008</v>
      </c>
      <c r="AI93" s="119">
        <f t="shared" si="119"/>
        <v>9760029.8862103522</v>
      </c>
      <c r="AJ93" s="119">
        <f t="shared" si="119"/>
        <v>10739903.425143151</v>
      </c>
      <c r="AK93" s="119">
        <f t="shared" si="119"/>
        <v>11719773.279300807</v>
      </c>
      <c r="AL93" s="119">
        <f t="shared" si="119"/>
        <v>12699641.323992314</v>
      </c>
      <c r="AM93" s="119">
        <f t="shared" si="119"/>
        <v>13679509.305863328</v>
      </c>
    </row>
    <row r="94" spans="1:65">
      <c r="A94" s="138" t="s">
        <v>137</v>
      </c>
      <c r="B94" s="138"/>
      <c r="C94" s="138"/>
      <c r="D94" s="138"/>
      <c r="E94" s="138"/>
      <c r="F94" s="138"/>
      <c r="G94" s="138"/>
      <c r="H94" s="138"/>
      <c r="I94" s="13">
        <f>Data!$M11</f>
        <v>10307</v>
      </c>
      <c r="J94" s="13">
        <f>Data!$M23</f>
        <v>3907</v>
      </c>
      <c r="K94" s="13">
        <f>Data!$M35</f>
        <v>5049</v>
      </c>
      <c r="L94" s="13">
        <f>Data!$M47</f>
        <v>5161</v>
      </c>
      <c r="M94" s="13">
        <f>Data!$M59</f>
        <v>28641</v>
      </c>
      <c r="N94" s="119">
        <f t="shared" si="122"/>
        <v>-13734.256530388535</v>
      </c>
      <c r="O94" s="119">
        <f t="shared" si="122"/>
        <v>87748.84852794357</v>
      </c>
      <c r="P94" s="119">
        <f t="shared" si="122"/>
        <v>469158.8521308389</v>
      </c>
      <c r="Q94" s="119">
        <f t="shared" si="122"/>
        <v>1002350.7118337791</v>
      </c>
      <c r="R94" s="119">
        <f t="shared" si="122"/>
        <v>1563189.4120113305</v>
      </c>
      <c r="S94" s="119">
        <f t="shared" si="122"/>
        <v>2088143.7287495043</v>
      </c>
      <c r="T94" s="119">
        <f t="shared" si="122"/>
        <v>2601038.72707078</v>
      </c>
      <c r="U94" s="119">
        <f t="shared" si="122"/>
        <v>3059372.5991049875</v>
      </c>
      <c r="V94" s="119">
        <f t="shared" si="122"/>
        <v>3490366.1779467771</v>
      </c>
      <c r="W94" s="119">
        <f t="shared" si="122"/>
        <v>3879678.6920329314</v>
      </c>
      <c r="X94" s="119">
        <f t="shared" si="122"/>
        <v>4241825.459783202</v>
      </c>
      <c r="Y94" s="119">
        <f t="shared" si="122"/>
        <v>4547126.7103466997</v>
      </c>
      <c r="Z94" s="119">
        <f t="shared" si="119"/>
        <v>4794275.3688952355</v>
      </c>
      <c r="AA94" s="119">
        <f t="shared" si="119"/>
        <v>4978905.1801566826</v>
      </c>
      <c r="AB94" s="119">
        <f t="shared" si="119"/>
        <v>5079505.6117755165</v>
      </c>
      <c r="AC94" s="119">
        <f t="shared" si="119"/>
        <v>5109924.8350750944</v>
      </c>
      <c r="AD94" s="119">
        <f t="shared" si="119"/>
        <v>5070825.8455180638</v>
      </c>
      <c r="AE94" s="119">
        <f t="shared" si="119"/>
        <v>5861022.6534446711</v>
      </c>
      <c r="AF94" s="119">
        <f t="shared" si="119"/>
        <v>6861906.864564985</v>
      </c>
      <c r="AG94" s="119">
        <f t="shared" si="119"/>
        <v>7862776.5124340467</v>
      </c>
      <c r="AH94" s="119">
        <f t="shared" si="119"/>
        <v>8845227.1530449893</v>
      </c>
      <c r="AI94" s="119">
        <f t="shared" si="119"/>
        <v>9825102.6204757728</v>
      </c>
      <c r="AJ94" s="119">
        <f t="shared" si="119"/>
        <v>10804976.05024801</v>
      </c>
      <c r="AK94" s="119">
        <f t="shared" si="119"/>
        <v>11784845.784834867</v>
      </c>
      <c r="AL94" s="119">
        <f t="shared" si="119"/>
        <v>12764713.928263871</v>
      </c>
      <c r="AM94" s="119">
        <f t="shared" si="119"/>
        <v>13744581.688678736</v>
      </c>
    </row>
    <row r="95" spans="1:65">
      <c r="A95" s="138" t="s">
        <v>138</v>
      </c>
      <c r="B95" s="138"/>
      <c r="C95" s="138"/>
      <c r="D95" s="138"/>
      <c r="E95" s="138"/>
      <c r="F95" s="138"/>
      <c r="G95" s="138"/>
      <c r="H95" s="138"/>
      <c r="I95" s="13">
        <f>Data!$M12</f>
        <v>8329</v>
      </c>
      <c r="J95" s="13">
        <f>Data!$M24</f>
        <v>4263</v>
      </c>
      <c r="K95" s="13">
        <f>Data!$M36</f>
        <v>5056</v>
      </c>
      <c r="L95" s="13">
        <f>Data!$M48</f>
        <v>4046</v>
      </c>
      <c r="M95" s="13">
        <f>Data!$M60</f>
        <v>36752</v>
      </c>
      <c r="N95" s="119">
        <f t="shared" si="122"/>
        <v>-19620.041265252337</v>
      </c>
      <c r="O95" s="119">
        <f t="shared" si="122"/>
        <v>114396.48306477105</v>
      </c>
      <c r="P95" s="119">
        <f t="shared" si="122"/>
        <v>503066.26795309642</v>
      </c>
      <c r="Q95" s="119">
        <f t="shared" si="122"/>
        <v>1053992.0277746033</v>
      </c>
      <c r="R95" s="119">
        <f t="shared" si="122"/>
        <v>1603130.9798828762</v>
      </c>
      <c r="S95" s="119">
        <f t="shared" si="122"/>
        <v>2134774.6920822114</v>
      </c>
      <c r="T95" s="119">
        <f t="shared" si="122"/>
        <v>2645788.1643219581</v>
      </c>
      <c r="U95" s="119">
        <f t="shared" si="122"/>
        <v>3100298.127657739</v>
      </c>
      <c r="V95" s="119">
        <f t="shared" si="122"/>
        <v>3530045.3876491454</v>
      </c>
      <c r="W95" s="119">
        <f t="shared" si="122"/>
        <v>3917254.1882041153</v>
      </c>
      <c r="X95" s="119">
        <f t="shared" si="122"/>
        <v>4278365.8695132677</v>
      </c>
      <c r="Y95" s="119">
        <f t="shared" si="122"/>
        <v>4580096.1498890361</v>
      </c>
      <c r="Z95" s="119">
        <f t="shared" si="119"/>
        <v>4823647.6874110615</v>
      </c>
      <c r="AA95" s="119">
        <f t="shared" si="119"/>
        <v>5004586.6595117729</v>
      </c>
      <c r="AB95" s="119">
        <f t="shared" si="119"/>
        <v>5100176.3425112534</v>
      </c>
      <c r="AC95" s="119">
        <f t="shared" si="119"/>
        <v>5126687.4950587591</v>
      </c>
      <c r="AD95" s="119">
        <f t="shared" si="119"/>
        <v>5083513.089126654</v>
      </c>
      <c r="AE95" s="119">
        <f t="shared" si="119"/>
        <v>5934758.2296581184</v>
      </c>
      <c r="AF95" s="119">
        <f t="shared" si="119"/>
        <v>6935642.3032067604</v>
      </c>
      <c r="AG95" s="119">
        <f t="shared" si="119"/>
        <v>7936517.4300917322</v>
      </c>
      <c r="AH95" s="119">
        <f t="shared" si="119"/>
        <v>8917748.9387376867</v>
      </c>
      <c r="AI95" s="119">
        <f t="shared" si="119"/>
        <v>9897621.5322429482</v>
      </c>
      <c r="AJ95" s="119">
        <f t="shared" si="119"/>
        <v>10877494.049276823</v>
      </c>
      <c r="AK95" s="119">
        <f t="shared" si="119"/>
        <v>11857364.456523912</v>
      </c>
      <c r="AL95" s="119">
        <f t="shared" si="119"/>
        <v>12837233.294039076</v>
      </c>
      <c r="AM95" s="119">
        <f t="shared" si="119"/>
        <v>13817100.830796182</v>
      </c>
    </row>
    <row r="96" spans="1:65">
      <c r="A96" s="138" t="s">
        <v>139</v>
      </c>
      <c r="B96" s="138"/>
      <c r="C96" s="138"/>
      <c r="D96" s="138"/>
      <c r="E96" s="138"/>
      <c r="F96" s="138"/>
      <c r="G96" s="138"/>
      <c r="H96" s="138"/>
      <c r="I96" s="13">
        <f>Data!$M13</f>
        <v>11683</v>
      </c>
      <c r="J96" s="13">
        <f>Data!$M25</f>
        <v>4516</v>
      </c>
      <c r="K96" s="13">
        <f>Data!$M37</f>
        <v>4342</v>
      </c>
      <c r="L96" s="13">
        <f>Data!$M49</f>
        <v>10385</v>
      </c>
      <c r="M96" s="13">
        <f>Data!$M61</f>
        <v>32463</v>
      </c>
      <c r="N96" s="119">
        <f t="shared" si="122"/>
        <v>-8598.0522791634721</v>
      </c>
      <c r="O96" s="119">
        <f t="shared" si="122"/>
        <v>143966.80448556744</v>
      </c>
      <c r="P96" s="119">
        <f t="shared" si="122"/>
        <v>561714.64765377459</v>
      </c>
      <c r="Q96" s="119">
        <f t="shared" si="122"/>
        <v>1132291.1957259208</v>
      </c>
      <c r="R96" s="119">
        <f t="shared" si="122"/>
        <v>1673959.9897403324</v>
      </c>
      <c r="S96" s="119">
        <f t="shared" si="122"/>
        <v>2211644.4443813632</v>
      </c>
      <c r="T96" s="119">
        <f t="shared" si="122"/>
        <v>2723002.8763809344</v>
      </c>
      <c r="U96" s="119">
        <f t="shared" si="122"/>
        <v>3175933.6230529719</v>
      </c>
      <c r="V96" s="119">
        <f t="shared" si="122"/>
        <v>3605562.0453444393</v>
      </c>
      <c r="W96" s="119">
        <f t="shared" si="122"/>
        <v>3991576.7363007287</v>
      </c>
      <c r="X96" s="119">
        <f t="shared" si="122"/>
        <v>4352181.4590211324</v>
      </c>
      <c r="Y96" s="119">
        <f t="shared" si="122"/>
        <v>4651315.0892988667</v>
      </c>
      <c r="Z96" s="119">
        <f t="shared" si="119"/>
        <v>4891138.1263576047</v>
      </c>
      <c r="AA96" s="119">
        <f t="shared" si="119"/>
        <v>5068187.7773539415</v>
      </c>
      <c r="AB96" s="119">
        <f t="shared" si="119"/>
        <v>5159236.5762084164</v>
      </c>
      <c r="AC96" s="119">
        <f t="shared" si="119"/>
        <v>5181602.0103844907</v>
      </c>
      <c r="AD96" s="119">
        <f t="shared" si="119"/>
        <v>5134134.1008827509</v>
      </c>
      <c r="AE96" s="119">
        <f t="shared" si="119"/>
        <v>6050009.1998355277</v>
      </c>
      <c r="AF96" s="119">
        <f t="shared" si="119"/>
        <v>7050890.4459618386</v>
      </c>
      <c r="AG96" s="119">
        <f t="shared" si="119"/>
        <v>8051763.7805644162</v>
      </c>
      <c r="AH96" s="119">
        <f t="shared" si="119"/>
        <v>9032524.8299031947</v>
      </c>
      <c r="AI96" s="119">
        <f t="shared" si="119"/>
        <v>10012397.170341931</v>
      </c>
      <c r="AJ96" s="119">
        <f t="shared" si="119"/>
        <v>10992268.908863943</v>
      </c>
      <c r="AK96" s="119">
        <f t="shared" si="119"/>
        <v>11972138.949999046</v>
      </c>
      <c r="AL96" s="119">
        <f t="shared" si="119"/>
        <v>12952007.824896058</v>
      </c>
      <c r="AM96" s="119">
        <f t="shared" si="119"/>
        <v>13931875.707727393</v>
      </c>
    </row>
    <row r="97" spans="1:39" ht="12" thickBot="1">
      <c r="A97" s="138" t="s">
        <v>140</v>
      </c>
      <c r="B97" s="138"/>
      <c r="C97" s="138"/>
      <c r="D97" s="138"/>
      <c r="E97" s="138"/>
      <c r="F97" s="138"/>
      <c r="G97" s="138"/>
      <c r="H97" s="138"/>
      <c r="I97" s="13">
        <f>Data!$M14</f>
        <v>8864</v>
      </c>
      <c r="J97" s="13">
        <f>Data!$M26</f>
        <v>6926</v>
      </c>
      <c r="K97" s="13">
        <f>Data!$M38</f>
        <v>5059</v>
      </c>
      <c r="L97" s="13">
        <f>Data!$M50</f>
        <v>11139</v>
      </c>
      <c r="M97" s="13">
        <f>Data!$M62</f>
        <v>49050</v>
      </c>
      <c r="N97" s="119">
        <f t="shared" si="122"/>
        <v>47673.330397116224</v>
      </c>
      <c r="O97" s="119">
        <f t="shared" si="122"/>
        <v>202275.4378868927</v>
      </c>
      <c r="P97" s="119">
        <f t="shared" si="122"/>
        <v>666199.82202889689</v>
      </c>
      <c r="Q97" s="119">
        <f t="shared" si="122"/>
        <v>1271321.8167437059</v>
      </c>
      <c r="R97" s="119">
        <f t="shared" si="122"/>
        <v>1795443.8114585145</v>
      </c>
      <c r="S97" s="119">
        <f t="shared" si="122"/>
        <v>2345128.1392130349</v>
      </c>
      <c r="T97" s="119">
        <f t="shared" si="122"/>
        <v>2857666.5779807926</v>
      </c>
      <c r="U97" s="119">
        <f t="shared" si="122"/>
        <v>3307059.1277617877</v>
      </c>
      <c r="V97" s="119">
        <f t="shared" si="122"/>
        <v>3737305.7885560198</v>
      </c>
      <c r="W97" s="119">
        <f t="shared" si="122"/>
        <v>4122406.5603634892</v>
      </c>
      <c r="X97" s="119">
        <f t="shared" si="122"/>
        <v>4482361.4431841979</v>
      </c>
      <c r="Y97" s="119">
        <f t="shared" si="122"/>
        <v>4778243.3815115225</v>
      </c>
      <c r="Z97" s="119">
        <f t="shared" si="119"/>
        <v>5013125.319838847</v>
      </c>
      <c r="AA97" s="119">
        <f t="shared" si="119"/>
        <v>5185007.2581661707</v>
      </c>
      <c r="AB97" s="119">
        <f t="shared" si="119"/>
        <v>5269889.1964934971</v>
      </c>
      <c r="AC97" s="119">
        <f t="shared" si="119"/>
        <v>5286771.1348208226</v>
      </c>
      <c r="AD97" s="119">
        <f t="shared" si="119"/>
        <v>5233653.0731481463</v>
      </c>
      <c r="AE97" s="119">
        <f t="shared" si="119"/>
        <v>6234529.0114754718</v>
      </c>
      <c r="AF97" s="119">
        <f t="shared" si="119"/>
        <v>7235403.9498027936</v>
      </c>
      <c r="AG97" s="119">
        <f t="shared" si="119"/>
        <v>8236277.8881301172</v>
      </c>
      <c r="AH97" s="119">
        <f t="shared" si="119"/>
        <v>9216150.8264574483</v>
      </c>
      <c r="AI97" s="119">
        <f t="shared" si="119"/>
        <v>10196022.76478477</v>
      </c>
      <c r="AJ97" s="119">
        <f t="shared" si="119"/>
        <v>11175893.70311209</v>
      </c>
      <c r="AK97" s="119">
        <f t="shared" si="119"/>
        <v>12155763.641439419</v>
      </c>
      <c r="AL97" s="119">
        <f t="shared" si="119"/>
        <v>13135632.579766741</v>
      </c>
      <c r="AM97" s="119">
        <f t="shared" si="119"/>
        <v>14115500.518094067</v>
      </c>
    </row>
    <row r="98" spans="1:39">
      <c r="A98" s="199"/>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199"/>
      <c r="AL98" s="199"/>
      <c r="AM98" s="199"/>
    </row>
    <row r="100" spans="1:39" ht="12" thickBot="1">
      <c r="A100" s="111" t="s">
        <v>223</v>
      </c>
      <c r="B100" s="111"/>
      <c r="C100" s="111"/>
      <c r="D100" s="111"/>
      <c r="E100" s="111"/>
      <c r="F100" s="111"/>
      <c r="G100" s="111"/>
      <c r="H100" s="111"/>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row>
    <row r="101" spans="1:39">
      <c r="A101" s="228"/>
      <c r="B101" s="229">
        <f t="shared" ref="B101:H101" si="125">B2</f>
        <v>2013</v>
      </c>
      <c r="C101" s="229">
        <f t="shared" si="125"/>
        <v>2014</v>
      </c>
      <c r="D101" s="229">
        <f t="shared" si="125"/>
        <v>2015</v>
      </c>
      <c r="E101" s="229">
        <f t="shared" si="125"/>
        <v>2016</v>
      </c>
      <c r="F101" s="229">
        <f t="shared" si="125"/>
        <v>2017</v>
      </c>
      <c r="G101" s="229">
        <f t="shared" si="125"/>
        <v>2018</v>
      </c>
      <c r="H101" s="229">
        <f t="shared" si="125"/>
        <v>2019</v>
      </c>
      <c r="I101" s="229">
        <f>I2</f>
        <v>2020</v>
      </c>
      <c r="J101" s="229">
        <f t="shared" ref="J101:AK101" si="126">J2</f>
        <v>2021</v>
      </c>
      <c r="K101" s="229">
        <f t="shared" si="126"/>
        <v>2022</v>
      </c>
      <c r="L101" s="229">
        <f t="shared" si="126"/>
        <v>2023</v>
      </c>
      <c r="M101" s="229">
        <f t="shared" si="126"/>
        <v>2024</v>
      </c>
      <c r="N101" s="229">
        <f t="shared" si="126"/>
        <v>2025</v>
      </c>
      <c r="O101" s="229">
        <f t="shared" si="126"/>
        <v>2026</v>
      </c>
      <c r="P101" s="229">
        <f t="shared" si="126"/>
        <v>2027</v>
      </c>
      <c r="Q101" s="229">
        <f t="shared" si="126"/>
        <v>2028</v>
      </c>
      <c r="R101" s="229">
        <f t="shared" si="126"/>
        <v>2029</v>
      </c>
      <c r="S101" s="229">
        <f t="shared" si="126"/>
        <v>2030</v>
      </c>
      <c r="T101" s="229">
        <f t="shared" si="126"/>
        <v>2031</v>
      </c>
      <c r="U101" s="229">
        <f t="shared" si="126"/>
        <v>2032</v>
      </c>
      <c r="V101" s="229">
        <f t="shared" si="126"/>
        <v>2033</v>
      </c>
      <c r="W101" s="229">
        <f t="shared" si="126"/>
        <v>2034</v>
      </c>
      <c r="X101" s="229">
        <f t="shared" si="126"/>
        <v>2035</v>
      </c>
      <c r="Y101" s="229">
        <f t="shared" si="126"/>
        <v>2036</v>
      </c>
      <c r="Z101" s="229">
        <f t="shared" si="126"/>
        <v>2037</v>
      </c>
      <c r="AA101" s="229">
        <f t="shared" si="126"/>
        <v>2038</v>
      </c>
      <c r="AB101" s="229">
        <f t="shared" si="126"/>
        <v>2039</v>
      </c>
      <c r="AC101" s="229">
        <f t="shared" si="126"/>
        <v>2040</v>
      </c>
      <c r="AD101" s="229">
        <f t="shared" si="126"/>
        <v>2041</v>
      </c>
      <c r="AE101" s="229">
        <f t="shared" si="126"/>
        <v>2042</v>
      </c>
      <c r="AF101" s="229">
        <f t="shared" si="126"/>
        <v>2043</v>
      </c>
      <c r="AG101" s="229">
        <f t="shared" si="126"/>
        <v>2044</v>
      </c>
      <c r="AH101" s="229">
        <f t="shared" si="126"/>
        <v>2045</v>
      </c>
      <c r="AI101" s="229">
        <f t="shared" si="126"/>
        <v>2046</v>
      </c>
      <c r="AJ101" s="229">
        <f t="shared" si="126"/>
        <v>2047</v>
      </c>
      <c r="AK101" s="229">
        <f t="shared" si="126"/>
        <v>2048</v>
      </c>
      <c r="AL101" s="229">
        <f>AL2</f>
        <v>2049</v>
      </c>
      <c r="AM101" s="229">
        <f>AM2</f>
        <v>2050</v>
      </c>
    </row>
    <row r="102" spans="1:39">
      <c r="A102" s="230" t="s">
        <v>120</v>
      </c>
      <c r="B102" s="231">
        <f t="shared" ref="B102:H109" si="127">B210/$I$123</f>
        <v>1.0566887074319558</v>
      </c>
      <c r="C102" s="231">
        <f t="shared" si="127"/>
        <v>5.283443537159779</v>
      </c>
      <c r="D102" s="231">
        <f t="shared" si="127"/>
        <v>5.283443537159779</v>
      </c>
      <c r="E102" s="231">
        <f t="shared" si="127"/>
        <v>5.283443537159779</v>
      </c>
      <c r="F102" s="231">
        <f t="shared" si="127"/>
        <v>5.283443537159779</v>
      </c>
      <c r="G102" s="231">
        <f t="shared" si="127"/>
        <v>5.283443537159779</v>
      </c>
      <c r="H102" s="231">
        <f t="shared" si="127"/>
        <v>5.283443537159779</v>
      </c>
      <c r="I102" s="232">
        <f t="shared" ref="I102:X109" si="128">(I3*$I$121)/1000000</f>
        <v>1.6449996667</v>
      </c>
      <c r="J102" s="232">
        <f t="shared" si="128"/>
        <v>2.3416214944</v>
      </c>
      <c r="K102" s="232">
        <f t="shared" si="128"/>
        <v>1.8296559646000001</v>
      </c>
      <c r="L102" s="232">
        <f t="shared" si="128"/>
        <v>1.3364466538999999</v>
      </c>
      <c r="M102" s="232">
        <f t="shared" si="128"/>
        <v>2.9426130219000002</v>
      </c>
      <c r="N102" s="233">
        <f t="shared" ref="N102:AM102" si="129">M109</f>
        <v>12.957641505000002</v>
      </c>
      <c r="O102" s="234">
        <f t="shared" si="129"/>
        <v>11.8877445</v>
      </c>
      <c r="P102" s="234">
        <f t="shared" si="129"/>
        <v>13.208605</v>
      </c>
      <c r="Q102" s="234">
        <f t="shared" si="129"/>
        <v>13.208605</v>
      </c>
      <c r="R102" s="234">
        <f t="shared" si="129"/>
        <v>13.7369492</v>
      </c>
      <c r="S102" s="234">
        <f t="shared" si="129"/>
        <v>14.529465500000001</v>
      </c>
      <c r="T102" s="234">
        <f t="shared" si="129"/>
        <v>14.529465500000001</v>
      </c>
      <c r="U102" s="234">
        <f t="shared" si="129"/>
        <v>14.529465500000001</v>
      </c>
      <c r="V102" s="234">
        <f t="shared" si="129"/>
        <v>14.529465500000001</v>
      </c>
      <c r="W102" s="234">
        <f t="shared" si="129"/>
        <v>14.529465500000001</v>
      </c>
      <c r="X102" s="234">
        <f t="shared" si="129"/>
        <v>15.850326000000001</v>
      </c>
      <c r="Y102" s="234">
        <f t="shared" si="129"/>
        <v>15.850326000000001</v>
      </c>
      <c r="Z102" s="234">
        <f t="shared" si="129"/>
        <v>15.850326000000001</v>
      </c>
      <c r="AA102" s="234">
        <f t="shared" si="129"/>
        <v>15.850326000000001</v>
      </c>
      <c r="AB102" s="234">
        <f t="shared" si="129"/>
        <v>15.850326000000001</v>
      </c>
      <c r="AC102" s="234">
        <f t="shared" si="129"/>
        <v>15.850326000000001</v>
      </c>
      <c r="AD102" s="234">
        <f t="shared" si="129"/>
        <v>15.850326000000001</v>
      </c>
      <c r="AE102" s="234">
        <f t="shared" si="129"/>
        <v>15.850326000000001</v>
      </c>
      <c r="AF102" s="234">
        <f t="shared" si="129"/>
        <v>15.850326000000001</v>
      </c>
      <c r="AG102" s="234">
        <f t="shared" si="129"/>
        <v>15.850326000000001</v>
      </c>
      <c r="AH102" s="234">
        <f t="shared" si="129"/>
        <v>15.850326000000001</v>
      </c>
      <c r="AI102" s="234">
        <f t="shared" si="129"/>
        <v>15.850326000000001</v>
      </c>
      <c r="AJ102" s="234">
        <f t="shared" si="129"/>
        <v>15.850326000000001</v>
      </c>
      <c r="AK102" s="234">
        <f t="shared" si="129"/>
        <v>15.850326000000001</v>
      </c>
      <c r="AL102" s="234">
        <f t="shared" si="129"/>
        <v>15.850326000000001</v>
      </c>
      <c r="AM102" s="234">
        <f t="shared" si="129"/>
        <v>15.850326000000001</v>
      </c>
    </row>
    <row r="103" spans="1:39">
      <c r="A103" s="230" t="s">
        <v>3</v>
      </c>
      <c r="B103" s="231">
        <f t="shared" si="127"/>
        <v>42.003376120420242</v>
      </c>
      <c r="C103" s="231">
        <f t="shared" si="127"/>
        <v>92.724434077154129</v>
      </c>
      <c r="D103" s="231">
        <f t="shared" si="127"/>
        <v>104.87635421262162</v>
      </c>
      <c r="E103" s="231">
        <f t="shared" si="127"/>
        <v>122.57589006210688</v>
      </c>
      <c r="F103" s="231">
        <f t="shared" si="127"/>
        <v>104.87635421262162</v>
      </c>
      <c r="G103" s="231">
        <f t="shared" si="127"/>
        <v>81.365030472260599</v>
      </c>
      <c r="H103" s="231">
        <f t="shared" si="127"/>
        <v>94.837811492018034</v>
      </c>
      <c r="I103" s="232">
        <f t="shared" si="128"/>
        <v>120.940629101</v>
      </c>
      <c r="J103" s="232">
        <f t="shared" si="128"/>
        <v>113.7900186982</v>
      </c>
      <c r="K103" s="232">
        <f t="shared" si="128"/>
        <v>97.530225943200008</v>
      </c>
      <c r="L103" s="232">
        <f t="shared" si="128"/>
        <v>134.22742904259999</v>
      </c>
      <c r="M103" s="232">
        <f>(M4*$I$121)/1000000</f>
        <v>295.95306031840005</v>
      </c>
      <c r="N103" s="234">
        <v>300</v>
      </c>
      <c r="O103" s="234">
        <f>MROUND(SUM('BD Plant List'!U210:U221)/12,5)</f>
        <v>370</v>
      </c>
      <c r="P103" s="234">
        <f>MROUND(SUM('BD Plant List'!U222:U233)/12,5)</f>
        <v>485</v>
      </c>
      <c r="Q103" s="234">
        <f>MROUND(SUM('BD Plant List'!U234:U245)/12,5)</f>
        <v>540</v>
      </c>
      <c r="R103" s="234">
        <f>MROUND(SUM('BD Plant List'!U246:U257)/12,5)+5</f>
        <v>540</v>
      </c>
      <c r="S103" s="234">
        <f>MROUND(SUM('BD Plant List'!U258:U269)/12,5)+35</f>
        <v>570</v>
      </c>
      <c r="T103" s="234">
        <f>MROUND(SUM('BD Plant List'!U270:U281)/12,5)+45</f>
        <v>580</v>
      </c>
      <c r="U103" s="234">
        <f>MROUND(SUM('BD Plant List'!U282:U293)/12,5)+55</f>
        <v>590</v>
      </c>
      <c r="V103" s="234">
        <f>MROUND(SUM('BD Plant List'!U294:U305)/12,5)+65</f>
        <v>600</v>
      </c>
      <c r="W103" s="234">
        <f>MROUND(SUM('BD Plant List'!U306:U317)/12,5)+75</f>
        <v>610</v>
      </c>
      <c r="X103" s="234">
        <f>MROUND(SUM('BD Plant List'!U318:U329)/12,5)+85</f>
        <v>620</v>
      </c>
      <c r="Y103" s="234">
        <f>MROUND(SUM('BD Plant List'!$U330:$U341)/12,5)+90</f>
        <v>625</v>
      </c>
      <c r="Z103" s="234">
        <f>MROUND(SUM('BD Plant List'!$U342:$U353)/12,5)+90</f>
        <v>625</v>
      </c>
      <c r="AA103" s="234">
        <f>MROUND(SUM('BD Plant List'!$U354:$U365)/12,5)+90</f>
        <v>625</v>
      </c>
      <c r="AB103" s="234">
        <f>MROUND(SUM('BD Plant List'!$U366:$U377)/12,5)+90</f>
        <v>625</v>
      </c>
      <c r="AC103" s="234">
        <f>MROUND(SUM('BD Plant List'!$U378:$U389)/12,5)+90</f>
        <v>625</v>
      </c>
      <c r="AD103" s="234">
        <f>MROUND(SUM('BD Plant List'!$U390:$U401)/12,5)+90</f>
        <v>625</v>
      </c>
      <c r="AE103" s="234">
        <f>MROUND(SUM('BD Plant List'!$U402:$U413)/12,5)+90</f>
        <v>625</v>
      </c>
      <c r="AF103" s="234">
        <f>MROUND(SUM('BD Plant List'!$U414:$U425)/12,5)+90</f>
        <v>625</v>
      </c>
      <c r="AG103" s="234">
        <f>MROUND(SUM('BD Plant List'!$U426:$U437)/12,5)+90</f>
        <v>625</v>
      </c>
      <c r="AH103" s="234">
        <f>MROUND(SUM('BD Plant List'!$U438:$U449)/12,5)+90</f>
        <v>625</v>
      </c>
      <c r="AI103" s="234">
        <f>MROUND(SUM('BD Plant List'!$U450:$U461)/12,5)+90</f>
        <v>625</v>
      </c>
      <c r="AJ103" s="234">
        <f>MROUND(SUM('BD Plant List'!$U462:$U473)/12,5)+90</f>
        <v>625</v>
      </c>
      <c r="AK103" s="234">
        <f>MROUND(SUM('BD Plant List'!$U474:$U485)/12,5)+90</f>
        <v>625</v>
      </c>
      <c r="AL103" s="234">
        <f>MROUND(SUM('BD Plant List'!$U486:$U497)/12,5)+90</f>
        <v>625</v>
      </c>
      <c r="AM103" s="234">
        <f>MROUND(SUM('BD Plant List'!$U498:$U511)/12,5)+90</f>
        <v>625</v>
      </c>
    </row>
    <row r="104" spans="1:39">
      <c r="A104" s="230" t="s">
        <v>121</v>
      </c>
      <c r="B104" s="231">
        <f t="shared" si="127"/>
        <v>155.86158434621348</v>
      </c>
      <c r="C104" s="231">
        <f t="shared" si="127"/>
        <v>161.14502788337327</v>
      </c>
      <c r="D104" s="231">
        <f t="shared" si="127"/>
        <v>133.40694931328443</v>
      </c>
      <c r="E104" s="231">
        <f t="shared" si="127"/>
        <v>138.16204849672823</v>
      </c>
      <c r="F104" s="231">
        <f t="shared" si="127"/>
        <v>187.82641774603013</v>
      </c>
      <c r="G104" s="231">
        <f t="shared" si="127"/>
        <v>197.86496046663373</v>
      </c>
      <c r="H104" s="231">
        <f t="shared" si="127"/>
        <v>208.43184754095327</v>
      </c>
      <c r="I104" s="232">
        <f t="shared" si="128"/>
        <v>119.32593105727561</v>
      </c>
      <c r="J104" s="232">
        <f t="shared" si="128"/>
        <v>116.68339926026627</v>
      </c>
      <c r="K104" s="232">
        <f t="shared" si="128"/>
        <v>156.22501946834834</v>
      </c>
      <c r="L104" s="232">
        <f t="shared" si="128"/>
        <v>183.44244997780385</v>
      </c>
      <c r="M104" s="232">
        <f t="shared" si="128"/>
        <v>134.41165429088446</v>
      </c>
      <c r="N104" s="234">
        <f t="shared" si="128"/>
        <v>118.87744499999999</v>
      </c>
      <c r="O104" s="234">
        <f t="shared" si="128"/>
        <v>105.66884</v>
      </c>
      <c r="P104" s="234">
        <f t="shared" si="128"/>
        <v>92.460234999999997</v>
      </c>
      <c r="Q104" s="234">
        <f t="shared" si="128"/>
        <v>92.460234999999997</v>
      </c>
      <c r="R104" s="234">
        <f t="shared" si="128"/>
        <v>79.251630000000006</v>
      </c>
      <c r="S104" s="234">
        <f t="shared" si="128"/>
        <v>72.647327500000003</v>
      </c>
      <c r="T104" s="234">
        <f t="shared" si="128"/>
        <v>66.043025</v>
      </c>
      <c r="U104" s="234">
        <f t="shared" si="128"/>
        <v>52.834420000000001</v>
      </c>
      <c r="V104" s="234">
        <f t="shared" si="128"/>
        <v>52.834420000000001</v>
      </c>
      <c r="W104" s="234">
        <f t="shared" si="128"/>
        <v>46.230117499999999</v>
      </c>
      <c r="X104" s="234">
        <f t="shared" si="128"/>
        <v>46.230117499999999</v>
      </c>
      <c r="Y104" s="234">
        <f t="shared" ref="Y104:AK104" si="130">(Y5*$I$121)/1000000</f>
        <v>39.625815000000003</v>
      </c>
      <c r="Z104" s="234">
        <f t="shared" si="130"/>
        <v>39.625815000000003</v>
      </c>
      <c r="AA104" s="234">
        <f t="shared" si="130"/>
        <v>39.625815000000003</v>
      </c>
      <c r="AB104" s="234">
        <f t="shared" si="130"/>
        <v>33.0215125</v>
      </c>
      <c r="AC104" s="234">
        <f t="shared" si="130"/>
        <v>33.0215125</v>
      </c>
      <c r="AD104" s="234">
        <f t="shared" si="130"/>
        <v>33.0215125</v>
      </c>
      <c r="AE104" s="234">
        <f t="shared" si="130"/>
        <v>33.0215125</v>
      </c>
      <c r="AF104" s="234">
        <f t="shared" si="130"/>
        <v>33.0215125</v>
      </c>
      <c r="AG104" s="234">
        <f t="shared" si="130"/>
        <v>33.0215125</v>
      </c>
      <c r="AH104" s="234">
        <f t="shared" si="130"/>
        <v>26.417210000000001</v>
      </c>
      <c r="AI104" s="234">
        <f t="shared" si="130"/>
        <v>26.417210000000001</v>
      </c>
      <c r="AJ104" s="234">
        <f t="shared" si="130"/>
        <v>26.417210000000001</v>
      </c>
      <c r="AK104" s="234">
        <f t="shared" si="130"/>
        <v>26.417210000000001</v>
      </c>
      <c r="AL104" s="234">
        <f>(AL5*$I$121)/1000000</f>
        <v>26.417210000000001</v>
      </c>
      <c r="AM104" s="234">
        <f>(AM5*$I$121)/1000000</f>
        <v>26.417210000000001</v>
      </c>
    </row>
    <row r="105" spans="1:39">
      <c r="A105" s="230" t="s">
        <v>122</v>
      </c>
      <c r="B105" s="231">
        <f t="shared" si="127"/>
        <v>198.92164917406569</v>
      </c>
      <c r="C105" s="231">
        <f t="shared" si="127"/>
        <v>259.15290549768719</v>
      </c>
      <c r="D105" s="231">
        <f t="shared" si="127"/>
        <v>243.5667470630658</v>
      </c>
      <c r="E105" s="231">
        <f t="shared" si="127"/>
        <v>266.02138209599485</v>
      </c>
      <c r="F105" s="231">
        <f t="shared" si="127"/>
        <v>297.98621549581156</v>
      </c>
      <c r="G105" s="231">
        <f t="shared" si="127"/>
        <v>284.5134344760541</v>
      </c>
      <c r="H105" s="231">
        <f t="shared" si="127"/>
        <v>308.5531025701311</v>
      </c>
      <c r="I105" s="232">
        <f t="shared" si="128"/>
        <v>241.9115598249756</v>
      </c>
      <c r="J105" s="232">
        <f t="shared" si="128"/>
        <v>232.81503945286627</v>
      </c>
      <c r="K105" s="232">
        <f t="shared" si="128"/>
        <v>255.58490137614831</v>
      </c>
      <c r="L105" s="232">
        <f t="shared" si="128"/>
        <v>319.00632567430387</v>
      </c>
      <c r="M105" s="232">
        <f t="shared" si="128"/>
        <v>433.30732763118448</v>
      </c>
      <c r="N105" s="234">
        <f t="shared" ref="N105:Y105" si="131">SUM(N102:N104)</f>
        <v>431.83508650500005</v>
      </c>
      <c r="O105" s="234">
        <f t="shared" si="131"/>
        <v>487.55658449999999</v>
      </c>
      <c r="P105" s="234">
        <f t="shared" si="131"/>
        <v>590.66883999999993</v>
      </c>
      <c r="Q105" s="234">
        <f t="shared" si="131"/>
        <v>645.66884000000005</v>
      </c>
      <c r="R105" s="234">
        <f t="shared" si="131"/>
        <v>632.9885792</v>
      </c>
      <c r="S105" s="234">
        <f t="shared" si="131"/>
        <v>657.17679299999998</v>
      </c>
      <c r="T105" s="234">
        <f t="shared" si="131"/>
        <v>660.57249049999996</v>
      </c>
      <c r="U105" s="234">
        <f t="shared" si="131"/>
        <v>657.36388550000004</v>
      </c>
      <c r="V105" s="234">
        <f t="shared" si="131"/>
        <v>667.36388550000004</v>
      </c>
      <c r="W105" s="234">
        <f t="shared" si="131"/>
        <v>670.75958300000002</v>
      </c>
      <c r="X105" s="234">
        <f t="shared" si="131"/>
        <v>682.0804435</v>
      </c>
      <c r="Y105" s="234">
        <f t="shared" si="131"/>
        <v>680.47614099999998</v>
      </c>
      <c r="Z105" s="234">
        <f t="shared" ref="Z105:AK105" si="132">SUM(Z102:Z104)</f>
        <v>680.47614099999998</v>
      </c>
      <c r="AA105" s="234">
        <f t="shared" si="132"/>
        <v>680.47614099999998</v>
      </c>
      <c r="AB105" s="234">
        <f t="shared" si="132"/>
        <v>673.87183849999997</v>
      </c>
      <c r="AC105" s="234">
        <f t="shared" si="132"/>
        <v>673.87183849999997</v>
      </c>
      <c r="AD105" s="234">
        <f t="shared" si="132"/>
        <v>673.87183849999997</v>
      </c>
      <c r="AE105" s="234">
        <f t="shared" si="132"/>
        <v>673.87183849999997</v>
      </c>
      <c r="AF105" s="234">
        <f t="shared" si="132"/>
        <v>673.87183849999997</v>
      </c>
      <c r="AG105" s="234">
        <f t="shared" si="132"/>
        <v>673.87183849999997</v>
      </c>
      <c r="AH105" s="234">
        <f t="shared" si="132"/>
        <v>667.26753599999995</v>
      </c>
      <c r="AI105" s="234">
        <f t="shared" si="132"/>
        <v>667.26753599999995</v>
      </c>
      <c r="AJ105" s="234">
        <f t="shared" si="132"/>
        <v>667.26753599999995</v>
      </c>
      <c r="AK105" s="234">
        <f t="shared" si="132"/>
        <v>667.26753599999995</v>
      </c>
      <c r="AL105" s="234">
        <f>SUM(AL102:AL104)</f>
        <v>667.26753599999995</v>
      </c>
      <c r="AM105" s="234">
        <f>SUM(AM102:AM104)</f>
        <v>667.26753599999995</v>
      </c>
    </row>
    <row r="106" spans="1:39">
      <c r="A106" s="230" t="s">
        <v>148</v>
      </c>
      <c r="B106" s="231">
        <f t="shared" si="127"/>
        <v>152.42734604705961</v>
      </c>
      <c r="C106" s="231">
        <f t="shared" si="127"/>
        <v>167.485160127965</v>
      </c>
      <c r="D106" s="231">
        <f t="shared" si="127"/>
        <v>167.74933230482299</v>
      </c>
      <c r="E106" s="231">
        <f t="shared" si="127"/>
        <v>140.53959808845013</v>
      </c>
      <c r="F106" s="231">
        <f t="shared" si="127"/>
        <v>200.24251005835563</v>
      </c>
      <c r="G106" s="231">
        <f t="shared" si="127"/>
        <v>197.86496046663373</v>
      </c>
      <c r="H106" s="231">
        <f t="shared" si="127"/>
        <v>215.30032413926099</v>
      </c>
      <c r="I106" s="232">
        <f t="shared" si="128"/>
        <v>147.82976549213234</v>
      </c>
      <c r="J106" s="232">
        <f t="shared" si="128"/>
        <v>141.36020658704112</v>
      </c>
      <c r="K106" s="232">
        <f t="shared" si="128"/>
        <v>177.17091350143588</v>
      </c>
      <c r="L106" s="232">
        <f t="shared" si="128"/>
        <v>210.68755814160014</v>
      </c>
      <c r="M106" s="232">
        <f t="shared" si="128"/>
        <v>320.58948936236527</v>
      </c>
      <c r="N106" s="234">
        <f t="shared" ref="N106:AK106" si="133">N108-N107</f>
        <v>317.71273930500007</v>
      </c>
      <c r="O106" s="234">
        <f t="shared" si="133"/>
        <v>367.62245110000003</v>
      </c>
      <c r="P106" s="234">
        <f t="shared" si="133"/>
        <v>462.01702729999988</v>
      </c>
      <c r="Q106" s="234">
        <f t="shared" si="133"/>
        <v>510.67689690000003</v>
      </c>
      <c r="R106" s="234">
        <f t="shared" si="133"/>
        <v>501.4308734</v>
      </c>
      <c r="S106" s="234">
        <f t="shared" si="133"/>
        <v>521.65650570000003</v>
      </c>
      <c r="T106" s="234">
        <f t="shared" si="133"/>
        <v>525.05220319999989</v>
      </c>
      <c r="U106" s="234">
        <f t="shared" si="133"/>
        <v>522.10777029999997</v>
      </c>
      <c r="V106" s="234">
        <f t="shared" si="133"/>
        <v>531.05108189999999</v>
      </c>
      <c r="W106" s="234">
        <f t="shared" si="133"/>
        <v>532.3334026</v>
      </c>
      <c r="X106" s="234">
        <f t="shared" si="133"/>
        <v>542.0692305</v>
      </c>
      <c r="Y106" s="234">
        <f t="shared" si="133"/>
        <v>540.72910009999998</v>
      </c>
      <c r="Z106" s="234">
        <f t="shared" si="133"/>
        <v>540.72910009999998</v>
      </c>
      <c r="AA106" s="234">
        <f t="shared" si="133"/>
        <v>540.72910009999998</v>
      </c>
      <c r="AB106" s="234">
        <f t="shared" si="133"/>
        <v>535.18148599999995</v>
      </c>
      <c r="AC106" s="234">
        <f t="shared" si="133"/>
        <v>535.18148599999995</v>
      </c>
      <c r="AD106" s="234">
        <f t="shared" si="133"/>
        <v>535.18148599999995</v>
      </c>
      <c r="AE106" s="234">
        <f t="shared" si="133"/>
        <v>535.18148599999995</v>
      </c>
      <c r="AF106" s="234">
        <f t="shared" si="133"/>
        <v>535.18148599999995</v>
      </c>
      <c r="AG106" s="234">
        <f t="shared" si="133"/>
        <v>535.18148599999995</v>
      </c>
      <c r="AH106" s="234">
        <f t="shared" si="133"/>
        <v>529.63387189999992</v>
      </c>
      <c r="AI106" s="234">
        <f t="shared" si="133"/>
        <v>529.63387189999992</v>
      </c>
      <c r="AJ106" s="234">
        <f t="shared" si="133"/>
        <v>529.63387189999992</v>
      </c>
      <c r="AK106" s="234">
        <f t="shared" si="133"/>
        <v>529.63387189999992</v>
      </c>
      <c r="AL106" s="234">
        <f>AL108-AL107</f>
        <v>529.63387189999992</v>
      </c>
      <c r="AM106" s="234">
        <f>AM108-AM107</f>
        <v>529.63387189999992</v>
      </c>
    </row>
    <row r="107" spans="1:39">
      <c r="A107" s="230" t="s">
        <v>123</v>
      </c>
      <c r="B107" s="231">
        <f t="shared" si="127"/>
        <v>41.21085958984628</v>
      </c>
      <c r="C107" s="231">
        <f t="shared" si="127"/>
        <v>86.384301832562386</v>
      </c>
      <c r="D107" s="231">
        <f t="shared" si="127"/>
        <v>70.53397122108305</v>
      </c>
      <c r="E107" s="231">
        <f t="shared" si="127"/>
        <v>120.19834047038498</v>
      </c>
      <c r="F107" s="231">
        <f t="shared" si="127"/>
        <v>92.460261900296132</v>
      </c>
      <c r="G107" s="231">
        <f t="shared" si="127"/>
        <v>81.365030472260599</v>
      </c>
      <c r="H107" s="231">
        <f t="shared" si="127"/>
        <v>90.346884485432227</v>
      </c>
      <c r="I107" s="232">
        <f t="shared" si="128"/>
        <v>91.740172838443286</v>
      </c>
      <c r="J107" s="232">
        <f t="shared" si="128"/>
        <v>89.62517690122516</v>
      </c>
      <c r="K107" s="232">
        <f t="shared" si="128"/>
        <v>77.077541220812435</v>
      </c>
      <c r="L107" s="232">
        <f t="shared" si="128"/>
        <v>105.37615451080374</v>
      </c>
      <c r="M107" s="232">
        <f t="shared" si="128"/>
        <v>99.760196763819252</v>
      </c>
      <c r="N107" s="234">
        <f t="shared" si="128"/>
        <v>102.2346027</v>
      </c>
      <c r="O107" s="234">
        <f t="shared" si="128"/>
        <v>106.7255284</v>
      </c>
      <c r="P107" s="234">
        <f t="shared" si="128"/>
        <v>115.4432077</v>
      </c>
      <c r="Q107" s="234">
        <f t="shared" si="128"/>
        <v>121.2549939</v>
      </c>
      <c r="R107" s="234">
        <f t="shared" si="128"/>
        <v>117.02824029999999</v>
      </c>
      <c r="S107" s="234">
        <f t="shared" si="128"/>
        <v>120.99082179999999</v>
      </c>
      <c r="T107" s="234">
        <f t="shared" si="128"/>
        <v>120.99082179999999</v>
      </c>
      <c r="U107" s="234">
        <f t="shared" si="128"/>
        <v>120.72664970000001</v>
      </c>
      <c r="V107" s="234">
        <f t="shared" si="128"/>
        <v>121.78333809999999</v>
      </c>
      <c r="W107" s="234">
        <f t="shared" si="128"/>
        <v>122.57585440000001</v>
      </c>
      <c r="X107" s="234">
        <f t="shared" si="128"/>
        <v>124.160887</v>
      </c>
      <c r="Y107" s="234">
        <f t="shared" ref="Y107:AK107" si="134">(Y8*$I$121)/1000000</f>
        <v>123.89671490000001</v>
      </c>
      <c r="Z107" s="234">
        <f t="shared" si="134"/>
        <v>123.89671490000001</v>
      </c>
      <c r="AA107" s="234">
        <f t="shared" si="134"/>
        <v>123.89671490000001</v>
      </c>
      <c r="AB107" s="234">
        <f t="shared" si="134"/>
        <v>122.84002649999999</v>
      </c>
      <c r="AC107" s="234">
        <f t="shared" si="134"/>
        <v>122.84002649999999</v>
      </c>
      <c r="AD107" s="234">
        <f t="shared" si="134"/>
        <v>122.84002649999999</v>
      </c>
      <c r="AE107" s="234">
        <f t="shared" si="134"/>
        <v>122.84002649999999</v>
      </c>
      <c r="AF107" s="234">
        <f t="shared" si="134"/>
        <v>122.84002649999999</v>
      </c>
      <c r="AG107" s="234">
        <f t="shared" si="134"/>
        <v>122.84002649999999</v>
      </c>
      <c r="AH107" s="234">
        <f t="shared" si="134"/>
        <v>121.78333809999999</v>
      </c>
      <c r="AI107" s="234">
        <f t="shared" si="134"/>
        <v>121.78333809999999</v>
      </c>
      <c r="AJ107" s="234">
        <f t="shared" si="134"/>
        <v>121.78333809999999</v>
      </c>
      <c r="AK107" s="234">
        <f t="shared" si="134"/>
        <v>121.78333809999999</v>
      </c>
      <c r="AL107" s="234">
        <f>(AL8*$I$121)/1000000</f>
        <v>121.78333809999999</v>
      </c>
      <c r="AM107" s="234">
        <f>(AM8*$I$121)/1000000</f>
        <v>121.78333809999999</v>
      </c>
    </row>
    <row r="108" spans="1:39">
      <c r="A108" s="230" t="s">
        <v>126</v>
      </c>
      <c r="B108" s="231">
        <f t="shared" si="127"/>
        <v>193.63820563690589</v>
      </c>
      <c r="C108" s="231">
        <f t="shared" si="127"/>
        <v>253.86946196052739</v>
      </c>
      <c r="D108" s="231">
        <f t="shared" si="127"/>
        <v>238.28330352590604</v>
      </c>
      <c r="E108" s="231">
        <f t="shared" si="127"/>
        <v>260.73793855883508</v>
      </c>
      <c r="F108" s="231">
        <f t="shared" si="127"/>
        <v>292.70277195865174</v>
      </c>
      <c r="G108" s="231">
        <f t="shared" si="127"/>
        <v>279.22999093889433</v>
      </c>
      <c r="H108" s="231">
        <f t="shared" si="127"/>
        <v>305.64720862469323</v>
      </c>
      <c r="I108" s="232">
        <f t="shared" si="128"/>
        <v>239.56993833057561</v>
      </c>
      <c r="J108" s="232">
        <f t="shared" si="128"/>
        <v>230.98538348826628</v>
      </c>
      <c r="K108" s="232">
        <f t="shared" si="128"/>
        <v>254.24845472224831</v>
      </c>
      <c r="L108" s="232">
        <f t="shared" si="128"/>
        <v>316.06371265240386</v>
      </c>
      <c r="M108" s="232">
        <f t="shared" si="128"/>
        <v>420.34968612618445</v>
      </c>
      <c r="N108" s="234">
        <f t="shared" ref="N108:AK108" si="135">N105-N109</f>
        <v>419.94734200500005</v>
      </c>
      <c r="O108" s="234">
        <f t="shared" si="135"/>
        <v>474.34797950000001</v>
      </c>
      <c r="P108" s="234">
        <f t="shared" si="135"/>
        <v>577.4602349999999</v>
      </c>
      <c r="Q108" s="234">
        <f t="shared" si="135"/>
        <v>631.93189080000002</v>
      </c>
      <c r="R108" s="234">
        <f t="shared" si="135"/>
        <v>618.45911369999999</v>
      </c>
      <c r="S108" s="234">
        <f t="shared" si="135"/>
        <v>642.64732749999996</v>
      </c>
      <c r="T108" s="234">
        <f t="shared" si="135"/>
        <v>646.04302499999994</v>
      </c>
      <c r="U108" s="234">
        <f t="shared" si="135"/>
        <v>642.83442000000002</v>
      </c>
      <c r="V108" s="234">
        <f t="shared" si="135"/>
        <v>652.83442000000002</v>
      </c>
      <c r="W108" s="234">
        <f t="shared" si="135"/>
        <v>654.90925700000003</v>
      </c>
      <c r="X108" s="234">
        <f t="shared" si="135"/>
        <v>666.23011750000001</v>
      </c>
      <c r="Y108" s="234">
        <f t="shared" si="135"/>
        <v>664.62581499999999</v>
      </c>
      <c r="Z108" s="234">
        <f t="shared" si="135"/>
        <v>664.62581499999999</v>
      </c>
      <c r="AA108" s="234">
        <f t="shared" si="135"/>
        <v>664.62581499999999</v>
      </c>
      <c r="AB108" s="234">
        <f t="shared" si="135"/>
        <v>658.02151249999997</v>
      </c>
      <c r="AC108" s="234">
        <f t="shared" si="135"/>
        <v>658.02151249999997</v>
      </c>
      <c r="AD108" s="234">
        <f t="shared" si="135"/>
        <v>658.02151249999997</v>
      </c>
      <c r="AE108" s="234">
        <f t="shared" si="135"/>
        <v>658.02151249999997</v>
      </c>
      <c r="AF108" s="234">
        <f t="shared" si="135"/>
        <v>658.02151249999997</v>
      </c>
      <c r="AG108" s="234">
        <f t="shared" si="135"/>
        <v>658.02151249999997</v>
      </c>
      <c r="AH108" s="234">
        <f t="shared" si="135"/>
        <v>651.41720999999995</v>
      </c>
      <c r="AI108" s="234">
        <f t="shared" si="135"/>
        <v>651.41720999999995</v>
      </c>
      <c r="AJ108" s="234">
        <f t="shared" si="135"/>
        <v>651.41720999999995</v>
      </c>
      <c r="AK108" s="234">
        <f t="shared" si="135"/>
        <v>651.41720999999995</v>
      </c>
      <c r="AL108" s="234">
        <f>AL105-AL109</f>
        <v>651.41720999999995</v>
      </c>
      <c r="AM108" s="234">
        <f>AM105-AM109</f>
        <v>651.41720999999995</v>
      </c>
    </row>
    <row r="109" spans="1:39" ht="12" thickBot="1">
      <c r="A109" s="230" t="s">
        <v>127</v>
      </c>
      <c r="B109" s="231">
        <f t="shared" si="127"/>
        <v>5.283443537159779</v>
      </c>
      <c r="C109" s="231">
        <f t="shared" si="127"/>
        <v>5.283443537159779</v>
      </c>
      <c r="D109" s="231">
        <f t="shared" si="127"/>
        <v>5.283443537159779</v>
      </c>
      <c r="E109" s="231">
        <f t="shared" si="127"/>
        <v>5.283443537159779</v>
      </c>
      <c r="F109" s="231">
        <f t="shared" si="127"/>
        <v>5.283443537159779</v>
      </c>
      <c r="G109" s="231">
        <f t="shared" si="127"/>
        <v>5.283443537159779</v>
      </c>
      <c r="H109" s="231">
        <f t="shared" si="127"/>
        <v>2.9058939454378785</v>
      </c>
      <c r="I109" s="232">
        <f t="shared" si="128"/>
        <v>2.3416214944</v>
      </c>
      <c r="J109" s="232">
        <f t="shared" si="128"/>
        <v>1.8296559646000001</v>
      </c>
      <c r="K109" s="232">
        <f t="shared" si="128"/>
        <v>1.3364466538999999</v>
      </c>
      <c r="L109" s="232">
        <f t="shared" si="128"/>
        <v>2.9426130219000002</v>
      </c>
      <c r="M109" s="232">
        <f t="shared" si="128"/>
        <v>12.957641505000002</v>
      </c>
      <c r="N109" s="234">
        <f t="shared" si="128"/>
        <v>11.8877445</v>
      </c>
      <c r="O109" s="234">
        <f t="shared" si="128"/>
        <v>13.208605</v>
      </c>
      <c r="P109" s="234">
        <f t="shared" si="128"/>
        <v>13.208605</v>
      </c>
      <c r="Q109" s="234">
        <f t="shared" si="128"/>
        <v>13.7369492</v>
      </c>
      <c r="R109" s="234">
        <f t="shared" si="128"/>
        <v>14.529465500000001</v>
      </c>
      <c r="S109" s="234">
        <f t="shared" si="128"/>
        <v>14.529465500000001</v>
      </c>
      <c r="T109" s="234">
        <f t="shared" si="128"/>
        <v>14.529465500000001</v>
      </c>
      <c r="U109" s="234">
        <f t="shared" si="128"/>
        <v>14.529465500000001</v>
      </c>
      <c r="V109" s="234">
        <f t="shared" si="128"/>
        <v>14.529465500000001</v>
      </c>
      <c r="W109" s="234">
        <f t="shared" si="128"/>
        <v>15.850326000000001</v>
      </c>
      <c r="X109" s="234">
        <f t="shared" si="128"/>
        <v>15.850326000000001</v>
      </c>
      <c r="Y109" s="234">
        <f t="shared" ref="Y109:AK109" si="136">(Y10*$I$121)/1000000</f>
        <v>15.850326000000001</v>
      </c>
      <c r="Z109" s="234">
        <f t="shared" si="136"/>
        <v>15.850326000000001</v>
      </c>
      <c r="AA109" s="234">
        <f t="shared" si="136"/>
        <v>15.850326000000001</v>
      </c>
      <c r="AB109" s="234">
        <f t="shared" si="136"/>
        <v>15.850326000000001</v>
      </c>
      <c r="AC109" s="234">
        <f t="shared" si="136"/>
        <v>15.850326000000001</v>
      </c>
      <c r="AD109" s="234">
        <f t="shared" si="136"/>
        <v>15.850326000000001</v>
      </c>
      <c r="AE109" s="234">
        <f t="shared" si="136"/>
        <v>15.850326000000001</v>
      </c>
      <c r="AF109" s="234">
        <f t="shared" si="136"/>
        <v>15.850326000000001</v>
      </c>
      <c r="AG109" s="234">
        <f t="shared" si="136"/>
        <v>15.850326000000001</v>
      </c>
      <c r="AH109" s="234">
        <f t="shared" si="136"/>
        <v>15.850326000000001</v>
      </c>
      <c r="AI109" s="234">
        <f t="shared" si="136"/>
        <v>15.850326000000001</v>
      </c>
      <c r="AJ109" s="234">
        <f t="shared" si="136"/>
        <v>15.850326000000001</v>
      </c>
      <c r="AK109" s="234">
        <f t="shared" si="136"/>
        <v>15.850326000000001</v>
      </c>
      <c r="AL109" s="234">
        <f>(AL10*$I$121)/1000000</f>
        <v>15.850326000000001</v>
      </c>
      <c r="AM109" s="234">
        <f>(AM10*$I$121)/1000000</f>
        <v>15.850326000000001</v>
      </c>
    </row>
    <row r="110" spans="1:39">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row>
    <row r="111" spans="1:39" ht="12" thickBot="1">
      <c r="A111" s="111" t="s">
        <v>224</v>
      </c>
      <c r="B111" s="111"/>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row>
    <row r="112" spans="1:39">
      <c r="A112" s="228"/>
      <c r="B112" s="229">
        <f>B2</f>
        <v>2013</v>
      </c>
      <c r="C112" s="229">
        <f t="shared" ref="C112:AK112" si="137">C2</f>
        <v>2014</v>
      </c>
      <c r="D112" s="229">
        <f t="shared" si="137"/>
        <v>2015</v>
      </c>
      <c r="E112" s="229">
        <f t="shared" si="137"/>
        <v>2016</v>
      </c>
      <c r="F112" s="229">
        <f t="shared" si="137"/>
        <v>2017</v>
      </c>
      <c r="G112" s="229">
        <f t="shared" si="137"/>
        <v>2018</v>
      </c>
      <c r="H112" s="229">
        <f t="shared" si="137"/>
        <v>2019</v>
      </c>
      <c r="I112" s="229">
        <f t="shared" si="137"/>
        <v>2020</v>
      </c>
      <c r="J112" s="229">
        <f t="shared" si="137"/>
        <v>2021</v>
      </c>
      <c r="K112" s="229">
        <f t="shared" si="137"/>
        <v>2022</v>
      </c>
      <c r="L112" s="229">
        <f t="shared" si="137"/>
        <v>2023</v>
      </c>
      <c r="M112" s="229">
        <f t="shared" si="137"/>
        <v>2024</v>
      </c>
      <c r="N112" s="229">
        <f t="shared" si="137"/>
        <v>2025</v>
      </c>
      <c r="O112" s="229">
        <f t="shared" si="137"/>
        <v>2026</v>
      </c>
      <c r="P112" s="229">
        <f t="shared" si="137"/>
        <v>2027</v>
      </c>
      <c r="Q112" s="229">
        <f t="shared" si="137"/>
        <v>2028</v>
      </c>
      <c r="R112" s="229">
        <f t="shared" si="137"/>
        <v>2029</v>
      </c>
      <c r="S112" s="229">
        <f t="shared" si="137"/>
        <v>2030</v>
      </c>
      <c r="T112" s="229">
        <f t="shared" si="137"/>
        <v>2031</v>
      </c>
      <c r="U112" s="229">
        <f t="shared" si="137"/>
        <v>2032</v>
      </c>
      <c r="V112" s="229">
        <f t="shared" si="137"/>
        <v>2033</v>
      </c>
      <c r="W112" s="229">
        <f t="shared" si="137"/>
        <v>2034</v>
      </c>
      <c r="X112" s="229">
        <f t="shared" si="137"/>
        <v>2035</v>
      </c>
      <c r="Y112" s="229">
        <f t="shared" si="137"/>
        <v>2036</v>
      </c>
      <c r="Z112" s="229">
        <f t="shared" si="137"/>
        <v>2037</v>
      </c>
      <c r="AA112" s="229">
        <f t="shared" si="137"/>
        <v>2038</v>
      </c>
      <c r="AB112" s="229">
        <f t="shared" si="137"/>
        <v>2039</v>
      </c>
      <c r="AC112" s="229">
        <f t="shared" si="137"/>
        <v>2040</v>
      </c>
      <c r="AD112" s="229">
        <f t="shared" si="137"/>
        <v>2041</v>
      </c>
      <c r="AE112" s="229">
        <f t="shared" si="137"/>
        <v>2042</v>
      </c>
      <c r="AF112" s="229">
        <f t="shared" si="137"/>
        <v>2043</v>
      </c>
      <c r="AG112" s="229">
        <f t="shared" si="137"/>
        <v>2044</v>
      </c>
      <c r="AH112" s="229">
        <f t="shared" si="137"/>
        <v>2045</v>
      </c>
      <c r="AI112" s="229">
        <f t="shared" si="137"/>
        <v>2046</v>
      </c>
      <c r="AJ112" s="229">
        <f t="shared" si="137"/>
        <v>2047</v>
      </c>
      <c r="AK112" s="229">
        <f t="shared" si="137"/>
        <v>2048</v>
      </c>
      <c r="AL112" s="229">
        <f>AL2</f>
        <v>2049</v>
      </c>
      <c r="AM112" s="229">
        <f>AM2</f>
        <v>2050</v>
      </c>
    </row>
    <row r="113" spans="1:39">
      <c r="A113" s="230" t="s">
        <v>225</v>
      </c>
      <c r="B113" s="235">
        <v>34530</v>
      </c>
      <c r="C113" s="235">
        <v>34279</v>
      </c>
      <c r="D113" s="235">
        <v>34998</v>
      </c>
      <c r="E113" s="235">
        <v>32702</v>
      </c>
      <c r="F113" s="235">
        <v>35387</v>
      </c>
      <c r="G113" s="235">
        <v>36363</v>
      </c>
      <c r="H113" s="235">
        <v>37390</v>
      </c>
      <c r="I113" s="235">
        <v>35535</v>
      </c>
      <c r="J113" s="235">
        <v>35637</v>
      </c>
      <c r="K113" s="235">
        <v>36001</v>
      </c>
      <c r="L113" s="236">
        <f>MROUND(K113+(K113*'[2]Canadian GDP'!$C$6),100)*(1-L115)</f>
        <v>36218</v>
      </c>
      <c r="M113" s="236">
        <f>MROUND(L113+(L113*'[2]Canadian GDP'!$C$7),100)</f>
        <v>36700</v>
      </c>
      <c r="N113" s="236">
        <f>MROUND(M113+(M113*'[2]Canadian GDP'!$C$8),100)*(1-N115)</f>
        <v>36181</v>
      </c>
      <c r="O113" s="236">
        <f>MROUND(N113+(N113*'[2]Canadian GDP'!$C$9),100)*(1-O115)</f>
        <v>35011.799999999996</v>
      </c>
      <c r="P113" s="236">
        <f>MROUND(O113+(O113*'[2]Canadian GDP'!$C$10),100)*(1-P115)</f>
        <v>33299</v>
      </c>
      <c r="Q113" s="236">
        <f>MROUND(P113+(P113*'[2]Canadian GDP'!$C$11),100)*(1-Q115)</f>
        <v>31163.600000000002</v>
      </c>
      <c r="R113" s="236">
        <f>MROUND(Q113+(Q113*'[2]Canadian GDP'!$C$12),100)*1-(R115)</f>
        <v>31599.905999999999</v>
      </c>
      <c r="S113" s="235">
        <f>MROUND(R113+(R113*'[2]Canadian GDP'!$C$13),100)*(1-S115)</f>
        <v>28569</v>
      </c>
      <c r="T113" s="235">
        <f>MROUND(S113+(S113*'[2]Canadian GDP'!$C$14),100)*(1-T115)</f>
        <v>24957.4</v>
      </c>
      <c r="U113" s="235">
        <f>MROUND(T113+(T113*'[2]Canadian GDP'!$C$15),100)*(1-U115)</f>
        <v>21029.359999999997</v>
      </c>
      <c r="V113" s="235">
        <f>MROUND(U113+(U113*'[2]Canadian GDP'!$C$16),100)*(1-V115)</f>
        <v>17078.34</v>
      </c>
      <c r="W113" s="235">
        <f>MROUND(V113+(V113*'[2]Canadian GDP'!$C$17),100)*(1-W115)</f>
        <v>13362.52</v>
      </c>
      <c r="X113" s="235">
        <f>MROUND(W113+(W113*'[2]Canadian GDP'!$C$18),100)*(1-X115)</f>
        <v>10030.5</v>
      </c>
      <c r="Y113" s="235">
        <f>MROUND(X113+(X113*'[2]Canadian GDP'!$C$19),100)*1-(Y115)</f>
        <v>10199.713599999999</v>
      </c>
      <c r="Z113" s="235">
        <f>MROUND(Y113+(Y113*'[2]Canadian GDP'!$C$19),100)*1-(Z115)</f>
        <v>10299.6842</v>
      </c>
      <c r="AA113" s="235">
        <f>MROUND(Z113+(Z113*'[2]Canadian GDP'!$C$19),100)*1-(AA115)</f>
        <v>10399.6548</v>
      </c>
      <c r="AB113" s="235">
        <f>MROUND(AA113+(AA113*'[2]Canadian GDP'!$C$19),100)*1-(AB115)</f>
        <v>10499.625400000001</v>
      </c>
      <c r="AC113" s="235">
        <f>MROUND(AB113+(AB113*'[2]Canadian GDP'!$C$19),100)*1-(AC115)</f>
        <v>10599.596</v>
      </c>
      <c r="AD113" s="235">
        <f>MROUND(AC113+(AC113*'[2]Canadian GDP'!$C$19),100)*1-(AD115)</f>
        <v>10699.5666</v>
      </c>
      <c r="AE113" s="235">
        <f>MROUND(AD113+(AD113*'[2]Canadian GDP'!$C$19),100)*1-(AE115)</f>
        <v>10799.537200000001</v>
      </c>
      <c r="AF113" s="235">
        <f>MROUND(AE113+(AE113*'[2]Canadian GDP'!$C$19),100)*1-(AF115)</f>
        <v>10899.507799999999</v>
      </c>
      <c r="AG113" s="235">
        <f>MROUND(AF113+(AF113*'[2]Canadian GDP'!$C$19),100)*1-(AG115)</f>
        <v>10999.4784</v>
      </c>
      <c r="AH113" s="235">
        <f>MROUND(AG113+(AG113*'[2]Canadian GDP'!$C$19),100)*1-(AH115)</f>
        <v>11199.449000000001</v>
      </c>
      <c r="AI113" s="235">
        <f>MROUND(AH113+(AH113*'[2]Canadian GDP'!$C$19),100)*1-(AI115)</f>
        <v>11399.419599999999</v>
      </c>
      <c r="AJ113" s="235">
        <f>MROUND(AI113+(AI113*'[2]Canadian GDP'!$C$19),100)*1-(AJ115)</f>
        <v>11599.3902</v>
      </c>
      <c r="AK113" s="235">
        <f>MROUND(AJ113+(AJ113*'[2]Canadian GDP'!$C$19),100)*1-(AK115)</f>
        <v>11799.3608</v>
      </c>
      <c r="AL113" s="235">
        <f>MROUND(AK113+(AK113*'[2]Canadian GDP'!$C$19),100)*1-(AL115)</f>
        <v>11999.331399999999</v>
      </c>
      <c r="AM113" s="235">
        <f>MROUND(AL113+(AL113*'[2]Canadian GDP'!$C$19),100)*1-(AM115)</f>
        <v>12199.302</v>
      </c>
    </row>
    <row r="114" spans="1:39">
      <c r="A114" s="230" t="s">
        <v>226</v>
      </c>
      <c r="B114" s="129">
        <f>(B106*$I$123)/B113</f>
        <v>1.6710107153200114E-2</v>
      </c>
      <c r="C114" s="129">
        <f t="shared" ref="C114:AK114" si="138">(C106*$I$123)/C113</f>
        <v>1.8495288660696052E-2</v>
      </c>
      <c r="D114" s="129">
        <f t="shared" si="138"/>
        <v>1.8143893936796388E-2</v>
      </c>
      <c r="E114" s="129">
        <f t="shared" si="138"/>
        <v>1.6268118157910832E-2</v>
      </c>
      <c r="F114" s="129">
        <f t="shared" si="138"/>
        <v>2.1420295588775538E-2</v>
      </c>
      <c r="G114" s="129">
        <f t="shared" si="138"/>
        <v>2.0597860462558095E-2</v>
      </c>
      <c r="H114" s="129">
        <f t="shared" si="138"/>
        <v>2.1797271997860392E-2</v>
      </c>
      <c r="I114" s="129">
        <f t="shared" si="138"/>
        <v>1.5747749334221829E-2</v>
      </c>
      <c r="J114" s="129">
        <f t="shared" si="138"/>
        <v>1.5015470988485319E-2</v>
      </c>
      <c r="K114" s="129">
        <f t="shared" si="138"/>
        <v>1.862905329511598E-2</v>
      </c>
      <c r="L114" s="129">
        <f t="shared" si="138"/>
        <v>2.2020508848218968E-2</v>
      </c>
      <c r="M114" s="129">
        <f t="shared" si="138"/>
        <v>3.3067102423084228E-2</v>
      </c>
      <c r="N114" s="129">
        <f t="shared" si="138"/>
        <v>3.3240457159629096E-2</v>
      </c>
      <c r="O114" s="129">
        <f t="shared" si="138"/>
        <v>3.9746648347655684E-2</v>
      </c>
      <c r="P114" s="129">
        <f t="shared" si="138"/>
        <v>5.2521813727490096E-2</v>
      </c>
      <c r="Q114" s="129">
        <f t="shared" si="138"/>
        <v>6.2031390221098624E-2</v>
      </c>
      <c r="R114" s="129">
        <f t="shared" si="138"/>
        <v>6.0067312936851587E-2</v>
      </c>
      <c r="S114" s="129">
        <f t="shared" si="138"/>
        <v>6.9119806547020796E-2</v>
      </c>
      <c r="T114" s="129">
        <f t="shared" si="138"/>
        <v>7.9637216237080449E-2</v>
      </c>
      <c r="U114" s="129">
        <f t="shared" si="138"/>
        <v>9.3982507064947443E-2</v>
      </c>
      <c r="V114" s="129">
        <f t="shared" si="138"/>
        <v>0.11770734602631631</v>
      </c>
      <c r="W114" s="129">
        <f t="shared" si="138"/>
        <v>0.15080240744530718</v>
      </c>
      <c r="X114" s="129">
        <f t="shared" si="138"/>
        <v>0.20457148555176763</v>
      </c>
      <c r="Y114" s="129">
        <f t="shared" si="138"/>
        <v>0.20068027623928</v>
      </c>
      <c r="Z114" s="129">
        <f t="shared" si="138"/>
        <v>0.19873243713720282</v>
      </c>
      <c r="AA114" s="129">
        <f t="shared" si="138"/>
        <v>0.19682204670962164</v>
      </c>
      <c r="AB114" s="129">
        <f t="shared" si="138"/>
        <v>0.19294796449778673</v>
      </c>
      <c r="AC114" s="129">
        <f t="shared" si="138"/>
        <v>0.19112816648099229</v>
      </c>
      <c r="AD114" s="129">
        <f t="shared" si="138"/>
        <v>0.18934237475742802</v>
      </c>
      <c r="AE114" s="129">
        <f t="shared" si="138"/>
        <v>0.18758964494508706</v>
      </c>
      <c r="AF114" s="129">
        <f t="shared" si="138"/>
        <v>0.18586906730955868</v>
      </c>
      <c r="AG114" s="129">
        <f t="shared" si="138"/>
        <v>0.1841797651895257</v>
      </c>
      <c r="AH114" s="129">
        <f t="shared" si="138"/>
        <v>0.17901607079321302</v>
      </c>
      <c r="AI114" s="129">
        <f t="shared" si="138"/>
        <v>0.17587573976388929</v>
      </c>
      <c r="AJ114" s="129">
        <f t="shared" si="138"/>
        <v>0.17284368578522161</v>
      </c>
      <c r="AK114" s="129">
        <f t="shared" si="138"/>
        <v>0.16991440375558128</v>
      </c>
      <c r="AL114" s="129">
        <f>(AL106*$I$123)/AL113</f>
        <v>0.16708275554661145</v>
      </c>
      <c r="AM114" s="129">
        <f>(AM106*$I$123)/AM113</f>
        <v>0.16434393992615143</v>
      </c>
    </row>
    <row r="115" spans="1:39" ht="12" thickBot="1">
      <c r="A115" s="230" t="s">
        <v>227</v>
      </c>
      <c r="B115" s="237">
        <v>0</v>
      </c>
      <c r="C115" s="237">
        <v>0</v>
      </c>
      <c r="D115" s="237">
        <v>0</v>
      </c>
      <c r="E115" s="237">
        <v>0</v>
      </c>
      <c r="F115" s="237">
        <v>0</v>
      </c>
      <c r="G115" s="237">
        <v>0</v>
      </c>
      <c r="H115" s="237">
        <v>0</v>
      </c>
      <c r="I115" s="237">
        <v>0</v>
      </c>
      <c r="J115" s="237">
        <v>0</v>
      </c>
      <c r="K115" s="237">
        <v>0</v>
      </c>
      <c r="L115" s="238">
        <v>5.0000000000000001E-3</v>
      </c>
      <c r="M115" s="238">
        <v>1.2500000000000001E-2</v>
      </c>
      <c r="N115" s="239">
        <v>0.03</v>
      </c>
      <c r="O115" s="239">
        <f>(($S$115-$N$115)/5)+N115</f>
        <v>4.5999999999999999E-2</v>
      </c>
      <c r="P115" s="239">
        <f>(($S$115-$N$115)/5)+O115</f>
        <v>6.2E-2</v>
      </c>
      <c r="Q115" s="239">
        <f>(($S$115-$N$115)/5)+P115</f>
        <v>7.8E-2</v>
      </c>
      <c r="R115" s="239">
        <f>(($S$115-$N$115)/5)+Q115</f>
        <v>9.4E-2</v>
      </c>
      <c r="S115" s="239">
        <v>0.11</v>
      </c>
      <c r="T115" s="239">
        <f t="shared" ref="T115:AB115" si="139">(($AC$115-$S$115)/10)+S115</f>
        <v>0.1394</v>
      </c>
      <c r="U115" s="239">
        <f t="shared" si="139"/>
        <v>0.16880000000000001</v>
      </c>
      <c r="V115" s="239">
        <f t="shared" si="139"/>
        <v>0.19820000000000002</v>
      </c>
      <c r="W115" s="239">
        <f t="shared" si="139"/>
        <v>0.22760000000000002</v>
      </c>
      <c r="X115" s="239">
        <f t="shared" si="139"/>
        <v>0.25700000000000001</v>
      </c>
      <c r="Y115" s="239">
        <f t="shared" si="139"/>
        <v>0.28639999999999999</v>
      </c>
      <c r="Z115" s="239">
        <f t="shared" si="139"/>
        <v>0.31579999999999997</v>
      </c>
      <c r="AA115" s="239">
        <f t="shared" si="139"/>
        <v>0.34519999999999995</v>
      </c>
      <c r="AB115" s="239">
        <f t="shared" si="139"/>
        <v>0.37459999999999993</v>
      </c>
      <c r="AC115" s="239">
        <v>0.40399999999999997</v>
      </c>
      <c r="AD115" s="239">
        <f t="shared" ref="AD115:AM115" si="140">(($AC$115-$S$115)/10)+AC115</f>
        <v>0.43339999999999995</v>
      </c>
      <c r="AE115" s="239">
        <f t="shared" si="140"/>
        <v>0.46279999999999993</v>
      </c>
      <c r="AF115" s="239">
        <f t="shared" si="140"/>
        <v>0.49219999999999992</v>
      </c>
      <c r="AG115" s="239">
        <f t="shared" si="140"/>
        <v>0.52159999999999995</v>
      </c>
      <c r="AH115" s="239">
        <f t="shared" si="140"/>
        <v>0.55099999999999993</v>
      </c>
      <c r="AI115" s="239">
        <f t="shared" si="140"/>
        <v>0.58039999999999992</v>
      </c>
      <c r="AJ115" s="239">
        <f t="shared" si="140"/>
        <v>0.6097999999999999</v>
      </c>
      <c r="AK115" s="239">
        <f t="shared" si="140"/>
        <v>0.63919999999999988</v>
      </c>
      <c r="AL115" s="239">
        <f t="shared" si="140"/>
        <v>0.66859999999999986</v>
      </c>
      <c r="AM115" s="239">
        <f t="shared" si="140"/>
        <v>0.69799999999999984</v>
      </c>
    </row>
    <row r="116" spans="1:39">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3"/>
      <c r="AJ116" s="143"/>
      <c r="AK116" s="143"/>
      <c r="AL116" s="143"/>
      <c r="AM116" s="143"/>
    </row>
    <row r="117" spans="1:39">
      <c r="A117" s="230" t="s">
        <v>4</v>
      </c>
      <c r="B117" s="230"/>
      <c r="C117" s="230"/>
      <c r="D117" s="230"/>
      <c r="E117" s="230"/>
      <c r="F117" s="230"/>
      <c r="G117" s="230"/>
      <c r="H117" s="230"/>
      <c r="I117" s="128">
        <f t="shared" ref="I117:K119" si="141">(I16*$I$121)/1000000</f>
        <v>120.24215806860001</v>
      </c>
      <c r="J117" s="128">
        <f t="shared" si="141"/>
        <v>114.92886462129999</v>
      </c>
      <c r="K117" s="128">
        <f t="shared" si="141"/>
        <v>99.245759560599993</v>
      </c>
    </row>
    <row r="118" spans="1:39">
      <c r="A118" s="230" t="s">
        <v>124</v>
      </c>
      <c r="B118" s="230"/>
      <c r="C118" s="230"/>
      <c r="D118" s="230"/>
      <c r="E118" s="230"/>
      <c r="F118" s="230"/>
      <c r="G118" s="230"/>
      <c r="H118" s="230"/>
      <c r="I118" s="128">
        <f t="shared" si="141"/>
        <v>0.47445309159999999</v>
      </c>
      <c r="J118" s="128">
        <f t="shared" si="141"/>
        <v>0.15533319479999999</v>
      </c>
      <c r="K118" s="128">
        <f t="shared" si="141"/>
        <v>0.20684675429999999</v>
      </c>
    </row>
    <row r="119" spans="1:39">
      <c r="A119" s="230" t="s">
        <v>125</v>
      </c>
      <c r="B119" s="230"/>
      <c r="C119" s="230"/>
      <c r="D119" s="230"/>
      <c r="E119" s="230"/>
      <c r="F119" s="230"/>
      <c r="G119" s="230"/>
      <c r="H119" s="230"/>
      <c r="I119" s="128">
        <f t="shared" si="141"/>
        <v>118.85332717037561</v>
      </c>
      <c r="J119" s="128">
        <f t="shared" si="141"/>
        <v>115.90118567216628</v>
      </c>
      <c r="K119" s="128">
        <f t="shared" si="141"/>
        <v>154.7958484073483</v>
      </c>
    </row>
    <row r="120" spans="1:39">
      <c r="I120" s="240">
        <v>45191</v>
      </c>
      <c r="J120" s="113" t="s">
        <v>3</v>
      </c>
      <c r="L120" s="113" t="s">
        <v>228</v>
      </c>
    </row>
    <row r="121" spans="1:39">
      <c r="A121" s="113" t="s">
        <v>229</v>
      </c>
      <c r="I121" s="13">
        <v>264.1721</v>
      </c>
    </row>
    <row r="122" spans="1:39">
      <c r="A122" s="113" t="s">
        <v>205</v>
      </c>
      <c r="I122" s="113">
        <v>0.87470000000000003</v>
      </c>
      <c r="J122" s="13">
        <f>K30*I122</f>
        <v>32014.894700000001</v>
      </c>
      <c r="K122" s="113" t="s">
        <v>230</v>
      </c>
      <c r="L122" s="13">
        <f>'Total RD Feedstock'!D40</f>
        <v>37166</v>
      </c>
      <c r="M122" s="129">
        <f>J122/L122</f>
        <v>0.86140275251574017</v>
      </c>
    </row>
    <row r="123" spans="1:39">
      <c r="A123" s="113" t="s">
        <v>231</v>
      </c>
      <c r="I123" s="113">
        <v>3.7854100000000002</v>
      </c>
      <c r="J123" s="13"/>
    </row>
    <row r="124" spans="1:39">
      <c r="A124" s="113" t="s">
        <v>232</v>
      </c>
      <c r="I124" s="241">
        <f>I121/I122</f>
        <v>302.01451926374756</v>
      </c>
      <c r="J124" s="13">
        <f>J122*I124/1000</f>
        <v>9668.9630320999986</v>
      </c>
      <c r="K124" s="113" t="s">
        <v>233</v>
      </c>
      <c r="L124" s="13">
        <f>L122*2204.622/1000</f>
        <v>81936.981251999983</v>
      </c>
      <c r="M124" s="242">
        <f>L124/J124</f>
        <v>8.4742263446428883</v>
      </c>
    </row>
    <row r="125" spans="1:39">
      <c r="A125" s="113" t="s">
        <v>234</v>
      </c>
    </row>
    <row r="126" spans="1:39" ht="12" thickBot="1">
      <c r="A126" s="138" t="s">
        <v>235</v>
      </c>
      <c r="B126" s="138"/>
      <c r="C126" s="138"/>
      <c r="D126" s="138"/>
      <c r="E126" s="138"/>
      <c r="F126" s="138"/>
      <c r="G126" s="138"/>
      <c r="H126" s="138"/>
    </row>
    <row r="127" spans="1:39" ht="12" thickBot="1">
      <c r="A127" s="176"/>
      <c r="B127" s="243">
        <f t="shared" ref="B127:H127" si="142">B2</f>
        <v>2013</v>
      </c>
      <c r="C127" s="243">
        <f t="shared" si="142"/>
        <v>2014</v>
      </c>
      <c r="D127" s="243">
        <f t="shared" si="142"/>
        <v>2015</v>
      </c>
      <c r="E127" s="243">
        <f t="shared" si="142"/>
        <v>2016</v>
      </c>
      <c r="F127" s="243">
        <f t="shared" si="142"/>
        <v>2017</v>
      </c>
      <c r="G127" s="243">
        <f t="shared" si="142"/>
        <v>2018</v>
      </c>
      <c r="H127" s="243">
        <f t="shared" si="142"/>
        <v>2019</v>
      </c>
      <c r="I127" s="243">
        <f>I2</f>
        <v>2020</v>
      </c>
      <c r="J127" s="243">
        <f t="shared" ref="J127:AK127" si="143">J2</f>
        <v>2021</v>
      </c>
      <c r="K127" s="243">
        <f t="shared" si="143"/>
        <v>2022</v>
      </c>
      <c r="L127" s="243">
        <f t="shared" si="143"/>
        <v>2023</v>
      </c>
      <c r="M127" s="243">
        <f t="shared" si="143"/>
        <v>2024</v>
      </c>
      <c r="N127" s="243">
        <f t="shared" si="143"/>
        <v>2025</v>
      </c>
      <c r="O127" s="243">
        <f t="shared" si="143"/>
        <v>2026</v>
      </c>
      <c r="P127" s="243">
        <f t="shared" si="143"/>
        <v>2027</v>
      </c>
      <c r="Q127" s="243">
        <f t="shared" si="143"/>
        <v>2028</v>
      </c>
      <c r="R127" s="243">
        <f t="shared" si="143"/>
        <v>2029</v>
      </c>
      <c r="S127" s="243">
        <f t="shared" si="143"/>
        <v>2030</v>
      </c>
      <c r="T127" s="243">
        <f t="shared" si="143"/>
        <v>2031</v>
      </c>
      <c r="U127" s="243">
        <f t="shared" si="143"/>
        <v>2032</v>
      </c>
      <c r="V127" s="243">
        <f t="shared" si="143"/>
        <v>2033</v>
      </c>
      <c r="W127" s="243">
        <f t="shared" si="143"/>
        <v>2034</v>
      </c>
      <c r="X127" s="243">
        <f t="shared" si="143"/>
        <v>2035</v>
      </c>
      <c r="Y127" s="243">
        <f t="shared" si="143"/>
        <v>2036</v>
      </c>
      <c r="Z127" s="243">
        <f t="shared" si="143"/>
        <v>2037</v>
      </c>
      <c r="AA127" s="243">
        <f t="shared" si="143"/>
        <v>2038</v>
      </c>
      <c r="AB127" s="243">
        <f t="shared" si="143"/>
        <v>2039</v>
      </c>
      <c r="AC127" s="243">
        <f t="shared" si="143"/>
        <v>2040</v>
      </c>
      <c r="AD127" s="243">
        <f t="shared" si="143"/>
        <v>2041</v>
      </c>
      <c r="AE127" s="243">
        <f t="shared" si="143"/>
        <v>2042</v>
      </c>
      <c r="AF127" s="243">
        <f t="shared" si="143"/>
        <v>2043</v>
      </c>
      <c r="AG127" s="243">
        <f t="shared" si="143"/>
        <v>2044</v>
      </c>
      <c r="AH127" s="243">
        <f t="shared" si="143"/>
        <v>2045</v>
      </c>
      <c r="AI127" s="243">
        <f t="shared" si="143"/>
        <v>2046</v>
      </c>
      <c r="AJ127" s="243">
        <f t="shared" si="143"/>
        <v>2047</v>
      </c>
      <c r="AK127" s="243">
        <f t="shared" si="143"/>
        <v>2048</v>
      </c>
      <c r="AL127" s="243">
        <f>AL2</f>
        <v>2049</v>
      </c>
      <c r="AM127" s="243">
        <f>AM2</f>
        <v>2050</v>
      </c>
    </row>
    <row r="128" spans="1:39">
      <c r="A128" s="138" t="s">
        <v>129</v>
      </c>
      <c r="B128" s="138"/>
      <c r="C128" s="138"/>
      <c r="D128" s="138"/>
      <c r="E128" s="138"/>
      <c r="F128" s="138"/>
      <c r="G128" s="138"/>
      <c r="H128" s="138"/>
      <c r="I128" s="13">
        <f>Data!$P3</f>
        <v>34120</v>
      </c>
      <c r="J128" s="13">
        <f>Data!$P15</f>
        <v>44995</v>
      </c>
      <c r="K128" s="13">
        <f>Data!$P27</f>
        <v>26841</v>
      </c>
      <c r="L128" s="13">
        <f>Data!$P39</f>
        <v>10810</v>
      </c>
      <c r="M128" s="13">
        <f>Data!$P51</f>
        <v>12212</v>
      </c>
      <c r="N128" s="13">
        <f>Data!$P63</f>
        <v>24753</v>
      </c>
      <c r="O128" s="119">
        <f t="shared" ref="O128:AM139" si="144">O38*$I$122</f>
        <v>13266.868705818319</v>
      </c>
      <c r="P128" s="119">
        <f t="shared" si="144"/>
        <v>8991.2478694806359</v>
      </c>
      <c r="Q128" s="119">
        <f t="shared" si="144"/>
        <v>8212.9506231714568</v>
      </c>
      <c r="R128" s="119">
        <f t="shared" si="144"/>
        <v>8208.8775624861373</v>
      </c>
      <c r="S128" s="119">
        <f t="shared" si="144"/>
        <v>8205.458599141286</v>
      </c>
      <c r="T128" s="119">
        <f t="shared" si="144"/>
        <v>6997.8213970295265</v>
      </c>
      <c r="U128" s="119">
        <f t="shared" si="144"/>
        <v>5326.7352198438084</v>
      </c>
      <c r="V128" s="119">
        <f t="shared" si="144"/>
        <v>5374.813585697776</v>
      </c>
      <c r="W128" s="119">
        <f t="shared" si="144"/>
        <v>4873.3866234569332</v>
      </c>
      <c r="X128" s="119">
        <f t="shared" si="144"/>
        <v>4896.5342721860306</v>
      </c>
      <c r="Y128" s="119">
        <f t="shared" si="144"/>
        <v>4120.3936647321107</v>
      </c>
      <c r="Z128" s="119">
        <f t="shared" si="144"/>
        <v>4098.6438943194435</v>
      </c>
      <c r="AA128" s="119">
        <f t="shared" si="144"/>
        <v>4123.0185953633454</v>
      </c>
      <c r="AB128" s="119">
        <f t="shared" si="144"/>
        <v>3454.9964140715415</v>
      </c>
      <c r="AC128" s="119">
        <f t="shared" si="144"/>
        <v>3448.9311401120785</v>
      </c>
      <c r="AD128" s="119">
        <f t="shared" si="144"/>
        <v>3436.7828051068786</v>
      </c>
      <c r="AE128" s="119">
        <f t="shared" si="144"/>
        <v>3437.4764535135714</v>
      </c>
      <c r="AF128" s="119">
        <f t="shared" si="144"/>
        <v>3442.5395015706567</v>
      </c>
      <c r="AG128" s="119">
        <f t="shared" si="144"/>
        <v>3444.1452628749448</v>
      </c>
      <c r="AH128" s="119">
        <f t="shared" si="144"/>
        <v>2753.5800261085005</v>
      </c>
      <c r="AI128" s="119">
        <f t="shared" si="144"/>
        <v>2752.4206748624251</v>
      </c>
      <c r="AJ128" s="119">
        <f t="shared" si="144"/>
        <v>2753.0716380747995</v>
      </c>
      <c r="AK128" s="119">
        <f t="shared" si="144"/>
        <v>2753.7740188166049</v>
      </c>
      <c r="AL128" s="119">
        <f t="shared" si="144"/>
        <v>2753.712689664243</v>
      </c>
      <c r="AM128" s="119">
        <f t="shared" si="144"/>
        <v>2753.3118095053151</v>
      </c>
    </row>
    <row r="129" spans="1:39">
      <c r="A129" s="138" t="s">
        <v>130</v>
      </c>
      <c r="B129" s="138"/>
      <c r="C129" s="138"/>
      <c r="D129" s="138"/>
      <c r="E129" s="138"/>
      <c r="F129" s="138"/>
      <c r="G129" s="138"/>
      <c r="H129" s="138"/>
      <c r="I129" s="13">
        <f>Data!$P4</f>
        <v>21916</v>
      </c>
      <c r="J129" s="13">
        <f>Data!$P16</f>
        <v>8624</v>
      </c>
      <c r="K129" s="13">
        <f>Data!$P28</f>
        <v>11503</v>
      </c>
      <c r="L129" s="13">
        <f>Data!$P40</f>
        <v>16379</v>
      </c>
      <c r="M129" s="13">
        <f>Data!$P52</f>
        <v>25853</v>
      </c>
      <c r="N129" s="13">
        <f>Data!$P64</f>
        <v>4572</v>
      </c>
      <c r="O129" s="119">
        <f t="shared" si="144"/>
        <v>8711.7404241281583</v>
      </c>
      <c r="P129" s="119">
        <f t="shared" si="144"/>
        <v>8022.6692697346252</v>
      </c>
      <c r="Q129" s="119">
        <f t="shared" si="144"/>
        <v>8715.1111690528396</v>
      </c>
      <c r="R129" s="119">
        <f t="shared" si="144"/>
        <v>8163.6048647100506</v>
      </c>
      <c r="S129" s="119">
        <f t="shared" si="144"/>
        <v>6601.1390769139934</v>
      </c>
      <c r="T129" s="119">
        <f t="shared" si="144"/>
        <v>6002.1290753044268</v>
      </c>
      <c r="U129" s="119">
        <f t="shared" si="144"/>
        <v>4918.6430761594675</v>
      </c>
      <c r="V129" s="119">
        <f t="shared" si="144"/>
        <v>5003.7276017659315</v>
      </c>
      <c r="W129" s="119">
        <f t="shared" si="144"/>
        <v>4384.1776706934097</v>
      </c>
      <c r="X129" s="119">
        <f t="shared" si="144"/>
        <v>4281.1071705877412</v>
      </c>
      <c r="Y129" s="119">
        <f t="shared" si="144"/>
        <v>3688.4676891766467</v>
      </c>
      <c r="Z129" s="119">
        <f t="shared" si="144"/>
        <v>3712.6872013971993</v>
      </c>
      <c r="AA129" s="119">
        <f t="shared" si="144"/>
        <v>3718.2648235801648</v>
      </c>
      <c r="AB129" s="119">
        <f t="shared" si="144"/>
        <v>3091.360086786744</v>
      </c>
      <c r="AC129" s="119">
        <f t="shared" si="144"/>
        <v>3081.9811619214161</v>
      </c>
      <c r="AD129" s="119">
        <f t="shared" si="144"/>
        <v>3087.99302908253</v>
      </c>
      <c r="AE129" s="119">
        <f t="shared" si="144"/>
        <v>3091.1641301422319</v>
      </c>
      <c r="AF129" s="119">
        <f t="shared" si="144"/>
        <v>3090.5313906755937</v>
      </c>
      <c r="AG129" s="119">
        <f t="shared" si="144"/>
        <v>3088.6059597217036</v>
      </c>
      <c r="AH129" s="119">
        <f t="shared" si="144"/>
        <v>2470.4441074469564</v>
      </c>
      <c r="AI129" s="119">
        <f t="shared" si="144"/>
        <v>2471.4564361781695</v>
      </c>
      <c r="AJ129" s="119">
        <f t="shared" si="144"/>
        <v>2471.6873085503748</v>
      </c>
      <c r="AK129" s="119">
        <f t="shared" si="144"/>
        <v>2471.404582285963</v>
      </c>
      <c r="AL129" s="119">
        <f t="shared" si="144"/>
        <v>2471.1615988920321</v>
      </c>
      <c r="AM129" s="119">
        <f t="shared" si="144"/>
        <v>2471.2308066706992</v>
      </c>
    </row>
    <row r="130" spans="1:39">
      <c r="A130" s="138" t="s">
        <v>131</v>
      </c>
      <c r="B130" s="138"/>
      <c r="C130" s="138"/>
      <c r="D130" s="138"/>
      <c r="E130" s="138"/>
      <c r="F130" s="138"/>
      <c r="G130" s="138"/>
      <c r="H130" s="138"/>
      <c r="I130" s="13">
        <f>Data!$P5</f>
        <v>29616</v>
      </c>
      <c r="J130" s="13">
        <f>Data!$P17</f>
        <v>30144</v>
      </c>
      <c r="K130" s="13">
        <f>Data!$P29</f>
        <v>20688</v>
      </c>
      <c r="L130" s="13">
        <f>Data!$P41</f>
        <v>31947</v>
      </c>
      <c r="M130" s="13">
        <f>Data!$P53</f>
        <v>74414</v>
      </c>
      <c r="N130" s="13">
        <f>Data!$P65</f>
        <v>10270</v>
      </c>
      <c r="O130" s="119">
        <f t="shared" si="144"/>
        <v>21471.514125366208</v>
      </c>
      <c r="P130" s="119">
        <f t="shared" si="144"/>
        <v>18873.130469364904</v>
      </c>
      <c r="Q130" s="119">
        <f t="shared" si="144"/>
        <v>21212.161113205573</v>
      </c>
      <c r="R130" s="119">
        <f t="shared" si="144"/>
        <v>20752.653988824102</v>
      </c>
      <c r="S130" s="119">
        <f t="shared" si="144"/>
        <v>15792.027464372612</v>
      </c>
      <c r="T130" s="119">
        <f t="shared" si="144"/>
        <v>14642.013009124385</v>
      </c>
      <c r="U130" s="119">
        <f t="shared" si="144"/>
        <v>11970.096530477585</v>
      </c>
      <c r="V130" s="119">
        <f t="shared" si="144"/>
        <v>12271.847579055164</v>
      </c>
      <c r="W130" s="119">
        <f t="shared" si="144"/>
        <v>10775.519795979122</v>
      </c>
      <c r="X130" s="119">
        <f t="shared" si="144"/>
        <v>10412.739333024139</v>
      </c>
      <c r="Y130" s="119">
        <f t="shared" si="144"/>
        <v>9010.8324371490598</v>
      </c>
      <c r="Z130" s="119">
        <f t="shared" si="144"/>
        <v>9073.5059459475124</v>
      </c>
      <c r="AA130" s="119">
        <f t="shared" si="144"/>
        <v>9096.0785454979414</v>
      </c>
      <c r="AB130" s="119">
        <f t="shared" si="144"/>
        <v>7557.605633999653</v>
      </c>
      <c r="AC130" s="119">
        <f t="shared" si="144"/>
        <v>7525.1269826030502</v>
      </c>
      <c r="AD130" s="119">
        <f t="shared" si="144"/>
        <v>7546.9909902137897</v>
      </c>
      <c r="AE130" s="119">
        <f t="shared" si="144"/>
        <v>7555.4274256040626</v>
      </c>
      <c r="AF130" s="119">
        <f t="shared" si="144"/>
        <v>7554.082611138173</v>
      </c>
      <c r="AG130" s="119">
        <f t="shared" si="144"/>
        <v>7547.8467287117473</v>
      </c>
      <c r="AH130" s="119">
        <f t="shared" si="144"/>
        <v>6036.71595812333</v>
      </c>
      <c r="AI130" s="119">
        <f t="shared" si="144"/>
        <v>6040.1772856318512</v>
      </c>
      <c r="AJ130" s="119">
        <f t="shared" si="144"/>
        <v>6040.7391320363777</v>
      </c>
      <c r="AK130" s="119">
        <f t="shared" si="144"/>
        <v>6039.920311934814</v>
      </c>
      <c r="AL130" s="119">
        <f t="shared" si="144"/>
        <v>6039.1236983691651</v>
      </c>
      <c r="AM130" s="119">
        <f t="shared" si="144"/>
        <v>6039.3352772191083</v>
      </c>
    </row>
    <row r="131" spans="1:39">
      <c r="A131" s="138" t="s">
        <v>132</v>
      </c>
      <c r="B131" s="138"/>
      <c r="C131" s="138"/>
      <c r="D131" s="138"/>
      <c r="E131" s="138"/>
      <c r="F131" s="138"/>
      <c r="G131" s="138"/>
      <c r="H131" s="138"/>
      <c r="I131" s="13">
        <f>Data!$P6</f>
        <v>67499</v>
      </c>
      <c r="J131" s="13">
        <f>Data!$P18</f>
        <v>60655</v>
      </c>
      <c r="K131" s="13">
        <f>Data!$P30</f>
        <v>60606</v>
      </c>
      <c r="L131" s="13">
        <f>Data!$P42</f>
        <v>132264</v>
      </c>
      <c r="M131" s="13">
        <f>Data!$P54</f>
        <v>54441</v>
      </c>
      <c r="N131" s="119">
        <f t="shared" ref="N131:Y139" si="145">N41*$I$122</f>
        <v>48092.208748898069</v>
      </c>
      <c r="O131" s="119">
        <f t="shared" si="145"/>
        <v>42246.8435652349</v>
      </c>
      <c r="P131" s="119">
        <f t="shared" si="145"/>
        <v>36998.196409576936</v>
      </c>
      <c r="Q131" s="119">
        <f t="shared" si="145"/>
        <v>39349.412726429895</v>
      </c>
      <c r="R131" s="119">
        <f t="shared" si="145"/>
        <v>30358.335136472069</v>
      </c>
      <c r="S131" s="119">
        <f t="shared" si="145"/>
        <v>29290.472465577441</v>
      </c>
      <c r="T131" s="119">
        <f t="shared" si="145"/>
        <v>26603.471687058394</v>
      </c>
      <c r="U131" s="119">
        <f t="shared" si="145"/>
        <v>21324.575531162587</v>
      </c>
      <c r="V131" s="119">
        <f t="shared" si="145"/>
        <v>21371.093461338234</v>
      </c>
      <c r="W131" s="119">
        <f t="shared" si="145"/>
        <v>18421.135468801247</v>
      </c>
      <c r="X131" s="119">
        <f t="shared" si="145"/>
        <v>18615.346370399209</v>
      </c>
      <c r="Y131" s="119">
        <f t="shared" si="145"/>
        <v>15950.343377813952</v>
      </c>
      <c r="Z131" s="119">
        <f t="shared" si="144"/>
        <v>15947.082368252537</v>
      </c>
      <c r="AA131" s="119">
        <f t="shared" si="144"/>
        <v>15936.176655283263</v>
      </c>
      <c r="AB131" s="119">
        <f t="shared" si="144"/>
        <v>13260.950662585969</v>
      </c>
      <c r="AC131" s="119">
        <f t="shared" si="144"/>
        <v>13284.98323905582</v>
      </c>
      <c r="AD131" s="119">
        <f t="shared" si="144"/>
        <v>13282.060054105632</v>
      </c>
      <c r="AE131" s="119">
        <f t="shared" si="144"/>
        <v>13279.861662830224</v>
      </c>
      <c r="AF131" s="119">
        <f t="shared" si="144"/>
        <v>13277.698514204021</v>
      </c>
      <c r="AG131" s="119">
        <f t="shared" si="144"/>
        <v>13277.110826556334</v>
      </c>
      <c r="AH131" s="119">
        <f t="shared" si="144"/>
        <v>10624.274287480324</v>
      </c>
      <c r="AI131" s="119">
        <f t="shared" si="144"/>
        <v>10623.500890862755</v>
      </c>
      <c r="AJ131" s="119">
        <f t="shared" si="144"/>
        <v>10623.034118597157</v>
      </c>
      <c r="AK131" s="119">
        <f t="shared" si="144"/>
        <v>10622.839752309197</v>
      </c>
      <c r="AL131" s="119">
        <f t="shared" si="144"/>
        <v>10623.001881105862</v>
      </c>
      <c r="AM131" s="119">
        <f t="shared" si="144"/>
        <v>10623.33018607106</v>
      </c>
    </row>
    <row r="132" spans="1:39">
      <c r="A132" s="138" t="s">
        <v>133</v>
      </c>
      <c r="B132" s="138"/>
      <c r="C132" s="138"/>
      <c r="D132" s="138"/>
      <c r="E132" s="138"/>
      <c r="F132" s="138"/>
      <c r="G132" s="138"/>
      <c r="H132" s="138"/>
      <c r="I132" s="13">
        <f>Data!$P7</f>
        <v>78563</v>
      </c>
      <c r="J132" s="13">
        <f>Data!$P19</f>
        <v>70619</v>
      </c>
      <c r="K132" s="13">
        <f>Data!$P31</f>
        <v>69376</v>
      </c>
      <c r="L132" s="13">
        <f>Data!$P43</f>
        <v>103061</v>
      </c>
      <c r="M132" s="13">
        <f>Data!$P55</f>
        <v>81023</v>
      </c>
      <c r="N132" s="119">
        <f t="shared" si="145"/>
        <v>51573.230833962742</v>
      </c>
      <c r="O132" s="119">
        <f t="shared" si="145"/>
        <v>44600.892382934799</v>
      </c>
      <c r="P132" s="119">
        <f t="shared" si="145"/>
        <v>38393.079100969961</v>
      </c>
      <c r="Q132" s="119">
        <f t="shared" si="145"/>
        <v>40110.320165260346</v>
      </c>
      <c r="R132" s="119">
        <f t="shared" si="145"/>
        <v>34486.279367798983</v>
      </c>
      <c r="S132" s="119">
        <f t="shared" si="145"/>
        <v>31091.916491353986</v>
      </c>
      <c r="T132" s="119">
        <f t="shared" si="145"/>
        <v>28161.565299748971</v>
      </c>
      <c r="U132" s="119">
        <f t="shared" si="145"/>
        <v>22589.266941000948</v>
      </c>
      <c r="V132" s="119">
        <f t="shared" si="145"/>
        <v>22754.814293114654</v>
      </c>
      <c r="W132" s="119">
        <f t="shared" si="145"/>
        <v>19869.120341859649</v>
      </c>
      <c r="X132" s="119">
        <f t="shared" si="145"/>
        <v>19801.517808398807</v>
      </c>
      <c r="Y132" s="119">
        <f t="shared" si="145"/>
        <v>16976.442702618453</v>
      </c>
      <c r="Z132" s="119">
        <f t="shared" si="144"/>
        <v>16998.527014498752</v>
      </c>
      <c r="AA132" s="119">
        <f t="shared" si="144"/>
        <v>17011.839204792406</v>
      </c>
      <c r="AB132" s="119">
        <f t="shared" si="144"/>
        <v>14165.226105026259</v>
      </c>
      <c r="AC132" s="119">
        <f t="shared" si="144"/>
        <v>14158.925472555778</v>
      </c>
      <c r="AD132" s="119">
        <f t="shared" si="144"/>
        <v>14162.671517766365</v>
      </c>
      <c r="AE132" s="119">
        <f t="shared" si="144"/>
        <v>14166.146169377698</v>
      </c>
      <c r="AF132" s="119">
        <f t="shared" si="144"/>
        <v>14166.309321061248</v>
      </c>
      <c r="AG132" s="119">
        <f t="shared" si="144"/>
        <v>14163.855717157468</v>
      </c>
      <c r="AH132" s="119">
        <f t="shared" si="144"/>
        <v>11330.865311666968</v>
      </c>
      <c r="AI132" s="119">
        <f t="shared" si="144"/>
        <v>11331.641339504959</v>
      </c>
      <c r="AJ132" s="119">
        <f t="shared" si="144"/>
        <v>11331.968323264062</v>
      </c>
      <c r="AK132" s="119">
        <f t="shared" si="144"/>
        <v>11331.752729573585</v>
      </c>
      <c r="AL132" s="119">
        <f t="shared" si="144"/>
        <v>11331.444461174675</v>
      </c>
      <c r="AM132" s="119">
        <f t="shared" si="144"/>
        <v>11331.534433036852</v>
      </c>
    </row>
    <row r="133" spans="1:39">
      <c r="A133" s="138" t="s">
        <v>134</v>
      </c>
      <c r="B133" s="138"/>
      <c r="C133" s="138"/>
      <c r="D133" s="138"/>
      <c r="E133" s="138"/>
      <c r="F133" s="138"/>
      <c r="G133" s="138"/>
      <c r="H133" s="138"/>
      <c r="I133" s="13">
        <f>Data!$P8</f>
        <v>72714</v>
      </c>
      <c r="J133" s="13">
        <f>Data!$P20</f>
        <v>83216</v>
      </c>
      <c r="K133" s="13">
        <f>Data!$P32</f>
        <v>68051</v>
      </c>
      <c r="L133" s="13">
        <f>Data!$P44</f>
        <v>122072</v>
      </c>
      <c r="M133" s="13">
        <f>Data!$P56</f>
        <v>66226</v>
      </c>
      <c r="N133" s="119">
        <f t="shared" si="145"/>
        <v>52807.605850843473</v>
      </c>
      <c r="O133" s="119">
        <f t="shared" si="145"/>
        <v>46548.97222844333</v>
      </c>
      <c r="P133" s="119">
        <f t="shared" si="145"/>
        <v>39106.798116181933</v>
      </c>
      <c r="Q133" s="119">
        <f t="shared" si="145"/>
        <v>41147.31176489465</v>
      </c>
      <c r="R133" s="119">
        <f t="shared" si="145"/>
        <v>33555.444400333989</v>
      </c>
      <c r="S133" s="119">
        <f t="shared" si="145"/>
        <v>31686.857513076629</v>
      </c>
      <c r="T133" s="119">
        <f t="shared" si="145"/>
        <v>28663.490152676201</v>
      </c>
      <c r="U133" s="119">
        <f t="shared" si="145"/>
        <v>22840.642878316514</v>
      </c>
      <c r="V133" s="119">
        <f t="shared" si="145"/>
        <v>22966.363157716074</v>
      </c>
      <c r="W133" s="119">
        <f t="shared" si="145"/>
        <v>19958.971157445631</v>
      </c>
      <c r="X133" s="119">
        <f t="shared" si="145"/>
        <v>20063.960773059483</v>
      </c>
      <c r="Y133" s="119">
        <f t="shared" si="145"/>
        <v>17174.01421788209</v>
      </c>
      <c r="Z133" s="119">
        <f t="shared" si="144"/>
        <v>17167.32536406997</v>
      </c>
      <c r="AA133" s="119">
        <f t="shared" si="144"/>
        <v>17175.994353559989</v>
      </c>
      <c r="AB133" s="119">
        <f t="shared" si="144"/>
        <v>14303.166541565182</v>
      </c>
      <c r="AC133" s="119">
        <f t="shared" si="144"/>
        <v>14314.076875022789</v>
      </c>
      <c r="AD133" s="119">
        <f t="shared" si="144"/>
        <v>14309.745955732147</v>
      </c>
      <c r="AE133" s="119">
        <f t="shared" si="144"/>
        <v>14309.316498138902</v>
      </c>
      <c r="AF133" s="119">
        <f t="shared" si="144"/>
        <v>14310.057735388271</v>
      </c>
      <c r="AG133" s="119">
        <f t="shared" si="144"/>
        <v>14309.272721169458</v>
      </c>
      <c r="AH133" s="119">
        <f t="shared" si="144"/>
        <v>11448.395165672251</v>
      </c>
      <c r="AI133" s="119">
        <f t="shared" si="144"/>
        <v>11447.798012683505</v>
      </c>
      <c r="AJ133" s="119">
        <f t="shared" si="144"/>
        <v>11447.79828400911</v>
      </c>
      <c r="AK133" s="119">
        <f t="shared" si="144"/>
        <v>11447.876712531383</v>
      </c>
      <c r="AL133" s="119">
        <f t="shared" si="144"/>
        <v>11447.83636115537</v>
      </c>
      <c r="AM133" s="119">
        <f t="shared" si="144"/>
        <v>11447.940907210323</v>
      </c>
    </row>
    <row r="134" spans="1:39">
      <c r="A134" s="138" t="s">
        <v>135</v>
      </c>
      <c r="B134" s="138"/>
      <c r="C134" s="138"/>
      <c r="D134" s="138"/>
      <c r="E134" s="138"/>
      <c r="F134" s="138"/>
      <c r="G134" s="138"/>
      <c r="H134" s="138"/>
      <c r="I134" s="13">
        <f>Data!$P9</f>
        <v>50027</v>
      </c>
      <c r="J134" s="13">
        <f>Data!$P21</f>
        <v>57066</v>
      </c>
      <c r="K134" s="13">
        <f>Data!$P33</f>
        <v>71959</v>
      </c>
      <c r="L134" s="13">
        <f>Data!$P45</f>
        <v>91155</v>
      </c>
      <c r="M134" s="13">
        <f>Data!$P57</f>
        <v>83319</v>
      </c>
      <c r="N134" s="119">
        <f t="shared" si="145"/>
        <v>45282.106694799622</v>
      </c>
      <c r="O134" s="119">
        <f t="shared" si="145"/>
        <v>41319.493260005504</v>
      </c>
      <c r="P134" s="119">
        <f t="shared" si="145"/>
        <v>36414.655344932529</v>
      </c>
      <c r="Q134" s="119">
        <f t="shared" si="145"/>
        <v>37357.231644965599</v>
      </c>
      <c r="R134" s="119">
        <f t="shared" si="145"/>
        <v>32657.931028421837</v>
      </c>
      <c r="S134" s="119">
        <f t="shared" si="145"/>
        <v>28693.859428437514</v>
      </c>
      <c r="T134" s="119">
        <f t="shared" si="145"/>
        <v>26334.801598024325</v>
      </c>
      <c r="U134" s="119">
        <f t="shared" si="145"/>
        <v>21174.882497676303</v>
      </c>
      <c r="V134" s="119">
        <f t="shared" si="145"/>
        <v>21268.175446912814</v>
      </c>
      <c r="W134" s="119">
        <f t="shared" si="145"/>
        <v>18589.949999924687</v>
      </c>
      <c r="X134" s="119">
        <f t="shared" si="145"/>
        <v>18464.356427200673</v>
      </c>
      <c r="Y134" s="119">
        <f t="shared" si="145"/>
        <v>15874.824895460821</v>
      </c>
      <c r="Z134" s="119">
        <f t="shared" si="144"/>
        <v>15895.364877862548</v>
      </c>
      <c r="AA134" s="119">
        <f t="shared" si="144"/>
        <v>15898.706761299092</v>
      </c>
      <c r="AB134" s="119">
        <f t="shared" si="144"/>
        <v>13238.000462773096</v>
      </c>
      <c r="AC134" s="119">
        <f t="shared" si="144"/>
        <v>13228.542237432704</v>
      </c>
      <c r="AD134" s="119">
        <f t="shared" si="144"/>
        <v>13238.471291933618</v>
      </c>
      <c r="AE134" s="119">
        <f t="shared" si="144"/>
        <v>13240.571413203901</v>
      </c>
      <c r="AF134" s="119">
        <f t="shared" si="144"/>
        <v>13239.286955123542</v>
      </c>
      <c r="AG134" s="119">
        <f t="shared" si="144"/>
        <v>13236.974472093374</v>
      </c>
      <c r="AH134" s="119">
        <f t="shared" si="144"/>
        <v>10589.415419165944</v>
      </c>
      <c r="AI134" s="119">
        <f t="shared" si="144"/>
        <v>10590.786591920065</v>
      </c>
      <c r="AJ134" s="119">
        <f t="shared" si="144"/>
        <v>10590.788669827276</v>
      </c>
      <c r="AK134" s="119">
        <f t="shared" si="144"/>
        <v>10590.409474205491</v>
      </c>
      <c r="AL134" s="119">
        <f t="shared" si="144"/>
        <v>10590.166595659457</v>
      </c>
      <c r="AM134" s="119">
        <f t="shared" si="144"/>
        <v>10590.313350155646</v>
      </c>
    </row>
    <row r="135" spans="1:39">
      <c r="A135" s="138" t="s">
        <v>136</v>
      </c>
      <c r="B135" s="138"/>
      <c r="C135" s="138"/>
      <c r="D135" s="138"/>
      <c r="E135" s="138"/>
      <c r="F135" s="138"/>
      <c r="G135" s="138"/>
      <c r="H135" s="138"/>
      <c r="I135" s="13">
        <f>Data!$P10</f>
        <v>70569</v>
      </c>
      <c r="J135" s="13">
        <f>Data!$P22</f>
        <v>70042</v>
      </c>
      <c r="K135" s="13">
        <f>Data!$P34</f>
        <v>81242</v>
      </c>
      <c r="L135" s="13">
        <f>Data!$P46</f>
        <v>78889</v>
      </c>
      <c r="M135" s="13">
        <f>Data!$P58</f>
        <v>84696</v>
      </c>
      <c r="N135" s="119">
        <f t="shared" si="145"/>
        <v>49369.621018624304</v>
      </c>
      <c r="O135" s="119">
        <f t="shared" si="145"/>
        <v>43223.495381333429</v>
      </c>
      <c r="P135" s="119">
        <f t="shared" si="145"/>
        <v>37044.98803885025</v>
      </c>
      <c r="Q135" s="119">
        <f t="shared" si="145"/>
        <v>37108.2877765679</v>
      </c>
      <c r="R135" s="119">
        <f t="shared" si="145"/>
        <v>33740.081204919974</v>
      </c>
      <c r="S135" s="119">
        <f t="shared" si="145"/>
        <v>29802.043346260198</v>
      </c>
      <c r="T135" s="119">
        <f t="shared" si="145"/>
        <v>27002.820260885335</v>
      </c>
      <c r="U135" s="119">
        <f t="shared" si="145"/>
        <v>21599.766639669986</v>
      </c>
      <c r="V135" s="119">
        <f t="shared" si="145"/>
        <v>21709.527160480491</v>
      </c>
      <c r="W135" s="119">
        <f t="shared" si="145"/>
        <v>19122.034087459422</v>
      </c>
      <c r="X135" s="119">
        <f t="shared" si="145"/>
        <v>18969.394101438364</v>
      </c>
      <c r="Y135" s="119">
        <f t="shared" si="145"/>
        <v>16260.531337490038</v>
      </c>
      <c r="Z135" s="119">
        <f t="shared" si="144"/>
        <v>16276.87555442305</v>
      </c>
      <c r="AA135" s="119">
        <f t="shared" si="144"/>
        <v>16295.005101404357</v>
      </c>
      <c r="AB135" s="119">
        <f t="shared" si="144"/>
        <v>13581.85002847113</v>
      </c>
      <c r="AC135" s="119">
        <f t="shared" si="144"/>
        <v>13563.942687204491</v>
      </c>
      <c r="AD135" s="119">
        <f t="shared" si="144"/>
        <v>13567.536555177334</v>
      </c>
      <c r="AE135" s="119">
        <f t="shared" si="144"/>
        <v>13571.335171607474</v>
      </c>
      <c r="AF135" s="119">
        <f t="shared" si="144"/>
        <v>13573.013373820151</v>
      </c>
      <c r="AG135" s="119">
        <f t="shared" si="144"/>
        <v>13571.535563256115</v>
      </c>
      <c r="AH135" s="119">
        <f t="shared" si="144"/>
        <v>10855.578136170492</v>
      </c>
      <c r="AI135" s="119">
        <f t="shared" si="144"/>
        <v>10856.49980000526</v>
      </c>
      <c r="AJ135" s="119">
        <f t="shared" si="144"/>
        <v>10857.036877366869</v>
      </c>
      <c r="AK135" s="119">
        <f t="shared" si="144"/>
        <v>10857.029772839796</v>
      </c>
      <c r="AL135" s="119">
        <f t="shared" si="144"/>
        <v>10856.700980883528</v>
      </c>
      <c r="AM135" s="119">
        <f t="shared" si="144"/>
        <v>10856.569113453188</v>
      </c>
    </row>
    <row r="136" spans="1:39">
      <c r="A136" s="138" t="s">
        <v>137</v>
      </c>
      <c r="B136" s="138"/>
      <c r="C136" s="138"/>
      <c r="D136" s="138"/>
      <c r="E136" s="138"/>
      <c r="F136" s="138"/>
      <c r="G136" s="138"/>
      <c r="H136" s="138"/>
      <c r="I136" s="13">
        <f>Data!$P11</f>
        <v>68116</v>
      </c>
      <c r="J136" s="13">
        <f>Data!$P23</f>
        <v>35645</v>
      </c>
      <c r="K136" s="13">
        <f>Data!$P35</f>
        <v>89682</v>
      </c>
      <c r="L136" s="13">
        <f>Data!$P47</f>
        <v>55656</v>
      </c>
      <c r="M136" s="13">
        <f>Data!$P59</f>
        <v>62457</v>
      </c>
      <c r="N136" s="119">
        <f t="shared" si="145"/>
        <v>39906.292700975289</v>
      </c>
      <c r="O136" s="119">
        <f t="shared" si="145"/>
        <v>33676.659428588348</v>
      </c>
      <c r="P136" s="119">
        <f t="shared" si="145"/>
        <v>30779.287870756565</v>
      </c>
      <c r="Q136" s="119">
        <f t="shared" si="145"/>
        <v>28360.285303884546</v>
      </c>
      <c r="R136" s="119">
        <f t="shared" si="145"/>
        <v>26302.907466250825</v>
      </c>
      <c r="S136" s="119">
        <f t="shared" si="145"/>
        <v>23638.915682094746</v>
      </c>
      <c r="T136" s="119">
        <f t="shared" si="145"/>
        <v>21307.172500235083</v>
      </c>
      <c r="U136" s="119">
        <f t="shared" si="145"/>
        <v>17100.140173537278</v>
      </c>
      <c r="V136" s="119">
        <f t="shared" si="145"/>
        <v>16975.915800145816</v>
      </c>
      <c r="W136" s="119">
        <f t="shared" si="145"/>
        <v>15046.435946037676</v>
      </c>
      <c r="X136" s="119">
        <f t="shared" si="145"/>
        <v>14965.45592532623</v>
      </c>
      <c r="Y136" s="119">
        <f t="shared" si="145"/>
        <v>12809.268051792311</v>
      </c>
      <c r="Z136" s="119">
        <f t="shared" si="144"/>
        <v>12816.20264947322</v>
      </c>
      <c r="AA136" s="119">
        <f t="shared" si="144"/>
        <v>12814.107948136811</v>
      </c>
      <c r="AB136" s="119">
        <f t="shared" si="144"/>
        <v>10695.542268869727</v>
      </c>
      <c r="AC136" s="119">
        <f t="shared" si="144"/>
        <v>10683.429473933049</v>
      </c>
      <c r="AD136" s="119">
        <f t="shared" si="144"/>
        <v>10681.883998608058</v>
      </c>
      <c r="AE136" s="119">
        <f t="shared" si="144"/>
        <v>10683.549322040903</v>
      </c>
      <c r="AF136" s="119">
        <f t="shared" si="144"/>
        <v>10684.32942530549</v>
      </c>
      <c r="AG136" s="119">
        <f t="shared" si="144"/>
        <v>10685.746897751445</v>
      </c>
      <c r="AH136" s="119">
        <f t="shared" si="144"/>
        <v>8547.030258822233</v>
      </c>
      <c r="AI136" s="119">
        <f t="shared" si="144"/>
        <v>8547.0899837546876</v>
      </c>
      <c r="AJ136" s="119">
        <f t="shared" si="144"/>
        <v>8547.4340674216983</v>
      </c>
      <c r="AK136" s="119">
        <f t="shared" si="144"/>
        <v>8547.5692060100992</v>
      </c>
      <c r="AL136" s="119">
        <f t="shared" si="144"/>
        <v>8547.5943645257448</v>
      </c>
      <c r="AM136" s="119">
        <f t="shared" si="144"/>
        <v>8547.3435761068922</v>
      </c>
    </row>
    <row r="137" spans="1:39">
      <c r="A137" s="138" t="s">
        <v>138</v>
      </c>
      <c r="B137" s="138"/>
      <c r="C137" s="138"/>
      <c r="D137" s="138"/>
      <c r="E137" s="138"/>
      <c r="F137" s="138"/>
      <c r="G137" s="138"/>
      <c r="H137" s="138"/>
      <c r="I137" s="13">
        <f>Data!$P12</f>
        <v>12195</v>
      </c>
      <c r="J137" s="13">
        <f>Data!$P24</f>
        <v>24781</v>
      </c>
      <c r="K137" s="13">
        <f>Data!$P36</f>
        <v>88392</v>
      </c>
      <c r="L137" s="13">
        <f>Data!$P48</f>
        <v>58636</v>
      </c>
      <c r="M137" s="13">
        <f>Data!$P60</f>
        <v>13154</v>
      </c>
      <c r="N137" s="119">
        <f t="shared" si="145"/>
        <v>25253.388977708295</v>
      </c>
      <c r="O137" s="119">
        <f t="shared" si="145"/>
        <v>24832.654557435526</v>
      </c>
      <c r="P137" s="119">
        <f t="shared" si="145"/>
        <v>22848.375592770808</v>
      </c>
      <c r="Q137" s="119">
        <f t="shared" si="145"/>
        <v>18621.494949765925</v>
      </c>
      <c r="R137" s="119">
        <f t="shared" si="145"/>
        <v>14807.636643627191</v>
      </c>
      <c r="S137" s="119">
        <f t="shared" si="145"/>
        <v>15810.798080194394</v>
      </c>
      <c r="T137" s="119">
        <f t="shared" si="145"/>
        <v>14465.814899073706</v>
      </c>
      <c r="U137" s="119">
        <f t="shared" si="145"/>
        <v>11351.360021696004</v>
      </c>
      <c r="V137" s="119">
        <f t="shared" si="145"/>
        <v>10917.397031906505</v>
      </c>
      <c r="W137" s="119">
        <f t="shared" si="145"/>
        <v>9621.8580966425416</v>
      </c>
      <c r="X137" s="119">
        <f t="shared" si="145"/>
        <v>9890.2408387861815</v>
      </c>
      <c r="Y137" s="119">
        <f t="shared" si="145"/>
        <v>8437.0006332157409</v>
      </c>
      <c r="Z137" s="119">
        <f t="shared" si="144"/>
        <v>8369.6427703744957</v>
      </c>
      <c r="AA137" s="119">
        <f t="shared" si="144"/>
        <v>8335.7893007515522</v>
      </c>
      <c r="AB137" s="119">
        <f t="shared" si="144"/>
        <v>6977.2705687141433</v>
      </c>
      <c r="AC137" s="119">
        <f t="shared" si="144"/>
        <v>7001.6573519736867</v>
      </c>
      <c r="AD137" s="119">
        <f t="shared" si="144"/>
        <v>6985.9572544695757</v>
      </c>
      <c r="AE137" s="119">
        <f t="shared" si="144"/>
        <v>6975.9846752376761</v>
      </c>
      <c r="AF137" s="119">
        <f t="shared" si="144"/>
        <v>6976.2806059897375</v>
      </c>
      <c r="AG137" s="119">
        <f t="shared" si="144"/>
        <v>6983.4300912769631</v>
      </c>
      <c r="AH137" s="119">
        <f t="shared" si="144"/>
        <v>5587.7295966316224</v>
      </c>
      <c r="AI137" s="119">
        <f t="shared" si="144"/>
        <v>5584.897037267594</v>
      </c>
      <c r="AJ137" s="119">
        <f t="shared" si="144"/>
        <v>5584.0560011136686</v>
      </c>
      <c r="AK137" s="119">
        <f t="shared" si="144"/>
        <v>5584.7987876871975</v>
      </c>
      <c r="AL137" s="119">
        <f t="shared" si="144"/>
        <v>5585.6974312337234</v>
      </c>
      <c r="AM137" s="119">
        <f t="shared" si="144"/>
        <v>5585.4357707867603</v>
      </c>
    </row>
    <row r="138" spans="1:39">
      <c r="A138" s="138" t="s">
        <v>139</v>
      </c>
      <c r="B138" s="138"/>
      <c r="C138" s="138"/>
      <c r="D138" s="138"/>
      <c r="E138" s="138"/>
      <c r="F138" s="138"/>
      <c r="G138" s="138"/>
      <c r="H138" s="138"/>
      <c r="I138" s="13">
        <f>Data!$P13</f>
        <v>6055</v>
      </c>
      <c r="J138" s="13">
        <f>Data!$P25</f>
        <v>9826</v>
      </c>
      <c r="K138" s="13">
        <f>Data!$P37</f>
        <v>25438</v>
      </c>
      <c r="L138" s="13">
        <f>Data!$P49</f>
        <v>43351</v>
      </c>
      <c r="M138" s="13">
        <f>Data!$P61</f>
        <v>10668</v>
      </c>
      <c r="N138" s="119">
        <f t="shared" si="145"/>
        <v>12211.564320782083</v>
      </c>
      <c r="O138" s="119">
        <f t="shared" si="145"/>
        <v>11990.116480465113</v>
      </c>
      <c r="P138" s="119">
        <f t="shared" si="145"/>
        <v>11248.642235402665</v>
      </c>
      <c r="Q138" s="119">
        <f t="shared" si="145"/>
        <v>11182.1729923733</v>
      </c>
      <c r="R138" s="119">
        <f t="shared" si="145"/>
        <v>7984.4318257146051</v>
      </c>
      <c r="S138" s="119">
        <f t="shared" si="145"/>
        <v>8118.7325189475068</v>
      </c>
      <c r="T138" s="119">
        <f t="shared" si="145"/>
        <v>7540.9098586422679</v>
      </c>
      <c r="U138" s="119">
        <f t="shared" si="145"/>
        <v>6042.6084499777508</v>
      </c>
      <c r="V138" s="119">
        <f t="shared" si="145"/>
        <v>5944.5608211862436</v>
      </c>
      <c r="W138" s="119">
        <f t="shared" si="145"/>
        <v>5090.1776392097672</v>
      </c>
      <c r="X138" s="119">
        <f t="shared" si="145"/>
        <v>5208.157386721472</v>
      </c>
      <c r="Y138" s="119">
        <f t="shared" si="145"/>
        <v>4473.9621233606258</v>
      </c>
      <c r="Z138" s="119">
        <f t="shared" si="144"/>
        <v>4459.9110700759766</v>
      </c>
      <c r="AA138" s="119">
        <f t="shared" si="144"/>
        <v>4442.9592424507209</v>
      </c>
      <c r="AB138" s="119">
        <f t="shared" si="144"/>
        <v>3699.2449159091502</v>
      </c>
      <c r="AC138" s="119">
        <f t="shared" si="144"/>
        <v>3714.0391230863243</v>
      </c>
      <c r="AD138" s="119">
        <f t="shared" si="144"/>
        <v>3712.5207990862136</v>
      </c>
      <c r="AE138" s="119">
        <f t="shared" si="144"/>
        <v>3709.0139167793313</v>
      </c>
      <c r="AF138" s="119">
        <f t="shared" si="144"/>
        <v>3707.2649994830272</v>
      </c>
      <c r="AG138" s="119">
        <f t="shared" si="144"/>
        <v>3708.4167508688101</v>
      </c>
      <c r="AH138" s="119">
        <f t="shared" si="144"/>
        <v>2968.2008942885927</v>
      </c>
      <c r="AI138" s="119">
        <f t="shared" si="144"/>
        <v>2967.5695600843292</v>
      </c>
      <c r="AJ138" s="119">
        <f t="shared" si="144"/>
        <v>2967.0375863485378</v>
      </c>
      <c r="AK138" s="119">
        <f t="shared" si="144"/>
        <v>2966.9981438315081</v>
      </c>
      <c r="AL138" s="119">
        <f t="shared" si="144"/>
        <v>2967.2805591279571</v>
      </c>
      <c r="AM138" s="119">
        <f t="shared" si="144"/>
        <v>2967.4173487361845</v>
      </c>
    </row>
    <row r="139" spans="1:39">
      <c r="A139" s="138" t="s">
        <v>140</v>
      </c>
      <c r="B139" s="138"/>
      <c r="C139" s="138"/>
      <c r="D139" s="138"/>
      <c r="E139" s="138"/>
      <c r="F139" s="138"/>
      <c r="G139" s="138"/>
      <c r="H139" s="138"/>
      <c r="I139" s="13">
        <f>Data!$P14</f>
        <v>5013</v>
      </c>
      <c r="J139" s="13">
        <f>Data!$P26</f>
        <v>9354</v>
      </c>
      <c r="K139" s="13">
        <f>Data!$P38</f>
        <v>62312</v>
      </c>
      <c r="L139" s="13">
        <f>Data!$P50</f>
        <v>49658</v>
      </c>
      <c r="M139" s="13">
        <f>Data!$P62</f>
        <v>13226</v>
      </c>
      <c r="N139" s="119">
        <f t="shared" si="145"/>
        <v>17876.214639506932</v>
      </c>
      <c r="O139" s="119">
        <f t="shared" si="145"/>
        <v>17990.74946024641</v>
      </c>
      <c r="P139" s="119">
        <f t="shared" si="145"/>
        <v>17423.929681978141</v>
      </c>
      <c r="Q139" s="119">
        <f t="shared" si="145"/>
        <v>14768.259770427941</v>
      </c>
      <c r="R139" s="119">
        <f t="shared" si="145"/>
        <v>11391.816510440251</v>
      </c>
      <c r="S139" s="119">
        <f t="shared" si="145"/>
        <v>11810.27933362968</v>
      </c>
      <c r="T139" s="119">
        <f t="shared" si="145"/>
        <v>10952.990262197383</v>
      </c>
      <c r="U139" s="119">
        <f t="shared" si="145"/>
        <v>8701.2820404817649</v>
      </c>
      <c r="V139" s="119">
        <f t="shared" si="145"/>
        <v>8381.7640606802979</v>
      </c>
      <c r="W139" s="119">
        <f t="shared" si="145"/>
        <v>7319.7331724899004</v>
      </c>
      <c r="X139" s="119">
        <f t="shared" si="145"/>
        <v>7503.6895928716567</v>
      </c>
      <c r="Y139" s="119">
        <f t="shared" si="145"/>
        <v>6428.9188693081378</v>
      </c>
      <c r="Z139" s="119">
        <f t="shared" si="144"/>
        <v>6389.2312893053013</v>
      </c>
      <c r="AA139" s="119">
        <f t="shared" si="144"/>
        <v>6357.0594678803691</v>
      </c>
      <c r="AB139" s="119">
        <f t="shared" si="144"/>
        <v>5312.2863112274053</v>
      </c>
      <c r="AC139" s="119">
        <f t="shared" si="144"/>
        <v>5331.8642550988161</v>
      </c>
      <c r="AD139" s="119">
        <f t="shared" si="144"/>
        <v>5324.8857487178611</v>
      </c>
      <c r="AE139" s="119">
        <f t="shared" si="144"/>
        <v>5317.6531615240347</v>
      </c>
      <c r="AF139" s="119">
        <f t="shared" si="144"/>
        <v>5316.1055662400813</v>
      </c>
      <c r="AG139" s="119">
        <f t="shared" si="144"/>
        <v>5320.5590085616495</v>
      </c>
      <c r="AH139" s="119">
        <f t="shared" si="144"/>
        <v>4257.7708384227844</v>
      </c>
      <c r="AI139" s="119">
        <f t="shared" si="144"/>
        <v>4256.1623872443915</v>
      </c>
      <c r="AJ139" s="119">
        <f t="shared" si="144"/>
        <v>4255.3479933900744</v>
      </c>
      <c r="AK139" s="119">
        <f t="shared" si="144"/>
        <v>4255.6265079743644</v>
      </c>
      <c r="AL139" s="119">
        <f t="shared" si="144"/>
        <v>4256.2793782082545</v>
      </c>
      <c r="AM139" s="119">
        <f t="shared" si="144"/>
        <v>4256.2374210479866</v>
      </c>
    </row>
    <row r="140" spans="1:39" ht="12" thickBot="1">
      <c r="A140" s="138" t="s">
        <v>141</v>
      </c>
      <c r="B140" s="138"/>
      <c r="C140" s="138"/>
      <c r="D140" s="138"/>
      <c r="E140" s="138"/>
      <c r="F140" s="138"/>
      <c r="G140" s="138"/>
      <c r="H140" s="138"/>
      <c r="I140" s="13">
        <f>SUM(I128:I139)</f>
        <v>516403</v>
      </c>
      <c r="J140" s="13">
        <f>SUM(J128:J139)</f>
        <v>504967</v>
      </c>
      <c r="K140" s="13">
        <f>SUM(K128:K139)</f>
        <v>676090</v>
      </c>
      <c r="L140" s="13">
        <f>SUM(L128:L139)</f>
        <v>793878</v>
      </c>
      <c r="M140" s="13">
        <f>SUM(M128:M139)</f>
        <v>581689</v>
      </c>
      <c r="N140" s="119">
        <f t="shared" ref="N140:AK140" si="146">N5*$I$122</f>
        <v>393615</v>
      </c>
      <c r="O140" s="119">
        <f t="shared" si="146"/>
        <v>349880</v>
      </c>
      <c r="P140" s="119">
        <f t="shared" si="146"/>
        <v>306145</v>
      </c>
      <c r="Q140" s="119">
        <f t="shared" si="146"/>
        <v>306145</v>
      </c>
      <c r="R140" s="119">
        <f t="shared" si="146"/>
        <v>262410</v>
      </c>
      <c r="S140" s="119">
        <f t="shared" si="146"/>
        <v>240542.5</v>
      </c>
      <c r="T140" s="119">
        <f t="shared" si="146"/>
        <v>218675</v>
      </c>
      <c r="U140" s="119">
        <f t="shared" si="146"/>
        <v>174940</v>
      </c>
      <c r="V140" s="119">
        <f t="shared" si="146"/>
        <v>174940</v>
      </c>
      <c r="W140" s="119">
        <f t="shared" si="146"/>
        <v>153072.5</v>
      </c>
      <c r="X140" s="119">
        <f t="shared" si="146"/>
        <v>153072.5</v>
      </c>
      <c r="Y140" s="119">
        <f t="shared" si="146"/>
        <v>131205</v>
      </c>
      <c r="Z140" s="119">
        <f t="shared" si="146"/>
        <v>131205</v>
      </c>
      <c r="AA140" s="119">
        <f t="shared" si="146"/>
        <v>131205</v>
      </c>
      <c r="AB140" s="119">
        <f t="shared" si="146"/>
        <v>109337.5</v>
      </c>
      <c r="AC140" s="119">
        <f t="shared" si="146"/>
        <v>109337.5</v>
      </c>
      <c r="AD140" s="119">
        <f t="shared" si="146"/>
        <v>109337.5</v>
      </c>
      <c r="AE140" s="119">
        <f t="shared" si="146"/>
        <v>109337.5</v>
      </c>
      <c r="AF140" s="119">
        <f t="shared" si="146"/>
        <v>109337.5</v>
      </c>
      <c r="AG140" s="119">
        <f t="shared" si="146"/>
        <v>109337.5</v>
      </c>
      <c r="AH140" s="119">
        <f t="shared" si="146"/>
        <v>87470</v>
      </c>
      <c r="AI140" s="119">
        <f t="shared" si="146"/>
        <v>87470</v>
      </c>
      <c r="AJ140" s="119">
        <f t="shared" si="146"/>
        <v>87470</v>
      </c>
      <c r="AK140" s="119">
        <f t="shared" si="146"/>
        <v>87470</v>
      </c>
      <c r="AL140" s="119">
        <f>AL5*$I$122</f>
        <v>87470</v>
      </c>
      <c r="AM140" s="119">
        <f>AM5*$I$122</f>
        <v>87470</v>
      </c>
    </row>
    <row r="141" spans="1:39">
      <c r="A141" s="199"/>
      <c r="B141" s="199"/>
      <c r="C141" s="199"/>
      <c r="D141" s="199"/>
      <c r="E141" s="199"/>
      <c r="F141" s="199"/>
      <c r="G141" s="199"/>
      <c r="H141" s="199"/>
      <c r="I141" s="199"/>
      <c r="J141" s="199"/>
      <c r="K141" s="199"/>
      <c r="L141" s="199">
        <f>(L140/K140)-1</f>
        <v>0.17421940865861063</v>
      </c>
      <c r="M141" s="199">
        <f>(M140/L140)-1</f>
        <v>-0.26728162261707722</v>
      </c>
      <c r="N141" s="199"/>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row>
    <row r="142" spans="1:39" ht="12" thickBot="1">
      <c r="A142" s="138" t="s">
        <v>236</v>
      </c>
      <c r="B142" s="138"/>
      <c r="C142" s="138"/>
      <c r="D142" s="138"/>
      <c r="E142" s="138"/>
      <c r="F142" s="138"/>
      <c r="G142" s="138"/>
      <c r="H142" s="138"/>
    </row>
    <row r="143" spans="1:39" ht="12" thickBot="1">
      <c r="A143" s="176"/>
      <c r="B143" s="243">
        <f t="shared" ref="B143:H143" si="147">B2</f>
        <v>2013</v>
      </c>
      <c r="C143" s="243">
        <f t="shared" si="147"/>
        <v>2014</v>
      </c>
      <c r="D143" s="243">
        <f t="shared" si="147"/>
        <v>2015</v>
      </c>
      <c r="E143" s="243">
        <f t="shared" si="147"/>
        <v>2016</v>
      </c>
      <c r="F143" s="243">
        <f t="shared" si="147"/>
        <v>2017</v>
      </c>
      <c r="G143" s="243">
        <f t="shared" si="147"/>
        <v>2018</v>
      </c>
      <c r="H143" s="243">
        <f t="shared" si="147"/>
        <v>2019</v>
      </c>
      <c r="I143" s="243">
        <f>I2</f>
        <v>2020</v>
      </c>
      <c r="J143" s="243">
        <f t="shared" ref="J143:AK143" si="148">J2</f>
        <v>2021</v>
      </c>
      <c r="K143" s="243">
        <f t="shared" si="148"/>
        <v>2022</v>
      </c>
      <c r="L143" s="243">
        <f t="shared" si="148"/>
        <v>2023</v>
      </c>
      <c r="M143" s="243">
        <f t="shared" si="148"/>
        <v>2024</v>
      </c>
      <c r="N143" s="243">
        <f t="shared" si="148"/>
        <v>2025</v>
      </c>
      <c r="O143" s="243">
        <f t="shared" si="148"/>
        <v>2026</v>
      </c>
      <c r="P143" s="243">
        <f t="shared" si="148"/>
        <v>2027</v>
      </c>
      <c r="Q143" s="243">
        <f t="shared" si="148"/>
        <v>2028</v>
      </c>
      <c r="R143" s="243">
        <f t="shared" si="148"/>
        <v>2029</v>
      </c>
      <c r="S143" s="243">
        <f t="shared" si="148"/>
        <v>2030</v>
      </c>
      <c r="T143" s="243">
        <f t="shared" si="148"/>
        <v>2031</v>
      </c>
      <c r="U143" s="243">
        <f t="shared" si="148"/>
        <v>2032</v>
      </c>
      <c r="V143" s="243">
        <f t="shared" si="148"/>
        <v>2033</v>
      </c>
      <c r="W143" s="243">
        <f t="shared" si="148"/>
        <v>2034</v>
      </c>
      <c r="X143" s="243">
        <f t="shared" si="148"/>
        <v>2035</v>
      </c>
      <c r="Y143" s="243">
        <f t="shared" si="148"/>
        <v>2036</v>
      </c>
      <c r="Z143" s="243">
        <f t="shared" si="148"/>
        <v>2037</v>
      </c>
      <c r="AA143" s="243">
        <f t="shared" si="148"/>
        <v>2038</v>
      </c>
      <c r="AB143" s="243">
        <f t="shared" si="148"/>
        <v>2039</v>
      </c>
      <c r="AC143" s="243">
        <f t="shared" si="148"/>
        <v>2040</v>
      </c>
      <c r="AD143" s="243">
        <f t="shared" si="148"/>
        <v>2041</v>
      </c>
      <c r="AE143" s="243">
        <f t="shared" si="148"/>
        <v>2042</v>
      </c>
      <c r="AF143" s="243">
        <f t="shared" si="148"/>
        <v>2043</v>
      </c>
      <c r="AG143" s="243">
        <f t="shared" si="148"/>
        <v>2044</v>
      </c>
      <c r="AH143" s="243">
        <f t="shared" si="148"/>
        <v>2045</v>
      </c>
      <c r="AI143" s="243">
        <f t="shared" si="148"/>
        <v>2046</v>
      </c>
      <c r="AJ143" s="243">
        <f t="shared" si="148"/>
        <v>2047</v>
      </c>
      <c r="AK143" s="243">
        <f t="shared" si="148"/>
        <v>2048</v>
      </c>
      <c r="AL143" s="243">
        <f>AL2</f>
        <v>2049</v>
      </c>
      <c r="AM143" s="243">
        <f>AM2</f>
        <v>2050</v>
      </c>
    </row>
    <row r="144" spans="1:39">
      <c r="A144" s="138" t="s">
        <v>129</v>
      </c>
      <c r="B144" s="138"/>
      <c r="C144" s="138"/>
      <c r="D144" s="138"/>
      <c r="E144" s="138"/>
      <c r="F144" s="138"/>
      <c r="G144" s="138"/>
      <c r="H144" s="138"/>
      <c r="I144" s="13">
        <f>Data!$Q3</f>
        <v>26447</v>
      </c>
      <c r="J144" s="13">
        <f>Data!$Q15</f>
        <v>28736</v>
      </c>
      <c r="K144" s="13">
        <f>Data!$Q27</f>
        <v>23552</v>
      </c>
      <c r="L144" s="13">
        <f>Data!$Q39</f>
        <v>33944</v>
      </c>
      <c r="M144" s="13">
        <f>Data!$Q51</f>
        <v>36076</v>
      </c>
      <c r="N144" s="13">
        <f>Data!$Q63</f>
        <v>4564</v>
      </c>
      <c r="O144" s="119">
        <f t="shared" ref="O144:AM155" si="149">O54*$I$122</f>
        <v>26717.147140602308</v>
      </c>
      <c r="P144" s="119">
        <f t="shared" si="149"/>
        <v>29005.351190028869</v>
      </c>
      <c r="Q144" s="119">
        <f t="shared" si="149"/>
        <v>30773.843659189777</v>
      </c>
      <c r="R144" s="119">
        <f t="shared" si="149"/>
        <v>29867.046290243798</v>
      </c>
      <c r="S144" s="119">
        <f t="shared" si="149"/>
        <v>30417.825395713182</v>
      </c>
      <c r="T144" s="119">
        <f t="shared" si="149"/>
        <v>30543.296621311354</v>
      </c>
      <c r="U144" s="119">
        <f t="shared" si="149"/>
        <v>30522.201757212664</v>
      </c>
      <c r="V144" s="119">
        <f t="shared" si="149"/>
        <v>30826.049462247131</v>
      </c>
      <c r="W144" s="119">
        <f t="shared" si="149"/>
        <v>31010.038937374546</v>
      </c>
      <c r="X144" s="119">
        <f t="shared" si="149"/>
        <v>31357.756188735275</v>
      </c>
      <c r="Y144" s="119">
        <f t="shared" si="149"/>
        <v>31319.321147821294</v>
      </c>
      <c r="Z144" s="119">
        <f t="shared" si="149"/>
        <v>31327.698127703723</v>
      </c>
      <c r="AA144" s="119">
        <f t="shared" si="149"/>
        <v>31328.489135088148</v>
      </c>
      <c r="AB144" s="119">
        <f t="shared" si="149"/>
        <v>31054.949228780948</v>
      </c>
      <c r="AC144" s="119">
        <f t="shared" si="149"/>
        <v>31050.606076037649</v>
      </c>
      <c r="AD144" s="119">
        <f t="shared" si="149"/>
        <v>31055.92410255703</v>
      </c>
      <c r="AE144" s="119">
        <f t="shared" si="149"/>
        <v>31056.671668078819</v>
      </c>
      <c r="AF144" s="119">
        <f t="shared" si="149"/>
        <v>31055.898539245292</v>
      </c>
      <c r="AG144" s="119">
        <f t="shared" si="149"/>
        <v>31054.809922939956</v>
      </c>
      <c r="AH144" s="119">
        <f t="shared" si="149"/>
        <v>30787.644151562959</v>
      </c>
      <c r="AI144" s="119">
        <f t="shared" si="149"/>
        <v>30788.473591211132</v>
      </c>
      <c r="AJ144" s="119">
        <f t="shared" si="149"/>
        <v>30788.41282670289</v>
      </c>
      <c r="AK144" s="119">
        <f t="shared" si="149"/>
        <v>30788.190745177813</v>
      </c>
      <c r="AL144" s="119">
        <f t="shared" si="149"/>
        <v>30788.077912746288</v>
      </c>
      <c r="AM144" s="119">
        <f t="shared" si="149"/>
        <v>30788.159845480212</v>
      </c>
    </row>
    <row r="145" spans="1:39">
      <c r="A145" s="138" t="s">
        <v>130</v>
      </c>
      <c r="B145" s="138"/>
      <c r="C145" s="138"/>
      <c r="D145" s="138"/>
      <c r="E145" s="138"/>
      <c r="F145" s="138"/>
      <c r="G145" s="138"/>
      <c r="H145" s="138"/>
      <c r="I145" s="13">
        <f>Data!$Q4</f>
        <v>29236</v>
      </c>
      <c r="J145" s="13">
        <f>Data!$Q16</f>
        <v>28475</v>
      </c>
      <c r="K145" s="13">
        <f>Data!$Q28</f>
        <v>17999</v>
      </c>
      <c r="L145" s="13">
        <f>Data!$Q40</f>
        <v>35271</v>
      </c>
      <c r="M145" s="13">
        <f>Data!$Q52</f>
        <v>36189</v>
      </c>
      <c r="N145" s="13">
        <f>Data!$Q64</f>
        <v>21823</v>
      </c>
      <c r="O145" s="119">
        <f t="shared" si="149"/>
        <v>25903.551160038951</v>
      </c>
      <c r="P145" s="119">
        <f t="shared" si="149"/>
        <v>28011.648109660389</v>
      </c>
      <c r="Q145" s="119">
        <f t="shared" si="149"/>
        <v>30551.046142916093</v>
      </c>
      <c r="R145" s="119">
        <f t="shared" si="149"/>
        <v>29392.624419931883</v>
      </c>
      <c r="S145" s="119">
        <f t="shared" si="149"/>
        <v>29821.789910407246</v>
      </c>
      <c r="T145" s="119">
        <f t="shared" si="149"/>
        <v>29898.110932427622</v>
      </c>
      <c r="U145" s="119">
        <f t="shared" si="149"/>
        <v>29927.971316413234</v>
      </c>
      <c r="V145" s="119">
        <f t="shared" si="149"/>
        <v>30312.83569005991</v>
      </c>
      <c r="W145" s="119">
        <f t="shared" si="149"/>
        <v>30434.75896922587</v>
      </c>
      <c r="X145" s="119">
        <f t="shared" si="149"/>
        <v>30759.734292737568</v>
      </c>
      <c r="Y145" s="119">
        <f t="shared" si="149"/>
        <v>30725.268334720913</v>
      </c>
      <c r="Z145" s="119">
        <f t="shared" si="149"/>
        <v>30746.793052512228</v>
      </c>
      <c r="AA145" s="119">
        <f t="shared" si="149"/>
        <v>30753.250779730515</v>
      </c>
      <c r="AB145" s="119">
        <f t="shared" si="149"/>
        <v>30474.245845557925</v>
      </c>
      <c r="AC145" s="119">
        <f t="shared" si="149"/>
        <v>30469.07383516034</v>
      </c>
      <c r="AD145" s="119">
        <f t="shared" si="149"/>
        <v>30476.428673158789</v>
      </c>
      <c r="AE145" s="119">
        <f t="shared" si="149"/>
        <v>30479.084169115165</v>
      </c>
      <c r="AF145" s="119">
        <f t="shared" si="149"/>
        <v>30477.981423686597</v>
      </c>
      <c r="AG145" s="119">
        <f t="shared" si="149"/>
        <v>30475.36278933577</v>
      </c>
      <c r="AH145" s="119">
        <f t="shared" si="149"/>
        <v>30213.430598064744</v>
      </c>
      <c r="AI145" s="119">
        <f t="shared" si="149"/>
        <v>30214.724087979084</v>
      </c>
      <c r="AJ145" s="119">
        <f t="shared" si="149"/>
        <v>30214.816052840575</v>
      </c>
      <c r="AK145" s="119">
        <f t="shared" si="149"/>
        <v>30214.397402865987</v>
      </c>
      <c r="AL145" s="119">
        <f t="shared" si="149"/>
        <v>30214.113884465449</v>
      </c>
      <c r="AM145" s="119">
        <f t="shared" si="149"/>
        <v>30214.296405243167</v>
      </c>
    </row>
    <row r="146" spans="1:39">
      <c r="A146" s="138" t="s">
        <v>131</v>
      </c>
      <c r="B146" s="138"/>
      <c r="C146" s="138"/>
      <c r="D146" s="138"/>
      <c r="E146" s="138"/>
      <c r="F146" s="138"/>
      <c r="G146" s="138"/>
      <c r="H146" s="138"/>
      <c r="I146" s="13">
        <f>Data!$Q5</f>
        <v>27373</v>
      </c>
      <c r="J146" s="13">
        <f>Data!$Q17</f>
        <v>33178</v>
      </c>
      <c r="K146" s="13">
        <f>Data!$Q29</f>
        <v>24955</v>
      </c>
      <c r="L146" s="13">
        <f>Data!$Q41</f>
        <v>40770</v>
      </c>
      <c r="M146" s="13">
        <f>Data!$Q53</f>
        <v>37544</v>
      </c>
      <c r="N146" s="13">
        <f>Data!$Q65</f>
        <v>14924</v>
      </c>
      <c r="O146" s="119">
        <f t="shared" si="149"/>
        <v>29724.733502217608</v>
      </c>
      <c r="P146" s="119">
        <f t="shared" si="149"/>
        <v>32053.447779014154</v>
      </c>
      <c r="Q146" s="119">
        <f t="shared" si="149"/>
        <v>34195.597712529292</v>
      </c>
      <c r="R146" s="119">
        <f t="shared" si="149"/>
        <v>32686.983613351938</v>
      </c>
      <c r="S146" s="119">
        <f t="shared" si="149"/>
        <v>33608.621315522461</v>
      </c>
      <c r="T146" s="119">
        <f t="shared" si="149"/>
        <v>33766.187113388019</v>
      </c>
      <c r="U146" s="119">
        <f t="shared" si="149"/>
        <v>33704.679713059544</v>
      </c>
      <c r="V146" s="119">
        <f t="shared" si="149"/>
        <v>34035.390780078873</v>
      </c>
      <c r="W146" s="119">
        <f t="shared" si="149"/>
        <v>34194.143265887564</v>
      </c>
      <c r="X146" s="119">
        <f t="shared" si="149"/>
        <v>34628.041961849485</v>
      </c>
      <c r="Y146" s="119">
        <f t="shared" si="149"/>
        <v>34581.835363320162</v>
      </c>
      <c r="Z146" s="119">
        <f t="shared" si="149"/>
        <v>34582.756880003348</v>
      </c>
      <c r="AA146" s="119">
        <f t="shared" si="149"/>
        <v>34581.396017910156</v>
      </c>
      <c r="AB146" s="119">
        <f t="shared" si="149"/>
        <v>34277.744840825027</v>
      </c>
      <c r="AC146" s="119">
        <f t="shared" si="149"/>
        <v>34279.707687752911</v>
      </c>
      <c r="AD146" s="119">
        <f t="shared" si="149"/>
        <v>34283.739823389988</v>
      </c>
      <c r="AE146" s="119">
        <f t="shared" si="149"/>
        <v>34283.105675608604</v>
      </c>
      <c r="AF146" s="119">
        <f t="shared" si="149"/>
        <v>34282.158751031042</v>
      </c>
      <c r="AG146" s="119">
        <f t="shared" si="149"/>
        <v>34281.291355721522</v>
      </c>
      <c r="AH146" s="119">
        <f t="shared" si="149"/>
        <v>33987.101728303394</v>
      </c>
      <c r="AI146" s="119">
        <f t="shared" si="149"/>
        <v>33987.557161137076</v>
      </c>
      <c r="AJ146" s="119">
        <f t="shared" si="149"/>
        <v>33987.302530729634</v>
      </c>
      <c r="AK146" s="119">
        <f t="shared" si="149"/>
        <v>33987.122660575595</v>
      </c>
      <c r="AL146" s="119">
        <f t="shared" si="149"/>
        <v>33987.095312347934</v>
      </c>
      <c r="AM146" s="119">
        <f t="shared" si="149"/>
        <v>33987.235878618725</v>
      </c>
    </row>
    <row r="147" spans="1:39">
      <c r="A147" s="138" t="s">
        <v>132</v>
      </c>
      <c r="B147" s="138"/>
      <c r="C147" s="138"/>
      <c r="D147" s="138"/>
      <c r="E147" s="138"/>
      <c r="F147" s="138"/>
      <c r="G147" s="138"/>
      <c r="H147" s="138"/>
      <c r="I147" s="13">
        <f>Data!$Q6</f>
        <v>32180</v>
      </c>
      <c r="J147" s="13">
        <f>Data!$Q18</f>
        <v>31849</v>
      </c>
      <c r="K147" s="13">
        <f>Data!$Q30</f>
        <v>26900</v>
      </c>
      <c r="L147" s="13">
        <f>Data!$Q42</f>
        <v>34406</v>
      </c>
      <c r="M147" s="13">
        <f>Data!$Q54</f>
        <v>38139</v>
      </c>
      <c r="N147" s="119">
        <f t="shared" ref="N147:Y155" si="150">N57*$I$122</f>
        <v>27582.960327123135</v>
      </c>
      <c r="O147" s="119">
        <f t="shared" si="150"/>
        <v>28824.024177050829</v>
      </c>
      <c r="P147" s="119">
        <f t="shared" si="150"/>
        <v>31140.375183575583</v>
      </c>
      <c r="Q147" s="119">
        <f t="shared" si="150"/>
        <v>32756.211910823407</v>
      </c>
      <c r="R147" s="119">
        <f t="shared" si="150"/>
        <v>32074.115968049631</v>
      </c>
      <c r="S147" s="119">
        <f t="shared" si="150"/>
        <v>32764.779767846547</v>
      </c>
      <c r="T147" s="119">
        <f t="shared" si="150"/>
        <v>32786.121857957507</v>
      </c>
      <c r="U147" s="119">
        <f t="shared" si="150"/>
        <v>32734.090174071604</v>
      </c>
      <c r="V147" s="119">
        <f t="shared" si="150"/>
        <v>33053.25818545193</v>
      </c>
      <c r="W147" s="119">
        <f t="shared" si="150"/>
        <v>33299.665262348281</v>
      </c>
      <c r="X147" s="119">
        <f t="shared" si="150"/>
        <v>33672.680664233099</v>
      </c>
      <c r="Y147" s="119">
        <f t="shared" si="150"/>
        <v>33610.81721712782</v>
      </c>
      <c r="Z147" s="119">
        <f t="shared" si="149"/>
        <v>33618.1688474865</v>
      </c>
      <c r="AA147" s="119">
        <f t="shared" si="149"/>
        <v>33622.975907778717</v>
      </c>
      <c r="AB147" s="119">
        <f t="shared" si="149"/>
        <v>33335.456289202521</v>
      </c>
      <c r="AC147" s="119">
        <f t="shared" si="149"/>
        <v>33328.328779039417</v>
      </c>
      <c r="AD147" s="119">
        <f t="shared" si="149"/>
        <v>33331.11783221877</v>
      </c>
      <c r="AE147" s="119">
        <f t="shared" si="149"/>
        <v>33332.516999533887</v>
      </c>
      <c r="AF147" s="119">
        <f t="shared" si="149"/>
        <v>33332.732524952597</v>
      </c>
      <c r="AG147" s="119">
        <f t="shared" si="149"/>
        <v>33332.030484989438</v>
      </c>
      <c r="AH147" s="119">
        <f t="shared" si="149"/>
        <v>33044.624074046631</v>
      </c>
      <c r="AI147" s="119">
        <f t="shared" si="149"/>
        <v>33045.223224108893</v>
      </c>
      <c r="AJ147" s="119">
        <f t="shared" si="149"/>
        <v>33045.388730607723</v>
      </c>
      <c r="AK147" s="119">
        <f t="shared" si="149"/>
        <v>33045.30893075795</v>
      </c>
      <c r="AL147" s="119">
        <f t="shared" si="149"/>
        <v>33045.16989169312</v>
      </c>
      <c r="AM147" s="119">
        <f t="shared" si="149"/>
        <v>33045.142970242872</v>
      </c>
    </row>
    <row r="148" spans="1:39">
      <c r="A148" s="138" t="s">
        <v>133</v>
      </c>
      <c r="B148" s="138"/>
      <c r="C148" s="138"/>
      <c r="D148" s="138"/>
      <c r="E148" s="138"/>
      <c r="F148" s="138"/>
      <c r="G148" s="138"/>
      <c r="H148" s="138"/>
      <c r="I148" s="13">
        <f>Data!$Q7</f>
        <v>36405</v>
      </c>
      <c r="J148" s="13">
        <f>Data!$Q19</f>
        <v>29003</v>
      </c>
      <c r="K148" s="13">
        <f>Data!$Q31</f>
        <v>23373</v>
      </c>
      <c r="L148" s="13">
        <f>Data!$Q43</f>
        <v>37218</v>
      </c>
      <c r="M148" s="13">
        <f>Data!$Q55</f>
        <v>30919</v>
      </c>
      <c r="N148" s="119">
        <f t="shared" si="150"/>
        <v>26476.766755640088</v>
      </c>
      <c r="O148" s="119">
        <f t="shared" si="150"/>
        <v>26718.044923982259</v>
      </c>
      <c r="P148" s="119">
        <f t="shared" si="150"/>
        <v>28958.48610288202</v>
      </c>
      <c r="Q148" s="119">
        <f t="shared" si="150"/>
        <v>30748.814069497126</v>
      </c>
      <c r="R148" s="119">
        <f t="shared" si="150"/>
        <v>29300.747667997548</v>
      </c>
      <c r="S148" s="119">
        <f t="shared" si="150"/>
        <v>30576.952892093694</v>
      </c>
      <c r="T148" s="119">
        <f t="shared" si="150"/>
        <v>30443.795961224583</v>
      </c>
      <c r="U148" s="119">
        <f t="shared" si="150"/>
        <v>30404.949041693399</v>
      </c>
      <c r="V148" s="119">
        <f t="shared" si="150"/>
        <v>30694.547116740843</v>
      </c>
      <c r="W148" s="119">
        <f t="shared" si="150"/>
        <v>30856.100396751877</v>
      </c>
      <c r="X148" s="119">
        <f t="shared" si="150"/>
        <v>31287.590227152767</v>
      </c>
      <c r="Y148" s="119">
        <f t="shared" si="150"/>
        <v>31203.11467823865</v>
      </c>
      <c r="Z148" s="119">
        <f t="shared" si="149"/>
        <v>31208.666688931869</v>
      </c>
      <c r="AA148" s="119">
        <f t="shared" si="149"/>
        <v>31209.712371009726</v>
      </c>
      <c r="AB148" s="119">
        <f t="shared" si="149"/>
        <v>30940.115646462829</v>
      </c>
      <c r="AC148" s="119">
        <f t="shared" si="149"/>
        <v>30943.585747004727</v>
      </c>
      <c r="AD148" s="119">
        <f t="shared" si="149"/>
        <v>30941.34177844083</v>
      </c>
      <c r="AE148" s="119">
        <f t="shared" si="149"/>
        <v>30942.216604290716</v>
      </c>
      <c r="AF148" s="119">
        <f t="shared" si="149"/>
        <v>30942.16060474543</v>
      </c>
      <c r="AG148" s="119">
        <f t="shared" si="149"/>
        <v>30941.884076188904</v>
      </c>
      <c r="AH148" s="119">
        <f t="shared" si="149"/>
        <v>30676.067974932968</v>
      </c>
      <c r="AI148" s="119">
        <f t="shared" si="149"/>
        <v>30675.800236447249</v>
      </c>
      <c r="AJ148" s="119">
        <f t="shared" si="149"/>
        <v>30675.924772522671</v>
      </c>
      <c r="AK148" s="119">
        <f t="shared" si="149"/>
        <v>30675.900200384764</v>
      </c>
      <c r="AL148" s="119">
        <f t="shared" si="149"/>
        <v>30675.881817704496</v>
      </c>
      <c r="AM148" s="119">
        <f t="shared" si="149"/>
        <v>30675.915000398432</v>
      </c>
    </row>
    <row r="149" spans="1:39">
      <c r="A149" s="138" t="s">
        <v>134</v>
      </c>
      <c r="B149" s="138"/>
      <c r="C149" s="138"/>
      <c r="D149" s="138"/>
      <c r="E149" s="138"/>
      <c r="F149" s="138"/>
      <c r="G149" s="138"/>
      <c r="H149" s="138"/>
      <c r="I149" s="13">
        <f>Data!$Q8</f>
        <v>32326</v>
      </c>
      <c r="J149" s="13">
        <f>Data!$Q20</f>
        <v>30260</v>
      </c>
      <c r="K149" s="13">
        <f>Data!$Q32</f>
        <v>25040</v>
      </c>
      <c r="L149" s="13">
        <f>Data!$Q44</f>
        <v>41971</v>
      </c>
      <c r="M149" s="13">
        <f>Data!$Q56</f>
        <v>37142</v>
      </c>
      <c r="N149" s="119">
        <f t="shared" si="150"/>
        <v>28133.86362347642</v>
      </c>
      <c r="O149" s="119">
        <f t="shared" si="150"/>
        <v>29485.270788408343</v>
      </c>
      <c r="P149" s="119">
        <f t="shared" si="150"/>
        <v>32271.891534512368</v>
      </c>
      <c r="Q149" s="119">
        <f t="shared" si="150"/>
        <v>34443.54358501143</v>
      </c>
      <c r="R149" s="119">
        <f t="shared" si="150"/>
        <v>32775.358906888127</v>
      </c>
      <c r="S149" s="119">
        <f t="shared" si="150"/>
        <v>33782.322640722952</v>
      </c>
      <c r="T149" s="119">
        <f t="shared" si="150"/>
        <v>33867.942505515122</v>
      </c>
      <c r="U149" s="119">
        <f t="shared" si="150"/>
        <v>33872.933056275411</v>
      </c>
      <c r="V149" s="119">
        <f t="shared" si="150"/>
        <v>34193.454250604133</v>
      </c>
      <c r="W149" s="119">
        <f t="shared" si="150"/>
        <v>34334.779653510173</v>
      </c>
      <c r="X149" s="119">
        <f t="shared" si="150"/>
        <v>34779.883851225</v>
      </c>
      <c r="Y149" s="119">
        <f t="shared" si="150"/>
        <v>34728.12894620515</v>
      </c>
      <c r="Z149" s="119">
        <f t="shared" si="149"/>
        <v>34737.356874802892</v>
      </c>
      <c r="AA149" s="119">
        <f t="shared" si="149"/>
        <v>34732.456098288436</v>
      </c>
      <c r="AB149" s="119">
        <f t="shared" si="149"/>
        <v>34425.613636127608</v>
      </c>
      <c r="AC149" s="119">
        <f t="shared" si="149"/>
        <v>34428.949327110095</v>
      </c>
      <c r="AD149" s="119">
        <f t="shared" si="149"/>
        <v>34432.783384843118</v>
      </c>
      <c r="AE149" s="119">
        <f t="shared" si="149"/>
        <v>34432.952886560248</v>
      </c>
      <c r="AF149" s="119">
        <f t="shared" si="149"/>
        <v>34431.314396656169</v>
      </c>
      <c r="AG149" s="119">
        <f t="shared" si="149"/>
        <v>34430.322726259445</v>
      </c>
      <c r="AH149" s="119">
        <f t="shared" si="149"/>
        <v>34135.081623474754</v>
      </c>
      <c r="AI149" s="119">
        <f t="shared" si="149"/>
        <v>34135.541474882775</v>
      </c>
      <c r="AJ149" s="119">
        <f t="shared" si="149"/>
        <v>34135.331567851179</v>
      </c>
      <c r="AK149" s="119">
        <f t="shared" si="149"/>
        <v>34135.045315515054</v>
      </c>
      <c r="AL149" s="119">
        <f t="shared" si="149"/>
        <v>34135.028050402892</v>
      </c>
      <c r="AM149" s="119">
        <f t="shared" si="149"/>
        <v>34135.205606425334</v>
      </c>
    </row>
    <row r="150" spans="1:39">
      <c r="A150" s="138" t="s">
        <v>135</v>
      </c>
      <c r="B150" s="138"/>
      <c r="C150" s="138"/>
      <c r="D150" s="138"/>
      <c r="E150" s="138"/>
      <c r="F150" s="138"/>
      <c r="G150" s="138"/>
      <c r="H150" s="138"/>
      <c r="I150" s="13">
        <f>Data!$Q9</f>
        <v>39141</v>
      </c>
      <c r="J150" s="13">
        <f>Data!$Q21</f>
        <v>34314</v>
      </c>
      <c r="K150" s="13">
        <f>Data!$Q33</f>
        <v>26955</v>
      </c>
      <c r="L150" s="13">
        <f>Data!$Q45</f>
        <v>44219</v>
      </c>
      <c r="M150" s="13">
        <f>Data!$Q57</f>
        <v>42341</v>
      </c>
      <c r="N150" s="119">
        <f t="shared" si="150"/>
        <v>31547.439301431499</v>
      </c>
      <c r="O150" s="119">
        <f t="shared" si="150"/>
        <v>32564.557358861657</v>
      </c>
      <c r="P150" s="119">
        <f t="shared" si="150"/>
        <v>35481.469234274911</v>
      </c>
      <c r="Q150" s="119">
        <f t="shared" si="150"/>
        <v>37969.896671224305</v>
      </c>
      <c r="R150" s="119">
        <f t="shared" si="150"/>
        <v>36467.298165234868</v>
      </c>
      <c r="S150" s="119">
        <f t="shared" si="150"/>
        <v>37420.677283948571</v>
      </c>
      <c r="T150" s="119">
        <f t="shared" si="150"/>
        <v>37435.704502863831</v>
      </c>
      <c r="U150" s="119">
        <f t="shared" si="150"/>
        <v>37446.6500917511</v>
      </c>
      <c r="V150" s="119">
        <f t="shared" si="150"/>
        <v>37840.547039835357</v>
      </c>
      <c r="W150" s="119">
        <f t="shared" si="150"/>
        <v>38026.985931842792</v>
      </c>
      <c r="X150" s="119">
        <f t="shared" si="150"/>
        <v>38485.711696959777</v>
      </c>
      <c r="Y150" s="119">
        <f t="shared" si="150"/>
        <v>38420.561062539222</v>
      </c>
      <c r="Z150" s="119">
        <f t="shared" si="149"/>
        <v>38437.48116370244</v>
      </c>
      <c r="AA150" s="119">
        <f t="shared" si="149"/>
        <v>38438.959945863062</v>
      </c>
      <c r="AB150" s="119">
        <f t="shared" si="149"/>
        <v>38099.748144990132</v>
      </c>
      <c r="AC150" s="119">
        <f t="shared" si="149"/>
        <v>38097.926915685479</v>
      </c>
      <c r="AD150" s="119">
        <f t="shared" si="149"/>
        <v>38102.278525136011</v>
      </c>
      <c r="AE150" s="119">
        <f t="shared" si="149"/>
        <v>38104.167823982156</v>
      </c>
      <c r="AF150" s="119">
        <f t="shared" si="149"/>
        <v>38103.062615019517</v>
      </c>
      <c r="AG150" s="119">
        <f t="shared" si="149"/>
        <v>38101.436804962657</v>
      </c>
      <c r="AH150" s="119">
        <f t="shared" si="149"/>
        <v>37774.017336639248</v>
      </c>
      <c r="AI150" s="119">
        <f t="shared" si="149"/>
        <v>37774.781556116308</v>
      </c>
      <c r="AJ150" s="119">
        <f t="shared" si="149"/>
        <v>37774.834652148413</v>
      </c>
      <c r="AK150" s="119">
        <f t="shared" si="149"/>
        <v>37774.521961440776</v>
      </c>
      <c r="AL150" s="119">
        <f t="shared" si="149"/>
        <v>37774.366416419536</v>
      </c>
      <c r="AM150" s="119">
        <f t="shared" si="149"/>
        <v>37774.504384552856</v>
      </c>
    </row>
    <row r="151" spans="1:39">
      <c r="A151" s="138" t="s">
        <v>136</v>
      </c>
      <c r="B151" s="138"/>
      <c r="C151" s="138"/>
      <c r="D151" s="138"/>
      <c r="E151" s="138"/>
      <c r="F151" s="138"/>
      <c r="G151" s="138"/>
      <c r="H151" s="138"/>
      <c r="I151" s="13">
        <f>Data!$Q10</f>
        <v>37440</v>
      </c>
      <c r="J151" s="13">
        <f>Data!$Q22</f>
        <v>37717</v>
      </c>
      <c r="K151" s="13">
        <f>Data!$Q34</f>
        <v>26936</v>
      </c>
      <c r="L151" s="13">
        <f>Data!$Q46</f>
        <v>42251</v>
      </c>
      <c r="M151" s="13">
        <f>Data!$Q58</f>
        <v>29447</v>
      </c>
      <c r="N151" s="119">
        <f t="shared" si="150"/>
        <v>29323.747251618337</v>
      </c>
      <c r="O151" s="119">
        <f t="shared" si="150"/>
        <v>30086.948849012078</v>
      </c>
      <c r="P151" s="119">
        <f t="shared" si="150"/>
        <v>31700.514808043368</v>
      </c>
      <c r="Q151" s="119">
        <f t="shared" si="150"/>
        <v>33423.879897882369</v>
      </c>
      <c r="R151" s="119">
        <f t="shared" si="150"/>
        <v>31555.138722165313</v>
      </c>
      <c r="S151" s="119">
        <f t="shared" si="150"/>
        <v>33563.063438570156</v>
      </c>
      <c r="T151" s="119">
        <f t="shared" si="150"/>
        <v>33362.531548286403</v>
      </c>
      <c r="U151" s="119">
        <f t="shared" si="150"/>
        <v>33156.33866325103</v>
      </c>
      <c r="V151" s="119">
        <f t="shared" si="150"/>
        <v>33447.516042435862</v>
      </c>
      <c r="W151" s="119">
        <f t="shared" si="150"/>
        <v>33640.425570674073</v>
      </c>
      <c r="X151" s="119">
        <f t="shared" si="150"/>
        <v>34190.531494217677</v>
      </c>
      <c r="Y151" s="119">
        <f t="shared" si="150"/>
        <v>34067.945461708965</v>
      </c>
      <c r="Z151" s="119">
        <f t="shared" si="149"/>
        <v>34049.027635477323</v>
      </c>
      <c r="AA151" s="119">
        <f t="shared" si="149"/>
        <v>34053.349451314629</v>
      </c>
      <c r="AB151" s="119">
        <f t="shared" si="149"/>
        <v>33767.874848452622</v>
      </c>
      <c r="AC151" s="119">
        <f t="shared" si="149"/>
        <v>33778.761287102738</v>
      </c>
      <c r="AD151" s="119">
        <f t="shared" si="149"/>
        <v>33769.099609792967</v>
      </c>
      <c r="AE151" s="119">
        <f t="shared" si="149"/>
        <v>33767.433547769069</v>
      </c>
      <c r="AF151" s="119">
        <f t="shared" si="149"/>
        <v>33769.206189850098</v>
      </c>
      <c r="AG151" s="119">
        <f t="shared" si="149"/>
        <v>33770.475096593502</v>
      </c>
      <c r="AH151" s="119">
        <f t="shared" si="149"/>
        <v>33480.491962168155</v>
      </c>
      <c r="AI151" s="119">
        <f t="shared" si="149"/>
        <v>33478.949441295183</v>
      </c>
      <c r="AJ151" s="119">
        <f t="shared" si="149"/>
        <v>33479.017015782752</v>
      </c>
      <c r="AK151" s="119">
        <f t="shared" si="149"/>
        <v>33479.430352063537</v>
      </c>
      <c r="AL151" s="119">
        <f t="shared" si="149"/>
        <v>33479.573730230979</v>
      </c>
      <c r="AM151" s="119">
        <f t="shared" si="149"/>
        <v>33479.492500308123</v>
      </c>
    </row>
    <row r="152" spans="1:39">
      <c r="A152" s="138" t="s">
        <v>137</v>
      </c>
      <c r="B152" s="138"/>
      <c r="C152" s="138"/>
      <c r="D152" s="138"/>
      <c r="E152" s="138"/>
      <c r="F152" s="138"/>
      <c r="G152" s="138"/>
      <c r="H152" s="138"/>
      <c r="I152" s="13">
        <f>Data!$Q11</f>
        <v>32930</v>
      </c>
      <c r="J152" s="13">
        <f>Data!$Q23</f>
        <v>31190</v>
      </c>
      <c r="K152" s="13">
        <f>Data!$Q35</f>
        <v>26552</v>
      </c>
      <c r="L152" s="13">
        <f>Data!$Q47</f>
        <v>29460</v>
      </c>
      <c r="M152" s="13">
        <f>Data!$Q59</f>
        <v>35085</v>
      </c>
      <c r="N152" s="119">
        <f t="shared" si="150"/>
        <v>26189.757105686967</v>
      </c>
      <c r="O152" s="119">
        <f t="shared" si="150"/>
        <v>26958.990545246423</v>
      </c>
      <c r="P152" s="119">
        <f t="shared" si="150"/>
        <v>28873.391505904427</v>
      </c>
      <c r="Q152" s="119">
        <f t="shared" si="150"/>
        <v>30089.484067364549</v>
      </c>
      <c r="R152" s="119">
        <f t="shared" si="150"/>
        <v>29815.044709912203</v>
      </c>
      <c r="S152" s="119">
        <f t="shared" si="150"/>
        <v>30517.565217757965</v>
      </c>
      <c r="T152" s="119">
        <f t="shared" si="150"/>
        <v>30433.689245412541</v>
      </c>
      <c r="U152" s="119">
        <f t="shared" si="150"/>
        <v>30344.22743196573</v>
      </c>
      <c r="V152" s="119">
        <f t="shared" si="150"/>
        <v>30638.771393398853</v>
      </c>
      <c r="W152" s="119">
        <f t="shared" si="150"/>
        <v>30923.001436662071</v>
      </c>
      <c r="X152" s="119">
        <f t="shared" si="150"/>
        <v>31263.233124822742</v>
      </c>
      <c r="Y152" s="119">
        <f t="shared" si="150"/>
        <v>31186.047928368334</v>
      </c>
      <c r="Z152" s="119">
        <f t="shared" si="149"/>
        <v>31190.274423454164</v>
      </c>
      <c r="AA152" s="119">
        <f t="shared" si="149"/>
        <v>31199.924121665317</v>
      </c>
      <c r="AB152" s="119">
        <f t="shared" si="149"/>
        <v>30939.578676318783</v>
      </c>
      <c r="AC152" s="119">
        <f t="shared" si="149"/>
        <v>30929.659307302583</v>
      </c>
      <c r="AD152" s="119">
        <f t="shared" si="149"/>
        <v>30929.460963866393</v>
      </c>
      <c r="AE152" s="119">
        <f t="shared" si="149"/>
        <v>30931.349050176759</v>
      </c>
      <c r="AF152" s="119">
        <f t="shared" si="149"/>
        <v>30932.776743447132</v>
      </c>
      <c r="AG152" s="119">
        <f t="shared" si="149"/>
        <v>30932.564948222331</v>
      </c>
      <c r="AH152" s="119">
        <f t="shared" si="149"/>
        <v>30665.087689032262</v>
      </c>
      <c r="AI152" s="119">
        <f t="shared" si="149"/>
        <v>30665.386196026444</v>
      </c>
      <c r="AJ152" s="119">
        <f t="shared" si="149"/>
        <v>30665.784589125236</v>
      </c>
      <c r="AK152" s="119">
        <f t="shared" si="149"/>
        <v>30665.887451992396</v>
      </c>
      <c r="AL152" s="119">
        <f t="shared" si="149"/>
        <v>30665.72616418267</v>
      </c>
      <c r="AM152" s="119">
        <f t="shared" si="149"/>
        <v>30665.574418071803</v>
      </c>
    </row>
    <row r="153" spans="1:39">
      <c r="A153" s="138" t="s">
        <v>138</v>
      </c>
      <c r="B153" s="138"/>
      <c r="C153" s="138"/>
      <c r="D153" s="138"/>
      <c r="E153" s="138"/>
      <c r="F153" s="138"/>
      <c r="G153" s="138"/>
      <c r="H153" s="138"/>
      <c r="I153" s="13">
        <f>Data!$Q12</f>
        <v>34438</v>
      </c>
      <c r="J153" s="13">
        <f>Data!$Q24</f>
        <v>34256</v>
      </c>
      <c r="K153" s="13">
        <f>Data!$Q36</f>
        <v>38386</v>
      </c>
      <c r="L153" s="13">
        <f>Data!$Q48</f>
        <v>39766</v>
      </c>
      <c r="M153" s="13">
        <f>Data!$Q60</f>
        <v>40166</v>
      </c>
      <c r="N153" s="119">
        <f t="shared" si="150"/>
        <v>31554.525959455033</v>
      </c>
      <c r="O153" s="119">
        <f t="shared" si="150"/>
        <v>33383.444170531569</v>
      </c>
      <c r="P153" s="119">
        <f t="shared" si="150"/>
        <v>36539.303932300056</v>
      </c>
      <c r="Q153" s="119">
        <f t="shared" si="150"/>
        <v>37240.06839646084</v>
      </c>
      <c r="R153" s="119">
        <f t="shared" si="150"/>
        <v>36357.845331418837</v>
      </c>
      <c r="S153" s="119">
        <f t="shared" si="150"/>
        <v>37645.275121078019</v>
      </c>
      <c r="T153" s="119">
        <f t="shared" si="150"/>
        <v>37698.31854789619</v>
      </c>
      <c r="U153" s="119">
        <f t="shared" si="150"/>
        <v>37589.681054289736</v>
      </c>
      <c r="V153" s="119">
        <f t="shared" si="150"/>
        <v>37798.188077352621</v>
      </c>
      <c r="W153" s="119">
        <f t="shared" si="150"/>
        <v>38124.479127476698</v>
      </c>
      <c r="X153" s="119">
        <f t="shared" si="150"/>
        <v>38625.888906093925</v>
      </c>
      <c r="Y153" s="119">
        <f t="shared" si="150"/>
        <v>38542.573432661557</v>
      </c>
      <c r="Z153" s="119">
        <f t="shared" si="149"/>
        <v>38530.504166481325</v>
      </c>
      <c r="AA153" s="119">
        <f t="shared" si="149"/>
        <v>38521.451440214747</v>
      </c>
      <c r="AB153" s="119">
        <f t="shared" si="149"/>
        <v>38206.05601833047</v>
      </c>
      <c r="AC153" s="119">
        <f t="shared" si="149"/>
        <v>38205.939535934514</v>
      </c>
      <c r="AD153" s="119">
        <f t="shared" si="149"/>
        <v>38204.122351747763</v>
      </c>
      <c r="AE153" s="119">
        <f t="shared" si="149"/>
        <v>38202.166388088139</v>
      </c>
      <c r="AF153" s="119">
        <f t="shared" si="149"/>
        <v>38202.222892424543</v>
      </c>
      <c r="AG153" s="119">
        <f t="shared" si="149"/>
        <v>38204.101437305086</v>
      </c>
      <c r="AH153" s="119">
        <f t="shared" si="149"/>
        <v>37875.076452101304</v>
      </c>
      <c r="AI153" s="119">
        <f t="shared" si="149"/>
        <v>37874.633722312974</v>
      </c>
      <c r="AJ153" s="119">
        <f t="shared" si="149"/>
        <v>37874.462931082853</v>
      </c>
      <c r="AK153" s="119">
        <f t="shared" si="149"/>
        <v>37874.647348741695</v>
      </c>
      <c r="AL153" s="119">
        <f t="shared" si="149"/>
        <v>37874.857943699331</v>
      </c>
      <c r="AM153" s="119">
        <f t="shared" si="149"/>
        <v>37874.735679587626</v>
      </c>
    </row>
    <row r="154" spans="1:39">
      <c r="A154" s="138" t="s">
        <v>139</v>
      </c>
      <c r="B154" s="138"/>
      <c r="C154" s="138"/>
      <c r="D154" s="138"/>
      <c r="E154" s="138"/>
      <c r="F154" s="138"/>
      <c r="G154" s="138"/>
      <c r="H154" s="138"/>
      <c r="I154" s="13">
        <f>Data!$Q13</f>
        <v>36924</v>
      </c>
      <c r="J154" s="13">
        <f>Data!$Q25</f>
        <v>33993</v>
      </c>
      <c r="K154" s="13">
        <f>Data!$Q37</f>
        <v>40485</v>
      </c>
      <c r="L154" s="13">
        <f>Data!$Q49</f>
        <v>36632</v>
      </c>
      <c r="M154" s="13">
        <f>Data!$Q61</f>
        <v>40549</v>
      </c>
      <c r="N154" s="119">
        <f t="shared" si="150"/>
        <v>31819.600715525783</v>
      </c>
      <c r="O154" s="119">
        <f t="shared" si="150"/>
        <v>33285.516917360103</v>
      </c>
      <c r="P154" s="119">
        <f t="shared" si="150"/>
        <v>36461.343268513498</v>
      </c>
      <c r="Q154" s="119">
        <f t="shared" si="150"/>
        <v>36778.53171525232</v>
      </c>
      <c r="R154" s="119">
        <f t="shared" si="150"/>
        <v>36340.826710281573</v>
      </c>
      <c r="S154" s="119">
        <f t="shared" si="150"/>
        <v>37561.551761378141</v>
      </c>
      <c r="T154" s="119">
        <f t="shared" si="150"/>
        <v>37544.715506922228</v>
      </c>
      <c r="U154" s="119">
        <f t="shared" si="150"/>
        <v>37428.8003617707</v>
      </c>
      <c r="V154" s="119">
        <f t="shared" si="150"/>
        <v>37620.523257861045</v>
      </c>
      <c r="W154" s="119">
        <f t="shared" si="150"/>
        <v>38003.661732793647</v>
      </c>
      <c r="X154" s="119">
        <f t="shared" si="150"/>
        <v>38483.398055587946</v>
      </c>
      <c r="Y154" s="119">
        <f t="shared" si="150"/>
        <v>38389.192810002067</v>
      </c>
      <c r="Z154" s="119">
        <f t="shared" si="149"/>
        <v>38377.895409844561</v>
      </c>
      <c r="AA154" s="119">
        <f t="shared" si="149"/>
        <v>38371.290537417859</v>
      </c>
      <c r="AB154" s="119">
        <f t="shared" si="149"/>
        <v>38063.147767503389</v>
      </c>
      <c r="AC154" s="119">
        <f t="shared" si="149"/>
        <v>38058.70620404162</v>
      </c>
      <c r="AD154" s="119">
        <f t="shared" si="149"/>
        <v>38055.630388915888</v>
      </c>
      <c r="AE154" s="119">
        <f t="shared" si="149"/>
        <v>38054.39421049779</v>
      </c>
      <c r="AF154" s="119">
        <f t="shared" si="149"/>
        <v>38055.162574235765</v>
      </c>
      <c r="AG154" s="119">
        <f t="shared" si="149"/>
        <v>38057.408229038883</v>
      </c>
      <c r="AH154" s="119">
        <f t="shared" si="149"/>
        <v>37728.894641162369</v>
      </c>
      <c r="AI154" s="119">
        <f t="shared" si="149"/>
        <v>37728.40883680102</v>
      </c>
      <c r="AJ154" s="119">
        <f t="shared" si="149"/>
        <v>37728.436674445496</v>
      </c>
      <c r="AK154" s="119">
        <f t="shared" si="149"/>
        <v>37728.716537211461</v>
      </c>
      <c r="AL154" s="119">
        <f t="shared" si="149"/>
        <v>37728.899838675577</v>
      </c>
      <c r="AM154" s="119">
        <f t="shared" si="149"/>
        <v>37728.671305659183</v>
      </c>
    </row>
    <row r="155" spans="1:39">
      <c r="A155" s="138" t="s">
        <v>140</v>
      </c>
      <c r="B155" s="138"/>
      <c r="C155" s="138"/>
      <c r="D155" s="138"/>
      <c r="E155" s="138"/>
      <c r="F155" s="138"/>
      <c r="G155" s="138"/>
      <c r="H155" s="138"/>
      <c r="I155" s="13">
        <f>Data!$Q14</f>
        <v>32181</v>
      </c>
      <c r="J155" s="13">
        <f>Data!$Q26</f>
        <v>34897</v>
      </c>
      <c r="K155" s="13">
        <f>Data!$Q38</f>
        <v>32433</v>
      </c>
      <c r="L155" s="13">
        <f>Data!$Q50</f>
        <v>40125</v>
      </c>
      <c r="M155" s="13">
        <f>Data!$Q62</f>
        <v>28132</v>
      </c>
      <c r="N155" s="119">
        <f t="shared" si="150"/>
        <v>28307.486745053084</v>
      </c>
      <c r="O155" s="119">
        <f t="shared" si="150"/>
        <v>29726.570466687899</v>
      </c>
      <c r="P155" s="119">
        <f t="shared" si="150"/>
        <v>31746.677351290327</v>
      </c>
      <c r="Q155" s="119">
        <f t="shared" si="150"/>
        <v>32516.382171848531</v>
      </c>
      <c r="R155" s="119">
        <f t="shared" si="150"/>
        <v>30859.06949452429</v>
      </c>
      <c r="S155" s="119">
        <f t="shared" si="150"/>
        <v>32932.175254961025</v>
      </c>
      <c r="T155" s="119">
        <f t="shared" si="150"/>
        <v>32832.185656794602</v>
      </c>
      <c r="U155" s="119">
        <f t="shared" si="150"/>
        <v>32605.377338245842</v>
      </c>
      <c r="V155" s="119">
        <f t="shared" si="150"/>
        <v>32775.618703933382</v>
      </c>
      <c r="W155" s="119">
        <f t="shared" si="150"/>
        <v>33012.75971545239</v>
      </c>
      <c r="X155" s="119">
        <f t="shared" si="150"/>
        <v>33574.549536384722</v>
      </c>
      <c r="Y155" s="119">
        <f t="shared" si="150"/>
        <v>33459.493617285865</v>
      </c>
      <c r="Z155" s="119">
        <f t="shared" si="149"/>
        <v>33427.676729599632</v>
      </c>
      <c r="AA155" s="119">
        <f t="shared" si="149"/>
        <v>33421.044193718713</v>
      </c>
      <c r="AB155" s="119">
        <f t="shared" si="149"/>
        <v>33150.969057447757</v>
      </c>
      <c r="AC155" s="119">
        <f t="shared" si="149"/>
        <v>33164.255297827891</v>
      </c>
      <c r="AD155" s="119">
        <f t="shared" si="149"/>
        <v>33153.572565932438</v>
      </c>
      <c r="AE155" s="119">
        <f t="shared" si="149"/>
        <v>33149.440976298632</v>
      </c>
      <c r="AF155" s="119">
        <f t="shared" si="149"/>
        <v>33150.822744705838</v>
      </c>
      <c r="AG155" s="119">
        <f t="shared" si="149"/>
        <v>33153.812128442536</v>
      </c>
      <c r="AH155" s="119">
        <f t="shared" si="149"/>
        <v>32869.181768511262</v>
      </c>
      <c r="AI155" s="119">
        <f t="shared" si="149"/>
        <v>32867.220471681903</v>
      </c>
      <c r="AJ155" s="119">
        <f t="shared" si="149"/>
        <v>32866.987656160592</v>
      </c>
      <c r="AK155" s="119">
        <f t="shared" si="149"/>
        <v>32867.531093272992</v>
      </c>
      <c r="AL155" s="119">
        <f t="shared" si="149"/>
        <v>32867.909037431717</v>
      </c>
      <c r="AM155" s="119">
        <f t="shared" si="149"/>
        <v>32867.766005411744</v>
      </c>
    </row>
    <row r="156" spans="1:39" ht="12" thickBot="1">
      <c r="A156" s="138" t="s">
        <v>141</v>
      </c>
      <c r="B156" s="138"/>
      <c r="C156" s="138"/>
      <c r="D156" s="138"/>
      <c r="E156" s="138"/>
      <c r="F156" s="138"/>
      <c r="G156" s="138"/>
      <c r="H156" s="138"/>
      <c r="I156" s="13">
        <f>SUM(I144:I155)</f>
        <v>397021</v>
      </c>
      <c r="J156" s="13">
        <f>SUM(J144:J155)</f>
        <v>387868</v>
      </c>
      <c r="K156" s="13">
        <f>SUM(K144:K155)</f>
        <v>333566</v>
      </c>
      <c r="L156" s="13">
        <f>SUM(L144:L155)</f>
        <v>456033</v>
      </c>
      <c r="M156" s="13">
        <f>SUM(M144:M155)</f>
        <v>431729</v>
      </c>
      <c r="N156" s="119">
        <f t="shared" ref="N156:V156" si="151">N8*$I$122</f>
        <v>338508.9</v>
      </c>
      <c r="O156" s="119">
        <f t="shared" si="151"/>
        <v>353378.8</v>
      </c>
      <c r="P156" s="119">
        <f t="shared" si="151"/>
        <v>382243.9</v>
      </c>
      <c r="Q156" s="119">
        <f t="shared" si="151"/>
        <v>401487.3</v>
      </c>
      <c r="R156" s="119">
        <f t="shared" si="151"/>
        <v>387492.10000000003</v>
      </c>
      <c r="S156" s="119">
        <f t="shared" si="151"/>
        <v>400612.60000000003</v>
      </c>
      <c r="T156" s="119">
        <f t="shared" si="151"/>
        <v>400612.60000000003</v>
      </c>
      <c r="U156" s="119">
        <f t="shared" si="151"/>
        <v>399737.9</v>
      </c>
      <c r="V156" s="119">
        <f t="shared" si="151"/>
        <v>403236.7</v>
      </c>
      <c r="W156" s="119">
        <f>W8*$I$122</f>
        <v>405860.8</v>
      </c>
      <c r="X156" s="119">
        <f>X8*$I$122</f>
        <v>411109</v>
      </c>
      <c r="Y156" s="119">
        <f>Y8*$I$122</f>
        <v>410234.3</v>
      </c>
      <c r="Z156" s="119">
        <f t="shared" ref="Z156:AK156" si="152">Z8*$I$122</f>
        <v>410234.3</v>
      </c>
      <c r="AA156" s="119">
        <f t="shared" si="152"/>
        <v>410234.3</v>
      </c>
      <c r="AB156" s="119">
        <f t="shared" si="152"/>
        <v>406735.5</v>
      </c>
      <c r="AC156" s="119">
        <f t="shared" si="152"/>
        <v>406735.5</v>
      </c>
      <c r="AD156" s="119">
        <f t="shared" si="152"/>
        <v>406735.5</v>
      </c>
      <c r="AE156" s="119">
        <f t="shared" si="152"/>
        <v>406735.5</v>
      </c>
      <c r="AF156" s="119">
        <f t="shared" si="152"/>
        <v>406735.5</v>
      </c>
      <c r="AG156" s="119">
        <f t="shared" si="152"/>
        <v>406735.5</v>
      </c>
      <c r="AH156" s="119">
        <f t="shared" si="152"/>
        <v>403236.7</v>
      </c>
      <c r="AI156" s="119">
        <f t="shared" si="152"/>
        <v>403236.7</v>
      </c>
      <c r="AJ156" s="119">
        <f t="shared" si="152"/>
        <v>403236.7</v>
      </c>
      <c r="AK156" s="119">
        <f t="shared" si="152"/>
        <v>403236.7</v>
      </c>
      <c r="AL156" s="119">
        <f>AL8*$I$122</f>
        <v>403236.7</v>
      </c>
      <c r="AM156" s="119">
        <f>AM8*$I$122</f>
        <v>403236.7</v>
      </c>
    </row>
    <row r="157" spans="1:39">
      <c r="A157" s="199"/>
      <c r="B157" s="199"/>
      <c r="C157" s="199"/>
      <c r="D157" s="199"/>
      <c r="E157" s="199"/>
      <c r="F157" s="199"/>
      <c r="G157" s="199"/>
      <c r="H157" s="199"/>
      <c r="I157" s="199"/>
      <c r="J157" s="199"/>
      <c r="K157" s="199"/>
      <c r="L157" s="199">
        <f>(L156/K156)-1</f>
        <v>0.36714473297638239</v>
      </c>
      <c r="M157" s="199">
        <f>(M156/L156)-1</f>
        <v>-5.3294388783267865E-2</v>
      </c>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row>
    <row r="159" spans="1:39">
      <c r="A159" s="138" t="s">
        <v>237</v>
      </c>
      <c r="B159" s="138"/>
      <c r="C159" s="138"/>
      <c r="D159" s="138"/>
      <c r="E159" s="138"/>
      <c r="F159" s="138"/>
      <c r="G159" s="138"/>
      <c r="H159" s="138"/>
    </row>
    <row r="160" spans="1:39" ht="12" thickBot="1">
      <c r="A160" s="138" t="s">
        <v>144</v>
      </c>
      <c r="B160" s="138"/>
      <c r="C160" s="138"/>
      <c r="D160" s="138"/>
      <c r="E160" s="138"/>
      <c r="F160" s="138"/>
      <c r="G160" s="138"/>
      <c r="H160" s="138"/>
    </row>
    <row r="161" spans="1:40" ht="12" thickBot="1">
      <c r="A161" s="176"/>
      <c r="B161" s="177">
        <f t="shared" ref="B161:AK161" si="153">B2</f>
        <v>2013</v>
      </c>
      <c r="C161" s="177">
        <f t="shared" si="153"/>
        <v>2014</v>
      </c>
      <c r="D161" s="177">
        <f t="shared" si="153"/>
        <v>2015</v>
      </c>
      <c r="E161" s="177">
        <f t="shared" si="153"/>
        <v>2016</v>
      </c>
      <c r="F161" s="177">
        <f t="shared" si="153"/>
        <v>2017</v>
      </c>
      <c r="G161" s="177">
        <f t="shared" si="153"/>
        <v>2018</v>
      </c>
      <c r="H161" s="177">
        <f t="shared" si="153"/>
        <v>2019</v>
      </c>
      <c r="I161" s="177">
        <f t="shared" si="153"/>
        <v>2020</v>
      </c>
      <c r="J161" s="177">
        <f t="shared" si="153"/>
        <v>2021</v>
      </c>
      <c r="K161" s="177">
        <f t="shared" si="153"/>
        <v>2022</v>
      </c>
      <c r="L161" s="177">
        <f t="shared" si="153"/>
        <v>2023</v>
      </c>
      <c r="M161" s="177">
        <f t="shared" si="153"/>
        <v>2024</v>
      </c>
      <c r="N161" s="177">
        <f t="shared" si="153"/>
        <v>2025</v>
      </c>
      <c r="O161" s="177">
        <f t="shared" si="153"/>
        <v>2026</v>
      </c>
      <c r="P161" s="177">
        <f t="shared" si="153"/>
        <v>2027</v>
      </c>
      <c r="Q161" s="177">
        <f t="shared" si="153"/>
        <v>2028</v>
      </c>
      <c r="R161" s="177">
        <f t="shared" si="153"/>
        <v>2029</v>
      </c>
      <c r="S161" s="177">
        <f t="shared" si="153"/>
        <v>2030</v>
      </c>
      <c r="T161" s="177">
        <f t="shared" si="153"/>
        <v>2031</v>
      </c>
      <c r="U161" s="177">
        <f t="shared" si="153"/>
        <v>2032</v>
      </c>
      <c r="V161" s="177">
        <f t="shared" si="153"/>
        <v>2033</v>
      </c>
      <c r="W161" s="177">
        <f t="shared" si="153"/>
        <v>2034</v>
      </c>
      <c r="X161" s="177">
        <f t="shared" si="153"/>
        <v>2035</v>
      </c>
      <c r="Y161" s="177">
        <f t="shared" si="153"/>
        <v>2036</v>
      </c>
      <c r="Z161" s="177">
        <f t="shared" si="153"/>
        <v>2037</v>
      </c>
      <c r="AA161" s="177">
        <f t="shared" si="153"/>
        <v>2038</v>
      </c>
      <c r="AB161" s="177">
        <f t="shared" si="153"/>
        <v>2039</v>
      </c>
      <c r="AC161" s="177">
        <f t="shared" si="153"/>
        <v>2040</v>
      </c>
      <c r="AD161" s="177">
        <f t="shared" si="153"/>
        <v>2041</v>
      </c>
      <c r="AE161" s="177">
        <f t="shared" si="153"/>
        <v>2042</v>
      </c>
      <c r="AF161" s="177">
        <f t="shared" si="153"/>
        <v>2043</v>
      </c>
      <c r="AG161" s="177">
        <f t="shared" si="153"/>
        <v>2044</v>
      </c>
      <c r="AH161" s="177">
        <f t="shared" si="153"/>
        <v>2045</v>
      </c>
      <c r="AI161" s="177">
        <f t="shared" si="153"/>
        <v>2046</v>
      </c>
      <c r="AJ161" s="177">
        <f t="shared" si="153"/>
        <v>2047</v>
      </c>
      <c r="AK161" s="177">
        <f t="shared" si="153"/>
        <v>2048</v>
      </c>
      <c r="AL161" s="177">
        <f>AL2</f>
        <v>2049</v>
      </c>
      <c r="AM161" s="177">
        <f>AM2</f>
        <v>2050</v>
      </c>
    </row>
    <row r="162" spans="1:40">
      <c r="A162" s="138" t="s">
        <v>129</v>
      </c>
      <c r="B162" s="138"/>
      <c r="C162" s="138"/>
      <c r="D162" s="138"/>
      <c r="E162" s="138"/>
      <c r="F162" s="138"/>
      <c r="G162" s="138"/>
      <c r="H162" s="138"/>
      <c r="I162" s="13">
        <v>33038</v>
      </c>
      <c r="J162" s="13">
        <v>28724</v>
      </c>
      <c r="K162" s="13">
        <v>24973</v>
      </c>
      <c r="L162" s="13">
        <v>36867</v>
      </c>
      <c r="M162" s="235">
        <v>44804</v>
      </c>
      <c r="N162" s="118">
        <f>N$174*(SUM(I162:M162)/SUM(I$174:M$174))</f>
        <v>61084.311169413624</v>
      </c>
      <c r="O162" s="118">
        <f t="shared" ref="O162:Y172" si="154">O$174*(SUM(J162:N162)/SUM(J$174:N$174))</f>
        <v>68379.920364091566</v>
      </c>
      <c r="P162" s="118">
        <f t="shared" si="154"/>
        <v>84406.282409613283</v>
      </c>
      <c r="Q162" s="118">
        <f t="shared" si="154"/>
        <v>91975.095808341328</v>
      </c>
      <c r="R162" s="118">
        <f t="shared" si="154"/>
        <v>88072.805619889725</v>
      </c>
      <c r="S162" s="118">
        <f t="shared" si="154"/>
        <v>95158.097503505836</v>
      </c>
      <c r="T162" s="118">
        <f t="shared" si="154"/>
        <v>95082.462334037584</v>
      </c>
      <c r="U162" s="118">
        <f t="shared" si="154"/>
        <v>94175.064785258073</v>
      </c>
      <c r="V162" s="118">
        <f t="shared" si="154"/>
        <v>95568.034614062693</v>
      </c>
      <c r="W162" s="118">
        <f t="shared" si="154"/>
        <v>95783.739090288218</v>
      </c>
      <c r="X162" s="118">
        <f t="shared" si="154"/>
        <v>97978.410867864121</v>
      </c>
      <c r="Y162" s="118">
        <f t="shared" si="154"/>
        <v>97558.986362694719</v>
      </c>
      <c r="Z162" s="118">
        <f t="shared" ref="Z162:Z172" si="155">Z$174*(SUM(U162:Y162)/SUM(U$174:Y$174))</f>
        <v>97487.669706807996</v>
      </c>
      <c r="AA162" s="118">
        <f t="shared" ref="AA162:AM172" si="156">AA$174*(SUM(V162:Z162)/SUM(V$174:Z$174))</f>
        <v>97478.689817779683</v>
      </c>
      <c r="AB162" s="118">
        <f t="shared" si="156"/>
        <v>96511.546463291641</v>
      </c>
      <c r="AC162" s="118">
        <f t="shared" si="156"/>
        <v>96554.013116462374</v>
      </c>
      <c r="AD162" s="118">
        <f t="shared" si="156"/>
        <v>96517.886796573322</v>
      </c>
      <c r="AE162" s="118">
        <f t="shared" si="156"/>
        <v>96509.798519060976</v>
      </c>
      <c r="AF162" s="118">
        <f t="shared" si="156"/>
        <v>96514.296287428922</v>
      </c>
      <c r="AG162" s="118">
        <f t="shared" si="156"/>
        <v>96521.50823656343</v>
      </c>
      <c r="AH162" s="118">
        <f t="shared" si="156"/>
        <v>95522.951904708854</v>
      </c>
      <c r="AI162" s="118">
        <f t="shared" si="156"/>
        <v>95516.900110942923</v>
      </c>
      <c r="AJ162" s="118">
        <f t="shared" si="156"/>
        <v>95516.800459572798</v>
      </c>
      <c r="AK162" s="118">
        <f t="shared" si="156"/>
        <v>95518.291451480429</v>
      </c>
      <c r="AL162" s="118">
        <f t="shared" si="156"/>
        <v>95519.188579091744</v>
      </c>
      <c r="AM162" s="118">
        <f t="shared" si="156"/>
        <v>95518.826501159361</v>
      </c>
      <c r="AN162" s="13"/>
    </row>
    <row r="163" spans="1:40">
      <c r="A163" s="138" t="s">
        <v>130</v>
      </c>
      <c r="B163" s="138"/>
      <c r="C163" s="138"/>
      <c r="D163" s="138"/>
      <c r="E163" s="138"/>
      <c r="F163" s="138"/>
      <c r="G163" s="138"/>
      <c r="H163" s="138"/>
      <c r="I163" s="13">
        <v>33315</v>
      </c>
      <c r="J163" s="13">
        <v>31074</v>
      </c>
      <c r="K163" s="13">
        <v>18216</v>
      </c>
      <c r="L163" s="13">
        <v>38008</v>
      </c>
      <c r="M163" s="235">
        <v>64489</v>
      </c>
      <c r="N163" s="118">
        <f t="shared" ref="N163:N172" si="157">N$174*(SUM(I163:M163)/SUM(I$174:M$174))</f>
        <v>67140.292899782668</v>
      </c>
      <c r="O163" s="118">
        <f t="shared" si="154"/>
        <v>76202.874707355746</v>
      </c>
      <c r="P163" s="118">
        <f t="shared" si="154"/>
        <v>94397.384243189765</v>
      </c>
      <c r="Q163" s="118">
        <f t="shared" si="154"/>
        <v>105884.89248604284</v>
      </c>
      <c r="R163" s="118">
        <f t="shared" si="154"/>
        <v>102506.2715802919</v>
      </c>
      <c r="S163" s="118">
        <f t="shared" si="154"/>
        <v>107771.16191073069</v>
      </c>
      <c r="T163" s="118">
        <f t="shared" si="154"/>
        <v>108138.85150844765</v>
      </c>
      <c r="U163" s="118">
        <f t="shared" si="154"/>
        <v>107431.35110814986</v>
      </c>
      <c r="V163" s="118">
        <f t="shared" si="154"/>
        <v>109409.30740055317</v>
      </c>
      <c r="W163" s="118">
        <f t="shared" si="154"/>
        <v>109535.74039179774</v>
      </c>
      <c r="X163" s="118">
        <f t="shared" si="154"/>
        <v>111677.17901885751</v>
      </c>
      <c r="Y163" s="118">
        <f t="shared" si="154"/>
        <v>111340.05005189442</v>
      </c>
      <c r="Z163" s="118">
        <f t="shared" si="155"/>
        <v>111334.62137859162</v>
      </c>
      <c r="AA163" s="118">
        <f t="shared" si="156"/>
        <v>111348.54558567953</v>
      </c>
      <c r="AB163" s="118">
        <f t="shared" si="156"/>
        <v>110195.50911070118</v>
      </c>
      <c r="AC163" s="118">
        <f t="shared" si="156"/>
        <v>110210.04917530055</v>
      </c>
      <c r="AD163" s="118">
        <f t="shared" si="156"/>
        <v>110200.36242217054</v>
      </c>
      <c r="AE163" s="118">
        <f t="shared" si="156"/>
        <v>110200.88693417376</v>
      </c>
      <c r="AF163" s="118">
        <f t="shared" si="156"/>
        <v>110202.60179025748</v>
      </c>
      <c r="AG163" s="118">
        <f t="shared" si="156"/>
        <v>110201.8818865207</v>
      </c>
      <c r="AH163" s="118">
        <f t="shared" si="156"/>
        <v>109060.80641550972</v>
      </c>
      <c r="AI163" s="118">
        <f t="shared" si="156"/>
        <v>109059.43932438918</v>
      </c>
      <c r="AJ163" s="118">
        <f t="shared" si="156"/>
        <v>109059.72008170318</v>
      </c>
      <c r="AK163" s="118">
        <f t="shared" si="156"/>
        <v>109059.9534628839</v>
      </c>
      <c r="AL163" s="118">
        <f t="shared" si="156"/>
        <v>109059.89214426084</v>
      </c>
      <c r="AM163" s="118">
        <f t="shared" si="156"/>
        <v>109059.96228574937</v>
      </c>
      <c r="AN163" s="13"/>
    </row>
    <row r="164" spans="1:40">
      <c r="A164" s="138" t="s">
        <v>131</v>
      </c>
      <c r="B164" s="138"/>
      <c r="C164" s="138"/>
      <c r="D164" s="138"/>
      <c r="E164" s="138"/>
      <c r="F164" s="138"/>
      <c r="G164" s="138"/>
      <c r="H164" s="138"/>
      <c r="I164" s="13">
        <v>33825</v>
      </c>
      <c r="J164" s="13">
        <v>37000</v>
      </c>
      <c r="K164" s="13">
        <v>28723</v>
      </c>
      <c r="L164" s="13">
        <v>41714</v>
      </c>
      <c r="M164" s="235">
        <v>110724</v>
      </c>
      <c r="N164" s="118">
        <f t="shared" si="157"/>
        <v>91400.491872830316</v>
      </c>
      <c r="O164" s="118">
        <f t="shared" si="154"/>
        <v>107750.27301052801</v>
      </c>
      <c r="P164" s="118">
        <f t="shared" si="154"/>
        <v>135957.57344820868</v>
      </c>
      <c r="Q164" s="118">
        <f t="shared" si="154"/>
        <v>151728.67114595082</v>
      </c>
      <c r="R164" s="118">
        <f t="shared" si="154"/>
        <v>150089.64268074278</v>
      </c>
      <c r="S164" s="118">
        <f t="shared" si="154"/>
        <v>153861.11972328342</v>
      </c>
      <c r="T164" s="118">
        <f t="shared" si="154"/>
        <v>155375.4120830936</v>
      </c>
      <c r="U164" s="118">
        <f t="shared" si="154"/>
        <v>154719.05919500918</v>
      </c>
      <c r="V164" s="118">
        <f t="shared" si="154"/>
        <v>157565.67079739843</v>
      </c>
      <c r="W164" s="118">
        <f t="shared" si="154"/>
        <v>157903.55032593646</v>
      </c>
      <c r="X164" s="118">
        <f t="shared" si="154"/>
        <v>160512.89926858657</v>
      </c>
      <c r="Y164" s="118">
        <f t="shared" si="154"/>
        <v>160239.87581236043</v>
      </c>
      <c r="Z164" s="118">
        <f t="shared" si="155"/>
        <v>160284.20872087634</v>
      </c>
      <c r="AA164" s="118">
        <f t="shared" si="156"/>
        <v>160293.33934498864</v>
      </c>
      <c r="AB164" s="118">
        <f t="shared" si="156"/>
        <v>158620.77016929712</v>
      </c>
      <c r="AC164" s="118">
        <f t="shared" si="156"/>
        <v>158595.60848733466</v>
      </c>
      <c r="AD164" s="118">
        <f t="shared" si="156"/>
        <v>158620.21991292623</v>
      </c>
      <c r="AE164" s="118">
        <f t="shared" si="156"/>
        <v>158625.11529977151</v>
      </c>
      <c r="AF164" s="118">
        <f t="shared" si="156"/>
        <v>158622.15975655403</v>
      </c>
      <c r="AG164" s="118">
        <f t="shared" si="156"/>
        <v>158616.77472517671</v>
      </c>
      <c r="AH164" s="118">
        <f t="shared" si="156"/>
        <v>156971.78530850282</v>
      </c>
      <c r="AI164" s="118">
        <f t="shared" si="156"/>
        <v>156975.82488846121</v>
      </c>
      <c r="AJ164" s="118">
        <f t="shared" si="156"/>
        <v>156975.79261443077</v>
      </c>
      <c r="AK164" s="118">
        <f t="shared" si="156"/>
        <v>156974.77878549643</v>
      </c>
      <c r="AL164" s="118">
        <f t="shared" si="156"/>
        <v>156974.14824875214</v>
      </c>
      <c r="AM164" s="118">
        <f t="shared" si="156"/>
        <v>156974.46596912868</v>
      </c>
      <c r="AN164" s="13"/>
    </row>
    <row r="165" spans="1:40">
      <c r="A165" s="138" t="s">
        <v>132</v>
      </c>
      <c r="B165" s="138"/>
      <c r="C165" s="138"/>
      <c r="D165" s="138"/>
      <c r="E165" s="138"/>
      <c r="F165" s="138"/>
      <c r="G165" s="138"/>
      <c r="H165" s="138"/>
      <c r="I165" s="13">
        <v>36941</v>
      </c>
      <c r="J165" s="13">
        <v>35969</v>
      </c>
      <c r="K165" s="13">
        <v>27822</v>
      </c>
      <c r="L165" s="13">
        <v>36962</v>
      </c>
      <c r="M165" s="235">
        <v>92393</v>
      </c>
      <c r="N165" s="118">
        <f t="shared" si="157"/>
        <v>83457.275299198795</v>
      </c>
      <c r="O165" s="118">
        <f t="shared" si="154"/>
        <v>96278.378324066871</v>
      </c>
      <c r="P165" s="118">
        <f t="shared" si="154"/>
        <v>120442.83422224576</v>
      </c>
      <c r="Q165" s="118">
        <f t="shared" si="154"/>
        <v>133674.56629150765</v>
      </c>
      <c r="R165" s="118">
        <f t="shared" si="154"/>
        <v>132177.43623640435</v>
      </c>
      <c r="S165" s="118">
        <f t="shared" si="154"/>
        <v>136734.8732405288</v>
      </c>
      <c r="T165" s="118">
        <f t="shared" si="154"/>
        <v>137585.07221792606</v>
      </c>
      <c r="U165" s="118">
        <f t="shared" si="154"/>
        <v>136824.6296618951</v>
      </c>
      <c r="V165" s="118">
        <f t="shared" si="154"/>
        <v>139298.84423084345</v>
      </c>
      <c r="W165" s="118">
        <f t="shared" si="154"/>
        <v>139692.50045334204</v>
      </c>
      <c r="X165" s="118">
        <f t="shared" si="154"/>
        <v>142124.9563190616</v>
      </c>
      <c r="Y165" s="118">
        <f t="shared" si="154"/>
        <v>141781.34994386745</v>
      </c>
      <c r="Z165" s="118">
        <f t="shared" si="155"/>
        <v>141798.72356627526</v>
      </c>
      <c r="AA165" s="118">
        <f t="shared" si="156"/>
        <v>141817.01836920634</v>
      </c>
      <c r="AB165" s="118">
        <f t="shared" si="156"/>
        <v>140358.06051943795</v>
      </c>
      <c r="AC165" s="118">
        <f t="shared" si="156"/>
        <v>140341.92529545611</v>
      </c>
      <c r="AD165" s="118">
        <f t="shared" si="156"/>
        <v>140346.52841518365</v>
      </c>
      <c r="AE165" s="118">
        <f t="shared" si="156"/>
        <v>140350.50997509155</v>
      </c>
      <c r="AF165" s="118">
        <f t="shared" si="156"/>
        <v>140351.83513857424</v>
      </c>
      <c r="AG165" s="118">
        <f t="shared" si="156"/>
        <v>140349.77186874871</v>
      </c>
      <c r="AH165" s="118">
        <f t="shared" si="156"/>
        <v>138893.28582845556</v>
      </c>
      <c r="AI165" s="118">
        <f t="shared" si="156"/>
        <v>138894.51331133751</v>
      </c>
      <c r="AJ165" s="118">
        <f t="shared" si="156"/>
        <v>138895.07499405212</v>
      </c>
      <c r="AK165" s="118">
        <f t="shared" si="156"/>
        <v>138894.95789857747</v>
      </c>
      <c r="AL165" s="118">
        <f t="shared" si="156"/>
        <v>138894.55246474402</v>
      </c>
      <c r="AM165" s="118">
        <f t="shared" si="156"/>
        <v>138894.47689943333</v>
      </c>
      <c r="AN165" s="13"/>
    </row>
    <row r="166" spans="1:40">
      <c r="A166" s="138" t="s">
        <v>133</v>
      </c>
      <c r="B166" s="138"/>
      <c r="C166" s="138"/>
      <c r="D166" s="138"/>
      <c r="E166" s="138"/>
      <c r="F166" s="138"/>
      <c r="G166" s="138"/>
      <c r="H166" s="138"/>
      <c r="I166" s="13">
        <v>42008</v>
      </c>
      <c r="J166" s="13">
        <v>32469</v>
      </c>
      <c r="K166" s="13">
        <v>27021</v>
      </c>
      <c r="L166" s="13">
        <v>44267</v>
      </c>
      <c r="M166" s="235">
        <v>98861</v>
      </c>
      <c r="N166" s="118">
        <f t="shared" si="157"/>
        <v>88730.868877171699</v>
      </c>
      <c r="O166" s="118">
        <f t="shared" si="154"/>
        <v>101410.93445731349</v>
      </c>
      <c r="P166" s="118">
        <f t="shared" si="154"/>
        <v>128800.28408294405</v>
      </c>
      <c r="Q166" s="118">
        <f t="shared" si="154"/>
        <v>143800.23974759187</v>
      </c>
      <c r="R166" s="118">
        <f t="shared" si="154"/>
        <v>141058.13693603381</v>
      </c>
      <c r="S166" s="118">
        <f t="shared" si="154"/>
        <v>145858.89157130578</v>
      </c>
      <c r="T166" s="118">
        <f t="shared" si="154"/>
        <v>146831.4322101748</v>
      </c>
      <c r="U166" s="118">
        <f t="shared" si="154"/>
        <v>146296.96583495958</v>
      </c>
      <c r="V166" s="118">
        <f t="shared" si="154"/>
        <v>148938.51467812189</v>
      </c>
      <c r="W166" s="118">
        <f t="shared" si="154"/>
        <v>149180.30808357894</v>
      </c>
      <c r="X166" s="118">
        <f t="shared" si="154"/>
        <v>151797.88650028195</v>
      </c>
      <c r="Y166" s="118">
        <f t="shared" si="154"/>
        <v>151468.00830809533</v>
      </c>
      <c r="Z166" s="118">
        <f t="shared" si="155"/>
        <v>151517.6967759874</v>
      </c>
      <c r="AA166" s="118">
        <f t="shared" si="156"/>
        <v>151518.26997728788</v>
      </c>
      <c r="AB166" s="118">
        <f t="shared" si="156"/>
        <v>149937.54340966904</v>
      </c>
      <c r="AC166" s="118">
        <f t="shared" si="156"/>
        <v>149929.47643379567</v>
      </c>
      <c r="AD166" s="118">
        <f t="shared" si="156"/>
        <v>149941.63496290171</v>
      </c>
      <c r="AE166" s="118">
        <f t="shared" si="156"/>
        <v>149947.19192548236</v>
      </c>
      <c r="AF166" s="118">
        <f t="shared" si="156"/>
        <v>149943.96384097601</v>
      </c>
      <c r="AG166" s="118">
        <f t="shared" si="156"/>
        <v>149939.96211456493</v>
      </c>
      <c r="AH166" s="118">
        <f t="shared" si="156"/>
        <v>148386.18481821724</v>
      </c>
      <c r="AI166" s="118">
        <f t="shared" si="156"/>
        <v>148388.36047158</v>
      </c>
      <c r="AJ166" s="118">
        <f t="shared" si="156"/>
        <v>148388.56107778609</v>
      </c>
      <c r="AK166" s="118">
        <f t="shared" si="156"/>
        <v>148387.69571936145</v>
      </c>
      <c r="AL166" s="118">
        <f t="shared" si="156"/>
        <v>148387.29830021822</v>
      </c>
      <c r="AM166" s="118">
        <f t="shared" si="156"/>
        <v>148387.6200774326</v>
      </c>
      <c r="AN166" s="13"/>
    </row>
    <row r="167" spans="1:40">
      <c r="A167" s="138" t="s">
        <v>134</v>
      </c>
      <c r="B167" s="138"/>
      <c r="C167" s="138"/>
      <c r="D167" s="138"/>
      <c r="E167" s="138"/>
      <c r="F167" s="138"/>
      <c r="G167" s="138"/>
      <c r="H167" s="138"/>
      <c r="I167" s="13">
        <v>38366</v>
      </c>
      <c r="J167" s="13">
        <v>41464</v>
      </c>
      <c r="K167" s="13">
        <v>29387</v>
      </c>
      <c r="L167" s="13">
        <v>49227</v>
      </c>
      <c r="M167" s="235">
        <v>131945</v>
      </c>
      <c r="N167" s="118">
        <f t="shared" si="157"/>
        <v>105330.04783781369</v>
      </c>
      <c r="O167" s="118">
        <f t="shared" si="154"/>
        <v>124385.26585692618</v>
      </c>
      <c r="P167" s="118">
        <f t="shared" si="154"/>
        <v>157393.57250720577</v>
      </c>
      <c r="Q167" s="118">
        <f t="shared" si="154"/>
        <v>176853.96632478773</v>
      </c>
      <c r="R167" s="118">
        <f t="shared" si="154"/>
        <v>174791.45939556177</v>
      </c>
      <c r="S167" s="118">
        <f t="shared" si="154"/>
        <v>178459.42738870511</v>
      </c>
      <c r="T167" s="118">
        <f t="shared" si="154"/>
        <v>180367.53989094269</v>
      </c>
      <c r="U167" s="118">
        <f t="shared" si="154"/>
        <v>179749.89740569866</v>
      </c>
      <c r="V167" s="118">
        <f t="shared" si="154"/>
        <v>183172.17583701928</v>
      </c>
      <c r="W167" s="118">
        <f t="shared" si="154"/>
        <v>183469.31999816853</v>
      </c>
      <c r="X167" s="118">
        <f t="shared" si="154"/>
        <v>186418.52460690885</v>
      </c>
      <c r="Y167" s="118">
        <f t="shared" si="154"/>
        <v>186149.0902709988</v>
      </c>
      <c r="Z167" s="118">
        <f t="shared" si="155"/>
        <v>186227.04746168916</v>
      </c>
      <c r="AA167" s="118">
        <f t="shared" si="156"/>
        <v>186239.9203260091</v>
      </c>
      <c r="AB167" s="118">
        <f t="shared" si="156"/>
        <v>184276.47905584899</v>
      </c>
      <c r="AC167" s="118">
        <f t="shared" si="156"/>
        <v>184242.07997111217</v>
      </c>
      <c r="AD167" s="118">
        <f t="shared" si="156"/>
        <v>184280.78658308493</v>
      </c>
      <c r="AE167" s="118">
        <f t="shared" si="156"/>
        <v>184289.136833853</v>
      </c>
      <c r="AF167" s="118">
        <f t="shared" si="156"/>
        <v>184283.62904971288</v>
      </c>
      <c r="AG167" s="118">
        <f t="shared" si="156"/>
        <v>184274.42229872238</v>
      </c>
      <c r="AH167" s="118">
        <f t="shared" si="156"/>
        <v>182363.85312581595</v>
      </c>
      <c r="AI167" s="118">
        <f t="shared" si="156"/>
        <v>182370.18625232935</v>
      </c>
      <c r="AJ167" s="118">
        <f t="shared" si="156"/>
        <v>182370.11148752671</v>
      </c>
      <c r="AK167" s="118">
        <f t="shared" si="156"/>
        <v>182368.35843799417</v>
      </c>
      <c r="AL167" s="118">
        <f t="shared" si="156"/>
        <v>182367.34743599847</v>
      </c>
      <c r="AM167" s="118">
        <f t="shared" si="156"/>
        <v>182367.97134793294</v>
      </c>
      <c r="AN167" s="13"/>
    </row>
    <row r="168" spans="1:40">
      <c r="A168" s="138" t="s">
        <v>135</v>
      </c>
      <c r="B168" s="138"/>
      <c r="C168" s="138"/>
      <c r="D168" s="138"/>
      <c r="E168" s="138"/>
      <c r="F168" s="138"/>
      <c r="G168" s="138"/>
      <c r="H168" s="138"/>
      <c r="I168" s="13">
        <v>46996</v>
      </c>
      <c r="J168" s="13">
        <v>39595</v>
      </c>
      <c r="K168" s="13">
        <v>29750</v>
      </c>
      <c r="L168" s="13">
        <v>49955</v>
      </c>
      <c r="M168" s="235">
        <v>106971</v>
      </c>
      <c r="N168" s="118">
        <f t="shared" si="157"/>
        <v>99119.547167750279</v>
      </c>
      <c r="O168" s="118">
        <f t="shared" si="154"/>
        <v>113259.95387944899</v>
      </c>
      <c r="P168" s="118">
        <f t="shared" si="154"/>
        <v>142658.2677771649</v>
      </c>
      <c r="Q168" s="118">
        <f t="shared" si="154"/>
        <v>159327.58839789662</v>
      </c>
      <c r="R168" s="118">
        <f t="shared" si="154"/>
        <v>156061.30647912042</v>
      </c>
      <c r="S168" s="118">
        <f t="shared" si="154"/>
        <v>161953.65168014483</v>
      </c>
      <c r="T168" s="118">
        <f t="shared" si="154"/>
        <v>162900.72365079576</v>
      </c>
      <c r="U168" s="118">
        <f t="shared" si="154"/>
        <v>162152.31006247067</v>
      </c>
      <c r="V168" s="118">
        <f t="shared" si="154"/>
        <v>165100.94827344888</v>
      </c>
      <c r="W168" s="118">
        <f t="shared" si="154"/>
        <v>165384.83861665722</v>
      </c>
      <c r="X168" s="118">
        <f t="shared" si="154"/>
        <v>168352.46301534848</v>
      </c>
      <c r="Y168" s="118">
        <f t="shared" si="154"/>
        <v>167948.31237687962</v>
      </c>
      <c r="Z168" s="118">
        <f t="shared" si="155"/>
        <v>167984.46650956545</v>
      </c>
      <c r="AA168" s="118">
        <f t="shared" si="156"/>
        <v>167993.96535282262</v>
      </c>
      <c r="AB168" s="118">
        <f t="shared" si="156"/>
        <v>166247.85373759724</v>
      </c>
      <c r="AC168" s="118">
        <f t="shared" si="156"/>
        <v>166243.54986487326</v>
      </c>
      <c r="AD168" s="118">
        <f t="shared" si="156"/>
        <v>166249.63770757566</v>
      </c>
      <c r="AE168" s="118">
        <f t="shared" si="156"/>
        <v>166254.54637429299</v>
      </c>
      <c r="AF168" s="118">
        <f t="shared" si="156"/>
        <v>166253.23918735763</v>
      </c>
      <c r="AG168" s="118">
        <f t="shared" si="156"/>
        <v>166249.76537433933</v>
      </c>
      <c r="AH168" s="118">
        <f t="shared" si="156"/>
        <v>164526.82264720899</v>
      </c>
      <c r="AI168" s="118">
        <f t="shared" si="156"/>
        <v>164528.13124908259</v>
      </c>
      <c r="AJ168" s="118">
        <f t="shared" si="156"/>
        <v>164528.49542095594</v>
      </c>
      <c r="AK168" s="118">
        <f t="shared" si="156"/>
        <v>164527.95600548363</v>
      </c>
      <c r="AL168" s="118">
        <f t="shared" si="156"/>
        <v>164527.56756799392</v>
      </c>
      <c r="AM168" s="118">
        <f t="shared" si="156"/>
        <v>164527.79457814503</v>
      </c>
      <c r="AN168" s="13"/>
    </row>
    <row r="169" spans="1:40">
      <c r="A169" s="138" t="s">
        <v>136</v>
      </c>
      <c r="B169" s="138"/>
      <c r="C169" s="138"/>
      <c r="D169" s="138"/>
      <c r="E169" s="138"/>
      <c r="F169" s="138"/>
      <c r="G169" s="138"/>
      <c r="H169" s="138"/>
      <c r="I169" s="13">
        <v>39664</v>
      </c>
      <c r="J169" s="13">
        <v>38100</v>
      </c>
      <c r="K169" s="13">
        <v>31475</v>
      </c>
      <c r="L169" s="13">
        <v>47282</v>
      </c>
      <c r="M169" s="235">
        <v>91506</v>
      </c>
      <c r="N169" s="118">
        <f t="shared" si="157"/>
        <v>89964.481351116672</v>
      </c>
      <c r="O169" s="118">
        <f t="shared" si="154"/>
        <v>103840.00725559019</v>
      </c>
      <c r="P169" s="118">
        <f t="shared" si="154"/>
        <v>130150.41051262819</v>
      </c>
      <c r="Q169" s="118">
        <f t="shared" si="154"/>
        <v>144009.62461511229</v>
      </c>
      <c r="R169" s="118">
        <f t="shared" si="154"/>
        <v>140522.43982774529</v>
      </c>
      <c r="S169" s="118">
        <f t="shared" si="154"/>
        <v>146991.00003658954</v>
      </c>
      <c r="T169" s="118">
        <f t="shared" si="154"/>
        <v>147850.03174463983</v>
      </c>
      <c r="U169" s="118">
        <f t="shared" si="154"/>
        <v>146954.46372104285</v>
      </c>
      <c r="V169" s="118">
        <f t="shared" si="154"/>
        <v>149449.18921869676</v>
      </c>
      <c r="W169" s="118">
        <f t="shared" si="154"/>
        <v>149749.86266683778</v>
      </c>
      <c r="X169" s="118">
        <f t="shared" si="154"/>
        <v>152598.66159405591</v>
      </c>
      <c r="Y169" s="118">
        <f t="shared" si="154"/>
        <v>152193.11516255478</v>
      </c>
      <c r="Z169" s="118">
        <f t="shared" si="155"/>
        <v>152179.06714721868</v>
      </c>
      <c r="AA169" s="118">
        <f t="shared" si="156"/>
        <v>152175.83611871337</v>
      </c>
      <c r="AB169" s="118">
        <f t="shared" si="156"/>
        <v>150615.18045670132</v>
      </c>
      <c r="AC169" s="118">
        <f t="shared" si="156"/>
        <v>150627.82659459455</v>
      </c>
      <c r="AD169" s="118">
        <f t="shared" si="156"/>
        <v>150621.41318806453</v>
      </c>
      <c r="AE169" s="118">
        <f t="shared" si="156"/>
        <v>150619.34533648429</v>
      </c>
      <c r="AF169" s="118">
        <f t="shared" si="156"/>
        <v>150619.66000426435</v>
      </c>
      <c r="AG169" s="118">
        <f t="shared" si="156"/>
        <v>150620.68511602181</v>
      </c>
      <c r="AH169" s="118">
        <f t="shared" si="156"/>
        <v>149060.46233638804</v>
      </c>
      <c r="AI169" s="118">
        <f t="shared" si="156"/>
        <v>149059.26426632926</v>
      </c>
      <c r="AJ169" s="118">
        <f t="shared" si="156"/>
        <v>149059.09776089102</v>
      </c>
      <c r="AK169" s="118">
        <f t="shared" si="156"/>
        <v>149059.30924337762</v>
      </c>
      <c r="AL169" s="118">
        <f t="shared" si="156"/>
        <v>149059.5010161587</v>
      </c>
      <c r="AM169" s="118">
        <f t="shared" si="156"/>
        <v>149059.52692462894</v>
      </c>
      <c r="AN169" s="13"/>
    </row>
    <row r="170" spans="1:40">
      <c r="A170" s="138" t="s">
        <v>137</v>
      </c>
      <c r="B170" s="138"/>
      <c r="C170" s="138"/>
      <c r="D170" s="138"/>
      <c r="E170" s="138"/>
      <c r="F170" s="138"/>
      <c r="G170" s="138"/>
      <c r="H170" s="138"/>
      <c r="I170" s="13">
        <v>34899</v>
      </c>
      <c r="J170" s="13">
        <v>39271</v>
      </c>
      <c r="K170" s="13">
        <v>35340</v>
      </c>
      <c r="L170" s="13">
        <v>37568</v>
      </c>
      <c r="M170" s="235">
        <v>105925</v>
      </c>
      <c r="N170" s="118">
        <f t="shared" si="157"/>
        <v>91769.378637311951</v>
      </c>
      <c r="O170" s="118">
        <f t="shared" si="154"/>
        <v>107858.83265022335</v>
      </c>
      <c r="P170" s="118">
        <f t="shared" si="154"/>
        <v>135296.01942949163</v>
      </c>
      <c r="Q170" s="118">
        <f t="shared" si="154"/>
        <v>148887.61326447304</v>
      </c>
      <c r="R170" s="118">
        <f t="shared" si="154"/>
        <v>148124.4438392068</v>
      </c>
      <c r="S170" s="118">
        <f t="shared" si="154"/>
        <v>152655.6072169354</v>
      </c>
      <c r="T170" s="118">
        <f t="shared" si="154"/>
        <v>153916.98857435037</v>
      </c>
      <c r="U170" s="118">
        <f t="shared" si="154"/>
        <v>153034.83524412103</v>
      </c>
      <c r="V170" s="118">
        <f t="shared" si="154"/>
        <v>155682.05763525504</v>
      </c>
      <c r="W170" s="118">
        <f t="shared" si="154"/>
        <v>156226.11035144003</v>
      </c>
      <c r="X170" s="118">
        <f t="shared" si="154"/>
        <v>158884.09466000122</v>
      </c>
      <c r="Y170" s="118">
        <f t="shared" si="154"/>
        <v>158541.31410300406</v>
      </c>
      <c r="Z170" s="118">
        <f t="shared" si="155"/>
        <v>158546.96249309226</v>
      </c>
      <c r="AA170" s="118">
        <f t="shared" si="156"/>
        <v>158557.46240172017</v>
      </c>
      <c r="AB170" s="118">
        <f t="shared" si="156"/>
        <v>156938.1892057342</v>
      </c>
      <c r="AC170" s="118">
        <f t="shared" si="156"/>
        <v>156913.7835214019</v>
      </c>
      <c r="AD170" s="118">
        <f t="shared" si="156"/>
        <v>156923.55418628288</v>
      </c>
      <c r="AE170" s="118">
        <f t="shared" si="156"/>
        <v>156925.3242498849</v>
      </c>
      <c r="AF170" s="118">
        <f t="shared" si="156"/>
        <v>156926.32757705517</v>
      </c>
      <c r="AG170" s="118">
        <f t="shared" si="156"/>
        <v>156925.43574807182</v>
      </c>
      <c r="AH170" s="118">
        <f t="shared" si="156"/>
        <v>155296.24506146234</v>
      </c>
      <c r="AI170" s="118">
        <f t="shared" si="156"/>
        <v>155298.0502418977</v>
      </c>
      <c r="AJ170" s="118">
        <f t="shared" si="156"/>
        <v>155298.2797910459</v>
      </c>
      <c r="AK170" s="118">
        <f t="shared" si="156"/>
        <v>155298.20348054459</v>
      </c>
      <c r="AL170" s="118">
        <f t="shared" si="156"/>
        <v>155297.91137485177</v>
      </c>
      <c r="AM170" s="118">
        <f t="shared" si="156"/>
        <v>155297.73798996047</v>
      </c>
      <c r="AN170" s="13"/>
    </row>
    <row r="171" spans="1:40">
      <c r="A171" s="138" t="s">
        <v>138</v>
      </c>
      <c r="B171" s="138"/>
      <c r="C171" s="138"/>
      <c r="D171" s="138"/>
      <c r="E171" s="138"/>
      <c r="F171" s="138"/>
      <c r="G171" s="138"/>
      <c r="H171" s="138"/>
      <c r="I171" s="13">
        <v>38462</v>
      </c>
      <c r="J171" s="13">
        <v>34669</v>
      </c>
      <c r="K171" s="13">
        <v>42237</v>
      </c>
      <c r="L171" s="13">
        <v>43771</v>
      </c>
      <c r="M171" s="235">
        <v>68160</v>
      </c>
      <c r="N171" s="118">
        <f t="shared" si="157"/>
        <v>82446.010501386816</v>
      </c>
      <c r="O171" s="118">
        <f t="shared" si="154"/>
        <v>94426.533054216445</v>
      </c>
      <c r="P171" s="118">
        <f t="shared" si="154"/>
        <v>118343.61481980357</v>
      </c>
      <c r="Q171" s="118">
        <f t="shared" si="154"/>
        <v>126707.74538591315</v>
      </c>
      <c r="R171" s="118">
        <f t="shared" si="154"/>
        <v>123094.57416479498</v>
      </c>
      <c r="S171" s="118">
        <f t="shared" si="154"/>
        <v>131659.04268480075</v>
      </c>
      <c r="T171" s="118">
        <f t="shared" si="154"/>
        <v>132014.07631387966</v>
      </c>
      <c r="U171" s="118">
        <f t="shared" si="154"/>
        <v>130860.54129995184</v>
      </c>
      <c r="V171" s="118">
        <f t="shared" si="154"/>
        <v>132578.59825695321</v>
      </c>
      <c r="W171" s="118">
        <f t="shared" si="154"/>
        <v>133059.24882176725</v>
      </c>
      <c r="X171" s="118">
        <f t="shared" si="154"/>
        <v>135954.15621269139</v>
      </c>
      <c r="Y171" s="118">
        <f t="shared" si="154"/>
        <v>135449.96752684141</v>
      </c>
      <c r="Z171" s="118">
        <f t="shared" si="155"/>
        <v>135350.44732696016</v>
      </c>
      <c r="AA171" s="118">
        <f t="shared" si="156"/>
        <v>135315.99049485807</v>
      </c>
      <c r="AB171" s="118">
        <f t="shared" si="156"/>
        <v>133990.33004182743</v>
      </c>
      <c r="AC171" s="118">
        <f t="shared" si="156"/>
        <v>134033.55451872211</v>
      </c>
      <c r="AD171" s="118">
        <f t="shared" si="156"/>
        <v>133994.67628802845</v>
      </c>
      <c r="AE171" s="118">
        <f t="shared" si="156"/>
        <v>133981.46670963746</v>
      </c>
      <c r="AF171" s="118">
        <f t="shared" si="156"/>
        <v>133985.42888412793</v>
      </c>
      <c r="AG171" s="118">
        <f t="shared" si="156"/>
        <v>133997.09128846865</v>
      </c>
      <c r="AH171" s="118">
        <f t="shared" si="156"/>
        <v>132609.43499734014</v>
      </c>
      <c r="AI171" s="118">
        <f t="shared" si="156"/>
        <v>132602.47115499096</v>
      </c>
      <c r="AJ171" s="118">
        <f t="shared" si="156"/>
        <v>132601.82133193241</v>
      </c>
      <c r="AK171" s="118">
        <f t="shared" si="156"/>
        <v>132603.67026809565</v>
      </c>
      <c r="AL171" s="118">
        <f t="shared" si="156"/>
        <v>132605.10517056967</v>
      </c>
      <c r="AM171" s="118">
        <f t="shared" si="156"/>
        <v>132604.50058458577</v>
      </c>
      <c r="AN171" s="13"/>
    </row>
    <row r="172" spans="1:40">
      <c r="A172" s="138" t="s">
        <v>139</v>
      </c>
      <c r="B172" s="138"/>
      <c r="C172" s="138"/>
      <c r="D172" s="138"/>
      <c r="E172" s="138"/>
      <c r="F172" s="138"/>
      <c r="G172" s="138"/>
      <c r="H172" s="138"/>
      <c r="I172" s="13">
        <v>39080</v>
      </c>
      <c r="J172" s="13">
        <v>38026</v>
      </c>
      <c r="K172" s="13">
        <v>44754</v>
      </c>
      <c r="L172" s="13">
        <v>48300</v>
      </c>
      <c r="M172" s="235">
        <v>94078</v>
      </c>
      <c r="N172" s="118">
        <f t="shared" si="157"/>
        <v>95844.543631364184</v>
      </c>
      <c r="O172" s="118">
        <f t="shared" si="154"/>
        <v>111732.60441438375</v>
      </c>
      <c r="P172" s="118">
        <f t="shared" si="154"/>
        <v>141104.49094986139</v>
      </c>
      <c r="Q172" s="118">
        <f t="shared" si="154"/>
        <v>152822.04094320035</v>
      </c>
      <c r="R172" s="118">
        <f t="shared" si="154"/>
        <v>149592.49367252371</v>
      </c>
      <c r="S172" s="118">
        <f t="shared" si="154"/>
        <v>157284.02317586364</v>
      </c>
      <c r="T172" s="118">
        <f t="shared" si="154"/>
        <v>158296.44589990887</v>
      </c>
      <c r="U172" s="118">
        <f t="shared" si="154"/>
        <v>157222.49944754783</v>
      </c>
      <c r="V172" s="118">
        <f t="shared" si="154"/>
        <v>159508.78598221575</v>
      </c>
      <c r="W172" s="118">
        <f t="shared" si="154"/>
        <v>160009.99478555657</v>
      </c>
      <c r="X172" s="118">
        <f t="shared" si="154"/>
        <v>163168.86395441162</v>
      </c>
      <c r="Y172" s="118">
        <f t="shared" si="154"/>
        <v>162712.54763309134</v>
      </c>
      <c r="Z172" s="118">
        <f t="shared" si="155"/>
        <v>162651.49239482832</v>
      </c>
      <c r="AA172" s="118">
        <f t="shared" si="156"/>
        <v>162616.81592814293</v>
      </c>
      <c r="AB172" s="118">
        <f t="shared" si="156"/>
        <v>160987.64447548013</v>
      </c>
      <c r="AC172" s="118">
        <f t="shared" si="156"/>
        <v>161011.61753046501</v>
      </c>
      <c r="AD172" s="118">
        <f t="shared" si="156"/>
        <v>160994.71479545478</v>
      </c>
      <c r="AE172" s="118">
        <f t="shared" si="156"/>
        <v>160984.9582807594</v>
      </c>
      <c r="AF172" s="118">
        <f t="shared" si="156"/>
        <v>160985.39991442085</v>
      </c>
      <c r="AG172" s="118">
        <f t="shared" si="156"/>
        <v>160992.86699931603</v>
      </c>
      <c r="AH172" s="118">
        <f t="shared" si="156"/>
        <v>159325.07183597441</v>
      </c>
      <c r="AI172" s="118">
        <f t="shared" si="156"/>
        <v>159321.56005780402</v>
      </c>
      <c r="AJ172" s="118">
        <f t="shared" si="156"/>
        <v>159320.69512294015</v>
      </c>
      <c r="AK172" s="118">
        <f t="shared" si="156"/>
        <v>159321.59747562837</v>
      </c>
      <c r="AL172" s="118">
        <f t="shared" si="156"/>
        <v>159322.59555224408</v>
      </c>
      <c r="AM172" s="118">
        <f t="shared" si="156"/>
        <v>159322.3040089182</v>
      </c>
      <c r="AN172" s="13"/>
    </row>
    <row r="173" spans="1:40">
      <c r="A173" s="138" t="s">
        <v>140</v>
      </c>
      <c r="B173" s="138"/>
      <c r="C173" s="138"/>
      <c r="D173" s="138"/>
      <c r="E173" s="138"/>
      <c r="F173" s="138"/>
      <c r="G173" s="138"/>
      <c r="H173" s="138"/>
      <c r="I173" s="13">
        <v>38572</v>
      </c>
      <c r="J173" s="13">
        <v>38692</v>
      </c>
      <c r="K173" s="13">
        <v>35988</v>
      </c>
      <c r="L173" s="13">
        <v>40115</v>
      </c>
      <c r="M173" s="235">
        <v>110448</v>
      </c>
      <c r="N173" s="118">
        <f>N174-SUM(N162:N172)</f>
        <v>95691.112853216939</v>
      </c>
      <c r="O173" s="118">
        <f t="shared" ref="O173:Y173" si="158">O174-SUM(O162:O172)</f>
        <v>111708.78544716304</v>
      </c>
      <c r="P173" s="118">
        <f t="shared" si="158"/>
        <v>140833.42440665443</v>
      </c>
      <c r="Q173" s="118">
        <f t="shared" si="158"/>
        <v>155229.76436622534</v>
      </c>
      <c r="R173" s="118">
        <f t="shared" si="158"/>
        <v>154196.29834472761</v>
      </c>
      <c r="S173" s="118">
        <f t="shared" si="158"/>
        <v>158869.48535448546</v>
      </c>
      <c r="T173" s="118">
        <f t="shared" si="158"/>
        <v>160140.83596196119</v>
      </c>
      <c r="U173" s="118">
        <f t="shared" si="158"/>
        <v>159328.9455273319</v>
      </c>
      <c r="V173" s="118">
        <f t="shared" si="158"/>
        <v>162090.62727214675</v>
      </c>
      <c r="W173" s="118">
        <f t="shared" si="158"/>
        <v>162613.43151462264</v>
      </c>
      <c r="X173" s="118">
        <f t="shared" si="158"/>
        <v>165376.839985203</v>
      </c>
      <c r="Y173" s="118">
        <f t="shared" si="158"/>
        <v>165025.01390262903</v>
      </c>
      <c r="Z173" s="118">
        <f t="shared" ref="Z173:AK173" si="159">Z174-SUM(Z162:Z172)</f>
        <v>165045.22797301854</v>
      </c>
      <c r="AA173" s="118">
        <f t="shared" si="159"/>
        <v>165051.77773770294</v>
      </c>
      <c r="AB173" s="118">
        <f t="shared" si="159"/>
        <v>163359.82480932493</v>
      </c>
      <c r="AC173" s="118">
        <f t="shared" si="159"/>
        <v>163335.44694539299</v>
      </c>
      <c r="AD173" s="118">
        <f t="shared" si="159"/>
        <v>163347.51619666442</v>
      </c>
      <c r="AE173" s="118">
        <f t="shared" si="159"/>
        <v>163350.65101641929</v>
      </c>
      <c r="AF173" s="118">
        <f t="shared" si="159"/>
        <v>163350.39002418169</v>
      </c>
      <c r="AG173" s="118">
        <f t="shared" si="159"/>
        <v>163348.7657983969</v>
      </c>
      <c r="AH173" s="118">
        <f t="shared" si="159"/>
        <v>161653.32717532711</v>
      </c>
      <c r="AI173" s="118">
        <f t="shared" si="159"/>
        <v>161655.53012576606</v>
      </c>
      <c r="AJ173" s="118">
        <f t="shared" si="159"/>
        <v>161655.78131207405</v>
      </c>
      <c r="AK173" s="118">
        <f t="shared" si="159"/>
        <v>161655.45922598778</v>
      </c>
      <c r="AL173" s="118">
        <f>AL174-SUM(AL162:AL172)</f>
        <v>161655.12360002776</v>
      </c>
      <c r="AM173" s="118">
        <f>AM174-SUM(AM162:AM172)</f>
        <v>161655.04428783664</v>
      </c>
      <c r="AN173" s="13"/>
    </row>
    <row r="174" spans="1:40" ht="12" thickBot="1">
      <c r="A174" s="138" t="s">
        <v>141</v>
      </c>
      <c r="B174" s="138"/>
      <c r="C174" s="138"/>
      <c r="D174" s="138"/>
      <c r="E174" s="138"/>
      <c r="F174" s="138"/>
      <c r="G174" s="138"/>
      <c r="H174" s="138"/>
      <c r="I174" s="13">
        <f>SUM(I162:I173)</f>
        <v>455166</v>
      </c>
      <c r="J174" s="13">
        <f>SUM(J162:J173)</f>
        <v>435053</v>
      </c>
      <c r="K174" s="13">
        <f>SUM(K162:K173)</f>
        <v>375686</v>
      </c>
      <c r="L174" s="13">
        <f>SUM(L162:L173)</f>
        <v>514036</v>
      </c>
      <c r="M174" s="13">
        <f>SUM(M162:M173)</f>
        <v>1120304</v>
      </c>
      <c r="N174" s="118">
        <f>N16</f>
        <v>1051978.3620983576</v>
      </c>
      <c r="O174" s="118">
        <f t="shared" ref="O174:AK174" si="160">O16</f>
        <v>1217234.3634213076</v>
      </c>
      <c r="P174" s="118">
        <f t="shared" si="160"/>
        <v>1529784.1588090113</v>
      </c>
      <c r="Q174" s="118">
        <f t="shared" si="160"/>
        <v>1690901.8087770431</v>
      </c>
      <c r="R174" s="118">
        <f t="shared" si="160"/>
        <v>1660287.3087770431</v>
      </c>
      <c r="S174" s="118">
        <f t="shared" si="160"/>
        <v>1727256.381486879</v>
      </c>
      <c r="T174" s="118">
        <f t="shared" si="160"/>
        <v>1738499.8723901578</v>
      </c>
      <c r="U174" s="118">
        <f t="shared" si="160"/>
        <v>1728750.5632934365</v>
      </c>
      <c r="V174" s="118">
        <f t="shared" si="160"/>
        <v>1758362.7541967153</v>
      </c>
      <c r="W174" s="118">
        <f t="shared" si="160"/>
        <v>1762608.6450999936</v>
      </c>
      <c r="X174" s="118">
        <f t="shared" si="160"/>
        <v>1794844.936003272</v>
      </c>
      <c r="Y174" s="118">
        <f t="shared" si="160"/>
        <v>1790407.6314549113</v>
      </c>
      <c r="Z174" s="118">
        <f t="shared" si="160"/>
        <v>1790407.6314549113</v>
      </c>
      <c r="AA174" s="118">
        <f t="shared" si="160"/>
        <v>1790407.6314549113</v>
      </c>
      <c r="AB174" s="118">
        <f t="shared" si="160"/>
        <v>1772038.9314549114</v>
      </c>
      <c r="AC174" s="118">
        <f t="shared" si="160"/>
        <v>1772038.9314549114</v>
      </c>
      <c r="AD174" s="118">
        <f t="shared" si="160"/>
        <v>1772038.9314549114</v>
      </c>
      <c r="AE174" s="118">
        <f t="shared" si="160"/>
        <v>1772038.9314549114</v>
      </c>
      <c r="AF174" s="118">
        <f t="shared" si="160"/>
        <v>1772038.9314549114</v>
      </c>
      <c r="AG174" s="118">
        <f t="shared" si="160"/>
        <v>1772038.9314549114</v>
      </c>
      <c r="AH174" s="118">
        <f t="shared" si="160"/>
        <v>1753670.2314549112</v>
      </c>
      <c r="AI174" s="118">
        <f t="shared" si="160"/>
        <v>1753670.2314549112</v>
      </c>
      <c r="AJ174" s="118">
        <f t="shared" si="160"/>
        <v>1753670.2314549112</v>
      </c>
      <c r="AK174" s="118">
        <f t="shared" si="160"/>
        <v>1753670.2314549112</v>
      </c>
      <c r="AL174" s="118">
        <f>AL16</f>
        <v>1753670.2314549112</v>
      </c>
      <c r="AM174" s="118">
        <f>AM16</f>
        <v>1753670.2314549112</v>
      </c>
      <c r="AN174" s="13"/>
    </row>
    <row r="175" spans="1:40">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row>
    <row r="176" spans="1:40" ht="12" thickBot="1">
      <c r="A176" s="138" t="s">
        <v>145</v>
      </c>
      <c r="B176" s="138"/>
      <c r="C176" s="138"/>
      <c r="D176" s="138"/>
      <c r="E176" s="138"/>
      <c r="F176" s="138"/>
      <c r="G176" s="138"/>
      <c r="H176" s="138"/>
    </row>
    <row r="177" spans="1:39" ht="12" thickBot="1">
      <c r="A177" s="176"/>
      <c r="B177" s="177">
        <f t="shared" ref="B177:AK177" si="161">B2</f>
        <v>2013</v>
      </c>
      <c r="C177" s="177">
        <f t="shared" si="161"/>
        <v>2014</v>
      </c>
      <c r="D177" s="177">
        <f t="shared" si="161"/>
        <v>2015</v>
      </c>
      <c r="E177" s="177">
        <f t="shared" si="161"/>
        <v>2016</v>
      </c>
      <c r="F177" s="177">
        <f t="shared" si="161"/>
        <v>2017</v>
      </c>
      <c r="G177" s="177">
        <f t="shared" si="161"/>
        <v>2018</v>
      </c>
      <c r="H177" s="177">
        <f t="shared" si="161"/>
        <v>2019</v>
      </c>
      <c r="I177" s="177">
        <f t="shared" si="161"/>
        <v>2020</v>
      </c>
      <c r="J177" s="177">
        <f t="shared" si="161"/>
        <v>2021</v>
      </c>
      <c r="K177" s="177">
        <f t="shared" si="161"/>
        <v>2022</v>
      </c>
      <c r="L177" s="177">
        <f t="shared" si="161"/>
        <v>2023</v>
      </c>
      <c r="M177" s="177">
        <f t="shared" si="161"/>
        <v>2024</v>
      </c>
      <c r="N177" s="177">
        <f t="shared" si="161"/>
        <v>2025</v>
      </c>
      <c r="O177" s="177">
        <f t="shared" si="161"/>
        <v>2026</v>
      </c>
      <c r="P177" s="177">
        <f t="shared" si="161"/>
        <v>2027</v>
      </c>
      <c r="Q177" s="177">
        <f t="shared" si="161"/>
        <v>2028</v>
      </c>
      <c r="R177" s="177">
        <f t="shared" si="161"/>
        <v>2029</v>
      </c>
      <c r="S177" s="177">
        <f t="shared" si="161"/>
        <v>2030</v>
      </c>
      <c r="T177" s="177">
        <f t="shared" si="161"/>
        <v>2031</v>
      </c>
      <c r="U177" s="177">
        <f t="shared" si="161"/>
        <v>2032</v>
      </c>
      <c r="V177" s="177">
        <f t="shared" si="161"/>
        <v>2033</v>
      </c>
      <c r="W177" s="177">
        <f t="shared" si="161"/>
        <v>2034</v>
      </c>
      <c r="X177" s="177">
        <f t="shared" si="161"/>
        <v>2035</v>
      </c>
      <c r="Y177" s="177">
        <f t="shared" si="161"/>
        <v>2036</v>
      </c>
      <c r="Z177" s="177">
        <f t="shared" si="161"/>
        <v>2037</v>
      </c>
      <c r="AA177" s="177">
        <f t="shared" si="161"/>
        <v>2038</v>
      </c>
      <c r="AB177" s="177">
        <f t="shared" si="161"/>
        <v>2039</v>
      </c>
      <c r="AC177" s="177">
        <f t="shared" si="161"/>
        <v>2040</v>
      </c>
      <c r="AD177" s="177">
        <f t="shared" si="161"/>
        <v>2041</v>
      </c>
      <c r="AE177" s="177">
        <f t="shared" si="161"/>
        <v>2042</v>
      </c>
      <c r="AF177" s="177">
        <f t="shared" si="161"/>
        <v>2043</v>
      </c>
      <c r="AG177" s="177">
        <f t="shared" si="161"/>
        <v>2044</v>
      </c>
      <c r="AH177" s="177">
        <f t="shared" si="161"/>
        <v>2045</v>
      </c>
      <c r="AI177" s="177">
        <f t="shared" si="161"/>
        <v>2046</v>
      </c>
      <c r="AJ177" s="177">
        <f t="shared" si="161"/>
        <v>2047</v>
      </c>
      <c r="AK177" s="177">
        <f t="shared" si="161"/>
        <v>2048</v>
      </c>
      <c r="AL177" s="177">
        <f>AL2</f>
        <v>2049</v>
      </c>
      <c r="AM177" s="177">
        <f>AM2</f>
        <v>2050</v>
      </c>
    </row>
    <row r="178" spans="1:39">
      <c r="A178" s="138" t="s">
        <v>129</v>
      </c>
      <c r="B178" s="138"/>
      <c r="C178" s="138"/>
      <c r="D178" s="138"/>
      <c r="E178" s="138"/>
      <c r="F178" s="138"/>
      <c r="G178" s="138"/>
      <c r="H178" s="138"/>
      <c r="I178" s="13">
        <v>-316</v>
      </c>
      <c r="J178" s="13">
        <v>97</v>
      </c>
      <c r="K178" s="13">
        <v>0</v>
      </c>
      <c r="L178" s="13">
        <v>66</v>
      </c>
      <c r="M178" s="113">
        <v>117</v>
      </c>
      <c r="N178" s="118">
        <f t="shared" ref="N178:N188" si="162">N$190*(SUM(L178:M178)/SUM(L$190:M$190))</f>
        <v>50.724946695095952</v>
      </c>
      <c r="O178" s="118">
        <f t="shared" ref="O178:O188" si="163">O$190*(SUM(M178:N178)/SUM(M$190:N$190))</f>
        <v>69.617634324273553</v>
      </c>
      <c r="P178" s="118">
        <f t="shared" ref="P178:AE188" si="164">P$190*(SUM(N178:O178)/SUM(N$190:O$190))</f>
        <v>60.171290509684759</v>
      </c>
      <c r="Q178" s="118">
        <f t="shared" si="164"/>
        <v>64.894462416979152</v>
      </c>
      <c r="R178" s="118">
        <f t="shared" si="164"/>
        <v>62.532876463331959</v>
      </c>
      <c r="S178" s="118">
        <f t="shared" si="164"/>
        <v>63.713669440155556</v>
      </c>
      <c r="T178" s="118">
        <f t="shared" si="164"/>
        <v>63.123272951743758</v>
      </c>
      <c r="U178" s="118">
        <f t="shared" si="164"/>
        <v>63.418471195949664</v>
      </c>
      <c r="V178" s="118">
        <f t="shared" si="164"/>
        <v>63.270872073846711</v>
      </c>
      <c r="W178" s="118">
        <f t="shared" si="164"/>
        <v>63.344671634898191</v>
      </c>
      <c r="X178" s="118">
        <f t="shared" si="164"/>
        <v>63.307771854372447</v>
      </c>
      <c r="Y178" s="118">
        <f t="shared" si="164"/>
        <v>63.326221744635326</v>
      </c>
      <c r="Z178" s="118">
        <f t="shared" si="164"/>
        <v>63.316996799503883</v>
      </c>
      <c r="AA178" s="118">
        <f t="shared" si="164"/>
        <v>63.321609272069608</v>
      </c>
      <c r="AB178" s="118">
        <f t="shared" si="164"/>
        <v>63.319303035786739</v>
      </c>
      <c r="AC178" s="118">
        <f t="shared" si="164"/>
        <v>63.320456153928184</v>
      </c>
      <c r="AD178" s="118">
        <f t="shared" si="164"/>
        <v>63.319879594857461</v>
      </c>
      <c r="AE178" s="118">
        <f t="shared" si="164"/>
        <v>63.320167874392823</v>
      </c>
      <c r="AF178" s="118">
        <f t="shared" ref="AF178:AM188" si="165">AF$190*(SUM(AD178:AE178)/SUM(AD$190:AE$190))</f>
        <v>63.320023734625138</v>
      </c>
      <c r="AG178" s="118">
        <f t="shared" si="165"/>
        <v>63.320095804508981</v>
      </c>
      <c r="AH178" s="118">
        <f t="shared" si="165"/>
        <v>63.32005976956706</v>
      </c>
      <c r="AI178" s="118">
        <f t="shared" si="165"/>
        <v>63.320077787038016</v>
      </c>
      <c r="AJ178" s="118">
        <f t="shared" si="165"/>
        <v>63.320068778302542</v>
      </c>
      <c r="AK178" s="118">
        <f t="shared" si="165"/>
        <v>63.320073282670286</v>
      </c>
      <c r="AL178" s="118">
        <f t="shared" si="165"/>
        <v>63.320071030486417</v>
      </c>
      <c r="AM178" s="118">
        <f t="shared" si="165"/>
        <v>63.320072156578348</v>
      </c>
    </row>
    <row r="179" spans="1:39">
      <c r="A179" s="138" t="s">
        <v>130</v>
      </c>
      <c r="B179" s="138"/>
      <c r="C179" s="138"/>
      <c r="D179" s="138"/>
      <c r="E179" s="138"/>
      <c r="F179" s="138"/>
      <c r="G179" s="138"/>
      <c r="H179" s="138"/>
      <c r="I179" s="13">
        <v>67</v>
      </c>
      <c r="J179" s="13">
        <v>50</v>
      </c>
      <c r="K179" s="13">
        <v>17</v>
      </c>
      <c r="L179" s="13">
        <v>107</v>
      </c>
      <c r="M179" s="113">
        <v>405</v>
      </c>
      <c r="N179" s="118">
        <f t="shared" si="162"/>
        <v>141.91897654584221</v>
      </c>
      <c r="O179" s="118">
        <f t="shared" si="163"/>
        <v>227.00979230829981</v>
      </c>
      <c r="P179" s="118">
        <f t="shared" si="164"/>
        <v>184.46438442707102</v>
      </c>
      <c r="Q179" s="118">
        <f t="shared" si="164"/>
        <v>205.73708836768543</v>
      </c>
      <c r="R179" s="118">
        <f t="shared" si="164"/>
        <v>195.10073639737823</v>
      </c>
      <c r="S179" s="118">
        <f t="shared" si="164"/>
        <v>200.4189123825318</v>
      </c>
      <c r="T179" s="118">
        <f t="shared" si="164"/>
        <v>197.75982438995499</v>
      </c>
      <c r="U179" s="118">
        <f t="shared" si="164"/>
        <v>199.08936838624339</v>
      </c>
      <c r="V179" s="118">
        <f t="shared" si="164"/>
        <v>198.42459638809919</v>
      </c>
      <c r="W179" s="118">
        <f t="shared" si="164"/>
        <v>198.75698238717129</v>
      </c>
      <c r="X179" s="118">
        <f t="shared" si="164"/>
        <v>198.59078938763528</v>
      </c>
      <c r="Y179" s="118">
        <f t="shared" si="164"/>
        <v>198.67388588740326</v>
      </c>
      <c r="Z179" s="118">
        <f t="shared" si="164"/>
        <v>198.63233763751927</v>
      </c>
      <c r="AA179" s="118">
        <f t="shared" si="164"/>
        <v>198.65311176246126</v>
      </c>
      <c r="AB179" s="118">
        <f t="shared" si="164"/>
        <v>198.64272469999025</v>
      </c>
      <c r="AC179" s="118">
        <f t="shared" si="164"/>
        <v>198.64791823122576</v>
      </c>
      <c r="AD179" s="118">
        <f t="shared" si="164"/>
        <v>198.64532146560802</v>
      </c>
      <c r="AE179" s="118">
        <f t="shared" si="164"/>
        <v>198.64661984841689</v>
      </c>
      <c r="AF179" s="118">
        <f t="shared" si="165"/>
        <v>198.64597065701244</v>
      </c>
      <c r="AG179" s="118">
        <f t="shared" si="165"/>
        <v>198.64629525271465</v>
      </c>
      <c r="AH179" s="118">
        <f t="shared" si="165"/>
        <v>198.64613295486356</v>
      </c>
      <c r="AI179" s="118">
        <f t="shared" si="165"/>
        <v>198.64621410378911</v>
      </c>
      <c r="AJ179" s="118">
        <f t="shared" si="165"/>
        <v>198.64617352932635</v>
      </c>
      <c r="AK179" s="118">
        <f t="shared" si="165"/>
        <v>198.64619381655774</v>
      </c>
      <c r="AL179" s="118">
        <f t="shared" si="165"/>
        <v>198.64618367294204</v>
      </c>
      <c r="AM179" s="118">
        <f t="shared" si="165"/>
        <v>198.64618874474994</v>
      </c>
    </row>
    <row r="180" spans="1:39">
      <c r="A180" s="138" t="s">
        <v>131</v>
      </c>
      <c r="B180" s="138"/>
      <c r="C180" s="138"/>
      <c r="D180" s="138"/>
      <c r="E180" s="138"/>
      <c r="F180" s="138"/>
      <c r="G180" s="138"/>
      <c r="H180" s="138"/>
      <c r="I180" s="13">
        <v>43</v>
      </c>
      <c r="J180" s="13">
        <v>19</v>
      </c>
      <c r="K180" s="13">
        <v>52</v>
      </c>
      <c r="L180" s="13">
        <v>75</v>
      </c>
      <c r="M180" s="113">
        <v>104</v>
      </c>
      <c r="N180" s="118">
        <f t="shared" si="162"/>
        <v>49.616204690831559</v>
      </c>
      <c r="O180" s="118">
        <f t="shared" si="163"/>
        <v>63.76151535698628</v>
      </c>
      <c r="P180" s="118">
        <f t="shared" si="164"/>
        <v>56.688860023908916</v>
      </c>
      <c r="Q180" s="118">
        <f t="shared" si="164"/>
        <v>60.225187690447598</v>
      </c>
      <c r="R180" s="118">
        <f t="shared" si="164"/>
        <v>58.457023857178257</v>
      </c>
      <c r="S180" s="118">
        <f t="shared" si="164"/>
        <v>59.341105773812927</v>
      </c>
      <c r="T180" s="118">
        <f t="shared" si="164"/>
        <v>58.899064815495592</v>
      </c>
      <c r="U180" s="118">
        <f t="shared" si="164"/>
        <v>59.12008529465426</v>
      </c>
      <c r="V180" s="118">
        <f t="shared" si="164"/>
        <v>59.009575055074926</v>
      </c>
      <c r="W180" s="118">
        <f t="shared" si="164"/>
        <v>59.064830174864596</v>
      </c>
      <c r="X180" s="118">
        <f t="shared" si="164"/>
        <v>59.037202614969758</v>
      </c>
      <c r="Y180" s="118">
        <f t="shared" si="164"/>
        <v>59.051016394917184</v>
      </c>
      <c r="Z180" s="118">
        <f t="shared" si="164"/>
        <v>59.044109504943471</v>
      </c>
      <c r="AA180" s="118">
        <f t="shared" si="164"/>
        <v>59.047562949930324</v>
      </c>
      <c r="AB180" s="118">
        <f t="shared" si="164"/>
        <v>59.045836227436894</v>
      </c>
      <c r="AC180" s="118">
        <f t="shared" si="164"/>
        <v>59.046699588683609</v>
      </c>
      <c r="AD180" s="118">
        <f t="shared" si="164"/>
        <v>59.046267908060251</v>
      </c>
      <c r="AE180" s="118">
        <f t="shared" si="164"/>
        <v>59.046483748371926</v>
      </c>
      <c r="AF180" s="118">
        <f t="shared" si="165"/>
        <v>59.046375828216092</v>
      </c>
      <c r="AG180" s="118">
        <f t="shared" si="165"/>
        <v>59.046429788294006</v>
      </c>
      <c r="AH180" s="118">
        <f t="shared" si="165"/>
        <v>59.046402808255053</v>
      </c>
      <c r="AI180" s="118">
        <f t="shared" si="165"/>
        <v>59.046416298274529</v>
      </c>
      <c r="AJ180" s="118">
        <f t="shared" si="165"/>
        <v>59.046409553264802</v>
      </c>
      <c r="AK180" s="118">
        <f t="shared" si="165"/>
        <v>59.046412925769665</v>
      </c>
      <c r="AL180" s="118">
        <f t="shared" si="165"/>
        <v>59.046411239517241</v>
      </c>
      <c r="AM180" s="118">
        <f t="shared" si="165"/>
        <v>59.046412082643457</v>
      </c>
    </row>
    <row r="181" spans="1:39">
      <c r="A181" s="138" t="s">
        <v>132</v>
      </c>
      <c r="B181" s="138"/>
      <c r="C181" s="138"/>
      <c r="D181" s="138"/>
      <c r="E181" s="138"/>
      <c r="F181" s="138"/>
      <c r="G181" s="138"/>
      <c r="H181" s="138"/>
      <c r="I181" s="13">
        <v>42</v>
      </c>
      <c r="J181" s="13">
        <v>48</v>
      </c>
      <c r="K181" s="13">
        <v>85</v>
      </c>
      <c r="L181" s="13">
        <v>109</v>
      </c>
      <c r="M181" s="113">
        <v>-196</v>
      </c>
      <c r="N181" s="118">
        <f t="shared" si="162"/>
        <v>-24.115138592750533</v>
      </c>
      <c r="O181" s="118">
        <f t="shared" si="163"/>
        <v>-91.363243988050982</v>
      </c>
      <c r="P181" s="118">
        <f t="shared" si="164"/>
        <v>-57.739191290400754</v>
      </c>
      <c r="Q181" s="118">
        <f t="shared" si="164"/>
        <v>-74.551217639225868</v>
      </c>
      <c r="R181" s="118">
        <f t="shared" si="164"/>
        <v>-66.145204464813304</v>
      </c>
      <c r="S181" s="118">
        <f t="shared" si="164"/>
        <v>-70.348211052019593</v>
      </c>
      <c r="T181" s="118">
        <f t="shared" si="164"/>
        <v>-68.246707758416449</v>
      </c>
      <c r="U181" s="118">
        <f t="shared" si="164"/>
        <v>-69.297459405218021</v>
      </c>
      <c r="V181" s="118">
        <f t="shared" si="164"/>
        <v>-68.772083581817242</v>
      </c>
      <c r="W181" s="118">
        <f t="shared" si="164"/>
        <v>-69.034771493517638</v>
      </c>
      <c r="X181" s="118">
        <f t="shared" si="164"/>
        <v>-68.90342753766744</v>
      </c>
      <c r="Y181" s="118">
        <f t="shared" si="164"/>
        <v>-68.969099515592546</v>
      </c>
      <c r="Z181" s="118">
        <f t="shared" si="164"/>
        <v>-68.93626352663</v>
      </c>
      <c r="AA181" s="118">
        <f t="shared" si="164"/>
        <v>-68.952681521111273</v>
      </c>
      <c r="AB181" s="118">
        <f t="shared" si="164"/>
        <v>-68.944472523870644</v>
      </c>
      <c r="AC181" s="118">
        <f t="shared" si="164"/>
        <v>-68.948577022490952</v>
      </c>
      <c r="AD181" s="118">
        <f t="shared" si="164"/>
        <v>-68.946524773180798</v>
      </c>
      <c r="AE181" s="118">
        <f t="shared" si="164"/>
        <v>-68.947550897835868</v>
      </c>
      <c r="AF181" s="118">
        <f t="shared" si="165"/>
        <v>-68.947037835508326</v>
      </c>
      <c r="AG181" s="118">
        <f t="shared" si="165"/>
        <v>-68.947294366672097</v>
      </c>
      <c r="AH181" s="118">
        <f t="shared" si="165"/>
        <v>-68.947166101090204</v>
      </c>
      <c r="AI181" s="118">
        <f t="shared" si="165"/>
        <v>-68.947230233881157</v>
      </c>
      <c r="AJ181" s="118">
        <f t="shared" si="165"/>
        <v>-68.947198167485681</v>
      </c>
      <c r="AK181" s="118">
        <f t="shared" si="165"/>
        <v>-68.947214200683419</v>
      </c>
      <c r="AL181" s="118">
        <f t="shared" si="165"/>
        <v>-68.94720618408455</v>
      </c>
      <c r="AM181" s="118">
        <f t="shared" si="165"/>
        <v>-68.947210192383977</v>
      </c>
    </row>
    <row r="182" spans="1:39">
      <c r="A182" s="138" t="s">
        <v>133</v>
      </c>
      <c r="B182" s="138"/>
      <c r="C182" s="138"/>
      <c r="D182" s="138"/>
      <c r="E182" s="138"/>
      <c r="F182" s="138"/>
      <c r="G182" s="138"/>
      <c r="H182" s="138"/>
      <c r="I182" s="13">
        <v>61</v>
      </c>
      <c r="J182" s="13">
        <v>68</v>
      </c>
      <c r="K182" s="13">
        <v>57</v>
      </c>
      <c r="L182" s="13">
        <v>90</v>
      </c>
      <c r="M182" s="113">
        <v>37</v>
      </c>
      <c r="N182" s="118">
        <f t="shared" si="162"/>
        <v>35.20255863539446</v>
      </c>
      <c r="O182" s="118">
        <f t="shared" si="163"/>
        <v>29.969133533209707</v>
      </c>
      <c r="P182" s="118">
        <f t="shared" si="164"/>
        <v>32.585846084302084</v>
      </c>
      <c r="Q182" s="118">
        <f t="shared" si="164"/>
        <v>31.277489808755895</v>
      </c>
      <c r="R182" s="118">
        <f t="shared" si="164"/>
        <v>31.931667946528989</v>
      </c>
      <c r="S182" s="118">
        <f t="shared" si="164"/>
        <v>31.604578877642439</v>
      </c>
      <c r="T182" s="118">
        <f t="shared" si="164"/>
        <v>31.768123412085714</v>
      </c>
      <c r="U182" s="118">
        <f t="shared" si="164"/>
        <v>31.686351144864076</v>
      </c>
      <c r="V182" s="118">
        <f t="shared" si="164"/>
        <v>31.727237278474895</v>
      </c>
      <c r="W182" s="118">
        <f t="shared" si="164"/>
        <v>31.706794211669486</v>
      </c>
      <c r="X182" s="118">
        <f t="shared" si="164"/>
        <v>31.717015745072189</v>
      </c>
      <c r="Y182" s="118">
        <f t="shared" si="164"/>
        <v>31.711904978370839</v>
      </c>
      <c r="Z182" s="118">
        <f t="shared" si="164"/>
        <v>31.714460361721518</v>
      </c>
      <c r="AA182" s="118">
        <f t="shared" si="164"/>
        <v>31.71318267004618</v>
      </c>
      <c r="AB182" s="118">
        <f t="shared" si="164"/>
        <v>31.713821515883851</v>
      </c>
      <c r="AC182" s="118">
        <f t="shared" si="164"/>
        <v>31.713502092965015</v>
      </c>
      <c r="AD182" s="118">
        <f t="shared" si="164"/>
        <v>31.713661804424433</v>
      </c>
      <c r="AE182" s="118">
        <f t="shared" si="164"/>
        <v>31.713581948694724</v>
      </c>
      <c r="AF182" s="118">
        <f t="shared" si="165"/>
        <v>31.713621876559579</v>
      </c>
      <c r="AG182" s="118">
        <f t="shared" si="165"/>
        <v>31.713601912627151</v>
      </c>
      <c r="AH182" s="118">
        <f t="shared" si="165"/>
        <v>31.713611894593363</v>
      </c>
      <c r="AI182" s="118">
        <f t="shared" si="165"/>
        <v>31.713606903610255</v>
      </c>
      <c r="AJ182" s="118">
        <f t="shared" si="165"/>
        <v>31.713609399101813</v>
      </c>
      <c r="AK182" s="118">
        <f t="shared" si="165"/>
        <v>31.713608151356034</v>
      </c>
      <c r="AL182" s="118">
        <f t="shared" si="165"/>
        <v>31.713608775228924</v>
      </c>
      <c r="AM182" s="118">
        <f t="shared" si="165"/>
        <v>31.713608463292484</v>
      </c>
    </row>
    <row r="183" spans="1:39">
      <c r="A183" s="138" t="s">
        <v>134</v>
      </c>
      <c r="B183" s="138"/>
      <c r="C183" s="138"/>
      <c r="D183" s="138"/>
      <c r="E183" s="138"/>
      <c r="F183" s="138"/>
      <c r="G183" s="138"/>
      <c r="H183" s="138"/>
      <c r="I183" s="13">
        <v>-76</v>
      </c>
      <c r="J183" s="13">
        <v>-20</v>
      </c>
      <c r="K183" s="13">
        <v>50</v>
      </c>
      <c r="L183" s="13">
        <v>102</v>
      </c>
      <c r="M183" s="113">
        <v>23</v>
      </c>
      <c r="N183" s="118">
        <f t="shared" si="162"/>
        <v>34.64818763326226</v>
      </c>
      <c r="O183" s="118">
        <f t="shared" si="163"/>
        <v>23.928047229642701</v>
      </c>
      <c r="P183" s="118">
        <f t="shared" si="164"/>
        <v>29.288117431452481</v>
      </c>
      <c r="Q183" s="118">
        <f t="shared" si="164"/>
        <v>26.608082330547589</v>
      </c>
      <c r="R183" s="118">
        <f t="shared" si="164"/>
        <v>27.948099881000033</v>
      </c>
      <c r="S183" s="118">
        <f t="shared" si="164"/>
        <v>27.278091105773811</v>
      </c>
      <c r="T183" s="118">
        <f t="shared" si="164"/>
        <v>27.613095493386922</v>
      </c>
      <c r="U183" s="118">
        <f t="shared" si="164"/>
        <v>27.445593299580363</v>
      </c>
      <c r="V183" s="118">
        <f t="shared" si="164"/>
        <v>27.529344396483644</v>
      </c>
      <c r="W183" s="118">
        <f t="shared" si="164"/>
        <v>27.487468848032002</v>
      </c>
      <c r="X183" s="118">
        <f t="shared" si="164"/>
        <v>27.508406622257823</v>
      </c>
      <c r="Y183" s="118">
        <f t="shared" si="164"/>
        <v>27.497937735144912</v>
      </c>
      <c r="Z183" s="118">
        <f t="shared" si="164"/>
        <v>27.503172178701366</v>
      </c>
      <c r="AA183" s="118">
        <f t="shared" si="164"/>
        <v>27.500554956923139</v>
      </c>
      <c r="AB183" s="118">
        <f t="shared" si="164"/>
        <v>27.501863567812251</v>
      </c>
      <c r="AC183" s="118">
        <f t="shared" si="164"/>
        <v>27.501209262367695</v>
      </c>
      <c r="AD183" s="118">
        <f t="shared" si="164"/>
        <v>27.501536415089973</v>
      </c>
      <c r="AE183" s="118">
        <f t="shared" si="164"/>
        <v>27.501372838728834</v>
      </c>
      <c r="AF183" s="118">
        <f t="shared" si="165"/>
        <v>27.501454626909407</v>
      </c>
      <c r="AG183" s="118">
        <f t="shared" si="165"/>
        <v>27.50141373281912</v>
      </c>
      <c r="AH183" s="118">
        <f t="shared" si="165"/>
        <v>27.501434179864258</v>
      </c>
      <c r="AI183" s="118">
        <f t="shared" si="165"/>
        <v>27.501423956341689</v>
      </c>
      <c r="AJ183" s="118">
        <f t="shared" si="165"/>
        <v>27.501429068102972</v>
      </c>
      <c r="AK183" s="118">
        <f t="shared" si="165"/>
        <v>27.501426512222331</v>
      </c>
      <c r="AL183" s="118">
        <f t="shared" si="165"/>
        <v>27.501427790162648</v>
      </c>
      <c r="AM183" s="118">
        <f t="shared" si="165"/>
        <v>27.501427151192487</v>
      </c>
    </row>
    <row r="184" spans="1:39">
      <c r="A184" s="138" t="s">
        <v>135</v>
      </c>
      <c r="B184" s="138"/>
      <c r="C184" s="138"/>
      <c r="D184" s="138"/>
      <c r="E184" s="138"/>
      <c r="F184" s="138"/>
      <c r="G184" s="138"/>
      <c r="H184" s="138"/>
      <c r="I184" s="13">
        <v>41</v>
      </c>
      <c r="J184" s="13">
        <v>53</v>
      </c>
      <c r="K184" s="13">
        <v>-2</v>
      </c>
      <c r="L184" s="13">
        <v>111</v>
      </c>
      <c r="M184" s="113">
        <v>-95</v>
      </c>
      <c r="N184" s="118">
        <f t="shared" si="162"/>
        <v>4.4349680170575692</v>
      </c>
      <c r="O184" s="118">
        <f t="shared" si="163"/>
        <v>-37.59084980134903</v>
      </c>
      <c r="P184" s="118">
        <f t="shared" si="164"/>
        <v>-16.57794089214573</v>
      </c>
      <c r="Q184" s="118">
        <f t="shared" si="164"/>
        <v>-27.084395346747378</v>
      </c>
      <c r="R184" s="118">
        <f t="shared" si="164"/>
        <v>-21.831168119446552</v>
      </c>
      <c r="S184" s="118">
        <f t="shared" si="164"/>
        <v>-24.457781733096965</v>
      </c>
      <c r="T184" s="118">
        <f t="shared" si="164"/>
        <v>-23.144474926271759</v>
      </c>
      <c r="U184" s="118">
        <f t="shared" si="164"/>
        <v>-23.80112832968436</v>
      </c>
      <c r="V184" s="118">
        <f t="shared" si="164"/>
        <v>-23.472801627978054</v>
      </c>
      <c r="W184" s="118">
        <f t="shared" si="164"/>
        <v>-23.636964978831212</v>
      </c>
      <c r="X184" s="118">
        <f t="shared" si="164"/>
        <v>-23.554883303404633</v>
      </c>
      <c r="Y184" s="118">
        <f t="shared" si="164"/>
        <v>-23.595924141117923</v>
      </c>
      <c r="Z184" s="118">
        <f t="shared" si="164"/>
        <v>-23.575403722261278</v>
      </c>
      <c r="AA184" s="118">
        <f t="shared" si="164"/>
        <v>-23.585663931689602</v>
      </c>
      <c r="AB184" s="118">
        <f t="shared" si="164"/>
        <v>-23.580533826975444</v>
      </c>
      <c r="AC184" s="118">
        <f t="shared" si="164"/>
        <v>-23.583098879332528</v>
      </c>
      <c r="AD184" s="118">
        <f t="shared" si="164"/>
        <v>-23.581816353153986</v>
      </c>
      <c r="AE184" s="118">
        <f t="shared" si="164"/>
        <v>-23.582457616243257</v>
      </c>
      <c r="AF184" s="118">
        <f t="shared" si="165"/>
        <v>-23.582136984698625</v>
      </c>
      <c r="AG184" s="118">
        <f t="shared" si="165"/>
        <v>-23.582297300470941</v>
      </c>
      <c r="AH184" s="118">
        <f t="shared" si="165"/>
        <v>-23.582217142584781</v>
      </c>
      <c r="AI184" s="118">
        <f t="shared" si="165"/>
        <v>-23.582257221527865</v>
      </c>
      <c r="AJ184" s="118">
        <f t="shared" si="165"/>
        <v>-23.582237182056325</v>
      </c>
      <c r="AK184" s="118">
        <f t="shared" si="165"/>
        <v>-23.582247201792093</v>
      </c>
      <c r="AL184" s="118">
        <f t="shared" si="165"/>
        <v>-23.582242191924209</v>
      </c>
      <c r="AM184" s="118">
        <f t="shared" si="165"/>
        <v>-23.582244696858154</v>
      </c>
    </row>
    <row r="185" spans="1:39">
      <c r="A185" s="138" t="s">
        <v>136</v>
      </c>
      <c r="B185" s="138"/>
      <c r="C185" s="138"/>
      <c r="D185" s="138"/>
      <c r="E185" s="138"/>
      <c r="F185" s="138"/>
      <c r="G185" s="138"/>
      <c r="H185" s="138"/>
      <c r="I185" s="13">
        <v>77</v>
      </c>
      <c r="J185" s="13">
        <v>78</v>
      </c>
      <c r="K185" s="13">
        <v>140</v>
      </c>
      <c r="L185" s="13">
        <v>114</v>
      </c>
      <c r="M185" s="113">
        <v>58</v>
      </c>
      <c r="N185" s="118">
        <f t="shared" si="162"/>
        <v>47.675906183368873</v>
      </c>
      <c r="O185" s="118">
        <f t="shared" si="163"/>
        <v>43.86292402247112</v>
      </c>
      <c r="P185" s="118">
        <f t="shared" si="164"/>
        <v>45.769415102919993</v>
      </c>
      <c r="Q185" s="118">
        <f t="shared" si="164"/>
        <v>44.816169562695556</v>
      </c>
      <c r="R185" s="118">
        <f t="shared" si="164"/>
        <v>45.292792332807778</v>
      </c>
      <c r="S185" s="118">
        <f t="shared" si="164"/>
        <v>45.054480947751671</v>
      </c>
      <c r="T185" s="118">
        <f t="shared" si="164"/>
        <v>45.173636640279724</v>
      </c>
      <c r="U185" s="118">
        <f t="shared" si="164"/>
        <v>45.114058794015698</v>
      </c>
      <c r="V185" s="118">
        <f t="shared" si="164"/>
        <v>45.143847717147707</v>
      </c>
      <c r="W185" s="118">
        <f t="shared" si="164"/>
        <v>45.128953255581706</v>
      </c>
      <c r="X185" s="118">
        <f t="shared" si="164"/>
        <v>45.136400486364707</v>
      </c>
      <c r="Y185" s="118">
        <f t="shared" si="164"/>
        <v>45.132676870973206</v>
      </c>
      <c r="Z185" s="118">
        <f t="shared" si="164"/>
        <v>45.13453867866896</v>
      </c>
      <c r="AA185" s="118">
        <f t="shared" si="164"/>
        <v>45.133607774821087</v>
      </c>
      <c r="AB185" s="118">
        <f t="shared" si="164"/>
        <v>45.134073226745031</v>
      </c>
      <c r="AC185" s="118">
        <f t="shared" si="164"/>
        <v>45.133840500783059</v>
      </c>
      <c r="AD185" s="118">
        <f t="shared" si="164"/>
        <v>45.133956863764041</v>
      </c>
      <c r="AE185" s="118">
        <f t="shared" si="164"/>
        <v>45.133898682273554</v>
      </c>
      <c r="AF185" s="118">
        <f t="shared" si="165"/>
        <v>45.133927773018797</v>
      </c>
      <c r="AG185" s="118">
        <f t="shared" si="165"/>
        <v>45.133913227646175</v>
      </c>
      <c r="AH185" s="118">
        <f t="shared" si="165"/>
        <v>45.133920500332486</v>
      </c>
      <c r="AI185" s="118">
        <f t="shared" si="165"/>
        <v>45.133916863989334</v>
      </c>
      <c r="AJ185" s="118">
        <f t="shared" si="165"/>
        <v>45.133918682160918</v>
      </c>
      <c r="AK185" s="118">
        <f t="shared" si="165"/>
        <v>45.133917773075126</v>
      </c>
      <c r="AL185" s="118">
        <f t="shared" si="165"/>
        <v>45.133918227618018</v>
      </c>
      <c r="AM185" s="118">
        <f t="shared" si="165"/>
        <v>45.133918000346569</v>
      </c>
    </row>
    <row r="186" spans="1:39">
      <c r="A186" s="138" t="s">
        <v>137</v>
      </c>
      <c r="B186" s="138"/>
      <c r="C186" s="138"/>
      <c r="D186" s="138"/>
      <c r="E186" s="138"/>
      <c r="F186" s="138"/>
      <c r="G186" s="138"/>
      <c r="H186" s="138"/>
      <c r="I186" s="13">
        <v>1763</v>
      </c>
      <c r="J186" s="13">
        <v>23</v>
      </c>
      <c r="K186" s="13">
        <v>60</v>
      </c>
      <c r="L186" s="13">
        <v>62</v>
      </c>
      <c r="M186" s="113">
        <v>308</v>
      </c>
      <c r="N186" s="118">
        <f t="shared" si="162"/>
        <v>102.55863539445629</v>
      </c>
      <c r="O186" s="118">
        <f t="shared" si="163"/>
        <v>170.41067241787781</v>
      </c>
      <c r="P186" s="118">
        <f t="shared" si="164"/>
        <v>136.48465390616704</v>
      </c>
      <c r="Q186" s="118">
        <f t="shared" si="164"/>
        <v>153.44766316202242</v>
      </c>
      <c r="R186" s="118">
        <f t="shared" si="164"/>
        <v>144.96615853409475</v>
      </c>
      <c r="S186" s="118">
        <f t="shared" si="164"/>
        <v>149.20691084805858</v>
      </c>
      <c r="T186" s="118">
        <f t="shared" si="164"/>
        <v>147.08653469107668</v>
      </c>
      <c r="U186" s="118">
        <f t="shared" si="164"/>
        <v>148.14672276956765</v>
      </c>
      <c r="V186" s="118">
        <f t="shared" si="164"/>
        <v>147.61662873032216</v>
      </c>
      <c r="W186" s="118">
        <f t="shared" si="164"/>
        <v>147.88167574994492</v>
      </c>
      <c r="X186" s="118">
        <f t="shared" si="164"/>
        <v>147.74915224013353</v>
      </c>
      <c r="Y186" s="118">
        <f t="shared" si="164"/>
        <v>147.81541399503922</v>
      </c>
      <c r="Z186" s="118">
        <f t="shared" si="164"/>
        <v>147.78228311758636</v>
      </c>
      <c r="AA186" s="118">
        <f t="shared" si="164"/>
        <v>147.79884855631281</v>
      </c>
      <c r="AB186" s="118">
        <f t="shared" si="164"/>
        <v>147.79056583694958</v>
      </c>
      <c r="AC186" s="118">
        <f t="shared" si="164"/>
        <v>147.79470719663118</v>
      </c>
      <c r="AD186" s="118">
        <f t="shared" si="164"/>
        <v>147.79263651679037</v>
      </c>
      <c r="AE186" s="118">
        <f t="shared" si="164"/>
        <v>147.79367185671077</v>
      </c>
      <c r="AF186" s="118">
        <f t="shared" si="165"/>
        <v>147.79315418675057</v>
      </c>
      <c r="AG186" s="118">
        <f t="shared" si="165"/>
        <v>147.79341302173066</v>
      </c>
      <c r="AH186" s="118">
        <f t="shared" si="165"/>
        <v>147.79328360424063</v>
      </c>
      <c r="AI186" s="118">
        <f t="shared" si="165"/>
        <v>147.79334831298564</v>
      </c>
      <c r="AJ186" s="118">
        <f t="shared" si="165"/>
        <v>147.79331595861314</v>
      </c>
      <c r="AK186" s="118">
        <f t="shared" si="165"/>
        <v>147.7933321357994</v>
      </c>
      <c r="AL186" s="118">
        <f t="shared" si="165"/>
        <v>147.79332404720628</v>
      </c>
      <c r="AM186" s="118">
        <f t="shared" si="165"/>
        <v>147.79332809150284</v>
      </c>
    </row>
    <row r="187" spans="1:39">
      <c r="A187" s="138" t="s">
        <v>138</v>
      </c>
      <c r="B187" s="138"/>
      <c r="C187" s="138"/>
      <c r="D187" s="138"/>
      <c r="E187" s="138"/>
      <c r="F187" s="138"/>
      <c r="G187" s="138"/>
      <c r="H187" s="138"/>
      <c r="I187" s="13">
        <v>73</v>
      </c>
      <c r="J187" s="13">
        <v>79</v>
      </c>
      <c r="K187" s="13">
        <v>110</v>
      </c>
      <c r="L187" s="13">
        <v>141</v>
      </c>
      <c r="M187" s="113">
        <v>84</v>
      </c>
      <c r="N187" s="118">
        <f t="shared" si="162"/>
        <v>62.366737739872072</v>
      </c>
      <c r="O187" s="118">
        <f t="shared" si="163"/>
        <v>60.752477350521609</v>
      </c>
      <c r="P187" s="118">
        <f t="shared" si="164"/>
        <v>61.559607545196833</v>
      </c>
      <c r="Q187" s="118">
        <f t="shared" si="164"/>
        <v>61.156042447859221</v>
      </c>
      <c r="R187" s="118">
        <f t="shared" si="164"/>
        <v>61.357824996528024</v>
      </c>
      <c r="S187" s="118">
        <f t="shared" si="164"/>
        <v>61.256933722193622</v>
      </c>
      <c r="T187" s="118">
        <f t="shared" si="164"/>
        <v>61.307379359360823</v>
      </c>
      <c r="U187" s="118">
        <f t="shared" si="164"/>
        <v>61.282156540777223</v>
      </c>
      <c r="V187" s="118">
        <f t="shared" si="164"/>
        <v>61.29476795006903</v>
      </c>
      <c r="W187" s="118">
        <f t="shared" si="164"/>
        <v>61.288462245423126</v>
      </c>
      <c r="X187" s="118">
        <f t="shared" si="164"/>
        <v>61.291615097746075</v>
      </c>
      <c r="Y187" s="118">
        <f t="shared" si="164"/>
        <v>61.290038671584597</v>
      </c>
      <c r="Z187" s="118">
        <f t="shared" si="164"/>
        <v>61.290826884665329</v>
      </c>
      <c r="AA187" s="118">
        <f t="shared" si="164"/>
        <v>61.290432778124966</v>
      </c>
      <c r="AB187" s="118">
        <f t="shared" si="164"/>
        <v>61.290629831395151</v>
      </c>
      <c r="AC187" s="118">
        <f t="shared" si="164"/>
        <v>61.290531304760059</v>
      </c>
      <c r="AD187" s="118">
        <f t="shared" si="164"/>
        <v>61.290580568077608</v>
      </c>
      <c r="AE187" s="118">
        <f t="shared" si="164"/>
        <v>61.290555936418833</v>
      </c>
      <c r="AF187" s="118">
        <f t="shared" si="165"/>
        <v>61.290568252248221</v>
      </c>
      <c r="AG187" s="118">
        <f t="shared" si="165"/>
        <v>61.290562094333524</v>
      </c>
      <c r="AH187" s="118">
        <f t="shared" si="165"/>
        <v>61.290565173290872</v>
      </c>
      <c r="AI187" s="118">
        <f t="shared" si="165"/>
        <v>61.290563633812198</v>
      </c>
      <c r="AJ187" s="118">
        <f t="shared" si="165"/>
        <v>61.290564403551535</v>
      </c>
      <c r="AK187" s="118">
        <f t="shared" si="165"/>
        <v>61.290564018681863</v>
      </c>
      <c r="AL187" s="118">
        <f t="shared" si="165"/>
        <v>61.290564211116703</v>
      </c>
      <c r="AM187" s="118">
        <f t="shared" si="165"/>
        <v>61.290564114899283</v>
      </c>
    </row>
    <row r="188" spans="1:39">
      <c r="A188" s="138" t="s">
        <v>139</v>
      </c>
      <c r="B188" s="138"/>
      <c r="C188" s="138"/>
      <c r="D188" s="138"/>
      <c r="E188" s="138"/>
      <c r="F188" s="138"/>
      <c r="G188" s="138"/>
      <c r="H188" s="138"/>
      <c r="I188" s="13">
        <v>91</v>
      </c>
      <c r="J188" s="13">
        <v>50</v>
      </c>
      <c r="K188" s="13">
        <v>145</v>
      </c>
      <c r="L188" s="13">
        <v>388</v>
      </c>
      <c r="M188" s="113">
        <v>42</v>
      </c>
      <c r="N188" s="118">
        <f t="shared" si="162"/>
        <v>119.18976545842219</v>
      </c>
      <c r="O188" s="118">
        <f t="shared" si="163"/>
        <v>66.905075062563498</v>
      </c>
      <c r="P188" s="118">
        <f t="shared" si="164"/>
        <v>93.047420260492842</v>
      </c>
      <c r="Q188" s="118">
        <f t="shared" si="164"/>
        <v>79.976247661528163</v>
      </c>
      <c r="R188" s="118">
        <f t="shared" si="164"/>
        <v>86.511833961010481</v>
      </c>
      <c r="S188" s="118">
        <f t="shared" si="164"/>
        <v>83.244040811269315</v>
      </c>
      <c r="T188" s="118">
        <f t="shared" si="164"/>
        <v>84.877937386139905</v>
      </c>
      <c r="U188" s="118">
        <f t="shared" si="164"/>
        <v>84.06098909870461</v>
      </c>
      <c r="V188" s="118">
        <f t="shared" si="164"/>
        <v>84.46946324242225</v>
      </c>
      <c r="W188" s="118">
        <f t="shared" si="164"/>
        <v>84.265226170563437</v>
      </c>
      <c r="X188" s="118">
        <f t="shared" si="164"/>
        <v>84.367344706492844</v>
      </c>
      <c r="Y188" s="118">
        <f t="shared" si="164"/>
        <v>84.316285438528141</v>
      </c>
      <c r="Z188" s="118">
        <f t="shared" si="164"/>
        <v>84.341815072510485</v>
      </c>
      <c r="AA188" s="118">
        <f t="shared" si="164"/>
        <v>84.32905025551932</v>
      </c>
      <c r="AB188" s="118">
        <f t="shared" si="164"/>
        <v>84.335432664014903</v>
      </c>
      <c r="AC188" s="118">
        <f t="shared" si="164"/>
        <v>84.332241459767118</v>
      </c>
      <c r="AD188" s="118">
        <f t="shared" si="164"/>
        <v>84.333837061891032</v>
      </c>
      <c r="AE188" s="118">
        <f t="shared" si="164"/>
        <v>84.333039260829082</v>
      </c>
      <c r="AF188" s="118">
        <f t="shared" si="165"/>
        <v>84.33343816136005</v>
      </c>
      <c r="AG188" s="118">
        <f t="shared" si="165"/>
        <v>84.333238711094566</v>
      </c>
      <c r="AH188" s="118">
        <f t="shared" si="165"/>
        <v>84.333338436227308</v>
      </c>
      <c r="AI188" s="118">
        <f t="shared" si="165"/>
        <v>84.333288573660937</v>
      </c>
      <c r="AJ188" s="118">
        <f t="shared" si="165"/>
        <v>84.33331350494413</v>
      </c>
      <c r="AK188" s="118">
        <f t="shared" si="165"/>
        <v>84.33330103930254</v>
      </c>
      <c r="AL188" s="118">
        <f t="shared" si="165"/>
        <v>84.333307272123321</v>
      </c>
      <c r="AM188" s="118">
        <f t="shared" si="165"/>
        <v>84.333304155712952</v>
      </c>
    </row>
    <row r="189" spans="1:39">
      <c r="A189" s="138" t="s">
        <v>140</v>
      </c>
      <c r="B189" s="138"/>
      <c r="C189" s="138"/>
      <c r="D189" s="138"/>
      <c r="E189" s="138"/>
      <c r="F189" s="138"/>
      <c r="G189" s="138"/>
      <c r="H189" s="138"/>
      <c r="I189" s="13">
        <v>-70</v>
      </c>
      <c r="J189" s="13">
        <v>43</v>
      </c>
      <c r="K189" s="13">
        <v>69</v>
      </c>
      <c r="L189" s="13">
        <v>64</v>
      </c>
      <c r="M189" s="113">
        <v>29</v>
      </c>
      <c r="N189" s="118">
        <f t="shared" ref="N189:Y189" si="166">N190-SUM(N178:N188)</f>
        <v>25.778251599147097</v>
      </c>
      <c r="O189" s="118">
        <f t="shared" si="166"/>
        <v>22.736822183553954</v>
      </c>
      <c r="P189" s="118">
        <f t="shared" si="166"/>
        <v>24.257536891350583</v>
      </c>
      <c r="Q189" s="118">
        <f t="shared" si="166"/>
        <v>23.497179537452212</v>
      </c>
      <c r="R189" s="118">
        <f t="shared" si="166"/>
        <v>23.877358214401397</v>
      </c>
      <c r="S189" s="118">
        <f t="shared" si="166"/>
        <v>23.687268875926861</v>
      </c>
      <c r="T189" s="118">
        <f t="shared" si="166"/>
        <v>23.782313545164016</v>
      </c>
      <c r="U189" s="118">
        <f t="shared" si="166"/>
        <v>23.734791210545495</v>
      </c>
      <c r="V189" s="118">
        <f t="shared" si="166"/>
        <v>23.758552377854812</v>
      </c>
      <c r="W189" s="118">
        <f t="shared" si="166"/>
        <v>23.746671794200097</v>
      </c>
      <c r="X189" s="118">
        <f t="shared" si="166"/>
        <v>23.752612086027284</v>
      </c>
      <c r="Y189" s="118">
        <f t="shared" si="166"/>
        <v>23.749641940113747</v>
      </c>
      <c r="Z189" s="118">
        <f t="shared" ref="Z189:AE189" si="167">Z190-SUM(Z178:Z188)</f>
        <v>23.751127013070573</v>
      </c>
      <c r="AA189" s="118">
        <f t="shared" si="167"/>
        <v>23.750384476592217</v>
      </c>
      <c r="AB189" s="118">
        <f t="shared" si="167"/>
        <v>23.750755744831508</v>
      </c>
      <c r="AC189" s="118">
        <f t="shared" si="167"/>
        <v>23.750570110711806</v>
      </c>
      <c r="AD189" s="118">
        <f t="shared" si="167"/>
        <v>23.7506629277716</v>
      </c>
      <c r="AE189" s="118">
        <f t="shared" si="167"/>
        <v>23.750616519241589</v>
      </c>
      <c r="AF189" s="118">
        <f t="shared" ref="AF189:AK189" si="168">AF190-SUM(AF178:AF188)</f>
        <v>23.750639723506652</v>
      </c>
      <c r="AG189" s="118">
        <f t="shared" si="168"/>
        <v>23.75062812137412</v>
      </c>
      <c r="AH189" s="118">
        <f t="shared" si="168"/>
        <v>23.750633922440443</v>
      </c>
      <c r="AI189" s="118">
        <f t="shared" si="168"/>
        <v>23.750631021907338</v>
      </c>
      <c r="AJ189" s="118">
        <f t="shared" si="168"/>
        <v>23.75063247217372</v>
      </c>
      <c r="AK189" s="118">
        <f t="shared" si="168"/>
        <v>23.750631747040416</v>
      </c>
      <c r="AL189" s="118">
        <f>AL190-SUM(AL178:AL188)</f>
        <v>23.750632109607182</v>
      </c>
      <c r="AM189" s="118">
        <f>AM190-SUM(AM178:AM188)</f>
        <v>23.750631928323742</v>
      </c>
    </row>
    <row r="190" spans="1:39" ht="12" thickBot="1">
      <c r="A190" s="138" t="s">
        <v>141</v>
      </c>
      <c r="B190" s="138"/>
      <c r="C190" s="138"/>
      <c r="D190" s="138"/>
      <c r="E190" s="138"/>
      <c r="F190" s="138"/>
      <c r="G190" s="138"/>
      <c r="H190" s="138"/>
      <c r="I190" s="13">
        <f>SUM(I178:I189)</f>
        <v>1796</v>
      </c>
      <c r="J190" s="13">
        <f>SUM(J178:J189)</f>
        <v>588</v>
      </c>
      <c r="K190" s="13">
        <f>SUM(K178:K189)</f>
        <v>783</v>
      </c>
      <c r="L190" s="13">
        <f>SUM(L178:L189)</f>
        <v>1429</v>
      </c>
      <c r="M190" s="13">
        <f>SUM(M178:M189)</f>
        <v>916</v>
      </c>
      <c r="N190" s="118">
        <f t="shared" ref="N190:AM190" si="169">500+150</f>
        <v>650</v>
      </c>
      <c r="O190" s="118">
        <f t="shared" si="169"/>
        <v>650</v>
      </c>
      <c r="P190" s="118">
        <f t="shared" si="169"/>
        <v>650</v>
      </c>
      <c r="Q190" s="118">
        <f t="shared" si="169"/>
        <v>650</v>
      </c>
      <c r="R190" s="118">
        <f t="shared" si="169"/>
        <v>650</v>
      </c>
      <c r="S190" s="118">
        <f t="shared" si="169"/>
        <v>650</v>
      </c>
      <c r="T190" s="118">
        <f t="shared" si="169"/>
        <v>650</v>
      </c>
      <c r="U190" s="118">
        <f t="shared" si="169"/>
        <v>650</v>
      </c>
      <c r="V190" s="118">
        <f t="shared" si="169"/>
        <v>650</v>
      </c>
      <c r="W190" s="118">
        <f t="shared" si="169"/>
        <v>650</v>
      </c>
      <c r="X190" s="118">
        <f t="shared" si="169"/>
        <v>650</v>
      </c>
      <c r="Y190" s="118">
        <f t="shared" si="169"/>
        <v>650</v>
      </c>
      <c r="Z190" s="118">
        <f t="shared" si="169"/>
        <v>650</v>
      </c>
      <c r="AA190" s="118">
        <f t="shared" si="169"/>
        <v>650</v>
      </c>
      <c r="AB190" s="118">
        <f t="shared" si="169"/>
        <v>650</v>
      </c>
      <c r="AC190" s="118">
        <f t="shared" si="169"/>
        <v>650</v>
      </c>
      <c r="AD190" s="118">
        <f t="shared" si="169"/>
        <v>650</v>
      </c>
      <c r="AE190" s="118">
        <f t="shared" si="169"/>
        <v>650</v>
      </c>
      <c r="AF190" s="118">
        <f t="shared" si="169"/>
        <v>650</v>
      </c>
      <c r="AG190" s="118">
        <f t="shared" si="169"/>
        <v>650</v>
      </c>
      <c r="AH190" s="118">
        <f t="shared" si="169"/>
        <v>650</v>
      </c>
      <c r="AI190" s="118">
        <f t="shared" si="169"/>
        <v>650</v>
      </c>
      <c r="AJ190" s="118">
        <f t="shared" si="169"/>
        <v>650</v>
      </c>
      <c r="AK190" s="118">
        <f t="shared" si="169"/>
        <v>650</v>
      </c>
      <c r="AL190" s="118">
        <f t="shared" si="169"/>
        <v>650</v>
      </c>
      <c r="AM190" s="118">
        <f t="shared" si="169"/>
        <v>650</v>
      </c>
    </row>
    <row r="191" spans="1:39">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row>
    <row r="192" spans="1:39" ht="12" thickBot="1">
      <c r="A192" s="138" t="s">
        <v>146</v>
      </c>
      <c r="B192" s="138"/>
      <c r="C192" s="138"/>
      <c r="D192" s="138"/>
      <c r="E192" s="138"/>
      <c r="F192" s="138"/>
      <c r="G192" s="138"/>
      <c r="H192" s="138"/>
    </row>
    <row r="193" spans="1:39" ht="12" thickBot="1">
      <c r="A193" s="176"/>
      <c r="B193" s="177">
        <f t="shared" ref="B193:AK193" si="170">B2</f>
        <v>2013</v>
      </c>
      <c r="C193" s="177">
        <f t="shared" si="170"/>
        <v>2014</v>
      </c>
      <c r="D193" s="177">
        <f t="shared" si="170"/>
        <v>2015</v>
      </c>
      <c r="E193" s="177">
        <f t="shared" si="170"/>
        <v>2016</v>
      </c>
      <c r="F193" s="177">
        <f t="shared" si="170"/>
        <v>2017</v>
      </c>
      <c r="G193" s="177">
        <f t="shared" si="170"/>
        <v>2018</v>
      </c>
      <c r="H193" s="177">
        <f t="shared" si="170"/>
        <v>2019</v>
      </c>
      <c r="I193" s="177">
        <f t="shared" si="170"/>
        <v>2020</v>
      </c>
      <c r="J193" s="177">
        <f t="shared" si="170"/>
        <v>2021</v>
      </c>
      <c r="K193" s="177">
        <f t="shared" si="170"/>
        <v>2022</v>
      </c>
      <c r="L193" s="177">
        <f t="shared" si="170"/>
        <v>2023</v>
      </c>
      <c r="M193" s="177">
        <f t="shared" si="170"/>
        <v>2024</v>
      </c>
      <c r="N193" s="177">
        <f t="shared" si="170"/>
        <v>2025</v>
      </c>
      <c r="O193" s="177">
        <f t="shared" si="170"/>
        <v>2026</v>
      </c>
      <c r="P193" s="177">
        <f t="shared" si="170"/>
        <v>2027</v>
      </c>
      <c r="Q193" s="177">
        <f t="shared" si="170"/>
        <v>2028</v>
      </c>
      <c r="R193" s="177">
        <f t="shared" si="170"/>
        <v>2029</v>
      </c>
      <c r="S193" s="177">
        <f t="shared" si="170"/>
        <v>2030</v>
      </c>
      <c r="T193" s="177">
        <f t="shared" si="170"/>
        <v>2031</v>
      </c>
      <c r="U193" s="177">
        <f t="shared" si="170"/>
        <v>2032</v>
      </c>
      <c r="V193" s="177">
        <f t="shared" si="170"/>
        <v>2033</v>
      </c>
      <c r="W193" s="177">
        <f t="shared" si="170"/>
        <v>2034</v>
      </c>
      <c r="X193" s="177">
        <f t="shared" si="170"/>
        <v>2035</v>
      </c>
      <c r="Y193" s="177">
        <f t="shared" si="170"/>
        <v>2036</v>
      </c>
      <c r="Z193" s="177">
        <f t="shared" si="170"/>
        <v>2037</v>
      </c>
      <c r="AA193" s="177">
        <f t="shared" si="170"/>
        <v>2038</v>
      </c>
      <c r="AB193" s="177">
        <f t="shared" si="170"/>
        <v>2039</v>
      </c>
      <c r="AC193" s="177">
        <f t="shared" si="170"/>
        <v>2040</v>
      </c>
      <c r="AD193" s="177">
        <f t="shared" si="170"/>
        <v>2041</v>
      </c>
      <c r="AE193" s="177">
        <f t="shared" si="170"/>
        <v>2042</v>
      </c>
      <c r="AF193" s="177">
        <f t="shared" si="170"/>
        <v>2043</v>
      </c>
      <c r="AG193" s="177">
        <f t="shared" si="170"/>
        <v>2044</v>
      </c>
      <c r="AH193" s="177">
        <f t="shared" si="170"/>
        <v>2045</v>
      </c>
      <c r="AI193" s="177">
        <f t="shared" si="170"/>
        <v>2046</v>
      </c>
      <c r="AJ193" s="177">
        <f t="shared" si="170"/>
        <v>2047</v>
      </c>
      <c r="AK193" s="177">
        <f t="shared" si="170"/>
        <v>2048</v>
      </c>
      <c r="AL193" s="177">
        <f>AL2</f>
        <v>2049</v>
      </c>
      <c r="AM193" s="177">
        <f>AM2</f>
        <v>2050</v>
      </c>
    </row>
    <row r="194" spans="1:39">
      <c r="A194" s="138" t="s">
        <v>129</v>
      </c>
      <c r="B194" s="138"/>
      <c r="C194" s="138"/>
      <c r="D194" s="138"/>
      <c r="E194" s="138"/>
      <c r="F194" s="138"/>
      <c r="G194" s="138"/>
      <c r="H194" s="138"/>
      <c r="I194" s="13">
        <f>((I3+I22)-I86)-(I162+I178)</f>
        <v>791</v>
      </c>
      <c r="J194" s="13">
        <f>((I97+J22)-J86)-(J162+J178)</f>
        <v>1279</v>
      </c>
      <c r="K194" s="13">
        <f>((J97+K22)-K86)-(K162+K178)</f>
        <v>760</v>
      </c>
      <c r="L194" s="13">
        <f>((K97+L22)-L86)-(L162+L178)</f>
        <v>-127</v>
      </c>
      <c r="M194" s="13">
        <f>((L97+M22)-M86)-(M162+M178)</f>
        <v>-809</v>
      </c>
      <c r="N194" s="118">
        <f t="shared" ref="N194:Y204" si="171">N$206*(SUM(L194:M194)/SUM(L$206:M$206))</f>
        <v>-358.16783377338999</v>
      </c>
      <c r="O194" s="118">
        <f t="shared" si="171"/>
        <v>-396.81365147751541</v>
      </c>
      <c r="P194" s="118">
        <f t="shared" si="171"/>
        <v>-377.4907426254527</v>
      </c>
      <c r="Q194" s="118">
        <f t="shared" si="171"/>
        <v>-387.15219705148405</v>
      </c>
      <c r="R194" s="118">
        <f t="shared" si="171"/>
        <v>-382.32146983846837</v>
      </c>
      <c r="S194" s="118">
        <f t="shared" si="171"/>
        <v>-384.73683344497624</v>
      </c>
      <c r="T194" s="118">
        <f t="shared" si="171"/>
        <v>-383.52915164172231</v>
      </c>
      <c r="U194" s="118">
        <f t="shared" si="171"/>
        <v>-384.13299254334925</v>
      </c>
      <c r="V194" s="118">
        <f t="shared" si="171"/>
        <v>-383.83107209253581</v>
      </c>
      <c r="W194" s="118">
        <f t="shared" si="171"/>
        <v>-383.98203231794247</v>
      </c>
      <c r="X194" s="118">
        <f t="shared" si="171"/>
        <v>-383.90655220523917</v>
      </c>
      <c r="Y194" s="118">
        <f t="shared" si="171"/>
        <v>-383.94429226159076</v>
      </c>
      <c r="Z194" s="118">
        <f t="shared" ref="Z194:Z204" si="172">Z$206*(SUM(X194:Y194)/SUM(X$206:Y$206))</f>
        <v>-383.90622596230327</v>
      </c>
      <c r="AA194" s="118">
        <f t="shared" ref="AA194:AM204" si="173">AA$206*(SUM(Y194:Z194)/SUM(Y$206:Z$206))</f>
        <v>-383.89646399763575</v>
      </c>
      <c r="AB194" s="118">
        <f t="shared" si="173"/>
        <v>-383.87255021948897</v>
      </c>
      <c r="AC194" s="118">
        <f t="shared" si="173"/>
        <v>-383.85571217116211</v>
      </c>
      <c r="AD194" s="118">
        <f t="shared" si="173"/>
        <v>-383.83533634638729</v>
      </c>
      <c r="AE194" s="118">
        <f t="shared" si="173"/>
        <v>-383.81672936560432</v>
      </c>
      <c r="AF194" s="118">
        <f t="shared" si="173"/>
        <v>-383.79723798494206</v>
      </c>
      <c r="AG194" s="118">
        <f t="shared" si="173"/>
        <v>-383.77818879316084</v>
      </c>
      <c r="AH194" s="118">
        <f t="shared" si="173"/>
        <v>-383.75891851246854</v>
      </c>
      <c r="AI194" s="118">
        <f t="shared" si="173"/>
        <v>-383.73975877346703</v>
      </c>
      <c r="AJ194" s="118">
        <f t="shared" si="173"/>
        <v>-383.72054376500256</v>
      </c>
      <c r="AK194" s="118">
        <f t="shared" si="173"/>
        <v>-383.70135639057827</v>
      </c>
      <c r="AL194" s="118">
        <f t="shared" si="173"/>
        <v>-383.68215519947955</v>
      </c>
      <c r="AM194" s="118">
        <f t="shared" si="173"/>
        <v>-383.66296091654527</v>
      </c>
    </row>
    <row r="195" spans="1:39">
      <c r="A195" s="138" t="s">
        <v>130</v>
      </c>
      <c r="B195" s="138"/>
      <c r="C195" s="138"/>
      <c r="D195" s="138"/>
      <c r="E195" s="138"/>
      <c r="F195" s="138"/>
      <c r="G195" s="138"/>
      <c r="H195" s="138"/>
      <c r="I195" s="13">
        <f t="shared" ref="I195:M205" si="174">((I86+I23)-I87)-(I163+I179)</f>
        <v>1688</v>
      </c>
      <c r="J195" s="13">
        <f t="shared" si="174"/>
        <v>1026</v>
      </c>
      <c r="K195" s="13">
        <f t="shared" si="174"/>
        <v>818</v>
      </c>
      <c r="L195" s="13">
        <f t="shared" si="174"/>
        <v>-250</v>
      </c>
      <c r="M195" s="13">
        <f t="shared" si="174"/>
        <v>-15813</v>
      </c>
      <c r="N195" s="118">
        <f t="shared" si="171"/>
        <v>-6146.6345233995335</v>
      </c>
      <c r="O195" s="118">
        <f t="shared" si="171"/>
        <v>-7465.8352536758739</v>
      </c>
      <c r="P195" s="118">
        <f t="shared" si="171"/>
        <v>-6806.2348885377032</v>
      </c>
      <c r="Q195" s="118">
        <f t="shared" si="171"/>
        <v>-7136.0350711067886</v>
      </c>
      <c r="R195" s="118">
        <f t="shared" si="171"/>
        <v>-6971.1349798222454</v>
      </c>
      <c r="S195" s="118">
        <f t="shared" si="171"/>
        <v>-7053.5850254645175</v>
      </c>
      <c r="T195" s="118">
        <f t="shared" si="171"/>
        <v>-7012.3600026433814</v>
      </c>
      <c r="U195" s="118">
        <f t="shared" si="171"/>
        <v>-7032.9725140539485</v>
      </c>
      <c r="V195" s="118">
        <f t="shared" si="171"/>
        <v>-7022.666258348665</v>
      </c>
      <c r="W195" s="118">
        <f t="shared" si="171"/>
        <v>-7027.8193862013068</v>
      </c>
      <c r="X195" s="118">
        <f t="shared" si="171"/>
        <v>-7025.2428222749859</v>
      </c>
      <c r="Y195" s="118">
        <f t="shared" si="171"/>
        <v>-7026.5311042381463</v>
      </c>
      <c r="Z195" s="118">
        <f t="shared" si="172"/>
        <v>-7025.5356689084028</v>
      </c>
      <c r="AA195" s="118">
        <f t="shared" si="173"/>
        <v>-7025.5064208951399</v>
      </c>
      <c r="AB195" s="118">
        <f t="shared" si="173"/>
        <v>-7024.9940913018836</v>
      </c>
      <c r="AC195" s="118">
        <f t="shared" si="173"/>
        <v>-7024.7232964593495</v>
      </c>
      <c r="AD195" s="118">
        <f t="shared" si="173"/>
        <v>-7024.3317372611673</v>
      </c>
      <c r="AE195" s="118">
        <f t="shared" si="173"/>
        <v>-7024.0005587309142</v>
      </c>
      <c r="AF195" s="118">
        <f t="shared" si="173"/>
        <v>-7023.6391906216622</v>
      </c>
      <c r="AG195" s="118">
        <f t="shared" si="173"/>
        <v>-7023.2929169244189</v>
      </c>
      <c r="AH195" s="118">
        <f t="shared" si="173"/>
        <v>-7022.9390962099214</v>
      </c>
      <c r="AI195" s="118">
        <f t="shared" si="173"/>
        <v>-7022.5890489096737</v>
      </c>
      <c r="AJ195" s="118">
        <f t="shared" si="173"/>
        <v>-7022.2371149494911</v>
      </c>
      <c r="AK195" s="118">
        <f t="shared" si="173"/>
        <v>-7021.88612429568</v>
      </c>
      <c r="AL195" s="118">
        <f t="shared" si="173"/>
        <v>-7021.5346620004811</v>
      </c>
      <c r="AM195" s="118">
        <f t="shared" si="173"/>
        <v>-7021.1834355200763</v>
      </c>
    </row>
    <row r="196" spans="1:39">
      <c r="A196" s="138" t="s">
        <v>131</v>
      </c>
      <c r="B196" s="138"/>
      <c r="C196" s="138"/>
      <c r="D196" s="138"/>
      <c r="E196" s="138"/>
      <c r="F196" s="138"/>
      <c r="G196" s="138"/>
      <c r="H196" s="138"/>
      <c r="I196" s="13">
        <f t="shared" si="174"/>
        <v>-89</v>
      </c>
      <c r="J196" s="13">
        <f t="shared" si="174"/>
        <v>-308</v>
      </c>
      <c r="K196" s="13">
        <f t="shared" si="174"/>
        <v>205</v>
      </c>
      <c r="L196" s="13">
        <f t="shared" si="174"/>
        <v>-867</v>
      </c>
      <c r="M196" s="13">
        <f t="shared" si="174"/>
        <v>-3029</v>
      </c>
      <c r="N196" s="118">
        <f t="shared" si="171"/>
        <v>-1490.8353422875293</v>
      </c>
      <c r="O196" s="118">
        <f t="shared" si="171"/>
        <v>-1536.6533538298841</v>
      </c>
      <c r="P196" s="118">
        <f t="shared" si="171"/>
        <v>-1513.7443480587067</v>
      </c>
      <c r="Q196" s="118">
        <f t="shared" si="171"/>
        <v>-1525.1988509442954</v>
      </c>
      <c r="R196" s="118">
        <f t="shared" si="171"/>
        <v>-1519.471599501501</v>
      </c>
      <c r="S196" s="118">
        <f t="shared" si="171"/>
        <v>-1522.3352252228983</v>
      </c>
      <c r="T196" s="118">
        <f t="shared" si="171"/>
        <v>-1520.9034123621996</v>
      </c>
      <c r="U196" s="118">
        <f t="shared" si="171"/>
        <v>-1521.6193187925489</v>
      </c>
      <c r="V196" s="118">
        <f t="shared" si="171"/>
        <v>-1521.2613655773744</v>
      </c>
      <c r="W196" s="118">
        <f t="shared" si="171"/>
        <v>-1521.4403421849615</v>
      </c>
      <c r="X196" s="118">
        <f t="shared" si="171"/>
        <v>-1521.350853881168</v>
      </c>
      <c r="Y196" s="118">
        <f t="shared" si="171"/>
        <v>-1521.3955980330647</v>
      </c>
      <c r="Z196" s="118">
        <f t="shared" si="172"/>
        <v>-1521.2971572958186</v>
      </c>
      <c r="AA196" s="118">
        <f t="shared" si="173"/>
        <v>-1521.232273833521</v>
      </c>
      <c r="AB196" s="118">
        <f t="shared" si="173"/>
        <v>-1521.1506121532466</v>
      </c>
      <c r="AC196" s="118">
        <f t="shared" si="173"/>
        <v>-1521.0773393722068</v>
      </c>
      <c r="AD196" s="118">
        <f t="shared" si="173"/>
        <v>-1520.999872246429</v>
      </c>
      <c r="AE196" s="118">
        <f t="shared" si="173"/>
        <v>-1520.9245022405794</v>
      </c>
      <c r="AF196" s="118">
        <f t="shared" si="173"/>
        <v>-1520.8480837009868</v>
      </c>
      <c r="AG196" s="118">
        <f t="shared" si="173"/>
        <v>-1520.7721894151546</v>
      </c>
      <c r="AH196" s="118">
        <f t="shared" si="173"/>
        <v>-1520.6960330089978</v>
      </c>
      <c r="AI196" s="118">
        <f t="shared" si="173"/>
        <v>-1520.6200076597256</v>
      </c>
      <c r="AJ196" s="118">
        <f t="shared" si="173"/>
        <v>-1520.54391678365</v>
      </c>
      <c r="AK196" s="118">
        <f t="shared" si="173"/>
        <v>-1520.4678586701564</v>
      </c>
      <c r="AL196" s="118">
        <f t="shared" si="173"/>
        <v>-1520.3917841757818</v>
      </c>
      <c r="AM196" s="118">
        <f t="shared" si="173"/>
        <v>-1520.3157178716428</v>
      </c>
    </row>
    <row r="197" spans="1:39">
      <c r="A197" s="138" t="s">
        <v>132</v>
      </c>
      <c r="B197" s="138"/>
      <c r="C197" s="138"/>
      <c r="D197" s="138"/>
      <c r="E197" s="138"/>
      <c r="F197" s="138"/>
      <c r="G197" s="138"/>
      <c r="H197" s="138"/>
      <c r="I197" s="13">
        <f t="shared" si="174"/>
        <v>-1427</v>
      </c>
      <c r="J197" s="13">
        <f t="shared" si="174"/>
        <v>-1612</v>
      </c>
      <c r="K197" s="13">
        <f t="shared" si="174"/>
        <v>65</v>
      </c>
      <c r="L197" s="13">
        <f t="shared" si="174"/>
        <v>-1577</v>
      </c>
      <c r="M197" s="13">
        <f t="shared" si="174"/>
        <v>-35171</v>
      </c>
      <c r="N197" s="118">
        <f t="shared" si="171"/>
        <v>-14061.914055026213</v>
      </c>
      <c r="O197" s="118">
        <f t="shared" si="171"/>
        <v>-16738.203224718654</v>
      </c>
      <c r="P197" s="118">
        <f t="shared" si="171"/>
        <v>-15400.058639872434</v>
      </c>
      <c r="Q197" s="118">
        <f t="shared" si="171"/>
        <v>-16069.130932295544</v>
      </c>
      <c r="R197" s="118">
        <f t="shared" si="171"/>
        <v>-15734.594786083988</v>
      </c>
      <c r="S197" s="118">
        <f t="shared" si="171"/>
        <v>-15901.862859189767</v>
      </c>
      <c r="T197" s="118">
        <f t="shared" si="171"/>
        <v>-15818.228822636876</v>
      </c>
      <c r="U197" s="118">
        <f t="shared" si="171"/>
        <v>-15860.045840913321</v>
      </c>
      <c r="V197" s="118">
        <f t="shared" si="171"/>
        <v>-15839.137331775099</v>
      </c>
      <c r="W197" s="118">
        <f t="shared" si="171"/>
        <v>-15849.59158634421</v>
      </c>
      <c r="X197" s="118">
        <f t="shared" si="171"/>
        <v>-15844.364459059654</v>
      </c>
      <c r="Y197" s="118">
        <f t="shared" si="171"/>
        <v>-15846.978022701933</v>
      </c>
      <c r="Z197" s="118">
        <f t="shared" si="172"/>
        <v>-15844.87895731875</v>
      </c>
      <c r="AA197" s="118">
        <f t="shared" si="173"/>
        <v>-15844.740015661731</v>
      </c>
      <c r="AB197" s="118">
        <f t="shared" si="173"/>
        <v>-15843.621036645018</v>
      </c>
      <c r="AC197" s="118">
        <f t="shared" si="173"/>
        <v>-15842.99206405615</v>
      </c>
      <c r="AD197" s="118">
        <f t="shared" si="173"/>
        <v>-15842.118094379513</v>
      </c>
      <c r="AE197" s="118">
        <f t="shared" si="173"/>
        <v>-15841.366620183609</v>
      </c>
      <c r="AF197" s="118">
        <f t="shared" si="173"/>
        <v>-15840.553899778952</v>
      </c>
      <c r="AG197" s="118">
        <f t="shared" si="173"/>
        <v>-15839.771801712845</v>
      </c>
      <c r="AH197" s="118">
        <f t="shared" si="173"/>
        <v>-15838.974392860386</v>
      </c>
      <c r="AI197" s="118">
        <f t="shared" si="173"/>
        <v>-15838.184639209636</v>
      </c>
      <c r="AJ197" s="118">
        <f t="shared" si="173"/>
        <v>-15837.391058053765</v>
      </c>
      <c r="AK197" s="118">
        <f t="shared" si="173"/>
        <v>-15836.599390602589</v>
      </c>
      <c r="AL197" s="118">
        <f t="shared" si="173"/>
        <v>-15835.806766322998</v>
      </c>
      <c r="AM197" s="118">
        <f t="shared" si="173"/>
        <v>-15835.014620445647</v>
      </c>
    </row>
    <row r="198" spans="1:39">
      <c r="A198" s="138" t="s">
        <v>133</v>
      </c>
      <c r="B198" s="138"/>
      <c r="C198" s="138"/>
      <c r="D198" s="138"/>
      <c r="E198" s="138"/>
      <c r="F198" s="138"/>
      <c r="G198" s="138"/>
      <c r="H198" s="138"/>
      <c r="I198" s="13">
        <f t="shared" si="174"/>
        <v>-1568</v>
      </c>
      <c r="J198" s="13">
        <f t="shared" si="174"/>
        <v>-1915</v>
      </c>
      <c r="K198" s="13">
        <f t="shared" si="174"/>
        <v>-498</v>
      </c>
      <c r="L198" s="13">
        <f t="shared" si="174"/>
        <v>-2253</v>
      </c>
      <c r="M198" s="13">
        <f t="shared" si="174"/>
        <v>3225</v>
      </c>
      <c r="N198" s="118">
        <f t="shared" si="171"/>
        <v>371.94351968775112</v>
      </c>
      <c r="O198" s="118">
        <f t="shared" si="171"/>
        <v>1222.8886462637058</v>
      </c>
      <c r="P198" s="118">
        <f t="shared" si="171"/>
        <v>797.4160829757285</v>
      </c>
      <c r="Q198" s="118">
        <f t="shared" si="171"/>
        <v>1010.1523646197172</v>
      </c>
      <c r="R198" s="118">
        <f t="shared" si="171"/>
        <v>903.78422379772292</v>
      </c>
      <c r="S198" s="118">
        <f t="shared" si="171"/>
        <v>956.96829420872007</v>
      </c>
      <c r="T198" s="118">
        <f t="shared" si="171"/>
        <v>930.37625900322143</v>
      </c>
      <c r="U198" s="118">
        <f t="shared" si="171"/>
        <v>943.67227660597075</v>
      </c>
      <c r="V198" s="118">
        <f t="shared" si="171"/>
        <v>937.02426780459609</v>
      </c>
      <c r="W198" s="118">
        <f t="shared" si="171"/>
        <v>940.34827220528337</v>
      </c>
      <c r="X198" s="118">
        <f t="shared" si="171"/>
        <v>938.68627000493973</v>
      </c>
      <c r="Y198" s="118">
        <f t="shared" si="171"/>
        <v>939.51727110511149</v>
      </c>
      <c r="Z198" s="118">
        <f t="shared" si="172"/>
        <v>939.05481546649787</v>
      </c>
      <c r="AA198" s="118">
        <f t="shared" si="173"/>
        <v>939.21559507135294</v>
      </c>
      <c r="AB198" s="118">
        <f t="shared" si="173"/>
        <v>939.06476484549842</v>
      </c>
      <c r="AC198" s="118">
        <f t="shared" si="173"/>
        <v>939.06973563938902</v>
      </c>
      <c r="AD198" s="118">
        <f t="shared" si="173"/>
        <v>938.99680787126056</v>
      </c>
      <c r="AE198" s="118">
        <f t="shared" si="173"/>
        <v>938.96282841019047</v>
      </c>
      <c r="AF198" s="118">
        <f t="shared" si="173"/>
        <v>938.90937528257894</v>
      </c>
      <c r="AG198" s="118">
        <f t="shared" si="173"/>
        <v>938.86565874473808</v>
      </c>
      <c r="AH198" s="118">
        <f t="shared" si="173"/>
        <v>938.81707403376492</v>
      </c>
      <c r="AI198" s="118">
        <f t="shared" si="173"/>
        <v>938.7709233484801</v>
      </c>
      <c r="AJ198" s="118">
        <f t="shared" si="173"/>
        <v>938.72355568079081</v>
      </c>
      <c r="AK198" s="118">
        <f t="shared" si="173"/>
        <v>938.67679648908347</v>
      </c>
      <c r="AL198" s="118">
        <f t="shared" si="173"/>
        <v>938.6297330669953</v>
      </c>
      <c r="AM198" s="118">
        <f t="shared" si="173"/>
        <v>938.58282175629245</v>
      </c>
    </row>
    <row r="199" spans="1:39">
      <c r="A199" s="138" t="s">
        <v>134</v>
      </c>
      <c r="B199" s="138"/>
      <c r="C199" s="138"/>
      <c r="D199" s="138"/>
      <c r="E199" s="138"/>
      <c r="F199" s="138"/>
      <c r="G199" s="138"/>
      <c r="H199" s="138"/>
      <c r="I199" s="13">
        <f t="shared" si="174"/>
        <v>-1543</v>
      </c>
      <c r="J199" s="13">
        <f t="shared" si="174"/>
        <v>-1853</v>
      </c>
      <c r="K199" s="13">
        <f t="shared" si="174"/>
        <v>-1177</v>
      </c>
      <c r="L199" s="13">
        <f t="shared" si="174"/>
        <v>-2817</v>
      </c>
      <c r="M199" s="13">
        <f t="shared" si="174"/>
        <v>14449</v>
      </c>
      <c r="N199" s="118">
        <f t="shared" si="171"/>
        <v>4451.0771821069147</v>
      </c>
      <c r="O199" s="118">
        <f t="shared" si="171"/>
        <v>6425.6471287357554</v>
      </c>
      <c r="P199" s="118">
        <f t="shared" si="171"/>
        <v>5438.362155421335</v>
      </c>
      <c r="Q199" s="118">
        <f t="shared" si="171"/>
        <v>5932.0046420785457</v>
      </c>
      <c r="R199" s="118">
        <f t="shared" si="171"/>
        <v>5685.1833987499404</v>
      </c>
      <c r="S199" s="118">
        <f t="shared" si="171"/>
        <v>5808.5940204142426</v>
      </c>
      <c r="T199" s="118">
        <f t="shared" si="171"/>
        <v>5746.8887095820919</v>
      </c>
      <c r="U199" s="118">
        <f t="shared" si="171"/>
        <v>5777.7413649981672</v>
      </c>
      <c r="V199" s="118">
        <f t="shared" si="171"/>
        <v>5762.3150372901291</v>
      </c>
      <c r="W199" s="118">
        <f t="shared" si="171"/>
        <v>5770.0282011441486</v>
      </c>
      <c r="X199" s="118">
        <f t="shared" si="171"/>
        <v>5766.1716192171389</v>
      </c>
      <c r="Y199" s="118">
        <f t="shared" si="171"/>
        <v>5768.0999101806437</v>
      </c>
      <c r="Z199" s="118">
        <f t="shared" si="172"/>
        <v>5766.8474079106554</v>
      </c>
      <c r="AA199" s="118">
        <f t="shared" si="173"/>
        <v>5767.041087706938</v>
      </c>
      <c r="AB199" s="118">
        <f t="shared" si="173"/>
        <v>5766.5116945487162</v>
      </c>
      <c r="AC199" s="118">
        <f t="shared" si="173"/>
        <v>5766.343828828205</v>
      </c>
      <c r="AD199" s="118">
        <f t="shared" si="173"/>
        <v>5765.9952039087229</v>
      </c>
      <c r="AE199" s="118">
        <f t="shared" si="173"/>
        <v>5765.7369563287275</v>
      </c>
      <c r="AF199" s="118">
        <f t="shared" si="173"/>
        <v>5765.4335212090155</v>
      </c>
      <c r="AG199" s="118">
        <f t="shared" si="173"/>
        <v>5765.1526792941349</v>
      </c>
      <c r="AH199" s="118">
        <f t="shared" si="173"/>
        <v>5764.86054105936</v>
      </c>
      <c r="AI199" s="118">
        <f t="shared" si="173"/>
        <v>5764.5740508432682</v>
      </c>
      <c r="AJ199" s="118">
        <f t="shared" si="173"/>
        <v>5764.2847366884671</v>
      </c>
      <c r="AK199" s="118">
        <f t="shared" si="173"/>
        <v>5763.9968344677036</v>
      </c>
      <c r="AL199" s="118">
        <f t="shared" si="173"/>
        <v>5763.7082262975809</v>
      </c>
      <c r="AM199" s="118">
        <f t="shared" si="173"/>
        <v>5763.419971093308</v>
      </c>
    </row>
    <row r="200" spans="1:39">
      <c r="A200" s="138" t="s">
        <v>135</v>
      </c>
      <c r="B200" s="138"/>
      <c r="C200" s="138"/>
      <c r="D200" s="138"/>
      <c r="E200" s="138"/>
      <c r="F200" s="138"/>
      <c r="G200" s="138"/>
      <c r="H200" s="138"/>
      <c r="I200" s="13">
        <f t="shared" si="174"/>
        <v>-883</v>
      </c>
      <c r="J200" s="13">
        <f t="shared" si="174"/>
        <v>-1204</v>
      </c>
      <c r="K200" s="13">
        <f t="shared" si="174"/>
        <v>-2136</v>
      </c>
      <c r="L200" s="13">
        <f t="shared" si="174"/>
        <v>-2719</v>
      </c>
      <c r="M200" s="13">
        <f t="shared" si="174"/>
        <v>4480</v>
      </c>
      <c r="N200" s="118">
        <f t="shared" si="171"/>
        <v>673.86063597749967</v>
      </c>
      <c r="O200" s="118">
        <f t="shared" si="171"/>
        <v>1752.2092358874324</v>
      </c>
      <c r="P200" s="118">
        <f t="shared" si="171"/>
        <v>1213.0349359324659</v>
      </c>
      <c r="Q200" s="118">
        <f t="shared" si="171"/>
        <v>1482.6220859099492</v>
      </c>
      <c r="R200" s="118">
        <f t="shared" si="171"/>
        <v>1347.8285109212075</v>
      </c>
      <c r="S200" s="118">
        <f t="shared" si="171"/>
        <v>1415.2252984155782</v>
      </c>
      <c r="T200" s="118">
        <f t="shared" si="171"/>
        <v>1381.5269046683929</v>
      </c>
      <c r="U200" s="118">
        <f t="shared" si="171"/>
        <v>1398.3761015419855</v>
      </c>
      <c r="V200" s="118">
        <f t="shared" si="171"/>
        <v>1389.9515031051892</v>
      </c>
      <c r="W200" s="118">
        <f t="shared" si="171"/>
        <v>1394.1638023235873</v>
      </c>
      <c r="X200" s="118">
        <f t="shared" si="171"/>
        <v>1392.0576527143883</v>
      </c>
      <c r="Y200" s="118">
        <f t="shared" si="171"/>
        <v>1393.1107275189879</v>
      </c>
      <c r="Z200" s="118">
        <f t="shared" si="172"/>
        <v>1392.5145609071824</v>
      </c>
      <c r="AA200" s="118">
        <f t="shared" si="173"/>
        <v>1392.7081806531803</v>
      </c>
      <c r="AB200" s="118">
        <f t="shared" si="173"/>
        <v>1392.5069170933464</v>
      </c>
      <c r="AC200" s="118">
        <f t="shared" si="173"/>
        <v>1392.5030902497699</v>
      </c>
      <c r="AD200" s="118">
        <f t="shared" si="173"/>
        <v>1392.4005475164558</v>
      </c>
      <c r="AE200" s="118">
        <f t="shared" si="173"/>
        <v>1392.3473614937841</v>
      </c>
      <c r="AF200" s="118">
        <f t="shared" si="173"/>
        <v>1392.2694977329197</v>
      </c>
      <c r="AG200" s="118">
        <f t="shared" si="173"/>
        <v>1392.2039725325797</v>
      </c>
      <c r="AH200" s="118">
        <f t="shared" si="173"/>
        <v>1392.1322782062675</v>
      </c>
      <c r="AI200" s="118">
        <f t="shared" si="173"/>
        <v>1392.0636683657945</v>
      </c>
      <c r="AJ200" s="118">
        <f t="shared" si="173"/>
        <v>1391.9935163209761</v>
      </c>
      <c r="AK200" s="118">
        <f t="shared" si="173"/>
        <v>1391.9241353590428</v>
      </c>
      <c r="AL200" s="118">
        <f t="shared" si="173"/>
        <v>1391.854368865311</v>
      </c>
      <c r="AM200" s="118">
        <f t="shared" si="173"/>
        <v>1391.7847951326564</v>
      </c>
    </row>
    <row r="201" spans="1:39">
      <c r="A201" s="138" t="s">
        <v>136</v>
      </c>
      <c r="B201" s="138"/>
      <c r="C201" s="138"/>
      <c r="D201" s="138"/>
      <c r="E201" s="138"/>
      <c r="F201" s="138"/>
      <c r="G201" s="138"/>
      <c r="H201" s="138"/>
      <c r="I201" s="13">
        <f t="shared" si="174"/>
        <v>-1080</v>
      </c>
      <c r="J201" s="13">
        <f t="shared" si="174"/>
        <v>-649</v>
      </c>
      <c r="K201" s="13">
        <f>((K92+K29)-K93)-(K169+K185)</f>
        <v>-1692</v>
      </c>
      <c r="L201" s="13">
        <f t="shared" si="174"/>
        <v>-2860</v>
      </c>
      <c r="M201" s="13">
        <f t="shared" si="174"/>
        <v>-17825</v>
      </c>
      <c r="N201" s="118">
        <f t="shared" si="171"/>
        <v>-7915.2795316266793</v>
      </c>
      <c r="O201" s="118">
        <f t="shared" si="171"/>
        <v>-8751.1787212085183</v>
      </c>
      <c r="P201" s="118">
        <f t="shared" si="171"/>
        <v>-8333.2291264175983</v>
      </c>
      <c r="Q201" s="118">
        <f t="shared" si="171"/>
        <v>-8542.2039238130583</v>
      </c>
      <c r="R201" s="118">
        <f t="shared" si="171"/>
        <v>-8437.7165251153274</v>
      </c>
      <c r="S201" s="118">
        <f t="shared" si="171"/>
        <v>-8489.9602244641937</v>
      </c>
      <c r="T201" s="118">
        <f t="shared" si="171"/>
        <v>-8463.8383747897606</v>
      </c>
      <c r="U201" s="118">
        <f t="shared" si="171"/>
        <v>-8476.8992996269772</v>
      </c>
      <c r="V201" s="118">
        <f t="shared" si="171"/>
        <v>-8470.3688372083689</v>
      </c>
      <c r="W201" s="118">
        <f t="shared" si="171"/>
        <v>-8473.6340684176721</v>
      </c>
      <c r="X201" s="118">
        <f t="shared" si="171"/>
        <v>-8472.0014528130196</v>
      </c>
      <c r="Y201" s="118">
        <f t="shared" si="171"/>
        <v>-8472.8177606153458</v>
      </c>
      <c r="Z201" s="118">
        <f t="shared" si="172"/>
        <v>-8471.985986233849</v>
      </c>
      <c r="AA201" s="118">
        <f t="shared" si="173"/>
        <v>-8471.7664273979408</v>
      </c>
      <c r="AB201" s="118">
        <f t="shared" si="173"/>
        <v>-8471.2407684425052</v>
      </c>
      <c r="AC201" s="118">
        <f t="shared" si="173"/>
        <v>-8470.8681557201035</v>
      </c>
      <c r="AD201" s="118">
        <f t="shared" si="173"/>
        <v>-8470.4190217945979</v>
      </c>
      <c r="AE201" s="118">
        <f t="shared" si="173"/>
        <v>-8470.0081475139123</v>
      </c>
      <c r="AF201" s="118">
        <f t="shared" si="173"/>
        <v>-8469.5781438891954</v>
      </c>
      <c r="AG201" s="118">
        <f t="shared" si="173"/>
        <v>-8469.1577046973016</v>
      </c>
      <c r="AH201" s="118">
        <f t="shared" si="173"/>
        <v>-8468.7324834085957</v>
      </c>
      <c r="AI201" s="118">
        <f t="shared" si="173"/>
        <v>-8468.3096531084939</v>
      </c>
      <c r="AJ201" s="118">
        <f t="shared" si="173"/>
        <v>-8467.8856273439924</v>
      </c>
      <c r="AK201" s="118">
        <f t="shared" si="173"/>
        <v>-8467.4621992967368</v>
      </c>
      <c r="AL201" s="118">
        <f t="shared" si="173"/>
        <v>-8467.0384723983352</v>
      </c>
      <c r="AM201" s="118">
        <f t="shared" si="173"/>
        <v>-8466.6148949217695</v>
      </c>
    </row>
    <row r="202" spans="1:39">
      <c r="A202" s="138" t="s">
        <v>137</v>
      </c>
      <c r="B202" s="138"/>
      <c r="C202" s="138"/>
      <c r="D202" s="138"/>
      <c r="E202" s="138"/>
      <c r="F202" s="138"/>
      <c r="G202" s="138"/>
      <c r="H202" s="138"/>
      <c r="I202" s="13">
        <f t="shared" si="174"/>
        <v>-602</v>
      </c>
      <c r="J202" s="13">
        <f t="shared" si="174"/>
        <v>-762</v>
      </c>
      <c r="K202" s="13">
        <f>((K93+K30)-K94)-(K170+K186)</f>
        <v>-1901</v>
      </c>
      <c r="L202" s="13">
        <f t="shared" si="174"/>
        <v>-1957</v>
      </c>
      <c r="M202" s="13">
        <f t="shared" si="174"/>
        <v>32230</v>
      </c>
      <c r="N202" s="118">
        <f t="shared" si="171"/>
        <v>11584.203880151534</v>
      </c>
      <c r="O202" s="118">
        <f t="shared" si="171"/>
        <v>14895.950458174488</v>
      </c>
      <c r="P202" s="118">
        <f t="shared" si="171"/>
        <v>13240.077169163011</v>
      </c>
      <c r="Q202" s="118">
        <f t="shared" si="171"/>
        <v>14068.013813668749</v>
      </c>
      <c r="R202" s="118">
        <f t="shared" si="171"/>
        <v>13654.04549141588</v>
      </c>
      <c r="S202" s="118">
        <f t="shared" si="171"/>
        <v>13861.029652542315</v>
      </c>
      <c r="T202" s="118">
        <f t="shared" si="171"/>
        <v>13757.537571979097</v>
      </c>
      <c r="U202" s="118">
        <f t="shared" si="171"/>
        <v>13809.283612260706</v>
      </c>
      <c r="V202" s="118">
        <f t="shared" si="171"/>
        <v>13783.410592119901</v>
      </c>
      <c r="W202" s="118">
        <f t="shared" si="171"/>
        <v>13796.347102190302</v>
      </c>
      <c r="X202" s="118">
        <f t="shared" si="171"/>
        <v>13789.878847155102</v>
      </c>
      <c r="Y202" s="118">
        <f t="shared" si="171"/>
        <v>13793.1129746727</v>
      </c>
      <c r="Z202" s="118">
        <f t="shared" si="172"/>
        <v>13790.806336118356</v>
      </c>
      <c r="AA202" s="118">
        <f t="shared" si="173"/>
        <v>13790.925232560801</v>
      </c>
      <c r="AB202" s="118">
        <f t="shared" si="173"/>
        <v>13789.831391826314</v>
      </c>
      <c r="AC202" s="118">
        <f t="shared" si="173"/>
        <v>13789.343904519184</v>
      </c>
      <c r="AD202" s="118">
        <f t="shared" si="173"/>
        <v>13788.553248079121</v>
      </c>
      <c r="AE202" s="118">
        <f t="shared" si="173"/>
        <v>13787.914172415058</v>
      </c>
      <c r="AF202" s="118">
        <f t="shared" si="173"/>
        <v>13787.199308258272</v>
      </c>
      <c r="AG202" s="118">
        <f t="shared" si="173"/>
        <v>13786.522337400185</v>
      </c>
      <c r="AH202" s="118">
        <f t="shared" si="173"/>
        <v>13785.826420366593</v>
      </c>
      <c r="AI202" s="118">
        <f t="shared" si="173"/>
        <v>13785.139976183826</v>
      </c>
      <c r="AJ202" s="118">
        <f t="shared" si="173"/>
        <v>13784.448795694112</v>
      </c>
      <c r="AK202" s="118">
        <f t="shared" si="173"/>
        <v>13783.759983298636</v>
      </c>
      <c r="AL202" s="118">
        <f t="shared" si="173"/>
        <v>13783.069986885659</v>
      </c>
      <c r="AM202" s="118">
        <f t="shared" si="173"/>
        <v>13782.380582466625</v>
      </c>
    </row>
    <row r="203" spans="1:39">
      <c r="A203" s="138" t="s">
        <v>138</v>
      </c>
      <c r="B203" s="138"/>
      <c r="C203" s="138"/>
      <c r="D203" s="138"/>
      <c r="E203" s="138"/>
      <c r="F203" s="138"/>
      <c r="G203" s="138"/>
      <c r="H203" s="138"/>
      <c r="I203" s="13">
        <f t="shared" si="174"/>
        <v>507</v>
      </c>
      <c r="J203" s="13">
        <f t="shared" si="174"/>
        <v>373</v>
      </c>
      <c r="K203" s="13">
        <f>((K94+K31)-K95)-(K171+K187)</f>
        <v>-471</v>
      </c>
      <c r="L203" s="13">
        <f t="shared" si="174"/>
        <v>-2064</v>
      </c>
      <c r="M203" s="13">
        <f t="shared" si="174"/>
        <v>-8195</v>
      </c>
      <c r="N203" s="118">
        <f t="shared" si="171"/>
        <v>-3925.6878276508628</v>
      </c>
      <c r="O203" s="118">
        <f t="shared" si="171"/>
        <v>-4120.7907347479431</v>
      </c>
      <c r="P203" s="118">
        <f t="shared" si="171"/>
        <v>-4023.2392811994032</v>
      </c>
      <c r="Q203" s="118">
        <f t="shared" si="171"/>
        <v>-4072.0150079736732</v>
      </c>
      <c r="R203" s="118">
        <f t="shared" si="171"/>
        <v>-4047.6271445865382</v>
      </c>
      <c r="S203" s="118">
        <f t="shared" si="171"/>
        <v>-4059.8210762801059</v>
      </c>
      <c r="T203" s="118">
        <f t="shared" si="171"/>
        <v>-4053.724110433322</v>
      </c>
      <c r="U203" s="118">
        <f t="shared" si="171"/>
        <v>-4056.772593356714</v>
      </c>
      <c r="V203" s="118">
        <f t="shared" si="171"/>
        <v>-4055.2483518950175</v>
      </c>
      <c r="W203" s="118">
        <f t="shared" si="171"/>
        <v>-4056.010472625866</v>
      </c>
      <c r="X203" s="118">
        <f t="shared" si="171"/>
        <v>-4055.6294122604418</v>
      </c>
      <c r="Y203" s="118">
        <f t="shared" si="171"/>
        <v>-4055.8199424431541</v>
      </c>
      <c r="Z203" s="118">
        <f t="shared" si="172"/>
        <v>-4055.5218911179304</v>
      </c>
      <c r="AA203" s="118">
        <f t="shared" si="173"/>
        <v>-4055.3667338572104</v>
      </c>
      <c r="AB203" s="118">
        <f t="shared" si="173"/>
        <v>-4055.1401313505489</v>
      </c>
      <c r="AC203" s="118">
        <f t="shared" si="173"/>
        <v>-4054.9492505736803</v>
      </c>
      <c r="AD203" s="118">
        <f t="shared" si="173"/>
        <v>-4054.7405093785151</v>
      </c>
      <c r="AE203" s="118">
        <f t="shared" si="173"/>
        <v>-4054.5406981691931</v>
      </c>
      <c r="AF203" s="118">
        <f t="shared" si="173"/>
        <v>-4054.3364220786052</v>
      </c>
      <c r="AG203" s="118">
        <f t="shared" si="173"/>
        <v>-4054.1343783728207</v>
      </c>
      <c r="AH203" s="118">
        <f t="shared" si="173"/>
        <v>-4053.9312185025497</v>
      </c>
      <c r="AI203" s="118">
        <f t="shared" si="173"/>
        <v>-4053.7286167005645</v>
      </c>
      <c r="AJ203" s="118">
        <f t="shared" si="173"/>
        <v>-4053.5257358714148</v>
      </c>
      <c r="AK203" s="118">
        <f t="shared" si="173"/>
        <v>-4053.3229945523581</v>
      </c>
      <c r="AL203" s="118">
        <f t="shared" si="173"/>
        <v>-4053.1201834799999</v>
      </c>
      <c r="AM203" s="118">
        <f t="shared" si="173"/>
        <v>-4052.9174072834194</v>
      </c>
    </row>
    <row r="204" spans="1:39">
      <c r="A204" s="138" t="s">
        <v>139</v>
      </c>
      <c r="B204" s="138"/>
      <c r="C204" s="138"/>
      <c r="D204" s="138"/>
      <c r="E204" s="138"/>
      <c r="F204" s="138"/>
      <c r="G204" s="138"/>
      <c r="H204" s="138"/>
      <c r="I204" s="13">
        <f t="shared" si="174"/>
        <v>1357</v>
      </c>
      <c r="J204" s="13">
        <f t="shared" si="174"/>
        <v>1273</v>
      </c>
      <c r="K204" s="13">
        <f>((K95+K32)-K96)-(K172+K188)</f>
        <v>-352</v>
      </c>
      <c r="L204" s="13">
        <f t="shared" si="174"/>
        <v>-1631</v>
      </c>
      <c r="M204" s="13">
        <f t="shared" si="174"/>
        <v>4247</v>
      </c>
      <c r="N204" s="118">
        <f t="shared" si="171"/>
        <v>1001.0331764435771</v>
      </c>
      <c r="O204" s="118">
        <f t="shared" si="171"/>
        <v>1784.2260106561876</v>
      </c>
      <c r="P204" s="118">
        <f t="shared" si="171"/>
        <v>1392.6295935498824</v>
      </c>
      <c r="Q204" s="118">
        <f t="shared" si="171"/>
        <v>1588.4278021030348</v>
      </c>
      <c r="R204" s="118">
        <f t="shared" si="171"/>
        <v>1490.5286978264585</v>
      </c>
      <c r="S204" s="118">
        <f t="shared" si="171"/>
        <v>1539.4782499647467</v>
      </c>
      <c r="T204" s="118">
        <f t="shared" si="171"/>
        <v>1515.0034738956026</v>
      </c>
      <c r="U204" s="118">
        <f t="shared" si="171"/>
        <v>1527.2408619301743</v>
      </c>
      <c r="V204" s="118">
        <f t="shared" si="171"/>
        <v>1521.1221679128882</v>
      </c>
      <c r="W204" s="118">
        <f t="shared" si="171"/>
        <v>1524.1815149215313</v>
      </c>
      <c r="X204" s="118">
        <f t="shared" si="171"/>
        <v>1522.6518414172097</v>
      </c>
      <c r="Y204" s="118">
        <f t="shared" si="171"/>
        <v>1523.4166781693707</v>
      </c>
      <c r="Z204" s="118">
        <f t="shared" si="172"/>
        <v>1522.9581080803007</v>
      </c>
      <c r="AA204" s="118">
        <f t="shared" si="173"/>
        <v>1523.0731512143034</v>
      </c>
      <c r="AB204" s="118">
        <f t="shared" si="173"/>
        <v>1522.9013949074729</v>
      </c>
      <c r="AC204" s="118">
        <f t="shared" si="173"/>
        <v>1522.8730347356177</v>
      </c>
      <c r="AD204" s="118">
        <f t="shared" si="173"/>
        <v>1522.7729782890406</v>
      </c>
      <c r="AE204" s="118">
        <f t="shared" si="173"/>
        <v>1522.7087690834192</v>
      </c>
      <c r="AF204" s="118">
        <f t="shared" si="173"/>
        <v>1522.6266367055337</v>
      </c>
      <c r="AG204" s="118">
        <f t="shared" si="173"/>
        <v>1522.5534656896677</v>
      </c>
      <c r="AH204" s="118">
        <f t="shared" si="173"/>
        <v>1522.475814104851</v>
      </c>
      <c r="AI204" s="118">
        <f t="shared" si="173"/>
        <v>1522.4004027484789</v>
      </c>
      <c r="AJ204" s="118">
        <f t="shared" si="173"/>
        <v>1522.3238713059006</v>
      </c>
      <c r="AK204" s="118">
        <f t="shared" si="173"/>
        <v>1522.2478998924171</v>
      </c>
      <c r="AL204" s="118">
        <f t="shared" si="173"/>
        <v>1522.1716484713907</v>
      </c>
      <c r="AM204" s="118">
        <f t="shared" si="173"/>
        <v>1522.0955370506333</v>
      </c>
    </row>
    <row r="205" spans="1:39">
      <c r="A205" s="138" t="s">
        <v>140</v>
      </c>
      <c r="B205" s="138"/>
      <c r="C205" s="138"/>
      <c r="D205" s="138"/>
      <c r="E205" s="138"/>
      <c r="F205" s="138"/>
      <c r="G205" s="138"/>
      <c r="H205" s="138"/>
      <c r="I205" s="13">
        <f t="shared" si="174"/>
        <v>1060</v>
      </c>
      <c r="J205" s="13">
        <f t="shared" si="174"/>
        <v>1391</v>
      </c>
      <c r="K205" s="13">
        <f>((K96+K33)-K97)-(K173+K189)</f>
        <v>969</v>
      </c>
      <c r="L205" s="13">
        <f t="shared" si="174"/>
        <v>5683</v>
      </c>
      <c r="M205" s="13">
        <f t="shared" si="174"/>
        <v>-16616</v>
      </c>
      <c r="N205" s="118">
        <f t="shared" ref="N205:Y205" si="175">N206-SUM(N194:N204)</f>
        <v>-4183.5992806030681</v>
      </c>
      <c r="O205" s="118">
        <f t="shared" si="175"/>
        <v>-7071.4465400591816</v>
      </c>
      <c r="P205" s="118">
        <f t="shared" si="175"/>
        <v>-5627.5229103311212</v>
      </c>
      <c r="Q205" s="118">
        <f t="shared" si="175"/>
        <v>-6349.4847251951451</v>
      </c>
      <c r="R205" s="118">
        <f t="shared" si="175"/>
        <v>-5988.5038177631468</v>
      </c>
      <c r="S205" s="118">
        <f t="shared" si="175"/>
        <v>-6168.994271479145</v>
      </c>
      <c r="T205" s="118">
        <f t="shared" si="175"/>
        <v>-6078.7490446211414</v>
      </c>
      <c r="U205" s="118">
        <f t="shared" si="175"/>
        <v>-6123.8716580501459</v>
      </c>
      <c r="V205" s="118">
        <f t="shared" si="175"/>
        <v>-6101.3103513356491</v>
      </c>
      <c r="W205" s="118">
        <f t="shared" si="175"/>
        <v>-6112.591004692893</v>
      </c>
      <c r="X205" s="118">
        <f t="shared" si="175"/>
        <v>-6106.9506780142692</v>
      </c>
      <c r="Y205" s="118">
        <f t="shared" si="175"/>
        <v>-6109.7708413535838</v>
      </c>
      <c r="Z205" s="118">
        <f t="shared" ref="Z205:AE205" si="176">Z206-SUM(Z194:Z204)</f>
        <v>-6108.0553416459388</v>
      </c>
      <c r="AA205" s="118">
        <f t="shared" si="176"/>
        <v>-6108.4549115633927</v>
      </c>
      <c r="AB205" s="118">
        <f t="shared" si="176"/>
        <v>-6107.7969731086578</v>
      </c>
      <c r="AC205" s="118">
        <f t="shared" si="176"/>
        <v>-6107.6677756195186</v>
      </c>
      <c r="AD205" s="118">
        <f t="shared" si="176"/>
        <v>-6107.27421425799</v>
      </c>
      <c r="AE205" s="118">
        <f t="shared" si="176"/>
        <v>-6107.0128315273651</v>
      </c>
      <c r="AF205" s="118">
        <f t="shared" ref="AF205:AK205" si="177">AF206-SUM(AF194:AF204)</f>
        <v>-6106.6853611339739</v>
      </c>
      <c r="AG205" s="118">
        <f t="shared" si="177"/>
        <v>-6106.3909337456025</v>
      </c>
      <c r="AH205" s="118">
        <f t="shared" si="177"/>
        <v>-6106.0799852679174</v>
      </c>
      <c r="AI205" s="118">
        <f t="shared" si="177"/>
        <v>-6105.7772971282866</v>
      </c>
      <c r="AJ205" s="118">
        <f t="shared" si="177"/>
        <v>-6105.4704789229327</v>
      </c>
      <c r="AK205" s="118">
        <f t="shared" si="177"/>
        <v>-6105.1657256987855</v>
      </c>
      <c r="AL205" s="118">
        <f>AL206-SUM(AL194:AL204)</f>
        <v>-6104.859940009861</v>
      </c>
      <c r="AM205" s="118">
        <f>AM206-SUM(AM194:AM204)</f>
        <v>-6104.5546705404104</v>
      </c>
    </row>
    <row r="206" spans="1:39" ht="12" thickBot="1">
      <c r="A206" s="138" t="s">
        <v>141</v>
      </c>
      <c r="B206" s="138"/>
      <c r="C206" s="138"/>
      <c r="D206" s="138"/>
      <c r="E206" s="138"/>
      <c r="F206" s="138"/>
      <c r="G206" s="138"/>
      <c r="H206" s="138"/>
      <c r="I206" s="13">
        <f>SUM(I194:I205)</f>
        <v>-1789</v>
      </c>
      <c r="J206" s="13">
        <f>SUM(J194:J205)</f>
        <v>-2961</v>
      </c>
      <c r="K206" s="13">
        <f>SUM(K194:K205)</f>
        <v>-5410</v>
      </c>
      <c r="L206" s="13">
        <f>SUM(L194:L205)</f>
        <v>-13439</v>
      </c>
      <c r="M206" s="13">
        <f>SUM(M194:M205)</f>
        <v>-38827</v>
      </c>
      <c r="N206" s="118">
        <v>-20000</v>
      </c>
      <c r="O206" s="118">
        <v>-20000</v>
      </c>
      <c r="P206" s="118">
        <v>-20000</v>
      </c>
      <c r="Q206" s="118">
        <v>-20000</v>
      </c>
      <c r="R206" s="118">
        <v>-20000</v>
      </c>
      <c r="S206" s="118">
        <v>-20000</v>
      </c>
      <c r="T206" s="118">
        <v>-20000</v>
      </c>
      <c r="U206" s="118">
        <v>-20000</v>
      </c>
      <c r="V206" s="118">
        <v>-20000</v>
      </c>
      <c r="W206" s="118">
        <v>-20000</v>
      </c>
      <c r="X206" s="118">
        <v>-20000</v>
      </c>
      <c r="Y206" s="118">
        <v>-20000</v>
      </c>
      <c r="Z206" s="118">
        <v>-19999</v>
      </c>
      <c r="AA206" s="118">
        <v>-19998</v>
      </c>
      <c r="AB206" s="118">
        <v>-19997</v>
      </c>
      <c r="AC206" s="118">
        <v>-19996</v>
      </c>
      <c r="AD206" s="118">
        <v>-19995</v>
      </c>
      <c r="AE206" s="118">
        <v>-19994</v>
      </c>
      <c r="AF206" s="118">
        <v>-19993</v>
      </c>
      <c r="AG206" s="118">
        <v>-19992</v>
      </c>
      <c r="AH206" s="118">
        <v>-19991</v>
      </c>
      <c r="AI206" s="118">
        <v>-19990</v>
      </c>
      <c r="AJ206" s="118">
        <v>-19989</v>
      </c>
      <c r="AK206" s="118">
        <v>-19988</v>
      </c>
      <c r="AL206" s="118">
        <v>-19987</v>
      </c>
      <c r="AM206" s="118">
        <v>-19986</v>
      </c>
    </row>
    <row r="207" spans="1:39">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row>
    <row r="208" spans="1:39" ht="12" thickBot="1">
      <c r="A208" s="111" t="s">
        <v>238</v>
      </c>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row>
    <row r="209" spans="1:41" ht="12" thickBot="1">
      <c r="A209" s="176"/>
      <c r="B209" s="243">
        <f>B2</f>
        <v>2013</v>
      </c>
      <c r="C209" s="243">
        <f t="shared" ref="C209:AK209" si="178">C2</f>
        <v>2014</v>
      </c>
      <c r="D209" s="243">
        <f t="shared" si="178"/>
        <v>2015</v>
      </c>
      <c r="E209" s="243">
        <f t="shared" si="178"/>
        <v>2016</v>
      </c>
      <c r="F209" s="243">
        <f t="shared" si="178"/>
        <v>2017</v>
      </c>
      <c r="G209" s="243">
        <f t="shared" si="178"/>
        <v>2018</v>
      </c>
      <c r="H209" s="243">
        <f t="shared" si="178"/>
        <v>2019</v>
      </c>
      <c r="I209" s="243">
        <f t="shared" si="178"/>
        <v>2020</v>
      </c>
      <c r="J209" s="243">
        <f t="shared" si="178"/>
        <v>2021</v>
      </c>
      <c r="K209" s="243">
        <f t="shared" si="178"/>
        <v>2022</v>
      </c>
      <c r="L209" s="243">
        <f t="shared" si="178"/>
        <v>2023</v>
      </c>
      <c r="M209" s="243">
        <f t="shared" si="178"/>
        <v>2024</v>
      </c>
      <c r="N209" s="243">
        <f t="shared" si="178"/>
        <v>2025</v>
      </c>
      <c r="O209" s="243">
        <f t="shared" si="178"/>
        <v>2026</v>
      </c>
      <c r="P209" s="243">
        <f t="shared" si="178"/>
        <v>2027</v>
      </c>
      <c r="Q209" s="243">
        <f t="shared" si="178"/>
        <v>2028</v>
      </c>
      <c r="R209" s="243">
        <f t="shared" si="178"/>
        <v>2029</v>
      </c>
      <c r="S209" s="243">
        <f t="shared" si="178"/>
        <v>2030</v>
      </c>
      <c r="T209" s="243">
        <f t="shared" si="178"/>
        <v>2031</v>
      </c>
      <c r="U209" s="243">
        <f t="shared" si="178"/>
        <v>2032</v>
      </c>
      <c r="V209" s="243">
        <f t="shared" si="178"/>
        <v>2033</v>
      </c>
      <c r="W209" s="243">
        <f t="shared" si="178"/>
        <v>2034</v>
      </c>
      <c r="X209" s="243">
        <f t="shared" si="178"/>
        <v>2035</v>
      </c>
      <c r="Y209" s="243">
        <f t="shared" si="178"/>
        <v>2036</v>
      </c>
      <c r="Z209" s="243">
        <f t="shared" si="178"/>
        <v>2037</v>
      </c>
      <c r="AA209" s="243">
        <f t="shared" si="178"/>
        <v>2038</v>
      </c>
      <c r="AB209" s="243">
        <f t="shared" si="178"/>
        <v>2039</v>
      </c>
      <c r="AC209" s="243">
        <f t="shared" si="178"/>
        <v>2040</v>
      </c>
      <c r="AD209" s="243">
        <f t="shared" si="178"/>
        <v>2041</v>
      </c>
      <c r="AE209" s="243">
        <f t="shared" si="178"/>
        <v>2042</v>
      </c>
      <c r="AF209" s="243">
        <f t="shared" si="178"/>
        <v>2043</v>
      </c>
      <c r="AG209" s="243">
        <f t="shared" si="178"/>
        <v>2044</v>
      </c>
      <c r="AH209" s="243">
        <f t="shared" si="178"/>
        <v>2045</v>
      </c>
      <c r="AI209" s="243">
        <f t="shared" si="178"/>
        <v>2046</v>
      </c>
      <c r="AJ209" s="243">
        <f t="shared" si="178"/>
        <v>2047</v>
      </c>
      <c r="AK209" s="243">
        <f t="shared" si="178"/>
        <v>2048</v>
      </c>
      <c r="AL209" s="243">
        <f>AL2</f>
        <v>2049</v>
      </c>
      <c r="AM209" s="243">
        <f>AM2</f>
        <v>2050</v>
      </c>
    </row>
    <row r="210" spans="1:41">
      <c r="A210" s="230" t="s">
        <v>120</v>
      </c>
      <c r="B210" s="113">
        <v>4</v>
      </c>
      <c r="C210" s="113">
        <f>B217</f>
        <v>20</v>
      </c>
      <c r="D210" s="113">
        <f t="shared" ref="D210:AM210" si="179">C217</f>
        <v>20</v>
      </c>
      <c r="E210" s="113">
        <f t="shared" si="179"/>
        <v>20</v>
      </c>
      <c r="F210" s="113">
        <f t="shared" si="179"/>
        <v>20</v>
      </c>
      <c r="G210" s="113">
        <f t="shared" si="179"/>
        <v>20</v>
      </c>
      <c r="H210" s="113">
        <f t="shared" si="179"/>
        <v>20</v>
      </c>
      <c r="I210" s="113">
        <f t="shared" si="179"/>
        <v>11</v>
      </c>
      <c r="J210" s="113">
        <f t="shared" si="179"/>
        <v>10</v>
      </c>
      <c r="K210" s="244">
        <f t="shared" si="179"/>
        <v>10</v>
      </c>
      <c r="L210" s="113">
        <f t="shared" si="179"/>
        <v>10</v>
      </c>
      <c r="M210" s="13">
        <f t="shared" si="179"/>
        <v>11.13899675923048</v>
      </c>
      <c r="N210" s="13">
        <f t="shared" si="179"/>
        <v>49.049985729442056</v>
      </c>
      <c r="O210" s="123">
        <f t="shared" si="179"/>
        <v>44.999986907745004</v>
      </c>
      <c r="P210" s="123">
        <f t="shared" si="179"/>
        <v>49.999985453050002</v>
      </c>
      <c r="Q210" s="123">
        <f t="shared" si="179"/>
        <v>49.999985453050002</v>
      </c>
      <c r="R210" s="123">
        <f t="shared" si="179"/>
        <v>51.999984871172003</v>
      </c>
      <c r="S210" s="123">
        <f t="shared" si="179"/>
        <v>54.999983998355006</v>
      </c>
      <c r="T210" s="123">
        <f t="shared" si="179"/>
        <v>54.999983998355006</v>
      </c>
      <c r="U210" s="123">
        <f t="shared" si="179"/>
        <v>54.999983998355006</v>
      </c>
      <c r="V210" s="123">
        <f t="shared" si="179"/>
        <v>54.999983998355006</v>
      </c>
      <c r="W210" s="123">
        <f t="shared" si="179"/>
        <v>54.999983998355006</v>
      </c>
      <c r="X210" s="123">
        <f t="shared" si="179"/>
        <v>59.999982543660003</v>
      </c>
      <c r="Y210" s="123">
        <f t="shared" si="179"/>
        <v>59.999982543660003</v>
      </c>
      <c r="Z210" s="123">
        <f t="shared" si="179"/>
        <v>59.999982543660003</v>
      </c>
      <c r="AA210" s="123">
        <f t="shared" si="179"/>
        <v>59.999982543660003</v>
      </c>
      <c r="AB210" s="123">
        <f t="shared" si="179"/>
        <v>59.999982543660003</v>
      </c>
      <c r="AC210" s="123">
        <f t="shared" si="179"/>
        <v>59.999982543660003</v>
      </c>
      <c r="AD210" s="123">
        <f t="shared" si="179"/>
        <v>59.999982543660003</v>
      </c>
      <c r="AE210" s="123">
        <f t="shared" si="179"/>
        <v>59.999982543660003</v>
      </c>
      <c r="AF210" s="123">
        <f t="shared" si="179"/>
        <v>59.999982543660003</v>
      </c>
      <c r="AG210" s="123">
        <f t="shared" si="179"/>
        <v>59.999982543660003</v>
      </c>
      <c r="AH210" s="123">
        <f t="shared" si="179"/>
        <v>59.999982543660003</v>
      </c>
      <c r="AI210" s="123">
        <f t="shared" si="179"/>
        <v>59.999982543660003</v>
      </c>
      <c r="AJ210" s="123">
        <f t="shared" si="179"/>
        <v>59.999982543660003</v>
      </c>
      <c r="AK210" s="123">
        <f t="shared" si="179"/>
        <v>59.999982543660003</v>
      </c>
      <c r="AL210" s="123">
        <f t="shared" si="179"/>
        <v>59.999982543660003</v>
      </c>
      <c r="AM210" s="123">
        <f t="shared" si="179"/>
        <v>59.999982543660003</v>
      </c>
    </row>
    <row r="211" spans="1:41">
      <c r="A211" s="230" t="s">
        <v>3</v>
      </c>
      <c r="B211" s="113">
        <v>159</v>
      </c>
      <c r="C211" s="113">
        <v>351</v>
      </c>
      <c r="D211" s="113">
        <v>397</v>
      </c>
      <c r="E211" s="113">
        <v>464</v>
      </c>
      <c r="F211" s="113">
        <v>397</v>
      </c>
      <c r="G211" s="113">
        <v>308</v>
      </c>
      <c r="H211" s="113">
        <v>359</v>
      </c>
      <c r="I211" s="113">
        <v>457</v>
      </c>
      <c r="J211" s="113">
        <v>416</v>
      </c>
      <c r="K211" s="244">
        <v>400</v>
      </c>
      <c r="L211" s="13">
        <f t="shared" ref="L211:P217" si="180">L103*$I$123</f>
        <v>508.10585217214845</v>
      </c>
      <c r="M211" s="13">
        <f>M103*$I$123</f>
        <v>1120.3036740598748</v>
      </c>
      <c r="N211" s="13">
        <f>N103*$I$123</f>
        <v>1135.623</v>
      </c>
      <c r="O211" s="123">
        <f>O103*$I$123</f>
        <v>1400.6017000000002</v>
      </c>
      <c r="P211" s="123">
        <f>P103*$I$123</f>
        <v>1835.9238500000001</v>
      </c>
      <c r="Q211" s="123">
        <f t="shared" ref="Q211:AM217" si="181">Q103*$I$123</f>
        <v>2044.1214</v>
      </c>
      <c r="R211" s="123">
        <f t="shared" si="181"/>
        <v>2044.1214</v>
      </c>
      <c r="S211" s="123">
        <f t="shared" si="181"/>
        <v>2157.6837</v>
      </c>
      <c r="T211" s="123">
        <f t="shared" si="181"/>
        <v>2195.5378000000001</v>
      </c>
      <c r="U211" s="123">
        <f t="shared" si="181"/>
        <v>2233.3919000000001</v>
      </c>
      <c r="V211" s="123">
        <f t="shared" si="181"/>
        <v>2271.2460000000001</v>
      </c>
      <c r="W211" s="123">
        <f t="shared" si="181"/>
        <v>2309.1001000000001</v>
      </c>
      <c r="X211" s="123">
        <f t="shared" si="181"/>
        <v>2346.9542000000001</v>
      </c>
      <c r="Y211" s="123">
        <f t="shared" si="181"/>
        <v>2365.8812499999999</v>
      </c>
      <c r="Z211" s="123">
        <f t="shared" si="181"/>
        <v>2365.8812499999999</v>
      </c>
      <c r="AA211" s="123">
        <f t="shared" si="181"/>
        <v>2365.8812499999999</v>
      </c>
      <c r="AB211" s="123">
        <f t="shared" si="181"/>
        <v>2365.8812499999999</v>
      </c>
      <c r="AC211" s="123">
        <f t="shared" si="181"/>
        <v>2365.8812499999999</v>
      </c>
      <c r="AD211" s="123">
        <f t="shared" si="181"/>
        <v>2365.8812499999999</v>
      </c>
      <c r="AE211" s="123">
        <f t="shared" si="181"/>
        <v>2365.8812499999999</v>
      </c>
      <c r="AF211" s="123">
        <f t="shared" si="181"/>
        <v>2365.8812499999999</v>
      </c>
      <c r="AG211" s="123">
        <f t="shared" si="181"/>
        <v>2365.8812499999999</v>
      </c>
      <c r="AH211" s="123">
        <f t="shared" si="181"/>
        <v>2365.8812499999999</v>
      </c>
      <c r="AI211" s="123">
        <f t="shared" si="181"/>
        <v>2365.8812499999999</v>
      </c>
      <c r="AJ211" s="123">
        <f t="shared" si="181"/>
        <v>2365.8812499999999</v>
      </c>
      <c r="AK211" s="123">
        <f t="shared" si="181"/>
        <v>2365.8812499999999</v>
      </c>
      <c r="AL211" s="123">
        <f t="shared" si="181"/>
        <v>2365.8812499999999</v>
      </c>
      <c r="AM211" s="123">
        <f t="shared" si="181"/>
        <v>2365.8812499999999</v>
      </c>
      <c r="AN211" s="13"/>
      <c r="AO211" s="13"/>
    </row>
    <row r="212" spans="1:41">
      <c r="A212" s="230" t="s">
        <v>121</v>
      </c>
      <c r="B212" s="113">
        <v>590</v>
      </c>
      <c r="C212" s="113">
        <v>610</v>
      </c>
      <c r="D212" s="113">
        <v>505</v>
      </c>
      <c r="E212" s="113">
        <v>523</v>
      </c>
      <c r="F212" s="113">
        <v>711</v>
      </c>
      <c r="G212" s="113">
        <v>749</v>
      </c>
      <c r="H212" s="113">
        <v>789</v>
      </c>
      <c r="I212" s="113">
        <v>884</v>
      </c>
      <c r="J212" s="113">
        <v>860</v>
      </c>
      <c r="K212" s="244">
        <v>860</v>
      </c>
      <c r="L212" s="13">
        <f t="shared" si="180"/>
        <v>694.40488457047854</v>
      </c>
      <c r="M212" s="13">
        <f t="shared" si="180"/>
        <v>508.80322026925694</v>
      </c>
      <c r="N212" s="13">
        <f t="shared" si="180"/>
        <v>449.99986907745</v>
      </c>
      <c r="O212" s="123">
        <f t="shared" si="180"/>
        <v>399.99988362440001</v>
      </c>
      <c r="P212" s="123">
        <f t="shared" si="180"/>
        <v>349.99989817135003</v>
      </c>
      <c r="Q212" s="123">
        <f t="shared" si="181"/>
        <v>349.99989817135003</v>
      </c>
      <c r="R212" s="123">
        <f t="shared" si="181"/>
        <v>299.99991271830004</v>
      </c>
      <c r="S212" s="123">
        <f t="shared" si="181"/>
        <v>274.99991999177502</v>
      </c>
      <c r="T212" s="123">
        <f t="shared" si="181"/>
        <v>249.99992726525002</v>
      </c>
      <c r="U212" s="123">
        <f t="shared" si="181"/>
        <v>199.99994181220001</v>
      </c>
      <c r="V212" s="123">
        <f t="shared" si="181"/>
        <v>199.99994181220001</v>
      </c>
      <c r="W212" s="123">
        <f t="shared" si="181"/>
        <v>174.99994908567501</v>
      </c>
      <c r="X212" s="123">
        <f t="shared" si="181"/>
        <v>174.99994908567501</v>
      </c>
      <c r="Y212" s="123">
        <f t="shared" si="181"/>
        <v>149.99995635915002</v>
      </c>
      <c r="Z212" s="123">
        <f t="shared" si="181"/>
        <v>149.99995635915002</v>
      </c>
      <c r="AA212" s="123">
        <f t="shared" si="181"/>
        <v>149.99995635915002</v>
      </c>
      <c r="AB212" s="123">
        <f t="shared" si="181"/>
        <v>124.99996363262501</v>
      </c>
      <c r="AC212" s="123">
        <f t="shared" si="181"/>
        <v>124.99996363262501</v>
      </c>
      <c r="AD212" s="123">
        <f t="shared" si="181"/>
        <v>124.99996363262501</v>
      </c>
      <c r="AE212" s="123">
        <f t="shared" si="181"/>
        <v>124.99996363262501</v>
      </c>
      <c r="AF212" s="123">
        <f t="shared" si="181"/>
        <v>124.99996363262501</v>
      </c>
      <c r="AG212" s="123">
        <f t="shared" si="181"/>
        <v>124.99996363262501</v>
      </c>
      <c r="AH212" s="123">
        <f t="shared" si="181"/>
        <v>99.999970906100003</v>
      </c>
      <c r="AI212" s="123">
        <f t="shared" si="181"/>
        <v>99.999970906100003</v>
      </c>
      <c r="AJ212" s="123">
        <f t="shared" si="181"/>
        <v>99.999970906100003</v>
      </c>
      <c r="AK212" s="123">
        <f t="shared" si="181"/>
        <v>99.999970906100003</v>
      </c>
      <c r="AL212" s="123">
        <f t="shared" si="181"/>
        <v>99.999970906100003</v>
      </c>
      <c r="AM212" s="123">
        <f t="shared" si="181"/>
        <v>99.999970906100003</v>
      </c>
      <c r="AN212" s="13"/>
      <c r="AO212" s="13"/>
    </row>
    <row r="213" spans="1:41">
      <c r="A213" s="230" t="s">
        <v>122</v>
      </c>
      <c r="B213" s="113">
        <f>SUM(B210:B212)</f>
        <v>753</v>
      </c>
      <c r="C213" s="113">
        <f>SUM(C210:C212)</f>
        <v>981</v>
      </c>
      <c r="D213" s="113">
        <f t="shared" ref="D213:K213" si="182">SUM(D210:D212)</f>
        <v>922</v>
      </c>
      <c r="E213" s="113">
        <f t="shared" si="182"/>
        <v>1007</v>
      </c>
      <c r="F213" s="113">
        <f t="shared" si="182"/>
        <v>1128</v>
      </c>
      <c r="G213" s="113">
        <f t="shared" si="182"/>
        <v>1077</v>
      </c>
      <c r="H213" s="113">
        <f t="shared" si="182"/>
        <v>1168</v>
      </c>
      <c r="I213" s="113">
        <f t="shared" si="182"/>
        <v>1352</v>
      </c>
      <c r="J213" s="113">
        <f t="shared" si="182"/>
        <v>1286</v>
      </c>
      <c r="K213" s="244">
        <f t="shared" si="182"/>
        <v>1270</v>
      </c>
      <c r="L213" s="13">
        <f t="shared" si="180"/>
        <v>1207.5697352707666</v>
      </c>
      <c r="M213" s="13">
        <f t="shared" si="180"/>
        <v>1640.2458910883622</v>
      </c>
      <c r="N213" s="13">
        <f t="shared" si="180"/>
        <v>1634.6728548068922</v>
      </c>
      <c r="O213" s="123">
        <f t="shared" si="180"/>
        <v>1845.6015705321449</v>
      </c>
      <c r="P213" s="123">
        <f t="shared" si="180"/>
        <v>2235.9237336244</v>
      </c>
      <c r="Q213" s="123">
        <f t="shared" si="181"/>
        <v>2444.1212836244003</v>
      </c>
      <c r="R213" s="123">
        <f t="shared" si="181"/>
        <v>2396.1212975894723</v>
      </c>
      <c r="S213" s="123">
        <f t="shared" si="181"/>
        <v>2487.68360399013</v>
      </c>
      <c r="T213" s="123">
        <f t="shared" si="181"/>
        <v>2500.5377112636052</v>
      </c>
      <c r="U213" s="123">
        <f t="shared" si="181"/>
        <v>2488.3918258105555</v>
      </c>
      <c r="V213" s="123">
        <f t="shared" si="181"/>
        <v>2526.245925810555</v>
      </c>
      <c r="W213" s="123">
        <f t="shared" si="181"/>
        <v>2539.1000330840302</v>
      </c>
      <c r="X213" s="123">
        <f t="shared" si="181"/>
        <v>2581.9541316293353</v>
      </c>
      <c r="Y213" s="123">
        <f t="shared" si="181"/>
        <v>2575.8811889028102</v>
      </c>
      <c r="Z213" s="123">
        <f t="shared" si="181"/>
        <v>2575.8811889028102</v>
      </c>
      <c r="AA213" s="123">
        <f t="shared" si="181"/>
        <v>2575.8811889028102</v>
      </c>
      <c r="AB213" s="123">
        <f t="shared" si="181"/>
        <v>2550.8811961762849</v>
      </c>
      <c r="AC213" s="123">
        <f t="shared" si="181"/>
        <v>2550.8811961762849</v>
      </c>
      <c r="AD213" s="123">
        <f t="shared" si="181"/>
        <v>2550.8811961762849</v>
      </c>
      <c r="AE213" s="123">
        <f t="shared" si="181"/>
        <v>2550.8811961762849</v>
      </c>
      <c r="AF213" s="123">
        <f t="shared" si="181"/>
        <v>2550.8811961762849</v>
      </c>
      <c r="AG213" s="123">
        <f t="shared" si="181"/>
        <v>2550.8811961762849</v>
      </c>
      <c r="AH213" s="123">
        <f t="shared" si="181"/>
        <v>2525.8812034497601</v>
      </c>
      <c r="AI213" s="123">
        <f t="shared" si="181"/>
        <v>2525.8812034497601</v>
      </c>
      <c r="AJ213" s="123">
        <f t="shared" si="181"/>
        <v>2525.8812034497601</v>
      </c>
      <c r="AK213" s="123">
        <f t="shared" si="181"/>
        <v>2525.8812034497601</v>
      </c>
      <c r="AL213" s="123">
        <f t="shared" si="181"/>
        <v>2525.8812034497601</v>
      </c>
      <c r="AM213" s="123">
        <f t="shared" si="181"/>
        <v>2525.8812034497601</v>
      </c>
      <c r="AN213" s="13"/>
      <c r="AO213" s="13"/>
    </row>
    <row r="214" spans="1:41">
      <c r="A214" s="230" t="s">
        <v>148</v>
      </c>
      <c r="B214" s="113">
        <f>B216-B215</f>
        <v>577</v>
      </c>
      <c r="C214" s="113">
        <f>C216-C215</f>
        <v>634</v>
      </c>
      <c r="D214" s="113">
        <f t="shared" ref="D214:K214" si="183">D216-D215</f>
        <v>635</v>
      </c>
      <c r="E214" s="113">
        <f t="shared" si="183"/>
        <v>532</v>
      </c>
      <c r="F214" s="113">
        <f t="shared" si="183"/>
        <v>758</v>
      </c>
      <c r="G214" s="113">
        <f t="shared" si="183"/>
        <v>749</v>
      </c>
      <c r="H214" s="113">
        <f t="shared" si="183"/>
        <v>815</v>
      </c>
      <c r="I214" s="113">
        <f t="shared" si="183"/>
        <v>891</v>
      </c>
      <c r="J214" s="113">
        <f t="shared" si="183"/>
        <v>836</v>
      </c>
      <c r="K214" s="244">
        <f t="shared" si="183"/>
        <v>885</v>
      </c>
      <c r="L214" s="13">
        <f t="shared" si="180"/>
        <v>797.5387894647946</v>
      </c>
      <c r="M214" s="13">
        <f t="shared" si="180"/>
        <v>1213.5626589271913</v>
      </c>
      <c r="N214" s="13">
        <f t="shared" si="180"/>
        <v>1202.6729804925403</v>
      </c>
      <c r="O214" s="123">
        <f t="shared" si="180"/>
        <v>1391.6017026184511</v>
      </c>
      <c r="P214" s="123">
        <f t="shared" si="180"/>
        <v>1748.9238753116927</v>
      </c>
      <c r="Q214" s="123">
        <f t="shared" si="181"/>
        <v>1933.1214322942292</v>
      </c>
      <c r="R214" s="123">
        <f t="shared" si="181"/>
        <v>1898.121442477094</v>
      </c>
      <c r="S214" s="123">
        <f t="shared" si="181"/>
        <v>1974.6837532418372</v>
      </c>
      <c r="T214" s="123">
        <f t="shared" si="181"/>
        <v>1987.5378605153116</v>
      </c>
      <c r="U214" s="123">
        <f t="shared" si="181"/>
        <v>1976.391974771323</v>
      </c>
      <c r="V214" s="123">
        <f t="shared" si="181"/>
        <v>2010.246075935079</v>
      </c>
      <c r="W214" s="123">
        <f t="shared" si="181"/>
        <v>2015.1001855360662</v>
      </c>
      <c r="X214" s="123">
        <f t="shared" si="181"/>
        <v>2051.9542858270052</v>
      </c>
      <c r="Y214" s="123">
        <f t="shared" si="181"/>
        <v>2046.8813428095409</v>
      </c>
      <c r="Z214" s="123">
        <f t="shared" si="181"/>
        <v>2046.8813428095409</v>
      </c>
      <c r="AA214" s="123">
        <f t="shared" si="181"/>
        <v>2046.8813428095409</v>
      </c>
      <c r="AB214" s="123">
        <f t="shared" si="181"/>
        <v>2025.8813489192598</v>
      </c>
      <c r="AC214" s="123">
        <f t="shared" si="181"/>
        <v>2025.8813489192598</v>
      </c>
      <c r="AD214" s="123">
        <f t="shared" si="181"/>
        <v>2025.8813489192598</v>
      </c>
      <c r="AE214" s="123">
        <f t="shared" si="181"/>
        <v>2025.8813489192598</v>
      </c>
      <c r="AF214" s="123">
        <f t="shared" si="181"/>
        <v>2025.8813489192598</v>
      </c>
      <c r="AG214" s="123">
        <f t="shared" si="181"/>
        <v>2025.8813489192598</v>
      </c>
      <c r="AH214" s="123">
        <f t="shared" si="181"/>
        <v>2004.8813550289788</v>
      </c>
      <c r="AI214" s="123">
        <f t="shared" si="181"/>
        <v>2004.8813550289788</v>
      </c>
      <c r="AJ214" s="123">
        <f t="shared" si="181"/>
        <v>2004.8813550289788</v>
      </c>
      <c r="AK214" s="123">
        <f t="shared" si="181"/>
        <v>2004.8813550289788</v>
      </c>
      <c r="AL214" s="123">
        <f t="shared" si="181"/>
        <v>2004.8813550289788</v>
      </c>
      <c r="AM214" s="123">
        <f t="shared" si="181"/>
        <v>2004.8813550289788</v>
      </c>
      <c r="AN214" s="13"/>
      <c r="AO214" s="13"/>
    </row>
    <row r="215" spans="1:41">
      <c r="A215" s="230" t="s">
        <v>123</v>
      </c>
      <c r="B215" s="113">
        <v>156</v>
      </c>
      <c r="C215" s="113">
        <v>327</v>
      </c>
      <c r="D215" s="113">
        <v>267</v>
      </c>
      <c r="E215" s="113">
        <v>455</v>
      </c>
      <c r="F215" s="113">
        <v>350</v>
      </c>
      <c r="G215" s="113">
        <v>308</v>
      </c>
      <c r="H215" s="113">
        <v>342</v>
      </c>
      <c r="I215" s="113">
        <v>451</v>
      </c>
      <c r="J215" s="113">
        <v>440</v>
      </c>
      <c r="K215" s="244">
        <v>375</v>
      </c>
      <c r="L215" s="13">
        <f t="shared" si="180"/>
        <v>398.89194904674162</v>
      </c>
      <c r="M215" s="13">
        <f t="shared" si="180"/>
        <v>377.63324643172905</v>
      </c>
      <c r="N215" s="13">
        <f t="shared" si="180"/>
        <v>386.999887406607</v>
      </c>
      <c r="O215" s="123">
        <f t="shared" si="180"/>
        <v>403.99988246064402</v>
      </c>
      <c r="P215" s="123">
        <f t="shared" si="180"/>
        <v>436.99987285965705</v>
      </c>
      <c r="Q215" s="123">
        <f t="shared" si="181"/>
        <v>458.99986645899901</v>
      </c>
      <c r="R215" s="123">
        <f t="shared" si="181"/>
        <v>442.99987111402299</v>
      </c>
      <c r="S215" s="123">
        <f t="shared" si="181"/>
        <v>457.99986674993801</v>
      </c>
      <c r="T215" s="123">
        <f t="shared" si="181"/>
        <v>457.99986674993801</v>
      </c>
      <c r="U215" s="123">
        <f t="shared" si="181"/>
        <v>456.99986704087706</v>
      </c>
      <c r="V215" s="123">
        <f t="shared" si="181"/>
        <v>460.99986587712101</v>
      </c>
      <c r="W215" s="123">
        <f t="shared" si="181"/>
        <v>463.99986500430407</v>
      </c>
      <c r="X215" s="123">
        <f t="shared" si="181"/>
        <v>469.99986325867002</v>
      </c>
      <c r="Y215" s="123">
        <f t="shared" si="181"/>
        <v>468.99986354960902</v>
      </c>
      <c r="Z215" s="123">
        <f t="shared" si="181"/>
        <v>468.99986354960902</v>
      </c>
      <c r="AA215" s="123">
        <f t="shared" si="181"/>
        <v>468.99986354960902</v>
      </c>
      <c r="AB215" s="123">
        <f t="shared" si="181"/>
        <v>464.99986471336501</v>
      </c>
      <c r="AC215" s="123">
        <f t="shared" si="181"/>
        <v>464.99986471336501</v>
      </c>
      <c r="AD215" s="123">
        <f t="shared" si="181"/>
        <v>464.99986471336501</v>
      </c>
      <c r="AE215" s="123">
        <f t="shared" si="181"/>
        <v>464.99986471336501</v>
      </c>
      <c r="AF215" s="123">
        <f t="shared" si="181"/>
        <v>464.99986471336501</v>
      </c>
      <c r="AG215" s="123">
        <f t="shared" si="181"/>
        <v>464.99986471336501</v>
      </c>
      <c r="AH215" s="123">
        <f t="shared" si="181"/>
        <v>460.99986587712101</v>
      </c>
      <c r="AI215" s="123">
        <f t="shared" si="181"/>
        <v>460.99986587712101</v>
      </c>
      <c r="AJ215" s="123">
        <f t="shared" si="181"/>
        <v>460.99986587712101</v>
      </c>
      <c r="AK215" s="123">
        <f t="shared" si="181"/>
        <v>460.99986587712101</v>
      </c>
      <c r="AL215" s="123">
        <f t="shared" si="181"/>
        <v>460.99986587712101</v>
      </c>
      <c r="AM215" s="123">
        <f t="shared" si="181"/>
        <v>460.99986587712101</v>
      </c>
      <c r="AN215" s="13"/>
      <c r="AO215" s="13"/>
    </row>
    <row r="216" spans="1:41">
      <c r="A216" s="230" t="s">
        <v>126</v>
      </c>
      <c r="B216" s="113">
        <f>B213-B217</f>
        <v>733</v>
      </c>
      <c r="C216" s="113">
        <f>C213-C217</f>
        <v>961</v>
      </c>
      <c r="D216" s="113">
        <f t="shared" ref="D216:K216" si="184">D213-D217</f>
        <v>902</v>
      </c>
      <c r="E216" s="113">
        <f t="shared" si="184"/>
        <v>987</v>
      </c>
      <c r="F216" s="113">
        <f t="shared" si="184"/>
        <v>1108</v>
      </c>
      <c r="G216" s="113">
        <f t="shared" si="184"/>
        <v>1057</v>
      </c>
      <c r="H216" s="113">
        <f t="shared" si="184"/>
        <v>1157</v>
      </c>
      <c r="I216" s="113">
        <f t="shared" si="184"/>
        <v>1342</v>
      </c>
      <c r="J216" s="113">
        <f t="shared" si="184"/>
        <v>1276</v>
      </c>
      <c r="K216" s="244">
        <f t="shared" si="184"/>
        <v>1260</v>
      </c>
      <c r="L216" s="13">
        <f t="shared" si="180"/>
        <v>1196.4307385115362</v>
      </c>
      <c r="M216" s="13">
        <f t="shared" si="180"/>
        <v>1591.1959053589198</v>
      </c>
      <c r="N216" s="13">
        <f t="shared" si="180"/>
        <v>1589.6728678991474</v>
      </c>
      <c r="O216" s="123">
        <f t="shared" si="180"/>
        <v>1795.601585079095</v>
      </c>
      <c r="P216" s="123">
        <f t="shared" si="180"/>
        <v>2185.9237481713499</v>
      </c>
      <c r="Q216" s="123">
        <f t="shared" si="181"/>
        <v>2392.1212987532281</v>
      </c>
      <c r="R216" s="123">
        <f t="shared" si="181"/>
        <v>2341.1213135911171</v>
      </c>
      <c r="S216" s="123">
        <f t="shared" si="181"/>
        <v>2432.6836199917748</v>
      </c>
      <c r="T216" s="123">
        <f t="shared" si="181"/>
        <v>2445.5377272652499</v>
      </c>
      <c r="U216" s="123">
        <f t="shared" si="181"/>
        <v>2433.3918418122003</v>
      </c>
      <c r="V216" s="123">
        <f t="shared" si="181"/>
        <v>2471.2459418122003</v>
      </c>
      <c r="W216" s="123">
        <f t="shared" si="181"/>
        <v>2479.1000505403704</v>
      </c>
      <c r="X216" s="123">
        <f t="shared" si="181"/>
        <v>2521.954149085675</v>
      </c>
      <c r="Y216" s="123">
        <f t="shared" si="181"/>
        <v>2515.8812063591499</v>
      </c>
      <c r="Z216" s="123">
        <f t="shared" si="181"/>
        <v>2515.8812063591499</v>
      </c>
      <c r="AA216" s="123">
        <f t="shared" si="181"/>
        <v>2515.8812063591499</v>
      </c>
      <c r="AB216" s="123">
        <f t="shared" si="181"/>
        <v>2490.8812136326251</v>
      </c>
      <c r="AC216" s="123">
        <f t="shared" si="181"/>
        <v>2490.8812136326251</v>
      </c>
      <c r="AD216" s="123">
        <f t="shared" si="181"/>
        <v>2490.8812136326251</v>
      </c>
      <c r="AE216" s="123">
        <f t="shared" si="181"/>
        <v>2490.8812136326251</v>
      </c>
      <c r="AF216" s="123">
        <f t="shared" si="181"/>
        <v>2490.8812136326251</v>
      </c>
      <c r="AG216" s="123">
        <f t="shared" si="181"/>
        <v>2490.8812136326251</v>
      </c>
      <c r="AH216" s="123">
        <f t="shared" si="181"/>
        <v>2465.8812209060998</v>
      </c>
      <c r="AI216" s="123">
        <f t="shared" si="181"/>
        <v>2465.8812209060998</v>
      </c>
      <c r="AJ216" s="123">
        <f t="shared" si="181"/>
        <v>2465.8812209060998</v>
      </c>
      <c r="AK216" s="123">
        <f t="shared" si="181"/>
        <v>2465.8812209060998</v>
      </c>
      <c r="AL216" s="123">
        <f t="shared" si="181"/>
        <v>2465.8812209060998</v>
      </c>
      <c r="AM216" s="123">
        <f t="shared" si="181"/>
        <v>2465.8812209060998</v>
      </c>
      <c r="AN216" s="13"/>
      <c r="AO216" s="13"/>
    </row>
    <row r="217" spans="1:41" ht="12" thickBot="1">
      <c r="A217" s="230" t="s">
        <v>127</v>
      </c>
      <c r="B217" s="113">
        <v>20</v>
      </c>
      <c r="C217" s="113">
        <v>20</v>
      </c>
      <c r="D217" s="113">
        <v>20</v>
      </c>
      <c r="E217" s="113">
        <v>20</v>
      </c>
      <c r="F217" s="113">
        <v>20</v>
      </c>
      <c r="G217" s="113">
        <v>20</v>
      </c>
      <c r="H217" s="113">
        <v>11</v>
      </c>
      <c r="I217" s="113">
        <v>10</v>
      </c>
      <c r="J217" s="113">
        <v>10</v>
      </c>
      <c r="K217" s="244">
        <v>10</v>
      </c>
      <c r="L217" s="13">
        <f t="shared" si="180"/>
        <v>11.13899675923048</v>
      </c>
      <c r="M217" s="13">
        <f t="shared" si="180"/>
        <v>49.049985729442056</v>
      </c>
      <c r="N217" s="13">
        <f t="shared" si="180"/>
        <v>44.999986907745004</v>
      </c>
      <c r="O217" s="123">
        <f t="shared" si="180"/>
        <v>49.999985453050002</v>
      </c>
      <c r="P217" s="123">
        <f t="shared" si="180"/>
        <v>49.999985453050002</v>
      </c>
      <c r="Q217" s="123">
        <f t="shared" si="181"/>
        <v>51.999984871172003</v>
      </c>
      <c r="R217" s="123">
        <f t="shared" si="181"/>
        <v>54.999983998355006</v>
      </c>
      <c r="S217" s="123">
        <f t="shared" si="181"/>
        <v>54.999983998355006</v>
      </c>
      <c r="T217" s="123">
        <f t="shared" si="181"/>
        <v>54.999983998355006</v>
      </c>
      <c r="U217" s="123">
        <f t="shared" si="181"/>
        <v>54.999983998355006</v>
      </c>
      <c r="V217" s="123">
        <f t="shared" si="181"/>
        <v>54.999983998355006</v>
      </c>
      <c r="W217" s="123">
        <f t="shared" si="181"/>
        <v>59.999982543660003</v>
      </c>
      <c r="X217" s="123">
        <f t="shared" si="181"/>
        <v>59.999982543660003</v>
      </c>
      <c r="Y217" s="123">
        <f t="shared" si="181"/>
        <v>59.999982543660003</v>
      </c>
      <c r="Z217" s="123">
        <f t="shared" si="181"/>
        <v>59.999982543660003</v>
      </c>
      <c r="AA217" s="123">
        <f t="shared" si="181"/>
        <v>59.999982543660003</v>
      </c>
      <c r="AB217" s="123">
        <f t="shared" si="181"/>
        <v>59.999982543660003</v>
      </c>
      <c r="AC217" s="123">
        <f t="shared" si="181"/>
        <v>59.999982543660003</v>
      </c>
      <c r="AD217" s="123">
        <f t="shared" si="181"/>
        <v>59.999982543660003</v>
      </c>
      <c r="AE217" s="123">
        <f t="shared" si="181"/>
        <v>59.999982543660003</v>
      </c>
      <c r="AF217" s="123">
        <f t="shared" si="181"/>
        <v>59.999982543660003</v>
      </c>
      <c r="AG217" s="123">
        <f t="shared" si="181"/>
        <v>59.999982543660003</v>
      </c>
      <c r="AH217" s="123">
        <f t="shared" si="181"/>
        <v>59.999982543660003</v>
      </c>
      <c r="AI217" s="123">
        <f t="shared" si="181"/>
        <v>59.999982543660003</v>
      </c>
      <c r="AJ217" s="123">
        <f t="shared" si="181"/>
        <v>59.999982543660003</v>
      </c>
      <c r="AK217" s="123">
        <f t="shared" si="181"/>
        <v>59.999982543660003</v>
      </c>
      <c r="AL217" s="123">
        <f t="shared" si="181"/>
        <v>59.999982543660003</v>
      </c>
      <c r="AM217" s="123">
        <f t="shared" si="181"/>
        <v>59.999982543660003</v>
      </c>
      <c r="AN217" s="13"/>
      <c r="AO217" s="13"/>
    </row>
    <row r="218" spans="1:4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row>
    <row r="219" spans="1:41" ht="12" thickBot="1">
      <c r="A219" s="138" t="s">
        <v>239</v>
      </c>
    </row>
    <row r="220" spans="1:41" ht="12" thickBot="1">
      <c r="A220" s="176"/>
      <c r="B220" s="177">
        <f>B2</f>
        <v>2013</v>
      </c>
      <c r="C220" s="177">
        <f t="shared" ref="C220:AK220" si="185">C2</f>
        <v>2014</v>
      </c>
      <c r="D220" s="177">
        <f t="shared" si="185"/>
        <v>2015</v>
      </c>
      <c r="E220" s="177">
        <f t="shared" si="185"/>
        <v>2016</v>
      </c>
      <c r="F220" s="177">
        <f t="shared" si="185"/>
        <v>2017</v>
      </c>
      <c r="G220" s="177">
        <f t="shared" si="185"/>
        <v>2018</v>
      </c>
      <c r="H220" s="177">
        <f t="shared" si="185"/>
        <v>2019</v>
      </c>
      <c r="I220" s="177">
        <f t="shared" si="185"/>
        <v>2020</v>
      </c>
      <c r="J220" s="177">
        <f t="shared" si="185"/>
        <v>2021</v>
      </c>
      <c r="K220" s="177">
        <f t="shared" si="185"/>
        <v>2022</v>
      </c>
      <c r="L220" s="177">
        <f t="shared" si="185"/>
        <v>2023</v>
      </c>
      <c r="M220" s="177">
        <f t="shared" si="185"/>
        <v>2024</v>
      </c>
      <c r="N220" s="177">
        <f t="shared" si="185"/>
        <v>2025</v>
      </c>
      <c r="O220" s="177">
        <f t="shared" si="185"/>
        <v>2026</v>
      </c>
      <c r="P220" s="177">
        <f t="shared" si="185"/>
        <v>2027</v>
      </c>
      <c r="Q220" s="177">
        <f t="shared" si="185"/>
        <v>2028</v>
      </c>
      <c r="R220" s="177">
        <f t="shared" si="185"/>
        <v>2029</v>
      </c>
      <c r="S220" s="177">
        <f t="shared" si="185"/>
        <v>2030</v>
      </c>
      <c r="T220" s="177">
        <f t="shared" si="185"/>
        <v>2031</v>
      </c>
      <c r="U220" s="177">
        <f t="shared" si="185"/>
        <v>2032</v>
      </c>
      <c r="V220" s="177">
        <f t="shared" si="185"/>
        <v>2033</v>
      </c>
      <c r="W220" s="177">
        <f t="shared" si="185"/>
        <v>2034</v>
      </c>
      <c r="X220" s="177">
        <f t="shared" si="185"/>
        <v>2035</v>
      </c>
      <c r="Y220" s="177">
        <f t="shared" si="185"/>
        <v>2036</v>
      </c>
      <c r="Z220" s="177">
        <f t="shared" si="185"/>
        <v>2037</v>
      </c>
      <c r="AA220" s="177">
        <f t="shared" si="185"/>
        <v>2038</v>
      </c>
      <c r="AB220" s="177">
        <f t="shared" si="185"/>
        <v>2039</v>
      </c>
      <c r="AC220" s="177">
        <f t="shared" si="185"/>
        <v>2040</v>
      </c>
      <c r="AD220" s="177">
        <f t="shared" si="185"/>
        <v>2041</v>
      </c>
      <c r="AE220" s="177">
        <f t="shared" si="185"/>
        <v>2042</v>
      </c>
      <c r="AF220" s="177">
        <f t="shared" si="185"/>
        <v>2043</v>
      </c>
      <c r="AG220" s="177">
        <f t="shared" si="185"/>
        <v>2044</v>
      </c>
      <c r="AH220" s="177">
        <f t="shared" si="185"/>
        <v>2045</v>
      </c>
      <c r="AI220" s="177">
        <f t="shared" si="185"/>
        <v>2046</v>
      </c>
      <c r="AJ220" s="177">
        <f t="shared" si="185"/>
        <v>2047</v>
      </c>
      <c r="AK220" s="177">
        <f t="shared" si="185"/>
        <v>2048</v>
      </c>
      <c r="AL220" s="177">
        <f>AL2</f>
        <v>2049</v>
      </c>
      <c r="AM220" s="177">
        <f>AM2</f>
        <v>2050</v>
      </c>
    </row>
    <row r="221" spans="1:41">
      <c r="A221" s="138" t="s">
        <v>240</v>
      </c>
      <c r="B221" s="13">
        <v>35</v>
      </c>
      <c r="C221" s="13">
        <v>152</v>
      </c>
      <c r="D221" s="13">
        <v>220</v>
      </c>
      <c r="E221" s="13">
        <v>224</v>
      </c>
      <c r="F221" s="13">
        <v>250</v>
      </c>
      <c r="G221" s="13">
        <v>175</v>
      </c>
      <c r="H221" s="13">
        <v>234</v>
      </c>
      <c r="I221" s="13">
        <v>246</v>
      </c>
      <c r="J221" s="13">
        <v>266</v>
      </c>
      <c r="K221" s="13">
        <f>K$225*K229</f>
        <v>231.15149982315791</v>
      </c>
      <c r="L221" s="13">
        <f>L225*L229</f>
        <v>318.12570144842107</v>
      </c>
      <c r="M221" s="13">
        <f t="shared" ref="M221:AK221" si="186">M225*M229</f>
        <v>701.42351366736852</v>
      </c>
      <c r="N221" s="13">
        <f t="shared" si="186"/>
        <v>711.01496255461382</v>
      </c>
      <c r="O221" s="123">
        <f t="shared" si="186"/>
        <v>876.91845381735709</v>
      </c>
      <c r="P221" s="123">
        <f t="shared" si="186"/>
        <v>1149.4741894632923</v>
      </c>
      <c r="Q221" s="123">
        <f t="shared" si="186"/>
        <v>1279.8269325983049</v>
      </c>
      <c r="R221" s="123">
        <f t="shared" si="186"/>
        <v>1279.8269325983049</v>
      </c>
      <c r="S221" s="123">
        <f t="shared" si="186"/>
        <v>1350.9284288537663</v>
      </c>
      <c r="T221" s="123">
        <f t="shared" si="186"/>
        <v>1374.6289276055868</v>
      </c>
      <c r="U221" s="123">
        <f t="shared" si="186"/>
        <v>1398.3294263574069</v>
      </c>
      <c r="V221" s="123">
        <f t="shared" si="186"/>
        <v>1422.0299251092276</v>
      </c>
      <c r="W221" s="123">
        <f t="shared" si="186"/>
        <v>1445.7304238610479</v>
      </c>
      <c r="X221" s="123">
        <f t="shared" si="186"/>
        <v>1469.4309226128685</v>
      </c>
      <c r="Y221" s="123">
        <f t="shared" si="186"/>
        <v>1481.2811719887786</v>
      </c>
      <c r="Z221" s="123">
        <f t="shared" si="186"/>
        <v>721.64980173812296</v>
      </c>
      <c r="AA221" s="123">
        <f t="shared" si="186"/>
        <v>477.02275030147115</v>
      </c>
      <c r="AB221" s="123">
        <f t="shared" si="186"/>
        <v>356.25749706059236</v>
      </c>
      <c r="AC221" s="123">
        <f t="shared" si="186"/>
        <v>284.28628553319999</v>
      </c>
      <c r="AD221" s="123">
        <f t="shared" si="186"/>
        <v>236.5070778805613</v>
      </c>
      <c r="AE221" s="123">
        <f t="shared" si="186"/>
        <v>202.4772825020633</v>
      </c>
      <c r="AF221" s="123">
        <f t="shared" si="186"/>
        <v>177.00844193576603</v>
      </c>
      <c r="AG221" s="123">
        <f t="shared" si="186"/>
        <v>157.2309623898704</v>
      </c>
      <c r="AH221" s="123">
        <f t="shared" si="186"/>
        <v>141.42885561701911</v>
      </c>
      <c r="AI221" s="123">
        <f t="shared" si="186"/>
        <v>128.51297839172054</v>
      </c>
      <c r="AJ221" s="123">
        <f t="shared" si="186"/>
        <v>117.75875425852217</v>
      </c>
      <c r="AK221" s="123">
        <f t="shared" si="186"/>
        <v>108.66541416133899</v>
      </c>
      <c r="AL221" s="123">
        <f>AL225*AL229</f>
        <v>100.8757787375871</v>
      </c>
      <c r="AM221" s="123">
        <f>AM225*AM229</f>
        <v>94.128235009320406</v>
      </c>
    </row>
    <row r="222" spans="1:41">
      <c r="A222" s="138" t="s">
        <v>241</v>
      </c>
      <c r="B222" s="13">
        <v>1</v>
      </c>
      <c r="C222" s="13">
        <v>0</v>
      </c>
      <c r="D222" s="13">
        <v>0</v>
      </c>
      <c r="E222" s="13">
        <v>15</v>
      </c>
      <c r="F222" s="13">
        <v>20</v>
      </c>
      <c r="G222" s="13">
        <v>5</v>
      </c>
      <c r="H222" s="13">
        <v>6</v>
      </c>
      <c r="I222" s="13">
        <v>17</v>
      </c>
      <c r="J222" s="13">
        <v>13</v>
      </c>
      <c r="K222" s="13">
        <f t="shared" ref="J222:L224" si="187">K$225*K230</f>
        <v>16.99643381052632</v>
      </c>
      <c r="L222" s="13">
        <f>L225*L230</f>
        <v>23.391595694736846</v>
      </c>
      <c r="M222" s="13">
        <f t="shared" ref="M222:AK222" si="188">M225*M230</f>
        <v>51.575258357894747</v>
      </c>
      <c r="N222" s="13">
        <f t="shared" si="188"/>
        <v>52.28051195254514</v>
      </c>
      <c r="O222" s="123">
        <f t="shared" si="188"/>
        <v>64.479298074805669</v>
      </c>
      <c r="P222" s="123">
        <f t="shared" si="188"/>
        <v>84.520160989947968</v>
      </c>
      <c r="Q222" s="123">
        <f t="shared" si="188"/>
        <v>94.10492151458125</v>
      </c>
      <c r="R222" s="123">
        <f t="shared" si="188"/>
        <v>94.10492151458125</v>
      </c>
      <c r="S222" s="123">
        <f t="shared" si="188"/>
        <v>99.332972709835758</v>
      </c>
      <c r="T222" s="123">
        <f t="shared" si="188"/>
        <v>101.07565644158728</v>
      </c>
      <c r="U222" s="123">
        <f t="shared" si="188"/>
        <v>102.81834017333875</v>
      </c>
      <c r="V222" s="123">
        <f t="shared" si="188"/>
        <v>104.56102390509028</v>
      </c>
      <c r="W222" s="123">
        <f t="shared" si="188"/>
        <v>106.30370763684178</v>
      </c>
      <c r="X222" s="123">
        <f t="shared" si="188"/>
        <v>108.04639136859328</v>
      </c>
      <c r="Y222" s="123">
        <f t="shared" si="188"/>
        <v>108.91773323446904</v>
      </c>
      <c r="Z222" s="123">
        <f t="shared" si="188"/>
        <v>53.062485421920819</v>
      </c>
      <c r="AA222" s="123">
        <f t="shared" si="188"/>
        <v>35.075202228049349</v>
      </c>
      <c r="AB222" s="123">
        <f t="shared" si="188"/>
        <v>26.195404195631792</v>
      </c>
      <c r="AC222" s="123">
        <f t="shared" si="188"/>
        <v>20.903403348029411</v>
      </c>
      <c r="AD222" s="123">
        <f t="shared" si="188"/>
        <v>17.390226314747153</v>
      </c>
      <c r="AE222" s="123">
        <f t="shared" si="188"/>
        <v>14.888035478092888</v>
      </c>
      <c r="AF222" s="123">
        <f t="shared" si="188"/>
        <v>13.015326612923971</v>
      </c>
      <c r="AG222" s="123">
        <f t="shared" si="188"/>
        <v>11.561100175725764</v>
      </c>
      <c r="AH222" s="123">
        <f t="shared" si="188"/>
        <v>10.399180560074933</v>
      </c>
      <c r="AI222" s="123">
        <f t="shared" si="188"/>
        <v>9.4494837052735701</v>
      </c>
      <c r="AJ222" s="123">
        <f t="shared" si="188"/>
        <v>8.6587319307736887</v>
      </c>
      <c r="AK222" s="123">
        <f t="shared" si="188"/>
        <v>7.9901039824513962</v>
      </c>
      <c r="AL222" s="123">
        <f>AL225*AL230</f>
        <v>7.4173366718814044</v>
      </c>
      <c r="AM222" s="123">
        <f>AM225*AM230</f>
        <v>6.9211937506853234</v>
      </c>
    </row>
    <row r="223" spans="1:41">
      <c r="A223" s="138" t="s">
        <v>242</v>
      </c>
      <c r="B223" s="13">
        <v>65</v>
      </c>
      <c r="C223" s="13">
        <v>84</v>
      </c>
      <c r="D223" s="13">
        <v>143</v>
      </c>
      <c r="E223" s="13">
        <v>50</v>
      </c>
      <c r="F223" s="13">
        <v>70</v>
      </c>
      <c r="G223" s="13">
        <v>20</v>
      </c>
      <c r="H223" s="13">
        <v>0</v>
      </c>
      <c r="I223" s="13">
        <f>I$225*I231</f>
        <v>24.71</v>
      </c>
      <c r="J223" s="13">
        <f t="shared" si="187"/>
        <v>27.762002018947378</v>
      </c>
      <c r="K223" s="13">
        <f t="shared" si="187"/>
        <v>23.795007334736848</v>
      </c>
      <c r="L223" s="13">
        <f>L225*L231</f>
        <v>32.748233972631589</v>
      </c>
      <c r="M223" s="13">
        <f t="shared" ref="M223:AK223" si="189">M225*M231</f>
        <v>72.205361701052652</v>
      </c>
      <c r="N223" s="13">
        <f t="shared" si="189"/>
        <v>73.192716733563202</v>
      </c>
      <c r="O223" s="123">
        <f t="shared" si="189"/>
        <v>90.271017304727948</v>
      </c>
      <c r="P223" s="123">
        <f t="shared" si="189"/>
        <v>118.32822538592717</v>
      </c>
      <c r="Q223" s="123">
        <f t="shared" si="189"/>
        <v>131.74689012041375</v>
      </c>
      <c r="R223" s="123">
        <f t="shared" si="189"/>
        <v>131.74689012041375</v>
      </c>
      <c r="S223" s="123">
        <f t="shared" si="189"/>
        <v>139.06616179377008</v>
      </c>
      <c r="T223" s="123">
        <f t="shared" si="189"/>
        <v>141.50591901822219</v>
      </c>
      <c r="U223" s="123">
        <f t="shared" si="189"/>
        <v>143.94567624267427</v>
      </c>
      <c r="V223" s="123">
        <f t="shared" si="189"/>
        <v>146.3854334671264</v>
      </c>
      <c r="W223" s="123">
        <f t="shared" si="189"/>
        <v>148.82519069157848</v>
      </c>
      <c r="X223" s="123">
        <f t="shared" si="189"/>
        <v>151.26494791603059</v>
      </c>
      <c r="Y223" s="123">
        <f t="shared" si="189"/>
        <v>152.48482652825666</v>
      </c>
      <c r="Z223" s="123">
        <f t="shared" si="189"/>
        <v>74.287479590689145</v>
      </c>
      <c r="AA223" s="123">
        <f t="shared" si="189"/>
        <v>49.105283119269089</v>
      </c>
      <c r="AB223" s="123">
        <f t="shared" si="189"/>
        <v>36.673565873884506</v>
      </c>
      <c r="AC223" s="123">
        <f t="shared" si="189"/>
        <v>29.264764687241176</v>
      </c>
      <c r="AD223" s="123">
        <f t="shared" si="189"/>
        <v>24.346316840646015</v>
      </c>
      <c r="AE223" s="123">
        <f t="shared" si="189"/>
        <v>20.843249669330046</v>
      </c>
      <c r="AF223" s="123">
        <f t="shared" si="189"/>
        <v>18.221457258093562</v>
      </c>
      <c r="AG223" s="123">
        <f t="shared" si="189"/>
        <v>16.185540246016071</v>
      </c>
      <c r="AH223" s="123">
        <f t="shared" si="189"/>
        <v>14.558852784104907</v>
      </c>
      <c r="AI223" s="123">
        <f t="shared" si="189"/>
        <v>13.229277187382998</v>
      </c>
      <c r="AJ223" s="123">
        <f t="shared" si="189"/>
        <v>12.122224703083166</v>
      </c>
      <c r="AK223" s="123">
        <f t="shared" si="189"/>
        <v>11.186145575431956</v>
      </c>
      <c r="AL223" s="123">
        <f>AL225*AL231</f>
        <v>10.384271340633966</v>
      </c>
      <c r="AM223" s="123">
        <f>AM225*AM231</f>
        <v>9.6896712509594529</v>
      </c>
    </row>
    <row r="224" spans="1:41">
      <c r="A224" s="138" t="s">
        <v>243</v>
      </c>
      <c r="B224" s="13">
        <v>30</v>
      </c>
      <c r="C224" s="13">
        <v>36</v>
      </c>
      <c r="D224" s="13">
        <v>37</v>
      </c>
      <c r="E224" s="13">
        <v>55</v>
      </c>
      <c r="F224" s="13">
        <v>81</v>
      </c>
      <c r="G224" s="13">
        <v>82</v>
      </c>
      <c r="H224" s="13">
        <v>68</v>
      </c>
      <c r="I224" s="13">
        <f>I$225*I232</f>
        <v>67</v>
      </c>
      <c r="J224" s="13">
        <f t="shared" si="187"/>
        <v>79.320005768421083</v>
      </c>
      <c r="K224" s="13">
        <f t="shared" si="187"/>
        <v>67.985735242105278</v>
      </c>
      <c r="L224" s="13">
        <f>L225*L232</f>
        <v>93.566382778947386</v>
      </c>
      <c r="M224" s="13">
        <f t="shared" ref="M224:AK224" si="190">M225*M232</f>
        <v>206.30103343157899</v>
      </c>
      <c r="N224" s="13">
        <f t="shared" si="190"/>
        <v>209.12204781018056</v>
      </c>
      <c r="O224" s="123">
        <f t="shared" si="190"/>
        <v>257.91719229922268</v>
      </c>
      <c r="P224" s="123">
        <f t="shared" si="190"/>
        <v>338.08064395979187</v>
      </c>
      <c r="Q224" s="123">
        <f t="shared" si="190"/>
        <v>376.419686058325</v>
      </c>
      <c r="R224" s="123">
        <f t="shared" si="190"/>
        <v>376.419686058325</v>
      </c>
      <c r="S224" s="123">
        <f t="shared" si="190"/>
        <v>397.33189083934303</v>
      </c>
      <c r="T224" s="123">
        <f t="shared" si="190"/>
        <v>404.30262576634914</v>
      </c>
      <c r="U224" s="123">
        <f t="shared" si="190"/>
        <v>411.27336069335502</v>
      </c>
      <c r="V224" s="123">
        <f t="shared" si="190"/>
        <v>418.24409562036112</v>
      </c>
      <c r="W224" s="123">
        <f t="shared" si="190"/>
        <v>425.21483054736711</v>
      </c>
      <c r="X224" s="123">
        <f t="shared" si="190"/>
        <v>432.18556547437311</v>
      </c>
      <c r="Y224" s="123">
        <f t="shared" si="190"/>
        <v>435.67093293787616</v>
      </c>
      <c r="Z224" s="123">
        <f t="shared" si="190"/>
        <v>212.24994168768328</v>
      </c>
      <c r="AA224" s="123">
        <f t="shared" si="190"/>
        <v>140.3008089121974</v>
      </c>
      <c r="AB224" s="123">
        <f t="shared" si="190"/>
        <v>104.78161678252717</v>
      </c>
      <c r="AC224" s="123">
        <f t="shared" si="190"/>
        <v>83.613613392117642</v>
      </c>
      <c r="AD224" s="123">
        <f t="shared" si="190"/>
        <v>69.560905258988612</v>
      </c>
      <c r="AE224" s="123">
        <f t="shared" si="190"/>
        <v>59.552141912371553</v>
      </c>
      <c r="AF224" s="123">
        <f t="shared" si="190"/>
        <v>52.061306451695884</v>
      </c>
      <c r="AG224" s="123">
        <f t="shared" si="190"/>
        <v>46.244400702903057</v>
      </c>
      <c r="AH224" s="123">
        <f t="shared" si="190"/>
        <v>41.596722240299734</v>
      </c>
      <c r="AI224" s="123">
        <f t="shared" si="190"/>
        <v>37.79793482109428</v>
      </c>
      <c r="AJ224" s="123">
        <f t="shared" si="190"/>
        <v>34.634927723094755</v>
      </c>
      <c r="AK224" s="123">
        <f t="shared" si="190"/>
        <v>31.960415929805585</v>
      </c>
      <c r="AL224" s="123">
        <f>AL225*AL232</f>
        <v>29.669346687525618</v>
      </c>
      <c r="AM224" s="123">
        <f>AM225*AM232</f>
        <v>27.684775002741294</v>
      </c>
    </row>
    <row r="225" spans="1:39" ht="12" thickBot="1">
      <c r="A225" s="138" t="s">
        <v>141</v>
      </c>
      <c r="B225" s="13">
        <f>SUM(B221:B224)</f>
        <v>131</v>
      </c>
      <c r="C225" s="13">
        <f t="shared" ref="C225:H225" si="191">SUM(C221:C224)</f>
        <v>272</v>
      </c>
      <c r="D225" s="13">
        <f t="shared" si="191"/>
        <v>400</v>
      </c>
      <c r="E225" s="13">
        <f t="shared" si="191"/>
        <v>344</v>
      </c>
      <c r="F225" s="13">
        <f t="shared" si="191"/>
        <v>421</v>
      </c>
      <c r="G225" s="13">
        <f t="shared" si="191"/>
        <v>282</v>
      </c>
      <c r="H225" s="13">
        <f t="shared" si="191"/>
        <v>308</v>
      </c>
      <c r="I225" s="13">
        <v>353</v>
      </c>
      <c r="J225" s="13">
        <f>((J103/$I$124)*1000)/J234</f>
        <v>396.60002884210536</v>
      </c>
      <c r="K225" s="13">
        <f>((K103/$I$124)*1000)/K234</f>
        <v>339.92867621052636</v>
      </c>
      <c r="L225" s="13">
        <f>L103/$I$124/L234*1000</f>
        <v>467.83191389473689</v>
      </c>
      <c r="M225" s="13">
        <f t="shared" ref="M225:AK225" si="192">M103/$I$124/M234*1000</f>
        <v>1031.5051671578949</v>
      </c>
      <c r="N225" s="13">
        <f t="shared" si="192"/>
        <v>1045.6102390509027</v>
      </c>
      <c r="O225" s="123">
        <f t="shared" si="192"/>
        <v>1289.5859614961134</v>
      </c>
      <c r="P225" s="123">
        <f t="shared" si="192"/>
        <v>1690.4032197989593</v>
      </c>
      <c r="Q225" s="123">
        <f t="shared" si="192"/>
        <v>1882.0984302916249</v>
      </c>
      <c r="R225" s="123">
        <f t="shared" si="192"/>
        <v>1882.0984302916249</v>
      </c>
      <c r="S225" s="123">
        <f t="shared" si="192"/>
        <v>1986.6594541967152</v>
      </c>
      <c r="T225" s="123">
        <f t="shared" si="192"/>
        <v>2021.5131288317455</v>
      </c>
      <c r="U225" s="123">
        <f t="shared" si="192"/>
        <v>2056.3668034667749</v>
      </c>
      <c r="V225" s="123">
        <f t="shared" si="192"/>
        <v>2091.2204781018054</v>
      </c>
      <c r="W225" s="123">
        <f t="shared" si="192"/>
        <v>2126.0741527368355</v>
      </c>
      <c r="X225" s="123">
        <f t="shared" si="192"/>
        <v>2160.9278273718655</v>
      </c>
      <c r="Y225" s="123">
        <f t="shared" si="192"/>
        <v>2178.3546646893806</v>
      </c>
      <c r="Z225" s="123">
        <f t="shared" si="192"/>
        <v>1061.2497084384163</v>
      </c>
      <c r="AA225" s="123">
        <f t="shared" si="192"/>
        <v>701.50404456098693</v>
      </c>
      <c r="AB225" s="123">
        <f t="shared" si="192"/>
        <v>523.90808391263579</v>
      </c>
      <c r="AC225" s="123">
        <f t="shared" si="192"/>
        <v>418.06806696058817</v>
      </c>
      <c r="AD225" s="123">
        <f t="shared" si="192"/>
        <v>347.80452629494306</v>
      </c>
      <c r="AE225" s="123">
        <f t="shared" si="192"/>
        <v>297.76070956185777</v>
      </c>
      <c r="AF225" s="123">
        <f t="shared" si="192"/>
        <v>260.30653225847942</v>
      </c>
      <c r="AG225" s="123">
        <f t="shared" si="192"/>
        <v>231.22200351451528</v>
      </c>
      <c r="AH225" s="123">
        <f t="shared" si="192"/>
        <v>207.98361120149866</v>
      </c>
      <c r="AI225" s="123">
        <f t="shared" si="192"/>
        <v>188.98967410547138</v>
      </c>
      <c r="AJ225" s="123">
        <f t="shared" si="192"/>
        <v>173.17463861547378</v>
      </c>
      <c r="AK225" s="123">
        <f t="shared" si="192"/>
        <v>159.80207964902792</v>
      </c>
      <c r="AL225" s="123">
        <f>AL103/$I$124/AL234*1000</f>
        <v>148.34673343762807</v>
      </c>
      <c r="AM225" s="123">
        <f>AM103/$I$124/AM234*1000</f>
        <v>138.42387501370646</v>
      </c>
    </row>
    <row r="226" spans="1:39">
      <c r="A226" s="199"/>
      <c r="B226" s="199"/>
      <c r="C226" s="199"/>
      <c r="D226" s="199"/>
      <c r="E226" s="199"/>
      <c r="F226" s="199"/>
      <c r="G226" s="199"/>
      <c r="H226" s="199"/>
      <c r="I226" s="199"/>
      <c r="J226" s="199"/>
      <c r="K226" s="199"/>
      <c r="L226" s="199">
        <f>(L225/K225)-1</f>
        <v>0.3762649244837375</v>
      </c>
      <c r="M226" s="199">
        <f>(M225/L225)-1</f>
        <v>1.2048627648561521</v>
      </c>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99"/>
      <c r="AK226" s="199"/>
      <c r="AL226" s="199"/>
      <c r="AM226" s="199"/>
    </row>
    <row r="227" spans="1:39" ht="12" thickBot="1">
      <c r="A227" s="138" t="s">
        <v>244</v>
      </c>
    </row>
    <row r="228" spans="1:39" ht="12" thickBot="1">
      <c r="A228" s="176"/>
      <c r="B228" s="177">
        <f>B2</f>
        <v>2013</v>
      </c>
      <c r="C228" s="177">
        <f t="shared" ref="C228:AK228" si="193">C2</f>
        <v>2014</v>
      </c>
      <c r="D228" s="177">
        <f t="shared" si="193"/>
        <v>2015</v>
      </c>
      <c r="E228" s="177">
        <f t="shared" si="193"/>
        <v>2016</v>
      </c>
      <c r="F228" s="177">
        <f t="shared" si="193"/>
        <v>2017</v>
      </c>
      <c r="G228" s="177">
        <f t="shared" si="193"/>
        <v>2018</v>
      </c>
      <c r="H228" s="177">
        <f t="shared" si="193"/>
        <v>2019</v>
      </c>
      <c r="I228" s="177">
        <f t="shared" si="193"/>
        <v>2020</v>
      </c>
      <c r="J228" s="177">
        <f t="shared" si="193"/>
        <v>2021</v>
      </c>
      <c r="K228" s="177">
        <f t="shared" si="193"/>
        <v>2022</v>
      </c>
      <c r="L228" s="177">
        <f t="shared" si="193"/>
        <v>2023</v>
      </c>
      <c r="M228" s="177">
        <f t="shared" si="193"/>
        <v>2024</v>
      </c>
      <c r="N228" s="177">
        <f t="shared" si="193"/>
        <v>2025</v>
      </c>
      <c r="O228" s="177">
        <f t="shared" si="193"/>
        <v>2026</v>
      </c>
      <c r="P228" s="177">
        <f t="shared" si="193"/>
        <v>2027</v>
      </c>
      <c r="Q228" s="177">
        <f t="shared" si="193"/>
        <v>2028</v>
      </c>
      <c r="R228" s="177">
        <f t="shared" si="193"/>
        <v>2029</v>
      </c>
      <c r="S228" s="177">
        <f t="shared" si="193"/>
        <v>2030</v>
      </c>
      <c r="T228" s="177">
        <f t="shared" si="193"/>
        <v>2031</v>
      </c>
      <c r="U228" s="177">
        <f t="shared" si="193"/>
        <v>2032</v>
      </c>
      <c r="V228" s="177">
        <f t="shared" si="193"/>
        <v>2033</v>
      </c>
      <c r="W228" s="177">
        <f t="shared" si="193"/>
        <v>2034</v>
      </c>
      <c r="X228" s="177">
        <f t="shared" si="193"/>
        <v>2035</v>
      </c>
      <c r="Y228" s="177">
        <f t="shared" si="193"/>
        <v>2036</v>
      </c>
      <c r="Z228" s="177">
        <f t="shared" si="193"/>
        <v>2037</v>
      </c>
      <c r="AA228" s="177">
        <f t="shared" si="193"/>
        <v>2038</v>
      </c>
      <c r="AB228" s="177">
        <f t="shared" si="193"/>
        <v>2039</v>
      </c>
      <c r="AC228" s="177">
        <f t="shared" si="193"/>
        <v>2040</v>
      </c>
      <c r="AD228" s="177">
        <f t="shared" si="193"/>
        <v>2041</v>
      </c>
      <c r="AE228" s="177">
        <f t="shared" si="193"/>
        <v>2042</v>
      </c>
      <c r="AF228" s="177">
        <f t="shared" si="193"/>
        <v>2043</v>
      </c>
      <c r="AG228" s="177">
        <f t="shared" si="193"/>
        <v>2044</v>
      </c>
      <c r="AH228" s="177">
        <f t="shared" si="193"/>
        <v>2045</v>
      </c>
      <c r="AI228" s="177">
        <f t="shared" si="193"/>
        <v>2046</v>
      </c>
      <c r="AJ228" s="177">
        <f t="shared" si="193"/>
        <v>2047</v>
      </c>
      <c r="AK228" s="177">
        <f t="shared" si="193"/>
        <v>2048</v>
      </c>
      <c r="AL228" s="177">
        <f>AL2</f>
        <v>2049</v>
      </c>
      <c r="AM228" s="177">
        <f>AM2</f>
        <v>2050</v>
      </c>
    </row>
    <row r="229" spans="1:39">
      <c r="A229" s="138" t="s">
        <v>240</v>
      </c>
      <c r="B229" s="129">
        <f t="shared" ref="B229:H232" si="194">B221/B$225</f>
        <v>0.26717557251908397</v>
      </c>
      <c r="C229" s="129">
        <f t="shared" si="194"/>
        <v>0.55882352941176472</v>
      </c>
      <c r="D229" s="129">
        <f t="shared" si="194"/>
        <v>0.55000000000000004</v>
      </c>
      <c r="E229" s="129">
        <f t="shared" si="194"/>
        <v>0.65116279069767447</v>
      </c>
      <c r="F229" s="129">
        <f t="shared" si="194"/>
        <v>0.59382422802850354</v>
      </c>
      <c r="G229" s="129">
        <f t="shared" si="194"/>
        <v>0.62056737588652477</v>
      </c>
      <c r="H229" s="129">
        <f>(H221/H$225)-H231</f>
        <v>0.68974025974025976</v>
      </c>
      <c r="I229" s="129">
        <v>0.6807082152974504</v>
      </c>
      <c r="J229" s="245">
        <v>0.67999999999999994</v>
      </c>
      <c r="K229" s="245">
        <v>0.67999999999999994</v>
      </c>
      <c r="L229" s="245">
        <v>0.67999999999999994</v>
      </c>
      <c r="M229" s="245">
        <v>0.67999999999999994</v>
      </c>
      <c r="N229" s="245">
        <v>0.67999999999999994</v>
      </c>
      <c r="O229" s="246">
        <v>0.67999999999999994</v>
      </c>
      <c r="P229" s="246">
        <v>0.67999999999999994</v>
      </c>
      <c r="Q229" s="246">
        <v>0.67999999999999994</v>
      </c>
      <c r="R229" s="246">
        <v>0.67999999999999994</v>
      </c>
      <c r="S229" s="246">
        <v>0.67999999999999994</v>
      </c>
      <c r="T229" s="246">
        <v>0.67999999999999994</v>
      </c>
      <c r="U229" s="246">
        <v>0.67999999999999994</v>
      </c>
      <c r="V229" s="246">
        <v>0.67999999999999994</v>
      </c>
      <c r="W229" s="246">
        <v>0.67999999999999994</v>
      </c>
      <c r="X229" s="246">
        <v>0.67999999999999994</v>
      </c>
      <c r="Y229" s="246">
        <v>0.67999999999999994</v>
      </c>
      <c r="Z229" s="246">
        <v>0.67999999999999994</v>
      </c>
      <c r="AA229" s="246">
        <v>0.68</v>
      </c>
      <c r="AB229" s="246">
        <v>0.68</v>
      </c>
      <c r="AC229" s="246">
        <v>0.68</v>
      </c>
      <c r="AD229" s="246">
        <v>0.68</v>
      </c>
      <c r="AE229" s="246">
        <v>0.68</v>
      </c>
      <c r="AF229" s="246">
        <v>0.68</v>
      </c>
      <c r="AG229" s="246">
        <v>0.68</v>
      </c>
      <c r="AH229" s="246">
        <v>0.68</v>
      </c>
      <c r="AI229" s="246">
        <v>0.68</v>
      </c>
      <c r="AJ229" s="246">
        <v>0.68</v>
      </c>
      <c r="AK229" s="246">
        <v>0.68</v>
      </c>
      <c r="AL229" s="246">
        <v>0.68</v>
      </c>
      <c r="AM229" s="246">
        <v>0.68</v>
      </c>
    </row>
    <row r="230" spans="1:39">
      <c r="A230" s="138" t="s">
        <v>241</v>
      </c>
      <c r="B230" s="129">
        <f t="shared" si="194"/>
        <v>7.6335877862595417E-3</v>
      </c>
      <c r="C230" s="129">
        <f t="shared" si="194"/>
        <v>0</v>
      </c>
      <c r="D230" s="129">
        <f t="shared" si="194"/>
        <v>0</v>
      </c>
      <c r="E230" s="129">
        <f t="shared" si="194"/>
        <v>4.3604651162790699E-2</v>
      </c>
      <c r="F230" s="129">
        <f t="shared" si="194"/>
        <v>4.7505938242280284E-2</v>
      </c>
      <c r="G230" s="129">
        <f t="shared" si="194"/>
        <v>1.7730496453900711E-2</v>
      </c>
      <c r="H230" s="129">
        <f t="shared" si="194"/>
        <v>1.948051948051948E-2</v>
      </c>
      <c r="I230" s="129">
        <v>5.9490084985835696E-2</v>
      </c>
      <c r="J230" s="245">
        <v>0.05</v>
      </c>
      <c r="K230" s="245">
        <v>0.05</v>
      </c>
      <c r="L230" s="245">
        <v>0.05</v>
      </c>
      <c r="M230" s="245">
        <v>0.05</v>
      </c>
      <c r="N230" s="245">
        <v>0.05</v>
      </c>
      <c r="O230" s="246">
        <v>0.05</v>
      </c>
      <c r="P230" s="246">
        <v>0.05</v>
      </c>
      <c r="Q230" s="246">
        <v>0.05</v>
      </c>
      <c r="R230" s="246">
        <v>0.05</v>
      </c>
      <c r="S230" s="246">
        <v>0.05</v>
      </c>
      <c r="T230" s="246">
        <v>0.05</v>
      </c>
      <c r="U230" s="246">
        <v>0.05</v>
      </c>
      <c r="V230" s="246">
        <v>0.05</v>
      </c>
      <c r="W230" s="246">
        <v>0.05</v>
      </c>
      <c r="X230" s="246">
        <v>0.05</v>
      </c>
      <c r="Y230" s="246">
        <v>0.05</v>
      </c>
      <c r="Z230" s="246">
        <v>0.05</v>
      </c>
      <c r="AA230" s="246">
        <v>0.05</v>
      </c>
      <c r="AB230" s="246">
        <v>0.05</v>
      </c>
      <c r="AC230" s="246">
        <v>0.05</v>
      </c>
      <c r="AD230" s="246">
        <v>0.05</v>
      </c>
      <c r="AE230" s="246">
        <v>0.05</v>
      </c>
      <c r="AF230" s="246">
        <v>0.05</v>
      </c>
      <c r="AG230" s="246">
        <v>0.05</v>
      </c>
      <c r="AH230" s="246">
        <v>0.05</v>
      </c>
      <c r="AI230" s="246">
        <v>0.05</v>
      </c>
      <c r="AJ230" s="246">
        <v>0.05</v>
      </c>
      <c r="AK230" s="246">
        <v>0.05</v>
      </c>
      <c r="AL230" s="246">
        <v>0.05</v>
      </c>
      <c r="AM230" s="246">
        <v>0.05</v>
      </c>
    </row>
    <row r="231" spans="1:39">
      <c r="A231" s="138" t="s">
        <v>242</v>
      </c>
      <c r="B231" s="129">
        <f t="shared" si="194"/>
        <v>0.49618320610687022</v>
      </c>
      <c r="C231" s="129">
        <f t="shared" si="194"/>
        <v>0.30882352941176472</v>
      </c>
      <c r="D231" s="129">
        <f t="shared" si="194"/>
        <v>0.35749999999999998</v>
      </c>
      <c r="E231" s="129">
        <f t="shared" si="194"/>
        <v>0.14534883720930233</v>
      </c>
      <c r="F231" s="129">
        <f t="shared" si="194"/>
        <v>0.166270783847981</v>
      </c>
      <c r="G231" s="129">
        <f t="shared" si="194"/>
        <v>7.0921985815602842E-2</v>
      </c>
      <c r="H231" s="129">
        <v>7.0000000000000007E-2</v>
      </c>
      <c r="I231" s="129">
        <v>7.0000000000000007E-2</v>
      </c>
      <c r="J231" s="245">
        <v>7.0000000000000007E-2</v>
      </c>
      <c r="K231" s="129">
        <v>7.0000000000000007E-2</v>
      </c>
      <c r="L231" s="245">
        <v>7.0000000000000007E-2</v>
      </c>
      <c r="M231" s="237">
        <v>7.0000000000000007E-2</v>
      </c>
      <c r="N231" s="245">
        <v>7.0000000000000007E-2</v>
      </c>
      <c r="O231" s="247">
        <v>7.0000000000000007E-2</v>
      </c>
      <c r="P231" s="246">
        <v>7.0000000000000007E-2</v>
      </c>
      <c r="Q231" s="247">
        <v>7.0000000000000007E-2</v>
      </c>
      <c r="R231" s="246">
        <v>7.0000000000000007E-2</v>
      </c>
      <c r="S231" s="247">
        <v>7.0000000000000007E-2</v>
      </c>
      <c r="T231" s="246">
        <v>7.0000000000000007E-2</v>
      </c>
      <c r="U231" s="247">
        <v>7.0000000000000007E-2</v>
      </c>
      <c r="V231" s="246">
        <v>7.0000000000000007E-2</v>
      </c>
      <c r="W231" s="247">
        <v>7.0000000000000007E-2</v>
      </c>
      <c r="X231" s="246">
        <v>7.0000000000000007E-2</v>
      </c>
      <c r="Y231" s="247">
        <v>7.0000000000000007E-2</v>
      </c>
      <c r="Z231" s="247">
        <v>7.0000000000000007E-2</v>
      </c>
      <c r="AA231" s="247">
        <v>7.0000000000000007E-2</v>
      </c>
      <c r="AB231" s="247">
        <v>7.0000000000000007E-2</v>
      </c>
      <c r="AC231" s="247">
        <v>7.0000000000000007E-2</v>
      </c>
      <c r="AD231" s="247">
        <v>7.0000000000000007E-2</v>
      </c>
      <c r="AE231" s="247">
        <v>7.0000000000000007E-2</v>
      </c>
      <c r="AF231" s="247">
        <v>7.0000000000000007E-2</v>
      </c>
      <c r="AG231" s="247">
        <v>7.0000000000000007E-2</v>
      </c>
      <c r="AH231" s="247">
        <v>7.0000000000000007E-2</v>
      </c>
      <c r="AI231" s="247">
        <v>7.0000000000000007E-2</v>
      </c>
      <c r="AJ231" s="247">
        <v>7.0000000000000007E-2</v>
      </c>
      <c r="AK231" s="247">
        <v>7.0000000000000007E-2</v>
      </c>
      <c r="AL231" s="247">
        <v>7.0000000000000007E-2</v>
      </c>
      <c r="AM231" s="247">
        <v>7.0000000000000007E-2</v>
      </c>
    </row>
    <row r="232" spans="1:39" ht="12" thickBot="1">
      <c r="A232" s="138" t="s">
        <v>243</v>
      </c>
      <c r="B232" s="129">
        <f t="shared" si="194"/>
        <v>0.22900763358778625</v>
      </c>
      <c r="C232" s="129">
        <f t="shared" si="194"/>
        <v>0.13235294117647059</v>
      </c>
      <c r="D232" s="129">
        <f t="shared" si="194"/>
        <v>9.2499999999999999E-2</v>
      </c>
      <c r="E232" s="129">
        <f t="shared" si="194"/>
        <v>0.15988372093023256</v>
      </c>
      <c r="F232" s="129">
        <f t="shared" si="194"/>
        <v>0.19239904988123516</v>
      </c>
      <c r="G232" s="129">
        <f t="shared" si="194"/>
        <v>0.29078014184397161</v>
      </c>
      <c r="H232" s="129">
        <f t="shared" si="194"/>
        <v>0.22077922077922077</v>
      </c>
      <c r="I232" s="129">
        <v>0.18980169971671387</v>
      </c>
      <c r="J232" s="245">
        <v>0.2</v>
      </c>
      <c r="K232" s="245">
        <v>0.2</v>
      </c>
      <c r="L232" s="245">
        <v>0.2</v>
      </c>
      <c r="M232" s="245">
        <v>0.2</v>
      </c>
      <c r="N232" s="245">
        <v>0.2</v>
      </c>
      <c r="O232" s="246">
        <v>0.2</v>
      </c>
      <c r="P232" s="246">
        <v>0.2</v>
      </c>
      <c r="Q232" s="246">
        <v>0.2</v>
      </c>
      <c r="R232" s="246">
        <v>0.2</v>
      </c>
      <c r="S232" s="246">
        <v>0.2</v>
      </c>
      <c r="T232" s="246">
        <v>0.2</v>
      </c>
      <c r="U232" s="246">
        <v>0.2</v>
      </c>
      <c r="V232" s="246">
        <v>0.2</v>
      </c>
      <c r="W232" s="246">
        <v>0.2</v>
      </c>
      <c r="X232" s="246">
        <v>0.2</v>
      </c>
      <c r="Y232" s="246">
        <v>0.2</v>
      </c>
      <c r="Z232" s="246">
        <v>0.2</v>
      </c>
      <c r="AA232" s="246">
        <v>0.2</v>
      </c>
      <c r="AB232" s="246">
        <v>0.2</v>
      </c>
      <c r="AC232" s="246">
        <v>0.2</v>
      </c>
      <c r="AD232" s="246">
        <v>0.2</v>
      </c>
      <c r="AE232" s="246">
        <v>0.2</v>
      </c>
      <c r="AF232" s="246">
        <v>0.2</v>
      </c>
      <c r="AG232" s="246">
        <v>0.2</v>
      </c>
      <c r="AH232" s="246">
        <v>0.2</v>
      </c>
      <c r="AI232" s="246">
        <v>0.2</v>
      </c>
      <c r="AJ232" s="246">
        <v>0.2</v>
      </c>
      <c r="AK232" s="246">
        <v>0.2</v>
      </c>
      <c r="AL232" s="246">
        <v>0.2</v>
      </c>
      <c r="AM232" s="246">
        <v>0.2</v>
      </c>
    </row>
    <row r="233" spans="1:39">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99"/>
      <c r="AF233" s="199"/>
      <c r="AG233" s="199"/>
      <c r="AH233" s="199"/>
      <c r="AI233" s="199"/>
      <c r="AJ233" s="199"/>
      <c r="AK233" s="199"/>
      <c r="AL233" s="199"/>
      <c r="AM233" s="199"/>
    </row>
    <row r="234" spans="1:39">
      <c r="A234" s="138" t="s">
        <v>245</v>
      </c>
      <c r="B234" s="129">
        <f>B225/((B103/$I$124)*1000)</f>
        <v>0.94192195194320716</v>
      </c>
      <c r="C234" s="129">
        <f>C225/((C103/$I$124)*1000)</f>
        <v>0.88593637758291077</v>
      </c>
      <c r="D234" s="129">
        <f t="shared" ref="D234:I234" si="195">D225/((D103/$I$124)*1000)</f>
        <v>1.151887940923106</v>
      </c>
      <c r="E234" s="129">
        <f t="shared" si="195"/>
        <v>0.847580993081825</v>
      </c>
      <c r="F234" s="129">
        <f t="shared" si="195"/>
        <v>1.212362057821569</v>
      </c>
      <c r="G234" s="129">
        <f t="shared" si="195"/>
        <v>1.0467407673547515</v>
      </c>
      <c r="H234" s="129">
        <f t="shared" si="195"/>
        <v>0.98083739459828501</v>
      </c>
      <c r="I234" s="129">
        <f t="shared" si="195"/>
        <v>0.88151621248033818</v>
      </c>
      <c r="J234" s="245">
        <v>0.95</v>
      </c>
      <c r="K234" s="245">
        <v>0.95</v>
      </c>
      <c r="L234" s="245">
        <v>0.95</v>
      </c>
      <c r="M234" s="245">
        <v>0.95</v>
      </c>
      <c r="N234" s="245">
        <v>0.95</v>
      </c>
      <c r="O234" s="245">
        <v>0.95</v>
      </c>
      <c r="P234" s="245">
        <v>0.95</v>
      </c>
      <c r="Q234" s="245">
        <v>0.95</v>
      </c>
      <c r="R234" s="245">
        <v>0.95</v>
      </c>
      <c r="S234" s="245">
        <v>0.95</v>
      </c>
      <c r="T234" s="245">
        <v>0.95</v>
      </c>
      <c r="U234" s="245">
        <v>0.95</v>
      </c>
      <c r="V234" s="245">
        <v>0.95</v>
      </c>
      <c r="W234" s="245">
        <v>0.95</v>
      </c>
      <c r="X234" s="245">
        <v>0.95</v>
      </c>
      <c r="Y234" s="245">
        <v>0.95</v>
      </c>
      <c r="Z234" s="245">
        <v>1.95</v>
      </c>
      <c r="AA234" s="245">
        <v>2.95</v>
      </c>
      <c r="AB234" s="245">
        <v>3.95</v>
      </c>
      <c r="AC234" s="245">
        <v>4.95</v>
      </c>
      <c r="AD234" s="245">
        <v>5.95</v>
      </c>
      <c r="AE234" s="245">
        <v>6.95</v>
      </c>
      <c r="AF234" s="245">
        <v>7.95</v>
      </c>
      <c r="AG234" s="245">
        <v>8.9499999999999993</v>
      </c>
      <c r="AH234" s="245">
        <v>9.9499999999999993</v>
      </c>
      <c r="AI234" s="245">
        <v>10.95</v>
      </c>
      <c r="AJ234" s="245">
        <v>11.95</v>
      </c>
      <c r="AK234" s="245">
        <v>12.95</v>
      </c>
      <c r="AL234" s="245">
        <v>13.95</v>
      </c>
      <c r="AM234" s="245">
        <v>14.95</v>
      </c>
    </row>
    <row r="235" spans="1:39">
      <c r="A235" s="138"/>
      <c r="B235" s="129"/>
      <c r="C235" s="129"/>
      <c r="D235" s="129"/>
      <c r="E235" s="129"/>
      <c r="F235" s="129"/>
      <c r="G235" s="129"/>
      <c r="H235" s="129"/>
      <c r="I235" s="129"/>
      <c r="J235" s="245"/>
      <c r="K235" s="245"/>
      <c r="L235" s="245"/>
      <c r="M235" s="245"/>
      <c r="N235" s="245"/>
      <c r="O235" s="245"/>
      <c r="P235" s="245"/>
      <c r="Q235" s="245"/>
      <c r="R235" s="245"/>
      <c r="S235" s="245"/>
      <c r="T235" s="245"/>
      <c r="U235" s="245"/>
      <c r="V235" s="245"/>
      <c r="W235" s="245"/>
      <c r="X235" s="245"/>
      <c r="Y235" s="245"/>
      <c r="Z235" s="245"/>
      <c r="AA235" s="245"/>
      <c r="AB235" s="245"/>
      <c r="AC235" s="245"/>
      <c r="AD235" s="245"/>
      <c r="AE235" s="245"/>
      <c r="AF235" s="245"/>
      <c r="AG235" s="245"/>
      <c r="AH235" s="245"/>
      <c r="AI235" s="245"/>
      <c r="AJ235" s="245"/>
      <c r="AK235" s="245"/>
      <c r="AL235" s="245"/>
      <c r="AM235" s="245"/>
    </row>
    <row r="236" spans="1:39">
      <c r="A236" s="138" t="s">
        <v>246</v>
      </c>
      <c r="I236" s="239">
        <f>I229-0.07</f>
        <v>0.61070821529745034</v>
      </c>
      <c r="J236" s="239">
        <f t="shared" ref="J236:AK236" si="196">J229-0.07</f>
        <v>0.60999999999999988</v>
      </c>
      <c r="K236" s="239">
        <f t="shared" si="196"/>
        <v>0.60999999999999988</v>
      </c>
      <c r="L236" s="239">
        <f t="shared" si="196"/>
        <v>0.60999999999999988</v>
      </c>
      <c r="M236" s="239">
        <f t="shared" si="196"/>
        <v>0.60999999999999988</v>
      </c>
      <c r="N236" s="239">
        <f t="shared" si="196"/>
        <v>0.60999999999999988</v>
      </c>
      <c r="O236" s="239">
        <f t="shared" si="196"/>
        <v>0.60999999999999988</v>
      </c>
      <c r="P236" s="239">
        <f t="shared" si="196"/>
        <v>0.60999999999999988</v>
      </c>
      <c r="Q236" s="239">
        <f t="shared" si="196"/>
        <v>0.60999999999999988</v>
      </c>
      <c r="R236" s="239">
        <f t="shared" si="196"/>
        <v>0.60999999999999988</v>
      </c>
      <c r="S236" s="239">
        <f t="shared" si="196"/>
        <v>0.60999999999999988</v>
      </c>
      <c r="T236" s="239">
        <f t="shared" si="196"/>
        <v>0.60999999999999988</v>
      </c>
      <c r="U236" s="239">
        <f t="shared" si="196"/>
        <v>0.60999999999999988</v>
      </c>
      <c r="V236" s="239">
        <f t="shared" si="196"/>
        <v>0.60999999999999988</v>
      </c>
      <c r="W236" s="239">
        <f t="shared" si="196"/>
        <v>0.60999999999999988</v>
      </c>
      <c r="X236" s="239">
        <f t="shared" si="196"/>
        <v>0.60999999999999988</v>
      </c>
      <c r="Y236" s="239">
        <f t="shared" si="196"/>
        <v>0.60999999999999988</v>
      </c>
      <c r="Z236" s="239">
        <f t="shared" si="196"/>
        <v>0.60999999999999988</v>
      </c>
      <c r="AA236" s="239">
        <f t="shared" si="196"/>
        <v>0.6100000000000001</v>
      </c>
      <c r="AB236" s="239">
        <f t="shared" si="196"/>
        <v>0.6100000000000001</v>
      </c>
      <c r="AC236" s="239">
        <f t="shared" si="196"/>
        <v>0.6100000000000001</v>
      </c>
      <c r="AD236" s="239">
        <f t="shared" si="196"/>
        <v>0.6100000000000001</v>
      </c>
      <c r="AE236" s="239">
        <f t="shared" si="196"/>
        <v>0.6100000000000001</v>
      </c>
      <c r="AF236" s="239">
        <f t="shared" si="196"/>
        <v>0.6100000000000001</v>
      </c>
      <c r="AG236" s="239">
        <f t="shared" si="196"/>
        <v>0.6100000000000001</v>
      </c>
      <c r="AH236" s="239">
        <f t="shared" si="196"/>
        <v>0.6100000000000001</v>
      </c>
      <c r="AI236" s="239">
        <f t="shared" si="196"/>
        <v>0.6100000000000001</v>
      </c>
      <c r="AJ236" s="239">
        <f t="shared" si="196"/>
        <v>0.6100000000000001</v>
      </c>
      <c r="AK236" s="239">
        <f t="shared" si="196"/>
        <v>0.6100000000000001</v>
      </c>
      <c r="AL236" s="239">
        <f>AL229-0.07</f>
        <v>0.6100000000000001</v>
      </c>
      <c r="AM236" s="239">
        <f>AM229-0.07</f>
        <v>0.6100000000000001</v>
      </c>
    </row>
    <row r="237" spans="1:39">
      <c r="A237" s="138" t="s">
        <v>247</v>
      </c>
      <c r="I237" s="239"/>
      <c r="J237" s="239"/>
      <c r="K237" s="239"/>
      <c r="L237" s="239"/>
      <c r="M237" s="239"/>
      <c r="N237" s="239"/>
      <c r="O237" s="239"/>
      <c r="P237" s="239"/>
      <c r="Q237" s="239"/>
      <c r="R237" s="239"/>
      <c r="S237" s="239"/>
      <c r="T237" s="239"/>
      <c r="U237" s="239"/>
      <c r="V237" s="239"/>
      <c r="W237" s="239"/>
      <c r="X237" s="239"/>
      <c r="Y237" s="239"/>
      <c r="Z237" s="239"/>
      <c r="AA237" s="239"/>
      <c r="AB237" s="239"/>
      <c r="AC237" s="239"/>
      <c r="AD237" s="239"/>
      <c r="AE237" s="239"/>
      <c r="AF237" s="239"/>
      <c r="AG237" s="239"/>
      <c r="AH237" s="239"/>
      <c r="AI237" s="239"/>
      <c r="AJ237" s="239"/>
      <c r="AK237" s="239"/>
      <c r="AL237" s="239"/>
      <c r="AM237" s="239"/>
    </row>
    <row r="238" spans="1:39">
      <c r="A238" s="138" t="s">
        <v>248</v>
      </c>
      <c r="I238" s="13">
        <f>'VO RD Feedstock'!B42</f>
        <v>329369</v>
      </c>
      <c r="J238" s="13">
        <f>'VO RD Feedstock'!C42</f>
        <v>338218</v>
      </c>
      <c r="K238" s="13">
        <f>'VO RD Feedstock'!D42</f>
        <v>314987</v>
      </c>
      <c r="L238" s="13">
        <f>'VO RD Feedstock'!E42</f>
        <v>428807</v>
      </c>
      <c r="M238" s="13">
        <f>'VO RD Feedstock'!F42</f>
        <v>1056605</v>
      </c>
      <c r="N238" s="13">
        <f>'VO RD Feedstock'!G42</f>
        <v>1064052.6594377328</v>
      </c>
      <c r="O238" s="13">
        <f>'VO RD Feedstock'!H42</f>
        <v>1312669.0672849261</v>
      </c>
      <c r="P238" s="13">
        <f>'VO RD Feedstock'!I42</f>
        <v>1703781.0956975762</v>
      </c>
      <c r="Q238" s="13">
        <f>'VO RD Feedstock'!J42</f>
        <v>1897586.6876550913</v>
      </c>
      <c r="R238" s="13">
        <f>'VO RD Feedstock'!K42</f>
        <v>1893116.3195455293</v>
      </c>
      <c r="S238" s="13">
        <f>'VO RD Feedstock'!L42</f>
        <v>2001888.8925379945</v>
      </c>
      <c r="T238" s="13">
        <f>'VO RD Feedstock'!M42</f>
        <v>2041355.7528263798</v>
      </c>
      <c r="U238" s="13">
        <f>'VO RD Feedstock'!N42</f>
        <v>2077929.50302599</v>
      </c>
      <c r="V238" s="13">
        <f>'VO RD Feedstock'!O42</f>
        <v>2112470.4901451161</v>
      </c>
      <c r="W238" s="13">
        <f>'VO RD Feedstock'!P42</f>
        <v>2146594.8070275178</v>
      </c>
      <c r="X238" s="13">
        <f>'VO RD Feedstock'!Q42</f>
        <v>2180354.2056334941</v>
      </c>
      <c r="Y238" s="13">
        <f>'VO RD Feedstock'!R42</f>
        <v>2197363.1717892638</v>
      </c>
      <c r="Z238" s="13">
        <f>'VO RD Feedstock'!S42</f>
        <v>0</v>
      </c>
      <c r="AA238" s="13">
        <f>'VO RD Feedstock'!T42</f>
        <v>0</v>
      </c>
      <c r="AB238" s="13">
        <f>'VO RD Feedstock'!U42</f>
        <v>0</v>
      </c>
      <c r="AC238" s="13">
        <f>'VO RD Feedstock'!V42</f>
        <v>0</v>
      </c>
      <c r="AD238" s="13">
        <f>'VO RD Feedstock'!W42</f>
        <v>0</v>
      </c>
      <c r="AE238" s="13">
        <f>'VO RD Feedstock'!X42</f>
        <v>0</v>
      </c>
      <c r="AF238" s="13">
        <f>'VO RD Feedstock'!AG42</f>
        <v>0</v>
      </c>
      <c r="AG238" s="13">
        <f>'VO RD Feedstock'!AH42</f>
        <v>0</v>
      </c>
      <c r="AH238" s="13">
        <f>'VO RD Feedstock'!AI42</f>
        <v>0</v>
      </c>
      <c r="AI238" s="13">
        <f>'VO RD Feedstock'!AJ42</f>
        <v>0</v>
      </c>
      <c r="AJ238" s="13">
        <f>'VO RD Feedstock'!AK42</f>
        <v>0</v>
      </c>
      <c r="AK238" s="13">
        <f>'VO RD Feedstock'!AL42</f>
        <v>0</v>
      </c>
      <c r="AL238" s="13">
        <f>'VO RD Feedstock'!AM42</f>
        <v>0</v>
      </c>
      <c r="AM238" s="13">
        <f>'VO RD Feedstock'!AN42</f>
        <v>0</v>
      </c>
    </row>
    <row r="239" spans="1:39">
      <c r="A239" s="138" t="s">
        <v>249</v>
      </c>
      <c r="I239" s="13">
        <f>'Other RD Feedstock'!B43</f>
        <v>125063</v>
      </c>
      <c r="J239" s="13">
        <f>'Other RD Feedstock'!C43</f>
        <v>81665</v>
      </c>
      <c r="K239" s="13">
        <f>'Other RD Feedstock'!D43</f>
        <v>43502</v>
      </c>
      <c r="L239" s="13">
        <f>'Other RD Feedstock'!E43</f>
        <v>63465</v>
      </c>
      <c r="M239" s="13">
        <f>'Other RD Feedstock'!F43</f>
        <v>65474</v>
      </c>
      <c r="N239" s="13">
        <f>'Other RD Feedstock'!G43</f>
        <v>88398.863514922254</v>
      </c>
      <c r="O239" s="13">
        <f>'Other RD Feedstock'!H43</f>
        <v>95650.825453288591</v>
      </c>
      <c r="P239" s="13">
        <f>'Other RD Feedstock'!I43</f>
        <v>132332.17560076888</v>
      </c>
      <c r="Q239" s="13">
        <f>'Other RD Feedstock'!J43</f>
        <v>142952.31885790089</v>
      </c>
      <c r="R239" s="13">
        <f>'Other RD Feedstock'!K43</f>
        <v>144796.85851345916</v>
      </c>
      <c r="S239" s="13">
        <f>'Other RD Feedstock'!L43</f>
        <v>152014.39384878316</v>
      </c>
      <c r="T239" s="13">
        <f>'Other RD Feedstock'!M43</f>
        <v>155500.25178038661</v>
      </c>
      <c r="U239" s="13">
        <f>'Other RD Feedstock'!N43</f>
        <v>158089.92075325531</v>
      </c>
      <c r="V239" s="13">
        <f>'Other RD Feedstock'!O43</f>
        <v>160827.22187046334</v>
      </c>
      <c r="W239" s="13">
        <f>'Other RD Feedstock'!P43</f>
        <v>163353.59871767677</v>
      </c>
      <c r="X239" s="13">
        <f>'Other RD Feedstock'!Q43</f>
        <v>165958.2417513383</v>
      </c>
      <c r="Y239" s="13">
        <f>'Other RD Feedstock'!R43</f>
        <v>167227.98656866705</v>
      </c>
      <c r="Z239" s="13">
        <f>'Other RD Feedstock'!S43</f>
        <v>0</v>
      </c>
      <c r="AA239" s="13">
        <f>'Other RD Feedstock'!T43</f>
        <v>0</v>
      </c>
      <c r="AB239" s="13">
        <f>'Other RD Feedstock'!U43</f>
        <v>0</v>
      </c>
      <c r="AC239" s="13">
        <f>'Other RD Feedstock'!V43</f>
        <v>0</v>
      </c>
      <c r="AD239" s="13">
        <f>'Other RD Feedstock'!W43</f>
        <v>0</v>
      </c>
      <c r="AE239" s="13">
        <f>'Other RD Feedstock'!X43</f>
        <v>0</v>
      </c>
      <c r="AF239" s="13">
        <f>'Other RD Feedstock'!Y43</f>
        <v>0</v>
      </c>
      <c r="AG239" s="13" t="e">
        <f>'Other RD Feedstock'!Z43</f>
        <v>#VALUE!</v>
      </c>
      <c r="AH239" s="13" t="e">
        <f>'Other RD Feedstock'!AA43</f>
        <v>#VALUE!</v>
      </c>
      <c r="AI239" s="13">
        <f>'Other RD Feedstock'!AB43</f>
        <v>73583</v>
      </c>
      <c r="AJ239" s="13" t="e">
        <f>'Other RD Feedstock'!AC43</f>
        <v>#DIV/0!</v>
      </c>
      <c r="AK239" s="13">
        <f>'Other RD Feedstock'!AD43</f>
        <v>542788.80941620574</v>
      </c>
      <c r="AL239" s="13">
        <f>'Other RD Feedstock'!AE43</f>
        <v>566443.47821787244</v>
      </c>
      <c r="AM239" s="13">
        <f>'Other RD Feedstock'!AF43</f>
        <v>843842.36397632526</v>
      </c>
    </row>
    <row r="240" spans="1:39">
      <c r="A240" s="138" t="s">
        <v>250</v>
      </c>
      <c r="I240" s="239">
        <f>I238/SUM(I238:I239)</f>
        <v>0.72479270825998166</v>
      </c>
      <c r="J240" s="239">
        <f>J238/SUM(J238:J239)</f>
        <v>0.80550534315511702</v>
      </c>
      <c r="K240" s="239">
        <f>K238/SUM(K238:K239)</f>
        <v>0.87865178568937963</v>
      </c>
      <c r="L240" s="239">
        <f t="shared" ref="L240:AK240" si="197">L238/SUM(L238:L239)</f>
        <v>0.87107737185945977</v>
      </c>
      <c r="M240" s="239">
        <f t="shared" si="197"/>
        <v>0.94164938475811422</v>
      </c>
      <c r="N240" s="239">
        <f t="shared" si="197"/>
        <v>0.9232949397399044</v>
      </c>
      <c r="O240" s="239">
        <f t="shared" si="197"/>
        <v>0.93208160592881106</v>
      </c>
      <c r="P240" s="239">
        <f t="shared" si="197"/>
        <v>0.92792809808122856</v>
      </c>
      <c r="Q240" s="239">
        <f t="shared" si="197"/>
        <v>0.92994384405217168</v>
      </c>
      <c r="R240" s="239">
        <f t="shared" si="197"/>
        <v>0.92894846548302368</v>
      </c>
      <c r="S240" s="239">
        <f t="shared" si="197"/>
        <v>0.92942376066300048</v>
      </c>
      <c r="T240" s="239">
        <f t="shared" si="197"/>
        <v>0.92921691205326817</v>
      </c>
      <c r="U240" s="239">
        <f t="shared" si="197"/>
        <v>0.92929850292353133</v>
      </c>
      <c r="V240" s="239">
        <f t="shared" si="197"/>
        <v>0.9292537792034864</v>
      </c>
      <c r="W240" s="239">
        <f t="shared" si="197"/>
        <v>0.9292825769132369</v>
      </c>
      <c r="X240" s="239">
        <f t="shared" si="197"/>
        <v>0.92926848172488152</v>
      </c>
      <c r="Y240" s="239">
        <f t="shared" si="197"/>
        <v>0.92927826614864073</v>
      </c>
      <c r="Z240" s="239" t="e">
        <f t="shared" si="197"/>
        <v>#DIV/0!</v>
      </c>
      <c r="AA240" s="239" t="e">
        <f t="shared" si="197"/>
        <v>#DIV/0!</v>
      </c>
      <c r="AB240" s="239" t="e">
        <f t="shared" si="197"/>
        <v>#DIV/0!</v>
      </c>
      <c r="AC240" s="239" t="e">
        <f t="shared" si="197"/>
        <v>#DIV/0!</v>
      </c>
      <c r="AD240" s="239" t="e">
        <f t="shared" si="197"/>
        <v>#DIV/0!</v>
      </c>
      <c r="AE240" s="239" t="e">
        <f t="shared" si="197"/>
        <v>#DIV/0!</v>
      </c>
      <c r="AF240" s="239" t="e">
        <f t="shared" si="197"/>
        <v>#DIV/0!</v>
      </c>
      <c r="AG240" s="239" t="e">
        <f t="shared" si="197"/>
        <v>#VALUE!</v>
      </c>
      <c r="AH240" s="239" t="e">
        <f t="shared" si="197"/>
        <v>#VALUE!</v>
      </c>
      <c r="AI240" s="239">
        <f t="shared" si="197"/>
        <v>0</v>
      </c>
      <c r="AJ240" s="239" t="e">
        <f t="shared" si="197"/>
        <v>#DIV/0!</v>
      </c>
      <c r="AK240" s="239">
        <f t="shared" si="197"/>
        <v>0</v>
      </c>
      <c r="AL240" s="239">
        <f>AL238/SUM(AL238:AL239)</f>
        <v>0</v>
      </c>
      <c r="AM240" s="239">
        <f>AM238/SUM(AM238:AM239)</f>
        <v>0</v>
      </c>
    </row>
    <row r="241" spans="1:39">
      <c r="A241" s="138" t="s">
        <v>251</v>
      </c>
      <c r="I241" s="239">
        <f>1-I240</f>
        <v>0.27520729174001834</v>
      </c>
      <c r="J241" s="239">
        <f>1-J240</f>
        <v>0.19449465684488298</v>
      </c>
      <c r="K241" s="239">
        <f>1-K240</f>
        <v>0.12134821431062037</v>
      </c>
      <c r="L241" s="239">
        <f t="shared" ref="L241:AK241" si="198">1-L240</f>
        <v>0.12892262814054023</v>
      </c>
      <c r="M241" s="239">
        <f t="shared" si="198"/>
        <v>5.8350615241885784E-2</v>
      </c>
      <c r="N241" s="239">
        <f t="shared" si="198"/>
        <v>7.6705060260095603E-2</v>
      </c>
      <c r="O241" s="239">
        <f t="shared" si="198"/>
        <v>6.7918394071188937E-2</v>
      </c>
      <c r="P241" s="239">
        <f t="shared" si="198"/>
        <v>7.2071901918771442E-2</v>
      </c>
      <c r="Q241" s="239">
        <f t="shared" si="198"/>
        <v>7.0056155947828325E-2</v>
      </c>
      <c r="R241" s="239">
        <f t="shared" si="198"/>
        <v>7.1051534516976322E-2</v>
      </c>
      <c r="S241" s="239">
        <f t="shared" si="198"/>
        <v>7.0576239336999524E-2</v>
      </c>
      <c r="T241" s="239">
        <f t="shared" si="198"/>
        <v>7.0783087946731826E-2</v>
      </c>
      <c r="U241" s="239">
        <f t="shared" si="198"/>
        <v>7.0701497076468667E-2</v>
      </c>
      <c r="V241" s="239">
        <f t="shared" si="198"/>
        <v>7.0746220796513604E-2</v>
      </c>
      <c r="W241" s="239">
        <f t="shared" si="198"/>
        <v>7.0717423086763098E-2</v>
      </c>
      <c r="X241" s="239">
        <f t="shared" si="198"/>
        <v>7.0731518275118477E-2</v>
      </c>
      <c r="Y241" s="239">
        <f t="shared" si="198"/>
        <v>7.072173385135927E-2</v>
      </c>
      <c r="Z241" s="239" t="e">
        <f t="shared" si="198"/>
        <v>#DIV/0!</v>
      </c>
      <c r="AA241" s="239" t="e">
        <f t="shared" si="198"/>
        <v>#DIV/0!</v>
      </c>
      <c r="AB241" s="239" t="e">
        <f t="shared" si="198"/>
        <v>#DIV/0!</v>
      </c>
      <c r="AC241" s="239" t="e">
        <f t="shared" si="198"/>
        <v>#DIV/0!</v>
      </c>
      <c r="AD241" s="239" t="e">
        <f t="shared" si="198"/>
        <v>#DIV/0!</v>
      </c>
      <c r="AE241" s="239" t="e">
        <f t="shared" si="198"/>
        <v>#DIV/0!</v>
      </c>
      <c r="AF241" s="239" t="e">
        <f t="shared" si="198"/>
        <v>#DIV/0!</v>
      </c>
      <c r="AG241" s="239" t="e">
        <f t="shared" si="198"/>
        <v>#VALUE!</v>
      </c>
      <c r="AH241" s="239" t="e">
        <f t="shared" si="198"/>
        <v>#VALUE!</v>
      </c>
      <c r="AI241" s="239">
        <f t="shared" si="198"/>
        <v>1</v>
      </c>
      <c r="AJ241" s="239" t="e">
        <f t="shared" si="198"/>
        <v>#DIV/0!</v>
      </c>
      <c r="AK241" s="239">
        <f t="shared" si="198"/>
        <v>1</v>
      </c>
      <c r="AL241" s="239">
        <f>1-AL240</f>
        <v>1</v>
      </c>
      <c r="AM241" s="239">
        <f>1-AM240</f>
        <v>1</v>
      </c>
    </row>
    <row r="242" spans="1:39">
      <c r="A242" s="138"/>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39"/>
      <c r="AE242" s="239"/>
      <c r="AF242" s="239"/>
      <c r="AG242" s="239"/>
      <c r="AH242" s="239"/>
      <c r="AI242" s="239"/>
      <c r="AJ242" s="239"/>
      <c r="AK242" s="239"/>
      <c r="AL242" s="239"/>
      <c r="AM242" s="239"/>
    </row>
    <row r="243" spans="1:39">
      <c r="A243" s="138" t="s">
        <v>240</v>
      </c>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9"/>
      <c r="AG243" s="239"/>
      <c r="AH243" s="239"/>
      <c r="AI243" s="239"/>
      <c r="AJ243" s="239"/>
      <c r="AK243" s="239"/>
      <c r="AL243" s="239"/>
      <c r="AM243" s="239"/>
    </row>
    <row r="244" spans="1:39">
      <c r="A244" s="138" t="s">
        <v>252</v>
      </c>
      <c r="I244" s="239">
        <f>I221/SUM(I221:I222)</f>
        <v>0.93536121673003803</v>
      </c>
      <c r="J244" s="239">
        <f>J221/SUM(J221:J222)</f>
        <v>0.95340501792114696</v>
      </c>
      <c r="K244" s="239">
        <f>K221/SUM(K221:K222)</f>
        <v>0.93150684931506844</v>
      </c>
      <c r="L244" s="239">
        <f t="shared" ref="L244:AK244" si="199">L221/SUM(L221:L222)</f>
        <v>0.93150684931506844</v>
      </c>
      <c r="M244" s="239">
        <f t="shared" si="199"/>
        <v>0.93150684931506844</v>
      </c>
      <c r="N244" s="239">
        <f t="shared" si="199"/>
        <v>0.93150684931506855</v>
      </c>
      <c r="O244" s="239">
        <f t="shared" si="199"/>
        <v>0.93150684931506844</v>
      </c>
      <c r="P244" s="239">
        <f t="shared" si="199"/>
        <v>0.93150684931506855</v>
      </c>
      <c r="Q244" s="239">
        <f t="shared" si="199"/>
        <v>0.93150684931506844</v>
      </c>
      <c r="R244" s="239">
        <f t="shared" si="199"/>
        <v>0.93150684931506844</v>
      </c>
      <c r="S244" s="239">
        <f t="shared" si="199"/>
        <v>0.93150684931506844</v>
      </c>
      <c r="T244" s="239">
        <f t="shared" si="199"/>
        <v>0.93150684931506844</v>
      </c>
      <c r="U244" s="239">
        <f t="shared" si="199"/>
        <v>0.93150684931506844</v>
      </c>
      <c r="V244" s="239">
        <f t="shared" si="199"/>
        <v>0.93150684931506855</v>
      </c>
      <c r="W244" s="239">
        <f t="shared" si="199"/>
        <v>0.93150684931506844</v>
      </c>
      <c r="X244" s="239">
        <f t="shared" si="199"/>
        <v>0.93150684931506844</v>
      </c>
      <c r="Y244" s="239">
        <f t="shared" si="199"/>
        <v>0.93150684931506844</v>
      </c>
      <c r="Z244" s="239">
        <f t="shared" si="199"/>
        <v>0.93150684931506855</v>
      </c>
      <c r="AA244" s="239">
        <f t="shared" si="199"/>
        <v>0.93150684931506844</v>
      </c>
      <c r="AB244" s="239">
        <f t="shared" si="199"/>
        <v>0.93150684931506844</v>
      </c>
      <c r="AC244" s="239">
        <f t="shared" si="199"/>
        <v>0.93150684931506844</v>
      </c>
      <c r="AD244" s="239">
        <f t="shared" si="199"/>
        <v>0.93150684931506855</v>
      </c>
      <c r="AE244" s="239">
        <f t="shared" si="199"/>
        <v>0.93150684931506855</v>
      </c>
      <c r="AF244" s="239">
        <f t="shared" si="199"/>
        <v>0.93150684931506855</v>
      </c>
      <c r="AG244" s="239">
        <f t="shared" si="199"/>
        <v>0.93150684931506855</v>
      </c>
      <c r="AH244" s="239">
        <f t="shared" si="199"/>
        <v>0.93150684931506844</v>
      </c>
      <c r="AI244" s="239">
        <f t="shared" si="199"/>
        <v>0.93150684931506855</v>
      </c>
      <c r="AJ244" s="239">
        <f t="shared" si="199"/>
        <v>0.93150684931506855</v>
      </c>
      <c r="AK244" s="239">
        <f t="shared" si="199"/>
        <v>0.93150684931506844</v>
      </c>
      <c r="AL244" s="239">
        <f>AL221/SUM(AL221:AL222)</f>
        <v>0.93150684931506855</v>
      </c>
      <c r="AM244" s="239">
        <f>AM221/SUM(AM221:AM222)</f>
        <v>0.93150684931506855</v>
      </c>
    </row>
    <row r="245" spans="1:39">
      <c r="A245" s="138" t="s">
        <v>253</v>
      </c>
      <c r="I245" s="13">
        <f>I244*I238</f>
        <v>308078.98859315587</v>
      </c>
      <c r="J245" s="13">
        <f>J244*J238</f>
        <v>322458.73835125449</v>
      </c>
      <c r="K245" s="13">
        <f>K244*K238</f>
        <v>293412.54794520547</v>
      </c>
      <c r="L245" s="13">
        <f t="shared" ref="L245:AK245" si="200">L244*L238</f>
        <v>399436.65753424657</v>
      </c>
      <c r="M245" s="13">
        <f t="shared" si="200"/>
        <v>984234.79452054785</v>
      </c>
      <c r="N245" s="13">
        <f t="shared" si="200"/>
        <v>991172.34029816207</v>
      </c>
      <c r="O245" s="13">
        <f t="shared" si="200"/>
        <v>1222760.227059931</v>
      </c>
      <c r="P245" s="13">
        <f t="shared" si="200"/>
        <v>1587083.7603758245</v>
      </c>
      <c r="Q245" s="13">
        <f t="shared" si="200"/>
        <v>1767614.9967198109</v>
      </c>
      <c r="R245" s="13">
        <f t="shared" si="200"/>
        <v>1763450.8182067943</v>
      </c>
      <c r="S245" s="13">
        <f t="shared" si="200"/>
        <v>1864773.214966899</v>
      </c>
      <c r="T245" s="13">
        <f t="shared" si="200"/>
        <v>1901536.8656464906</v>
      </c>
      <c r="U245" s="13">
        <f t="shared" si="200"/>
        <v>1935605.5644625658</v>
      </c>
      <c r="V245" s="13">
        <f t="shared" si="200"/>
        <v>1967780.7305461357</v>
      </c>
      <c r="W245" s="13">
        <f t="shared" si="200"/>
        <v>1999567.7654502904</v>
      </c>
      <c r="X245" s="13">
        <f t="shared" si="200"/>
        <v>2031014.8764805149</v>
      </c>
      <c r="Y245" s="13">
        <f t="shared" si="200"/>
        <v>2046858.8449543826</v>
      </c>
      <c r="Z245" s="13">
        <f t="shared" si="200"/>
        <v>0</v>
      </c>
      <c r="AA245" s="13">
        <f t="shared" si="200"/>
        <v>0</v>
      </c>
      <c r="AB245" s="13">
        <f t="shared" si="200"/>
        <v>0</v>
      </c>
      <c r="AC245" s="13">
        <f t="shared" si="200"/>
        <v>0</v>
      </c>
      <c r="AD245" s="13">
        <f t="shared" si="200"/>
        <v>0</v>
      </c>
      <c r="AE245" s="13">
        <f t="shared" si="200"/>
        <v>0</v>
      </c>
      <c r="AF245" s="13">
        <f t="shared" si="200"/>
        <v>0</v>
      </c>
      <c r="AG245" s="13">
        <f t="shared" si="200"/>
        <v>0</v>
      </c>
      <c r="AH245" s="13">
        <f t="shared" si="200"/>
        <v>0</v>
      </c>
      <c r="AI245" s="13">
        <f t="shared" si="200"/>
        <v>0</v>
      </c>
      <c r="AJ245" s="13">
        <f t="shared" si="200"/>
        <v>0</v>
      </c>
      <c r="AK245" s="13">
        <f t="shared" si="200"/>
        <v>0</v>
      </c>
      <c r="AL245" s="13">
        <f>AL244*AL238</f>
        <v>0</v>
      </c>
      <c r="AM245" s="13">
        <f>AM244*AM238</f>
        <v>0</v>
      </c>
    </row>
    <row r="246" spans="1:39">
      <c r="A246" s="138" t="s">
        <v>241</v>
      </c>
    </row>
    <row r="247" spans="1:39">
      <c r="A247" s="138" t="s">
        <v>252</v>
      </c>
      <c r="I247" s="239">
        <f>1-I244</f>
        <v>6.4638783269961975E-2</v>
      </c>
      <c r="J247" s="239">
        <f>1-J244</f>
        <v>4.6594982078853042E-2</v>
      </c>
      <c r="K247" s="239">
        <f>1-K244</f>
        <v>6.8493150684931559E-2</v>
      </c>
      <c r="L247" s="239">
        <f t="shared" ref="L247:AK247" si="201">1-L244</f>
        <v>6.8493150684931559E-2</v>
      </c>
      <c r="M247" s="239">
        <f t="shared" si="201"/>
        <v>6.8493150684931559E-2</v>
      </c>
      <c r="N247" s="239">
        <f t="shared" si="201"/>
        <v>6.8493150684931448E-2</v>
      </c>
      <c r="O247" s="239">
        <f t="shared" si="201"/>
        <v>6.8493150684931559E-2</v>
      </c>
      <c r="P247" s="239">
        <f t="shared" si="201"/>
        <v>6.8493150684931448E-2</v>
      </c>
      <c r="Q247" s="239">
        <f t="shared" si="201"/>
        <v>6.8493150684931559E-2</v>
      </c>
      <c r="R247" s="239">
        <f t="shared" si="201"/>
        <v>6.8493150684931559E-2</v>
      </c>
      <c r="S247" s="239">
        <f t="shared" si="201"/>
        <v>6.8493150684931559E-2</v>
      </c>
      <c r="T247" s="239">
        <f t="shared" si="201"/>
        <v>6.8493150684931559E-2</v>
      </c>
      <c r="U247" s="239">
        <f t="shared" si="201"/>
        <v>6.8493150684931559E-2</v>
      </c>
      <c r="V247" s="239">
        <f t="shared" si="201"/>
        <v>6.8493150684931448E-2</v>
      </c>
      <c r="W247" s="239">
        <f t="shared" si="201"/>
        <v>6.8493150684931559E-2</v>
      </c>
      <c r="X247" s="239">
        <f t="shared" si="201"/>
        <v>6.8493150684931559E-2</v>
      </c>
      <c r="Y247" s="239">
        <f t="shared" si="201"/>
        <v>6.8493150684931559E-2</v>
      </c>
      <c r="Z247" s="239">
        <f t="shared" si="201"/>
        <v>6.8493150684931448E-2</v>
      </c>
      <c r="AA247" s="239">
        <f t="shared" si="201"/>
        <v>6.8493150684931559E-2</v>
      </c>
      <c r="AB247" s="239">
        <f t="shared" si="201"/>
        <v>6.8493150684931559E-2</v>
      </c>
      <c r="AC247" s="239">
        <f t="shared" si="201"/>
        <v>6.8493150684931559E-2</v>
      </c>
      <c r="AD247" s="239">
        <f t="shared" si="201"/>
        <v>6.8493150684931448E-2</v>
      </c>
      <c r="AE247" s="239">
        <f t="shared" si="201"/>
        <v>6.8493150684931448E-2</v>
      </c>
      <c r="AF247" s="239">
        <f t="shared" si="201"/>
        <v>6.8493150684931448E-2</v>
      </c>
      <c r="AG247" s="239">
        <f t="shared" si="201"/>
        <v>6.8493150684931448E-2</v>
      </c>
      <c r="AH247" s="239">
        <f t="shared" si="201"/>
        <v>6.8493150684931559E-2</v>
      </c>
      <c r="AI247" s="239">
        <f t="shared" si="201"/>
        <v>6.8493150684931448E-2</v>
      </c>
      <c r="AJ247" s="239">
        <f t="shared" si="201"/>
        <v>6.8493150684931448E-2</v>
      </c>
      <c r="AK247" s="239">
        <f t="shared" si="201"/>
        <v>6.8493150684931559E-2</v>
      </c>
      <c r="AL247" s="239">
        <f>1-AL244</f>
        <v>6.8493150684931448E-2</v>
      </c>
      <c r="AM247" s="239">
        <f>1-AM244</f>
        <v>6.8493150684931448E-2</v>
      </c>
    </row>
    <row r="248" spans="1:39">
      <c r="A248" s="138" t="s">
        <v>253</v>
      </c>
      <c r="I248" s="13">
        <f>I238*I247</f>
        <v>21290.011406844107</v>
      </c>
      <c r="J248" s="13">
        <f>J238*J247</f>
        <v>15759.261648745518</v>
      </c>
      <c r="K248" s="13">
        <f>K238*K247</f>
        <v>21574.452054794536</v>
      </c>
      <c r="L248" s="13">
        <f t="shared" ref="L248:AK248" si="202">L238*L247</f>
        <v>29370.342465753445</v>
      </c>
      <c r="M248" s="13">
        <f t="shared" si="202"/>
        <v>72370.20547945211</v>
      </c>
      <c r="N248" s="13">
        <f t="shared" si="202"/>
        <v>72880.319139570682</v>
      </c>
      <c r="O248" s="13">
        <f t="shared" si="202"/>
        <v>89908.840224995001</v>
      </c>
      <c r="P248" s="13">
        <f t="shared" si="202"/>
        <v>116697.33532175169</v>
      </c>
      <c r="Q248" s="13">
        <f t="shared" si="202"/>
        <v>129971.69093528032</v>
      </c>
      <c r="R248" s="13">
        <f t="shared" si="202"/>
        <v>129665.50133873498</v>
      </c>
      <c r="S248" s="13">
        <f t="shared" si="202"/>
        <v>137115.67757109561</v>
      </c>
      <c r="T248" s="13">
        <f t="shared" si="202"/>
        <v>139818.88717988913</v>
      </c>
      <c r="U248" s="13">
        <f t="shared" si="202"/>
        <v>142323.93856342408</v>
      </c>
      <c r="V248" s="13">
        <f t="shared" si="202"/>
        <v>144689.75959898042</v>
      </c>
      <c r="W248" s="13">
        <f t="shared" si="202"/>
        <v>147027.04157722736</v>
      </c>
      <c r="X248" s="13">
        <f t="shared" si="202"/>
        <v>149339.32915297916</v>
      </c>
      <c r="Y248" s="13">
        <f t="shared" si="202"/>
        <v>150504.32683488121</v>
      </c>
      <c r="Z248" s="13">
        <f t="shared" si="202"/>
        <v>0</v>
      </c>
      <c r="AA248" s="13">
        <f t="shared" si="202"/>
        <v>0</v>
      </c>
      <c r="AB248" s="13">
        <f t="shared" si="202"/>
        <v>0</v>
      </c>
      <c r="AC248" s="13">
        <f t="shared" si="202"/>
        <v>0</v>
      </c>
      <c r="AD248" s="13">
        <f t="shared" si="202"/>
        <v>0</v>
      </c>
      <c r="AE248" s="13">
        <f t="shared" si="202"/>
        <v>0</v>
      </c>
      <c r="AF248" s="13">
        <f t="shared" si="202"/>
        <v>0</v>
      </c>
      <c r="AG248" s="13">
        <f t="shared" si="202"/>
        <v>0</v>
      </c>
      <c r="AH248" s="13">
        <f t="shared" si="202"/>
        <v>0</v>
      </c>
      <c r="AI248" s="13">
        <f t="shared" si="202"/>
        <v>0</v>
      </c>
      <c r="AJ248" s="13">
        <f t="shared" si="202"/>
        <v>0</v>
      </c>
      <c r="AK248" s="13">
        <f t="shared" si="202"/>
        <v>0</v>
      </c>
      <c r="AL248" s="13">
        <f>AL238*AL247</f>
        <v>0</v>
      </c>
      <c r="AM248" s="13">
        <f>AM238*AM247</f>
        <v>0</v>
      </c>
    </row>
    <row r="249" spans="1:39">
      <c r="A249" s="138" t="s">
        <v>242</v>
      </c>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39"/>
      <c r="AE249" s="239"/>
      <c r="AF249" s="239"/>
      <c r="AG249" s="239"/>
      <c r="AH249" s="239"/>
      <c r="AI249" s="239"/>
      <c r="AJ249" s="239"/>
      <c r="AK249" s="239"/>
      <c r="AL249" s="239"/>
      <c r="AM249" s="239"/>
    </row>
    <row r="250" spans="1:39">
      <c r="A250" s="138" t="s">
        <v>252</v>
      </c>
      <c r="I250" s="239">
        <f>I223/SUM(I223:I224)</f>
        <v>0.26943626649220365</v>
      </c>
      <c r="J250" s="239">
        <f>J223/SUM(J223:J224)</f>
        <v>0.25925925925925924</v>
      </c>
      <c r="K250" s="239">
        <f>K223/SUM(K223:K224)</f>
        <v>0.25925925925925924</v>
      </c>
      <c r="L250" s="239">
        <f t="shared" ref="L250:AK250" si="203">L223/SUM(L223:L224)</f>
        <v>0.2592592592592593</v>
      </c>
      <c r="M250" s="239">
        <f t="shared" si="203"/>
        <v>0.2592592592592593</v>
      </c>
      <c r="N250" s="239">
        <f t="shared" si="203"/>
        <v>0.2592592592592593</v>
      </c>
      <c r="O250" s="239">
        <f t="shared" si="203"/>
        <v>0.2592592592592593</v>
      </c>
      <c r="P250" s="239">
        <f t="shared" si="203"/>
        <v>0.2592592592592593</v>
      </c>
      <c r="Q250" s="239">
        <f t="shared" si="203"/>
        <v>0.25925925925925924</v>
      </c>
      <c r="R250" s="239">
        <f t="shared" si="203"/>
        <v>0.25925925925925924</v>
      </c>
      <c r="S250" s="239">
        <f t="shared" si="203"/>
        <v>0.25925925925925924</v>
      </c>
      <c r="T250" s="239">
        <f t="shared" si="203"/>
        <v>0.25925925925925924</v>
      </c>
      <c r="U250" s="239">
        <f t="shared" si="203"/>
        <v>0.2592592592592593</v>
      </c>
      <c r="V250" s="239">
        <f t="shared" si="203"/>
        <v>0.2592592592592593</v>
      </c>
      <c r="W250" s="239">
        <f t="shared" si="203"/>
        <v>0.25925925925925924</v>
      </c>
      <c r="X250" s="239">
        <f t="shared" si="203"/>
        <v>0.2592592592592593</v>
      </c>
      <c r="Y250" s="239">
        <f t="shared" si="203"/>
        <v>0.25925925925925924</v>
      </c>
      <c r="Z250" s="239">
        <f t="shared" si="203"/>
        <v>0.25925925925925924</v>
      </c>
      <c r="AA250" s="239">
        <f t="shared" si="203"/>
        <v>0.2592592592592593</v>
      </c>
      <c r="AB250" s="239">
        <f t="shared" si="203"/>
        <v>0.25925925925925924</v>
      </c>
      <c r="AC250" s="239">
        <f t="shared" si="203"/>
        <v>0.2592592592592593</v>
      </c>
      <c r="AD250" s="239">
        <f t="shared" si="203"/>
        <v>0.2592592592592593</v>
      </c>
      <c r="AE250" s="239">
        <f t="shared" si="203"/>
        <v>0.25925925925925924</v>
      </c>
      <c r="AF250" s="239">
        <f t="shared" si="203"/>
        <v>0.25925925925925924</v>
      </c>
      <c r="AG250" s="239">
        <f t="shared" si="203"/>
        <v>0.2592592592592593</v>
      </c>
      <c r="AH250" s="239">
        <f t="shared" si="203"/>
        <v>0.25925925925925924</v>
      </c>
      <c r="AI250" s="239">
        <f t="shared" si="203"/>
        <v>0.25925925925925924</v>
      </c>
      <c r="AJ250" s="239">
        <f t="shared" si="203"/>
        <v>0.25925925925925924</v>
      </c>
      <c r="AK250" s="239">
        <f t="shared" si="203"/>
        <v>0.2592592592592593</v>
      </c>
      <c r="AL250" s="239">
        <f>AL223/SUM(AL223:AL224)</f>
        <v>0.25925925925925924</v>
      </c>
      <c r="AM250" s="239">
        <f>AM223/SUM(AM223:AM224)</f>
        <v>0.25925925925925924</v>
      </c>
    </row>
    <row r="251" spans="1:39">
      <c r="A251" s="138" t="s">
        <v>253</v>
      </c>
      <c r="I251" s="13">
        <f>I239*I250</f>
        <v>33696.507796314465</v>
      </c>
      <c r="J251" s="13">
        <f>J239*J250</f>
        <v>21172.407407407405</v>
      </c>
      <c r="K251" s="13">
        <f>K239*K250</f>
        <v>11278.296296296296</v>
      </c>
      <c r="L251" s="13">
        <f t="shared" ref="L251:AK251" si="204">L239*L250</f>
        <v>16453.888888888891</v>
      </c>
      <c r="M251" s="13">
        <f t="shared" si="204"/>
        <v>16974.740740740745</v>
      </c>
      <c r="N251" s="13">
        <f t="shared" si="204"/>
        <v>22918.223874239105</v>
      </c>
      <c r="O251" s="13">
        <f t="shared" si="204"/>
        <v>24798.362154556304</v>
      </c>
      <c r="P251" s="13">
        <f t="shared" si="204"/>
        <v>34308.341822421564</v>
      </c>
      <c r="Q251" s="13">
        <f t="shared" si="204"/>
        <v>37061.71229649282</v>
      </c>
      <c r="R251" s="13">
        <f t="shared" si="204"/>
        <v>37539.926281267188</v>
      </c>
      <c r="S251" s="13">
        <f t="shared" si="204"/>
        <v>39411.139145980815</v>
      </c>
      <c r="T251" s="13">
        <f t="shared" si="204"/>
        <v>40314.880091211344</v>
      </c>
      <c r="U251" s="13">
        <f t="shared" si="204"/>
        <v>40986.275750843975</v>
      </c>
      <c r="V251" s="13">
        <f t="shared" si="204"/>
        <v>41695.946410860874</v>
      </c>
      <c r="W251" s="13">
        <f t="shared" si="204"/>
        <v>42350.933000879158</v>
      </c>
      <c r="X251" s="13">
        <f t="shared" si="204"/>
        <v>43026.210824421047</v>
      </c>
      <c r="Y251" s="13">
        <f t="shared" si="204"/>
        <v>43355.403925209976</v>
      </c>
      <c r="Z251" s="13">
        <f t="shared" si="204"/>
        <v>0</v>
      </c>
      <c r="AA251" s="13">
        <f t="shared" si="204"/>
        <v>0</v>
      </c>
      <c r="AB251" s="13">
        <f t="shared" si="204"/>
        <v>0</v>
      </c>
      <c r="AC251" s="13">
        <f t="shared" si="204"/>
        <v>0</v>
      </c>
      <c r="AD251" s="13">
        <f t="shared" si="204"/>
        <v>0</v>
      </c>
      <c r="AE251" s="13">
        <f t="shared" si="204"/>
        <v>0</v>
      </c>
      <c r="AF251" s="13">
        <f t="shared" si="204"/>
        <v>0</v>
      </c>
      <c r="AG251" s="13" t="e">
        <f t="shared" si="204"/>
        <v>#VALUE!</v>
      </c>
      <c r="AH251" s="13" t="e">
        <f t="shared" si="204"/>
        <v>#VALUE!</v>
      </c>
      <c r="AI251" s="13">
        <f t="shared" si="204"/>
        <v>19077.074074074073</v>
      </c>
      <c r="AJ251" s="13" t="e">
        <f t="shared" si="204"/>
        <v>#DIV/0!</v>
      </c>
      <c r="AK251" s="13">
        <f t="shared" si="204"/>
        <v>140723.02466346076</v>
      </c>
      <c r="AL251" s="13">
        <f>AL239*AL250</f>
        <v>146855.71657500396</v>
      </c>
      <c r="AM251" s="13">
        <f>AM239*AM250</f>
        <v>218773.94621608432</v>
      </c>
    </row>
    <row r="252" spans="1:39">
      <c r="A252" s="138" t="s">
        <v>243</v>
      </c>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39"/>
      <c r="AE252" s="239"/>
      <c r="AF252" s="239"/>
      <c r="AG252" s="239"/>
      <c r="AH252" s="239"/>
      <c r="AI252" s="239"/>
      <c r="AJ252" s="239"/>
      <c r="AK252" s="239"/>
      <c r="AL252" s="239"/>
      <c r="AM252" s="239"/>
    </row>
    <row r="253" spans="1:39">
      <c r="A253" s="138" t="s">
        <v>252</v>
      </c>
      <c r="I253" s="239">
        <f>1-I250</f>
        <v>0.73056373350779635</v>
      </c>
      <c r="J253" s="239">
        <f>1-J250</f>
        <v>0.7407407407407407</v>
      </c>
      <c r="K253" s="239">
        <f>1-K250</f>
        <v>0.7407407407407407</v>
      </c>
      <c r="L253" s="239">
        <f t="shared" ref="L253:AK253" si="205">1-L250</f>
        <v>0.7407407407407407</v>
      </c>
      <c r="M253" s="239">
        <f t="shared" si="205"/>
        <v>0.7407407407407407</v>
      </c>
      <c r="N253" s="239">
        <f t="shared" si="205"/>
        <v>0.7407407407407407</v>
      </c>
      <c r="O253" s="239">
        <f t="shared" si="205"/>
        <v>0.7407407407407407</v>
      </c>
      <c r="P253" s="239">
        <f t="shared" si="205"/>
        <v>0.7407407407407407</v>
      </c>
      <c r="Q253" s="239">
        <f t="shared" si="205"/>
        <v>0.7407407407407407</v>
      </c>
      <c r="R253" s="239">
        <f t="shared" si="205"/>
        <v>0.7407407407407407</v>
      </c>
      <c r="S253" s="239">
        <f t="shared" si="205"/>
        <v>0.7407407407407407</v>
      </c>
      <c r="T253" s="239">
        <f t="shared" si="205"/>
        <v>0.7407407407407407</v>
      </c>
      <c r="U253" s="239">
        <f t="shared" si="205"/>
        <v>0.7407407407407407</v>
      </c>
      <c r="V253" s="239">
        <f t="shared" si="205"/>
        <v>0.7407407407407407</v>
      </c>
      <c r="W253" s="239">
        <f t="shared" si="205"/>
        <v>0.7407407407407407</v>
      </c>
      <c r="X253" s="239">
        <f t="shared" si="205"/>
        <v>0.7407407407407407</v>
      </c>
      <c r="Y253" s="239">
        <f t="shared" si="205"/>
        <v>0.7407407407407407</v>
      </c>
      <c r="Z253" s="239">
        <f t="shared" si="205"/>
        <v>0.7407407407407407</v>
      </c>
      <c r="AA253" s="239">
        <f t="shared" si="205"/>
        <v>0.7407407407407407</v>
      </c>
      <c r="AB253" s="239">
        <f t="shared" si="205"/>
        <v>0.7407407407407407</v>
      </c>
      <c r="AC253" s="239">
        <f t="shared" si="205"/>
        <v>0.7407407407407407</v>
      </c>
      <c r="AD253" s="239">
        <f t="shared" si="205"/>
        <v>0.7407407407407407</v>
      </c>
      <c r="AE253" s="239">
        <f t="shared" si="205"/>
        <v>0.7407407407407407</v>
      </c>
      <c r="AF253" s="239">
        <f t="shared" si="205"/>
        <v>0.7407407407407407</v>
      </c>
      <c r="AG253" s="239">
        <f t="shared" si="205"/>
        <v>0.7407407407407407</v>
      </c>
      <c r="AH253" s="239">
        <f t="shared" si="205"/>
        <v>0.7407407407407407</v>
      </c>
      <c r="AI253" s="239">
        <f t="shared" si="205"/>
        <v>0.7407407407407407</v>
      </c>
      <c r="AJ253" s="239">
        <f t="shared" si="205"/>
        <v>0.7407407407407407</v>
      </c>
      <c r="AK253" s="239">
        <f t="shared" si="205"/>
        <v>0.7407407407407407</v>
      </c>
      <c r="AL253" s="239">
        <f>1-AL250</f>
        <v>0.7407407407407407</v>
      </c>
      <c r="AM253" s="239">
        <f>1-AM250</f>
        <v>0.7407407407407407</v>
      </c>
    </row>
    <row r="254" spans="1:39">
      <c r="A254" s="138" t="s">
        <v>253</v>
      </c>
      <c r="I254" s="13">
        <f>I239*I253</f>
        <v>91366.492203685542</v>
      </c>
      <c r="J254" s="13">
        <f>J239*J253</f>
        <v>60492.592592592591</v>
      </c>
      <c r="K254" s="13">
        <f>K239*K253</f>
        <v>32223.703703703701</v>
      </c>
      <c r="L254" s="13">
        <f t="shared" ref="L254:AK254" si="206">L239*L253</f>
        <v>47011.111111111109</v>
      </c>
      <c r="M254" s="13">
        <f t="shared" si="206"/>
        <v>48499.259259259255</v>
      </c>
      <c r="N254" s="13">
        <f t="shared" si="206"/>
        <v>65480.639640683148</v>
      </c>
      <c r="O254" s="13">
        <f t="shared" si="206"/>
        <v>70852.463298732284</v>
      </c>
      <c r="P254" s="13">
        <f t="shared" si="206"/>
        <v>98023.833778347311</v>
      </c>
      <c r="Q254" s="13">
        <f t="shared" si="206"/>
        <v>105890.60656140806</v>
      </c>
      <c r="R254" s="13">
        <f t="shared" si="206"/>
        <v>107256.93223219196</v>
      </c>
      <c r="S254" s="13">
        <f t="shared" si="206"/>
        <v>112603.25470280234</v>
      </c>
      <c r="T254" s="13">
        <f t="shared" si="206"/>
        <v>115185.37168917526</v>
      </c>
      <c r="U254" s="13">
        <f t="shared" si="206"/>
        <v>117103.64500241133</v>
      </c>
      <c r="V254" s="13">
        <f t="shared" si="206"/>
        <v>119131.27545960248</v>
      </c>
      <c r="W254" s="13">
        <f t="shared" si="206"/>
        <v>121002.66571679759</v>
      </c>
      <c r="X254" s="13">
        <f t="shared" si="206"/>
        <v>122932.03092691724</v>
      </c>
      <c r="Y254" s="13">
        <f t="shared" si="206"/>
        <v>123872.58264345706</v>
      </c>
      <c r="Z254" s="13">
        <f t="shared" si="206"/>
        <v>0</v>
      </c>
      <c r="AA254" s="13">
        <f t="shared" si="206"/>
        <v>0</v>
      </c>
      <c r="AB254" s="13">
        <f t="shared" si="206"/>
        <v>0</v>
      </c>
      <c r="AC254" s="13">
        <f t="shared" si="206"/>
        <v>0</v>
      </c>
      <c r="AD254" s="13">
        <f t="shared" si="206"/>
        <v>0</v>
      </c>
      <c r="AE254" s="13">
        <f t="shared" si="206"/>
        <v>0</v>
      </c>
      <c r="AF254" s="13">
        <f t="shared" si="206"/>
        <v>0</v>
      </c>
      <c r="AG254" s="13" t="e">
        <f t="shared" si="206"/>
        <v>#VALUE!</v>
      </c>
      <c r="AH254" s="13" t="e">
        <f t="shared" si="206"/>
        <v>#VALUE!</v>
      </c>
      <c r="AI254" s="13">
        <f t="shared" si="206"/>
        <v>54505.92592592592</v>
      </c>
      <c r="AJ254" s="13" t="e">
        <f t="shared" si="206"/>
        <v>#DIV/0!</v>
      </c>
      <c r="AK254" s="13">
        <f t="shared" si="206"/>
        <v>402065.78475274495</v>
      </c>
      <c r="AL254" s="13">
        <f>AL239*AL253</f>
        <v>419587.76164286846</v>
      </c>
      <c r="AM254" s="13">
        <f>AM239*AM253</f>
        <v>625068.41776024085</v>
      </c>
    </row>
    <row r="255" spans="1:39">
      <c r="A255" s="138"/>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39"/>
      <c r="AE255" s="239"/>
      <c r="AF255" s="239"/>
      <c r="AG255" s="239"/>
      <c r="AH255" s="239"/>
      <c r="AI255" s="239"/>
      <c r="AJ255" s="239"/>
      <c r="AK255" s="239"/>
      <c r="AL255" s="239"/>
      <c r="AM255" s="239"/>
    </row>
    <row r="256" spans="1:39">
      <c r="A256" s="138"/>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39"/>
      <c r="AE256" s="239"/>
      <c r="AF256" s="239"/>
      <c r="AG256" s="239"/>
      <c r="AH256" s="239"/>
      <c r="AI256" s="239"/>
      <c r="AJ256" s="239"/>
      <c r="AK256" s="239"/>
      <c r="AL256" s="239"/>
      <c r="AM256" s="239"/>
    </row>
    <row r="257" spans="1:39">
      <c r="A257" s="138"/>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39"/>
      <c r="AE257" s="239"/>
      <c r="AF257" s="239"/>
      <c r="AG257" s="239"/>
      <c r="AH257" s="239"/>
      <c r="AI257" s="239"/>
      <c r="AJ257" s="239"/>
      <c r="AK257" s="239"/>
      <c r="AL257" s="239"/>
      <c r="AM257" s="239"/>
    </row>
    <row r="258" spans="1:39">
      <c r="A258" s="138"/>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39"/>
      <c r="AE258" s="239"/>
      <c r="AF258" s="239"/>
      <c r="AG258" s="239"/>
      <c r="AH258" s="239"/>
      <c r="AI258" s="239"/>
      <c r="AJ258" s="239"/>
      <c r="AK258" s="239"/>
      <c r="AL258" s="239"/>
      <c r="AM258" s="239"/>
    </row>
    <row r="259" spans="1:39">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39"/>
      <c r="AE259" s="239"/>
      <c r="AF259" s="239"/>
      <c r="AG259" s="239"/>
      <c r="AH259" s="239"/>
      <c r="AI259" s="239"/>
      <c r="AJ259" s="239"/>
      <c r="AK259" s="239"/>
      <c r="AL259" s="239"/>
      <c r="AM259" s="239"/>
    </row>
    <row r="260" spans="1:39">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39"/>
      <c r="AE260" s="239"/>
      <c r="AF260" s="239"/>
      <c r="AG260" s="239"/>
      <c r="AH260" s="239"/>
      <c r="AI260" s="239"/>
      <c r="AJ260" s="239"/>
      <c r="AK260" s="239"/>
      <c r="AL260" s="239"/>
      <c r="AM260" s="239"/>
    </row>
    <row r="261" spans="1:39">
      <c r="A261" s="138" t="s">
        <v>254</v>
      </c>
    </row>
    <row r="262" spans="1:39">
      <c r="A262" s="111" t="s">
        <v>255</v>
      </c>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c r="AH262" s="111"/>
      <c r="AI262" s="111"/>
      <c r="AJ262" s="111"/>
      <c r="AK262" s="111"/>
      <c r="AL262" s="111"/>
      <c r="AM262" s="111"/>
    </row>
    <row r="263" spans="1:39" ht="12" thickBot="1">
      <c r="A263" s="168"/>
      <c r="B263" s="169">
        <f>B2</f>
        <v>2013</v>
      </c>
      <c r="C263" s="169">
        <f t="shared" ref="C263:AK263" si="207">C2</f>
        <v>2014</v>
      </c>
      <c r="D263" s="169">
        <f t="shared" si="207"/>
        <v>2015</v>
      </c>
      <c r="E263" s="169">
        <f t="shared" si="207"/>
        <v>2016</v>
      </c>
      <c r="F263" s="169">
        <f t="shared" si="207"/>
        <v>2017</v>
      </c>
      <c r="G263" s="169">
        <f t="shared" si="207"/>
        <v>2018</v>
      </c>
      <c r="H263" s="169">
        <f t="shared" si="207"/>
        <v>2019</v>
      </c>
      <c r="I263" s="169">
        <f t="shared" si="207"/>
        <v>2020</v>
      </c>
      <c r="J263" s="169">
        <f t="shared" si="207"/>
        <v>2021</v>
      </c>
      <c r="K263" s="169">
        <f t="shared" si="207"/>
        <v>2022</v>
      </c>
      <c r="L263" s="169">
        <f t="shared" si="207"/>
        <v>2023</v>
      </c>
      <c r="M263" s="169">
        <f t="shared" si="207"/>
        <v>2024</v>
      </c>
      <c r="N263" s="169">
        <f t="shared" si="207"/>
        <v>2025</v>
      </c>
      <c r="O263" s="169">
        <f t="shared" si="207"/>
        <v>2026</v>
      </c>
      <c r="P263" s="169">
        <f t="shared" si="207"/>
        <v>2027</v>
      </c>
      <c r="Q263" s="169">
        <f t="shared" si="207"/>
        <v>2028</v>
      </c>
      <c r="R263" s="169">
        <f t="shared" si="207"/>
        <v>2029</v>
      </c>
      <c r="S263" s="169">
        <f t="shared" si="207"/>
        <v>2030</v>
      </c>
      <c r="T263" s="169">
        <f t="shared" si="207"/>
        <v>2031</v>
      </c>
      <c r="U263" s="169">
        <f t="shared" si="207"/>
        <v>2032</v>
      </c>
      <c r="V263" s="169">
        <f t="shared" si="207"/>
        <v>2033</v>
      </c>
      <c r="W263" s="169">
        <f t="shared" si="207"/>
        <v>2034</v>
      </c>
      <c r="X263" s="169">
        <f t="shared" si="207"/>
        <v>2035</v>
      </c>
      <c r="Y263" s="169">
        <f t="shared" si="207"/>
        <v>2036</v>
      </c>
      <c r="Z263" s="169">
        <f t="shared" si="207"/>
        <v>2037</v>
      </c>
      <c r="AA263" s="169">
        <f t="shared" si="207"/>
        <v>2038</v>
      </c>
      <c r="AB263" s="169">
        <f t="shared" si="207"/>
        <v>2039</v>
      </c>
      <c r="AC263" s="169">
        <f t="shared" si="207"/>
        <v>2040</v>
      </c>
      <c r="AD263" s="169">
        <f t="shared" si="207"/>
        <v>2041</v>
      </c>
      <c r="AE263" s="169">
        <f t="shared" si="207"/>
        <v>2042</v>
      </c>
      <c r="AF263" s="169">
        <f t="shared" si="207"/>
        <v>2043</v>
      </c>
      <c r="AG263" s="169">
        <f t="shared" si="207"/>
        <v>2044</v>
      </c>
      <c r="AH263" s="169">
        <f t="shared" si="207"/>
        <v>2045</v>
      </c>
      <c r="AI263" s="169">
        <f t="shared" si="207"/>
        <v>2046</v>
      </c>
      <c r="AJ263" s="169">
        <f t="shared" si="207"/>
        <v>2047</v>
      </c>
      <c r="AK263" s="169">
        <f t="shared" si="207"/>
        <v>2048</v>
      </c>
      <c r="AL263" s="169">
        <f>AL2</f>
        <v>2049</v>
      </c>
      <c r="AM263" s="169">
        <f>AM2</f>
        <v>2050</v>
      </c>
    </row>
    <row r="264" spans="1:39" ht="12" thickTop="1">
      <c r="A264" s="138" t="s">
        <v>129</v>
      </c>
      <c r="B264" s="231">
        <f t="shared" ref="B264:B275" si="208">B$276*(SUM(C22:E22)/SUM(C$34:E$34))</f>
        <v>2.6328177252468885</v>
      </c>
      <c r="C264" s="170">
        <f t="shared" ref="C264:C275" si="209">C$276*(SUM(D22:F22)/SUM(D$34:F$34))</f>
        <v>11.518657789811643</v>
      </c>
      <c r="D264" s="170">
        <f t="shared" ref="D264:H275" si="210">D$276*(SUM(E22:G22)/SUM(E$34:G$34))</f>
        <v>16.619050889260503</v>
      </c>
      <c r="E264" s="170">
        <f t="shared" si="210"/>
        <v>16.694699771826652</v>
      </c>
      <c r="F264" s="170">
        <f t="shared" si="210"/>
        <v>19.3704902389822</v>
      </c>
      <c r="G264" s="170">
        <f t="shared" si="210"/>
        <v>13.048509395460417</v>
      </c>
      <c r="H264" s="170">
        <f t="shared" si="210"/>
        <v>16.669474869289775</v>
      </c>
      <c r="I264" s="118">
        <f>'BD Plant List'!$BA138/1000</f>
        <v>27.439979724378269</v>
      </c>
      <c r="J264" s="118">
        <f>'BD Plant List'!$BA150/1000</f>
        <v>22.013562922108779</v>
      </c>
      <c r="K264" s="118">
        <f>'BD Plant List'!$BA162/1000</f>
        <v>15.509511124231384</v>
      </c>
      <c r="L264" s="118">
        <f>'BD Plant List'!$BA174/1000</f>
        <v>32.902677231686418</v>
      </c>
      <c r="M264" s="118">
        <f>'BD Plant List'!$BA186/1000</f>
        <v>72.058383004766497</v>
      </c>
      <c r="N264" s="118">
        <f>'BD Plant List'!$BA198/1000</f>
        <v>21.029081088086631</v>
      </c>
      <c r="O264" s="118">
        <f>'BD Plant List'!$BA210/1000</f>
        <v>40.722824699478458</v>
      </c>
      <c r="P264" s="118">
        <f>'BD Plant List'!$BA222/1000</f>
        <v>84.499833547280986</v>
      </c>
      <c r="Q264" s="118">
        <f>'BD Plant List'!$BA234/1000</f>
        <v>120.86290658846168</v>
      </c>
      <c r="R264" s="118">
        <f>'BD Plant List'!$BA246/1000</f>
        <v>117.80921225509485</v>
      </c>
      <c r="S264" s="118">
        <f>'BD Plant List'!$BA258/1000</f>
        <v>117.39895186724863</v>
      </c>
      <c r="T264" s="118">
        <f>'BD Plant List'!$BA270/1000</f>
        <v>88.016969053983928</v>
      </c>
      <c r="U264" s="118">
        <f>'BD Plant List'!$BA282/1000</f>
        <v>88.448829791860277</v>
      </c>
      <c r="V264" s="118">
        <f>'BD Plant List'!$BA294/1000</f>
        <v>88.909068779797551</v>
      </c>
      <c r="W264" s="118">
        <f>'BD Plant List'!$BA306/1000</f>
        <v>88.491799548133443</v>
      </c>
      <c r="X264" s="118">
        <f>'BD Plant List'!$BA318/1000</f>
        <v>88.45085844605002</v>
      </c>
      <c r="Y264" s="118">
        <f>'BD Plant List'!$BA330/1000</f>
        <v>88.463505123965049</v>
      </c>
      <c r="Z264" s="118">
        <f>'BD Plant List'!$BA330/1000</f>
        <v>88.463505123965049</v>
      </c>
      <c r="AA264" s="118">
        <f>'BD Plant List'!$BA330/1000</f>
        <v>88.463505123965049</v>
      </c>
      <c r="AB264" s="118">
        <f>'BD Plant List'!$BA330/1000</f>
        <v>88.463505123965049</v>
      </c>
      <c r="AC264" s="118">
        <f>'BD Plant List'!$BA330/1000</f>
        <v>88.463505123965049</v>
      </c>
      <c r="AD264" s="118">
        <f>'BD Plant List'!$BA330/1000</f>
        <v>88.463505123965049</v>
      </c>
      <c r="AE264" s="118">
        <f>'BD Plant List'!$BA330/1000</f>
        <v>88.463505123965049</v>
      </c>
      <c r="AF264" s="118">
        <f>'BD Plant List'!$BA330/1000</f>
        <v>88.463505123965049</v>
      </c>
      <c r="AG264" s="118">
        <f>'BD Plant List'!$BA330/1000</f>
        <v>88.463505123965049</v>
      </c>
      <c r="AH264" s="118">
        <f>'BD Plant List'!$BA330/1000</f>
        <v>88.463505123965049</v>
      </c>
      <c r="AI264" s="118">
        <f>'BD Plant List'!$BA330/1000</f>
        <v>88.463505123965049</v>
      </c>
      <c r="AJ264" s="118">
        <f>'BD Plant List'!$BA330/1000</f>
        <v>88.463505123965049</v>
      </c>
      <c r="AK264" s="118">
        <f>'BD Plant List'!$BA330/1000</f>
        <v>88.463505123965049</v>
      </c>
      <c r="AL264" s="118">
        <f>'BD Plant List'!$BA330/1000</f>
        <v>88.463505123965049</v>
      </c>
      <c r="AM264" s="118">
        <f>'BD Plant List'!$BA330/1000</f>
        <v>88.463505123965049</v>
      </c>
    </row>
    <row r="265" spans="1:39">
      <c r="A265" s="138" t="s">
        <v>130</v>
      </c>
      <c r="B265" s="231">
        <f t="shared" si="208"/>
        <v>2.5680427640238332</v>
      </c>
      <c r="C265" s="170">
        <f t="shared" si="209"/>
        <v>11.198318544546892</v>
      </c>
      <c r="D265" s="170">
        <f t="shared" si="210"/>
        <v>16.214483930048804</v>
      </c>
      <c r="E265" s="170">
        <f t="shared" si="210"/>
        <v>16.321395011189857</v>
      </c>
      <c r="F265" s="170">
        <f t="shared" si="210"/>
        <v>18.647634357852073</v>
      </c>
      <c r="G265" s="170">
        <f t="shared" si="210"/>
        <v>12.918650066071169</v>
      </c>
      <c r="H265" s="170">
        <f t="shared" si="210"/>
        <v>16.410868984467427</v>
      </c>
      <c r="I265" s="118">
        <f>'BD Plant List'!$BA139/1000</f>
        <v>25.544558026006939</v>
      </c>
      <c r="J265" s="118">
        <f>'BD Plant List'!$BA151/1000</f>
        <v>24.813060567659807</v>
      </c>
      <c r="K265" s="118">
        <f>'BD Plant List'!$BA163/1000</f>
        <v>18.201147214262054</v>
      </c>
      <c r="L265" s="118">
        <f>'BD Plant List'!$BA175/1000</f>
        <v>31.508321486686924</v>
      </c>
      <c r="M265" s="118">
        <f>'BD Plant List'!$BA187/1000</f>
        <v>42.10326791757268</v>
      </c>
      <c r="N265" s="118">
        <f>'BD Plant List'!$BA199/1000</f>
        <v>28.900032962285614</v>
      </c>
      <c r="O265" s="118">
        <f>'BD Plant List'!$BA211/1000</f>
        <v>57.817674868322236</v>
      </c>
      <c r="P265" s="118">
        <f>'BD Plant List'!$BA223/1000</f>
        <v>77.489448758647569</v>
      </c>
      <c r="Q265" s="118">
        <f>'BD Plant List'!$BA235/1000</f>
        <v>110.11162334894746</v>
      </c>
      <c r="R265" s="118">
        <f>'BD Plant List'!$BA247/1000</f>
        <v>109.59145781476022</v>
      </c>
      <c r="S265" s="118">
        <f>'BD Plant List'!$BA259/1000</f>
        <v>108.96720351795524</v>
      </c>
      <c r="T265" s="118">
        <f>'BD Plant List'!$BA271/1000</f>
        <v>81.475516377230349</v>
      </c>
      <c r="U265" s="118">
        <f>'BD Plant List'!$BA283/1000</f>
        <v>81.585410885733893</v>
      </c>
      <c r="V265" s="118">
        <f>'BD Plant List'!$BA295/1000</f>
        <v>82.102220241252567</v>
      </c>
      <c r="W265" s="118">
        <f>'BD Plant List'!$BA307/1000</f>
        <v>81.942431627677422</v>
      </c>
      <c r="X265" s="118">
        <f>'BD Plant List'!$BA319/1000</f>
        <v>81.829017540392641</v>
      </c>
      <c r="Y265" s="118">
        <f>'BD Plant List'!$BA331/1000</f>
        <v>81.786919334457338</v>
      </c>
      <c r="Z265" s="118">
        <f>'BD Plant List'!$BA331/1000</f>
        <v>81.786919334457338</v>
      </c>
      <c r="AA265" s="118">
        <f>'BD Plant List'!$BA331/1000</f>
        <v>81.786919334457338</v>
      </c>
      <c r="AB265" s="118">
        <f>'BD Plant List'!$BA331/1000</f>
        <v>81.786919334457338</v>
      </c>
      <c r="AC265" s="118">
        <f>'BD Plant List'!$BA331/1000</f>
        <v>81.786919334457338</v>
      </c>
      <c r="AD265" s="118">
        <f>'BD Plant List'!$BA331/1000</f>
        <v>81.786919334457338</v>
      </c>
      <c r="AE265" s="118">
        <f>'BD Plant List'!$BA331/1000</f>
        <v>81.786919334457338</v>
      </c>
      <c r="AF265" s="118">
        <f>'BD Plant List'!$BA331/1000</f>
        <v>81.786919334457338</v>
      </c>
      <c r="AG265" s="118">
        <f>'BD Plant List'!$BA331/1000</f>
        <v>81.786919334457338</v>
      </c>
      <c r="AH265" s="118">
        <f>'BD Plant List'!$BA331/1000</f>
        <v>81.786919334457338</v>
      </c>
      <c r="AI265" s="118">
        <f>'BD Plant List'!$BA331/1000</f>
        <v>81.786919334457338</v>
      </c>
      <c r="AJ265" s="118">
        <f>'BD Plant List'!$BA331/1000</f>
        <v>81.786919334457338</v>
      </c>
      <c r="AK265" s="118">
        <f>'BD Plant List'!$BA331/1000</f>
        <v>81.786919334457338</v>
      </c>
      <c r="AL265" s="118">
        <f>'BD Plant List'!$BA331/1000</f>
        <v>81.786919334457338</v>
      </c>
      <c r="AM265" s="118">
        <f>'BD Plant List'!$BA331/1000</f>
        <v>81.786919334457338</v>
      </c>
    </row>
    <row r="266" spans="1:39">
      <c r="A266" s="138" t="s">
        <v>131</v>
      </c>
      <c r="B266" s="231">
        <f t="shared" si="208"/>
        <v>2.6347293072503057</v>
      </c>
      <c r="C266" s="170">
        <f t="shared" si="209"/>
        <v>11.3988440525355</v>
      </c>
      <c r="D266" s="170">
        <f t="shared" si="210"/>
        <v>16.560494532998483</v>
      </c>
      <c r="E266" s="170">
        <f t="shared" si="210"/>
        <v>16.911235408138861</v>
      </c>
      <c r="F266" s="170">
        <f t="shared" si="210"/>
        <v>18.53013329762414</v>
      </c>
      <c r="G266" s="170">
        <f t="shared" si="210"/>
        <v>13.375101176784911</v>
      </c>
      <c r="H266" s="170">
        <f t="shared" si="210"/>
        <v>17.835061824981874</v>
      </c>
      <c r="I266" s="118">
        <f>'BD Plant List'!$BA140/1000</f>
        <v>20.490753870080496</v>
      </c>
      <c r="J266" s="118">
        <f>'BD Plant List'!$BA152/1000</f>
        <v>27.53215232636839</v>
      </c>
      <c r="K266" s="118">
        <f>'BD Plant List'!$BA164/1000</f>
        <v>23.30299879037484</v>
      </c>
      <c r="L266" s="118">
        <f>'BD Plant List'!$BA176/1000</f>
        <v>36.250307691199971</v>
      </c>
      <c r="M266" s="118">
        <f>'BD Plant List'!$BA188/1000</f>
        <v>85.098845067177393</v>
      </c>
      <c r="N266" s="118">
        <f>'BD Plant List'!$BA200/1000</f>
        <v>81.407343088717255</v>
      </c>
      <c r="O266" s="118">
        <f>'BD Plant List'!$BA212/1000</f>
        <v>90.04579972454232</v>
      </c>
      <c r="P266" s="118">
        <f>'BD Plant List'!$BA224/1000</f>
        <v>87.430709927844362</v>
      </c>
      <c r="Q266" s="118">
        <f>'BD Plant List'!$BA236/1000</f>
        <v>121.38772331728254</v>
      </c>
      <c r="R266" s="118">
        <f>'BD Plant List'!$BA248/1000</f>
        <v>121.20882738637326</v>
      </c>
      <c r="S266" s="118">
        <f>'BD Plant List'!$BA260/1000</f>
        <v>120.99396278423542</v>
      </c>
      <c r="T266" s="118">
        <f>'BD Plant List'!$BA272/1000</f>
        <v>90.900123329209336</v>
      </c>
      <c r="U266" s="118">
        <f>'BD Plant List'!$BA284/1000</f>
        <v>90.757020095445711</v>
      </c>
      <c r="V266" s="118">
        <f>'BD Plant List'!$BA296/1000</f>
        <v>91.07964528593719</v>
      </c>
      <c r="W266" s="118">
        <f>'BD Plant List'!$BA308/1000</f>
        <v>91.017409900512121</v>
      </c>
      <c r="X266" s="118">
        <f>'BD Plant List'!$BA320/1000</f>
        <v>90.969688915136857</v>
      </c>
      <c r="Y266" s="118">
        <f>'BD Plant List'!$BA332/1000</f>
        <v>90.944777505248283</v>
      </c>
      <c r="Z266" s="118">
        <f>'BD Plant List'!$BA332/1000</f>
        <v>90.944777505248283</v>
      </c>
      <c r="AA266" s="118">
        <f>'BD Plant List'!$BA332/1000</f>
        <v>90.944777505248283</v>
      </c>
      <c r="AB266" s="118">
        <f>'BD Plant List'!$BA332/1000</f>
        <v>90.944777505248283</v>
      </c>
      <c r="AC266" s="118">
        <f>'BD Plant List'!$BA332/1000</f>
        <v>90.944777505248283</v>
      </c>
      <c r="AD266" s="118">
        <f>'BD Plant List'!$BA332/1000</f>
        <v>90.944777505248283</v>
      </c>
      <c r="AE266" s="118">
        <f>'BD Plant List'!$BA332/1000</f>
        <v>90.944777505248283</v>
      </c>
      <c r="AF266" s="118">
        <f>'BD Plant List'!$BA332/1000</f>
        <v>90.944777505248283</v>
      </c>
      <c r="AG266" s="118">
        <f>'BD Plant List'!$BA332/1000</f>
        <v>90.944777505248283</v>
      </c>
      <c r="AH266" s="118">
        <f>'BD Plant List'!$BA332/1000</f>
        <v>90.944777505248283</v>
      </c>
      <c r="AI266" s="118">
        <f>'BD Plant List'!$BA332/1000</f>
        <v>90.944777505248283</v>
      </c>
      <c r="AJ266" s="118">
        <f>'BD Plant List'!$BA332/1000</f>
        <v>90.944777505248283</v>
      </c>
      <c r="AK266" s="118">
        <f>'BD Plant List'!$BA332/1000</f>
        <v>90.944777505248283</v>
      </c>
      <c r="AL266" s="118">
        <f>'BD Plant List'!$BA332/1000</f>
        <v>90.944777505248283</v>
      </c>
      <c r="AM266" s="118">
        <f>'BD Plant List'!$BA332/1000</f>
        <v>90.944777505248283</v>
      </c>
    </row>
    <row r="267" spans="1:39">
      <c r="A267" s="138" t="s">
        <v>132</v>
      </c>
      <c r="B267" s="231">
        <f t="shared" si="208"/>
        <v>2.7398556686378783</v>
      </c>
      <c r="C267" s="170">
        <f t="shared" si="209"/>
        <v>11.884693588755564</v>
      </c>
      <c r="D267" s="170">
        <f t="shared" si="210"/>
        <v>17.240336077491619</v>
      </c>
      <c r="E267" s="170">
        <f t="shared" si="210"/>
        <v>17.534786661597387</v>
      </c>
      <c r="F267" s="170">
        <f t="shared" si="210"/>
        <v>19.47635328303739</v>
      </c>
      <c r="G267" s="170">
        <f t="shared" si="210"/>
        <v>13.839982729812814</v>
      </c>
      <c r="H267" s="170">
        <f t="shared" si="210"/>
        <v>18.25292428347899</v>
      </c>
      <c r="I267" s="118">
        <f>'BD Plant List'!$BA141/1000</f>
        <v>26.919302579093646</v>
      </c>
      <c r="J267" s="118">
        <f>'BD Plant List'!$BA153/1000</f>
        <v>25.633788949210143</v>
      </c>
      <c r="K267" s="118">
        <f>'BD Plant List'!$BA165/1000</f>
        <v>21.949826548392206</v>
      </c>
      <c r="L267" s="118">
        <f>'BD Plant List'!$BA177/1000</f>
        <v>27.72140032832683</v>
      </c>
      <c r="M267" s="118">
        <f>'BD Plant List'!$BA189/1000</f>
        <v>61.265363535561541</v>
      </c>
      <c r="N267" s="118">
        <f>'BD Plant List'!$BA201/1000</f>
        <v>74.407877095762842</v>
      </c>
      <c r="O267" s="118">
        <f>'BD Plant List'!$BA213/1000</f>
        <v>90.834540029309593</v>
      </c>
      <c r="P267" s="118">
        <f>'BD Plant List'!$BA225/1000</f>
        <v>95.818388829779778</v>
      </c>
      <c r="Q267" s="118">
        <f>'BD Plant List'!$BA237/1000</f>
        <v>123.73741716303422</v>
      </c>
      <c r="R267" s="118">
        <f>'BD Plant List'!$BA249/1000</f>
        <v>123.44676227559326</v>
      </c>
      <c r="S267" s="118">
        <f>'BD Plant List'!$BA261/1000</f>
        <v>123.09790464286384</v>
      </c>
      <c r="T267" s="118">
        <f>'BD Plant List'!$BA273/1000</f>
        <v>92.363090233828373</v>
      </c>
      <c r="U267" s="118">
        <f>'BD Plant List'!$BA285/1000</f>
        <v>92.31223818415036</v>
      </c>
      <c r="V267" s="118">
        <f>'BD Plant List'!$BA297/1000</f>
        <v>92.690859500741198</v>
      </c>
      <c r="W267" s="118">
        <f>'BD Plant List'!$BA309/1000</f>
        <v>92.597073920998341</v>
      </c>
      <c r="X267" s="118">
        <f>'BD Plant List'!$BA321/1000</f>
        <v>92.528305794846858</v>
      </c>
      <c r="Y267" s="118">
        <f>'BD Plant List'!$BA333/1000</f>
        <v>92.498313526913051</v>
      </c>
      <c r="Z267" s="118">
        <f>'BD Plant List'!$BA333/1000</f>
        <v>92.498313526913051</v>
      </c>
      <c r="AA267" s="118">
        <f>'BD Plant List'!$BA333/1000</f>
        <v>92.498313526913051</v>
      </c>
      <c r="AB267" s="118">
        <f>'BD Plant List'!$BA333/1000</f>
        <v>92.498313526913051</v>
      </c>
      <c r="AC267" s="118">
        <f>'BD Plant List'!$BA333/1000</f>
        <v>92.498313526913051</v>
      </c>
      <c r="AD267" s="118">
        <f>'BD Plant List'!$BA333/1000</f>
        <v>92.498313526913051</v>
      </c>
      <c r="AE267" s="118">
        <f>'BD Plant List'!$BA333/1000</f>
        <v>92.498313526913051</v>
      </c>
      <c r="AF267" s="118">
        <f>'BD Plant List'!$BA333/1000</f>
        <v>92.498313526913051</v>
      </c>
      <c r="AG267" s="118">
        <f>'BD Plant List'!$BA333/1000</f>
        <v>92.498313526913051</v>
      </c>
      <c r="AH267" s="118">
        <f>'BD Plant List'!$BA333/1000</f>
        <v>92.498313526913051</v>
      </c>
      <c r="AI267" s="118">
        <f>'BD Plant List'!$BA333/1000</f>
        <v>92.498313526913051</v>
      </c>
      <c r="AJ267" s="118">
        <f>'BD Plant List'!$BA333/1000</f>
        <v>92.498313526913051</v>
      </c>
      <c r="AK267" s="118">
        <f>'BD Plant List'!$BA333/1000</f>
        <v>92.498313526913051</v>
      </c>
      <c r="AL267" s="118">
        <f>'BD Plant List'!$BA333/1000</f>
        <v>92.498313526913051</v>
      </c>
      <c r="AM267" s="118">
        <f>'BD Plant List'!$BA333/1000</f>
        <v>92.498313526913051</v>
      </c>
    </row>
    <row r="268" spans="1:39">
      <c r="A268" s="138" t="s">
        <v>133</v>
      </c>
      <c r="B268" s="231">
        <f t="shared" si="208"/>
        <v>2.7791132600427746</v>
      </c>
      <c r="C268" s="170">
        <f t="shared" si="209"/>
        <v>12.156463872359813</v>
      </c>
      <c r="D268" s="170">
        <f t="shared" si="210"/>
        <v>17.49471649300428</v>
      </c>
      <c r="E268" s="170">
        <f t="shared" si="210"/>
        <v>17.666492137549408</v>
      </c>
      <c r="F268" s="170">
        <f t="shared" si="210"/>
        <v>20.431893069475809</v>
      </c>
      <c r="G268" s="170">
        <f t="shared" si="210"/>
        <v>13.590817593051554</v>
      </c>
      <c r="H268" s="170">
        <f t="shared" si="210"/>
        <v>17.957481013624395</v>
      </c>
      <c r="I268" s="118">
        <f>'BD Plant List'!$BA142/1000</f>
        <v>29.775672681191768</v>
      </c>
      <c r="J268" s="118">
        <f>'BD Plant List'!$BA154/1000</f>
        <v>20.352494967095314</v>
      </c>
      <c r="K268" s="118">
        <f>'BD Plant List'!$BA166/1000</f>
        <v>22.51560943507625</v>
      </c>
      <c r="L268" s="118">
        <f>'BD Plant List'!$BA178/1000</f>
        <v>35.37564853188946</v>
      </c>
      <c r="M268" s="118">
        <f>'BD Plant List'!$BA190/1000</f>
        <v>88.764176835678185</v>
      </c>
      <c r="N268" s="118">
        <f>'BD Plant List'!$BA202/1000</f>
        <v>72.844870102776255</v>
      </c>
      <c r="O268" s="118">
        <f>'BD Plant List'!$BA214/1000</f>
        <v>85.920187466906924</v>
      </c>
      <c r="P268" s="118">
        <f>'BD Plant List'!$BA226/1000</f>
        <v>107.57169596637581</v>
      </c>
      <c r="Q268" s="118">
        <f>'BD Plant List'!$BA238/1000</f>
        <v>120.62527410465385</v>
      </c>
      <c r="R268" s="118">
        <f>'BD Plant List'!$BA250/1000</f>
        <v>120.13103129441937</v>
      </c>
      <c r="S268" s="118">
        <f>'BD Plant List'!$BA262/1000</f>
        <v>119.53799619492072</v>
      </c>
      <c r="T268" s="118">
        <f>'BD Plant List'!$BA274/1000</f>
        <v>89.462292798402956</v>
      </c>
      <c r="U268" s="118">
        <f>'BD Plant List'!$BA286/1000</f>
        <v>89.812922977858364</v>
      </c>
      <c r="V268" s="118">
        <f>'BD Plant List'!$BA298/1000</f>
        <v>90.106895502186404</v>
      </c>
      <c r="W268" s="118">
        <f>'BD Plant List'!$BA310/1000</f>
        <v>89.964948805750353</v>
      </c>
      <c r="X268" s="118">
        <f>'BD Plant List'!$BA322/1000</f>
        <v>89.869026846178897</v>
      </c>
      <c r="Y268" s="118">
        <f>'BD Plant List'!$BA334/1000</f>
        <v>89.843217386075395</v>
      </c>
      <c r="Z268" s="118">
        <f>'BD Plant List'!$BA334/1000</f>
        <v>89.843217386075395</v>
      </c>
      <c r="AA268" s="118">
        <f>'BD Plant List'!$BA334/1000</f>
        <v>89.843217386075395</v>
      </c>
      <c r="AB268" s="118">
        <f>'BD Plant List'!$BA334/1000</f>
        <v>89.843217386075395</v>
      </c>
      <c r="AC268" s="118">
        <f>'BD Plant List'!$BA334/1000</f>
        <v>89.843217386075395</v>
      </c>
      <c r="AD268" s="118">
        <f>'BD Plant List'!$BA334/1000</f>
        <v>89.843217386075395</v>
      </c>
      <c r="AE268" s="118">
        <f>'BD Plant List'!$BA334/1000</f>
        <v>89.843217386075395</v>
      </c>
      <c r="AF268" s="118">
        <f>'BD Plant List'!$BA334/1000</f>
        <v>89.843217386075395</v>
      </c>
      <c r="AG268" s="118">
        <f>'BD Plant List'!$BA334/1000</f>
        <v>89.843217386075395</v>
      </c>
      <c r="AH268" s="118">
        <f>'BD Plant List'!$BA334/1000</f>
        <v>89.843217386075395</v>
      </c>
      <c r="AI268" s="118">
        <f>'BD Plant List'!$BA334/1000</f>
        <v>89.843217386075395</v>
      </c>
      <c r="AJ268" s="118">
        <f>'BD Plant List'!$BA334/1000</f>
        <v>89.843217386075395</v>
      </c>
      <c r="AK268" s="118">
        <f>'BD Plant List'!$BA334/1000</f>
        <v>89.843217386075395</v>
      </c>
      <c r="AL268" s="118">
        <f>'BD Plant List'!$BA334/1000</f>
        <v>89.843217386075395</v>
      </c>
      <c r="AM268" s="118">
        <f>'BD Plant List'!$BA334/1000</f>
        <v>89.843217386075395</v>
      </c>
    </row>
    <row r="269" spans="1:39">
      <c r="A269" s="138" t="s">
        <v>134</v>
      </c>
      <c r="B269" s="231">
        <f t="shared" si="208"/>
        <v>2.9845956139722571</v>
      </c>
      <c r="C269" s="170">
        <f t="shared" si="209"/>
        <v>12.925467561210413</v>
      </c>
      <c r="D269" s="170">
        <f t="shared" si="210"/>
        <v>18.803921291331307</v>
      </c>
      <c r="E269" s="170">
        <f t="shared" si="210"/>
        <v>19.10378494622454</v>
      </c>
      <c r="F269" s="170">
        <f t="shared" si="210"/>
        <v>21.077200635539487</v>
      </c>
      <c r="G269" s="170">
        <f t="shared" si="210"/>
        <v>15.269590558693652</v>
      </c>
      <c r="H269" s="170">
        <f t="shared" si="210"/>
        <v>19.813675914971569</v>
      </c>
      <c r="I269" s="118">
        <f>'BD Plant List'!$BA143/1000</f>
        <v>27.322312572901517</v>
      </c>
      <c r="J269" s="118">
        <f>'BD Plant List'!$BA155/1000</f>
        <v>30.466967196117679</v>
      </c>
      <c r="K269" s="118">
        <f>'BD Plant List'!$BA167/1000</f>
        <v>24.106077099203663</v>
      </c>
      <c r="L269" s="118">
        <f>'BD Plant List'!$BA179/1000</f>
        <v>39.513610025488532</v>
      </c>
      <c r="M269" s="118">
        <f>'BD Plant List'!$BA191/1000</f>
        <v>131.55383647019858</v>
      </c>
      <c r="N269" s="118">
        <f>'BD Plant List'!$BA203/1000</f>
        <v>85.855003786650883</v>
      </c>
      <c r="O269" s="118">
        <f>'BD Plant List'!$BA215/1000</f>
        <v>99.054435141855478</v>
      </c>
      <c r="P269" s="118">
        <f>'BD Plant List'!$BA227/1000</f>
        <v>129.26898948416707</v>
      </c>
      <c r="Q269" s="118">
        <f>'BD Plant List'!$BA239/1000</f>
        <v>134.30247527323917</v>
      </c>
      <c r="R269" s="118">
        <f>'BD Plant List'!$BA251/1000</f>
        <v>133.96169256902496</v>
      </c>
      <c r="S269" s="118">
        <f>'BD Plant List'!$BA263/1000</f>
        <v>133.55283172248571</v>
      </c>
      <c r="T269" s="118">
        <f>'BD Plant List'!$BA275/1000</f>
        <v>100.18021062996471</v>
      </c>
      <c r="U269" s="118">
        <f>'BD Plant List'!$BA287/1000</f>
        <v>100.00490634761643</v>
      </c>
      <c r="V269" s="118">
        <f>'BD Plant List'!$BA299/1000</f>
        <v>100.54121683601277</v>
      </c>
      <c r="W269" s="118">
        <f>'BD Plant List'!$BA311/1000</f>
        <v>100.42667143116479</v>
      </c>
      <c r="X269" s="118">
        <f>'BD Plant List'!$BA323/1000</f>
        <v>100.34052096898944</v>
      </c>
      <c r="Y269" s="118">
        <f>'BD Plant List'!$BA335/1000</f>
        <v>100.29870524274963</v>
      </c>
      <c r="Z269" s="118">
        <f>'BD Plant List'!$BA335/1000</f>
        <v>100.29870524274963</v>
      </c>
      <c r="AA269" s="118">
        <f>'BD Plant List'!$BA335/1000</f>
        <v>100.29870524274963</v>
      </c>
      <c r="AB269" s="118">
        <f>'BD Plant List'!$BA335/1000</f>
        <v>100.29870524274963</v>
      </c>
      <c r="AC269" s="118">
        <f>'BD Plant List'!$BA335/1000</f>
        <v>100.29870524274963</v>
      </c>
      <c r="AD269" s="118">
        <f>'BD Plant List'!$BA335/1000</f>
        <v>100.29870524274963</v>
      </c>
      <c r="AE269" s="118">
        <f>'BD Plant List'!$BA335/1000</f>
        <v>100.29870524274963</v>
      </c>
      <c r="AF269" s="118">
        <f>'BD Plant List'!$BA335/1000</f>
        <v>100.29870524274963</v>
      </c>
      <c r="AG269" s="118">
        <f>'BD Plant List'!$BA335/1000</f>
        <v>100.29870524274963</v>
      </c>
      <c r="AH269" s="118">
        <f>'BD Plant List'!$BA335/1000</f>
        <v>100.29870524274963</v>
      </c>
      <c r="AI269" s="118">
        <f>'BD Plant List'!$BA335/1000</f>
        <v>100.29870524274963</v>
      </c>
      <c r="AJ269" s="118">
        <f>'BD Plant List'!$BA335/1000</f>
        <v>100.29870524274963</v>
      </c>
      <c r="AK269" s="118">
        <f>'BD Plant List'!$BA335/1000</f>
        <v>100.29870524274963</v>
      </c>
      <c r="AL269" s="118">
        <f>'BD Plant List'!$BA335/1000</f>
        <v>100.29870524274963</v>
      </c>
      <c r="AM269" s="118">
        <f>'BD Plant List'!$BA335/1000</f>
        <v>100.29870524274963</v>
      </c>
    </row>
    <row r="270" spans="1:39">
      <c r="A270" s="138" t="s">
        <v>135</v>
      </c>
      <c r="B270" s="231">
        <f t="shared" si="208"/>
        <v>3.2569080484389117</v>
      </c>
      <c r="C270" s="170">
        <f t="shared" si="209"/>
        <v>14.221712533761584</v>
      </c>
      <c r="D270" s="170">
        <f t="shared" si="210"/>
        <v>20.565512116881813</v>
      </c>
      <c r="E270" s="170">
        <f t="shared" si="210"/>
        <v>20.676427797845946</v>
      </c>
      <c r="F270" s="170">
        <f t="shared" si="210"/>
        <v>23.779747663772181</v>
      </c>
      <c r="G270" s="170">
        <f t="shared" si="210"/>
        <v>16.298676383783626</v>
      </c>
      <c r="H270" s="170">
        <f t="shared" si="210"/>
        <v>20.704842956913328</v>
      </c>
      <c r="I270" s="118">
        <f>'BD Plant List'!$BA144/1000</f>
        <v>34.540211756404531</v>
      </c>
      <c r="J270" s="118">
        <f>'BD Plant List'!$BA156/1000</f>
        <v>28.455839465460883</v>
      </c>
      <c r="K270" s="118">
        <f>'BD Plant List'!$BA168/1000</f>
        <v>23.325551661074552</v>
      </c>
      <c r="L270" s="118">
        <f>'BD Plant List'!$BA180/1000</f>
        <v>36.618998099160464</v>
      </c>
      <c r="M270" s="118">
        <f>'BD Plant List'!$BA192/1000</f>
        <v>88.582773310484853</v>
      </c>
      <c r="N270" s="118">
        <f>'BD Plant List'!$BA204/1000</f>
        <v>78.348412850793096</v>
      </c>
      <c r="O270" s="118">
        <f>'BD Plant List'!$BA216/1000</f>
        <v>99.495213456323313</v>
      </c>
      <c r="P270" s="118">
        <f>'BD Plant List'!$BA228/1000</f>
        <v>132.2054565936881</v>
      </c>
      <c r="Q270" s="118">
        <f>'BD Plant List'!$BA240/1000</f>
        <v>138.70069742412008</v>
      </c>
      <c r="R270" s="118">
        <f>'BD Plant List'!$BA252/1000</f>
        <v>138.00222510449547</v>
      </c>
      <c r="S270" s="118">
        <f>'BD Plant List'!$BA264/1000</f>
        <v>137.16407178546868</v>
      </c>
      <c r="T270" s="118">
        <f>'BD Plant List'!$BA276/1000</f>
        <v>102.51120113495325</v>
      </c>
      <c r="U270" s="118">
        <f>'BD Plant List'!$BA288/1000</f>
        <v>102.72761949448808</v>
      </c>
      <c r="V270" s="118">
        <f>'BD Plant List'!$BA300/1000</f>
        <v>103.36641239274196</v>
      </c>
      <c r="W270" s="118">
        <f>'BD Plant List'!$BA312/1000</f>
        <v>103.15462868411711</v>
      </c>
      <c r="X270" s="118">
        <f>'BD Plant List'!$BA324/1000</f>
        <v>103.00566020085043</v>
      </c>
      <c r="Y270" s="118">
        <f>'BD Plant List'!$BA336/1000</f>
        <v>102.95310438143017</v>
      </c>
      <c r="Z270" s="118">
        <f>'BD Plant List'!$BA336/1000</f>
        <v>102.95310438143017</v>
      </c>
      <c r="AA270" s="118">
        <f>'BD Plant List'!$BA336/1000</f>
        <v>102.95310438143017</v>
      </c>
      <c r="AB270" s="118">
        <f>'BD Plant List'!$BA336/1000</f>
        <v>102.95310438143017</v>
      </c>
      <c r="AC270" s="118">
        <f>'BD Plant List'!$BA336/1000</f>
        <v>102.95310438143017</v>
      </c>
      <c r="AD270" s="118">
        <f>'BD Plant List'!$BA336/1000</f>
        <v>102.95310438143017</v>
      </c>
      <c r="AE270" s="118">
        <f>'BD Plant List'!$BA336/1000</f>
        <v>102.95310438143017</v>
      </c>
      <c r="AF270" s="118">
        <f>'BD Plant List'!$BA336/1000</f>
        <v>102.95310438143017</v>
      </c>
      <c r="AG270" s="118">
        <f>'BD Plant List'!$BA336/1000</f>
        <v>102.95310438143017</v>
      </c>
      <c r="AH270" s="118">
        <f>'BD Plant List'!$BA336/1000</f>
        <v>102.95310438143017</v>
      </c>
      <c r="AI270" s="118">
        <f>'BD Plant List'!$BA336/1000</f>
        <v>102.95310438143017</v>
      </c>
      <c r="AJ270" s="118">
        <f>'BD Plant List'!$BA336/1000</f>
        <v>102.95310438143017</v>
      </c>
      <c r="AK270" s="118">
        <f>'BD Plant List'!$BA336/1000</f>
        <v>102.95310438143017</v>
      </c>
      <c r="AL270" s="118">
        <f>'BD Plant List'!$BA336/1000</f>
        <v>102.95310438143017</v>
      </c>
      <c r="AM270" s="118">
        <f>'BD Plant List'!$BA336/1000</f>
        <v>102.95310438143017</v>
      </c>
    </row>
    <row r="271" spans="1:39">
      <c r="A271" s="138" t="s">
        <v>136</v>
      </c>
      <c r="B271" s="231">
        <f t="shared" si="208"/>
        <v>2.8917390196929769</v>
      </c>
      <c r="C271" s="170">
        <f t="shared" si="209"/>
        <v>12.549366107464426</v>
      </c>
      <c r="D271" s="170">
        <f t="shared" si="210"/>
        <v>18.204694598978087</v>
      </c>
      <c r="E271" s="170">
        <f t="shared" si="210"/>
        <v>18.492775720422536</v>
      </c>
      <c r="F271" s="170">
        <f t="shared" si="210"/>
        <v>20.594996209581744</v>
      </c>
      <c r="G271" s="170">
        <f t="shared" si="210"/>
        <v>14.614664339150462</v>
      </c>
      <c r="H271" s="170">
        <f t="shared" si="210"/>
        <v>19.172370530091975</v>
      </c>
      <c r="I271" s="118">
        <f>'BD Plant List'!$BA145/1000</f>
        <v>23.151992612646342</v>
      </c>
      <c r="J271" s="118">
        <f>'BD Plant List'!$BA157/1000</f>
        <v>28.640184669441126</v>
      </c>
      <c r="K271" s="118">
        <f>'BD Plant List'!$BA169/1000</f>
        <v>23.221612343936755</v>
      </c>
      <c r="L271" s="118">
        <f>'BD Plant List'!$BA181/1000</f>
        <v>31.855439583543337</v>
      </c>
      <c r="M271" s="118">
        <f>'BD Plant List'!$BA193/1000</f>
        <v>132.59028796278963</v>
      </c>
      <c r="N271" s="118">
        <f>'BD Plant List'!$BA205/1000</f>
        <v>73.076408199374498</v>
      </c>
      <c r="O271" s="118">
        <f>'BD Plant List'!$BA217/1000</f>
        <v>95.384584373710808</v>
      </c>
      <c r="P271" s="118">
        <f>'BD Plant List'!$BA229/1000</f>
        <v>125.95763657363305</v>
      </c>
      <c r="Q271" s="118">
        <f>'BD Plant List'!$BA241/1000</f>
        <v>130.15300107677513</v>
      </c>
      <c r="R271" s="118">
        <f>'BD Plant List'!$BA253/1000</f>
        <v>129.80316210645782</v>
      </c>
      <c r="S271" s="118">
        <f>'BD Plant List'!$BA265/1000</f>
        <v>129.38332282655162</v>
      </c>
      <c r="T271" s="118">
        <f>'BD Plant List'!$BA277/1000</f>
        <v>97.031140813716036</v>
      </c>
      <c r="U271" s="118">
        <f>'BD Plant List'!$BA289/1000</f>
        <v>96.997792513885599</v>
      </c>
      <c r="V271" s="118">
        <f>'BD Plant List'!$BA301/1000</f>
        <v>97.431173802046729</v>
      </c>
      <c r="W271" s="118">
        <f>'BD Plant List'!$BA313/1000</f>
        <v>97.319419047407123</v>
      </c>
      <c r="X271" s="118">
        <f>'BD Plant List'!$BA325/1000</f>
        <v>97.23799503203351</v>
      </c>
      <c r="Y271" s="118">
        <f>'BD Plant List'!$BA337/1000</f>
        <v>97.203504241817797</v>
      </c>
      <c r="Z271" s="118">
        <f>'BD Plant List'!$BA337/1000</f>
        <v>97.203504241817797</v>
      </c>
      <c r="AA271" s="118">
        <f>'BD Plant List'!$BA337/1000</f>
        <v>97.203504241817797</v>
      </c>
      <c r="AB271" s="118">
        <f>'BD Plant List'!$BA337/1000</f>
        <v>97.203504241817797</v>
      </c>
      <c r="AC271" s="118">
        <f>'BD Plant List'!$BA337/1000</f>
        <v>97.203504241817797</v>
      </c>
      <c r="AD271" s="118">
        <f>'BD Plant List'!$BA337/1000</f>
        <v>97.203504241817797</v>
      </c>
      <c r="AE271" s="118">
        <f>'BD Plant List'!$BA337/1000</f>
        <v>97.203504241817797</v>
      </c>
      <c r="AF271" s="118">
        <f>'BD Plant List'!$BA337/1000</f>
        <v>97.203504241817797</v>
      </c>
      <c r="AG271" s="118">
        <f>'BD Plant List'!$BA337/1000</f>
        <v>97.203504241817797</v>
      </c>
      <c r="AH271" s="118">
        <f>'BD Plant List'!$BA337/1000</f>
        <v>97.203504241817797</v>
      </c>
      <c r="AI271" s="118">
        <f>'BD Plant List'!$BA337/1000</f>
        <v>97.203504241817797</v>
      </c>
      <c r="AJ271" s="118">
        <f>'BD Plant List'!$BA337/1000</f>
        <v>97.203504241817797</v>
      </c>
      <c r="AK271" s="118">
        <f>'BD Plant List'!$BA337/1000</f>
        <v>97.203504241817797</v>
      </c>
      <c r="AL271" s="118">
        <f>'BD Plant List'!$BA337/1000</f>
        <v>97.203504241817797</v>
      </c>
      <c r="AM271" s="118">
        <f>'BD Plant List'!$BA337/1000</f>
        <v>97.203504241817797</v>
      </c>
    </row>
    <row r="272" spans="1:39">
      <c r="A272" s="138" t="s">
        <v>137</v>
      </c>
      <c r="B272" s="231">
        <f t="shared" si="208"/>
        <v>2.940287561674086</v>
      </c>
      <c r="C272" s="170">
        <f t="shared" si="209"/>
        <v>12.715443858215218</v>
      </c>
      <c r="D272" s="170">
        <f t="shared" si="210"/>
        <v>18.412056005754831</v>
      </c>
      <c r="E272" s="170">
        <f t="shared" si="210"/>
        <v>18.938586448446461</v>
      </c>
      <c r="F272" s="170">
        <f t="shared" si="210"/>
        <v>20.643392775887676</v>
      </c>
      <c r="G272" s="170">
        <f t="shared" si="210"/>
        <v>14.672348591816249</v>
      </c>
      <c r="H272" s="170">
        <f t="shared" si="210"/>
        <v>20.436376559935884</v>
      </c>
      <c r="I272" s="118">
        <f>'BD Plant List'!$BA146/1000</f>
        <v>25.876967728928761</v>
      </c>
      <c r="J272" s="118">
        <f>'BD Plant List'!$BA158/1000</f>
        <v>29.737430856961822</v>
      </c>
      <c r="K272" s="118">
        <f>'BD Plant List'!$BA170/1000</f>
        <v>31.915253718877352</v>
      </c>
      <c r="L272" s="118">
        <f>'BD Plant List'!$BA182/1000</f>
        <v>57.830463272036056</v>
      </c>
      <c r="M272" s="118">
        <f>'BD Plant List'!$BA194/1000</f>
        <v>80.911855593796361</v>
      </c>
      <c r="N272" s="118">
        <f>'BD Plant List'!$BA206/1000</f>
        <v>79.141696080176004</v>
      </c>
      <c r="O272" s="118">
        <f>'BD Plant List'!$BA218/1000</f>
        <v>103.76410060364381</v>
      </c>
      <c r="P272" s="118">
        <f>'BD Plant List'!$BA230/1000</f>
        <v>139.40476417280362</v>
      </c>
      <c r="Q272" s="118">
        <f>'BD Plant List'!$BA242/1000</f>
        <v>140.11273856799329</v>
      </c>
      <c r="R272" s="118">
        <f>'BD Plant List'!$BA254/1000</f>
        <v>140.09139397145933</v>
      </c>
      <c r="S272" s="118">
        <f>'BD Plant List'!$BA266/1000</f>
        <v>140.06575141614132</v>
      </c>
      <c r="T272" s="118">
        <f>'BD Plant List'!$BA278/1000</f>
        <v>105.42989644658488</v>
      </c>
      <c r="U272" s="118">
        <f>'BD Plant List'!$BA290/1000</f>
        <v>105.35997751650227</v>
      </c>
      <c r="V272" s="118">
        <f>'BD Plant List'!$BA302/1000</f>
        <v>105.44075267582396</v>
      </c>
      <c r="W272" s="118">
        <f>'BD Plant List'!$BA314/1000</f>
        <v>105.43121179012638</v>
      </c>
      <c r="X272" s="118">
        <f>'BD Plant List'!$BA326/1000</f>
        <v>105.42298034584573</v>
      </c>
      <c r="Y272" s="118">
        <f>'BD Plant List'!$BA338/1000</f>
        <v>105.41696375497665</v>
      </c>
      <c r="Z272" s="118">
        <f>'BD Plant List'!$BA338/1000</f>
        <v>105.41696375497665</v>
      </c>
      <c r="AA272" s="118">
        <f>'BD Plant List'!$BA338/1000</f>
        <v>105.41696375497665</v>
      </c>
      <c r="AB272" s="118">
        <f>'BD Plant List'!$BA338/1000</f>
        <v>105.41696375497665</v>
      </c>
      <c r="AC272" s="118">
        <f>'BD Plant List'!$BA338/1000</f>
        <v>105.41696375497665</v>
      </c>
      <c r="AD272" s="118">
        <f>'BD Plant List'!$BA338/1000</f>
        <v>105.41696375497665</v>
      </c>
      <c r="AE272" s="118">
        <f>'BD Plant List'!$BA338/1000</f>
        <v>105.41696375497665</v>
      </c>
      <c r="AF272" s="118">
        <f>'BD Plant List'!$BA338/1000</f>
        <v>105.41696375497665</v>
      </c>
      <c r="AG272" s="118">
        <f>'BD Plant List'!$BA338/1000</f>
        <v>105.41696375497665</v>
      </c>
      <c r="AH272" s="118">
        <f>'BD Plant List'!$BA338/1000</f>
        <v>105.41696375497665</v>
      </c>
      <c r="AI272" s="118">
        <f>'BD Plant List'!$BA338/1000</f>
        <v>105.41696375497665</v>
      </c>
      <c r="AJ272" s="118">
        <f>'BD Plant List'!$BA338/1000</f>
        <v>105.41696375497665</v>
      </c>
      <c r="AK272" s="118">
        <f>'BD Plant List'!$BA338/1000</f>
        <v>105.41696375497665</v>
      </c>
      <c r="AL272" s="118">
        <f>'BD Plant List'!$BA338/1000</f>
        <v>105.41696375497665</v>
      </c>
      <c r="AM272" s="118">
        <f>'BD Plant List'!$BA338/1000</f>
        <v>105.41696375497665</v>
      </c>
    </row>
    <row r="273" spans="1:39">
      <c r="A273" s="138" t="s">
        <v>138</v>
      </c>
      <c r="B273" s="231">
        <f t="shared" si="208"/>
        <v>3.0155139386710181</v>
      </c>
      <c r="C273" s="170">
        <f t="shared" si="209"/>
        <v>13.055462451861388</v>
      </c>
      <c r="D273" s="170">
        <f t="shared" si="210"/>
        <v>18.828344462746823</v>
      </c>
      <c r="E273" s="170">
        <f t="shared" si="210"/>
        <v>19.454460384653913</v>
      </c>
      <c r="F273" s="170">
        <f t="shared" si="210"/>
        <v>21.269522373965987</v>
      </c>
      <c r="G273" s="170">
        <f t="shared" si="210"/>
        <v>14.757073404527004</v>
      </c>
      <c r="H273" s="170">
        <f t="shared" si="210"/>
        <v>21.288287600656414</v>
      </c>
      <c r="I273" s="118">
        <f>'BD Plant List'!$BA147/1000</f>
        <v>26.384897599470065</v>
      </c>
      <c r="J273" s="118">
        <f>'BD Plant List'!$BA159/1000</f>
        <v>28.922585832985327</v>
      </c>
      <c r="K273" s="118">
        <f>'BD Plant List'!$BA171/1000</f>
        <v>62.025297222182218</v>
      </c>
      <c r="L273" s="118">
        <f>'BD Plant List'!$BA183/1000</f>
        <v>35.338387267255158</v>
      </c>
      <c r="M273" s="118">
        <f>'BD Plant List'!$BA195/1000</f>
        <v>82.743540918451103</v>
      </c>
      <c r="N273" s="118">
        <f>'BD Plant List'!$BA207/1000</f>
        <v>69.01597462173163</v>
      </c>
      <c r="O273" s="118">
        <f>'BD Plant List'!$BA219/1000</f>
        <v>107.93223528439195</v>
      </c>
      <c r="P273" s="118">
        <f>'BD Plant List'!$BA231/1000</f>
        <v>147.83956494363133</v>
      </c>
      <c r="Q273" s="118">
        <f>'BD Plant List'!$BA243/1000</f>
        <v>146.3128756800989</v>
      </c>
      <c r="R273" s="118">
        <f>'BD Plant List'!$BA255/1000</f>
        <v>146.40656489776285</v>
      </c>
      <c r="S273" s="118">
        <f>'BD Plant List'!$BA267/1000</f>
        <v>146.51899464417306</v>
      </c>
      <c r="T273" s="118">
        <f>'BD Plant List'!$BA279/1000</f>
        <v>110.41317378084914</v>
      </c>
      <c r="U273" s="118">
        <f>'BD Plant List'!$BA291/1000</f>
        <v>110.48291970324637</v>
      </c>
      <c r="V273" s="118">
        <f>'BD Plant List'!$BA303/1000</f>
        <v>110.3182108057146</v>
      </c>
      <c r="W273" s="118">
        <f>'BD Plant List'!$BA315/1000</f>
        <v>110.35057057610157</v>
      </c>
      <c r="X273" s="118">
        <f>'BD Plant List'!$BA327/1000</f>
        <v>110.37529450786975</v>
      </c>
      <c r="Y273" s="118">
        <f>'BD Plant List'!$BA339/1000</f>
        <v>110.38803387475629</v>
      </c>
      <c r="Z273" s="118">
        <f>'BD Plant List'!$BA339/1000</f>
        <v>110.38803387475629</v>
      </c>
      <c r="AA273" s="118">
        <f>'BD Plant List'!$BA339/1000</f>
        <v>110.38803387475629</v>
      </c>
      <c r="AB273" s="118">
        <f>'BD Plant List'!$BA339/1000</f>
        <v>110.38803387475629</v>
      </c>
      <c r="AC273" s="118">
        <f>'BD Plant List'!$BA339/1000</f>
        <v>110.38803387475629</v>
      </c>
      <c r="AD273" s="118">
        <f>'BD Plant List'!$BA339/1000</f>
        <v>110.38803387475629</v>
      </c>
      <c r="AE273" s="118">
        <f>'BD Plant List'!$BA339/1000</f>
        <v>110.38803387475629</v>
      </c>
      <c r="AF273" s="118">
        <f>'BD Plant List'!$BA339/1000</f>
        <v>110.38803387475629</v>
      </c>
      <c r="AG273" s="118">
        <f>'BD Plant List'!$BA339/1000</f>
        <v>110.38803387475629</v>
      </c>
      <c r="AH273" s="118">
        <f>'BD Plant List'!$BA339/1000</f>
        <v>110.38803387475629</v>
      </c>
      <c r="AI273" s="118">
        <f>'BD Plant List'!$BA339/1000</f>
        <v>110.38803387475629</v>
      </c>
      <c r="AJ273" s="118">
        <f>'BD Plant List'!$BA339/1000</f>
        <v>110.38803387475629</v>
      </c>
      <c r="AK273" s="118">
        <f>'BD Plant List'!$BA339/1000</f>
        <v>110.38803387475629</v>
      </c>
      <c r="AL273" s="118">
        <f>'BD Plant List'!$BA339/1000</f>
        <v>110.38803387475629</v>
      </c>
      <c r="AM273" s="118">
        <f>'BD Plant List'!$BA339/1000</f>
        <v>110.38803387475629</v>
      </c>
    </row>
    <row r="274" spans="1:39">
      <c r="A274" s="138" t="s">
        <v>139</v>
      </c>
      <c r="B274" s="231">
        <f t="shared" si="208"/>
        <v>3.4281262529184553</v>
      </c>
      <c r="C274" s="170">
        <f t="shared" si="209"/>
        <v>14.87565215986824</v>
      </c>
      <c r="D274" s="170">
        <f t="shared" si="210"/>
        <v>21.451859865449528</v>
      </c>
      <c r="E274" s="170">
        <f t="shared" si="210"/>
        <v>22.037567058729163</v>
      </c>
      <c r="F274" s="170">
        <f t="shared" si="210"/>
        <v>24.405222032410652</v>
      </c>
      <c r="G274" s="170">
        <f t="shared" si="210"/>
        <v>16.808320460790494</v>
      </c>
      <c r="H274" s="170">
        <f t="shared" si="210"/>
        <v>23.686996717933063</v>
      </c>
      <c r="I274" s="118">
        <f>'BD Plant List'!$BA148/1000</f>
        <v>29.15399789755627</v>
      </c>
      <c r="J274" s="118">
        <f>'BD Plant List'!$BA160/1000</f>
        <v>30.745446121279322</v>
      </c>
      <c r="K274" s="118">
        <f>'BD Plant List'!$BA172/1000</f>
        <v>36.835701769796813</v>
      </c>
      <c r="L274" s="118">
        <f>'BD Plant List'!$BA184/1000</f>
        <v>66.359370634909212</v>
      </c>
      <c r="M274" s="118">
        <f>'BD Plant List'!$BA196/1000</f>
        <v>81.924773656092043</v>
      </c>
      <c r="N274" s="118">
        <f>'BD Plant List'!$BA208/1000</f>
        <v>83.932741089288783</v>
      </c>
      <c r="O274" s="118">
        <f>'BD Plant List'!$BA220/1000</f>
        <v>115.00586037316383</v>
      </c>
      <c r="P274" s="118">
        <f>'BD Plant List'!$BA232/1000</f>
        <v>158.64812663515653</v>
      </c>
      <c r="Q274" s="118">
        <f>'BD Plant List'!$BA244/1000</f>
        <v>157.83439977221602</v>
      </c>
      <c r="R274" s="118">
        <f>'BD Plant List'!$BA256/1000</f>
        <v>157.7513398364554</v>
      </c>
      <c r="S274" s="118">
        <f>'BD Plant List'!$BA268/1000</f>
        <v>157.65168655346713</v>
      </c>
      <c r="T274" s="118">
        <f>'BD Plant List'!$BA280/1000</f>
        <v>118.60317492641893</v>
      </c>
      <c r="U274" s="118">
        <f>'BD Plant List'!$BA292/1000</f>
        <v>118.867757074929</v>
      </c>
      <c r="V274" s="118">
        <f>'BD Plant List'!$BA304/1000</f>
        <v>118.75262618567929</v>
      </c>
      <c r="W274" s="118">
        <f>'BD Plant List'!$BA316/1000</f>
        <v>118.73700001530437</v>
      </c>
      <c r="X274" s="118">
        <f>'BD Plant List'!$BA328/1000</f>
        <v>118.7307531224553</v>
      </c>
      <c r="Y274" s="118">
        <f>'BD Plant List'!$BA340/1000</f>
        <v>118.73826226495738</v>
      </c>
      <c r="Z274" s="118">
        <f>'BD Plant List'!$BA340/1000</f>
        <v>118.73826226495738</v>
      </c>
      <c r="AA274" s="118">
        <f>'BD Plant List'!$BA340/1000</f>
        <v>118.73826226495738</v>
      </c>
      <c r="AB274" s="118">
        <f>'BD Plant List'!$BA340/1000</f>
        <v>118.73826226495738</v>
      </c>
      <c r="AC274" s="118">
        <f>'BD Plant List'!$BA340/1000</f>
        <v>118.73826226495738</v>
      </c>
      <c r="AD274" s="118">
        <f>'BD Plant List'!$BA340/1000</f>
        <v>118.73826226495738</v>
      </c>
      <c r="AE274" s="118">
        <f>'BD Plant List'!$BA340/1000</f>
        <v>118.73826226495738</v>
      </c>
      <c r="AF274" s="118">
        <f>'BD Plant List'!$BA340/1000</f>
        <v>118.73826226495738</v>
      </c>
      <c r="AG274" s="118">
        <f>'BD Plant List'!$BA340/1000</f>
        <v>118.73826226495738</v>
      </c>
      <c r="AH274" s="118">
        <f>'BD Plant List'!$BA340/1000</f>
        <v>118.73826226495738</v>
      </c>
      <c r="AI274" s="118">
        <f>'BD Plant List'!$BA340/1000</f>
        <v>118.73826226495738</v>
      </c>
      <c r="AJ274" s="118">
        <f>'BD Plant List'!$BA340/1000</f>
        <v>118.73826226495738</v>
      </c>
      <c r="AK274" s="118">
        <f>'BD Plant List'!$BA340/1000</f>
        <v>118.73826226495738</v>
      </c>
      <c r="AL274" s="118">
        <f>'BD Plant List'!$BA340/1000</f>
        <v>118.73826226495738</v>
      </c>
      <c r="AM274" s="118">
        <f>'BD Plant List'!$BA340/1000</f>
        <v>118.73826226495738</v>
      </c>
    </row>
    <row r="275" spans="1:39">
      <c r="A275" s="138" t="s">
        <v>140</v>
      </c>
      <c r="B275" s="231">
        <f t="shared" si="208"/>
        <v>3.1282708394306185</v>
      </c>
      <c r="C275" s="170">
        <f t="shared" si="209"/>
        <v>13.499917479609334</v>
      </c>
      <c r="D275" s="170">
        <f t="shared" si="210"/>
        <v>19.604529736053937</v>
      </c>
      <c r="E275" s="170">
        <f t="shared" si="210"/>
        <v>20.167788653375297</v>
      </c>
      <c r="F275" s="170">
        <f t="shared" si="210"/>
        <v>21.773414061870682</v>
      </c>
      <c r="G275" s="170">
        <f t="shared" si="210"/>
        <v>15.80626530005763</v>
      </c>
      <c r="H275" s="170">
        <f t="shared" si="210"/>
        <v>21.771638743655306</v>
      </c>
      <c r="I275" s="118">
        <f>'BD Plant List'!$BA149/1000</f>
        <v>26.848702288207594</v>
      </c>
      <c r="J275" s="118">
        <f>'BD Plant List'!$BA161/1000</f>
        <v>34.261732831242888</v>
      </c>
      <c r="K275" s="118">
        <f>'BD Plant List'!$BA173/1000</f>
        <v>32.57909256512535</v>
      </c>
      <c r="L275" s="118">
        <f>'BD Plant List'!$BA185/1000</f>
        <v>40.662825871578129</v>
      </c>
      <c r="M275" s="118">
        <f>'BD Plant List'!$BA197/1000</f>
        <v>90.667443010814623</v>
      </c>
      <c r="N275" s="118">
        <f>'BD Plant List'!$BA209/1000</f>
        <v>134.65654095601394</v>
      </c>
      <c r="O275" s="118">
        <f>'BD Plant List'!$BA221/1000</f>
        <v>106.15459924563299</v>
      </c>
      <c r="P275" s="118">
        <f>'BD Plant List'!$BA233/1000</f>
        <v>142.94183841029854</v>
      </c>
      <c r="Q275" s="118">
        <f>'BD Plant List'!$BA245/1000</f>
        <v>143.50778545397318</v>
      </c>
      <c r="R275" s="118">
        <f>'BD Plant List'!$BA257/1000</f>
        <v>143.48693226935248</v>
      </c>
      <c r="S275" s="118">
        <f>'BD Plant List'!$BA269/1000</f>
        <v>143.4619170653919</v>
      </c>
      <c r="T275" s="118">
        <f>'BD Plant List'!$BA281/1000</f>
        <v>107.98737690689896</v>
      </c>
      <c r="U275" s="118">
        <f>'BD Plant List'!$BA293/1000</f>
        <v>107.9377531744539</v>
      </c>
      <c r="V275" s="118">
        <f>'BD Plant List'!$BA305/1000</f>
        <v>108.00168474775963</v>
      </c>
      <c r="W275" s="118">
        <f>'BD Plant List'!$BA317/1000</f>
        <v>107.99312058821769</v>
      </c>
      <c r="X275" s="118">
        <f>'BD Plant List'!$BA329/1000</f>
        <v>107.98598253295251</v>
      </c>
      <c r="Y275" s="118">
        <f>'BD Plant List'!$BA341/1000</f>
        <v>107.98118359005653</v>
      </c>
      <c r="Z275" s="118">
        <f>'BD Plant List'!$BA341/1000</f>
        <v>107.98118359005653</v>
      </c>
      <c r="AA275" s="118">
        <f>'BD Plant List'!$BA341/1000</f>
        <v>107.98118359005653</v>
      </c>
      <c r="AB275" s="118">
        <f>'BD Plant List'!$BA341/1000</f>
        <v>107.98118359005653</v>
      </c>
      <c r="AC275" s="118">
        <f>'BD Plant List'!$BA341/1000</f>
        <v>107.98118359005653</v>
      </c>
      <c r="AD275" s="118">
        <f>'BD Plant List'!$BA341/1000</f>
        <v>107.98118359005653</v>
      </c>
      <c r="AE275" s="118">
        <f>'BD Plant List'!$BA341/1000</f>
        <v>107.98118359005653</v>
      </c>
      <c r="AF275" s="118">
        <f>'BD Plant List'!$BA341/1000</f>
        <v>107.98118359005653</v>
      </c>
      <c r="AG275" s="118">
        <f>'BD Plant List'!$BA341/1000</f>
        <v>107.98118359005653</v>
      </c>
      <c r="AH275" s="118">
        <f>'BD Plant List'!$BA341/1000</f>
        <v>107.98118359005653</v>
      </c>
      <c r="AI275" s="118">
        <f>'BD Plant List'!$BA341/1000</f>
        <v>107.98118359005653</v>
      </c>
      <c r="AJ275" s="118">
        <f>'BD Plant List'!$BA341/1000</f>
        <v>107.98118359005653</v>
      </c>
      <c r="AK275" s="118">
        <f>'BD Plant List'!$BA341/1000</f>
        <v>107.98118359005653</v>
      </c>
      <c r="AL275" s="118">
        <f>'BD Plant List'!$BA341/1000</f>
        <v>107.98118359005653</v>
      </c>
      <c r="AM275" s="118">
        <f>'BD Plant List'!$BA341/1000</f>
        <v>107.98118359005653</v>
      </c>
    </row>
    <row r="276" spans="1:39" ht="12" thickBot="1">
      <c r="A276" s="138" t="s">
        <v>141</v>
      </c>
      <c r="B276" s="231">
        <f>B221</f>
        <v>35</v>
      </c>
      <c r="C276" s="170">
        <f t="shared" ref="C276:H276" si="211">C221</f>
        <v>152</v>
      </c>
      <c r="D276" s="170">
        <f t="shared" si="211"/>
        <v>220</v>
      </c>
      <c r="E276" s="170">
        <f t="shared" si="211"/>
        <v>224</v>
      </c>
      <c r="F276" s="170">
        <f t="shared" si="211"/>
        <v>250</v>
      </c>
      <c r="G276" s="170">
        <f t="shared" si="211"/>
        <v>175</v>
      </c>
      <c r="H276" s="170">
        <f t="shared" si="211"/>
        <v>234</v>
      </c>
      <c r="I276" s="13">
        <f>SUM(I264:I275)</f>
        <v>323.44934933686619</v>
      </c>
      <c r="J276" s="13">
        <f>SUM(J264:J275)</f>
        <v>331.57524670593148</v>
      </c>
      <c r="K276" s="118">
        <f>SUM(K264:K275)</f>
        <v>335.4876794925334</v>
      </c>
      <c r="L276" s="118">
        <f t="shared" ref="L276:AK276" si="212">SUM(L264:L275)</f>
        <v>471.9374500237605</v>
      </c>
      <c r="M276" s="118">
        <f t="shared" si="212"/>
        <v>1038.2645472833833</v>
      </c>
      <c r="N276" s="118">
        <f t="shared" si="212"/>
        <v>882.61598192165752</v>
      </c>
      <c r="O276" s="118">
        <f t="shared" si="212"/>
        <v>1092.1320552672819</v>
      </c>
      <c r="P276" s="118">
        <f t="shared" si="212"/>
        <v>1429.0764538433066</v>
      </c>
      <c r="Q276" s="118">
        <f t="shared" si="212"/>
        <v>1587.6489177707956</v>
      </c>
      <c r="R276" s="118">
        <f t="shared" si="212"/>
        <v>1581.6906017812494</v>
      </c>
      <c r="S276" s="118">
        <f t="shared" si="212"/>
        <v>1577.7945950209032</v>
      </c>
      <c r="T276" s="118">
        <f t="shared" si="212"/>
        <v>1184.374166432041</v>
      </c>
      <c r="U276" s="118">
        <f t="shared" si="212"/>
        <v>1185.2951477601703</v>
      </c>
      <c r="V276" s="118">
        <f t="shared" si="212"/>
        <v>1188.7407667556936</v>
      </c>
      <c r="W276" s="118">
        <f t="shared" si="212"/>
        <v>1187.4262859355106</v>
      </c>
      <c r="X276" s="118">
        <f t="shared" si="212"/>
        <v>1186.746084253602</v>
      </c>
      <c r="Y276" s="118">
        <f t="shared" si="212"/>
        <v>1186.5164902274037</v>
      </c>
      <c r="Z276" s="118">
        <f t="shared" si="212"/>
        <v>1186.5164902274037</v>
      </c>
      <c r="AA276" s="118">
        <f t="shared" si="212"/>
        <v>1186.5164902274037</v>
      </c>
      <c r="AB276" s="118">
        <f t="shared" si="212"/>
        <v>1186.5164902274037</v>
      </c>
      <c r="AC276" s="118">
        <f t="shared" si="212"/>
        <v>1186.5164902274037</v>
      </c>
      <c r="AD276" s="118">
        <f t="shared" si="212"/>
        <v>1186.5164902274037</v>
      </c>
      <c r="AE276" s="118">
        <f t="shared" si="212"/>
        <v>1186.5164902274037</v>
      </c>
      <c r="AF276" s="118">
        <f t="shared" si="212"/>
        <v>1186.5164902274037</v>
      </c>
      <c r="AG276" s="118">
        <f t="shared" si="212"/>
        <v>1186.5164902274037</v>
      </c>
      <c r="AH276" s="118">
        <f t="shared" si="212"/>
        <v>1186.5164902274037</v>
      </c>
      <c r="AI276" s="118">
        <f t="shared" si="212"/>
        <v>1186.5164902274037</v>
      </c>
      <c r="AJ276" s="118">
        <f t="shared" si="212"/>
        <v>1186.5164902274037</v>
      </c>
      <c r="AK276" s="118">
        <f t="shared" si="212"/>
        <v>1186.5164902274037</v>
      </c>
      <c r="AL276" s="118">
        <f>SUM(AL264:AL275)</f>
        <v>1186.5164902274037</v>
      </c>
      <c r="AM276" s="118">
        <f>SUM(AM264:AM275)</f>
        <v>1186.5164902274037</v>
      </c>
    </row>
    <row r="277" spans="1:39">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row>
    <row r="278" spans="1:39">
      <c r="A278" s="111" t="s">
        <v>256</v>
      </c>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c r="AH278" s="111"/>
      <c r="AI278" s="111"/>
      <c r="AJ278" s="111"/>
      <c r="AK278" s="111"/>
      <c r="AL278" s="111"/>
      <c r="AM278" s="111"/>
    </row>
    <row r="279" spans="1:39" ht="12" thickBot="1">
      <c r="A279" s="168"/>
      <c r="B279" s="169">
        <f>B2</f>
        <v>2013</v>
      </c>
      <c r="C279" s="169">
        <f t="shared" ref="C279:AK279" si="213">C2</f>
        <v>2014</v>
      </c>
      <c r="D279" s="169">
        <f t="shared" si="213"/>
        <v>2015</v>
      </c>
      <c r="E279" s="169">
        <f t="shared" si="213"/>
        <v>2016</v>
      </c>
      <c r="F279" s="169">
        <f t="shared" si="213"/>
        <v>2017</v>
      </c>
      <c r="G279" s="169">
        <f t="shared" si="213"/>
        <v>2018</v>
      </c>
      <c r="H279" s="169">
        <f t="shared" si="213"/>
        <v>2019</v>
      </c>
      <c r="I279" s="169">
        <f t="shared" si="213"/>
        <v>2020</v>
      </c>
      <c r="J279" s="169">
        <f t="shared" si="213"/>
        <v>2021</v>
      </c>
      <c r="K279" s="169">
        <f t="shared" si="213"/>
        <v>2022</v>
      </c>
      <c r="L279" s="169">
        <f t="shared" si="213"/>
        <v>2023</v>
      </c>
      <c r="M279" s="169">
        <f t="shared" si="213"/>
        <v>2024</v>
      </c>
      <c r="N279" s="169">
        <f t="shared" si="213"/>
        <v>2025</v>
      </c>
      <c r="O279" s="169">
        <f t="shared" si="213"/>
        <v>2026</v>
      </c>
      <c r="P279" s="169">
        <f t="shared" si="213"/>
        <v>2027</v>
      </c>
      <c r="Q279" s="169">
        <f t="shared" si="213"/>
        <v>2028</v>
      </c>
      <c r="R279" s="169">
        <f t="shared" si="213"/>
        <v>2029</v>
      </c>
      <c r="S279" s="169">
        <f t="shared" si="213"/>
        <v>2030</v>
      </c>
      <c r="T279" s="169">
        <f t="shared" si="213"/>
        <v>2031</v>
      </c>
      <c r="U279" s="169">
        <f t="shared" si="213"/>
        <v>2032</v>
      </c>
      <c r="V279" s="169">
        <f t="shared" si="213"/>
        <v>2033</v>
      </c>
      <c r="W279" s="169">
        <f t="shared" si="213"/>
        <v>2034</v>
      </c>
      <c r="X279" s="169">
        <f t="shared" si="213"/>
        <v>2035</v>
      </c>
      <c r="Y279" s="169">
        <f t="shared" si="213"/>
        <v>2036</v>
      </c>
      <c r="Z279" s="169">
        <f t="shared" si="213"/>
        <v>2037</v>
      </c>
      <c r="AA279" s="169">
        <f t="shared" si="213"/>
        <v>2038</v>
      </c>
      <c r="AB279" s="169">
        <f t="shared" si="213"/>
        <v>2039</v>
      </c>
      <c r="AC279" s="169">
        <f t="shared" si="213"/>
        <v>2040</v>
      </c>
      <c r="AD279" s="169">
        <f t="shared" si="213"/>
        <v>2041</v>
      </c>
      <c r="AE279" s="169">
        <f t="shared" si="213"/>
        <v>2042</v>
      </c>
      <c r="AF279" s="169">
        <f t="shared" si="213"/>
        <v>2043</v>
      </c>
      <c r="AG279" s="169">
        <f t="shared" si="213"/>
        <v>2044</v>
      </c>
      <c r="AH279" s="169">
        <f t="shared" si="213"/>
        <v>2045</v>
      </c>
      <c r="AI279" s="169">
        <f t="shared" si="213"/>
        <v>2046</v>
      </c>
      <c r="AJ279" s="169">
        <f t="shared" si="213"/>
        <v>2047</v>
      </c>
      <c r="AK279" s="169">
        <f t="shared" si="213"/>
        <v>2048</v>
      </c>
      <c r="AL279" s="169">
        <f>AL2</f>
        <v>2049</v>
      </c>
      <c r="AM279" s="169">
        <f>AM2</f>
        <v>2050</v>
      </c>
    </row>
    <row r="280" spans="1:39" ht="12" thickTop="1">
      <c r="A280" s="138" t="s">
        <v>129</v>
      </c>
      <c r="B280" s="231">
        <f t="shared" ref="B280:H291" si="214">B$292*(SUM(C22:E22)/SUM(C$34:E$34))</f>
        <v>7.5223363578482527E-2</v>
      </c>
      <c r="C280" s="231">
        <f t="shared" si="214"/>
        <v>0</v>
      </c>
      <c r="D280" s="231">
        <f t="shared" si="214"/>
        <v>0</v>
      </c>
      <c r="E280" s="231">
        <f t="shared" si="214"/>
        <v>1.1179486454348204</v>
      </c>
      <c r="F280" s="231">
        <f t="shared" si="214"/>
        <v>1.5496392191185759</v>
      </c>
      <c r="G280" s="231">
        <f t="shared" si="214"/>
        <v>0.37281455415601189</v>
      </c>
      <c r="H280" s="231">
        <f t="shared" si="214"/>
        <v>0.42742243254589163</v>
      </c>
      <c r="I280" s="233">
        <f>('VO RD Feedstock'!B30/1000)-'Renewable Fuel Ex Ethanol'!I264</f>
        <v>-3.7979724378267576E-2</v>
      </c>
      <c r="J280" s="233">
        <f>('VO RD Feedstock'!C30/1000)-'Renewable Fuel Ex Ethanol'!J264</f>
        <v>0.67243707789122098</v>
      </c>
      <c r="K280" s="233">
        <f>('VO RD Feedstock'!D30/1000)-'Renewable Fuel Ex Ethanol'!K264</f>
        <v>1.0474888757686145</v>
      </c>
      <c r="L280" s="233">
        <f>('VO RD Feedstock'!E30/1000)-'Renewable Fuel Ex Ethanol'!L264</f>
        <v>-0.81067723168641947</v>
      </c>
      <c r="M280" s="233">
        <f>('VO RD Feedstock'!F30/1000)-'Renewable Fuel Ex Ethanol'!M264</f>
        <v>-26.6823830047665</v>
      </c>
      <c r="N280" s="233">
        <f>('VO RD Feedstock'!G30/1000)-'Renewable Fuel Ex Ethanol'!N264</f>
        <v>16.150918911913369</v>
      </c>
      <c r="O280" s="233">
        <f>('VO RD Feedstock'!H30/1000)-'Renewable Fuel Ex Ethanol'!O264</f>
        <v>13.579902548706428</v>
      </c>
      <c r="P280" s="233">
        <f>('VO RD Feedstock'!I30/1000)-'Renewable Fuel Ex Ethanol'!P264</f>
        <v>-18.028431317618342</v>
      </c>
      <c r="Q280" s="233">
        <f>('VO RD Feedstock'!J30/1000)-'Renewable Fuel Ex Ethanol'!Q264</f>
        <v>-47.531723082697908</v>
      </c>
      <c r="R280" s="233">
        <f>('VO RD Feedstock'!K30/1000)-'Renewable Fuel Ex Ethanol'!R264</f>
        <v>-41.874186313932256</v>
      </c>
      <c r="S280" s="233">
        <f>('VO RD Feedstock'!L30/1000)-'Renewable Fuel Ex Ethanol'!S264</f>
        <v>-37.235219932166132</v>
      </c>
      <c r="T280" s="233">
        <f>('VO RD Feedstock'!M30/1000)-'Renewable Fuel Ex Ethanol'!T264</f>
        <v>-6.2822894059861198</v>
      </c>
      <c r="U280" s="233">
        <f>('VO RD Feedstock'!N30/1000)-'Renewable Fuel Ex Ethanol'!U264</f>
        <v>-5.5600868054951604</v>
      </c>
      <c r="V280" s="233">
        <f>('VO RD Feedstock'!O30/1000)-'Renewable Fuel Ex Ethanol'!V264</f>
        <v>-5.1305160375262915</v>
      </c>
      <c r="W280" s="233">
        <f>('VO RD Feedstock'!P30/1000)-'Renewable Fuel Ex Ethanol'!W264</f>
        <v>-3.4194579014029358</v>
      </c>
      <c r="X280" s="233">
        <f>('VO RD Feedstock'!Q30/1000)-'Renewable Fuel Ex Ethanol'!X264</f>
        <v>-2.0290993394322356</v>
      </c>
      <c r="Y280" s="233">
        <f>('VO RD Feedstock'!R30/1000)-'Renewable Fuel Ex Ethanol'!Y264</f>
        <v>-1.1687979248466576</v>
      </c>
      <c r="Z280" s="233">
        <f>('VO RD Feedstock'!S30/1000)-'Renewable Fuel Ex Ethanol'!Z264</f>
        <v>-88.463505123965049</v>
      </c>
      <c r="AA280" s="233">
        <f>('VO RD Feedstock'!T30/1000)-'Renewable Fuel Ex Ethanol'!AA264</f>
        <v>-88.463505123965049</v>
      </c>
      <c r="AB280" s="233">
        <f>('VO RD Feedstock'!U30/1000)-'Renewable Fuel Ex Ethanol'!AB264</f>
        <v>-88.463505123965049</v>
      </c>
      <c r="AC280" s="233">
        <f>('VO RD Feedstock'!V30/1000)-'Renewable Fuel Ex Ethanol'!AC264</f>
        <v>-88.463505123965049</v>
      </c>
      <c r="AD280" s="233">
        <f>('VO RD Feedstock'!W30/1000)-'Renewable Fuel Ex Ethanol'!AD264</f>
        <v>-88.463505123965049</v>
      </c>
      <c r="AE280" s="233">
        <f>('VO RD Feedstock'!X30/1000)-'Renewable Fuel Ex Ethanol'!AE264</f>
        <v>-88.463505123965049</v>
      </c>
      <c r="AF280" s="233">
        <f>('VO RD Feedstock'!AG30/1000)-'Renewable Fuel Ex Ethanol'!AF264</f>
        <v>-88.463505123965049</v>
      </c>
      <c r="AG280" s="233" t="e">
        <f>('VO RD Feedstock'!AH30/1000)-'Renewable Fuel Ex Ethanol'!AG264</f>
        <v>#VALUE!</v>
      </c>
      <c r="AH280" s="233">
        <f>('VO RD Feedstock'!AI30/1000)-'Renewable Fuel Ex Ethanol'!AH264</f>
        <v>-66.248505123965046</v>
      </c>
      <c r="AI280" s="233">
        <f>('VO RD Feedstock'!AJ30/1000)-'Renewable Fuel Ex Ethanol'!AI264</f>
        <v>-88.463505123965049</v>
      </c>
      <c r="AJ280" s="233">
        <f>('VO RD Feedstock'!AK30/1000)-'Renewable Fuel Ex Ethanol'!AJ264</f>
        <v>-88.463505123965049</v>
      </c>
      <c r="AK280" s="233">
        <f>('VO RD Feedstock'!AL30/1000)-'Renewable Fuel Ex Ethanol'!AK264</f>
        <v>-88.463505123965049</v>
      </c>
      <c r="AL280" s="233">
        <f>('VO RD Feedstock'!AM30/1000)-'Renewable Fuel Ex Ethanol'!AL264</f>
        <v>-88.463505123965049</v>
      </c>
      <c r="AM280" s="233">
        <f>('VO RD Feedstock'!AN30/1000)-'Renewable Fuel Ex Ethanol'!AM264</f>
        <v>-88.463505123965049</v>
      </c>
    </row>
    <row r="281" spans="1:39">
      <c r="A281" s="138" t="s">
        <v>130</v>
      </c>
      <c r="B281" s="231">
        <f t="shared" si="214"/>
        <v>7.3372650400680944E-2</v>
      </c>
      <c r="C281" s="231">
        <f t="shared" si="214"/>
        <v>0</v>
      </c>
      <c r="D281" s="231">
        <f t="shared" si="214"/>
        <v>0</v>
      </c>
      <c r="E281" s="231">
        <f t="shared" si="214"/>
        <v>1.0929505587850352</v>
      </c>
      <c r="F281" s="231">
        <f t="shared" si="214"/>
        <v>1.491810748628166</v>
      </c>
      <c r="G281" s="231">
        <f t="shared" si="214"/>
        <v>0.3691042876020334</v>
      </c>
      <c r="H281" s="231">
        <f t="shared" si="214"/>
        <v>0.42079151242224178</v>
      </c>
      <c r="I281" s="233">
        <f>('VO RD Feedstock'!B31/1000)-'Renewable Fuel Ex Ethanol'!I265</f>
        <v>0.47544197399306043</v>
      </c>
      <c r="J281" s="233">
        <f>('VO RD Feedstock'!C31/1000)-'Renewable Fuel Ex Ethanol'!J265</f>
        <v>0.11693943234019244</v>
      </c>
      <c r="K281" s="233">
        <f>('VO RD Feedstock'!D31/1000)-'Renewable Fuel Ex Ethanol'!K265</f>
        <v>-0.16414721426205503</v>
      </c>
      <c r="L281" s="233">
        <f>('VO RD Feedstock'!E31/1000)-'Renewable Fuel Ex Ethanol'!L265</f>
        <v>1.1876785133130738</v>
      </c>
      <c r="M281" s="233">
        <f>('VO RD Feedstock'!F31/1000)-'Renewable Fuel Ex Ethanol'!M265</f>
        <v>18.368732082427321</v>
      </c>
      <c r="N281" s="233">
        <f>('VO RD Feedstock'!G31/1000)-'Renewable Fuel Ex Ethanol'!N265</f>
        <v>5.4049670377143855</v>
      </c>
      <c r="O281" s="233">
        <f>('VO RD Feedstock'!H31/1000)-'Renewable Fuel Ex Ethanol'!O265</f>
        <v>8.5732238092227462</v>
      </c>
      <c r="P281" s="233">
        <f>('VO RD Feedstock'!I31/1000)-'Renewable Fuel Ex Ethanol'!P265</f>
        <v>3.3555857769599697</v>
      </c>
      <c r="Q281" s="233">
        <f>('VO RD Feedstock'!J31/1000)-'Renewable Fuel Ex Ethanol'!Q265</f>
        <v>-24.999108636377429</v>
      </c>
      <c r="R281" s="233">
        <f>('VO RD Feedstock'!K31/1000)-'Renewable Fuel Ex Ethanol'!R265</f>
        <v>-20.233993907407211</v>
      </c>
      <c r="S281" s="233">
        <f>('VO RD Feedstock'!L31/1000)-'Renewable Fuel Ex Ethanol'!S265</f>
        <v>-16.090961966212731</v>
      </c>
      <c r="T281" s="233">
        <f>('VO RD Feedstock'!M31/1000)-'Renewable Fuel Ex Ethanol'!T265</f>
        <v>12.296435544464458</v>
      </c>
      <c r="U281" s="233">
        <f>('VO RD Feedstock'!N31/1000)-'Renewable Fuel Ex Ethanol'!U265</f>
        <v>14.882189551941238</v>
      </c>
      <c r="V281" s="233">
        <f>('VO RD Feedstock'!O31/1000)-'Renewable Fuel Ex Ethanol'!V265</f>
        <v>15.657787336504867</v>
      </c>
      <c r="W281" s="233">
        <f>('VO RD Feedstock'!P31/1000)-'Renewable Fuel Ex Ethanol'!W265</f>
        <v>17.433715736052832</v>
      </c>
      <c r="X281" s="233">
        <f>('VO RD Feedstock'!Q31/1000)-'Renewable Fuel Ex Ethanol'!X265</f>
        <v>19.295901110341973</v>
      </c>
      <c r="Y281" s="233">
        <f>('VO RD Feedstock'!R31/1000)-'Renewable Fuel Ex Ethanol'!Y265</f>
        <v>20.042665018742412</v>
      </c>
      <c r="Z281" s="233">
        <f>('VO RD Feedstock'!S31/1000)-'Renewable Fuel Ex Ethanol'!Z265</f>
        <v>-81.786919334457338</v>
      </c>
      <c r="AA281" s="233">
        <f>('VO RD Feedstock'!T31/1000)-'Renewable Fuel Ex Ethanol'!AA265</f>
        <v>-81.786919334457338</v>
      </c>
      <c r="AB281" s="233">
        <f>('VO RD Feedstock'!U31/1000)-'Renewable Fuel Ex Ethanol'!AB265</f>
        <v>-81.786919334457338</v>
      </c>
      <c r="AC281" s="233">
        <f>('VO RD Feedstock'!V31/1000)-'Renewable Fuel Ex Ethanol'!AC265</f>
        <v>-81.786919334457338</v>
      </c>
      <c r="AD281" s="233">
        <f>('VO RD Feedstock'!W31/1000)-'Renewable Fuel Ex Ethanol'!AD265</f>
        <v>-81.786919334457338</v>
      </c>
      <c r="AE281" s="233">
        <f>('VO RD Feedstock'!X31/1000)-'Renewable Fuel Ex Ethanol'!AE265</f>
        <v>-81.786919334457338</v>
      </c>
      <c r="AF281" s="233">
        <f>('VO RD Feedstock'!AG31/1000)-'Renewable Fuel Ex Ethanol'!AF265</f>
        <v>-81.786919334457338</v>
      </c>
      <c r="AG281" s="233" t="e">
        <f>('VO RD Feedstock'!AH31/1000)-'Renewable Fuel Ex Ethanol'!AG265</f>
        <v>#VALUE!</v>
      </c>
      <c r="AH281" s="233">
        <f>('VO RD Feedstock'!AI31/1000)-'Renewable Fuel Ex Ethanol'!AH265</f>
        <v>-58.791252667790673</v>
      </c>
      <c r="AI281" s="233">
        <f>('VO RD Feedstock'!AJ31/1000)-'Renewable Fuel Ex Ethanol'!AI265</f>
        <v>-81.786919334457338</v>
      </c>
      <c r="AJ281" s="233">
        <f>('VO RD Feedstock'!AK31/1000)-'Renewable Fuel Ex Ethanol'!AJ265</f>
        <v>-81.786919334457338</v>
      </c>
      <c r="AK281" s="233">
        <f>('VO RD Feedstock'!AL31/1000)-'Renewable Fuel Ex Ethanol'!AK265</f>
        <v>-81.786919334457338</v>
      </c>
      <c r="AL281" s="233">
        <f>('VO RD Feedstock'!AM31/1000)-'Renewable Fuel Ex Ethanol'!AL265</f>
        <v>-81.786919334457338</v>
      </c>
      <c r="AM281" s="233">
        <f>('VO RD Feedstock'!AN31/1000)-'Renewable Fuel Ex Ethanol'!AM265</f>
        <v>-81.786919334457338</v>
      </c>
    </row>
    <row r="282" spans="1:39">
      <c r="A282" s="138" t="s">
        <v>131</v>
      </c>
      <c r="B282" s="231">
        <f t="shared" si="214"/>
        <v>7.5277980207151596E-2</v>
      </c>
      <c r="C282" s="231">
        <f t="shared" si="214"/>
        <v>0</v>
      </c>
      <c r="D282" s="231">
        <f t="shared" si="214"/>
        <v>0</v>
      </c>
      <c r="E282" s="231">
        <f t="shared" si="214"/>
        <v>1.1324487996521557</v>
      </c>
      <c r="F282" s="231">
        <f t="shared" si="214"/>
        <v>1.4824106638099313</v>
      </c>
      <c r="G282" s="231">
        <f t="shared" si="214"/>
        <v>0.38214574790814032</v>
      </c>
      <c r="H282" s="231">
        <f t="shared" si="214"/>
        <v>0.45730927756363776</v>
      </c>
      <c r="I282" s="233">
        <f>('VO RD Feedstock'!B32/1000)-'Renewable Fuel Ex Ethanol'!I266</f>
        <v>0.22424612991950355</v>
      </c>
      <c r="J282" s="233">
        <f>('VO RD Feedstock'!C32/1000)-'Renewable Fuel Ex Ethanol'!J266</f>
        <v>0.9748476736316114</v>
      </c>
      <c r="K282" s="233">
        <f>('VO RD Feedstock'!D32/1000)-'Renewable Fuel Ex Ethanol'!K266</f>
        <v>0.31100120962516087</v>
      </c>
      <c r="L282" s="233">
        <f>('VO RD Feedstock'!E32/1000)-'Renewable Fuel Ex Ethanol'!L266</f>
        <v>0.38969230880002925</v>
      </c>
      <c r="M282" s="233">
        <f>('VO RD Feedstock'!F32/1000)-'Renewable Fuel Ex Ethanol'!M266</f>
        <v>20.503154932822611</v>
      </c>
      <c r="N282" s="233">
        <f>('VO RD Feedstock'!G32/1000)-'Renewable Fuel Ex Ethanol'!N266</f>
        <v>12.43231810935292</v>
      </c>
      <c r="O282" s="233">
        <f>('VO RD Feedstock'!H32/1000)-'Renewable Fuel Ex Ethanol'!O266</f>
        <v>30.956021242217346</v>
      </c>
      <c r="P282" s="233">
        <f>('VO RD Feedstock'!I32/1000)-'Renewable Fuel Ex Ethanol'!P266</f>
        <v>71.480273981657803</v>
      </c>
      <c r="Q282" s="233">
        <f>('VO RD Feedstock'!J32/1000)-'Renewable Fuel Ex Ethanol'!Q266</f>
        <v>52.049395120601048</v>
      </c>
      <c r="R282" s="233">
        <f>('VO RD Feedstock'!K32/1000)-'Renewable Fuel Ex Ethanol'!R266</f>
        <v>53.387586570172289</v>
      </c>
      <c r="S282" s="233">
        <f>('VO RD Feedstock'!L32/1000)-'Renewable Fuel Ex Ethanol'!S266</f>
        <v>63.678125080972009</v>
      </c>
      <c r="T282" s="233">
        <f>('VO RD Feedstock'!M32/1000)-'Renewable Fuel Ex Ethanol'!T266</f>
        <v>97.014614169285991</v>
      </c>
      <c r="U282" s="233">
        <f>('VO RD Feedstock'!N32/1000)-'Renewable Fuel Ex Ethanol'!U266</f>
        <v>100.85820558292281</v>
      </c>
      <c r="V282" s="233">
        <f>('VO RD Feedstock'!O32/1000)-'Renewable Fuel Ex Ethanol'!V266</f>
        <v>103.65578994601434</v>
      </c>
      <c r="W282" s="233">
        <f>('VO RD Feedstock'!P32/1000)-'Renewable Fuel Ex Ethanol'!W266</f>
        <v>106.75391868243489</v>
      </c>
      <c r="X282" s="233">
        <f>('VO RD Feedstock'!Q32/1000)-'Renewable Fuel Ex Ethanol'!X266</f>
        <v>109.96045035923842</v>
      </c>
      <c r="Y282" s="233">
        <f>('VO RD Feedstock'!R32/1000)-'Renewable Fuel Ex Ethanol'!Y266</f>
        <v>111.51627037507984</v>
      </c>
      <c r="Z282" s="233">
        <f>('VO RD Feedstock'!S32/1000)-'Renewable Fuel Ex Ethanol'!Z266</f>
        <v>-90.944777505248283</v>
      </c>
      <c r="AA282" s="233">
        <f>('VO RD Feedstock'!T32/1000)-'Renewable Fuel Ex Ethanol'!AA266</f>
        <v>-90.944777505248283</v>
      </c>
      <c r="AB282" s="233">
        <f>('VO RD Feedstock'!U32/1000)-'Renewable Fuel Ex Ethanol'!AB266</f>
        <v>-90.944777505248283</v>
      </c>
      <c r="AC282" s="233">
        <f>('VO RD Feedstock'!V32/1000)-'Renewable Fuel Ex Ethanol'!AC266</f>
        <v>-90.944777505248283</v>
      </c>
      <c r="AD282" s="233">
        <f>('VO RD Feedstock'!W32/1000)-'Renewable Fuel Ex Ethanol'!AD266</f>
        <v>-90.944777505248283</v>
      </c>
      <c r="AE282" s="233">
        <f>('VO RD Feedstock'!X32/1000)-'Renewable Fuel Ex Ethanol'!AE266</f>
        <v>-90.944777505248283</v>
      </c>
      <c r="AF282" s="233">
        <f>('VO RD Feedstock'!AG32/1000)-'Renewable Fuel Ex Ethanol'!AF266</f>
        <v>-90.944777505248283</v>
      </c>
      <c r="AG282" s="233" t="e">
        <f>('VO RD Feedstock'!AH32/1000)-'Renewable Fuel Ex Ethanol'!AG266</f>
        <v>#VALUE!</v>
      </c>
      <c r="AH282" s="233">
        <f>('VO RD Feedstock'!AI32/1000)-'Renewable Fuel Ex Ethanol'!AH266</f>
        <v>-66.666110838581616</v>
      </c>
      <c r="AI282" s="233">
        <f>('VO RD Feedstock'!AJ32/1000)-'Renewable Fuel Ex Ethanol'!AI266</f>
        <v>-90.944777505248283</v>
      </c>
      <c r="AJ282" s="233">
        <f>('VO RD Feedstock'!AK32/1000)-'Renewable Fuel Ex Ethanol'!AJ266</f>
        <v>-90.944777505248283</v>
      </c>
      <c r="AK282" s="233">
        <f>('VO RD Feedstock'!AL32/1000)-'Renewable Fuel Ex Ethanol'!AK266</f>
        <v>-90.944777505248283</v>
      </c>
      <c r="AL282" s="233">
        <f>('VO RD Feedstock'!AM32/1000)-'Renewable Fuel Ex Ethanol'!AL266</f>
        <v>-90.944777505248283</v>
      </c>
      <c r="AM282" s="233">
        <f>('VO RD Feedstock'!AN32/1000)-'Renewable Fuel Ex Ethanol'!AM266</f>
        <v>-90.944777505248283</v>
      </c>
    </row>
    <row r="283" spans="1:39">
      <c r="A283" s="138" t="s">
        <v>132</v>
      </c>
      <c r="B283" s="231">
        <f t="shared" si="214"/>
        <v>7.8281590532510811E-2</v>
      </c>
      <c r="C283" s="231">
        <f t="shared" si="214"/>
        <v>0</v>
      </c>
      <c r="D283" s="231">
        <f t="shared" si="214"/>
        <v>0</v>
      </c>
      <c r="E283" s="231">
        <f t="shared" si="214"/>
        <v>1.1742044639462537</v>
      </c>
      <c r="F283" s="231">
        <f t="shared" si="214"/>
        <v>1.5581082626429912</v>
      </c>
      <c r="G283" s="231">
        <f t="shared" si="214"/>
        <v>0.39542807799465179</v>
      </c>
      <c r="H283" s="231">
        <f t="shared" si="214"/>
        <v>0.46802369957638434</v>
      </c>
      <c r="I283" s="233">
        <f>('VO RD Feedstock'!B33/1000)-'Renewable Fuel Ex Ethanol'!I267</f>
        <v>0.33569742090635302</v>
      </c>
      <c r="J283" s="233">
        <f>('VO RD Feedstock'!C33/1000)-'Renewable Fuel Ex Ethanol'!J267</f>
        <v>0.49821105078985894</v>
      </c>
      <c r="K283" s="233">
        <f>('VO RD Feedstock'!D33/1000)-'Renewable Fuel Ex Ethanol'!K267</f>
        <v>0.46817345160779311</v>
      </c>
      <c r="L283" s="233">
        <f>('VO RD Feedstock'!E33/1000)-'Renewable Fuel Ex Ethanol'!L267</f>
        <v>1.1015996716731706</v>
      </c>
      <c r="M283" s="233">
        <f>('VO RD Feedstock'!F33/1000)-'Renewable Fuel Ex Ethanol'!M267</f>
        <v>24.020636464438461</v>
      </c>
      <c r="N283" s="233">
        <f>('VO RD Feedstock'!G33/1000)-'Renewable Fuel Ex Ethanol'!N267</f>
        <v>8.1332058221692876</v>
      </c>
      <c r="O283" s="233">
        <f>('VO RD Feedstock'!H33/1000)-'Renewable Fuel Ex Ethanol'!O267</f>
        <v>10.809489267179174</v>
      </c>
      <c r="P283" s="233">
        <f>('VO RD Feedstock'!I33/1000)-'Renewable Fuel Ex Ethanol'!P267</f>
        <v>38.117746194525708</v>
      </c>
      <c r="Q283" s="233">
        <f>('VO RD Feedstock'!J33/1000)-'Renewable Fuel Ex Ethanol'!Q267</f>
        <v>23.849860381098779</v>
      </c>
      <c r="R283" s="233">
        <f>('VO RD Feedstock'!K33/1000)-'Renewable Fuel Ex Ethanol'!R267</f>
        <v>23.986183365967761</v>
      </c>
      <c r="S283" s="233">
        <f>('VO RD Feedstock'!L33/1000)-'Renewable Fuel Ex Ethanol'!S267</f>
        <v>32.923620317503506</v>
      </c>
      <c r="T283" s="233">
        <f>('VO RD Feedstock'!M33/1000)-'Renewable Fuel Ex Ethanol'!T267</f>
        <v>66.587200327530823</v>
      </c>
      <c r="U283" s="233">
        <f>('VO RD Feedstock'!N33/1000)-'Renewable Fuel Ex Ethanol'!U267</f>
        <v>69.679314121572574</v>
      </c>
      <c r="V283" s="233">
        <f>('VO RD Feedstock'!O33/1000)-'Renewable Fuel Ex Ethanol'!V267</f>
        <v>72.037884562422335</v>
      </c>
      <c r="W283" s="233">
        <f>('VO RD Feedstock'!P33/1000)-'Renewable Fuel Ex Ethanol'!W267</f>
        <v>74.737660694926163</v>
      </c>
      <c r="X283" s="233">
        <f>('VO RD Feedstock'!Q33/1000)-'Renewable Fuel Ex Ethanol'!X267</f>
        <v>77.451233729491207</v>
      </c>
      <c r="Y283" s="233">
        <f>('VO RD Feedstock'!R33/1000)-'Renewable Fuel Ex Ethanol'!Y267</f>
        <v>78.757788674086925</v>
      </c>
      <c r="Z283" s="233">
        <f>('VO RD Feedstock'!S33/1000)-'Renewable Fuel Ex Ethanol'!Z267</f>
        <v>-92.498313526913051</v>
      </c>
      <c r="AA283" s="233">
        <f>('VO RD Feedstock'!T33/1000)-'Renewable Fuel Ex Ethanol'!AA267</f>
        <v>-92.498313526913051</v>
      </c>
      <c r="AB283" s="233">
        <f>('VO RD Feedstock'!U33/1000)-'Renewable Fuel Ex Ethanol'!AB267</f>
        <v>-92.498313526913051</v>
      </c>
      <c r="AC283" s="233">
        <f>('VO RD Feedstock'!V33/1000)-'Renewable Fuel Ex Ethanol'!AC267</f>
        <v>-92.498313526913051</v>
      </c>
      <c r="AD283" s="233">
        <f>('VO RD Feedstock'!W33/1000)-'Renewable Fuel Ex Ethanol'!AD267</f>
        <v>-92.498313526913051</v>
      </c>
      <c r="AE283" s="233">
        <f>('VO RD Feedstock'!X33/1000)-'Renewable Fuel Ex Ethanol'!AE267</f>
        <v>-92.498313526913051</v>
      </c>
      <c r="AF283" s="233">
        <f>('VO RD Feedstock'!AG33/1000)-'Renewable Fuel Ex Ethanol'!AF267</f>
        <v>-92.498313526913051</v>
      </c>
      <c r="AG283" s="233" t="e">
        <f>('VO RD Feedstock'!AH33/1000)-'Renewable Fuel Ex Ethanol'!AG267</f>
        <v>#VALUE!</v>
      </c>
      <c r="AH283" s="233">
        <f>('VO RD Feedstock'!AI33/1000)-'Renewable Fuel Ex Ethanol'!AH267</f>
        <v>-67.229980193579721</v>
      </c>
      <c r="AI283" s="233">
        <f>('VO RD Feedstock'!AJ33/1000)-'Renewable Fuel Ex Ethanol'!AI267</f>
        <v>-92.498313526913051</v>
      </c>
      <c r="AJ283" s="233">
        <f>('VO RD Feedstock'!AK33/1000)-'Renewable Fuel Ex Ethanol'!AJ267</f>
        <v>-92.498313526913051</v>
      </c>
      <c r="AK283" s="233">
        <f>('VO RD Feedstock'!AL33/1000)-'Renewable Fuel Ex Ethanol'!AK267</f>
        <v>-92.498313526913051</v>
      </c>
      <c r="AL283" s="233">
        <f>('VO RD Feedstock'!AM33/1000)-'Renewable Fuel Ex Ethanol'!AL267</f>
        <v>-92.498313526913051</v>
      </c>
      <c r="AM283" s="233">
        <f>('VO RD Feedstock'!AN33/1000)-'Renewable Fuel Ex Ethanol'!AM267</f>
        <v>-92.498313526913051</v>
      </c>
    </row>
    <row r="284" spans="1:39">
      <c r="A284" s="138" t="s">
        <v>133</v>
      </c>
      <c r="B284" s="231">
        <f t="shared" si="214"/>
        <v>7.9403236001222136E-2</v>
      </c>
      <c r="C284" s="231">
        <f t="shared" si="214"/>
        <v>0</v>
      </c>
      <c r="D284" s="231">
        <f t="shared" si="214"/>
        <v>0</v>
      </c>
      <c r="E284" s="231">
        <f t="shared" si="214"/>
        <v>1.1830240270680408</v>
      </c>
      <c r="F284" s="231">
        <f t="shared" si="214"/>
        <v>1.6345514455580648</v>
      </c>
      <c r="G284" s="231">
        <f t="shared" si="214"/>
        <v>0.38830907408718723</v>
      </c>
      <c r="H284" s="231">
        <f t="shared" si="214"/>
        <v>0.46044823111857425</v>
      </c>
      <c r="I284" s="233">
        <f>('VO RD Feedstock'!B34/1000)-'Renewable Fuel Ex Ethanol'!I268</f>
        <v>1.001327318808233</v>
      </c>
      <c r="J284" s="233">
        <f>('VO RD Feedstock'!C34/1000)-'Renewable Fuel Ex Ethanol'!J268</f>
        <v>0.26950503290468575</v>
      </c>
      <c r="K284" s="233">
        <f>('VO RD Feedstock'!D34/1000)-'Renewable Fuel Ex Ethanol'!K268</f>
        <v>0.99939056492375045</v>
      </c>
      <c r="L284" s="233">
        <f>('VO RD Feedstock'!E34/1000)-'Renewable Fuel Ex Ethanol'!L268</f>
        <v>0.82335146811053761</v>
      </c>
      <c r="M284" s="233">
        <f>('VO RD Feedstock'!F34/1000)-'Renewable Fuel Ex Ethanol'!M268</f>
        <v>2.6028231643218191</v>
      </c>
      <c r="N284" s="233">
        <f>('VO RD Feedstock'!G34/1000)-'Renewable Fuel Ex Ethanol'!N268</f>
        <v>14.355261420860458</v>
      </c>
      <c r="O284" s="233">
        <f>('VO RD Feedstock'!H34/1000)-'Renewable Fuel Ex Ethanol'!O268</f>
        <v>24.677920079089702</v>
      </c>
      <c r="P284" s="233">
        <f>('VO RD Feedstock'!I34/1000)-'Renewable Fuel Ex Ethanol'!P268</f>
        <v>36.304388104698972</v>
      </c>
      <c r="Q284" s="233">
        <f>('VO RD Feedstock'!J34/1000)-'Renewable Fuel Ex Ethanol'!Q268</f>
        <v>38.097853754165115</v>
      </c>
      <c r="R284" s="233">
        <f>('VO RD Feedstock'!K34/1000)-'Renewable Fuel Ex Ethanol'!R268</f>
        <v>39.132519768914321</v>
      </c>
      <c r="S284" s="233">
        <f>('VO RD Feedstock'!L34/1000)-'Renewable Fuel Ex Ethanol'!S268</f>
        <v>48.490259388953874</v>
      </c>
      <c r="T284" s="233">
        <f>('VO RD Feedstock'!M34/1000)-'Renewable Fuel Ex Ethanol'!T268</f>
        <v>81.780528555132719</v>
      </c>
      <c r="U284" s="233">
        <f>('VO RD Feedstock'!N34/1000)-'Renewable Fuel Ex Ethanol'!U268</f>
        <v>84.697672292596309</v>
      </c>
      <c r="V284" s="233">
        <f>('VO RD Feedstock'!O34/1000)-'Renewable Fuel Ex Ethanol'!V268</f>
        <v>87.276798429317125</v>
      </c>
      <c r="W284" s="233">
        <f>('VO RD Feedstock'!P34/1000)-'Renewable Fuel Ex Ethanol'!W268</f>
        <v>90.260026763871778</v>
      </c>
      <c r="X284" s="233">
        <f>('VO RD Feedstock'!Q34/1000)-'Renewable Fuel Ex Ethanol'!X268</f>
        <v>93.252284551734746</v>
      </c>
      <c r="Y284" s="233">
        <f>('VO RD Feedstock'!R34/1000)-'Renewable Fuel Ex Ethanol'!Y268</f>
        <v>94.65108468024286</v>
      </c>
      <c r="Z284" s="233">
        <f>('VO RD Feedstock'!S34/1000)-'Renewable Fuel Ex Ethanol'!Z268</f>
        <v>-89.843217386075395</v>
      </c>
      <c r="AA284" s="233">
        <f>('VO RD Feedstock'!T34/1000)-'Renewable Fuel Ex Ethanol'!AA268</f>
        <v>-89.843217386075395</v>
      </c>
      <c r="AB284" s="233">
        <f>('VO RD Feedstock'!U34/1000)-'Renewable Fuel Ex Ethanol'!AB268</f>
        <v>-89.843217386075395</v>
      </c>
      <c r="AC284" s="233">
        <f>('VO RD Feedstock'!V34/1000)-'Renewable Fuel Ex Ethanol'!AC268</f>
        <v>-89.843217386075395</v>
      </c>
      <c r="AD284" s="233">
        <f>('VO RD Feedstock'!W34/1000)-'Renewable Fuel Ex Ethanol'!AD268</f>
        <v>-89.843217386075395</v>
      </c>
      <c r="AE284" s="233">
        <f>('VO RD Feedstock'!X34/1000)-'Renewable Fuel Ex Ethanol'!AE268</f>
        <v>-89.843217386075395</v>
      </c>
      <c r="AF284" s="233">
        <f>('VO RD Feedstock'!AG34/1000)-'Renewable Fuel Ex Ethanol'!AF268</f>
        <v>-89.843217386075395</v>
      </c>
      <c r="AG284" s="233" t="e">
        <f>('VO RD Feedstock'!AH34/1000)-'Renewable Fuel Ex Ethanol'!AG268</f>
        <v>#VALUE!</v>
      </c>
      <c r="AH284" s="233">
        <f>('VO RD Feedstock'!AI34/1000)-'Renewable Fuel Ex Ethanol'!AH268</f>
        <v>-64.871884052742061</v>
      </c>
      <c r="AI284" s="233">
        <f>('VO RD Feedstock'!AJ34/1000)-'Renewable Fuel Ex Ethanol'!AI268</f>
        <v>-89.843217386075395</v>
      </c>
      <c r="AJ284" s="233">
        <f>('VO RD Feedstock'!AK34/1000)-'Renewable Fuel Ex Ethanol'!AJ268</f>
        <v>-89.843217386075395</v>
      </c>
      <c r="AK284" s="233">
        <f>('VO RD Feedstock'!AL34/1000)-'Renewable Fuel Ex Ethanol'!AK268</f>
        <v>-89.843217386075395</v>
      </c>
      <c r="AL284" s="233">
        <f>('VO RD Feedstock'!AM34/1000)-'Renewable Fuel Ex Ethanol'!AL268</f>
        <v>-89.843217386075395</v>
      </c>
      <c r="AM284" s="233">
        <f>('VO RD Feedstock'!AN34/1000)-'Renewable Fuel Ex Ethanol'!AM268</f>
        <v>-89.843217386075395</v>
      </c>
    </row>
    <row r="285" spans="1:39">
      <c r="A285" s="138" t="s">
        <v>134</v>
      </c>
      <c r="B285" s="231">
        <f t="shared" si="214"/>
        <v>8.5274160399207349E-2</v>
      </c>
      <c r="C285" s="231">
        <f t="shared" si="214"/>
        <v>0</v>
      </c>
      <c r="D285" s="231">
        <f t="shared" si="214"/>
        <v>0</v>
      </c>
      <c r="E285" s="231">
        <f t="shared" si="214"/>
        <v>1.2792713133632503</v>
      </c>
      <c r="F285" s="231">
        <f t="shared" si="214"/>
        <v>1.6861760508431589</v>
      </c>
      <c r="G285" s="231">
        <f t="shared" si="214"/>
        <v>0.43627401596267579</v>
      </c>
      <c r="H285" s="231">
        <f t="shared" si="214"/>
        <v>0.50804297217875816</v>
      </c>
      <c r="I285" s="233">
        <f>('VO RD Feedstock'!B35/1000)-'Renewable Fuel Ex Ethanol'!I269</f>
        <v>0.81368742709848263</v>
      </c>
      <c r="J285" s="233">
        <f>('VO RD Feedstock'!C35/1000)-'Renewable Fuel Ex Ethanol'!J269</f>
        <v>0.67203280388232045</v>
      </c>
      <c r="K285" s="233">
        <f>('VO RD Feedstock'!D35/1000)-'Renewable Fuel Ex Ethanol'!K269</f>
        <v>0.52992290079633619</v>
      </c>
      <c r="L285" s="233">
        <f>('VO RD Feedstock'!E35/1000)-'Renewable Fuel Ex Ethanol'!L269</f>
        <v>0.81638997451146622</v>
      </c>
      <c r="M285" s="233">
        <f>('VO RD Feedstock'!F35/1000)-'Renewable Fuel Ex Ethanol'!M269</f>
        <v>-5.1088364701985824</v>
      </c>
      <c r="N285" s="233">
        <f>('VO RD Feedstock'!G35/1000)-'Renewable Fuel Ex Ethanol'!N269</f>
        <v>19.25850779837711</v>
      </c>
      <c r="O285" s="233">
        <f>('VO RD Feedstock'!H35/1000)-'Renewable Fuel Ex Ethanol'!O269</f>
        <v>40.604024242616745</v>
      </c>
      <c r="P285" s="233">
        <f>('VO RD Feedstock'!I35/1000)-'Renewable Fuel Ex Ethanol'!P269</f>
        <v>54.760493535972273</v>
      </c>
      <c r="Q285" s="233">
        <f>('VO RD Feedstock'!J35/1000)-'Renewable Fuel Ex Ethanol'!Q269</f>
        <v>66.119920534290316</v>
      </c>
      <c r="R285" s="233">
        <f>('VO RD Feedstock'!K35/1000)-'Renewable Fuel Ex Ethanol'!R269</f>
        <v>68.448005953529247</v>
      </c>
      <c r="S285" s="233">
        <f>('VO RD Feedstock'!L35/1000)-'Renewable Fuel Ex Ethanol'!S269</f>
        <v>80.64061892656764</v>
      </c>
      <c r="T285" s="233">
        <f>('VO RD Feedstock'!M35/1000)-'Renewable Fuel Ex Ethanol'!T269</f>
        <v>116.99945495265038</v>
      </c>
      <c r="U285" s="233">
        <f>('VO RD Feedstock'!N35/1000)-'Renewable Fuel Ex Ethanol'!U269</f>
        <v>121.53562812504855</v>
      </c>
      <c r="V285" s="233">
        <f>('VO RD Feedstock'!O35/1000)-'Renewable Fuel Ex Ethanol'!V269</f>
        <v>124.54603374387774</v>
      </c>
      <c r="W285" s="233">
        <f>('VO RD Feedstock'!P35/1000)-'Renewable Fuel Ex Ethanol'!W269</f>
        <v>128.21451571522829</v>
      </c>
      <c r="X285" s="233">
        <f>('VO RD Feedstock'!Q35/1000)-'Renewable Fuel Ex Ethanol'!X269</f>
        <v>132.09553952508119</v>
      </c>
      <c r="Y285" s="233">
        <f>('VO RD Feedstock'!R35/1000)-'Renewable Fuel Ex Ethanol'!Y269</f>
        <v>133.99394378774267</v>
      </c>
      <c r="Z285" s="233">
        <f>('VO RD Feedstock'!S35/1000)-'Renewable Fuel Ex Ethanol'!Z269</f>
        <v>-100.29870524274963</v>
      </c>
      <c r="AA285" s="233">
        <f>('VO RD Feedstock'!T35/1000)-'Renewable Fuel Ex Ethanol'!AA269</f>
        <v>-100.29870524274963</v>
      </c>
      <c r="AB285" s="233">
        <f>('VO RD Feedstock'!U35/1000)-'Renewable Fuel Ex Ethanol'!AB269</f>
        <v>-100.29870524274963</v>
      </c>
      <c r="AC285" s="233">
        <f>('VO RD Feedstock'!V35/1000)-'Renewable Fuel Ex Ethanol'!AC269</f>
        <v>-100.29870524274963</v>
      </c>
      <c r="AD285" s="233">
        <f>('VO RD Feedstock'!W35/1000)-'Renewable Fuel Ex Ethanol'!AD269</f>
        <v>-100.29870524274963</v>
      </c>
      <c r="AE285" s="233">
        <f>('VO RD Feedstock'!X35/1000)-'Renewable Fuel Ex Ethanol'!AE269</f>
        <v>-100.29870524274963</v>
      </c>
      <c r="AF285" s="233">
        <f>('VO RD Feedstock'!AG35/1000)-'Renewable Fuel Ex Ethanol'!AF269</f>
        <v>-100.29870524274963</v>
      </c>
      <c r="AG285" s="233" t="e">
        <f>('VO RD Feedstock'!AH35/1000)-'Renewable Fuel Ex Ethanol'!AG269</f>
        <v>#VALUE!</v>
      </c>
      <c r="AH285" s="233">
        <f>('VO RD Feedstock'!AI35/1000)-'Renewable Fuel Ex Ethanol'!AH269</f>
        <v>-72.328371909416305</v>
      </c>
      <c r="AI285" s="233">
        <f>('VO RD Feedstock'!AJ35/1000)-'Renewable Fuel Ex Ethanol'!AI269</f>
        <v>-100.29870524274963</v>
      </c>
      <c r="AJ285" s="233">
        <f>('VO RD Feedstock'!AK35/1000)-'Renewable Fuel Ex Ethanol'!AJ269</f>
        <v>-100.29870524274963</v>
      </c>
      <c r="AK285" s="233">
        <f>('VO RD Feedstock'!AL35/1000)-'Renewable Fuel Ex Ethanol'!AK269</f>
        <v>-100.29870524274963</v>
      </c>
      <c r="AL285" s="233">
        <f>('VO RD Feedstock'!AM35/1000)-'Renewable Fuel Ex Ethanol'!AL269</f>
        <v>-100.29870524274963</v>
      </c>
      <c r="AM285" s="233">
        <f>('VO RD Feedstock'!AN35/1000)-'Renewable Fuel Ex Ethanol'!AM269</f>
        <v>-100.29870524274963</v>
      </c>
    </row>
    <row r="286" spans="1:39">
      <c r="A286" s="138" t="s">
        <v>135</v>
      </c>
      <c r="B286" s="231">
        <f t="shared" si="214"/>
        <v>9.3054515669683188E-2</v>
      </c>
      <c r="C286" s="231">
        <f t="shared" si="214"/>
        <v>0</v>
      </c>
      <c r="D286" s="231">
        <f t="shared" si="214"/>
        <v>0</v>
      </c>
      <c r="E286" s="231">
        <f t="shared" si="214"/>
        <v>1.3845822186057553</v>
      </c>
      <c r="F286" s="231">
        <f t="shared" si="214"/>
        <v>1.9023798131017744</v>
      </c>
      <c r="G286" s="231">
        <f t="shared" si="214"/>
        <v>0.46567646810810359</v>
      </c>
      <c r="H286" s="231">
        <f t="shared" si="214"/>
        <v>0.53089340915162386</v>
      </c>
      <c r="I286" s="233">
        <f>('VO RD Feedstock'!B36/1000)-'Renewable Fuel Ex Ethanol'!I270</f>
        <v>0.6287882435954657</v>
      </c>
      <c r="J286" s="233">
        <f>('VO RD Feedstock'!C36/1000)-'Renewable Fuel Ex Ethanol'!J270</f>
        <v>0.74316053453911834</v>
      </c>
      <c r="K286" s="233">
        <f>('VO RD Feedstock'!D36/1000)-'Renewable Fuel Ex Ethanol'!K270</f>
        <v>0.44644833892544611</v>
      </c>
      <c r="L286" s="233">
        <f>('VO RD Feedstock'!E36/1000)-'Renewable Fuel Ex Ethanol'!L270</f>
        <v>0.79900190083953504</v>
      </c>
      <c r="M286" s="233">
        <f>('VO RD Feedstock'!F36/1000)-'Renewable Fuel Ex Ethanol'!M270</f>
        <v>10.633226689515141</v>
      </c>
      <c r="N286" s="233">
        <f>('VO RD Feedstock'!G36/1000)-'Renewable Fuel Ex Ethanol'!N270</f>
        <v>17.959885753593483</v>
      </c>
      <c r="O286" s="233">
        <f>('VO RD Feedstock'!H36/1000)-'Renewable Fuel Ex Ethanol'!O270</f>
        <v>23.210975143050547</v>
      </c>
      <c r="P286" s="233">
        <f>('VO RD Feedstock'!I36/1000)-'Renewable Fuel Ex Ethanol'!P270</f>
        <v>26.807701059143113</v>
      </c>
      <c r="Q286" s="233">
        <f>('VO RD Feedstock'!J36/1000)-'Renewable Fuel Ex Ethanol'!Q270</f>
        <v>37.357534571740359</v>
      </c>
      <c r="R286" s="233">
        <f>('VO RD Feedstock'!K36/1000)-'Renewable Fuel Ex Ethanol'!R270</f>
        <v>37.606556226245942</v>
      </c>
      <c r="S286" s="233">
        <f>('VO RD Feedstock'!L36/1000)-'Renewable Fuel Ex Ethanol'!S270</f>
        <v>48.069837538755991</v>
      </c>
      <c r="T286" s="233">
        <f>('VO RD Feedstock'!M36/1000)-'Renewable Fuel Ex Ethanol'!T270</f>
        <v>86.200939486142303</v>
      </c>
      <c r="U286" s="233">
        <f>('VO RD Feedstock'!N36/1000)-'Renewable Fuel Ex Ethanol'!U270</f>
        <v>89.789718667155043</v>
      </c>
      <c r="V286" s="233">
        <f>('VO RD Feedstock'!O36/1000)-'Renewable Fuel Ex Ethanol'!V270</f>
        <v>92.48247755122695</v>
      </c>
      <c r="W286" s="233">
        <f>('VO RD Feedstock'!P36/1000)-'Renewable Fuel Ex Ethanol'!W270</f>
        <v>95.940714929949394</v>
      </c>
      <c r="X286" s="233">
        <f>('VO RD Feedstock'!Q36/1000)-'Renewable Fuel Ex Ethanol'!X270</f>
        <v>99.225333581569487</v>
      </c>
      <c r="Y286" s="233">
        <f>('VO RD Feedstock'!R36/1000)-'Renewable Fuel Ex Ethanol'!Y270</f>
        <v>100.73223359571753</v>
      </c>
      <c r="Z286" s="233">
        <f>('VO RD Feedstock'!S36/1000)-'Renewable Fuel Ex Ethanol'!Z270</f>
        <v>-102.95310438143017</v>
      </c>
      <c r="AA286" s="233">
        <f>('VO RD Feedstock'!T36/1000)-'Renewable Fuel Ex Ethanol'!AA270</f>
        <v>-102.95310438143017</v>
      </c>
      <c r="AB286" s="233">
        <f>('VO RD Feedstock'!U36/1000)-'Renewable Fuel Ex Ethanol'!AB270</f>
        <v>-102.95310438143017</v>
      </c>
      <c r="AC286" s="233">
        <f>('VO RD Feedstock'!V36/1000)-'Renewable Fuel Ex Ethanol'!AC270</f>
        <v>-102.95310438143017</v>
      </c>
      <c r="AD286" s="233">
        <f>('VO RD Feedstock'!W36/1000)-'Renewable Fuel Ex Ethanol'!AD270</f>
        <v>-102.95310438143017</v>
      </c>
      <c r="AE286" s="233">
        <f>('VO RD Feedstock'!X36/1000)-'Renewable Fuel Ex Ethanol'!AE270</f>
        <v>-102.95310438143017</v>
      </c>
      <c r="AF286" s="233">
        <f>('VO RD Feedstock'!AG36/1000)-'Renewable Fuel Ex Ethanol'!AF270</f>
        <v>-102.95310438143017</v>
      </c>
      <c r="AG286" s="233" t="e">
        <f>('VO RD Feedstock'!AH36/1000)-'Renewable Fuel Ex Ethanol'!AG270</f>
        <v>#VALUE!</v>
      </c>
      <c r="AH286" s="233">
        <f>('VO RD Feedstock'!AI36/1000)-'Renewable Fuel Ex Ethanol'!AH270</f>
        <v>-73.57310438143017</v>
      </c>
      <c r="AI286" s="233">
        <f>('VO RD Feedstock'!AJ36/1000)-'Renewable Fuel Ex Ethanol'!AI270</f>
        <v>-102.95310438143017</v>
      </c>
      <c r="AJ286" s="233">
        <f>('VO RD Feedstock'!AK36/1000)-'Renewable Fuel Ex Ethanol'!AJ270</f>
        <v>-102.95310438143017</v>
      </c>
      <c r="AK286" s="233">
        <f>('VO RD Feedstock'!AL36/1000)-'Renewable Fuel Ex Ethanol'!AK270</f>
        <v>-102.95310438143017</v>
      </c>
      <c r="AL286" s="233">
        <f>('VO RD Feedstock'!AM36/1000)-'Renewable Fuel Ex Ethanol'!AL270</f>
        <v>-102.95310438143017</v>
      </c>
      <c r="AM286" s="233">
        <f>('VO RD Feedstock'!AN36/1000)-'Renewable Fuel Ex Ethanol'!AM270</f>
        <v>-102.95310438143017</v>
      </c>
    </row>
    <row r="287" spans="1:39">
      <c r="A287" s="138" t="s">
        <v>136</v>
      </c>
      <c r="B287" s="231">
        <f t="shared" si="214"/>
        <v>8.2621114848370772E-2</v>
      </c>
      <c r="C287" s="231">
        <f t="shared" si="214"/>
        <v>0</v>
      </c>
      <c r="D287" s="231">
        <f t="shared" si="214"/>
        <v>0</v>
      </c>
      <c r="E287" s="231">
        <f t="shared" si="214"/>
        <v>1.2383555169925804</v>
      </c>
      <c r="F287" s="231">
        <f t="shared" si="214"/>
        <v>1.6475996967665396</v>
      </c>
      <c r="G287" s="231">
        <f t="shared" si="214"/>
        <v>0.41756183826144178</v>
      </c>
      <c r="H287" s="231">
        <f t="shared" si="214"/>
        <v>0.49159924436133268</v>
      </c>
      <c r="I287" s="233">
        <f>('VO RD Feedstock'!B37/1000)-'Renewable Fuel Ex Ethanol'!I271</f>
        <v>0.40300738735365726</v>
      </c>
      <c r="J287" s="233">
        <f>('VO RD Feedstock'!C37/1000)-'Renewable Fuel Ex Ethanol'!J271</f>
        <v>0.46381533055887303</v>
      </c>
      <c r="K287" s="233">
        <f>('VO RD Feedstock'!D37/1000)-'Renewable Fuel Ex Ethanol'!K271</f>
        <v>-0.40961234393675383</v>
      </c>
      <c r="L287" s="233">
        <f>('VO RD Feedstock'!E37/1000)-'Renewable Fuel Ex Ethanol'!L271</f>
        <v>1.2205604164566637</v>
      </c>
      <c r="M287" s="233">
        <f>('VO RD Feedstock'!F37/1000)-'Renewable Fuel Ex Ethanol'!M271</f>
        <v>-47.29828796278963</v>
      </c>
      <c r="N287" s="233">
        <f>('VO RD Feedstock'!G37/1000)-'Renewable Fuel Ex Ethanol'!N271</f>
        <v>12.858280829410162</v>
      </c>
      <c r="O287" s="233">
        <f>('VO RD Feedstock'!H37/1000)-'Renewable Fuel Ex Ethanol'!O271</f>
        <v>9.9256478612221457</v>
      </c>
      <c r="P287" s="233">
        <f>('VO RD Feedstock'!I37/1000)-'Renewable Fuel Ex Ethanol'!P271</f>
        <v>9.9540658853134829</v>
      </c>
      <c r="Q287" s="233">
        <f>('VO RD Feedstock'!J37/1000)-'Renewable Fuel Ex Ethanol'!Q271</f>
        <v>20.843975415413183</v>
      </c>
      <c r="R287" s="233">
        <f>('VO RD Feedstock'!K37/1000)-'Renewable Fuel Ex Ethanol'!R271</f>
        <v>20.902079978562</v>
      </c>
      <c r="S287" s="233">
        <f>('VO RD Feedstock'!L37/1000)-'Renewable Fuel Ex Ethanol'!S271</f>
        <v>30.253653437352369</v>
      </c>
      <c r="T287" s="233">
        <f>('VO RD Feedstock'!M37/1000)-'Renewable Fuel Ex Ethanol'!T271</f>
        <v>66.10568782632555</v>
      </c>
      <c r="U287" s="233">
        <f>('VO RD Feedstock'!N37/1000)-'Renewable Fuel Ex Ethanol'!U271</f>
        <v>69.087143617677469</v>
      </c>
      <c r="V287" s="233">
        <f>('VO RD Feedstock'!O37/1000)-'Renewable Fuel Ex Ethanol'!V271</f>
        <v>71.360501406365714</v>
      </c>
      <c r="W287" s="233">
        <f>('VO RD Feedstock'!P37/1000)-'Renewable Fuel Ex Ethanol'!W271</f>
        <v>74.051347668161682</v>
      </c>
      <c r="X287" s="233">
        <f>('VO RD Feedstock'!Q37/1000)-'Renewable Fuel Ex Ethanol'!X271</f>
        <v>76.740706318822149</v>
      </c>
      <c r="Y287" s="233">
        <f>('VO RD Feedstock'!R37/1000)-'Renewable Fuel Ex Ethanol'!Y271</f>
        <v>78.112343069524968</v>
      </c>
      <c r="Z287" s="233">
        <f>('VO RD Feedstock'!S37/1000)-'Renewable Fuel Ex Ethanol'!Z271</f>
        <v>-97.203504241817797</v>
      </c>
      <c r="AA287" s="233">
        <f>('VO RD Feedstock'!T37/1000)-'Renewable Fuel Ex Ethanol'!AA271</f>
        <v>-97.203504241817797</v>
      </c>
      <c r="AB287" s="233">
        <f>('VO RD Feedstock'!U37/1000)-'Renewable Fuel Ex Ethanol'!AB271</f>
        <v>-97.203504241817797</v>
      </c>
      <c r="AC287" s="233">
        <f>('VO RD Feedstock'!V37/1000)-'Renewable Fuel Ex Ethanol'!AC271</f>
        <v>-97.203504241817797</v>
      </c>
      <c r="AD287" s="233">
        <f>('VO RD Feedstock'!W37/1000)-'Renewable Fuel Ex Ethanol'!AD271</f>
        <v>-97.203504241817797</v>
      </c>
      <c r="AE287" s="233">
        <f>('VO RD Feedstock'!X37/1000)-'Renewable Fuel Ex Ethanol'!AE271</f>
        <v>-97.203504241817797</v>
      </c>
      <c r="AF287" s="233">
        <f>('VO RD Feedstock'!AG37/1000)-'Renewable Fuel Ex Ethanol'!AF271</f>
        <v>-97.203504241817797</v>
      </c>
      <c r="AG287" s="233" t="e">
        <f>('VO RD Feedstock'!AH37/1000)-'Renewable Fuel Ex Ethanol'!AG271</f>
        <v>#VALUE!</v>
      </c>
      <c r="AH287" s="233">
        <f>('VO RD Feedstock'!AI37/1000)-'Renewable Fuel Ex Ethanol'!AH271</f>
        <v>-72.0465042418178</v>
      </c>
      <c r="AI287" s="233">
        <f>('VO RD Feedstock'!AJ37/1000)-'Renewable Fuel Ex Ethanol'!AI271</f>
        <v>-97.203504241817797</v>
      </c>
      <c r="AJ287" s="233">
        <f>('VO RD Feedstock'!AK37/1000)-'Renewable Fuel Ex Ethanol'!AJ271</f>
        <v>-97.203504241817797</v>
      </c>
      <c r="AK287" s="233">
        <f>('VO RD Feedstock'!AL37/1000)-'Renewable Fuel Ex Ethanol'!AK271</f>
        <v>-97.203504241817797</v>
      </c>
      <c r="AL287" s="233">
        <f>('VO RD Feedstock'!AM37/1000)-'Renewable Fuel Ex Ethanol'!AL271</f>
        <v>-97.203504241817797</v>
      </c>
      <c r="AM287" s="233">
        <f>('VO RD Feedstock'!AN37/1000)-'Renewable Fuel Ex Ethanol'!AM271</f>
        <v>-97.203504241817797</v>
      </c>
    </row>
    <row r="288" spans="1:39">
      <c r="A288" s="138" t="s">
        <v>137</v>
      </c>
      <c r="B288" s="231">
        <f t="shared" si="214"/>
        <v>8.4008216047831027E-2</v>
      </c>
      <c r="C288" s="231">
        <f t="shared" si="214"/>
        <v>0</v>
      </c>
      <c r="D288" s="231">
        <f t="shared" si="214"/>
        <v>0</v>
      </c>
      <c r="E288" s="231">
        <f t="shared" si="214"/>
        <v>1.2682089139584682</v>
      </c>
      <c r="F288" s="231">
        <f t="shared" si="214"/>
        <v>1.6514714220710141</v>
      </c>
      <c r="G288" s="231">
        <f t="shared" si="214"/>
        <v>0.41920995976617853</v>
      </c>
      <c r="H288" s="231">
        <f t="shared" si="214"/>
        <v>0.5240096553829714</v>
      </c>
      <c r="I288" s="233">
        <f>('VO RD Feedstock'!B38/1000)-'Renewable Fuel Ex Ethanol'!I272</f>
        <v>0.83803227107123845</v>
      </c>
      <c r="J288" s="233">
        <f>('VO RD Feedstock'!C38/1000)-'Renewable Fuel Ex Ethanol'!J272</f>
        <v>0.63256914303817879</v>
      </c>
      <c r="K288" s="233">
        <f>('VO RD Feedstock'!D38/1000)-'Renewable Fuel Ex Ethanol'!K272</f>
        <v>0.99374628112264674</v>
      </c>
      <c r="L288" s="233">
        <f>('VO RD Feedstock'!E38/1000)-'Renewable Fuel Ex Ethanol'!L272</f>
        <v>-27.111463272036055</v>
      </c>
      <c r="M288" s="233">
        <f>('VO RD Feedstock'!F38/1000)-'Renewable Fuel Ex Ethanol'!M272</f>
        <v>17.834144406203635</v>
      </c>
      <c r="N288" s="233">
        <f>('VO RD Feedstock'!G38/1000)-'Renewable Fuel Ex Ethanol'!N272</f>
        <v>12.786136162184832</v>
      </c>
      <c r="O288" s="233">
        <f>('VO RD Feedstock'!H38/1000)-'Renewable Fuel Ex Ethanol'!O272</f>
        <v>12.091646497181102</v>
      </c>
      <c r="P288" s="233">
        <f>('VO RD Feedstock'!I38/1000)-'Renewable Fuel Ex Ethanol'!P272</f>
        <v>13.405099607340844</v>
      </c>
      <c r="Q288" s="233">
        <f>('VO RD Feedstock'!J38/1000)-'Renewable Fuel Ex Ethanol'!Q272</f>
        <v>28.439854826164492</v>
      </c>
      <c r="R288" s="233">
        <f>('VO RD Feedstock'!K38/1000)-'Renewable Fuel Ex Ethanol'!R272</f>
        <v>28.104479899245547</v>
      </c>
      <c r="S288" s="233">
        <f>('VO RD Feedstock'!L38/1000)-'Renewable Fuel Ex Ethanol'!S272</f>
        <v>37.864031983942624</v>
      </c>
      <c r="T288" s="233">
        <f>('VO RD Feedstock'!M38/1000)-'Renewable Fuel Ex Ethanol'!T272</f>
        <v>75.40419454425728</v>
      </c>
      <c r="U288" s="233">
        <f>('VO RD Feedstock'!N38/1000)-'Renewable Fuel Ex Ethanol'!U272</f>
        <v>79.030965634994075</v>
      </c>
      <c r="V288" s="233">
        <f>('VO RD Feedstock'!O38/1000)-'Renewable Fuel Ex Ethanol'!V272</f>
        <v>82.123388479129929</v>
      </c>
      <c r="W288" s="233">
        <f>('VO RD Feedstock'!P38/1000)-'Renewable Fuel Ex Ethanol'!W272</f>
        <v>85.21823603223956</v>
      </c>
      <c r="X288" s="233">
        <f>('VO RD Feedstock'!Q38/1000)-'Renewable Fuel Ex Ethanol'!X272</f>
        <v>88.297101874550151</v>
      </c>
      <c r="Y288" s="233">
        <f>('VO RD Feedstock'!R38/1000)-'Renewable Fuel Ex Ethanol'!Y272</f>
        <v>89.767235056501875</v>
      </c>
      <c r="Z288" s="233">
        <f>('VO RD Feedstock'!S38/1000)-'Renewable Fuel Ex Ethanol'!Z272</f>
        <v>-105.41696375497665</v>
      </c>
      <c r="AA288" s="233">
        <f>('VO RD Feedstock'!T38/1000)-'Renewable Fuel Ex Ethanol'!AA272</f>
        <v>-105.41696375497665</v>
      </c>
      <c r="AB288" s="233">
        <f>('VO RD Feedstock'!U38/1000)-'Renewable Fuel Ex Ethanol'!AB272</f>
        <v>-105.41696375497665</v>
      </c>
      <c r="AC288" s="233">
        <f>('VO RD Feedstock'!V38/1000)-'Renewable Fuel Ex Ethanol'!AC272</f>
        <v>-105.41696375497665</v>
      </c>
      <c r="AD288" s="233">
        <f>('VO RD Feedstock'!W38/1000)-'Renewable Fuel Ex Ethanol'!AD272</f>
        <v>-105.41696375497665</v>
      </c>
      <c r="AE288" s="233">
        <f>('VO RD Feedstock'!X38/1000)-'Renewable Fuel Ex Ethanol'!AE272</f>
        <v>-105.41696375497665</v>
      </c>
      <c r="AF288" s="233">
        <f>('VO RD Feedstock'!AG38/1000)-'Renewable Fuel Ex Ethanol'!AF272</f>
        <v>-105.41696375497665</v>
      </c>
      <c r="AG288" s="233" t="e">
        <f>('VO RD Feedstock'!AH38/1000)-'Renewable Fuel Ex Ethanol'!AG272</f>
        <v>#VALUE!</v>
      </c>
      <c r="AH288" s="233">
        <f>('VO RD Feedstock'!AI38/1000)-'Renewable Fuel Ex Ethanol'!AH272</f>
        <v>-75.418963754976645</v>
      </c>
      <c r="AI288" s="233">
        <f>('VO RD Feedstock'!AJ38/1000)-'Renewable Fuel Ex Ethanol'!AI272</f>
        <v>-105.41696375497665</v>
      </c>
      <c r="AJ288" s="233">
        <f>('VO RD Feedstock'!AK38/1000)-'Renewable Fuel Ex Ethanol'!AJ272</f>
        <v>-105.41696375497665</v>
      </c>
      <c r="AK288" s="233">
        <f>('VO RD Feedstock'!AL38/1000)-'Renewable Fuel Ex Ethanol'!AK272</f>
        <v>-105.41696375497665</v>
      </c>
      <c r="AL288" s="233">
        <f>('VO RD Feedstock'!AM38/1000)-'Renewable Fuel Ex Ethanol'!AL272</f>
        <v>-105.41696375497665</v>
      </c>
      <c r="AM288" s="233">
        <f>('VO RD Feedstock'!AN38/1000)-'Renewable Fuel Ex Ethanol'!AM272</f>
        <v>-105.41696375497665</v>
      </c>
    </row>
    <row r="289" spans="1:39">
      <c r="A289" s="138" t="s">
        <v>138</v>
      </c>
      <c r="B289" s="231">
        <f t="shared" si="214"/>
        <v>8.6157541104886229E-2</v>
      </c>
      <c r="C289" s="231">
        <f t="shared" si="214"/>
        <v>0</v>
      </c>
      <c r="D289" s="231">
        <f t="shared" si="214"/>
        <v>0</v>
      </c>
      <c r="E289" s="231">
        <f t="shared" si="214"/>
        <v>1.3027540436152174</v>
      </c>
      <c r="F289" s="231">
        <f t="shared" si="214"/>
        <v>1.7015617899172788</v>
      </c>
      <c r="G289" s="231">
        <f t="shared" si="214"/>
        <v>0.42163066870077154</v>
      </c>
      <c r="H289" s="231">
        <f t="shared" si="214"/>
        <v>0.54585352822195932</v>
      </c>
      <c r="I289" s="233">
        <f>('VO RD Feedstock'!B39/1000)-'Renewable Fuel Ex Ethanol'!I273</f>
        <v>0.18410240052993387</v>
      </c>
      <c r="J289" s="233">
        <f>('VO RD Feedstock'!C39/1000)-'Renewable Fuel Ex Ethanol'!J273</f>
        <v>4.2414167014673154E-2</v>
      </c>
      <c r="K289" s="233">
        <f>('VO RD Feedstock'!D39/1000)-'Renewable Fuel Ex Ethanol'!K273</f>
        <v>-26.289297222182221</v>
      </c>
      <c r="L289" s="233">
        <f>('VO RD Feedstock'!E39/1000)-'Renewable Fuel Ex Ethanol'!L273</f>
        <v>0.41561273274484023</v>
      </c>
      <c r="M289" s="233">
        <f>('VO RD Feedstock'!F39/1000)-'Renewable Fuel Ex Ethanol'!M273</f>
        <v>-19.749540918451103</v>
      </c>
      <c r="N289" s="233">
        <f>('VO RD Feedstock'!G39/1000)-'Renewable Fuel Ex Ethanol'!N273</f>
        <v>11.376732061146313</v>
      </c>
      <c r="O289" s="233">
        <f>('VO RD Feedstock'!H39/1000)-'Renewable Fuel Ex Ethanol'!O273</f>
        <v>-16.188317802655021</v>
      </c>
      <c r="P289" s="233">
        <f>('VO RD Feedstock'!I39/1000)-'Renewable Fuel Ex Ethanol'!P273</f>
        <v>-30.774710684462846</v>
      </c>
      <c r="Q289" s="233">
        <f>('VO RD Feedstock'!J39/1000)-'Renewable Fuel Ex Ethanol'!Q273</f>
        <v>-11.861227702097068</v>
      </c>
      <c r="R289" s="233">
        <f>('VO RD Feedstock'!K39/1000)-'Renewable Fuel Ex Ethanol'!R273</f>
        <v>-13.910803959685069</v>
      </c>
      <c r="S289" s="233">
        <f>('VO RD Feedstock'!L39/1000)-'Renewable Fuel Ex Ethanol'!S273</f>
        <v>-6.5417313226500369</v>
      </c>
      <c r="T289" s="233">
        <f>('VO RD Feedstock'!M39/1000)-'Renewable Fuel Ex Ethanol'!T273</f>
        <v>32.923299682694264</v>
      </c>
      <c r="U289" s="233">
        <f>('VO RD Feedstock'!N39/1000)-'Renewable Fuel Ex Ethanol'!U273</f>
        <v>34.955478005335962</v>
      </c>
      <c r="V289" s="233">
        <f>('VO RD Feedstock'!O39/1000)-'Renewable Fuel Ex Ethanol'!V273</f>
        <v>37.628434926697039</v>
      </c>
      <c r="W289" s="233">
        <f>('VO RD Feedstock'!P39/1000)-'Renewable Fuel Ex Ethanol'!W273</f>
        <v>40.059980125337233</v>
      </c>
      <c r="X289" s="233">
        <f>('VO RD Feedstock'!Q39/1000)-'Renewable Fuel Ex Ethanol'!X273</f>
        <v>42.351269390955636</v>
      </c>
      <c r="Y289" s="233">
        <f>('VO RD Feedstock'!R39/1000)-'Renewable Fuel Ex Ethanol'!Y273</f>
        <v>43.577405732785266</v>
      </c>
      <c r="Z289" s="233">
        <f>('VO RD Feedstock'!S39/1000)-'Renewable Fuel Ex Ethanol'!Z273</f>
        <v>-110.38803387475629</v>
      </c>
      <c r="AA289" s="233">
        <f>('VO RD Feedstock'!T39/1000)-'Renewable Fuel Ex Ethanol'!AA273</f>
        <v>-110.38803387475629</v>
      </c>
      <c r="AB289" s="233">
        <f>('VO RD Feedstock'!U39/1000)-'Renewable Fuel Ex Ethanol'!AB273</f>
        <v>-110.38803387475629</v>
      </c>
      <c r="AC289" s="233">
        <f>('VO RD Feedstock'!V39/1000)-'Renewable Fuel Ex Ethanol'!AC273</f>
        <v>-110.38803387475629</v>
      </c>
      <c r="AD289" s="233">
        <f>('VO RD Feedstock'!W39/1000)-'Renewable Fuel Ex Ethanol'!AD273</f>
        <v>-110.38803387475629</v>
      </c>
      <c r="AE289" s="233">
        <f>('VO RD Feedstock'!X39/1000)-'Renewable Fuel Ex Ethanol'!AE273</f>
        <v>-110.38803387475629</v>
      </c>
      <c r="AF289" s="233">
        <f>('VO RD Feedstock'!AG39/1000)-'Renewable Fuel Ex Ethanol'!AF273</f>
        <v>-110.38803387475629</v>
      </c>
      <c r="AG289" s="233" t="e">
        <f>('VO RD Feedstock'!AH39/1000)-'Renewable Fuel Ex Ethanol'!AG273</f>
        <v>#VALUE!</v>
      </c>
      <c r="AH289" s="233">
        <f>('VO RD Feedstock'!AI39/1000)-'Renewable Fuel Ex Ethanol'!AH273</f>
        <v>-79.964700541422957</v>
      </c>
      <c r="AI289" s="233">
        <f>('VO RD Feedstock'!AJ39/1000)-'Renewable Fuel Ex Ethanol'!AI273</f>
        <v>-110.38803387475629</v>
      </c>
      <c r="AJ289" s="233">
        <f>('VO RD Feedstock'!AK39/1000)-'Renewable Fuel Ex Ethanol'!AJ273</f>
        <v>-110.38803387475629</v>
      </c>
      <c r="AK289" s="233">
        <f>('VO RD Feedstock'!AL39/1000)-'Renewable Fuel Ex Ethanol'!AK273</f>
        <v>-110.38803387475629</v>
      </c>
      <c r="AL289" s="233">
        <f>('VO RD Feedstock'!AM39/1000)-'Renewable Fuel Ex Ethanol'!AL273</f>
        <v>-110.38803387475629</v>
      </c>
      <c r="AM289" s="233">
        <f>('VO RD Feedstock'!AN39/1000)-'Renewable Fuel Ex Ethanol'!AM273</f>
        <v>-110.38803387475629</v>
      </c>
    </row>
    <row r="290" spans="1:39">
      <c r="A290" s="138" t="s">
        <v>139</v>
      </c>
      <c r="B290" s="231">
        <f t="shared" si="214"/>
        <v>9.7946464369098721E-2</v>
      </c>
      <c r="C290" s="231">
        <f t="shared" si="214"/>
        <v>0</v>
      </c>
      <c r="D290" s="231">
        <f t="shared" si="214"/>
        <v>0</v>
      </c>
      <c r="E290" s="231">
        <f t="shared" si="214"/>
        <v>1.4757299369684709</v>
      </c>
      <c r="F290" s="231">
        <f t="shared" si="214"/>
        <v>1.952417762592852</v>
      </c>
      <c r="G290" s="231">
        <f t="shared" si="214"/>
        <v>0.480237727451157</v>
      </c>
      <c r="H290" s="231">
        <f t="shared" si="214"/>
        <v>0.60735889020341183</v>
      </c>
      <c r="I290" s="233">
        <f>('VO RD Feedstock'!B40/1000)-'Renewable Fuel Ex Ethanol'!I274</f>
        <v>0.9400021024437315</v>
      </c>
      <c r="J290" s="233">
        <f>('VO RD Feedstock'!C40/1000)-'Renewable Fuel Ex Ethanol'!J274</f>
        <v>0.96555387872067655</v>
      </c>
      <c r="K290" s="233">
        <f>('VO RD Feedstock'!D40/1000)-'Renewable Fuel Ex Ethanol'!K274</f>
        <v>1.0202982302031884</v>
      </c>
      <c r="L290" s="233">
        <f>('VO RD Feedstock'!E40/1000)-'Renewable Fuel Ex Ethanol'!L274</f>
        <v>-22.70137063490921</v>
      </c>
      <c r="M290" s="233">
        <f>('VO RD Feedstock'!F40/1000)-'Renewable Fuel Ex Ethanol'!M274</f>
        <v>7.0202263439079502</v>
      </c>
      <c r="N290" s="233">
        <f>('VO RD Feedstock'!G40/1000)-'Renewable Fuel Ex Ethanol'!N274</f>
        <v>18.721276360545062</v>
      </c>
      <c r="O290" s="233">
        <f>('VO RD Feedstock'!H40/1000)-'Renewable Fuel Ex Ethanol'!O274</f>
        <v>6.7929554264561176</v>
      </c>
      <c r="P290" s="233">
        <f>('VO RD Feedstock'!I40/1000)-'Renewable Fuel Ex Ethanol'!P274</f>
        <v>-4.2825476328343086</v>
      </c>
      <c r="Q290" s="233">
        <f>('VO RD Feedstock'!J40/1000)-'Renewable Fuel Ex Ethanol'!Q274</f>
        <v>17.046663225177866</v>
      </c>
      <c r="R290" s="233">
        <f>('VO RD Feedstock'!K40/1000)-'Renewable Fuel Ex Ethanol'!R274</f>
        <v>15.060513201985486</v>
      </c>
      <c r="S290" s="233">
        <f>('VO RD Feedstock'!L40/1000)-'Renewable Fuel Ex Ethanol'!S274</f>
        <v>25.123782698581039</v>
      </c>
      <c r="T290" s="233">
        <f>('VO RD Feedstock'!M40/1000)-'Renewable Fuel Ex Ethanol'!T274</f>
        <v>68.884706464220855</v>
      </c>
      <c r="U290" s="233">
        <f>('VO RD Feedstock'!N40/1000)-'Renewable Fuel Ex Ethanol'!U274</f>
        <v>71.800452078864581</v>
      </c>
      <c r="V290" s="233">
        <f>('VO RD Feedstock'!O40/1000)-'Renewable Fuel Ex Ethanol'!V274</f>
        <v>75.05431965804469</v>
      </c>
      <c r="W290" s="233">
        <f>('VO RD Feedstock'!P40/1000)-'Renewable Fuel Ex Ethanol'!W274</f>
        <v>78.22506462871246</v>
      </c>
      <c r="X290" s="233">
        <f>('VO RD Feedstock'!Q40/1000)-'Renewable Fuel Ex Ethanol'!X274</f>
        <v>81.085218895656396</v>
      </c>
      <c r="Y290" s="233">
        <f>('VO RD Feedstock'!R40/1000)-'Renewable Fuel Ex Ethanol'!Y274</f>
        <v>82.574318612715203</v>
      </c>
      <c r="Z290" s="233">
        <f>('VO RD Feedstock'!S40/1000)-'Renewable Fuel Ex Ethanol'!Z274</f>
        <v>-118.73826226495738</v>
      </c>
      <c r="AA290" s="233">
        <f>('VO RD Feedstock'!T40/1000)-'Renewable Fuel Ex Ethanol'!AA274</f>
        <v>-118.73826226495738</v>
      </c>
      <c r="AB290" s="233">
        <f>('VO RD Feedstock'!U40/1000)-'Renewable Fuel Ex Ethanol'!AB274</f>
        <v>-118.73826226495738</v>
      </c>
      <c r="AC290" s="233">
        <f>('VO RD Feedstock'!V40/1000)-'Renewable Fuel Ex Ethanol'!AC274</f>
        <v>-118.73826226495738</v>
      </c>
      <c r="AD290" s="233">
        <f>('VO RD Feedstock'!W40/1000)-'Renewable Fuel Ex Ethanol'!AD274</f>
        <v>-118.73826226495738</v>
      </c>
      <c r="AE290" s="233">
        <f>('VO RD Feedstock'!X40/1000)-'Renewable Fuel Ex Ethanol'!AE274</f>
        <v>-118.73826226495738</v>
      </c>
      <c r="AF290" s="233">
        <f>('VO RD Feedstock'!AG40/1000)-'Renewable Fuel Ex Ethanol'!AF274</f>
        <v>-118.73826226495738</v>
      </c>
      <c r="AG290" s="233" t="e">
        <f>('VO RD Feedstock'!AH40/1000)-'Renewable Fuel Ex Ethanol'!AG274</f>
        <v>#VALUE!</v>
      </c>
      <c r="AH290" s="233">
        <f>('VO RD Feedstock'!AI40/1000)-'Renewable Fuel Ex Ethanol'!AH274</f>
        <v>-85.517928931624056</v>
      </c>
      <c r="AI290" s="233">
        <f>('VO RD Feedstock'!AJ40/1000)-'Renewable Fuel Ex Ethanol'!AI274</f>
        <v>-118.73826226495738</v>
      </c>
      <c r="AJ290" s="233">
        <f>('VO RD Feedstock'!AK40/1000)-'Renewable Fuel Ex Ethanol'!AJ274</f>
        <v>-118.73826226495738</v>
      </c>
      <c r="AK290" s="233">
        <f>('VO RD Feedstock'!AL40/1000)-'Renewable Fuel Ex Ethanol'!AK274</f>
        <v>-118.73826226495738</v>
      </c>
      <c r="AL290" s="233">
        <f>('VO RD Feedstock'!AM40/1000)-'Renewable Fuel Ex Ethanol'!AL274</f>
        <v>-118.73826226495738</v>
      </c>
      <c r="AM290" s="233">
        <f>('VO RD Feedstock'!AN40/1000)-'Renewable Fuel Ex Ethanol'!AM274</f>
        <v>-118.73826226495738</v>
      </c>
    </row>
    <row r="291" spans="1:39">
      <c r="A291" s="138" t="s">
        <v>140</v>
      </c>
      <c r="B291" s="231">
        <f t="shared" si="214"/>
        <v>8.937916684087481E-2</v>
      </c>
      <c r="C291" s="231">
        <f t="shared" si="214"/>
        <v>0</v>
      </c>
      <c r="D291" s="231">
        <f t="shared" si="214"/>
        <v>0</v>
      </c>
      <c r="E291" s="231">
        <f t="shared" si="214"/>
        <v>1.3505215616099528</v>
      </c>
      <c r="F291" s="231">
        <f t="shared" si="214"/>
        <v>1.7418731249496544</v>
      </c>
      <c r="G291" s="231">
        <f t="shared" si="214"/>
        <v>0.45160758000164658</v>
      </c>
      <c r="H291" s="231">
        <f t="shared" si="214"/>
        <v>0.55824714727321301</v>
      </c>
      <c r="I291" s="233">
        <f>('VO RD Feedstock'!B41/1000)-'Renewable Fuel Ex Ethanol'!I275</f>
        <v>0.11329771179240566</v>
      </c>
      <c r="J291" s="233">
        <f>('VO RD Feedstock'!C41/1000)-'Renewable Fuel Ex Ethanol'!J275</f>
        <v>0.59126716875711338</v>
      </c>
      <c r="K291" s="233">
        <f>('VO RD Feedstock'!D41/1000)-'Renewable Fuel Ex Ethanol'!K275</f>
        <v>0.54590743487464977</v>
      </c>
      <c r="L291" s="233">
        <f>('VO RD Feedstock'!E41/1000)-'Renewable Fuel Ex Ethanol'!L275</f>
        <v>0.73917412842187247</v>
      </c>
      <c r="M291" s="233">
        <f>('VO RD Feedstock'!F41/1000)-'Renewable Fuel Ex Ethanol'!M275</f>
        <v>16.196556989185382</v>
      </c>
      <c r="N291" s="233">
        <f>('VO RD Feedstock'!G41/1000)-'Renewable Fuel Ex Ethanol'!N275</f>
        <v>31.999187248807971</v>
      </c>
      <c r="O291" s="233">
        <f>('VO RD Feedstock'!H41/1000)-'Renewable Fuel Ex Ethanol'!O275</f>
        <v>55.503523703357189</v>
      </c>
      <c r="P291" s="233">
        <f>('VO RD Feedstock'!I41/1000)-'Renewable Fuel Ex Ethanol'!P275</f>
        <v>73.60497734357304</v>
      </c>
      <c r="Q291" s="233">
        <f>('VO RD Feedstock'!J41/1000)-'Renewable Fuel Ex Ethanol'!Q275</f>
        <v>110.52477147681705</v>
      </c>
      <c r="R291" s="233">
        <f>('VO RD Feedstock'!K41/1000)-'Renewable Fuel Ex Ethanol'!R275</f>
        <v>100.81677698068196</v>
      </c>
      <c r="S291" s="233">
        <f>('VO RD Feedstock'!L41/1000)-'Renewable Fuel Ex Ethanol'!S275</f>
        <v>116.91828136549111</v>
      </c>
      <c r="T291" s="233">
        <f>('VO RD Feedstock'!M41/1000)-'Renewable Fuel Ex Ethanol'!T275</f>
        <v>159.06681424762044</v>
      </c>
      <c r="U291" s="233">
        <f>('VO RD Feedstock'!N41/1000)-'Renewable Fuel Ex Ethanol'!U275</f>
        <v>161.87767439320663</v>
      </c>
      <c r="V291" s="233">
        <f>('VO RD Feedstock'!O41/1000)-'Renewable Fuel Ex Ethanol'!V275</f>
        <v>167.03682338734774</v>
      </c>
      <c r="W291" s="233">
        <f>('VO RD Feedstock'!P41/1000)-'Renewable Fuel Ex Ethanol'!W275</f>
        <v>171.69279801649614</v>
      </c>
      <c r="X291" s="233">
        <f>('VO RD Feedstock'!Q41/1000)-'Renewable Fuel Ex Ethanol'!X275</f>
        <v>175.8821813818833</v>
      </c>
      <c r="Y291" s="233">
        <f>('VO RD Feedstock'!R41/1000)-'Renewable Fuel Ex Ethanol'!Y275</f>
        <v>178.29019088356725</v>
      </c>
      <c r="Z291" s="233">
        <f>('VO RD Feedstock'!S41/1000)-'Renewable Fuel Ex Ethanol'!Z275</f>
        <v>-107.98118359005653</v>
      </c>
      <c r="AA291" s="233">
        <f>('VO RD Feedstock'!T41/1000)-'Renewable Fuel Ex Ethanol'!AA275</f>
        <v>-107.98118359005653</v>
      </c>
      <c r="AB291" s="233">
        <f>('VO RD Feedstock'!U41/1000)-'Renewable Fuel Ex Ethanol'!AB275</f>
        <v>-107.98118359005653</v>
      </c>
      <c r="AC291" s="233">
        <f>('VO RD Feedstock'!V41/1000)-'Renewable Fuel Ex Ethanol'!AC275</f>
        <v>-107.98118359005653</v>
      </c>
      <c r="AD291" s="233">
        <f>('VO RD Feedstock'!W41/1000)-'Renewable Fuel Ex Ethanol'!AD275</f>
        <v>-107.98118359005653</v>
      </c>
      <c r="AE291" s="233">
        <f>('VO RD Feedstock'!X41/1000)-'Renewable Fuel Ex Ethanol'!AE275</f>
        <v>-107.98118359005653</v>
      </c>
      <c r="AF291" s="233">
        <f>('VO RD Feedstock'!AG41/1000)-'Renewable Fuel Ex Ethanol'!AF275</f>
        <v>-107.98118359005653</v>
      </c>
      <c r="AG291" s="233" t="e">
        <f>('VO RD Feedstock'!AH41/1000)-'Renewable Fuel Ex Ethanol'!AG275</f>
        <v>#VALUE!</v>
      </c>
      <c r="AH291" s="233">
        <f>('VO RD Feedstock'!AI41/1000)-'Renewable Fuel Ex Ethanol'!AH275</f>
        <v>-76.334516923389856</v>
      </c>
      <c r="AI291" s="233">
        <f>('VO RD Feedstock'!AJ41/1000)-'Renewable Fuel Ex Ethanol'!AI275</f>
        <v>-107.98118359005653</v>
      </c>
      <c r="AJ291" s="233">
        <f>('VO RD Feedstock'!AK41/1000)-'Renewable Fuel Ex Ethanol'!AJ275</f>
        <v>-107.98118359005653</v>
      </c>
      <c r="AK291" s="233">
        <f>('VO RD Feedstock'!AL41/1000)-'Renewable Fuel Ex Ethanol'!AK275</f>
        <v>-107.98118359005653</v>
      </c>
      <c r="AL291" s="233">
        <f>('VO RD Feedstock'!AM41/1000)-'Renewable Fuel Ex Ethanol'!AL275</f>
        <v>-107.98118359005653</v>
      </c>
      <c r="AM291" s="233">
        <f>('VO RD Feedstock'!AN41/1000)-'Renewable Fuel Ex Ethanol'!AM275</f>
        <v>-107.98118359005653</v>
      </c>
    </row>
    <row r="292" spans="1:39" ht="12" thickBot="1">
      <c r="A292" s="138" t="s">
        <v>141</v>
      </c>
      <c r="B292" s="231">
        <f t="shared" ref="B292:H292" si="215">B222</f>
        <v>1</v>
      </c>
      <c r="C292" s="231">
        <f t="shared" si="215"/>
        <v>0</v>
      </c>
      <c r="D292" s="231">
        <f t="shared" si="215"/>
        <v>0</v>
      </c>
      <c r="E292" s="231">
        <f t="shared" si="215"/>
        <v>15</v>
      </c>
      <c r="F292" s="231">
        <f t="shared" si="215"/>
        <v>20</v>
      </c>
      <c r="G292" s="231">
        <f t="shared" si="215"/>
        <v>5</v>
      </c>
      <c r="H292" s="231">
        <f t="shared" si="215"/>
        <v>6</v>
      </c>
      <c r="I292" s="232">
        <f>SUM(I280:I291)</f>
        <v>5.9196506631337975</v>
      </c>
      <c r="J292" s="232">
        <f>SUM(J280:J291)</f>
        <v>6.6427532940685232</v>
      </c>
      <c r="K292" s="233">
        <f>SUM(K280:K291)</f>
        <v>-20.500679492533443</v>
      </c>
      <c r="L292" s="233">
        <f t="shared" ref="L292:AK292" si="216">SUM(L280:L291)</f>
        <v>-43.130450023760496</v>
      </c>
      <c r="M292" s="233">
        <f t="shared" si="216"/>
        <v>18.340452716616504</v>
      </c>
      <c r="N292" s="233">
        <f t="shared" si="216"/>
        <v>181.43667751607535</v>
      </c>
      <c r="O292" s="233">
        <f t="shared" si="216"/>
        <v>220.5370120176442</v>
      </c>
      <c r="P292" s="233">
        <f t="shared" si="216"/>
        <v>274.70464185426971</v>
      </c>
      <c r="Q292" s="233">
        <f t="shared" si="216"/>
        <v>309.93776988429579</v>
      </c>
      <c r="R292" s="233">
        <f t="shared" si="216"/>
        <v>311.42571776428002</v>
      </c>
      <c r="S292" s="233">
        <f t="shared" si="216"/>
        <v>424.09429751709126</v>
      </c>
      <c r="T292" s="233">
        <f t="shared" si="216"/>
        <v>856.98158639433893</v>
      </c>
      <c r="U292" s="233">
        <f t="shared" si="216"/>
        <v>892.6343552658202</v>
      </c>
      <c r="V292" s="233">
        <f t="shared" si="216"/>
        <v>923.72972338942236</v>
      </c>
      <c r="W292" s="233">
        <f t="shared" si="216"/>
        <v>959.16852109200761</v>
      </c>
      <c r="X292" s="233">
        <f t="shared" si="216"/>
        <v>993.60812137989251</v>
      </c>
      <c r="Y292" s="233">
        <f t="shared" si="216"/>
        <v>1010.84668156186</v>
      </c>
      <c r="Z292" s="233">
        <f t="shared" si="216"/>
        <v>-1186.5164902274037</v>
      </c>
      <c r="AA292" s="233">
        <f t="shared" si="216"/>
        <v>-1186.5164902274037</v>
      </c>
      <c r="AB292" s="233">
        <f t="shared" si="216"/>
        <v>-1186.5164902274037</v>
      </c>
      <c r="AC292" s="233">
        <f t="shared" si="216"/>
        <v>-1186.5164902274037</v>
      </c>
      <c r="AD292" s="233">
        <f t="shared" si="216"/>
        <v>-1186.5164902274037</v>
      </c>
      <c r="AE292" s="233">
        <f t="shared" si="216"/>
        <v>-1186.5164902274037</v>
      </c>
      <c r="AF292" s="233">
        <f t="shared" si="216"/>
        <v>-1186.5164902274037</v>
      </c>
      <c r="AG292" s="233" t="e">
        <f t="shared" si="216"/>
        <v>#VALUE!</v>
      </c>
      <c r="AH292" s="233">
        <f t="shared" si="216"/>
        <v>-858.99182356073698</v>
      </c>
      <c r="AI292" s="233">
        <f t="shared" si="216"/>
        <v>-1186.5164902274037</v>
      </c>
      <c r="AJ292" s="233">
        <f t="shared" si="216"/>
        <v>-1186.5164902274037</v>
      </c>
      <c r="AK292" s="233">
        <f t="shared" si="216"/>
        <v>-1186.5164902274037</v>
      </c>
      <c r="AL292" s="233">
        <f>SUM(AL280:AL291)</f>
        <v>-1186.5164902274037</v>
      </c>
      <c r="AM292" s="233">
        <f>SUM(AM280:AM291)</f>
        <v>-1186.5164902274037</v>
      </c>
    </row>
    <row r="293" spans="1:39">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row>
    <row r="294" spans="1:39">
      <c r="A294" s="111" t="s">
        <v>257</v>
      </c>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row>
    <row r="295" spans="1:39" ht="12" thickBot="1">
      <c r="A295" s="168"/>
      <c r="B295" s="169">
        <f>B2</f>
        <v>2013</v>
      </c>
      <c r="C295" s="169">
        <f t="shared" ref="C295:AK295" si="217">C2</f>
        <v>2014</v>
      </c>
      <c r="D295" s="169">
        <f t="shared" si="217"/>
        <v>2015</v>
      </c>
      <c r="E295" s="169">
        <f t="shared" si="217"/>
        <v>2016</v>
      </c>
      <c r="F295" s="169">
        <f t="shared" si="217"/>
        <v>2017</v>
      </c>
      <c r="G295" s="169">
        <f t="shared" si="217"/>
        <v>2018</v>
      </c>
      <c r="H295" s="169">
        <f t="shared" si="217"/>
        <v>2019</v>
      </c>
      <c r="I295" s="169">
        <f t="shared" si="217"/>
        <v>2020</v>
      </c>
      <c r="J295" s="169">
        <f t="shared" si="217"/>
        <v>2021</v>
      </c>
      <c r="K295" s="169">
        <f t="shared" si="217"/>
        <v>2022</v>
      </c>
      <c r="L295" s="169">
        <f t="shared" si="217"/>
        <v>2023</v>
      </c>
      <c r="M295" s="169">
        <f t="shared" si="217"/>
        <v>2024</v>
      </c>
      <c r="N295" s="169">
        <f t="shared" si="217"/>
        <v>2025</v>
      </c>
      <c r="O295" s="169">
        <f t="shared" si="217"/>
        <v>2026</v>
      </c>
      <c r="P295" s="169">
        <f t="shared" si="217"/>
        <v>2027</v>
      </c>
      <c r="Q295" s="169">
        <f t="shared" si="217"/>
        <v>2028</v>
      </c>
      <c r="R295" s="169">
        <f t="shared" si="217"/>
        <v>2029</v>
      </c>
      <c r="S295" s="169">
        <f t="shared" si="217"/>
        <v>2030</v>
      </c>
      <c r="T295" s="169">
        <f t="shared" si="217"/>
        <v>2031</v>
      </c>
      <c r="U295" s="169">
        <f t="shared" si="217"/>
        <v>2032</v>
      </c>
      <c r="V295" s="169">
        <f t="shared" si="217"/>
        <v>2033</v>
      </c>
      <c r="W295" s="169">
        <f t="shared" si="217"/>
        <v>2034</v>
      </c>
      <c r="X295" s="169">
        <f t="shared" si="217"/>
        <v>2035</v>
      </c>
      <c r="Y295" s="169">
        <f t="shared" si="217"/>
        <v>2036</v>
      </c>
      <c r="Z295" s="169">
        <f t="shared" si="217"/>
        <v>2037</v>
      </c>
      <c r="AA295" s="169">
        <f t="shared" si="217"/>
        <v>2038</v>
      </c>
      <c r="AB295" s="169">
        <f t="shared" si="217"/>
        <v>2039</v>
      </c>
      <c r="AC295" s="169">
        <f t="shared" si="217"/>
        <v>2040</v>
      </c>
      <c r="AD295" s="169">
        <f t="shared" si="217"/>
        <v>2041</v>
      </c>
      <c r="AE295" s="169">
        <f t="shared" si="217"/>
        <v>2042</v>
      </c>
      <c r="AF295" s="169">
        <f t="shared" si="217"/>
        <v>2043</v>
      </c>
      <c r="AG295" s="169">
        <f t="shared" si="217"/>
        <v>2044</v>
      </c>
      <c r="AH295" s="169">
        <f t="shared" si="217"/>
        <v>2045</v>
      </c>
      <c r="AI295" s="169">
        <f t="shared" si="217"/>
        <v>2046</v>
      </c>
      <c r="AJ295" s="169">
        <f t="shared" si="217"/>
        <v>2047</v>
      </c>
      <c r="AK295" s="169">
        <f t="shared" si="217"/>
        <v>2048</v>
      </c>
      <c r="AL295" s="169">
        <f>AL2</f>
        <v>2049</v>
      </c>
      <c r="AM295" s="169">
        <f>AM2</f>
        <v>2050</v>
      </c>
    </row>
    <row r="296" spans="1:39" ht="12" thickTop="1">
      <c r="A296" s="138" t="s">
        <v>129</v>
      </c>
      <c r="B296" s="231">
        <f t="shared" ref="B296:B307" si="218">B$308*(SUM(C22:E22)/SUM(C$34:E$34))</f>
        <v>4.889518632601364</v>
      </c>
      <c r="C296" s="231">
        <f t="shared" ref="C296:H307" si="219">C$308*(SUM(D22:F22)/SUM(D$34:F$34))</f>
        <v>6.3655740417380136</v>
      </c>
      <c r="D296" s="231">
        <f t="shared" si="219"/>
        <v>10.802383078019327</v>
      </c>
      <c r="E296" s="231">
        <f t="shared" si="219"/>
        <v>3.7264954847827347</v>
      </c>
      <c r="F296" s="231">
        <f t="shared" si="219"/>
        <v>5.4237372669150155</v>
      </c>
      <c r="G296" s="231">
        <f t="shared" si="219"/>
        <v>1.4912582166240476</v>
      </c>
      <c r="H296" s="231">
        <f t="shared" si="219"/>
        <v>0</v>
      </c>
      <c r="I296" s="233">
        <f t="shared" ref="I296:AM304" si="220">I$308*(SUM(G22:I22)/SUM(G$34:I$34))</f>
        <v>1.9145792552210006</v>
      </c>
      <c r="J296" s="233">
        <f t="shared" si="220"/>
        <v>2.0700156810344339</v>
      </c>
      <c r="K296" s="233">
        <f t="shared" si="220"/>
        <v>1.695086652910093</v>
      </c>
      <c r="L296" s="233">
        <f t="shared" si="220"/>
        <v>2.1945653016000999</v>
      </c>
      <c r="M296" s="118">
        <f t="shared" si="220"/>
        <v>3.7456674611025029</v>
      </c>
      <c r="N296" s="118">
        <f t="shared" si="220"/>
        <v>3.1648318552916055</v>
      </c>
      <c r="O296" s="118">
        <f t="shared" si="220"/>
        <v>3.5403686802943977</v>
      </c>
      <c r="P296" s="118">
        <f t="shared" si="220"/>
        <v>4.6173044226621576</v>
      </c>
      <c r="Q296" s="118">
        <f t="shared" si="220"/>
        <v>5.2974048101882181</v>
      </c>
      <c r="R296" s="118">
        <f t="shared" si="220"/>
        <v>5.2030033815271519</v>
      </c>
      <c r="S296" s="118">
        <f t="shared" si="220"/>
        <v>5.5032222507504915</v>
      </c>
      <c r="T296" s="118">
        <f t="shared" si="220"/>
        <v>5.624707507637928</v>
      </c>
      <c r="U296" s="118">
        <f t="shared" si="220"/>
        <v>5.7011341787833238</v>
      </c>
      <c r="V296" s="118">
        <f t="shared" si="220"/>
        <v>5.8031250184632217</v>
      </c>
      <c r="W296" s="118">
        <f t="shared" si="220"/>
        <v>5.903204702143408</v>
      </c>
      <c r="X296" s="118">
        <f t="shared" si="220"/>
        <v>5.9959034163297309</v>
      </c>
      <c r="Y296" s="118">
        <f t="shared" si="220"/>
        <v>6.0458489874087977</v>
      </c>
      <c r="Z296" s="118">
        <f t="shared" si="220"/>
        <v>2.9455609424454634</v>
      </c>
      <c r="AA296" s="118">
        <f t="shared" si="220"/>
        <v>1.9468299410326453</v>
      </c>
      <c r="AB296" s="118">
        <f t="shared" si="220"/>
        <v>1.4540547427724313</v>
      </c>
      <c r="AC296" s="118">
        <f t="shared" si="220"/>
        <v>1.1603035958091623</v>
      </c>
      <c r="AD296" s="118">
        <f t="shared" si="220"/>
        <v>0.96527548231107907</v>
      </c>
      <c r="AE296" s="118">
        <f t="shared" si="220"/>
        <v>0.8263984725639032</v>
      </c>
      <c r="AF296" s="118">
        <f t="shared" si="220"/>
        <v>0.72244701481448237</v>
      </c>
      <c r="AG296" s="118">
        <f t="shared" si="220"/>
        <v>0.64172485183780947</v>
      </c>
      <c r="AH296" s="118">
        <f t="shared" si="220"/>
        <v>0.57723151008518114</v>
      </c>
      <c r="AI296" s="118">
        <f t="shared" si="220"/>
        <v>0.52451582091540594</v>
      </c>
      <c r="AJ296" s="118">
        <f t="shared" si="220"/>
        <v>0.48062312938130108</v>
      </c>
      <c r="AK296" s="118">
        <f t="shared" si="220"/>
        <v>0.44350960516030363</v>
      </c>
      <c r="AL296" s="118">
        <f t="shared" si="220"/>
        <v>0.41171670303360036</v>
      </c>
      <c r="AM296" s="118">
        <f t="shared" si="220"/>
        <v>0.38417711906914614</v>
      </c>
    </row>
    <row r="297" spans="1:39">
      <c r="A297" s="138" t="s">
        <v>130</v>
      </c>
      <c r="B297" s="231">
        <f t="shared" si="218"/>
        <v>4.7692222760442613</v>
      </c>
      <c r="C297" s="231">
        <f t="shared" si="219"/>
        <v>6.1885444588285452</v>
      </c>
      <c r="D297" s="231">
        <f t="shared" si="219"/>
        <v>10.539414554531723</v>
      </c>
      <c r="E297" s="231">
        <f t="shared" si="219"/>
        <v>3.6431685292834506</v>
      </c>
      <c r="F297" s="231">
        <f t="shared" si="219"/>
        <v>5.2213376201985806</v>
      </c>
      <c r="G297" s="231">
        <f t="shared" si="219"/>
        <v>1.4764171504081336</v>
      </c>
      <c r="H297" s="231">
        <f t="shared" si="219"/>
        <v>0</v>
      </c>
      <c r="I297" s="233">
        <f t="shared" si="220"/>
        <v>1.843132179930099</v>
      </c>
      <c r="J297" s="233">
        <f t="shared" si="220"/>
        <v>2.0494147955219568</v>
      </c>
      <c r="K297" s="233">
        <f t="shared" si="220"/>
        <v>1.6687895207470422</v>
      </c>
      <c r="L297" s="233">
        <f t="shared" si="220"/>
        <v>2.2384536032988427</v>
      </c>
      <c r="M297" s="118">
        <f t="shared" si="220"/>
        <v>4.4447314865181555</v>
      </c>
      <c r="N297" s="118">
        <f t="shared" si="220"/>
        <v>3.706462020023813</v>
      </c>
      <c r="O297" s="118">
        <f t="shared" si="220"/>
        <v>4.2884661740353573</v>
      </c>
      <c r="P297" s="118">
        <f t="shared" si="220"/>
        <v>5.3164313214775145</v>
      </c>
      <c r="Q297" s="118">
        <f t="shared" si="220"/>
        <v>6.2369019003091042</v>
      </c>
      <c r="R297" s="118">
        <f t="shared" si="220"/>
        <v>6.1341223461739665</v>
      </c>
      <c r="S297" s="118">
        <f t="shared" si="220"/>
        <v>6.4362100710915504</v>
      </c>
      <c r="T297" s="118">
        <f t="shared" si="220"/>
        <v>6.6102616674216028</v>
      </c>
      <c r="U297" s="118">
        <f t="shared" si="220"/>
        <v>6.6962506586699977</v>
      </c>
      <c r="V297" s="118">
        <f t="shared" si="220"/>
        <v>6.8078319206668017</v>
      </c>
      <c r="W297" s="118">
        <f t="shared" si="220"/>
        <v>6.9320650488797932</v>
      </c>
      <c r="X297" s="118">
        <f t="shared" si="220"/>
        <v>7.0391166996754038</v>
      </c>
      <c r="Y297" s="118">
        <f t="shared" si="220"/>
        <v>7.0966593717528603</v>
      </c>
      <c r="Z297" s="118">
        <f t="shared" si="220"/>
        <v>3.4581681357207086</v>
      </c>
      <c r="AA297" s="118">
        <f t="shared" si="220"/>
        <v>2.2854625818263248</v>
      </c>
      <c r="AB297" s="118">
        <f t="shared" si="220"/>
        <v>1.7069509606926798</v>
      </c>
      <c r="AC297" s="118">
        <f t="shared" si="220"/>
        <v>1.3621547997157659</v>
      </c>
      <c r="AD297" s="118">
        <f t="shared" si="220"/>
        <v>1.1331785529253098</v>
      </c>
      <c r="AE297" s="118">
        <f t="shared" si="220"/>
        <v>0.97014556082660564</v>
      </c>
      <c r="AF297" s="118">
        <f t="shared" si="220"/>
        <v>0.84811699355318859</v>
      </c>
      <c r="AG297" s="118">
        <f t="shared" si="220"/>
        <v>0.75335024716567434</v>
      </c>
      <c r="AH297" s="118">
        <f t="shared" si="220"/>
        <v>0.67763907734088924</v>
      </c>
      <c r="AI297" s="118">
        <f t="shared" si="220"/>
        <v>0.6157541440006844</v>
      </c>
      <c r="AJ297" s="118">
        <f t="shared" si="220"/>
        <v>0.56422598071079866</v>
      </c>
      <c r="AK297" s="118">
        <f t="shared" si="220"/>
        <v>0.52065681250562135</v>
      </c>
      <c r="AL297" s="118">
        <f t="shared" si="220"/>
        <v>0.48333366949221823</v>
      </c>
      <c r="AM297" s="118">
        <f t="shared" si="220"/>
        <v>0.45100358708714122</v>
      </c>
    </row>
    <row r="298" spans="1:39">
      <c r="A298" s="138" t="s">
        <v>131</v>
      </c>
      <c r="B298" s="231">
        <f t="shared" si="218"/>
        <v>4.8930687134648538</v>
      </c>
      <c r="C298" s="231">
        <f t="shared" si="219"/>
        <v>6.2993611869275128</v>
      </c>
      <c r="D298" s="231">
        <f t="shared" si="219"/>
        <v>10.764321446449015</v>
      </c>
      <c r="E298" s="231">
        <f t="shared" si="219"/>
        <v>3.7748293321738529</v>
      </c>
      <c r="F298" s="231">
        <f t="shared" si="219"/>
        <v>5.1884373233347594</v>
      </c>
      <c r="G298" s="231">
        <f t="shared" si="219"/>
        <v>1.5285829916325613</v>
      </c>
      <c r="H298" s="231">
        <f t="shared" si="219"/>
        <v>0</v>
      </c>
      <c r="I298" s="233">
        <f t="shared" si="220"/>
        <v>1.8315183751371702</v>
      </c>
      <c r="J298" s="233">
        <f t="shared" si="220"/>
        <v>2.1218262049915895</v>
      </c>
      <c r="K298" s="233">
        <f t="shared" si="220"/>
        <v>1.813612935644995</v>
      </c>
      <c r="L298" s="233">
        <f t="shared" si="220"/>
        <v>2.6594858735029225</v>
      </c>
      <c r="M298" s="118">
        <f t="shared" si="220"/>
        <v>6.5580446876531884</v>
      </c>
      <c r="N298" s="118">
        <f t="shared" si="220"/>
        <v>6.6650012765830384</v>
      </c>
      <c r="O298" s="118">
        <f t="shared" si="220"/>
        <v>8.305010602269391</v>
      </c>
      <c r="P298" s="118">
        <f t="shared" si="220"/>
        <v>10.67912006235734</v>
      </c>
      <c r="Q298" s="118">
        <f t="shared" si="220"/>
        <v>11.998691697563274</v>
      </c>
      <c r="R298" s="118">
        <f t="shared" si="220"/>
        <v>11.999091108358231</v>
      </c>
      <c r="S298" s="118">
        <f t="shared" si="220"/>
        <v>12.627936585854162</v>
      </c>
      <c r="T298" s="118">
        <f t="shared" si="220"/>
        <v>12.874585456046059</v>
      </c>
      <c r="U298" s="118">
        <f t="shared" si="220"/>
        <v>13.092489156328778</v>
      </c>
      <c r="V298" s="118">
        <f t="shared" si="220"/>
        <v>13.308622424586565</v>
      </c>
      <c r="W298" s="118">
        <f t="shared" si="220"/>
        <v>13.535693148283462</v>
      </c>
      <c r="X298" s="118">
        <f t="shared" si="220"/>
        <v>13.756010574227371</v>
      </c>
      <c r="Y298" s="118">
        <f t="shared" si="220"/>
        <v>13.866229346016089</v>
      </c>
      <c r="Z298" s="118">
        <f t="shared" si="220"/>
        <v>6.755832130866767</v>
      </c>
      <c r="AA298" s="118">
        <f t="shared" si="220"/>
        <v>4.4655807197865682</v>
      </c>
      <c r="AB298" s="118">
        <f t="shared" si="220"/>
        <v>3.335042502723701</v>
      </c>
      <c r="AC298" s="118">
        <f t="shared" si="220"/>
        <v>2.6613302130854675</v>
      </c>
      <c r="AD298" s="118">
        <f t="shared" si="220"/>
        <v>2.2140316842522161</v>
      </c>
      <c r="AE298" s="118">
        <f t="shared" si="220"/>
        <v>1.8954671924140227</v>
      </c>
      <c r="AF298" s="118">
        <f t="shared" si="220"/>
        <v>1.6570469628239501</v>
      </c>
      <c r="AG298" s="118">
        <f t="shared" si="220"/>
        <v>1.4718997714349555</v>
      </c>
      <c r="AH298" s="118">
        <f t="shared" si="220"/>
        <v>1.3239706296841112</v>
      </c>
      <c r="AI298" s="118">
        <f t="shared" si="220"/>
        <v>1.2030603979954388</v>
      </c>
      <c r="AJ298" s="118">
        <f t="shared" si="220"/>
        <v>1.1023855530753086</v>
      </c>
      <c r="AK298" s="118">
        <f t="shared" si="220"/>
        <v>1.0172593689229577</v>
      </c>
      <c r="AL298" s="118">
        <f t="shared" si="220"/>
        <v>0.944337575743185</v>
      </c>
      <c r="AM298" s="118">
        <f t="shared" si="220"/>
        <v>0.8811711341899594</v>
      </c>
    </row>
    <row r="299" spans="1:39">
      <c r="A299" s="138" t="s">
        <v>132</v>
      </c>
      <c r="B299" s="231">
        <f t="shared" si="218"/>
        <v>5.0883033846132024</v>
      </c>
      <c r="C299" s="231">
        <f t="shared" si="219"/>
        <v>6.5678569832596541</v>
      </c>
      <c r="D299" s="231">
        <f t="shared" si="219"/>
        <v>11.206218450369553</v>
      </c>
      <c r="E299" s="231">
        <f t="shared" si="219"/>
        <v>3.9140148798208458</v>
      </c>
      <c r="F299" s="231">
        <f t="shared" si="219"/>
        <v>5.4533789192504694</v>
      </c>
      <c r="G299" s="231">
        <f t="shared" si="219"/>
        <v>1.5817123119786072</v>
      </c>
      <c r="H299" s="231">
        <f t="shared" si="219"/>
        <v>0</v>
      </c>
      <c r="I299" s="233">
        <f t="shared" si="220"/>
        <v>1.9250427584954157</v>
      </c>
      <c r="J299" s="233">
        <f t="shared" si="220"/>
        <v>2.1955750199272011</v>
      </c>
      <c r="K299" s="233">
        <f t="shared" si="220"/>
        <v>1.8561045607084568</v>
      </c>
      <c r="L299" s="233">
        <f t="shared" si="220"/>
        <v>2.4371652123022187</v>
      </c>
      <c r="M299" s="118">
        <f t="shared" si="220"/>
        <v>5.5789935918719911</v>
      </c>
      <c r="N299" s="118">
        <f t="shared" si="220"/>
        <v>5.7046933392896477</v>
      </c>
      <c r="O299" s="118">
        <f t="shared" si="220"/>
        <v>7.1616496417032387</v>
      </c>
      <c r="P299" s="118">
        <f t="shared" si="220"/>
        <v>9.2924726789534304</v>
      </c>
      <c r="Q299" s="118">
        <f t="shared" si="220"/>
        <v>10.362431406138878</v>
      </c>
      <c r="R299" s="118">
        <f t="shared" si="220"/>
        <v>10.384651122627364</v>
      </c>
      <c r="S299" s="118">
        <f t="shared" si="220"/>
        <v>10.940637287286448</v>
      </c>
      <c r="T299" s="118">
        <f t="shared" si="220"/>
        <v>11.138946634560577</v>
      </c>
      <c r="U299" s="118">
        <f t="shared" si="220"/>
        <v>11.333815879538406</v>
      </c>
      <c r="V299" s="118">
        <f t="shared" si="220"/>
        <v>11.521861079559036</v>
      </c>
      <c r="W299" s="118">
        <f t="shared" si="220"/>
        <v>11.715661352141003</v>
      </c>
      <c r="X299" s="118">
        <f t="shared" si="220"/>
        <v>11.907905636004708</v>
      </c>
      <c r="Y299" s="118">
        <f t="shared" si="220"/>
        <v>12.0032178588033</v>
      </c>
      <c r="Z299" s="118">
        <f t="shared" si="220"/>
        <v>5.8479248162400292</v>
      </c>
      <c r="AA299" s="118">
        <f t="shared" si="220"/>
        <v>3.8655650433838407</v>
      </c>
      <c r="AB299" s="118">
        <f t="shared" si="220"/>
        <v>2.8869136907606339</v>
      </c>
      <c r="AC299" s="118">
        <f t="shared" si="220"/>
        <v>2.3037157810205318</v>
      </c>
      <c r="AD299" s="118">
        <f t="shared" si="220"/>
        <v>1.9165332813747036</v>
      </c>
      <c r="AE299" s="118">
        <f t="shared" si="220"/>
        <v>1.6407709937043466</v>
      </c>
      <c r="AF299" s="118">
        <f t="shared" si="220"/>
        <v>1.4343867734371627</v>
      </c>
      <c r="AG299" s="118">
        <f t="shared" si="220"/>
        <v>1.2741194144972123</v>
      </c>
      <c r="AH299" s="118">
        <f t="shared" si="220"/>
        <v>1.1460670691732231</v>
      </c>
      <c r="AI299" s="118">
        <f t="shared" si="220"/>
        <v>1.0414036817914478</v>
      </c>
      <c r="AJ299" s="118">
        <f t="shared" si="220"/>
        <v>0.95425680372775401</v>
      </c>
      <c r="AK299" s="118">
        <f t="shared" si="220"/>
        <v>0.88056902080917843</v>
      </c>
      <c r="AL299" s="118">
        <f t="shared" si="220"/>
        <v>0.81744582890422635</v>
      </c>
      <c r="AM299" s="118">
        <f t="shared" si="220"/>
        <v>0.76276715579129284</v>
      </c>
    </row>
    <row r="300" spans="1:39">
      <c r="A300" s="138" t="s">
        <v>133</v>
      </c>
      <c r="B300" s="231">
        <f t="shared" si="218"/>
        <v>5.1612103400794389</v>
      </c>
      <c r="C300" s="231">
        <f t="shared" si="219"/>
        <v>6.7180458241988443</v>
      </c>
      <c r="D300" s="231">
        <f t="shared" si="219"/>
        <v>11.371565720452782</v>
      </c>
      <c r="E300" s="231">
        <f t="shared" si="219"/>
        <v>3.9434134235601359</v>
      </c>
      <c r="F300" s="231">
        <f t="shared" si="219"/>
        <v>5.7209300594532264</v>
      </c>
      <c r="G300" s="231">
        <f t="shared" si="219"/>
        <v>1.5532362963487489</v>
      </c>
      <c r="H300" s="231">
        <f t="shared" si="219"/>
        <v>0</v>
      </c>
      <c r="I300" s="233">
        <f t="shared" si="220"/>
        <v>2.019488310986989</v>
      </c>
      <c r="J300" s="233">
        <f t="shared" si="220"/>
        <v>2.1560474597568158</v>
      </c>
      <c r="K300" s="233">
        <f t="shared" si="220"/>
        <v>1.8260615061221803</v>
      </c>
      <c r="L300" s="233">
        <f t="shared" si="220"/>
        <v>2.4681098448747494</v>
      </c>
      <c r="M300" s="118">
        <f t="shared" si="220"/>
        <v>6.0929177032142734</v>
      </c>
      <c r="N300" s="118">
        <f t="shared" si="220"/>
        <v>6.2225661550621263</v>
      </c>
      <c r="O300" s="118">
        <f t="shared" si="220"/>
        <v>7.691242339447899</v>
      </c>
      <c r="P300" s="118">
        <f t="shared" si="220"/>
        <v>9.9894962763513178</v>
      </c>
      <c r="Q300" s="118">
        <f t="shared" si="220"/>
        <v>11.178808109424462</v>
      </c>
      <c r="R300" s="118">
        <f t="shared" si="220"/>
        <v>11.173651522341823</v>
      </c>
      <c r="S300" s="118">
        <f t="shared" si="220"/>
        <v>11.778460585683673</v>
      </c>
      <c r="T300" s="118">
        <f t="shared" si="220"/>
        <v>11.997529355596663</v>
      </c>
      <c r="U300" s="118">
        <f t="shared" si="220"/>
        <v>12.20143515071698</v>
      </c>
      <c r="V300" s="118">
        <f t="shared" si="220"/>
        <v>12.406007692002538</v>
      </c>
      <c r="W300" s="118">
        <f t="shared" si="220"/>
        <v>12.615273405138337</v>
      </c>
      <c r="X300" s="118">
        <f t="shared" si="220"/>
        <v>12.821157797389807</v>
      </c>
      <c r="Y300" s="118">
        <f t="shared" si="220"/>
        <v>12.924329475736954</v>
      </c>
      <c r="Z300" s="118">
        <f t="shared" si="220"/>
        <v>6.2966914557130549</v>
      </c>
      <c r="AA300" s="118">
        <f t="shared" si="220"/>
        <v>4.1621455209342715</v>
      </c>
      <c r="AB300" s="118">
        <f t="shared" si="220"/>
        <v>3.108438027624191</v>
      </c>
      <c r="AC300" s="118">
        <f t="shared" si="220"/>
        <v>2.4804853760614214</v>
      </c>
      <c r="AD300" s="118">
        <f t="shared" si="220"/>
        <v>2.06358891357847</v>
      </c>
      <c r="AE300" s="118">
        <f t="shared" si="220"/>
        <v>1.7666708324417983</v>
      </c>
      <c r="AF300" s="118">
        <f t="shared" si="220"/>
        <v>1.5444494311432466</v>
      </c>
      <c r="AG300" s="118">
        <f t="shared" si="220"/>
        <v>1.3718841452086112</v>
      </c>
      <c r="AH300" s="118">
        <f t="shared" si="220"/>
        <v>1.2340066453157916</v>
      </c>
      <c r="AI300" s="118">
        <f t="shared" si="220"/>
        <v>1.1213120912663017</v>
      </c>
      <c r="AJ300" s="118">
        <f t="shared" si="220"/>
        <v>1.0274782878626278</v>
      </c>
      <c r="AK300" s="118">
        <f t="shared" si="220"/>
        <v>0.94813639794637161</v>
      </c>
      <c r="AL300" s="118">
        <f t="shared" si="220"/>
        <v>0.88016963662437087</v>
      </c>
      <c r="AM300" s="118">
        <f t="shared" si="220"/>
        <v>0.82129539184557165</v>
      </c>
    </row>
    <row r="301" spans="1:39">
      <c r="A301" s="138" t="s">
        <v>134</v>
      </c>
      <c r="B301" s="231">
        <f t="shared" si="218"/>
        <v>5.5428204259484781</v>
      </c>
      <c r="C301" s="231">
        <f t="shared" si="219"/>
        <v>7.143021546984702</v>
      </c>
      <c r="D301" s="231">
        <f t="shared" si="219"/>
        <v>12.222548839365349</v>
      </c>
      <c r="E301" s="231">
        <f t="shared" si="219"/>
        <v>4.2642377112108347</v>
      </c>
      <c r="F301" s="231">
        <f t="shared" si="219"/>
        <v>5.9016161779510563</v>
      </c>
      <c r="G301" s="231">
        <f t="shared" si="219"/>
        <v>1.7450960638507031</v>
      </c>
      <c r="H301" s="231">
        <f t="shared" si="219"/>
        <v>0</v>
      </c>
      <c r="I301" s="233">
        <f t="shared" si="220"/>
        <v>2.0832705108167229</v>
      </c>
      <c r="J301" s="233">
        <f t="shared" si="220"/>
        <v>2.4223680223940174</v>
      </c>
      <c r="K301" s="233">
        <f t="shared" si="220"/>
        <v>2.0148143748925098</v>
      </c>
      <c r="L301" s="233">
        <f t="shared" si="220"/>
        <v>2.9182340754746878</v>
      </c>
      <c r="M301" s="118">
        <f t="shared" si="220"/>
        <v>7.5042029052995236</v>
      </c>
      <c r="N301" s="118">
        <f t="shared" si="220"/>
        <v>7.7356094603742278</v>
      </c>
      <c r="O301" s="118">
        <f t="shared" si="220"/>
        <v>9.6906568399630792</v>
      </c>
      <c r="P301" s="118">
        <f t="shared" si="220"/>
        <v>12.386520571093374</v>
      </c>
      <c r="Q301" s="118">
        <f t="shared" si="220"/>
        <v>13.948792371825519</v>
      </c>
      <c r="R301" s="118">
        <f t="shared" si="220"/>
        <v>13.954630887458874</v>
      </c>
      <c r="S301" s="118">
        <f t="shared" si="220"/>
        <v>14.671405516432282</v>
      </c>
      <c r="T301" s="118">
        <f t="shared" si="220"/>
        <v>14.965880410270495</v>
      </c>
      <c r="U301" s="118">
        <f t="shared" si="220"/>
        <v>15.218812503227481</v>
      </c>
      <c r="V301" s="118">
        <f t="shared" si="220"/>
        <v>15.467616916835127</v>
      </c>
      <c r="W301" s="118">
        <f t="shared" si="220"/>
        <v>15.733283290598861</v>
      </c>
      <c r="X301" s="118">
        <f t="shared" si="220"/>
        <v>15.989012287448205</v>
      </c>
      <c r="Y301" s="118">
        <f t="shared" si="220"/>
        <v>16.116769688186409</v>
      </c>
      <c r="Z301" s="118">
        <f t="shared" si="220"/>
        <v>7.8525015444737356</v>
      </c>
      <c r="AA301" s="118">
        <f t="shared" si="220"/>
        <v>5.1904369891166233</v>
      </c>
      <c r="AB301" s="118">
        <f t="shared" si="220"/>
        <v>3.8763796061936628</v>
      </c>
      <c r="AC301" s="118">
        <f t="shared" si="220"/>
        <v>3.0933243484230837</v>
      </c>
      <c r="AD301" s="118">
        <f t="shared" si="220"/>
        <v>2.5734142345688107</v>
      </c>
      <c r="AE301" s="118">
        <f t="shared" si="220"/>
        <v>2.2031400318869863</v>
      </c>
      <c r="AF301" s="118">
        <f t="shared" si="220"/>
        <v>1.9260206893917504</v>
      </c>
      <c r="AG301" s="118">
        <f t="shared" si="220"/>
        <v>1.7108194561625103</v>
      </c>
      <c r="AH301" s="118">
        <f t="shared" si="220"/>
        <v>1.5388784534316058</v>
      </c>
      <c r="AI301" s="118">
        <f t="shared" si="220"/>
        <v>1.3983421377462211</v>
      </c>
      <c r="AJ301" s="118">
        <f t="shared" si="220"/>
        <v>1.2813255551637399</v>
      </c>
      <c r="AK301" s="118">
        <f t="shared" si="220"/>
        <v>1.1823816577650526</v>
      </c>
      <c r="AL301" s="118">
        <f t="shared" si="220"/>
        <v>1.0976231603485125</v>
      </c>
      <c r="AM301" s="118">
        <f t="shared" si="220"/>
        <v>1.0242034769035868</v>
      </c>
    </row>
    <row r="302" spans="1:39">
      <c r="A302" s="138" t="s">
        <v>135</v>
      </c>
      <c r="B302" s="231">
        <f t="shared" si="218"/>
        <v>6.0485435185294074</v>
      </c>
      <c r="C302" s="231">
        <f t="shared" si="219"/>
        <v>7.859367452868244</v>
      </c>
      <c r="D302" s="231">
        <f t="shared" si="219"/>
        <v>13.367582875973177</v>
      </c>
      <c r="E302" s="231">
        <f t="shared" si="219"/>
        <v>4.6152740620191839</v>
      </c>
      <c r="F302" s="231">
        <f t="shared" si="219"/>
        <v>6.6583293458562105</v>
      </c>
      <c r="G302" s="231">
        <f t="shared" si="219"/>
        <v>1.8627058724324144</v>
      </c>
      <c r="H302" s="231">
        <f t="shared" si="219"/>
        <v>0</v>
      </c>
      <c r="I302" s="233">
        <f t="shared" si="220"/>
        <v>2.3503902590872423</v>
      </c>
      <c r="J302" s="233">
        <f t="shared" si="220"/>
        <v>2.5856222095586912</v>
      </c>
      <c r="K302" s="233">
        <f t="shared" si="220"/>
        <v>2.1054354274543901</v>
      </c>
      <c r="L302" s="233">
        <f t="shared" si="220"/>
        <v>2.7765547261802301</v>
      </c>
      <c r="M302" s="118">
        <f t="shared" si="220"/>
        <v>6.5058136888566205</v>
      </c>
      <c r="N302" s="118">
        <f t="shared" si="220"/>
        <v>6.8098155144559431</v>
      </c>
      <c r="O302" s="118">
        <f t="shared" si="220"/>
        <v>8.42642113101458</v>
      </c>
      <c r="P302" s="118">
        <f t="shared" si="220"/>
        <v>10.980616859738193</v>
      </c>
      <c r="Q302" s="118">
        <f t="shared" si="220"/>
        <v>12.259377226407953</v>
      </c>
      <c r="R302" s="118">
        <f t="shared" si="220"/>
        <v>12.259781342154458</v>
      </c>
      <c r="S302" s="118">
        <f t="shared" si="220"/>
        <v>12.92901601268739</v>
      </c>
      <c r="T302" s="118">
        <f t="shared" si="220"/>
        <v>13.163631399099287</v>
      </c>
      <c r="U302" s="118">
        <f t="shared" si="220"/>
        <v>13.389375813705463</v>
      </c>
      <c r="V302" s="118">
        <f t="shared" si="220"/>
        <v>13.614490102707483</v>
      </c>
      <c r="W302" s="118">
        <f t="shared" si="220"/>
        <v>13.843036090902912</v>
      </c>
      <c r="X302" s="118">
        <f t="shared" si="220"/>
        <v>14.069488489261641</v>
      </c>
      <c r="Y302" s="118">
        <f t="shared" si="220"/>
        <v>14.182722872635791</v>
      </c>
      <c r="Z302" s="118">
        <f t="shared" si="220"/>
        <v>6.9096845919299748</v>
      </c>
      <c r="AA302" s="118">
        <f t="shared" si="220"/>
        <v>4.5673758400081859</v>
      </c>
      <c r="AB302" s="118">
        <f t="shared" si="220"/>
        <v>3.411074296311527</v>
      </c>
      <c r="AC302" s="118">
        <f t="shared" si="220"/>
        <v>2.7219789328429722</v>
      </c>
      <c r="AD302" s="118">
        <f t="shared" si="220"/>
        <v>2.2644984826906103</v>
      </c>
      <c r="AE302" s="118">
        <f t="shared" si="220"/>
        <v>1.9386717103123448</v>
      </c>
      <c r="AF302" s="118">
        <f t="shared" si="220"/>
        <v>1.6948146782495868</v>
      </c>
      <c r="AG302" s="118">
        <f t="shared" si="220"/>
        <v>1.5054492011457785</v>
      </c>
      <c r="AH302" s="118">
        <f t="shared" si="220"/>
        <v>1.3541479205698401</v>
      </c>
      <c r="AI302" s="118">
        <f t="shared" si="220"/>
        <v>1.2304815480063573</v>
      </c>
      <c r="AJ302" s="118">
        <f t="shared" si="220"/>
        <v>1.1275122764461436</v>
      </c>
      <c r="AK302" s="118">
        <f t="shared" si="220"/>
        <v>1.0404457262257643</v>
      </c>
      <c r="AL302" s="118">
        <f t="shared" si="220"/>
        <v>0.96586181144144989</v>
      </c>
      <c r="AM302" s="118">
        <f t="shared" si="220"/>
        <v>0.90125565502259286</v>
      </c>
    </row>
    <row r="303" spans="1:39">
      <c r="A303" s="138" t="s">
        <v>136</v>
      </c>
      <c r="B303" s="231">
        <f t="shared" si="218"/>
        <v>5.3703724651440998</v>
      </c>
      <c r="C303" s="231">
        <f t="shared" si="219"/>
        <v>6.9351760067566559</v>
      </c>
      <c r="D303" s="231">
        <f t="shared" si="219"/>
        <v>11.833051489335755</v>
      </c>
      <c r="E303" s="231">
        <f t="shared" si="219"/>
        <v>4.1278517233086021</v>
      </c>
      <c r="F303" s="231">
        <f t="shared" si="219"/>
        <v>5.7665989386828889</v>
      </c>
      <c r="G303" s="231">
        <f t="shared" si="219"/>
        <v>1.6702473530457671</v>
      </c>
      <c r="H303" s="231">
        <f t="shared" si="219"/>
        <v>0</v>
      </c>
      <c r="I303" s="233">
        <f t="shared" si="220"/>
        <v>2.0356094253550596</v>
      </c>
      <c r="J303" s="233">
        <f t="shared" si="220"/>
        <v>2.3184705193699049</v>
      </c>
      <c r="K303" s="233">
        <f t="shared" si="220"/>
        <v>1.9496012708881671</v>
      </c>
      <c r="L303" s="233">
        <f t="shared" si="220"/>
        <v>2.6819182285069578</v>
      </c>
      <c r="M303" s="118">
        <f t="shared" si="220"/>
        <v>5.8333169880883569</v>
      </c>
      <c r="N303" s="118">
        <f t="shared" si="220"/>
        <v>5.9851853057982343</v>
      </c>
      <c r="O303" s="118">
        <f t="shared" si="220"/>
        <v>7.3805517603643409</v>
      </c>
      <c r="P303" s="118">
        <f t="shared" si="220"/>
        <v>9.6769420726540964</v>
      </c>
      <c r="Q303" s="118">
        <f t="shared" si="220"/>
        <v>10.773121098272174</v>
      </c>
      <c r="R303" s="118">
        <f t="shared" si="220"/>
        <v>10.773070869964878</v>
      </c>
      <c r="S303" s="118">
        <f t="shared" si="220"/>
        <v>11.372026183101042</v>
      </c>
      <c r="T303" s="118">
        <f t="shared" si="220"/>
        <v>11.571250985507508</v>
      </c>
      <c r="U303" s="118">
        <f t="shared" si="220"/>
        <v>11.770793485806538</v>
      </c>
      <c r="V303" s="118">
        <f t="shared" si="220"/>
        <v>11.970369216057493</v>
      </c>
      <c r="W303" s="118">
        <f t="shared" si="220"/>
        <v>12.169814876118425</v>
      </c>
      <c r="X303" s="118">
        <f t="shared" si="220"/>
        <v>12.369336720245942</v>
      </c>
      <c r="Y303" s="118">
        <f t="shared" si="220"/>
        <v>12.469098666917873</v>
      </c>
      <c r="Z303" s="118">
        <f t="shared" si="220"/>
        <v>6.0746833836620899</v>
      </c>
      <c r="AA303" s="118">
        <f t="shared" si="220"/>
        <v>4.0154702028992384</v>
      </c>
      <c r="AB303" s="118">
        <f t="shared" si="220"/>
        <v>2.9988956481236966</v>
      </c>
      <c r="AC303" s="118">
        <f t="shared" si="220"/>
        <v>2.3930577445644734</v>
      </c>
      <c r="AD303" s="118">
        <f t="shared" si="220"/>
        <v>1.9908633470159942</v>
      </c>
      <c r="AE303" s="118">
        <f t="shared" si="220"/>
        <v>1.7044081803562547</v>
      </c>
      <c r="AF303" s="118">
        <f t="shared" si="220"/>
        <v>1.4900171741641628</v>
      </c>
      <c r="AG303" s="118">
        <f t="shared" si="220"/>
        <v>1.3235348343696924</v>
      </c>
      <c r="AH303" s="118">
        <f t="shared" si="220"/>
        <v>1.1905162531219369</v>
      </c>
      <c r="AI303" s="118">
        <f t="shared" si="220"/>
        <v>1.0817933035244176</v>
      </c>
      <c r="AJ303" s="118">
        <f t="shared" si="220"/>
        <v>0.99126667112313493</v>
      </c>
      <c r="AK303" s="118">
        <f t="shared" si="220"/>
        <v>0.91472098100584598</v>
      </c>
      <c r="AL303" s="118">
        <f t="shared" si="220"/>
        <v>0.84914958417059838</v>
      </c>
      <c r="AM303" s="118">
        <f t="shared" si="220"/>
        <v>0.79235028145210751</v>
      </c>
    </row>
    <row r="304" spans="1:39">
      <c r="A304" s="138" t="s">
        <v>137</v>
      </c>
      <c r="B304" s="231">
        <f t="shared" si="218"/>
        <v>5.4605340431090168</v>
      </c>
      <c r="C304" s="231">
        <f t="shared" si="219"/>
        <v>7.0269558163820944</v>
      </c>
      <c r="D304" s="231">
        <f t="shared" si="219"/>
        <v>11.967836403740641</v>
      </c>
      <c r="E304" s="231">
        <f t="shared" si="219"/>
        <v>4.2273630465282279</v>
      </c>
      <c r="F304" s="231">
        <f t="shared" si="219"/>
        <v>5.7801499772485494</v>
      </c>
      <c r="G304" s="231">
        <f t="shared" si="219"/>
        <v>1.6768398390647141</v>
      </c>
      <c r="H304" s="231">
        <f t="shared" si="219"/>
        <v>0</v>
      </c>
      <c r="I304" s="233">
        <f t="shared" si="220"/>
        <v>2.0403929419687379</v>
      </c>
      <c r="J304" s="233">
        <f t="shared" si="220"/>
        <v>2.3276215498782995</v>
      </c>
      <c r="K304" s="233">
        <f t="shared" si="220"/>
        <v>2.078135598885122</v>
      </c>
      <c r="L304" s="233">
        <f t="shared" si="220"/>
        <v>2.814484433581026</v>
      </c>
      <c r="M304" s="118">
        <f t="shared" si="220"/>
        <v>6.5352365490783546</v>
      </c>
      <c r="N304" s="118">
        <f t="shared" si="220"/>
        <v>6.4654504019464012</v>
      </c>
      <c r="O304" s="118">
        <f t="shared" si="220"/>
        <v>8.1371998829213386</v>
      </c>
      <c r="P304" s="118">
        <f t="shared" ref="P304:AM307" si="221">P$308*(SUM(N30:P30)/SUM(N$34:P$34))</f>
        <v>10.532668652417014</v>
      </c>
      <c r="Q304" s="118">
        <f t="shared" si="221"/>
        <v>11.755153574105551</v>
      </c>
      <c r="R304" s="118">
        <f t="shared" si="221"/>
        <v>11.782895973289413</v>
      </c>
      <c r="S304" s="118">
        <f t="shared" si="221"/>
        <v>12.408640865455876</v>
      </c>
      <c r="T304" s="118">
        <f t="shared" si="221"/>
        <v>12.636103488235802</v>
      </c>
      <c r="U304" s="118">
        <f t="shared" si="221"/>
        <v>12.857186741295957</v>
      </c>
      <c r="V304" s="118">
        <f t="shared" si="221"/>
        <v>13.069630108934575</v>
      </c>
      <c r="W304" s="118">
        <f t="shared" si="221"/>
        <v>13.290046203065661</v>
      </c>
      <c r="X304" s="118">
        <f t="shared" si="221"/>
        <v>13.508030882855426</v>
      </c>
      <c r="Y304" s="118">
        <f t="shared" si="221"/>
        <v>13.61601742120973</v>
      </c>
      <c r="Z304" s="118">
        <f t="shared" si="221"/>
        <v>6.6337335214325783</v>
      </c>
      <c r="AA304" s="118">
        <f t="shared" si="221"/>
        <v>4.3849847685802681</v>
      </c>
      <c r="AB304" s="118">
        <f t="shared" si="221"/>
        <v>3.274827171667051</v>
      </c>
      <c r="AC304" s="118">
        <f t="shared" si="221"/>
        <v>2.6132695462754323</v>
      </c>
      <c r="AD304" s="118">
        <f t="shared" si="221"/>
        <v>2.174059196048181</v>
      </c>
      <c r="AE304" s="118">
        <f t="shared" si="221"/>
        <v>1.8612423884237372</v>
      </c>
      <c r="AF304" s="118">
        <f t="shared" si="221"/>
        <v>1.6271266696056623</v>
      </c>
      <c r="AG304" s="118">
        <f t="shared" si="221"/>
        <v>1.4453237929011797</v>
      </c>
      <c r="AH304" s="118">
        <f t="shared" si="221"/>
        <v>1.3000649771985111</v>
      </c>
      <c r="AI304" s="118">
        <f t="shared" si="221"/>
        <v>1.1813379449910428</v>
      </c>
      <c r="AJ304" s="118">
        <f t="shared" si="221"/>
        <v>1.08248103116437</v>
      </c>
      <c r="AK304" s="118">
        <f t="shared" si="221"/>
        <v>0.99889177202551682</v>
      </c>
      <c r="AL304" s="118">
        <f t="shared" si="221"/>
        <v>0.92728667306562929</v>
      </c>
      <c r="AM304" s="118">
        <f t="shared" si="221"/>
        <v>0.86526077724437445</v>
      </c>
    </row>
    <row r="305" spans="1:39">
      <c r="A305" s="138" t="s">
        <v>138</v>
      </c>
      <c r="B305" s="231">
        <f t="shared" si="218"/>
        <v>5.6002401718176049</v>
      </c>
      <c r="C305" s="231">
        <f t="shared" si="219"/>
        <v>7.2148608286602407</v>
      </c>
      <c r="D305" s="231">
        <f t="shared" si="219"/>
        <v>12.238423900785435</v>
      </c>
      <c r="E305" s="231">
        <f t="shared" si="219"/>
        <v>4.3425134787173914</v>
      </c>
      <c r="F305" s="231">
        <f t="shared" si="219"/>
        <v>5.9554662647104761</v>
      </c>
      <c r="G305" s="231">
        <f t="shared" si="219"/>
        <v>1.6865226748030862</v>
      </c>
      <c r="H305" s="231">
        <f t="shared" si="219"/>
        <v>0</v>
      </c>
      <c r="I305" s="233">
        <f t="shared" ref="I305:O307" si="222">I$308*(SUM(G31:I31)/SUM(G$34:I$34))</f>
        <v>2.1022795914427981</v>
      </c>
      <c r="J305" s="233">
        <f t="shared" si="222"/>
        <v>2.3410622951441904</v>
      </c>
      <c r="K305" s="233">
        <f t="shared" si="222"/>
        <v>2.1647647846222515</v>
      </c>
      <c r="L305" s="233">
        <f t="shared" si="222"/>
        <v>2.9565893967539085</v>
      </c>
      <c r="M305" s="118">
        <f t="shared" si="222"/>
        <v>5.4499523007275306</v>
      </c>
      <c r="N305" s="118">
        <f t="shared" si="222"/>
        <v>5.2103419297920261</v>
      </c>
      <c r="O305" s="118">
        <f t="shared" si="222"/>
        <v>6.3134473382302803</v>
      </c>
      <c r="P305" s="118">
        <f t="shared" si="221"/>
        <v>8.5515918128835402</v>
      </c>
      <c r="Q305" s="118">
        <f t="shared" si="221"/>
        <v>9.3767161397908723</v>
      </c>
      <c r="R305" s="118">
        <f t="shared" si="221"/>
        <v>9.3762670960088492</v>
      </c>
      <c r="S305" s="118">
        <f t="shared" si="221"/>
        <v>9.9474489359890743</v>
      </c>
      <c r="T305" s="118">
        <f t="shared" si="221"/>
        <v>10.088517442283964</v>
      </c>
      <c r="U305" s="118">
        <f t="shared" si="221"/>
        <v>10.267896750221908</v>
      </c>
      <c r="V305" s="118">
        <f t="shared" si="221"/>
        <v>10.44961080701866</v>
      </c>
      <c r="W305" s="118">
        <f t="shared" si="221"/>
        <v>10.616764412860887</v>
      </c>
      <c r="X305" s="118">
        <f t="shared" si="221"/>
        <v>10.792915826446972</v>
      </c>
      <c r="Y305" s="118">
        <f t="shared" si="221"/>
        <v>10.880908419288675</v>
      </c>
      <c r="Z305" s="118">
        <f t="shared" si="221"/>
        <v>5.3003033627402534</v>
      </c>
      <c r="AA305" s="118">
        <f t="shared" si="221"/>
        <v>3.5037753957475641</v>
      </c>
      <c r="AB305" s="118">
        <f t="shared" si="221"/>
        <v>2.616758816297303</v>
      </c>
      <c r="AC305" s="118">
        <f t="shared" si="221"/>
        <v>2.0880758450621655</v>
      </c>
      <c r="AD305" s="118">
        <f t="shared" si="221"/>
        <v>1.7371602338872481</v>
      </c>
      <c r="AE305" s="118">
        <f t="shared" si="221"/>
        <v>1.4872074891636067</v>
      </c>
      <c r="AF305" s="118">
        <f t="shared" si="221"/>
        <v>1.3001329507075015</v>
      </c>
      <c r="AG305" s="118">
        <f t="shared" si="221"/>
        <v>1.1548697355471447</v>
      </c>
      <c r="AH305" s="118">
        <f t="shared" si="221"/>
        <v>1.0388017802666214</v>
      </c>
      <c r="AI305" s="118">
        <f t="shared" si="221"/>
        <v>0.94393360136756377</v>
      </c>
      <c r="AJ305" s="118">
        <f t="shared" si="221"/>
        <v>0.86494378749720113</v>
      </c>
      <c r="AK305" s="118">
        <f t="shared" si="221"/>
        <v>0.798152610275914</v>
      </c>
      <c r="AL305" s="118">
        <f t="shared" si="221"/>
        <v>0.74093733569030973</v>
      </c>
      <c r="AM305" s="118">
        <f t="shared" si="221"/>
        <v>0.6913763745048932</v>
      </c>
    </row>
    <row r="306" spans="1:39">
      <c r="A306" s="138" t="s">
        <v>139</v>
      </c>
      <c r="B306" s="231">
        <f t="shared" si="218"/>
        <v>6.3665201839914172</v>
      </c>
      <c r="C306" s="231">
        <f t="shared" si="219"/>
        <v>8.2207551409798167</v>
      </c>
      <c r="D306" s="231">
        <f t="shared" si="219"/>
        <v>13.943708912542192</v>
      </c>
      <c r="E306" s="231">
        <f t="shared" si="219"/>
        <v>4.9190997898949025</v>
      </c>
      <c r="F306" s="231">
        <f t="shared" si="219"/>
        <v>6.8334621690749824</v>
      </c>
      <c r="G306" s="231">
        <f t="shared" si="219"/>
        <v>1.920950909804628</v>
      </c>
      <c r="H306" s="231">
        <f t="shared" si="219"/>
        <v>0</v>
      </c>
      <c r="I306" s="233">
        <f t="shared" si="222"/>
        <v>2.4122121456834686</v>
      </c>
      <c r="J306" s="233">
        <f t="shared" si="222"/>
        <v>2.6664721518147441</v>
      </c>
      <c r="K306" s="233">
        <f t="shared" si="222"/>
        <v>2.4086848745346359</v>
      </c>
      <c r="L306" s="233">
        <f t="shared" si="222"/>
        <v>3.4257160352199878</v>
      </c>
      <c r="M306" s="118">
        <f t="shared" si="222"/>
        <v>6.9149866344463415</v>
      </c>
      <c r="N306" s="118">
        <f t="shared" si="222"/>
        <v>6.7683064647810101</v>
      </c>
      <c r="O306" s="118">
        <f t="shared" si="222"/>
        <v>8.1893249641493391</v>
      </c>
      <c r="P306" s="118">
        <f t="shared" si="221"/>
        <v>10.939130603026753</v>
      </c>
      <c r="Q306" s="118">
        <f t="shared" si="221"/>
        <v>12.101374543663807</v>
      </c>
      <c r="R306" s="118">
        <f t="shared" si="221"/>
        <v>12.082087946610425</v>
      </c>
      <c r="S306" s="118">
        <f t="shared" si="221"/>
        <v>12.793681148509389</v>
      </c>
      <c r="T306" s="118">
        <f t="shared" si="221"/>
        <v>12.997772988265302</v>
      </c>
      <c r="U306" s="118">
        <f t="shared" si="221"/>
        <v>13.22187262680611</v>
      </c>
      <c r="V306" s="118">
        <f t="shared" si="221"/>
        <v>13.452873349279281</v>
      </c>
      <c r="W306" s="118">
        <f t="shared" si="221"/>
        <v>13.672449377891668</v>
      </c>
      <c r="X306" s="118">
        <f t="shared" si="221"/>
        <v>13.897367068495802</v>
      </c>
      <c r="Y306" s="118">
        <f t="shared" si="221"/>
        <v>14.010484638394441</v>
      </c>
      <c r="Z306" s="118">
        <f t="shared" si="221"/>
        <v>6.8251558657353151</v>
      </c>
      <c r="AA306" s="118">
        <f t="shared" si="221"/>
        <v>4.5116367032272109</v>
      </c>
      <c r="AB306" s="118">
        <f t="shared" si="221"/>
        <v>3.3694803898041221</v>
      </c>
      <c r="AC306" s="118">
        <f t="shared" si="221"/>
        <v>2.6887427442714089</v>
      </c>
      <c r="AD306" s="118">
        <f t="shared" si="221"/>
        <v>2.2368656805820741</v>
      </c>
      <c r="AE306" s="118">
        <f t="shared" si="221"/>
        <v>1.9150155838529068</v>
      </c>
      <c r="AF306" s="118">
        <f t="shared" si="221"/>
        <v>1.6741293790936904</v>
      </c>
      <c r="AG306" s="118">
        <f t="shared" si="221"/>
        <v>1.4870777531112065</v>
      </c>
      <c r="AH306" s="118">
        <f t="shared" si="221"/>
        <v>1.3376225380876998</v>
      </c>
      <c r="AI306" s="118">
        <f t="shared" si="221"/>
        <v>1.2154648008557916</v>
      </c>
      <c r="AJ306" s="118">
        <f t="shared" si="221"/>
        <v>1.1137525722088937</v>
      </c>
      <c r="AK306" s="118">
        <f t="shared" si="221"/>
        <v>1.0277484443047571</v>
      </c>
      <c r="AL306" s="118">
        <f t="shared" si="221"/>
        <v>0.95407467529304191</v>
      </c>
      <c r="AM306" s="118">
        <f t="shared" si="221"/>
        <v>0.89025701921919331</v>
      </c>
    </row>
    <row r="307" spans="1:39">
      <c r="A307" s="138" t="s">
        <v>140</v>
      </c>
      <c r="B307" s="231">
        <f t="shared" si="218"/>
        <v>5.8096458446568624</v>
      </c>
      <c r="C307" s="231">
        <f t="shared" si="219"/>
        <v>7.4604807124156842</v>
      </c>
      <c r="D307" s="231">
        <f t="shared" si="219"/>
        <v>12.74294432843506</v>
      </c>
      <c r="E307" s="231">
        <f t="shared" si="219"/>
        <v>4.5017385386998425</v>
      </c>
      <c r="F307" s="231">
        <f t="shared" si="219"/>
        <v>6.0965559373237905</v>
      </c>
      <c r="G307" s="231">
        <f t="shared" si="219"/>
        <v>1.8064303200065863</v>
      </c>
      <c r="H307" s="231">
        <f t="shared" si="219"/>
        <v>0</v>
      </c>
      <c r="I307" s="233">
        <f t="shared" si="222"/>
        <v>2.1520842458752982</v>
      </c>
      <c r="J307" s="233">
        <f t="shared" si="222"/>
        <v>2.5075061095555302</v>
      </c>
      <c r="K307" s="233">
        <f t="shared" si="222"/>
        <v>2.2139158273270043</v>
      </c>
      <c r="L307" s="233">
        <f t="shared" si="222"/>
        <v>3.1769572413359572</v>
      </c>
      <c r="M307" s="118">
        <f t="shared" si="222"/>
        <v>7.0414977041958133</v>
      </c>
      <c r="N307" s="118">
        <f t="shared" si="222"/>
        <v>8.7544530101651361</v>
      </c>
      <c r="O307" s="118">
        <f t="shared" si="222"/>
        <v>11.146677950334709</v>
      </c>
      <c r="P307" s="118">
        <f t="shared" si="221"/>
        <v>15.36593005231243</v>
      </c>
      <c r="Q307" s="118">
        <f t="shared" si="221"/>
        <v>16.458117242723951</v>
      </c>
      <c r="R307" s="118">
        <f t="shared" si="221"/>
        <v>16.623636523898313</v>
      </c>
      <c r="S307" s="118">
        <f t="shared" si="221"/>
        <v>17.657476350928707</v>
      </c>
      <c r="T307" s="118">
        <f t="shared" si="221"/>
        <v>17.836731683297007</v>
      </c>
      <c r="U307" s="118">
        <f t="shared" si="221"/>
        <v>18.194613297573316</v>
      </c>
      <c r="V307" s="118">
        <f t="shared" si="221"/>
        <v>18.51339483101561</v>
      </c>
      <c r="W307" s="118">
        <f t="shared" si="221"/>
        <v>18.797898783554061</v>
      </c>
      <c r="X307" s="118">
        <f t="shared" si="221"/>
        <v>19.118702517649584</v>
      </c>
      <c r="Y307" s="118">
        <f t="shared" si="221"/>
        <v>19.272539781905731</v>
      </c>
      <c r="Z307" s="118">
        <f t="shared" si="221"/>
        <v>9.387239839729185</v>
      </c>
      <c r="AA307" s="118">
        <f t="shared" si="221"/>
        <v>6.2060194127263548</v>
      </c>
      <c r="AB307" s="118">
        <f t="shared" si="221"/>
        <v>4.6347500209135104</v>
      </c>
      <c r="AC307" s="118">
        <f t="shared" si="221"/>
        <v>3.6983257601092925</v>
      </c>
      <c r="AD307" s="118">
        <f t="shared" si="221"/>
        <v>3.0768477514113202</v>
      </c>
      <c r="AE307" s="118">
        <f t="shared" si="221"/>
        <v>2.6341112333835333</v>
      </c>
      <c r="AF307" s="118">
        <f t="shared" si="221"/>
        <v>2.3027685411091765</v>
      </c>
      <c r="AG307" s="118">
        <f t="shared" si="221"/>
        <v>2.045487042634297</v>
      </c>
      <c r="AH307" s="118">
        <f t="shared" si="221"/>
        <v>1.8399059298294973</v>
      </c>
      <c r="AI307" s="118">
        <f t="shared" si="221"/>
        <v>1.6718777149223261</v>
      </c>
      <c r="AJ307" s="118">
        <f t="shared" si="221"/>
        <v>1.5319730547218937</v>
      </c>
      <c r="AK307" s="118">
        <f t="shared" si="221"/>
        <v>1.4136731784846728</v>
      </c>
      <c r="AL307" s="118">
        <f t="shared" si="221"/>
        <v>1.3123346868268233</v>
      </c>
      <c r="AM307" s="118">
        <f t="shared" si="221"/>
        <v>1.2245532786295938</v>
      </c>
    </row>
    <row r="308" spans="1:39" ht="12" thickBot="1">
      <c r="A308" s="138" t="s">
        <v>141</v>
      </c>
      <c r="B308" s="232">
        <f>B223</f>
        <v>65</v>
      </c>
      <c r="C308" s="232">
        <f t="shared" ref="C308:AK308" si="223">C223</f>
        <v>84</v>
      </c>
      <c r="D308" s="232">
        <f t="shared" si="223"/>
        <v>143</v>
      </c>
      <c r="E308" s="232">
        <f t="shared" si="223"/>
        <v>50</v>
      </c>
      <c r="F308" s="232">
        <f t="shared" si="223"/>
        <v>70</v>
      </c>
      <c r="G308" s="232">
        <f t="shared" si="223"/>
        <v>20</v>
      </c>
      <c r="H308" s="232">
        <f t="shared" si="223"/>
        <v>0</v>
      </c>
      <c r="I308" s="232">
        <f t="shared" si="223"/>
        <v>24.71</v>
      </c>
      <c r="J308" s="232">
        <f t="shared" si="223"/>
        <v>27.762002018947378</v>
      </c>
      <c r="K308" s="233">
        <f t="shared" si="223"/>
        <v>23.795007334736848</v>
      </c>
      <c r="L308" s="233">
        <f t="shared" si="223"/>
        <v>32.748233972631589</v>
      </c>
      <c r="M308" s="118">
        <f t="shared" si="223"/>
        <v>72.205361701052652</v>
      </c>
      <c r="N308" s="118">
        <f t="shared" si="223"/>
        <v>73.192716733563202</v>
      </c>
      <c r="O308" s="118">
        <f t="shared" si="223"/>
        <v>90.271017304727948</v>
      </c>
      <c r="P308" s="118">
        <f t="shared" si="223"/>
        <v>118.32822538592717</v>
      </c>
      <c r="Q308" s="118">
        <f t="shared" si="223"/>
        <v>131.74689012041375</v>
      </c>
      <c r="R308" s="118">
        <f t="shared" si="223"/>
        <v>131.74689012041375</v>
      </c>
      <c r="S308" s="118">
        <f t="shared" si="223"/>
        <v>139.06616179377008</v>
      </c>
      <c r="T308" s="118">
        <f t="shared" si="223"/>
        <v>141.50591901822219</v>
      </c>
      <c r="U308" s="118">
        <f t="shared" si="223"/>
        <v>143.94567624267427</v>
      </c>
      <c r="V308" s="118">
        <f t="shared" si="223"/>
        <v>146.3854334671264</v>
      </c>
      <c r="W308" s="118">
        <f t="shared" si="223"/>
        <v>148.82519069157848</v>
      </c>
      <c r="X308" s="118">
        <f t="shared" si="223"/>
        <v>151.26494791603059</v>
      </c>
      <c r="Y308" s="118">
        <f t="shared" si="223"/>
        <v>152.48482652825666</v>
      </c>
      <c r="Z308" s="118">
        <f t="shared" si="223"/>
        <v>74.287479590689145</v>
      </c>
      <c r="AA308" s="118">
        <f t="shared" si="223"/>
        <v>49.105283119269089</v>
      </c>
      <c r="AB308" s="118">
        <f t="shared" si="223"/>
        <v>36.673565873884506</v>
      </c>
      <c r="AC308" s="118">
        <f t="shared" si="223"/>
        <v>29.264764687241176</v>
      </c>
      <c r="AD308" s="118">
        <f t="shared" si="223"/>
        <v>24.346316840646015</v>
      </c>
      <c r="AE308" s="118">
        <f t="shared" si="223"/>
        <v>20.843249669330046</v>
      </c>
      <c r="AF308" s="118">
        <f t="shared" si="223"/>
        <v>18.221457258093562</v>
      </c>
      <c r="AG308" s="118">
        <f t="shared" si="223"/>
        <v>16.185540246016071</v>
      </c>
      <c r="AH308" s="118">
        <f t="shared" si="223"/>
        <v>14.558852784104907</v>
      </c>
      <c r="AI308" s="118">
        <f t="shared" si="223"/>
        <v>13.229277187382998</v>
      </c>
      <c r="AJ308" s="118">
        <f t="shared" si="223"/>
        <v>12.122224703083166</v>
      </c>
      <c r="AK308" s="118">
        <f t="shared" si="223"/>
        <v>11.186145575431956</v>
      </c>
      <c r="AL308" s="118">
        <f>AL223</f>
        <v>10.384271340633966</v>
      </c>
      <c r="AM308" s="118">
        <f>AM223</f>
        <v>9.6896712509594529</v>
      </c>
    </row>
    <row r="309" spans="1:3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row>
    <row r="310" spans="1:39">
      <c r="A310" s="111" t="s">
        <v>258</v>
      </c>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c r="AH310" s="111"/>
      <c r="AI310" s="111"/>
      <c r="AJ310" s="111"/>
      <c r="AK310" s="111"/>
      <c r="AL310" s="111"/>
      <c r="AM310" s="111"/>
    </row>
    <row r="311" spans="1:39" ht="12" thickBot="1">
      <c r="A311" s="168"/>
      <c r="B311" s="169">
        <f>B2</f>
        <v>2013</v>
      </c>
      <c r="C311" s="169">
        <f t="shared" ref="C311:AK311" si="224">C2</f>
        <v>2014</v>
      </c>
      <c r="D311" s="169">
        <f t="shared" si="224"/>
        <v>2015</v>
      </c>
      <c r="E311" s="169">
        <f t="shared" si="224"/>
        <v>2016</v>
      </c>
      <c r="F311" s="169">
        <f t="shared" si="224"/>
        <v>2017</v>
      </c>
      <c r="G311" s="169">
        <f t="shared" si="224"/>
        <v>2018</v>
      </c>
      <c r="H311" s="169">
        <f t="shared" si="224"/>
        <v>2019</v>
      </c>
      <c r="I311" s="169">
        <f t="shared" si="224"/>
        <v>2020</v>
      </c>
      <c r="J311" s="169">
        <f t="shared" si="224"/>
        <v>2021</v>
      </c>
      <c r="K311" s="169">
        <f t="shared" si="224"/>
        <v>2022</v>
      </c>
      <c r="L311" s="169">
        <f t="shared" si="224"/>
        <v>2023</v>
      </c>
      <c r="M311" s="169">
        <f t="shared" si="224"/>
        <v>2024</v>
      </c>
      <c r="N311" s="169">
        <f t="shared" si="224"/>
        <v>2025</v>
      </c>
      <c r="O311" s="169">
        <f t="shared" si="224"/>
        <v>2026</v>
      </c>
      <c r="P311" s="169">
        <f t="shared" si="224"/>
        <v>2027</v>
      </c>
      <c r="Q311" s="169">
        <f t="shared" si="224"/>
        <v>2028</v>
      </c>
      <c r="R311" s="169">
        <f t="shared" si="224"/>
        <v>2029</v>
      </c>
      <c r="S311" s="169">
        <f t="shared" si="224"/>
        <v>2030</v>
      </c>
      <c r="T311" s="169">
        <f t="shared" si="224"/>
        <v>2031</v>
      </c>
      <c r="U311" s="169">
        <f t="shared" si="224"/>
        <v>2032</v>
      </c>
      <c r="V311" s="169">
        <f t="shared" si="224"/>
        <v>2033</v>
      </c>
      <c r="W311" s="169">
        <f t="shared" si="224"/>
        <v>2034</v>
      </c>
      <c r="X311" s="169">
        <f t="shared" si="224"/>
        <v>2035</v>
      </c>
      <c r="Y311" s="169">
        <f t="shared" si="224"/>
        <v>2036</v>
      </c>
      <c r="Z311" s="169">
        <f t="shared" si="224"/>
        <v>2037</v>
      </c>
      <c r="AA311" s="169">
        <f t="shared" si="224"/>
        <v>2038</v>
      </c>
      <c r="AB311" s="169">
        <f t="shared" si="224"/>
        <v>2039</v>
      </c>
      <c r="AC311" s="169">
        <f t="shared" si="224"/>
        <v>2040</v>
      </c>
      <c r="AD311" s="169">
        <f t="shared" si="224"/>
        <v>2041</v>
      </c>
      <c r="AE311" s="169">
        <f t="shared" si="224"/>
        <v>2042</v>
      </c>
      <c r="AF311" s="169">
        <f t="shared" si="224"/>
        <v>2043</v>
      </c>
      <c r="AG311" s="169">
        <f t="shared" si="224"/>
        <v>2044</v>
      </c>
      <c r="AH311" s="169">
        <f t="shared" si="224"/>
        <v>2045</v>
      </c>
      <c r="AI311" s="169">
        <f t="shared" si="224"/>
        <v>2046</v>
      </c>
      <c r="AJ311" s="169">
        <f t="shared" si="224"/>
        <v>2047</v>
      </c>
      <c r="AK311" s="169">
        <f t="shared" si="224"/>
        <v>2048</v>
      </c>
      <c r="AL311" s="169">
        <f>AL2</f>
        <v>2049</v>
      </c>
      <c r="AM311" s="169">
        <f>AM2</f>
        <v>2050</v>
      </c>
    </row>
    <row r="312" spans="1:39" ht="12" thickTop="1">
      <c r="A312" s="138" t="s">
        <v>129</v>
      </c>
      <c r="B312" s="231">
        <f t="shared" ref="B312:H323" si="225">B$324*(SUM(C22:E22)/SUM(C$34:E$34))</f>
        <v>2.2567009073544759</v>
      </c>
      <c r="C312" s="231">
        <f t="shared" si="225"/>
        <v>2.7281031607448631</v>
      </c>
      <c r="D312" s="231">
        <f t="shared" si="225"/>
        <v>2.7950221950119936</v>
      </c>
      <c r="E312" s="170">
        <f t="shared" si="225"/>
        <v>4.0991450332610082</v>
      </c>
      <c r="F312" s="170">
        <f t="shared" si="225"/>
        <v>6.2760388374302325</v>
      </c>
      <c r="G312" s="170">
        <f t="shared" si="225"/>
        <v>6.1141586881585956</v>
      </c>
      <c r="H312" s="170">
        <f t="shared" si="225"/>
        <v>4.8441209021867717</v>
      </c>
      <c r="I312" s="118">
        <f>I$324*(SUM(G22:I22)/SUM(G$34:I$34))</f>
        <v>5.1912913840472292</v>
      </c>
      <c r="J312" s="118">
        <f t="shared" ref="J312:J323" si="226">J$324*(SUM(H22:J22)/SUM(H$34:J$34))</f>
        <v>5.9143305172412397</v>
      </c>
      <c r="K312" s="118">
        <f t="shared" ref="K312:K323" si="227">K$324*(SUM(I22:K22)/SUM(I$34:K$34))</f>
        <v>4.8431047226002653</v>
      </c>
      <c r="L312" s="118">
        <f t="shared" ref="L312:AM321" si="228">L$324*(SUM(J22:L22)/SUM(J$34:L$34))</f>
        <v>6.2701865760002846</v>
      </c>
      <c r="M312" s="118">
        <f t="shared" si="228"/>
        <v>10.701907031721436</v>
      </c>
      <c r="N312" s="118">
        <f t="shared" si="228"/>
        <v>9.0423767294045874</v>
      </c>
      <c r="O312" s="118">
        <f t="shared" si="228"/>
        <v>10.115339086555421</v>
      </c>
      <c r="P312" s="118">
        <f t="shared" si="228"/>
        <v>13.192298350463306</v>
      </c>
      <c r="Q312" s="118">
        <f t="shared" si="228"/>
        <v>15.135442314823479</v>
      </c>
      <c r="R312" s="118">
        <f t="shared" si="228"/>
        <v>14.865723947220433</v>
      </c>
      <c r="S312" s="118">
        <f t="shared" si="228"/>
        <v>15.723492145001403</v>
      </c>
      <c r="T312" s="118">
        <f t="shared" si="228"/>
        <v>16.07059287896551</v>
      </c>
      <c r="U312" s="118">
        <f t="shared" si="228"/>
        <v>16.288954796523782</v>
      </c>
      <c r="V312" s="118">
        <f t="shared" si="228"/>
        <v>16.580357195609203</v>
      </c>
      <c r="W312" s="118">
        <f t="shared" si="228"/>
        <v>16.866299148981167</v>
      </c>
      <c r="X312" s="118">
        <f t="shared" si="228"/>
        <v>17.131152618084947</v>
      </c>
      <c r="Y312" s="118">
        <f t="shared" si="228"/>
        <v>17.273854249739422</v>
      </c>
      <c r="Z312" s="118">
        <f t="shared" si="228"/>
        <v>8.4158884069870386</v>
      </c>
      <c r="AA312" s="118">
        <f t="shared" si="228"/>
        <v>5.562371260093272</v>
      </c>
      <c r="AB312" s="118">
        <f t="shared" si="228"/>
        <v>4.1544421222069472</v>
      </c>
      <c r="AC312" s="118">
        <f t="shared" si="228"/>
        <v>3.3151531308833211</v>
      </c>
      <c r="AD312" s="118">
        <f t="shared" si="228"/>
        <v>2.7579299494602258</v>
      </c>
      <c r="AE312" s="118">
        <f t="shared" si="228"/>
        <v>2.3611384930397232</v>
      </c>
      <c r="AF312" s="118">
        <f t="shared" si="228"/>
        <v>2.0641343280413782</v>
      </c>
      <c r="AG312" s="118">
        <f t="shared" si="228"/>
        <v>1.8334995766794557</v>
      </c>
      <c r="AH312" s="118">
        <f t="shared" si="228"/>
        <v>1.6492328859576602</v>
      </c>
      <c r="AI312" s="118">
        <f t="shared" si="228"/>
        <v>1.498616631186874</v>
      </c>
      <c r="AJ312" s="118">
        <f t="shared" si="228"/>
        <v>1.3732089410894315</v>
      </c>
      <c r="AK312" s="118">
        <f t="shared" si="228"/>
        <v>1.2671703004580102</v>
      </c>
      <c r="AL312" s="118">
        <f t="shared" si="228"/>
        <v>1.1763334372388583</v>
      </c>
      <c r="AM312" s="118">
        <f t="shared" si="228"/>
        <v>1.0976489116261319</v>
      </c>
    </row>
    <row r="313" spans="1:39">
      <c r="A313" s="138" t="s">
        <v>130</v>
      </c>
      <c r="B313" s="231">
        <f t="shared" si="225"/>
        <v>2.2011795120204285</v>
      </c>
      <c r="C313" s="231">
        <f t="shared" si="225"/>
        <v>2.6522333394979478</v>
      </c>
      <c r="D313" s="231">
        <f t="shared" si="225"/>
        <v>2.7269813882354805</v>
      </c>
      <c r="E313" s="170">
        <f t="shared" si="225"/>
        <v>4.0074853822117955</v>
      </c>
      <c r="F313" s="170">
        <f t="shared" si="225"/>
        <v>6.0418335319440724</v>
      </c>
      <c r="G313" s="170">
        <f t="shared" si="225"/>
        <v>6.0533103166733477</v>
      </c>
      <c r="H313" s="170">
        <f t="shared" si="225"/>
        <v>4.7689704741187402</v>
      </c>
      <c r="I313" s="118">
        <f t="shared" ref="I313:I323" si="229">I$324*(SUM(G23:I23)/SUM(G$34:I$34))</f>
        <v>4.9975660079043562</v>
      </c>
      <c r="J313" s="118">
        <f t="shared" si="226"/>
        <v>5.8554708443484484</v>
      </c>
      <c r="K313" s="118">
        <f t="shared" si="227"/>
        <v>4.767970059277264</v>
      </c>
      <c r="L313" s="118">
        <f t="shared" si="228"/>
        <v>6.3955817237109782</v>
      </c>
      <c r="M313" s="118">
        <f t="shared" si="228"/>
        <v>12.699232818623299</v>
      </c>
      <c r="N313" s="118">
        <f t="shared" si="228"/>
        <v>10.589891485782323</v>
      </c>
      <c r="O313" s="118">
        <f t="shared" si="228"/>
        <v>12.252760497243877</v>
      </c>
      <c r="P313" s="118">
        <f t="shared" si="228"/>
        <v>15.18980377565004</v>
      </c>
      <c r="Q313" s="118">
        <f t="shared" si="228"/>
        <v>17.819719715168869</v>
      </c>
      <c r="R313" s="118">
        <f t="shared" si="228"/>
        <v>17.526063846211333</v>
      </c>
      <c r="S313" s="118">
        <f t="shared" si="228"/>
        <v>18.389171631690143</v>
      </c>
      <c r="T313" s="118">
        <f t="shared" si="228"/>
        <v>18.886461906918868</v>
      </c>
      <c r="U313" s="118">
        <f t="shared" si="228"/>
        <v>19.132144739057136</v>
      </c>
      <c r="V313" s="118">
        <f t="shared" si="228"/>
        <v>19.450948344762288</v>
      </c>
      <c r="W313" s="118">
        <f t="shared" si="228"/>
        <v>19.805900139656554</v>
      </c>
      <c r="X313" s="118">
        <f t="shared" si="228"/>
        <v>20.111761999072581</v>
      </c>
      <c r="Y313" s="118">
        <f t="shared" si="228"/>
        <v>20.276169633579599</v>
      </c>
      <c r="Z313" s="118">
        <f t="shared" si="228"/>
        <v>9.8804803877734528</v>
      </c>
      <c r="AA313" s="118">
        <f t="shared" si="228"/>
        <v>6.5298930909323563</v>
      </c>
      <c r="AB313" s="118">
        <f t="shared" si="228"/>
        <v>4.8770027448362283</v>
      </c>
      <c r="AC313" s="118">
        <f t="shared" si="228"/>
        <v>3.8918708563307596</v>
      </c>
      <c r="AD313" s="118">
        <f t="shared" si="228"/>
        <v>3.2376530083580279</v>
      </c>
      <c r="AE313" s="118">
        <f t="shared" si="228"/>
        <v>2.7718444595045875</v>
      </c>
      <c r="AF313" s="118">
        <f t="shared" si="228"/>
        <v>2.4231914101519672</v>
      </c>
      <c r="AG313" s="118">
        <f t="shared" si="228"/>
        <v>2.1524292776162124</v>
      </c>
      <c r="AH313" s="118">
        <f t="shared" si="228"/>
        <v>1.9361116495453978</v>
      </c>
      <c r="AI313" s="118">
        <f t="shared" si="228"/>
        <v>1.7592975542876697</v>
      </c>
      <c r="AJ313" s="118">
        <f t="shared" si="228"/>
        <v>1.6120742306022815</v>
      </c>
      <c r="AK313" s="118">
        <f t="shared" si="228"/>
        <v>1.4875908928732036</v>
      </c>
      <c r="AL313" s="118">
        <f t="shared" si="228"/>
        <v>1.380953341406338</v>
      </c>
      <c r="AM313" s="118">
        <f t="shared" si="228"/>
        <v>1.2885816773918319</v>
      </c>
    </row>
    <row r="314" spans="1:39">
      <c r="A314" s="138" t="s">
        <v>131</v>
      </c>
      <c r="B314" s="231">
        <f t="shared" si="225"/>
        <v>2.2583394062145477</v>
      </c>
      <c r="C314" s="231">
        <f t="shared" si="225"/>
        <v>2.6997262229689341</v>
      </c>
      <c r="D314" s="231">
        <f t="shared" si="225"/>
        <v>2.7851740805497451</v>
      </c>
      <c r="E314" s="170">
        <f t="shared" si="225"/>
        <v>4.1523122653912381</v>
      </c>
      <c r="F314" s="170">
        <f t="shared" si="225"/>
        <v>6.0037631884302218</v>
      </c>
      <c r="G314" s="170">
        <f t="shared" si="225"/>
        <v>6.2671902656935012</v>
      </c>
      <c r="H314" s="170">
        <f t="shared" si="225"/>
        <v>5.1828384790545616</v>
      </c>
      <c r="I314" s="118">
        <f t="shared" si="229"/>
        <v>4.9660757237632698</v>
      </c>
      <c r="J314" s="118">
        <f t="shared" si="226"/>
        <v>6.0623605856902563</v>
      </c>
      <c r="K314" s="118">
        <f t="shared" si="227"/>
        <v>5.1817512446999858</v>
      </c>
      <c r="L314" s="118">
        <f t="shared" si="228"/>
        <v>7.5985310671512067</v>
      </c>
      <c r="M314" s="118">
        <f t="shared" si="228"/>
        <v>18.737270536151968</v>
      </c>
      <c r="N314" s="118">
        <f t="shared" si="228"/>
        <v>19.042860790237253</v>
      </c>
      <c r="O314" s="118">
        <f t="shared" si="228"/>
        <v>23.728601720769689</v>
      </c>
      <c r="P314" s="118">
        <f t="shared" si="228"/>
        <v>30.511771606735255</v>
      </c>
      <c r="Q314" s="118">
        <f t="shared" si="228"/>
        <v>34.281976278752211</v>
      </c>
      <c r="R314" s="118">
        <f t="shared" si="228"/>
        <v>34.283117452452089</v>
      </c>
      <c r="S314" s="118">
        <f t="shared" si="228"/>
        <v>36.079818816726167</v>
      </c>
      <c r="T314" s="118">
        <f t="shared" si="228"/>
        <v>36.784529874417316</v>
      </c>
      <c r="U314" s="118">
        <f t="shared" si="228"/>
        <v>37.407111875225077</v>
      </c>
      <c r="V314" s="118">
        <f t="shared" si="228"/>
        <v>38.024635498818753</v>
      </c>
      <c r="W314" s="118">
        <f t="shared" si="228"/>
        <v>38.673408995095606</v>
      </c>
      <c r="X314" s="118">
        <f t="shared" si="228"/>
        <v>39.302887354935343</v>
      </c>
      <c r="Y314" s="118">
        <f t="shared" si="228"/>
        <v>39.617798131474537</v>
      </c>
      <c r="Z314" s="118">
        <f t="shared" si="228"/>
        <v>19.302377516762192</v>
      </c>
      <c r="AA314" s="118">
        <f t="shared" si="228"/>
        <v>12.758802056533051</v>
      </c>
      <c r="AB314" s="118">
        <f t="shared" si="228"/>
        <v>9.5286928649248601</v>
      </c>
      <c r="AC314" s="118">
        <f t="shared" si="228"/>
        <v>7.6038006088156216</v>
      </c>
      <c r="AD314" s="118">
        <f t="shared" si="228"/>
        <v>6.3258048121491885</v>
      </c>
      <c r="AE314" s="118">
        <f t="shared" si="228"/>
        <v>5.4156205497543501</v>
      </c>
      <c r="AF314" s="118">
        <f t="shared" si="228"/>
        <v>4.7344198937827144</v>
      </c>
      <c r="AG314" s="118">
        <f t="shared" si="228"/>
        <v>4.2054279183855874</v>
      </c>
      <c r="AH314" s="118">
        <f t="shared" si="228"/>
        <v>3.7827732276688892</v>
      </c>
      <c r="AI314" s="118">
        <f t="shared" si="228"/>
        <v>3.4373154228441112</v>
      </c>
      <c r="AJ314" s="118">
        <f t="shared" si="228"/>
        <v>3.1496730087865958</v>
      </c>
      <c r="AK314" s="118">
        <f t="shared" si="228"/>
        <v>2.9064553397798787</v>
      </c>
      <c r="AL314" s="118">
        <f t="shared" si="228"/>
        <v>2.6981073592662432</v>
      </c>
      <c r="AM314" s="118">
        <f t="shared" si="228"/>
        <v>2.5176318119713126</v>
      </c>
    </row>
    <row r="315" spans="1:39">
      <c r="A315" s="138" t="s">
        <v>132</v>
      </c>
      <c r="B315" s="231">
        <f t="shared" si="225"/>
        <v>2.3484477159753245</v>
      </c>
      <c r="C315" s="231">
        <f t="shared" si="225"/>
        <v>2.8147958499684234</v>
      </c>
      <c r="D315" s="231">
        <f t="shared" si="225"/>
        <v>2.8995110675781364</v>
      </c>
      <c r="E315" s="170">
        <f t="shared" si="225"/>
        <v>4.3054163678029305</v>
      </c>
      <c r="F315" s="170">
        <f t="shared" si="225"/>
        <v>6.3103384637041149</v>
      </c>
      <c r="G315" s="170">
        <f t="shared" si="225"/>
        <v>6.4850204791122898</v>
      </c>
      <c r="H315" s="170">
        <f t="shared" si="225"/>
        <v>5.3042685951990229</v>
      </c>
      <c r="I315" s="118">
        <f t="shared" si="229"/>
        <v>5.2196626798540207</v>
      </c>
      <c r="J315" s="118">
        <f t="shared" si="226"/>
        <v>6.2730714855062883</v>
      </c>
      <c r="K315" s="118">
        <f t="shared" si="227"/>
        <v>5.3031558877384484</v>
      </c>
      <c r="L315" s="118">
        <f t="shared" si="228"/>
        <v>6.9633291780063384</v>
      </c>
      <c r="M315" s="118">
        <f t="shared" si="228"/>
        <v>15.939981691062831</v>
      </c>
      <c r="N315" s="118">
        <f t="shared" si="228"/>
        <v>16.299123826541852</v>
      </c>
      <c r="O315" s="118">
        <f t="shared" si="228"/>
        <v>20.46185611915211</v>
      </c>
      <c r="P315" s="118">
        <f t="shared" si="228"/>
        <v>26.549921939866945</v>
      </c>
      <c r="Q315" s="118">
        <f t="shared" si="228"/>
        <v>29.60694687468251</v>
      </c>
      <c r="R315" s="118">
        <f t="shared" si="228"/>
        <v>29.670431778935328</v>
      </c>
      <c r="S315" s="118">
        <f t="shared" si="228"/>
        <v>31.258963677961273</v>
      </c>
      <c r="T315" s="118">
        <f t="shared" si="228"/>
        <v>31.825561813030227</v>
      </c>
      <c r="U315" s="118">
        <f t="shared" si="228"/>
        <v>32.382331084395439</v>
      </c>
      <c r="V315" s="118">
        <f t="shared" si="228"/>
        <v>32.919603084454387</v>
      </c>
      <c r="W315" s="118">
        <f t="shared" si="228"/>
        <v>33.4733181489743</v>
      </c>
      <c r="X315" s="118">
        <f t="shared" si="228"/>
        <v>34.022587531442021</v>
      </c>
      <c r="Y315" s="118">
        <f t="shared" si="228"/>
        <v>34.294908168009428</v>
      </c>
      <c r="Z315" s="118">
        <f t="shared" si="228"/>
        <v>16.708356617828656</v>
      </c>
      <c r="AA315" s="118">
        <f t="shared" si="228"/>
        <v>11.044471552525259</v>
      </c>
      <c r="AB315" s="118">
        <f t="shared" si="228"/>
        <v>8.2483248307446697</v>
      </c>
      <c r="AC315" s="118">
        <f t="shared" si="228"/>
        <v>6.5820450886300907</v>
      </c>
      <c r="AD315" s="118">
        <f t="shared" si="228"/>
        <v>5.4758093753562953</v>
      </c>
      <c r="AE315" s="118">
        <f t="shared" si="228"/>
        <v>4.6879171248695615</v>
      </c>
      <c r="AF315" s="118">
        <f t="shared" si="228"/>
        <v>4.0982479241061789</v>
      </c>
      <c r="AG315" s="118">
        <f t="shared" si="228"/>
        <v>3.6403411842777489</v>
      </c>
      <c r="AH315" s="118">
        <f t="shared" si="228"/>
        <v>3.274477340494923</v>
      </c>
      <c r="AI315" s="118">
        <f t="shared" si="228"/>
        <v>2.9754390908327082</v>
      </c>
      <c r="AJ315" s="118">
        <f t="shared" si="228"/>
        <v>2.7264480106507252</v>
      </c>
      <c r="AK315" s="118">
        <f t="shared" si="228"/>
        <v>2.5159114880262239</v>
      </c>
      <c r="AL315" s="118">
        <f t="shared" si="228"/>
        <v>2.3355595111549325</v>
      </c>
      <c r="AM315" s="118">
        <f t="shared" si="228"/>
        <v>2.1793347308322653</v>
      </c>
    </row>
    <row r="316" spans="1:39">
      <c r="A316" s="138" t="s">
        <v>133</v>
      </c>
      <c r="B316" s="231">
        <f t="shared" si="225"/>
        <v>2.3820970800366639</v>
      </c>
      <c r="C316" s="231">
        <f t="shared" si="225"/>
        <v>2.8791624960852191</v>
      </c>
      <c r="D316" s="231">
        <f t="shared" si="225"/>
        <v>2.9422932283689018</v>
      </c>
      <c r="E316" s="170">
        <f t="shared" si="225"/>
        <v>4.3377547659161495</v>
      </c>
      <c r="F316" s="170">
        <f t="shared" si="225"/>
        <v>6.6199333545101622</v>
      </c>
      <c r="G316" s="170">
        <f t="shared" si="225"/>
        <v>6.3682688150298707</v>
      </c>
      <c r="H316" s="170">
        <f t="shared" si="225"/>
        <v>5.2184132860105077</v>
      </c>
      <c r="I316" s="118">
        <f t="shared" si="229"/>
        <v>5.4757473426195169</v>
      </c>
      <c r="J316" s="118">
        <f t="shared" si="226"/>
        <v>6.1601355993051881</v>
      </c>
      <c r="K316" s="118">
        <f t="shared" si="227"/>
        <v>5.2173185889205147</v>
      </c>
      <c r="L316" s="118">
        <f t="shared" si="228"/>
        <v>7.0517424139278546</v>
      </c>
      <c r="M316" s="118">
        <f t="shared" si="228"/>
        <v>17.408336294897921</v>
      </c>
      <c r="N316" s="118">
        <f t="shared" si="228"/>
        <v>17.778760443034646</v>
      </c>
      <c r="O316" s="118">
        <f t="shared" si="228"/>
        <v>21.974978112708282</v>
      </c>
      <c r="P316" s="118">
        <f t="shared" si="228"/>
        <v>28.541417932432331</v>
      </c>
      <c r="Q316" s="118">
        <f t="shared" si="228"/>
        <v>31.939451741212746</v>
      </c>
      <c r="R316" s="118">
        <f t="shared" si="228"/>
        <v>31.924718635262352</v>
      </c>
      <c r="S316" s="118">
        <f t="shared" si="228"/>
        <v>33.652744530524778</v>
      </c>
      <c r="T316" s="118">
        <f t="shared" si="228"/>
        <v>34.278655301704759</v>
      </c>
      <c r="U316" s="118">
        <f t="shared" si="228"/>
        <v>34.861243287762804</v>
      </c>
      <c r="V316" s="118">
        <f t="shared" si="228"/>
        <v>35.445736262864393</v>
      </c>
      <c r="W316" s="118">
        <f t="shared" si="228"/>
        <v>36.043638300395251</v>
      </c>
      <c r="X316" s="118">
        <f t="shared" si="228"/>
        <v>36.63187942111373</v>
      </c>
      <c r="Y316" s="118">
        <f t="shared" si="228"/>
        <v>36.926655644962729</v>
      </c>
      <c r="Z316" s="118">
        <f t="shared" si="228"/>
        <v>17.990547016323013</v>
      </c>
      <c r="AA316" s="118">
        <f t="shared" si="228"/>
        <v>11.891844345526488</v>
      </c>
      <c r="AB316" s="118">
        <f t="shared" si="228"/>
        <v>8.881251507497689</v>
      </c>
      <c r="AC316" s="118">
        <f t="shared" si="228"/>
        <v>7.087101074461204</v>
      </c>
      <c r="AD316" s="118">
        <f t="shared" si="228"/>
        <v>5.8959683245099139</v>
      </c>
      <c r="AE316" s="118">
        <f t="shared" si="228"/>
        <v>5.0476309498337093</v>
      </c>
      <c r="AF316" s="118">
        <f t="shared" si="228"/>
        <v>4.4127126604092757</v>
      </c>
      <c r="AG316" s="118">
        <f t="shared" si="228"/>
        <v>3.9196689863103176</v>
      </c>
      <c r="AH316" s="118">
        <f t="shared" si="228"/>
        <v>3.5257332723308332</v>
      </c>
      <c r="AI316" s="118">
        <f t="shared" si="228"/>
        <v>3.2037488321894334</v>
      </c>
      <c r="AJ316" s="118">
        <f t="shared" si="228"/>
        <v>2.9356522510360792</v>
      </c>
      <c r="AK316" s="118">
        <f t="shared" si="228"/>
        <v>2.7089611369896329</v>
      </c>
      <c r="AL316" s="118">
        <f t="shared" si="228"/>
        <v>2.5147703903553453</v>
      </c>
      <c r="AM316" s="118">
        <f t="shared" si="228"/>
        <v>2.3465582624159191</v>
      </c>
    </row>
    <row r="317" spans="1:39">
      <c r="A317" s="138" t="s">
        <v>134</v>
      </c>
      <c r="B317" s="231">
        <f t="shared" si="225"/>
        <v>2.5582248119762205</v>
      </c>
      <c r="C317" s="231">
        <f t="shared" si="225"/>
        <v>3.0612949487077294</v>
      </c>
      <c r="D317" s="231">
        <f t="shared" si="225"/>
        <v>3.1624776717239014</v>
      </c>
      <c r="E317" s="170">
        <f t="shared" si="225"/>
        <v>4.6906614823319179</v>
      </c>
      <c r="F317" s="170">
        <f t="shared" si="225"/>
        <v>6.8290130059147938</v>
      </c>
      <c r="G317" s="170">
        <f t="shared" si="225"/>
        <v>7.1548938617878832</v>
      </c>
      <c r="H317" s="170">
        <f t="shared" si="225"/>
        <v>5.7578203513592587</v>
      </c>
      <c r="I317" s="118">
        <f t="shared" si="229"/>
        <v>5.648689770324582</v>
      </c>
      <c r="J317" s="118">
        <f t="shared" si="226"/>
        <v>6.9210514925543354</v>
      </c>
      <c r="K317" s="118">
        <f t="shared" si="227"/>
        <v>5.7566124996928849</v>
      </c>
      <c r="L317" s="118">
        <f t="shared" si="228"/>
        <v>8.3378116442133923</v>
      </c>
      <c r="M317" s="118">
        <f t="shared" si="228"/>
        <v>21.44057972942721</v>
      </c>
      <c r="N317" s="118">
        <f t="shared" si="228"/>
        <v>22.101741315354936</v>
      </c>
      <c r="O317" s="118">
        <f t="shared" si="228"/>
        <v>27.687590971323083</v>
      </c>
      <c r="P317" s="118">
        <f t="shared" si="228"/>
        <v>35.390058774552493</v>
      </c>
      <c r="Q317" s="118">
        <f t="shared" si="228"/>
        <v>39.853692490930051</v>
      </c>
      <c r="R317" s="118">
        <f t="shared" si="228"/>
        <v>39.870373964168209</v>
      </c>
      <c r="S317" s="118">
        <f t="shared" si="228"/>
        <v>41.918301475520799</v>
      </c>
      <c r="T317" s="118">
        <f t="shared" si="228"/>
        <v>42.759658315058559</v>
      </c>
      <c r="U317" s="118">
        <f t="shared" si="228"/>
        <v>43.482321437792798</v>
      </c>
      <c r="V317" s="118">
        <f t="shared" si="228"/>
        <v>44.193191190957499</v>
      </c>
      <c r="W317" s="118">
        <f t="shared" si="228"/>
        <v>44.952237973139603</v>
      </c>
      <c r="X317" s="118">
        <f t="shared" si="228"/>
        <v>45.682892249852017</v>
      </c>
      <c r="Y317" s="118">
        <f t="shared" si="228"/>
        <v>46.047913394818309</v>
      </c>
      <c r="Z317" s="118">
        <f t="shared" si="228"/>
        <v>22.435718698496387</v>
      </c>
      <c r="AA317" s="118">
        <f t="shared" si="228"/>
        <v>14.829819968904637</v>
      </c>
      <c r="AB317" s="118">
        <f t="shared" si="228"/>
        <v>11.075370303410466</v>
      </c>
      <c r="AC317" s="118">
        <f t="shared" si="228"/>
        <v>8.838069566923096</v>
      </c>
      <c r="AD317" s="118">
        <f t="shared" si="228"/>
        <v>7.3526120987680299</v>
      </c>
      <c r="AE317" s="118">
        <f t="shared" si="228"/>
        <v>6.2946858053913886</v>
      </c>
      <c r="AF317" s="118">
        <f t="shared" si="228"/>
        <v>5.5029162554050011</v>
      </c>
      <c r="AG317" s="118">
        <f t="shared" si="228"/>
        <v>4.8880555890357433</v>
      </c>
      <c r="AH317" s="118">
        <f t="shared" si="228"/>
        <v>4.3967955812331594</v>
      </c>
      <c r="AI317" s="118">
        <f t="shared" si="228"/>
        <v>3.9952632507034891</v>
      </c>
      <c r="AJ317" s="118">
        <f t="shared" si="228"/>
        <v>3.660930157610685</v>
      </c>
      <c r="AK317" s="118">
        <f t="shared" si="228"/>
        <v>3.3782333079001501</v>
      </c>
      <c r="AL317" s="118">
        <f t="shared" si="228"/>
        <v>3.1360661724243215</v>
      </c>
      <c r="AM317" s="118">
        <f t="shared" si="228"/>
        <v>2.9262956482959628</v>
      </c>
    </row>
    <row r="318" spans="1:39">
      <c r="A318" s="138" t="s">
        <v>135</v>
      </c>
      <c r="B318" s="231">
        <f t="shared" si="225"/>
        <v>2.7916354700904957</v>
      </c>
      <c r="C318" s="231">
        <f t="shared" si="225"/>
        <v>3.3683003369435331</v>
      </c>
      <c r="D318" s="231">
        <f t="shared" si="225"/>
        <v>3.4587452196573953</v>
      </c>
      <c r="E318" s="170">
        <f t="shared" si="225"/>
        <v>5.0768014682211025</v>
      </c>
      <c r="F318" s="170">
        <f t="shared" si="225"/>
        <v>7.7046382430621865</v>
      </c>
      <c r="G318" s="170">
        <f t="shared" si="225"/>
        <v>7.6370940769728994</v>
      </c>
      <c r="H318" s="170">
        <f t="shared" si="225"/>
        <v>6.0167919703850705</v>
      </c>
      <c r="I318" s="118">
        <f t="shared" si="229"/>
        <v>6.3729723738909438</v>
      </c>
      <c r="J318" s="118">
        <f t="shared" si="226"/>
        <v>7.3874920273105467</v>
      </c>
      <c r="K318" s="118">
        <f t="shared" si="227"/>
        <v>6.0155297927268281</v>
      </c>
      <c r="L318" s="118">
        <f t="shared" si="228"/>
        <v>7.9330135033720861</v>
      </c>
      <c r="M318" s="118">
        <f t="shared" si="228"/>
        <v>18.588039111018915</v>
      </c>
      <c r="N318" s="118">
        <f t="shared" si="228"/>
        <v>19.456615755588409</v>
      </c>
      <c r="O318" s="118">
        <f t="shared" si="228"/>
        <v>24.075488945755939</v>
      </c>
      <c r="P318" s="118">
        <f t="shared" si="228"/>
        <v>31.373191027823406</v>
      </c>
      <c r="Q318" s="118">
        <f t="shared" si="228"/>
        <v>35.02679207545129</v>
      </c>
      <c r="R318" s="118">
        <f t="shared" si="228"/>
        <v>35.027946691869879</v>
      </c>
      <c r="S318" s="118">
        <f t="shared" si="228"/>
        <v>36.940045750535397</v>
      </c>
      <c r="T318" s="118">
        <f t="shared" si="228"/>
        <v>37.610375425997965</v>
      </c>
      <c r="U318" s="118">
        <f t="shared" si="228"/>
        <v>38.255359467729896</v>
      </c>
      <c r="V318" s="118">
        <f t="shared" si="228"/>
        <v>38.898543150592808</v>
      </c>
      <c r="W318" s="118">
        <f t="shared" si="228"/>
        <v>39.551531688294034</v>
      </c>
      <c r="X318" s="118">
        <f t="shared" si="228"/>
        <v>40.198538540747542</v>
      </c>
      <c r="Y318" s="118">
        <f t="shared" si="228"/>
        <v>40.522065350387969</v>
      </c>
      <c r="Z318" s="118">
        <f t="shared" si="228"/>
        <v>19.741955976942783</v>
      </c>
      <c r="AA318" s="118">
        <f t="shared" si="228"/>
        <v>13.049645257166246</v>
      </c>
      <c r="AB318" s="118">
        <f t="shared" si="228"/>
        <v>9.7459265608900782</v>
      </c>
      <c r="AC318" s="118">
        <f t="shared" si="228"/>
        <v>7.7770826652656346</v>
      </c>
      <c r="AD318" s="118">
        <f t="shared" si="228"/>
        <v>6.4699956648303143</v>
      </c>
      <c r="AE318" s="118">
        <f t="shared" si="228"/>
        <v>5.5390620294638415</v>
      </c>
      <c r="AF318" s="118">
        <f t="shared" si="228"/>
        <v>4.8423276521416758</v>
      </c>
      <c r="AG318" s="118">
        <f t="shared" si="228"/>
        <v>4.3012834318450812</v>
      </c>
      <c r="AH318" s="118">
        <f t="shared" si="228"/>
        <v>3.8689940587709719</v>
      </c>
      <c r="AI318" s="118">
        <f t="shared" si="228"/>
        <v>3.5156615657324499</v>
      </c>
      <c r="AJ318" s="118">
        <f t="shared" si="228"/>
        <v>3.2214636469889815</v>
      </c>
      <c r="AK318" s="118">
        <f t="shared" si="228"/>
        <v>2.9727020749307549</v>
      </c>
      <c r="AL318" s="118">
        <f t="shared" si="228"/>
        <v>2.7596051755469997</v>
      </c>
      <c r="AM318" s="118">
        <f t="shared" si="228"/>
        <v>2.5750161572074082</v>
      </c>
    </row>
    <row r="319" spans="1:39">
      <c r="A319" s="138" t="s">
        <v>136</v>
      </c>
      <c r="B319" s="231">
        <f t="shared" si="225"/>
        <v>2.478633445451123</v>
      </c>
      <c r="C319" s="231">
        <f t="shared" si="225"/>
        <v>2.9722182886099953</v>
      </c>
      <c r="D319" s="231">
        <f t="shared" si="225"/>
        <v>3.0616986371008599</v>
      </c>
      <c r="E319" s="170">
        <f t="shared" si="225"/>
        <v>4.5406368956394614</v>
      </c>
      <c r="F319" s="170">
        <f t="shared" si="225"/>
        <v>6.6727787719044853</v>
      </c>
      <c r="G319" s="170">
        <f t="shared" si="225"/>
        <v>6.8480141474876453</v>
      </c>
      <c r="H319" s="170">
        <f t="shared" si="225"/>
        <v>5.5714581027617704</v>
      </c>
      <c r="I319" s="118">
        <f t="shared" si="229"/>
        <v>5.5194589841679074</v>
      </c>
      <c r="J319" s="118">
        <f t="shared" si="226"/>
        <v>6.624201483914014</v>
      </c>
      <c r="K319" s="118">
        <f t="shared" si="227"/>
        <v>5.5702893453947633</v>
      </c>
      <c r="L319" s="118">
        <f t="shared" si="228"/>
        <v>7.6626235100198787</v>
      </c>
      <c r="M319" s="118">
        <f t="shared" si="228"/>
        <v>16.666619965966735</v>
      </c>
      <c r="N319" s="118">
        <f t="shared" si="228"/>
        <v>17.100529445137813</v>
      </c>
      <c r="O319" s="118">
        <f t="shared" si="228"/>
        <v>21.087290743898116</v>
      </c>
      <c r="P319" s="118">
        <f t="shared" si="228"/>
        <v>27.648405921868843</v>
      </c>
      <c r="Q319" s="118">
        <f t="shared" si="228"/>
        <v>30.780345995063353</v>
      </c>
      <c r="R319" s="118">
        <f t="shared" si="228"/>
        <v>30.780202485613934</v>
      </c>
      <c r="S319" s="118">
        <f t="shared" si="228"/>
        <v>32.491503380288684</v>
      </c>
      <c r="T319" s="118">
        <f t="shared" si="228"/>
        <v>33.060717101450024</v>
      </c>
      <c r="U319" s="118">
        <f t="shared" si="228"/>
        <v>33.63083853087582</v>
      </c>
      <c r="V319" s="118">
        <f t="shared" si="228"/>
        <v>34.201054903021408</v>
      </c>
      <c r="W319" s="118">
        <f t="shared" si="228"/>
        <v>34.770899646052641</v>
      </c>
      <c r="X319" s="118">
        <f t="shared" si="228"/>
        <v>35.340962057845545</v>
      </c>
      <c r="Y319" s="118">
        <f t="shared" si="228"/>
        <v>35.62599619119392</v>
      </c>
      <c r="Z319" s="118">
        <f t="shared" si="228"/>
        <v>17.356238239034543</v>
      </c>
      <c r="AA319" s="118">
        <f t="shared" si="228"/>
        <v>11.472772008283538</v>
      </c>
      <c r="AB319" s="118">
        <f t="shared" si="228"/>
        <v>8.5682732803534183</v>
      </c>
      <c r="AC319" s="118">
        <f t="shared" si="228"/>
        <v>6.8373078416127813</v>
      </c>
      <c r="AD319" s="118">
        <f t="shared" si="228"/>
        <v>5.6881809914742689</v>
      </c>
      <c r="AE319" s="118">
        <f t="shared" si="228"/>
        <v>4.8697376581607275</v>
      </c>
      <c r="AF319" s="118">
        <f t="shared" si="228"/>
        <v>4.2571919261833218</v>
      </c>
      <c r="AG319" s="118">
        <f t="shared" si="228"/>
        <v>3.7815280981991211</v>
      </c>
      <c r="AH319" s="118">
        <f t="shared" si="228"/>
        <v>3.4014750089198196</v>
      </c>
      <c r="AI319" s="118">
        <f t="shared" si="228"/>
        <v>3.0908380100697648</v>
      </c>
      <c r="AJ319" s="118">
        <f t="shared" si="228"/>
        <v>2.8321904889232425</v>
      </c>
      <c r="AK319" s="118">
        <f t="shared" si="228"/>
        <v>2.6134885171595594</v>
      </c>
      <c r="AL319" s="118">
        <f t="shared" si="228"/>
        <v>2.4261416690588526</v>
      </c>
      <c r="AM319" s="118">
        <f t="shared" si="228"/>
        <v>2.2638579470060214</v>
      </c>
    </row>
    <row r="320" spans="1:39">
      <c r="A320" s="138" t="s">
        <v>137</v>
      </c>
      <c r="B320" s="231">
        <f t="shared" si="225"/>
        <v>2.5202464814349308</v>
      </c>
      <c r="C320" s="231">
        <f t="shared" si="225"/>
        <v>3.0115524927351833</v>
      </c>
      <c r="D320" s="231">
        <f t="shared" si="225"/>
        <v>3.0965730555133129</v>
      </c>
      <c r="E320" s="170">
        <f t="shared" si="225"/>
        <v>4.6500993511810504</v>
      </c>
      <c r="F320" s="170">
        <f t="shared" si="225"/>
        <v>6.6884592593876073</v>
      </c>
      <c r="G320" s="170">
        <f t="shared" si="225"/>
        <v>6.8750433401653277</v>
      </c>
      <c r="H320" s="170">
        <f t="shared" si="225"/>
        <v>5.9387760943403425</v>
      </c>
      <c r="I320" s="118">
        <f t="shared" si="229"/>
        <v>5.5324292639378978</v>
      </c>
      <c r="J320" s="118">
        <f t="shared" si="226"/>
        <v>6.6503472853665704</v>
      </c>
      <c r="K320" s="118">
        <f t="shared" si="227"/>
        <v>5.93753028252892</v>
      </c>
      <c r="L320" s="118">
        <f t="shared" si="228"/>
        <v>8.0413840959457872</v>
      </c>
      <c r="M320" s="118">
        <f t="shared" si="228"/>
        <v>18.672104425938155</v>
      </c>
      <c r="N320" s="118">
        <f t="shared" si="228"/>
        <v>18.472715434132574</v>
      </c>
      <c r="O320" s="118">
        <f t="shared" si="228"/>
        <v>23.24914252263239</v>
      </c>
      <c r="P320" s="118">
        <f t="shared" si="228"/>
        <v>30.093339006905751</v>
      </c>
      <c r="Q320" s="118">
        <f t="shared" si="228"/>
        <v>33.586153068873003</v>
      </c>
      <c r="R320" s="118">
        <f t="shared" si="228"/>
        <v>33.665417066541181</v>
      </c>
      <c r="S320" s="118">
        <f t="shared" si="228"/>
        <v>35.453259615588209</v>
      </c>
      <c r="T320" s="118">
        <f t="shared" si="228"/>
        <v>36.10315282353087</v>
      </c>
      <c r="U320" s="118">
        <f t="shared" si="228"/>
        <v>36.734819260845583</v>
      </c>
      <c r="V320" s="118">
        <f t="shared" si="228"/>
        <v>37.341800311241641</v>
      </c>
      <c r="W320" s="118">
        <f t="shared" si="228"/>
        <v>37.971560580187599</v>
      </c>
      <c r="X320" s="118">
        <f t="shared" si="228"/>
        <v>38.594373951015505</v>
      </c>
      <c r="Y320" s="118">
        <f t="shared" si="228"/>
        <v>38.902906917742079</v>
      </c>
      <c r="Z320" s="118">
        <f t="shared" si="228"/>
        <v>18.953524346950225</v>
      </c>
      <c r="AA320" s="118">
        <f t="shared" si="228"/>
        <v>12.528527910229336</v>
      </c>
      <c r="AB320" s="118">
        <f t="shared" si="228"/>
        <v>9.3566490619058591</v>
      </c>
      <c r="AC320" s="118">
        <f t="shared" si="228"/>
        <v>7.4664844179298067</v>
      </c>
      <c r="AD320" s="118">
        <f t="shared" si="228"/>
        <v>6.2115977029948022</v>
      </c>
      <c r="AE320" s="118">
        <f t="shared" si="228"/>
        <v>5.3178353954963917</v>
      </c>
      <c r="AF320" s="118">
        <f t="shared" si="228"/>
        <v>4.648933341730463</v>
      </c>
      <c r="AG320" s="118">
        <f t="shared" si="228"/>
        <v>4.1294965511462278</v>
      </c>
      <c r="AH320" s="118">
        <f t="shared" si="228"/>
        <v>3.7144713634243169</v>
      </c>
      <c r="AI320" s="118">
        <f t="shared" si="228"/>
        <v>3.3752512714029796</v>
      </c>
      <c r="AJ320" s="118">
        <f t="shared" si="228"/>
        <v>3.0928029461839142</v>
      </c>
      <c r="AK320" s="118">
        <f t="shared" si="228"/>
        <v>2.8539764915014763</v>
      </c>
      <c r="AL320" s="118">
        <f t="shared" si="228"/>
        <v>2.6493904944732267</v>
      </c>
      <c r="AM320" s="118">
        <f t="shared" si="228"/>
        <v>2.4721736492696413</v>
      </c>
    </row>
    <row r="321" spans="1:39">
      <c r="A321" s="138" t="s">
        <v>138</v>
      </c>
      <c r="B321" s="231">
        <f t="shared" si="225"/>
        <v>2.5847262331465868</v>
      </c>
      <c r="C321" s="231">
        <f t="shared" si="225"/>
        <v>3.0920832122829602</v>
      </c>
      <c r="D321" s="231">
        <f t="shared" si="225"/>
        <v>3.1665852050983294</v>
      </c>
      <c r="E321" s="170">
        <f t="shared" si="225"/>
        <v>4.7767648265891305</v>
      </c>
      <c r="F321" s="170">
        <f t="shared" si="225"/>
        <v>6.8913252491649795</v>
      </c>
      <c r="G321" s="170">
        <f t="shared" si="225"/>
        <v>6.9147429666926534</v>
      </c>
      <c r="H321" s="170">
        <f t="shared" si="225"/>
        <v>6.1863399865155388</v>
      </c>
      <c r="I321" s="118">
        <f t="shared" si="229"/>
        <v>5.7002319962228842</v>
      </c>
      <c r="J321" s="118">
        <f t="shared" si="226"/>
        <v>6.6887494146976874</v>
      </c>
      <c r="K321" s="118">
        <f t="shared" si="227"/>
        <v>6.1850422417778619</v>
      </c>
      <c r="L321" s="118">
        <f t="shared" si="228"/>
        <v>8.4473982764397366</v>
      </c>
      <c r="M321" s="118">
        <f t="shared" si="228"/>
        <v>15.571292287792941</v>
      </c>
      <c r="N321" s="118">
        <f t="shared" si="228"/>
        <v>14.886691227977215</v>
      </c>
      <c r="O321" s="118">
        <f t="shared" ref="O321:AM323" si="230">O$324*(SUM(M31:O31)/SUM(M$34:O$34))</f>
        <v>18.038420966372229</v>
      </c>
      <c r="P321" s="118">
        <f t="shared" si="230"/>
        <v>24.433119465381541</v>
      </c>
      <c r="Q321" s="118">
        <f t="shared" si="230"/>
        <v>26.790617542259636</v>
      </c>
      <c r="R321" s="118">
        <f t="shared" si="230"/>
        <v>26.789334560025281</v>
      </c>
      <c r="S321" s="118">
        <f t="shared" si="230"/>
        <v>28.421282674254492</v>
      </c>
      <c r="T321" s="118">
        <f t="shared" si="230"/>
        <v>28.824335549382756</v>
      </c>
      <c r="U321" s="118">
        <f t="shared" si="230"/>
        <v>29.336847857776878</v>
      </c>
      <c r="V321" s="118">
        <f t="shared" si="230"/>
        <v>29.856030877196165</v>
      </c>
      <c r="W321" s="118">
        <f t="shared" si="230"/>
        <v>30.333612608173961</v>
      </c>
      <c r="X321" s="118">
        <f t="shared" si="230"/>
        <v>30.836902361277058</v>
      </c>
      <c r="Y321" s="118">
        <f t="shared" si="230"/>
        <v>31.088309769396211</v>
      </c>
      <c r="Z321" s="118">
        <f t="shared" si="230"/>
        <v>15.143723893543582</v>
      </c>
      <c r="AA321" s="118">
        <f t="shared" si="230"/>
        <v>10.01078684499304</v>
      </c>
      <c r="AB321" s="118">
        <f t="shared" si="230"/>
        <v>7.4764537608494379</v>
      </c>
      <c r="AC321" s="118">
        <f t="shared" si="230"/>
        <v>5.9659309858919007</v>
      </c>
      <c r="AD321" s="118">
        <f t="shared" si="230"/>
        <v>4.9633149539635655</v>
      </c>
      <c r="AE321" s="118">
        <f t="shared" si="230"/>
        <v>4.2491642547531612</v>
      </c>
      <c r="AF321" s="118">
        <f t="shared" si="230"/>
        <v>3.7146655734500036</v>
      </c>
      <c r="AG321" s="118">
        <f t="shared" si="230"/>
        <v>3.2996278158489849</v>
      </c>
      <c r="AH321" s="118">
        <f t="shared" si="230"/>
        <v>2.9680050864760612</v>
      </c>
      <c r="AI321" s="118">
        <f t="shared" si="230"/>
        <v>2.6969531467644678</v>
      </c>
      <c r="AJ321" s="118">
        <f t="shared" si="230"/>
        <v>2.4712679642777169</v>
      </c>
      <c r="AK321" s="118">
        <f t="shared" si="230"/>
        <v>2.2804360293597541</v>
      </c>
      <c r="AL321" s="118">
        <f t="shared" si="230"/>
        <v>2.116963816258028</v>
      </c>
      <c r="AM321" s="118">
        <f t="shared" si="230"/>
        <v>1.9753610700139808</v>
      </c>
    </row>
    <row r="322" spans="1:39">
      <c r="A322" s="138" t="s">
        <v>139</v>
      </c>
      <c r="B322" s="231">
        <f t="shared" si="225"/>
        <v>2.9383939310729614</v>
      </c>
      <c r="C322" s="231">
        <f t="shared" si="225"/>
        <v>3.5231807747056356</v>
      </c>
      <c r="D322" s="231">
        <f t="shared" si="225"/>
        <v>3.6078127955528747</v>
      </c>
      <c r="E322" s="170">
        <f t="shared" si="225"/>
        <v>5.4110097688843926</v>
      </c>
      <c r="F322" s="170">
        <f t="shared" si="225"/>
        <v>7.9072919385010509</v>
      </c>
      <c r="G322" s="170">
        <f t="shared" si="225"/>
        <v>7.8758987301989745</v>
      </c>
      <c r="H322" s="170">
        <f t="shared" si="225"/>
        <v>6.8834007556386672</v>
      </c>
      <c r="I322" s="118">
        <f t="shared" si="229"/>
        <v>6.5405995046860541</v>
      </c>
      <c r="J322" s="118">
        <f t="shared" si="226"/>
        <v>7.6184918623278408</v>
      </c>
      <c r="K322" s="118">
        <f t="shared" si="227"/>
        <v>6.8819567843846743</v>
      </c>
      <c r="L322" s="118">
        <f t="shared" ref="L322:N323" si="231">L$324*(SUM(J32:L32)/SUM(J$34:L$34))</f>
        <v>9.7877601006285353</v>
      </c>
      <c r="M322" s="118">
        <f t="shared" si="231"/>
        <v>19.757104669846687</v>
      </c>
      <c r="N322" s="118">
        <f t="shared" si="231"/>
        <v>19.338018470802886</v>
      </c>
      <c r="O322" s="118">
        <f t="shared" si="230"/>
        <v>23.398071326140968</v>
      </c>
      <c r="P322" s="118">
        <f t="shared" si="230"/>
        <v>31.25465886579072</v>
      </c>
      <c r="Q322" s="118">
        <f t="shared" si="230"/>
        <v>34.575355839039453</v>
      </c>
      <c r="R322" s="118">
        <f t="shared" si="230"/>
        <v>34.520251276029782</v>
      </c>
      <c r="S322" s="118">
        <f t="shared" si="230"/>
        <v>36.553374710026823</v>
      </c>
      <c r="T322" s="118">
        <f t="shared" si="230"/>
        <v>37.13649425218658</v>
      </c>
      <c r="U322" s="118">
        <f t="shared" si="230"/>
        <v>37.776778933731741</v>
      </c>
      <c r="V322" s="118">
        <f t="shared" si="230"/>
        <v>38.436780997940801</v>
      </c>
      <c r="W322" s="118">
        <f t="shared" si="230"/>
        <v>39.064141079690486</v>
      </c>
      <c r="X322" s="118">
        <f t="shared" si="230"/>
        <v>39.706763052845147</v>
      </c>
      <c r="Y322" s="118">
        <f t="shared" si="230"/>
        <v>40.029956109698404</v>
      </c>
      <c r="Z322" s="118">
        <f t="shared" si="230"/>
        <v>19.500445330672328</v>
      </c>
      <c r="AA322" s="118">
        <f t="shared" si="230"/>
        <v>12.890390580649173</v>
      </c>
      <c r="AB322" s="118">
        <f t="shared" si="230"/>
        <v>9.6270868280117785</v>
      </c>
      <c r="AC322" s="118">
        <f t="shared" si="230"/>
        <v>7.6821221264897401</v>
      </c>
      <c r="AD322" s="118">
        <f t="shared" si="230"/>
        <v>6.3910448016630692</v>
      </c>
      <c r="AE322" s="118">
        <f t="shared" si="230"/>
        <v>5.4714730967225904</v>
      </c>
      <c r="AF322" s="118">
        <f t="shared" si="230"/>
        <v>4.7832267974105438</v>
      </c>
      <c r="AG322" s="118">
        <f t="shared" si="230"/>
        <v>4.2487935803177326</v>
      </c>
      <c r="AH322" s="118">
        <f t="shared" si="230"/>
        <v>3.8217786802505711</v>
      </c>
      <c r="AI322" s="118">
        <f t="shared" si="230"/>
        <v>3.4727565738736899</v>
      </c>
      <c r="AJ322" s="118">
        <f t="shared" si="230"/>
        <v>3.1821502063111242</v>
      </c>
      <c r="AK322" s="118">
        <f t="shared" si="230"/>
        <v>2.9364241265850199</v>
      </c>
      <c r="AL322" s="118">
        <f t="shared" si="230"/>
        <v>2.7259276436944058</v>
      </c>
      <c r="AM322" s="118">
        <f t="shared" si="230"/>
        <v>2.5435914834834095</v>
      </c>
    </row>
    <row r="323" spans="1:39">
      <c r="A323" s="138" t="s">
        <v>140</v>
      </c>
      <c r="B323" s="231">
        <f t="shared" si="225"/>
        <v>2.6813750052262444</v>
      </c>
      <c r="C323" s="231">
        <f t="shared" si="225"/>
        <v>3.197348876749579</v>
      </c>
      <c r="D323" s="231">
        <f t="shared" si="225"/>
        <v>3.2971254556090712</v>
      </c>
      <c r="E323" s="170">
        <f t="shared" si="225"/>
        <v>4.9519123925698265</v>
      </c>
      <c r="F323" s="170">
        <f t="shared" si="225"/>
        <v>7.0545861560461001</v>
      </c>
      <c r="G323" s="170">
        <f t="shared" si="225"/>
        <v>7.4063643120270033</v>
      </c>
      <c r="H323" s="170">
        <f t="shared" si="225"/>
        <v>6.3268010024297476</v>
      </c>
      <c r="I323" s="118">
        <f t="shared" si="229"/>
        <v>5.8352749685813423</v>
      </c>
      <c r="J323" s="118">
        <f t="shared" si="226"/>
        <v>7.1643031701586581</v>
      </c>
      <c r="K323" s="118">
        <f t="shared" si="227"/>
        <v>6.3254737923628692</v>
      </c>
      <c r="L323" s="118">
        <f t="shared" si="231"/>
        <v>9.0770206895313059</v>
      </c>
      <c r="M323" s="118">
        <f t="shared" si="231"/>
        <v>20.118564869130893</v>
      </c>
      <c r="N323" s="118">
        <f t="shared" si="231"/>
        <v>25.012722886186101</v>
      </c>
      <c r="O323" s="118">
        <f t="shared" si="230"/>
        <v>31.84765128667059</v>
      </c>
      <c r="P323" s="118">
        <f t="shared" si="230"/>
        <v>43.902657292321223</v>
      </c>
      <c r="Q323" s="118">
        <f t="shared" si="230"/>
        <v>47.02319212206843</v>
      </c>
      <c r="R323" s="118">
        <f t="shared" si="230"/>
        <v>47.496104353995186</v>
      </c>
      <c r="S323" s="118">
        <f t="shared" si="230"/>
        <v>50.449932431224873</v>
      </c>
      <c r="T323" s="118">
        <f t="shared" si="230"/>
        <v>50.962090523705733</v>
      </c>
      <c r="U323" s="118">
        <f t="shared" si="230"/>
        <v>51.984609421638034</v>
      </c>
      <c r="V323" s="118">
        <f t="shared" si="230"/>
        <v>52.895413802901736</v>
      </c>
      <c r="W323" s="118">
        <f t="shared" si="230"/>
        <v>53.708282238725893</v>
      </c>
      <c r="X323" s="118">
        <f t="shared" si="230"/>
        <v>54.62486433614167</v>
      </c>
      <c r="Y323" s="118">
        <f t="shared" si="230"/>
        <v>55.06439937687351</v>
      </c>
      <c r="Z323" s="118">
        <f t="shared" si="230"/>
        <v>26.820685256369099</v>
      </c>
      <c r="AA323" s="118">
        <f t="shared" si="230"/>
        <v>17.731484036361014</v>
      </c>
      <c r="AB323" s="118">
        <f t="shared" si="230"/>
        <v>13.242142916895745</v>
      </c>
      <c r="AC323" s="118">
        <f t="shared" si="230"/>
        <v>10.566645028883693</v>
      </c>
      <c r="AD323" s="118">
        <f t="shared" si="230"/>
        <v>8.7909935754609148</v>
      </c>
      <c r="AE323" s="118">
        <f t="shared" si="230"/>
        <v>7.526032095381523</v>
      </c>
      <c r="AF323" s="118">
        <f t="shared" si="230"/>
        <v>6.5793386888833609</v>
      </c>
      <c r="AG323" s="118">
        <f t="shared" si="230"/>
        <v>5.8442486932408482</v>
      </c>
      <c r="AH323" s="118">
        <f t="shared" si="230"/>
        <v>5.2568740852271354</v>
      </c>
      <c r="AI323" s="118">
        <f t="shared" si="230"/>
        <v>4.7767934712066458</v>
      </c>
      <c r="AJ323" s="118">
        <f t="shared" si="230"/>
        <v>4.3770658706339818</v>
      </c>
      <c r="AK323" s="118">
        <f t="shared" si="230"/>
        <v>4.039066224241922</v>
      </c>
      <c r="AL323" s="118">
        <f t="shared" si="230"/>
        <v>3.7495276766480665</v>
      </c>
      <c r="AM323" s="118">
        <f t="shared" si="230"/>
        <v>3.4987236532274109</v>
      </c>
    </row>
    <row r="324" spans="1:39" ht="12" thickBot="1">
      <c r="A324" s="138" t="s">
        <v>141</v>
      </c>
      <c r="B324" s="232">
        <f>B224</f>
        <v>30</v>
      </c>
      <c r="C324" s="232">
        <f t="shared" ref="C324:H324" si="232">C224</f>
        <v>36</v>
      </c>
      <c r="D324" s="232">
        <f t="shared" si="232"/>
        <v>37</v>
      </c>
      <c r="E324" s="13">
        <f t="shared" si="232"/>
        <v>55</v>
      </c>
      <c r="F324" s="13">
        <f t="shared" si="232"/>
        <v>81</v>
      </c>
      <c r="G324" s="13">
        <f t="shared" si="232"/>
        <v>82</v>
      </c>
      <c r="H324" s="13">
        <f t="shared" si="232"/>
        <v>68</v>
      </c>
      <c r="I324" s="13">
        <f>I224</f>
        <v>67</v>
      </c>
      <c r="J324" s="13">
        <f t="shared" ref="J324:AK324" si="233">J224</f>
        <v>79.320005768421083</v>
      </c>
      <c r="K324" s="13">
        <f t="shared" si="233"/>
        <v>67.985735242105278</v>
      </c>
      <c r="L324" s="13">
        <f t="shared" si="233"/>
        <v>93.566382778947386</v>
      </c>
      <c r="M324" s="13">
        <f t="shared" si="233"/>
        <v>206.30103343157899</v>
      </c>
      <c r="N324" s="13">
        <f t="shared" si="233"/>
        <v>209.12204781018056</v>
      </c>
      <c r="O324" s="13">
        <f t="shared" si="233"/>
        <v>257.91719229922268</v>
      </c>
      <c r="P324" s="13">
        <f t="shared" si="233"/>
        <v>338.08064395979187</v>
      </c>
      <c r="Q324" s="13">
        <f t="shared" si="233"/>
        <v>376.419686058325</v>
      </c>
      <c r="R324" s="13">
        <f t="shared" si="233"/>
        <v>376.419686058325</v>
      </c>
      <c r="S324" s="13">
        <f t="shared" si="233"/>
        <v>397.33189083934303</v>
      </c>
      <c r="T324" s="13">
        <f t="shared" si="233"/>
        <v>404.30262576634914</v>
      </c>
      <c r="U324" s="13">
        <f t="shared" si="233"/>
        <v>411.27336069335502</v>
      </c>
      <c r="V324" s="13">
        <f t="shared" si="233"/>
        <v>418.24409562036112</v>
      </c>
      <c r="W324" s="13">
        <f t="shared" si="233"/>
        <v>425.21483054736711</v>
      </c>
      <c r="X324" s="13">
        <f t="shared" si="233"/>
        <v>432.18556547437311</v>
      </c>
      <c r="Y324" s="13">
        <f t="shared" si="233"/>
        <v>435.67093293787616</v>
      </c>
      <c r="Z324" s="13">
        <f t="shared" si="233"/>
        <v>212.24994168768328</v>
      </c>
      <c r="AA324" s="13">
        <f t="shared" si="233"/>
        <v>140.3008089121974</v>
      </c>
      <c r="AB324" s="13">
        <f t="shared" si="233"/>
        <v>104.78161678252717</v>
      </c>
      <c r="AC324" s="13">
        <f t="shared" si="233"/>
        <v>83.613613392117642</v>
      </c>
      <c r="AD324" s="13">
        <f t="shared" si="233"/>
        <v>69.560905258988612</v>
      </c>
      <c r="AE324" s="13">
        <f t="shared" si="233"/>
        <v>59.552141912371553</v>
      </c>
      <c r="AF324" s="13">
        <f t="shared" si="233"/>
        <v>52.061306451695884</v>
      </c>
      <c r="AG324" s="13">
        <f t="shared" si="233"/>
        <v>46.244400702903057</v>
      </c>
      <c r="AH324" s="13">
        <f t="shared" si="233"/>
        <v>41.596722240299734</v>
      </c>
      <c r="AI324" s="13">
        <f t="shared" si="233"/>
        <v>37.79793482109428</v>
      </c>
      <c r="AJ324" s="13">
        <f t="shared" si="233"/>
        <v>34.634927723094755</v>
      </c>
      <c r="AK324" s="13">
        <f t="shared" si="233"/>
        <v>31.960415929805585</v>
      </c>
      <c r="AL324" s="13">
        <f>AL224</f>
        <v>29.669346687525618</v>
      </c>
      <c r="AM324" s="13">
        <f>AM224</f>
        <v>27.684775002741294</v>
      </c>
    </row>
    <row r="325" spans="1:39">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row>
  </sheetData>
  <mergeCells count="12">
    <mergeCell ref="AP60:AP61"/>
    <mergeCell ref="AP62:AP63"/>
    <mergeCell ref="AP64:AP65"/>
    <mergeCell ref="AP76:AP77"/>
    <mergeCell ref="AP78:AP79"/>
    <mergeCell ref="AP80:AP81"/>
    <mergeCell ref="AP28:AP29"/>
    <mergeCell ref="AP30:AP31"/>
    <mergeCell ref="AP32:AP33"/>
    <mergeCell ref="AP44:AP45"/>
    <mergeCell ref="AP46:AP47"/>
    <mergeCell ref="AP48:AP4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368F-5D00-42A5-92AA-BA855CD50986}">
  <dimension ref="A1:AF90"/>
  <sheetViews>
    <sheetView zoomScale="115" zoomScaleNormal="115" workbookViewId="0">
      <pane xSplit="1" ySplit="2" topLeftCell="B3"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32" width="10.83203125" style="113" customWidth="1"/>
    <col min="33" max="16384" width="9.33203125" style="113"/>
  </cols>
  <sheetData>
    <row r="1" spans="1:32">
      <c r="A1" s="111" t="s">
        <v>259</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row>
    <row r="2" spans="1:32" ht="12" thickBot="1">
      <c r="A2" s="168" t="s">
        <v>198</v>
      </c>
      <c r="B2" s="169">
        <v>2020</v>
      </c>
      <c r="C2" s="169">
        <v>2021</v>
      </c>
      <c r="D2" s="169">
        <v>2022</v>
      </c>
      <c r="E2" s="169">
        <v>2023</v>
      </c>
      <c r="F2" s="169">
        <v>2024</v>
      </c>
      <c r="G2" s="169">
        <v>2025</v>
      </c>
      <c r="H2" s="169">
        <v>2026</v>
      </c>
      <c r="I2" s="169">
        <v>2027</v>
      </c>
      <c r="J2" s="169">
        <v>2028</v>
      </c>
      <c r="K2" s="169">
        <v>2029</v>
      </c>
      <c r="L2" s="169">
        <v>2030</v>
      </c>
      <c r="M2" s="169">
        <v>2031</v>
      </c>
      <c r="N2" s="169">
        <v>2032</v>
      </c>
      <c r="O2" s="169">
        <v>2033</v>
      </c>
      <c r="P2" s="169">
        <v>2034</v>
      </c>
      <c r="Q2" s="169">
        <v>2035</v>
      </c>
      <c r="R2" s="169">
        <v>2036</v>
      </c>
      <c r="S2" s="169">
        <v>2037</v>
      </c>
      <c r="T2" s="169">
        <v>2038</v>
      </c>
      <c r="U2" s="169">
        <v>2039</v>
      </c>
      <c r="V2" s="169">
        <v>2040</v>
      </c>
      <c r="W2" s="169">
        <v>2041</v>
      </c>
      <c r="X2" s="169">
        <v>2042</v>
      </c>
      <c r="Y2" s="169">
        <v>2043</v>
      </c>
      <c r="Z2" s="169">
        <v>2044</v>
      </c>
      <c r="AA2" s="169">
        <v>2045</v>
      </c>
      <c r="AB2" s="169">
        <v>2046</v>
      </c>
      <c r="AC2" s="169">
        <v>2047</v>
      </c>
      <c r="AD2" s="169">
        <v>2048</v>
      </c>
      <c r="AE2" s="169">
        <v>2049</v>
      </c>
      <c r="AF2" s="169">
        <v>2050</v>
      </c>
    </row>
    <row r="3" spans="1:32" ht="12" thickTop="1">
      <c r="A3" s="116" t="s">
        <v>120</v>
      </c>
      <c r="B3" s="13">
        <v>108801</v>
      </c>
      <c r="C3" s="13">
        <f t="shared" ref="C3:AF3" si="0">B10</f>
        <v>123305</v>
      </c>
      <c r="D3" s="13">
        <f t="shared" si="0"/>
        <v>124322</v>
      </c>
      <c r="E3" s="13">
        <f t="shared" si="0"/>
        <v>108601</v>
      </c>
      <c r="F3" s="13">
        <f t="shared" si="0"/>
        <v>158521</v>
      </c>
      <c r="G3" s="13">
        <f t="shared" si="0"/>
        <v>161762</v>
      </c>
      <c r="H3" s="13">
        <f t="shared" si="0"/>
        <v>158520.99999999988</v>
      </c>
      <c r="I3" s="13">
        <f t="shared" si="0"/>
        <v>161762</v>
      </c>
      <c r="J3" s="13">
        <f t="shared" si="0"/>
        <v>158520.99999999988</v>
      </c>
      <c r="K3" s="13">
        <f t="shared" si="0"/>
        <v>161762</v>
      </c>
      <c r="L3" s="13">
        <f t="shared" si="0"/>
        <v>158520.99999999988</v>
      </c>
      <c r="M3" s="13">
        <f t="shared" si="0"/>
        <v>161762</v>
      </c>
      <c r="N3" s="13">
        <f t="shared" si="0"/>
        <v>158520.99999999988</v>
      </c>
      <c r="O3" s="13">
        <f t="shared" si="0"/>
        <v>161762</v>
      </c>
      <c r="P3" s="13">
        <f t="shared" si="0"/>
        <v>158520.99999999988</v>
      </c>
      <c r="Q3" s="13">
        <f t="shared" si="0"/>
        <v>161762</v>
      </c>
      <c r="R3" s="13">
        <f t="shared" si="0"/>
        <v>158520.99999999988</v>
      </c>
      <c r="S3" s="13">
        <f t="shared" si="0"/>
        <v>161762</v>
      </c>
      <c r="T3" s="13">
        <f t="shared" si="0"/>
        <v>158520.99999999988</v>
      </c>
      <c r="U3" s="13">
        <f t="shared" si="0"/>
        <v>161762</v>
      </c>
      <c r="V3" s="13">
        <f t="shared" si="0"/>
        <v>158520.99999999988</v>
      </c>
      <c r="W3" s="13">
        <f t="shared" si="0"/>
        <v>161762</v>
      </c>
      <c r="X3" s="13">
        <f t="shared" si="0"/>
        <v>158520.99999999988</v>
      </c>
      <c r="Y3" s="13">
        <f t="shared" si="0"/>
        <v>161762</v>
      </c>
      <c r="Z3" s="13">
        <f t="shared" si="0"/>
        <v>158520.99999999988</v>
      </c>
      <c r="AA3" s="13">
        <f t="shared" si="0"/>
        <v>161762</v>
      </c>
      <c r="AB3" s="13">
        <f t="shared" si="0"/>
        <v>158520.99999999988</v>
      </c>
      <c r="AC3" s="13">
        <f t="shared" si="0"/>
        <v>161762</v>
      </c>
      <c r="AD3" s="13">
        <f t="shared" si="0"/>
        <v>158520.99999999988</v>
      </c>
      <c r="AE3" s="13">
        <f t="shared" si="0"/>
        <v>161762</v>
      </c>
      <c r="AF3" s="13">
        <f t="shared" si="0"/>
        <v>158520.99999999988</v>
      </c>
    </row>
    <row r="4" spans="1:32">
      <c r="A4" s="116" t="s">
        <v>260</v>
      </c>
      <c r="B4" s="13">
        <f>B26</f>
        <v>4881561</v>
      </c>
      <c r="C4" s="13">
        <f>C26</f>
        <v>4802282</v>
      </c>
      <c r="D4" s="13">
        <f>D26</f>
        <v>4798307</v>
      </c>
      <c r="E4" s="13">
        <f t="shared" ref="E4:R4" si="1">D4*1.001</f>
        <v>4803105.3069999991</v>
      </c>
      <c r="F4" s="13">
        <f t="shared" si="1"/>
        <v>4807908.4123069989</v>
      </c>
      <c r="G4" s="13">
        <f t="shared" si="1"/>
        <v>4812716.3207193054</v>
      </c>
      <c r="H4" s="13">
        <f t="shared" si="1"/>
        <v>4817529.0370400241</v>
      </c>
      <c r="I4" s="13">
        <f t="shared" si="1"/>
        <v>4822346.5660770638</v>
      </c>
      <c r="J4" s="13">
        <f t="shared" si="1"/>
        <v>4827168.9126431402</v>
      </c>
      <c r="K4" s="13">
        <f t="shared" si="1"/>
        <v>4831996.0815557828</v>
      </c>
      <c r="L4" s="13">
        <f t="shared" si="1"/>
        <v>4836828.0776373381</v>
      </c>
      <c r="M4" s="13">
        <f t="shared" si="1"/>
        <v>4841664.9057149747</v>
      </c>
      <c r="N4" s="13">
        <f t="shared" si="1"/>
        <v>4846506.5706206895</v>
      </c>
      <c r="O4" s="13">
        <f t="shared" si="1"/>
        <v>4851353.07719131</v>
      </c>
      <c r="P4" s="13">
        <f t="shared" si="1"/>
        <v>4856204.4302685009</v>
      </c>
      <c r="Q4" s="13">
        <f t="shared" si="1"/>
        <v>4861060.6346987691</v>
      </c>
      <c r="R4" s="13">
        <f t="shared" si="1"/>
        <v>4865921.6953334669</v>
      </c>
      <c r="S4" s="13">
        <f>R4*1.001</f>
        <v>4870787.6170287998</v>
      </c>
      <c r="T4" s="13">
        <f t="shared" ref="T4:AF4" si="2">S4*1.001</f>
        <v>4875658.4046458285</v>
      </c>
      <c r="U4" s="13">
        <f t="shared" si="2"/>
        <v>4880534.063050474</v>
      </c>
      <c r="V4" s="13">
        <f t="shared" si="2"/>
        <v>4885414.5971135236</v>
      </c>
      <c r="W4" s="13">
        <f t="shared" si="2"/>
        <v>4890300.0117106363</v>
      </c>
      <c r="X4" s="13">
        <f t="shared" si="2"/>
        <v>4895190.3117223466</v>
      </c>
      <c r="Y4" s="13">
        <f t="shared" si="2"/>
        <v>4900085.5020340681</v>
      </c>
      <c r="Z4" s="13">
        <f t="shared" si="2"/>
        <v>4904985.5875361012</v>
      </c>
      <c r="AA4" s="13">
        <f t="shared" si="2"/>
        <v>4909890.5731236367</v>
      </c>
      <c r="AB4" s="13">
        <f t="shared" si="2"/>
        <v>4914800.4636967601</v>
      </c>
      <c r="AC4" s="13">
        <f t="shared" si="2"/>
        <v>4919715.2641604561</v>
      </c>
      <c r="AD4" s="13">
        <f t="shared" si="2"/>
        <v>4924634.9794246163</v>
      </c>
      <c r="AE4" s="13">
        <f t="shared" si="2"/>
        <v>4929559.6144040404</v>
      </c>
      <c r="AF4" s="13">
        <f t="shared" si="2"/>
        <v>4934489.1740184436</v>
      </c>
    </row>
    <row r="5" spans="1:32">
      <c r="A5" s="116" t="s">
        <v>122</v>
      </c>
      <c r="B5" s="13">
        <f t="shared" ref="B5:O5" si="3">SUM(B3:B4)</f>
        <v>4990362</v>
      </c>
      <c r="C5" s="13">
        <f t="shared" si="3"/>
        <v>4925587</v>
      </c>
      <c r="D5" s="13">
        <f t="shared" si="3"/>
        <v>4922629</v>
      </c>
      <c r="E5" s="13">
        <f t="shared" si="3"/>
        <v>4911706.3069999991</v>
      </c>
      <c r="F5" s="13">
        <f t="shared" si="3"/>
        <v>4966429.4123069989</v>
      </c>
      <c r="G5" s="13">
        <f t="shared" si="3"/>
        <v>4974478.3207193054</v>
      </c>
      <c r="H5" s="13">
        <f t="shared" si="3"/>
        <v>4976050.0370400241</v>
      </c>
      <c r="I5" s="13">
        <f t="shared" si="3"/>
        <v>4984108.5660770638</v>
      </c>
      <c r="J5" s="13">
        <f t="shared" si="3"/>
        <v>4985689.9126431402</v>
      </c>
      <c r="K5" s="13">
        <f t="shared" si="3"/>
        <v>4993758.0815557828</v>
      </c>
      <c r="L5" s="13">
        <f t="shared" si="3"/>
        <v>4995349.0776373381</v>
      </c>
      <c r="M5" s="13">
        <f t="shared" si="3"/>
        <v>5003426.9057149747</v>
      </c>
      <c r="N5" s="13">
        <f t="shared" si="3"/>
        <v>5005027.5706206895</v>
      </c>
      <c r="O5" s="13">
        <f t="shared" si="3"/>
        <v>5013115.07719131</v>
      </c>
      <c r="P5" s="13">
        <f t="shared" ref="P5:AF5" si="4">SUM(P3:P4)</f>
        <v>5014725.4302685009</v>
      </c>
      <c r="Q5" s="13">
        <f t="shared" si="4"/>
        <v>5022822.6346987691</v>
      </c>
      <c r="R5" s="13">
        <f t="shared" si="4"/>
        <v>5024442.6953334669</v>
      </c>
      <c r="S5" s="13">
        <f t="shared" si="4"/>
        <v>5032549.6170287998</v>
      </c>
      <c r="T5" s="13">
        <f t="shared" si="4"/>
        <v>5034179.4046458285</v>
      </c>
      <c r="U5" s="13">
        <f t="shared" si="4"/>
        <v>5042296.063050474</v>
      </c>
      <c r="V5" s="13">
        <f t="shared" si="4"/>
        <v>5043935.5971135236</v>
      </c>
      <c r="W5" s="13">
        <f t="shared" si="4"/>
        <v>5052062.0117106363</v>
      </c>
      <c r="X5" s="13">
        <f t="shared" si="4"/>
        <v>5053711.3117223466</v>
      </c>
      <c r="Y5" s="13">
        <f t="shared" si="4"/>
        <v>5061847.5020340681</v>
      </c>
      <c r="Z5" s="13">
        <f t="shared" si="4"/>
        <v>5063506.5875361012</v>
      </c>
      <c r="AA5" s="13">
        <f t="shared" si="4"/>
        <v>5071652.5731236367</v>
      </c>
      <c r="AB5" s="13">
        <f t="shared" si="4"/>
        <v>5073321.4636967601</v>
      </c>
      <c r="AC5" s="13">
        <f t="shared" si="4"/>
        <v>5081477.2641604561</v>
      </c>
      <c r="AD5" s="13">
        <f t="shared" si="4"/>
        <v>5083155.9794246163</v>
      </c>
      <c r="AE5" s="13">
        <f t="shared" si="4"/>
        <v>5091321.6144040404</v>
      </c>
      <c r="AF5" s="13">
        <f t="shared" si="4"/>
        <v>5093010.1740184436</v>
      </c>
    </row>
    <row r="6" spans="1:32">
      <c r="A6" s="116" t="s">
        <v>261</v>
      </c>
      <c r="B6" s="13">
        <f>B42</f>
        <v>4834021</v>
      </c>
      <c r="C6" s="13">
        <f>C42</f>
        <v>4772466</v>
      </c>
      <c r="D6" s="13">
        <f>D42</f>
        <v>4816431</v>
      </c>
      <c r="E6" s="13">
        <f t="shared" ref="E6:AF6" si="5">D6*1.01</f>
        <v>4864595.3099999996</v>
      </c>
      <c r="F6" s="13">
        <f t="shared" si="5"/>
        <v>4913241.2630999992</v>
      </c>
      <c r="G6" s="13">
        <f t="shared" si="5"/>
        <v>4962373.6757309996</v>
      </c>
      <c r="H6" s="13">
        <f t="shared" si="5"/>
        <v>5011997.4124883097</v>
      </c>
      <c r="I6" s="13">
        <f t="shared" si="5"/>
        <v>5062117.386613193</v>
      </c>
      <c r="J6" s="13">
        <f t="shared" si="5"/>
        <v>5112738.5604793252</v>
      </c>
      <c r="K6" s="13">
        <f t="shared" si="5"/>
        <v>5163865.9460841184</v>
      </c>
      <c r="L6" s="13">
        <f t="shared" si="5"/>
        <v>5215504.6055449601</v>
      </c>
      <c r="M6" s="13">
        <f t="shared" si="5"/>
        <v>5267659.6516004102</v>
      </c>
      <c r="N6" s="13">
        <f t="shared" si="5"/>
        <v>5320336.2481164141</v>
      </c>
      <c r="O6" s="13">
        <f t="shared" si="5"/>
        <v>5373539.6105975779</v>
      </c>
      <c r="P6" s="13">
        <f t="shared" si="5"/>
        <v>5427275.0067035537</v>
      </c>
      <c r="Q6" s="13">
        <f t="shared" si="5"/>
        <v>5481547.7567705894</v>
      </c>
      <c r="R6" s="13">
        <f t="shared" si="5"/>
        <v>5536363.2343382956</v>
      </c>
      <c r="S6" s="13">
        <f t="shared" si="5"/>
        <v>5591726.8666816782</v>
      </c>
      <c r="T6" s="13">
        <f t="shared" si="5"/>
        <v>5647644.1353484951</v>
      </c>
      <c r="U6" s="13">
        <f t="shared" si="5"/>
        <v>5704120.5767019801</v>
      </c>
      <c r="V6" s="13">
        <f t="shared" si="5"/>
        <v>5761161.7824689997</v>
      </c>
      <c r="W6" s="13">
        <f t="shared" si="5"/>
        <v>5818773.4002936902</v>
      </c>
      <c r="X6" s="13">
        <f t="shared" si="5"/>
        <v>5876961.1342966268</v>
      </c>
      <c r="Y6" s="13">
        <f t="shared" si="5"/>
        <v>5935730.7456395933</v>
      </c>
      <c r="Z6" s="13">
        <f t="shared" si="5"/>
        <v>5995088.0530959889</v>
      </c>
      <c r="AA6" s="13">
        <f t="shared" si="5"/>
        <v>6055038.9336269489</v>
      </c>
      <c r="AB6" s="13">
        <f t="shared" si="5"/>
        <v>6115589.3229632182</v>
      </c>
      <c r="AC6" s="13">
        <f t="shared" si="5"/>
        <v>6176745.2161928508</v>
      </c>
      <c r="AD6" s="13">
        <f t="shared" si="5"/>
        <v>6238512.6683547795</v>
      </c>
      <c r="AE6" s="13">
        <f t="shared" si="5"/>
        <v>6300897.7950383276</v>
      </c>
      <c r="AF6" s="13">
        <f t="shared" si="5"/>
        <v>6363906.7729887106</v>
      </c>
    </row>
    <row r="7" spans="1:32">
      <c r="A7" s="116" t="s">
        <v>124</v>
      </c>
      <c r="B7" s="13">
        <f t="shared" ref="B7:AF7" si="6">B58</f>
        <v>264</v>
      </c>
      <c r="C7" s="13">
        <f t="shared" si="6"/>
        <v>1075</v>
      </c>
      <c r="D7" s="13">
        <f t="shared" si="6"/>
        <v>414</v>
      </c>
      <c r="E7" s="13">
        <f t="shared" si="6"/>
        <v>453</v>
      </c>
      <c r="F7" s="13">
        <f t="shared" si="6"/>
        <v>684</v>
      </c>
      <c r="G7" s="13">
        <f t="shared" si="6"/>
        <v>0</v>
      </c>
      <c r="H7" s="13">
        <f t="shared" si="6"/>
        <v>0</v>
      </c>
      <c r="I7" s="13">
        <f t="shared" si="6"/>
        <v>0</v>
      </c>
      <c r="J7" s="13">
        <f t="shared" si="6"/>
        <v>0</v>
      </c>
      <c r="K7" s="13">
        <f t="shared" si="6"/>
        <v>0</v>
      </c>
      <c r="L7" s="13">
        <f t="shared" si="6"/>
        <v>0</v>
      </c>
      <c r="M7" s="13">
        <f t="shared" si="6"/>
        <v>0</v>
      </c>
      <c r="N7" s="13">
        <f t="shared" si="6"/>
        <v>0</v>
      </c>
      <c r="O7" s="13">
        <f t="shared" si="6"/>
        <v>0</v>
      </c>
      <c r="P7" s="13">
        <f t="shared" si="6"/>
        <v>0</v>
      </c>
      <c r="Q7" s="13">
        <f t="shared" si="6"/>
        <v>0</v>
      </c>
      <c r="R7" s="13">
        <f t="shared" si="6"/>
        <v>0</v>
      </c>
      <c r="S7" s="13">
        <f t="shared" si="6"/>
        <v>0</v>
      </c>
      <c r="T7" s="13">
        <f t="shared" si="6"/>
        <v>0</v>
      </c>
      <c r="U7" s="13">
        <f t="shared" si="6"/>
        <v>0</v>
      </c>
      <c r="V7" s="13">
        <f t="shared" si="6"/>
        <v>0</v>
      </c>
      <c r="W7" s="13">
        <f t="shared" si="6"/>
        <v>0</v>
      </c>
      <c r="X7" s="13">
        <f t="shared" si="6"/>
        <v>0</v>
      </c>
      <c r="Y7" s="13">
        <f t="shared" si="6"/>
        <v>0</v>
      </c>
      <c r="Z7" s="13">
        <f t="shared" si="6"/>
        <v>0</v>
      </c>
      <c r="AA7" s="13">
        <f t="shared" si="6"/>
        <v>0</v>
      </c>
      <c r="AB7" s="13">
        <f t="shared" si="6"/>
        <v>0</v>
      </c>
      <c r="AC7" s="13">
        <f t="shared" si="6"/>
        <v>0</v>
      </c>
      <c r="AD7" s="13">
        <f t="shared" si="6"/>
        <v>0</v>
      </c>
      <c r="AE7" s="13">
        <f t="shared" si="6"/>
        <v>0</v>
      </c>
      <c r="AF7" s="13">
        <f t="shared" si="6"/>
        <v>0</v>
      </c>
    </row>
    <row r="8" spans="1:32">
      <c r="A8" s="116" t="s">
        <v>125</v>
      </c>
      <c r="B8" s="13">
        <f t="shared" ref="B8:O8" si="7">B9-SUM(B6:B7)</f>
        <v>32772</v>
      </c>
      <c r="C8" s="13">
        <f t="shared" si="7"/>
        <v>27724</v>
      </c>
      <c r="D8" s="13">
        <f t="shared" si="7"/>
        <v>-2817</v>
      </c>
      <c r="E8" s="13">
        <f t="shared" si="7"/>
        <v>-111863.00300000049</v>
      </c>
      <c r="F8" s="13">
        <f t="shared" si="7"/>
        <v>-109257.85079300031</v>
      </c>
      <c r="G8" s="13">
        <f t="shared" si="7"/>
        <v>-146416.35501169413</v>
      </c>
      <c r="H8" s="13">
        <f t="shared" si="7"/>
        <v>-197709.3754482856</v>
      </c>
      <c r="I8" s="13">
        <f t="shared" si="7"/>
        <v>-236529.82053612918</v>
      </c>
      <c r="J8" s="13">
        <f t="shared" si="7"/>
        <v>-288810.64783618506</v>
      </c>
      <c r="K8" s="13">
        <f t="shared" si="7"/>
        <v>-328628.86452833563</v>
      </c>
      <c r="L8" s="13">
        <f t="shared" si="7"/>
        <v>-381917.52790762205</v>
      </c>
      <c r="M8" s="13">
        <f t="shared" si="7"/>
        <v>-422753.74588543549</v>
      </c>
      <c r="N8" s="13">
        <f t="shared" si="7"/>
        <v>-477070.67749572452</v>
      </c>
      <c r="O8" s="13">
        <f t="shared" si="7"/>
        <v>-518945.53340626787</v>
      </c>
      <c r="P8" s="13">
        <f t="shared" ref="P8:AF8" si="8">P9-SUM(P6:P7)</f>
        <v>-574311.57643505279</v>
      </c>
      <c r="Q8" s="13">
        <f t="shared" si="8"/>
        <v>-617246.12207182031</v>
      </c>
      <c r="R8" s="13">
        <f t="shared" si="8"/>
        <v>-673682.53900482878</v>
      </c>
      <c r="S8" s="13">
        <f t="shared" si="8"/>
        <v>-717698.24965287838</v>
      </c>
      <c r="T8" s="13">
        <f t="shared" si="8"/>
        <v>-775226.73070266657</v>
      </c>
      <c r="U8" s="13">
        <f t="shared" si="8"/>
        <v>-820345.51365150604</v>
      </c>
      <c r="V8" s="13">
        <f t="shared" si="8"/>
        <v>-878988.1853554761</v>
      </c>
      <c r="W8" s="13">
        <f t="shared" si="8"/>
        <v>-925232.38858305383</v>
      </c>
      <c r="X8" s="13">
        <f t="shared" si="8"/>
        <v>-985011.8225742802</v>
      </c>
      <c r="Y8" s="13">
        <f t="shared" si="8"/>
        <v>-1032404.2436055252</v>
      </c>
      <c r="Z8" s="13">
        <f t="shared" si="8"/>
        <v>-1093343.4655598877</v>
      </c>
      <c r="AA8" s="13">
        <f t="shared" si="8"/>
        <v>-1141907.3605033122</v>
      </c>
      <c r="AB8" s="13">
        <f t="shared" si="8"/>
        <v>-1204029.8592664581</v>
      </c>
      <c r="AC8" s="13">
        <f t="shared" si="8"/>
        <v>-1253788.9520323947</v>
      </c>
      <c r="AD8" s="13">
        <f t="shared" si="8"/>
        <v>-1317118.6889301632</v>
      </c>
      <c r="AE8" s="13">
        <f t="shared" si="8"/>
        <v>-1368097.1806342872</v>
      </c>
      <c r="AF8" s="13">
        <f t="shared" si="8"/>
        <v>-1432658.598970267</v>
      </c>
    </row>
    <row r="9" spans="1:32">
      <c r="A9" s="116" t="s">
        <v>126</v>
      </c>
      <c r="B9" s="13">
        <f t="shared" ref="B9:AF9" si="9">B5-B10</f>
        <v>4867057</v>
      </c>
      <c r="C9" s="13">
        <f t="shared" si="9"/>
        <v>4801265</v>
      </c>
      <c r="D9" s="13">
        <f t="shared" si="9"/>
        <v>4814028</v>
      </c>
      <c r="E9" s="13">
        <f t="shared" si="9"/>
        <v>4753185.3069999991</v>
      </c>
      <c r="F9" s="13">
        <f t="shared" si="9"/>
        <v>4804667.4123069989</v>
      </c>
      <c r="G9" s="13">
        <f t="shared" si="9"/>
        <v>4815957.3207193054</v>
      </c>
      <c r="H9" s="13">
        <f t="shared" si="9"/>
        <v>4814288.0370400241</v>
      </c>
      <c r="I9" s="13">
        <f t="shared" si="9"/>
        <v>4825587.5660770638</v>
      </c>
      <c r="J9" s="13">
        <f t="shared" si="9"/>
        <v>4823927.9126431402</v>
      </c>
      <c r="K9" s="13">
        <f t="shared" si="9"/>
        <v>4835237.0815557828</v>
      </c>
      <c r="L9" s="13">
        <f t="shared" si="9"/>
        <v>4833587.0776373381</v>
      </c>
      <c r="M9" s="13">
        <f t="shared" si="9"/>
        <v>4844905.9057149747</v>
      </c>
      <c r="N9" s="13">
        <f t="shared" si="9"/>
        <v>4843265.5706206895</v>
      </c>
      <c r="O9" s="13">
        <f t="shared" si="9"/>
        <v>4854594.07719131</v>
      </c>
      <c r="P9" s="13">
        <f t="shared" si="9"/>
        <v>4852963.4302685009</v>
      </c>
      <c r="Q9" s="13">
        <f t="shared" si="9"/>
        <v>4864301.6346987691</v>
      </c>
      <c r="R9" s="13">
        <f t="shared" si="9"/>
        <v>4862680.6953334669</v>
      </c>
      <c r="S9" s="13">
        <f t="shared" si="9"/>
        <v>4874028.6170287998</v>
      </c>
      <c r="T9" s="13">
        <f t="shared" si="9"/>
        <v>4872417.4046458285</v>
      </c>
      <c r="U9" s="13">
        <f t="shared" si="9"/>
        <v>4883775.063050474</v>
      </c>
      <c r="V9" s="13">
        <f t="shared" si="9"/>
        <v>4882173.5971135236</v>
      </c>
      <c r="W9" s="13">
        <f t="shared" si="9"/>
        <v>4893541.0117106363</v>
      </c>
      <c r="X9" s="13">
        <f t="shared" si="9"/>
        <v>4891949.3117223466</v>
      </c>
      <c r="Y9" s="13">
        <f t="shared" si="9"/>
        <v>4903326.5020340681</v>
      </c>
      <c r="Z9" s="13">
        <f t="shared" si="9"/>
        <v>4901744.5875361012</v>
      </c>
      <c r="AA9" s="13">
        <f t="shared" si="9"/>
        <v>4913131.5731236367</v>
      </c>
      <c r="AB9" s="13">
        <f t="shared" si="9"/>
        <v>4911559.4636967601</v>
      </c>
      <c r="AC9" s="13">
        <f t="shared" si="9"/>
        <v>4922956.2641604561</v>
      </c>
      <c r="AD9" s="13">
        <f t="shared" si="9"/>
        <v>4921393.9794246163</v>
      </c>
      <c r="AE9" s="13">
        <f t="shared" si="9"/>
        <v>4932800.6144040404</v>
      </c>
      <c r="AF9" s="13">
        <f t="shared" si="9"/>
        <v>4931248.1740184436</v>
      </c>
    </row>
    <row r="10" spans="1:32">
      <c r="A10" s="116" t="s">
        <v>127</v>
      </c>
      <c r="B10" s="13">
        <f t="shared" ref="B10:AF10" si="10">B89</f>
        <v>123305</v>
      </c>
      <c r="C10" s="13">
        <f t="shared" si="10"/>
        <v>124322</v>
      </c>
      <c r="D10" s="13">
        <f t="shared" si="10"/>
        <v>108601</v>
      </c>
      <c r="E10" s="13">
        <f t="shared" si="10"/>
        <v>158521</v>
      </c>
      <c r="F10" s="13">
        <f t="shared" si="10"/>
        <v>161762</v>
      </c>
      <c r="G10" s="13">
        <f t="shared" si="10"/>
        <v>158520.99999999988</v>
      </c>
      <c r="H10" s="13">
        <f t="shared" si="10"/>
        <v>161762</v>
      </c>
      <c r="I10" s="13">
        <f t="shared" si="10"/>
        <v>158520.99999999988</v>
      </c>
      <c r="J10" s="13">
        <f t="shared" si="10"/>
        <v>161762</v>
      </c>
      <c r="K10" s="13">
        <f t="shared" si="10"/>
        <v>158520.99999999988</v>
      </c>
      <c r="L10" s="13">
        <f t="shared" si="10"/>
        <v>161762</v>
      </c>
      <c r="M10" s="13">
        <f t="shared" si="10"/>
        <v>158520.99999999988</v>
      </c>
      <c r="N10" s="13">
        <f t="shared" si="10"/>
        <v>161762</v>
      </c>
      <c r="O10" s="13">
        <f t="shared" si="10"/>
        <v>158520.99999999988</v>
      </c>
      <c r="P10" s="13">
        <f t="shared" si="10"/>
        <v>161762</v>
      </c>
      <c r="Q10" s="13">
        <f t="shared" si="10"/>
        <v>158520.99999999988</v>
      </c>
      <c r="R10" s="13">
        <f t="shared" si="10"/>
        <v>161762</v>
      </c>
      <c r="S10" s="13">
        <f t="shared" si="10"/>
        <v>158520.99999999988</v>
      </c>
      <c r="T10" s="13">
        <f t="shared" si="10"/>
        <v>161762</v>
      </c>
      <c r="U10" s="13">
        <f t="shared" si="10"/>
        <v>158520.99999999988</v>
      </c>
      <c r="V10" s="13">
        <f t="shared" si="10"/>
        <v>161762</v>
      </c>
      <c r="W10" s="13">
        <f t="shared" si="10"/>
        <v>158520.99999999988</v>
      </c>
      <c r="X10" s="13">
        <f t="shared" si="10"/>
        <v>161762</v>
      </c>
      <c r="Y10" s="13">
        <f t="shared" si="10"/>
        <v>158520.99999999988</v>
      </c>
      <c r="Z10" s="13">
        <f t="shared" si="10"/>
        <v>161762</v>
      </c>
      <c r="AA10" s="13">
        <f t="shared" si="10"/>
        <v>158520.99999999988</v>
      </c>
      <c r="AB10" s="13">
        <f t="shared" si="10"/>
        <v>161762</v>
      </c>
      <c r="AC10" s="13">
        <f t="shared" si="10"/>
        <v>158520.99999999988</v>
      </c>
      <c r="AD10" s="13">
        <f t="shared" si="10"/>
        <v>161762</v>
      </c>
      <c r="AE10" s="13">
        <f t="shared" si="10"/>
        <v>158520.99999999988</v>
      </c>
      <c r="AF10" s="13">
        <f t="shared" si="10"/>
        <v>161762</v>
      </c>
    </row>
    <row r="11" spans="1:32">
      <c r="A11" s="116"/>
      <c r="B11" s="13"/>
      <c r="C11" s="13"/>
      <c r="D11" s="13"/>
    </row>
    <row r="12" spans="1:32" ht="12" thickBot="1">
      <c r="A12" s="138" t="s">
        <v>262</v>
      </c>
    </row>
    <row r="13" spans="1:32" ht="12" thickBot="1">
      <c r="A13" s="176"/>
      <c r="B13" s="177">
        <f>B2</f>
        <v>2020</v>
      </c>
      <c r="C13" s="177">
        <f>C2</f>
        <v>2021</v>
      </c>
      <c r="D13" s="177">
        <f>D2</f>
        <v>2022</v>
      </c>
      <c r="E13" s="177">
        <f t="shared" ref="E13:AF13" si="11">E2</f>
        <v>2023</v>
      </c>
      <c r="F13" s="177">
        <f t="shared" si="11"/>
        <v>2024</v>
      </c>
      <c r="G13" s="177">
        <f t="shared" si="11"/>
        <v>2025</v>
      </c>
      <c r="H13" s="177">
        <f t="shared" si="11"/>
        <v>2026</v>
      </c>
      <c r="I13" s="177">
        <f t="shared" si="11"/>
        <v>2027</v>
      </c>
      <c r="J13" s="177">
        <f t="shared" si="11"/>
        <v>2028</v>
      </c>
      <c r="K13" s="177">
        <f t="shared" si="11"/>
        <v>2029</v>
      </c>
      <c r="L13" s="177">
        <f t="shared" si="11"/>
        <v>2030</v>
      </c>
      <c r="M13" s="177">
        <f t="shared" si="11"/>
        <v>2031</v>
      </c>
      <c r="N13" s="177">
        <f t="shared" si="11"/>
        <v>2032</v>
      </c>
      <c r="O13" s="177">
        <f t="shared" si="11"/>
        <v>2033</v>
      </c>
      <c r="P13" s="177">
        <f t="shared" si="11"/>
        <v>2034</v>
      </c>
      <c r="Q13" s="177">
        <f t="shared" si="11"/>
        <v>2035</v>
      </c>
      <c r="R13" s="177">
        <f t="shared" si="11"/>
        <v>2036</v>
      </c>
      <c r="S13" s="177">
        <f t="shared" si="11"/>
        <v>2037</v>
      </c>
      <c r="T13" s="177">
        <f t="shared" si="11"/>
        <v>2038</v>
      </c>
      <c r="U13" s="177">
        <f t="shared" si="11"/>
        <v>2039</v>
      </c>
      <c r="V13" s="177">
        <f t="shared" si="11"/>
        <v>2040</v>
      </c>
      <c r="W13" s="177">
        <f t="shared" si="11"/>
        <v>2041</v>
      </c>
      <c r="X13" s="177">
        <f t="shared" si="11"/>
        <v>2042</v>
      </c>
      <c r="Y13" s="177">
        <f t="shared" si="11"/>
        <v>2043</v>
      </c>
      <c r="Z13" s="177">
        <f t="shared" si="11"/>
        <v>2044</v>
      </c>
      <c r="AA13" s="177">
        <f t="shared" si="11"/>
        <v>2045</v>
      </c>
      <c r="AB13" s="177">
        <f t="shared" si="11"/>
        <v>2046</v>
      </c>
      <c r="AC13" s="177">
        <f t="shared" si="11"/>
        <v>2047</v>
      </c>
      <c r="AD13" s="177">
        <f t="shared" si="11"/>
        <v>2048</v>
      </c>
      <c r="AE13" s="177">
        <f t="shared" si="11"/>
        <v>2049</v>
      </c>
      <c r="AF13" s="177">
        <f t="shared" si="11"/>
        <v>2050</v>
      </c>
    </row>
    <row r="14" spans="1:32">
      <c r="A14" s="113" t="s">
        <v>129</v>
      </c>
      <c r="B14" s="13">
        <v>472927</v>
      </c>
      <c r="C14" s="13">
        <v>330723</v>
      </c>
      <c r="D14" s="13">
        <v>385360</v>
      </c>
      <c r="E14" s="13">
        <v>450718</v>
      </c>
      <c r="F14" s="235">
        <v>444192</v>
      </c>
      <c r="G14" s="118">
        <f t="shared" ref="G14:G25" si="12">(SUM(B14:E14)/(SUM(B$26:E$26))*G$26)</f>
        <v>409846.14445324126</v>
      </c>
      <c r="H14" s="118">
        <f t="shared" ref="H14:H25" si="13">(SUM(B14:F14)/(SUM(B$26:F$26))*H$26)</f>
        <v>407759.78128306201</v>
      </c>
      <c r="I14" s="118">
        <f t="shared" ref="I14:S25" si="14">(SUM(C14:G14)/(SUM(C$26:G$26))*I$26)</f>
        <v>396922.06907369237</v>
      </c>
      <c r="J14" s="118">
        <f t="shared" si="14"/>
        <v>412209.27436657733</v>
      </c>
      <c r="K14" s="118">
        <f t="shared" si="14"/>
        <v>414489.98440643254</v>
      </c>
      <c r="L14" s="118">
        <f t="shared" si="14"/>
        <v>406430.76742730022</v>
      </c>
      <c r="M14" s="118">
        <f t="shared" si="14"/>
        <v>409880.47415447666</v>
      </c>
      <c r="N14" s="118">
        <f t="shared" si="14"/>
        <v>409194.66303160856</v>
      </c>
      <c r="O14" s="118">
        <f t="shared" si="14"/>
        <v>409620.50028130505</v>
      </c>
      <c r="P14" s="118">
        <f t="shared" si="14"/>
        <v>412084.84942310024</v>
      </c>
      <c r="Q14" s="118">
        <f t="shared" si="14"/>
        <v>411565.02099748625</v>
      </c>
      <c r="R14" s="118">
        <f t="shared" si="14"/>
        <v>411082.06748721772</v>
      </c>
      <c r="S14" s="118">
        <f>(SUM(M14:Q14)/(SUM(M$26:Q$26))*S$26)</f>
        <v>412113.03073939029</v>
      </c>
      <c r="T14" s="118">
        <f t="shared" ref="T14:AF14" si="15">(SUM(N14:R14)/(SUM(N$26:R$26))*T$26)</f>
        <v>412354.31188243808</v>
      </c>
      <c r="U14" s="118">
        <f t="shared" si="15"/>
        <v>412940.32303711126</v>
      </c>
      <c r="V14" s="118">
        <f t="shared" si="15"/>
        <v>413489.27514097648</v>
      </c>
      <c r="W14" s="118">
        <f t="shared" si="15"/>
        <v>413661.05509831436</v>
      </c>
      <c r="X14" s="118">
        <f t="shared" si="15"/>
        <v>414047.44725496572</v>
      </c>
      <c r="Y14" s="118">
        <f t="shared" si="15"/>
        <v>414565.31054677669</v>
      </c>
      <c r="Z14" s="118">
        <f t="shared" si="15"/>
        <v>414953.74331790715</v>
      </c>
      <c r="AA14" s="118">
        <f t="shared" si="15"/>
        <v>415397.71406114672</v>
      </c>
      <c r="AB14" s="118">
        <f t="shared" si="15"/>
        <v>415802.01086735306</v>
      </c>
      <c r="AC14" s="118">
        <f t="shared" si="15"/>
        <v>416185.22731134342</v>
      </c>
      <c r="AD14" s="118">
        <f t="shared" si="15"/>
        <v>416615.13337114977</v>
      </c>
      <c r="AE14" s="118">
        <f t="shared" si="15"/>
        <v>417044.40174467751</v>
      </c>
      <c r="AF14" s="118">
        <f t="shared" si="15"/>
        <v>417456.00821804389</v>
      </c>
    </row>
    <row r="15" spans="1:32">
      <c r="A15" s="113" t="s">
        <v>130</v>
      </c>
      <c r="B15" s="13">
        <v>422139</v>
      </c>
      <c r="C15" s="13">
        <v>321352</v>
      </c>
      <c r="D15" s="13">
        <v>359065</v>
      </c>
      <c r="E15" s="13">
        <v>383669</v>
      </c>
      <c r="F15" s="235">
        <v>389048</v>
      </c>
      <c r="G15" s="118">
        <f t="shared" si="12"/>
        <v>371478.43181309238</v>
      </c>
      <c r="H15" s="118">
        <f t="shared" si="13"/>
        <v>366933.90740816895</v>
      </c>
      <c r="I15" s="118">
        <f t="shared" si="14"/>
        <v>358380.30141126434</v>
      </c>
      <c r="J15" s="118">
        <f t="shared" si="14"/>
        <v>367472.37624375022</v>
      </c>
      <c r="K15" s="118">
        <f t="shared" si="14"/>
        <v>367345.72132481582</v>
      </c>
      <c r="L15" s="118">
        <f t="shared" si="14"/>
        <v>363722.43269878975</v>
      </c>
      <c r="M15" s="118">
        <f t="shared" si="14"/>
        <v>367789.26820739993</v>
      </c>
      <c r="N15" s="118">
        <f t="shared" si="14"/>
        <v>366231.85582769971</v>
      </c>
      <c r="O15" s="118">
        <f t="shared" si="14"/>
        <v>366403.61313171691</v>
      </c>
      <c r="P15" s="118">
        <f t="shared" si="14"/>
        <v>367980.21311166004</v>
      </c>
      <c r="Q15" s="118">
        <f t="shared" si="14"/>
        <v>367765.60440978705</v>
      </c>
      <c r="R15" s="118">
        <f t="shared" si="14"/>
        <v>367893.01099520386</v>
      </c>
      <c r="S15" s="118">
        <f t="shared" si="14"/>
        <v>368704.8839187515</v>
      </c>
      <c r="T15" s="118">
        <f t="shared" ref="T15:T25" si="16">(SUM(N15:R15)/(SUM(N$26:R$26))*T$26)</f>
        <v>368725.71557430614</v>
      </c>
      <c r="U15" s="118">
        <f t="shared" ref="U15:AF25" si="17">(SUM(O15:S15)/(SUM(O$26:S$26))*U$26)</f>
        <v>369222.30208851135</v>
      </c>
      <c r="V15" s="118">
        <f t="shared" si="17"/>
        <v>369688.58258154959</v>
      </c>
      <c r="W15" s="118">
        <f t="shared" si="17"/>
        <v>369937.99529043847</v>
      </c>
      <c r="X15" s="118">
        <f t="shared" si="17"/>
        <v>370324.13123069063</v>
      </c>
      <c r="Y15" s="118">
        <f t="shared" si="17"/>
        <v>370734.76612256654</v>
      </c>
      <c r="Z15" s="118">
        <f t="shared" si="17"/>
        <v>371059.91260237462</v>
      </c>
      <c r="AA15" s="118">
        <f t="shared" si="17"/>
        <v>371463.33196191728</v>
      </c>
      <c r="AB15" s="118">
        <f t="shared" si="17"/>
        <v>371832.32599107857</v>
      </c>
      <c r="AC15" s="118">
        <f t="shared" si="17"/>
        <v>372188.69744176028</v>
      </c>
      <c r="AD15" s="118">
        <f t="shared" si="17"/>
        <v>372569.08094115806</v>
      </c>
      <c r="AE15" s="118">
        <f t="shared" si="17"/>
        <v>372943.4877012794</v>
      </c>
      <c r="AF15" s="118">
        <f t="shared" si="17"/>
        <v>373311.81995153381</v>
      </c>
    </row>
    <row r="16" spans="1:32">
      <c r="A16" s="113" t="s">
        <v>131</v>
      </c>
      <c r="B16" s="13">
        <v>439582</v>
      </c>
      <c r="C16" s="13">
        <v>417875</v>
      </c>
      <c r="D16" s="13">
        <v>432629</v>
      </c>
      <c r="E16" s="235">
        <v>418839</v>
      </c>
      <c r="F16" s="235">
        <v>437070</v>
      </c>
      <c r="G16" s="118">
        <f t="shared" si="12"/>
        <v>427141.77132411918</v>
      </c>
      <c r="H16" s="118">
        <f t="shared" si="13"/>
        <v>419905.9713590467</v>
      </c>
      <c r="I16" s="118">
        <f t="shared" si="14"/>
        <v>419061.05027728138</v>
      </c>
      <c r="J16" s="118">
        <f t="shared" si="14"/>
        <v>419618.83376399829</v>
      </c>
      <c r="K16" s="118">
        <f t="shared" si="14"/>
        <v>416961.82778464304</v>
      </c>
      <c r="L16" s="118">
        <f t="shared" si="14"/>
        <v>416610.20555545879</v>
      </c>
      <c r="M16" s="118">
        <f t="shared" si="14"/>
        <v>422222.14557491278</v>
      </c>
      <c r="N16" s="118">
        <f t="shared" si="14"/>
        <v>420107.39663489629</v>
      </c>
      <c r="O16" s="118">
        <f t="shared" si="14"/>
        <v>420572.48673407908</v>
      </c>
      <c r="P16" s="118">
        <f t="shared" si="14"/>
        <v>420782.59412924363</v>
      </c>
      <c r="Q16" s="118">
        <f t="shared" si="14"/>
        <v>420974.08859947923</v>
      </c>
      <c r="R16" s="118">
        <f t="shared" si="14"/>
        <v>421741.30230300454</v>
      </c>
      <c r="S16" s="118">
        <f t="shared" si="14"/>
        <v>422617.57438299875</v>
      </c>
      <c r="T16" s="118">
        <f t="shared" si="16"/>
        <v>422521.0205730602</v>
      </c>
      <c r="U16" s="118">
        <f t="shared" si="17"/>
        <v>423025.06677555828</v>
      </c>
      <c r="V16" s="118">
        <f t="shared" si="17"/>
        <v>423416.33431934874</v>
      </c>
      <c r="W16" s="118">
        <f t="shared" si="17"/>
        <v>423866.62506964942</v>
      </c>
      <c r="X16" s="118">
        <f t="shared" si="17"/>
        <v>424357.03045293275</v>
      </c>
      <c r="Y16" s="118">
        <f t="shared" si="17"/>
        <v>424783.79739022232</v>
      </c>
      <c r="Z16" s="118">
        <f t="shared" si="17"/>
        <v>425133.08190886868</v>
      </c>
      <c r="AA16" s="118">
        <f t="shared" si="17"/>
        <v>425587.44975698361</v>
      </c>
      <c r="AB16" s="118">
        <f t="shared" si="17"/>
        <v>426010.74130418862</v>
      </c>
      <c r="AC16" s="118">
        <f t="shared" si="17"/>
        <v>426446.70345561474</v>
      </c>
      <c r="AD16" s="118">
        <f t="shared" si="17"/>
        <v>426877.24414005491</v>
      </c>
      <c r="AE16" s="118">
        <f t="shared" si="17"/>
        <v>427296.85256908386</v>
      </c>
      <c r="AF16" s="118">
        <f t="shared" si="17"/>
        <v>427717.21877031511</v>
      </c>
    </row>
    <row r="17" spans="1:32">
      <c r="A17" s="113" t="s">
        <v>132</v>
      </c>
      <c r="B17" s="13">
        <v>290142</v>
      </c>
      <c r="C17" s="13">
        <v>402987</v>
      </c>
      <c r="D17" s="13">
        <v>379851</v>
      </c>
      <c r="E17" s="235">
        <v>336663</v>
      </c>
      <c r="F17" s="235">
        <v>414812</v>
      </c>
      <c r="G17" s="118">
        <f t="shared" si="12"/>
        <v>352336.94161806128</v>
      </c>
      <c r="H17" s="118">
        <f t="shared" si="13"/>
        <v>356990.36995699874</v>
      </c>
      <c r="I17" s="118">
        <f t="shared" si="14"/>
        <v>370565.36662021739</v>
      </c>
      <c r="J17" s="118">
        <f t="shared" si="14"/>
        <v>361667.89304209955</v>
      </c>
      <c r="K17" s="118">
        <f t="shared" si="14"/>
        <v>359851.08936372329</v>
      </c>
      <c r="L17" s="118">
        <f t="shared" si="14"/>
        <v>364322.88634318789</v>
      </c>
      <c r="M17" s="118">
        <f t="shared" si="14"/>
        <v>361725.26322021155</v>
      </c>
      <c r="N17" s="118">
        <f t="shared" si="14"/>
        <v>364132.05290935608</v>
      </c>
      <c r="O17" s="118">
        <f t="shared" si="14"/>
        <v>365082.82421244832</v>
      </c>
      <c r="P17" s="118">
        <f t="shared" si="14"/>
        <v>363791.00838470861</v>
      </c>
      <c r="Q17" s="118">
        <f t="shared" si="14"/>
        <v>364476.72997932788</v>
      </c>
      <c r="R17" s="118">
        <f t="shared" si="14"/>
        <v>365267.86965944781</v>
      </c>
      <c r="S17" s="118">
        <f t="shared" si="14"/>
        <v>365298.76161545905</v>
      </c>
      <c r="T17" s="118">
        <f t="shared" si="16"/>
        <v>366010.12053177186</v>
      </c>
      <c r="U17" s="118">
        <f t="shared" si="17"/>
        <v>366244.39680689911</v>
      </c>
      <c r="V17" s="118">
        <f t="shared" si="17"/>
        <v>366430.59883530071</v>
      </c>
      <c r="W17" s="118">
        <f t="shared" si="17"/>
        <v>366923.24168435513</v>
      </c>
      <c r="X17" s="118">
        <f t="shared" si="17"/>
        <v>367315.58050489362</v>
      </c>
      <c r="Y17" s="118">
        <f t="shared" si="17"/>
        <v>367647.98086319771</v>
      </c>
      <c r="Z17" s="118">
        <f t="shared" si="17"/>
        <v>368052.96011341788</v>
      </c>
      <c r="AA17" s="118">
        <f t="shared" si="17"/>
        <v>368381.84410615574</v>
      </c>
      <c r="AB17" s="118">
        <f t="shared" si="17"/>
        <v>368745.00542702933</v>
      </c>
      <c r="AC17" s="118">
        <f t="shared" si="17"/>
        <v>369136.81742905203</v>
      </c>
      <c r="AD17" s="118">
        <f t="shared" si="17"/>
        <v>369502.62941070873</v>
      </c>
      <c r="AE17" s="118">
        <f t="shared" si="17"/>
        <v>369868.33560668037</v>
      </c>
      <c r="AF17" s="118">
        <f t="shared" si="17"/>
        <v>370240.75089003966</v>
      </c>
    </row>
    <row r="18" spans="1:32">
      <c r="A18" s="113" t="s">
        <v>133</v>
      </c>
      <c r="B18" s="13">
        <v>285442</v>
      </c>
      <c r="C18" s="13">
        <v>383310</v>
      </c>
      <c r="D18" s="13">
        <v>405882</v>
      </c>
      <c r="E18" s="235">
        <v>359288</v>
      </c>
      <c r="F18" s="235">
        <v>438419</v>
      </c>
      <c r="G18" s="118">
        <f t="shared" si="12"/>
        <v>358405.42037867295</v>
      </c>
      <c r="H18" s="118">
        <f t="shared" si="13"/>
        <v>366360.20415721793</v>
      </c>
      <c r="I18" s="118">
        <f t="shared" si="14"/>
        <v>382085.9555468536</v>
      </c>
      <c r="J18" s="118">
        <f t="shared" si="14"/>
        <v>378900.22510382149</v>
      </c>
      <c r="K18" s="118">
        <f t="shared" si="14"/>
        <v>374232.59564960084</v>
      </c>
      <c r="L18" s="118">
        <f t="shared" si="14"/>
        <v>377628.64654674171</v>
      </c>
      <c r="M18" s="118">
        <f t="shared" si="14"/>
        <v>373486.7280438536</v>
      </c>
      <c r="N18" s="118">
        <f t="shared" si="14"/>
        <v>377346.77108546812</v>
      </c>
      <c r="O18" s="118">
        <f t="shared" si="14"/>
        <v>378777.78420985205</v>
      </c>
      <c r="P18" s="118">
        <f t="shared" si="14"/>
        <v>377826.1512298747</v>
      </c>
      <c r="Q18" s="118">
        <f t="shared" si="14"/>
        <v>377801.56497590028</v>
      </c>
      <c r="R18" s="118">
        <f t="shared" si="14"/>
        <v>378523.15453069267</v>
      </c>
      <c r="S18" s="118">
        <f t="shared" si="14"/>
        <v>378557.8767242207</v>
      </c>
      <c r="T18" s="118">
        <f t="shared" si="16"/>
        <v>379569.1962002106</v>
      </c>
      <c r="U18" s="118">
        <f t="shared" si="17"/>
        <v>379812.38742381963</v>
      </c>
      <c r="V18" s="118">
        <f t="shared" si="17"/>
        <v>379971.30374305369</v>
      </c>
      <c r="W18" s="118">
        <f t="shared" si="17"/>
        <v>380370.14195743081</v>
      </c>
      <c r="X18" s="118">
        <f t="shared" si="17"/>
        <v>380805.82767204737</v>
      </c>
      <c r="Y18" s="118">
        <f t="shared" si="17"/>
        <v>381176.70459469274</v>
      </c>
      <c r="Z18" s="118">
        <f t="shared" si="17"/>
        <v>381628.09539341636</v>
      </c>
      <c r="AA18" s="118">
        <f t="shared" si="17"/>
        <v>381950.88468685781</v>
      </c>
      <c r="AB18" s="118">
        <f t="shared" si="17"/>
        <v>382315.4806632236</v>
      </c>
      <c r="AC18" s="118">
        <f t="shared" si="17"/>
        <v>382712.98249671591</v>
      </c>
      <c r="AD18" s="118">
        <f t="shared" si="17"/>
        <v>383103.60845456633</v>
      </c>
      <c r="AE18" s="118">
        <f t="shared" si="17"/>
        <v>383486.56705089565</v>
      </c>
      <c r="AF18" s="118">
        <f t="shared" si="17"/>
        <v>383873.49127324694</v>
      </c>
    </row>
    <row r="19" spans="1:32">
      <c r="A19" s="113" t="s">
        <v>134</v>
      </c>
      <c r="B19" s="13">
        <v>403725</v>
      </c>
      <c r="C19" s="13">
        <v>406023</v>
      </c>
      <c r="D19" s="13">
        <v>403563</v>
      </c>
      <c r="E19" s="235">
        <v>397210</v>
      </c>
      <c r="F19" s="235">
        <v>463680</v>
      </c>
      <c r="G19" s="118">
        <f t="shared" si="12"/>
        <v>402545.92372087232</v>
      </c>
      <c r="H19" s="118">
        <f t="shared" si="13"/>
        <v>405858.06849452399</v>
      </c>
      <c r="I19" s="118">
        <f t="shared" si="14"/>
        <v>407171.52251177293</v>
      </c>
      <c r="J19" s="118">
        <f t="shared" si="14"/>
        <v>407293.33233894809</v>
      </c>
      <c r="K19" s="118">
        <f t="shared" si="14"/>
        <v>408011.11999373237</v>
      </c>
      <c r="L19" s="118">
        <f t="shared" si="14"/>
        <v>409496.1917868015</v>
      </c>
      <c r="M19" s="118">
        <f t="shared" si="14"/>
        <v>407802.72867127339</v>
      </c>
      <c r="N19" s="118">
        <f t="shared" si="14"/>
        <v>409198.34945056849</v>
      </c>
      <c r="O19" s="118">
        <f t="shared" si="14"/>
        <v>409588.83915910852</v>
      </c>
      <c r="P19" s="118">
        <f t="shared" si="14"/>
        <v>409995.82803565054</v>
      </c>
      <c r="Q19" s="118">
        <f t="shared" si="14"/>
        <v>410456.76810110407</v>
      </c>
      <c r="R19" s="118">
        <f t="shared" si="14"/>
        <v>410855.29946102569</v>
      </c>
      <c r="S19" s="118">
        <f t="shared" si="14"/>
        <v>411048.18414570589</v>
      </c>
      <c r="T19" s="118">
        <f t="shared" si="16"/>
        <v>411661.14341346885</v>
      </c>
      <c r="U19" s="118">
        <f t="shared" si="17"/>
        <v>412032.59207045654</v>
      </c>
      <c r="V19" s="118">
        <f t="shared" si="17"/>
        <v>412448.71283745026</v>
      </c>
      <c r="W19" s="118">
        <f t="shared" si="17"/>
        <v>412857.69709281024</v>
      </c>
      <c r="X19" s="118">
        <f t="shared" si="17"/>
        <v>413257.6815882111</v>
      </c>
      <c r="Y19" s="118">
        <f t="shared" si="17"/>
        <v>413659.76503547106</v>
      </c>
      <c r="Z19" s="118">
        <f t="shared" si="17"/>
        <v>414103.43433186493</v>
      </c>
      <c r="AA19" s="118">
        <f t="shared" si="17"/>
        <v>414504.7595525838</v>
      </c>
      <c r="AB19" s="118">
        <f t="shared" si="17"/>
        <v>414920.58674993069</v>
      </c>
      <c r="AC19" s="118">
        <f t="shared" si="17"/>
        <v>415333.44298678689</v>
      </c>
      <c r="AD19" s="118">
        <f t="shared" si="17"/>
        <v>415747.67329323845</v>
      </c>
      <c r="AE19" s="118">
        <f t="shared" si="17"/>
        <v>416164.48825824849</v>
      </c>
      <c r="AF19" s="118">
        <f t="shared" si="17"/>
        <v>416583.74232473347</v>
      </c>
    </row>
    <row r="20" spans="1:32">
      <c r="A20" s="113" t="s">
        <v>135</v>
      </c>
      <c r="B20" s="13">
        <v>465021</v>
      </c>
      <c r="C20" s="13">
        <v>418716</v>
      </c>
      <c r="D20" s="13">
        <v>382398</v>
      </c>
      <c r="E20" s="235">
        <v>396586</v>
      </c>
      <c r="F20" s="235">
        <v>489845</v>
      </c>
      <c r="G20" s="118">
        <f t="shared" si="12"/>
        <v>415593.19054833346</v>
      </c>
      <c r="H20" s="118">
        <f t="shared" si="13"/>
        <v>421191.71626423066</v>
      </c>
      <c r="I20" s="118">
        <f t="shared" si="14"/>
        <v>413086.79339057684</v>
      </c>
      <c r="J20" s="118">
        <f t="shared" si="14"/>
        <v>413729.70154026168</v>
      </c>
      <c r="K20" s="118">
        <f t="shared" si="14"/>
        <v>419768.71331284492</v>
      </c>
      <c r="L20" s="118">
        <f t="shared" si="14"/>
        <v>422625.18894338206</v>
      </c>
      <c r="M20" s="118">
        <f t="shared" si="14"/>
        <v>418342.80288958357</v>
      </c>
      <c r="N20" s="118">
        <f t="shared" si="14"/>
        <v>419754.83520071255</v>
      </c>
      <c r="O20" s="118">
        <f t="shared" si="14"/>
        <v>419182.77054560103</v>
      </c>
      <c r="P20" s="118">
        <f t="shared" si="14"/>
        <v>420521.72001045011</v>
      </c>
      <c r="Q20" s="118">
        <f t="shared" si="14"/>
        <v>421616.70172088046</v>
      </c>
      <c r="R20" s="118">
        <f t="shared" si="14"/>
        <v>421767.9062189167</v>
      </c>
      <c r="S20" s="118">
        <f t="shared" si="14"/>
        <v>421565.40097594965</v>
      </c>
      <c r="T20" s="118">
        <f t="shared" si="16"/>
        <v>422253.1651502673</v>
      </c>
      <c r="U20" s="118">
        <f t="shared" si="17"/>
        <v>422616.72856886237</v>
      </c>
      <c r="V20" s="118">
        <f t="shared" si="17"/>
        <v>423233.26687648729</v>
      </c>
      <c r="W20" s="118">
        <f t="shared" si="17"/>
        <v>423653.9466904435</v>
      </c>
      <c r="X20" s="118">
        <f t="shared" si="17"/>
        <v>423978.55459057743</v>
      </c>
      <c r="Y20" s="118">
        <f t="shared" si="17"/>
        <v>424357.27340367722</v>
      </c>
      <c r="Z20" s="118">
        <f t="shared" si="17"/>
        <v>424841.83706313017</v>
      </c>
      <c r="AA20" s="118">
        <f t="shared" si="17"/>
        <v>425264.34410494345</v>
      </c>
      <c r="AB20" s="118">
        <f t="shared" si="17"/>
        <v>425711.1481161454</v>
      </c>
      <c r="AC20" s="118">
        <f t="shared" si="17"/>
        <v>426118.99045510235</v>
      </c>
      <c r="AD20" s="118">
        <f t="shared" si="17"/>
        <v>426532.07855899568</v>
      </c>
      <c r="AE20" s="118">
        <f t="shared" si="17"/>
        <v>426961.88022145571</v>
      </c>
      <c r="AF20" s="118">
        <f t="shared" si="17"/>
        <v>427398.5832718832</v>
      </c>
    </row>
    <row r="21" spans="1:32">
      <c r="A21" s="113" t="s">
        <v>136</v>
      </c>
      <c r="B21" s="13">
        <v>433813</v>
      </c>
      <c r="C21" s="13">
        <v>416085</v>
      </c>
      <c r="D21" s="13">
        <v>416274</v>
      </c>
      <c r="E21" s="235">
        <v>408746</v>
      </c>
      <c r="F21" s="235">
        <v>531873</v>
      </c>
      <c r="G21" s="118">
        <f t="shared" si="12"/>
        <v>418641.80191796069</v>
      </c>
      <c r="H21" s="118">
        <f t="shared" si="13"/>
        <v>431801.90002371953</v>
      </c>
      <c r="I21" s="118">
        <f t="shared" si="14"/>
        <v>430465.86304894346</v>
      </c>
      <c r="J21" s="118">
        <f t="shared" si="14"/>
        <v>433717.0988178181</v>
      </c>
      <c r="K21" s="118">
        <f t="shared" si="14"/>
        <v>436515.00661641773</v>
      </c>
      <c r="L21" s="118">
        <f t="shared" si="14"/>
        <v>440887.38132030726</v>
      </c>
      <c r="M21" s="118">
        <f t="shared" si="14"/>
        <v>431951.39899269422</v>
      </c>
      <c r="N21" s="118">
        <f t="shared" si="14"/>
        <v>436418.33358670876</v>
      </c>
      <c r="O21" s="118">
        <f t="shared" si="14"/>
        <v>436448.3531292078</v>
      </c>
      <c r="P21" s="118">
        <f t="shared" si="14"/>
        <v>437643.61516685068</v>
      </c>
      <c r="Q21" s="118">
        <f t="shared" si="14"/>
        <v>438192.05376437749</v>
      </c>
      <c r="R21" s="118">
        <f t="shared" si="14"/>
        <v>438418.67949013843</v>
      </c>
      <c r="S21" s="118">
        <f t="shared" si="14"/>
        <v>437877.45502104179</v>
      </c>
      <c r="T21" s="118">
        <f t="shared" si="16"/>
        <v>439176.09141350101</v>
      </c>
      <c r="U21" s="118">
        <f t="shared" si="17"/>
        <v>439469.08445692802</v>
      </c>
      <c r="V21" s="118">
        <f t="shared" si="17"/>
        <v>440016.8170326972</v>
      </c>
      <c r="W21" s="118">
        <f t="shared" si="17"/>
        <v>440383.37309197872</v>
      </c>
      <c r="X21" s="118">
        <f t="shared" si="17"/>
        <v>440749.78738138505</v>
      </c>
      <c r="Y21" s="118">
        <f t="shared" si="17"/>
        <v>441144.29982172057</v>
      </c>
      <c r="Z21" s="118">
        <f t="shared" si="17"/>
        <v>441721.06703258364</v>
      </c>
      <c r="AA21" s="118">
        <f t="shared" si="17"/>
        <v>442116.28524955572</v>
      </c>
      <c r="AB21" s="118">
        <f t="shared" si="17"/>
        <v>442568.4856031799</v>
      </c>
      <c r="AC21" s="118">
        <f t="shared" si="17"/>
        <v>442990.0609210126</v>
      </c>
      <c r="AD21" s="118">
        <f t="shared" si="17"/>
        <v>443428.83369881101</v>
      </c>
      <c r="AE21" s="118">
        <f t="shared" si="17"/>
        <v>443878.68286628911</v>
      </c>
      <c r="AF21" s="118">
        <f t="shared" si="17"/>
        <v>444337.41955379903</v>
      </c>
    </row>
    <row r="22" spans="1:32">
      <c r="A22" s="113" t="s">
        <v>137</v>
      </c>
      <c r="B22" s="13">
        <v>413345</v>
      </c>
      <c r="C22" s="13">
        <v>433988</v>
      </c>
      <c r="D22" s="13">
        <v>384511</v>
      </c>
      <c r="E22" s="235">
        <v>395374</v>
      </c>
      <c r="F22" s="235">
        <v>420841</v>
      </c>
      <c r="G22" s="118">
        <f t="shared" si="12"/>
        <v>406719.29947217723</v>
      </c>
      <c r="H22" s="118">
        <f t="shared" si="13"/>
        <v>400742.87395620113</v>
      </c>
      <c r="I22" s="118">
        <f t="shared" si="14"/>
        <v>400967.05931617512</v>
      </c>
      <c r="J22" s="118">
        <f t="shared" si="14"/>
        <v>394586.62907813233</v>
      </c>
      <c r="K22" s="118">
        <f t="shared" si="14"/>
        <v>397828.5963008136</v>
      </c>
      <c r="L22" s="118">
        <f t="shared" si="14"/>
        <v>397192.55976359866</v>
      </c>
      <c r="M22" s="118">
        <f t="shared" si="14"/>
        <v>401771.56843534543</v>
      </c>
      <c r="N22" s="118">
        <f t="shared" si="14"/>
        <v>399858.58957322023</v>
      </c>
      <c r="O22" s="118">
        <f t="shared" si="14"/>
        <v>400065.15245353238</v>
      </c>
      <c r="P22" s="118">
        <f t="shared" si="14"/>
        <v>399842.57062045595</v>
      </c>
      <c r="Q22" s="118">
        <f t="shared" si="14"/>
        <v>400942.66359385406</v>
      </c>
      <c r="R22" s="118">
        <f t="shared" si="14"/>
        <v>401347.07165161479</v>
      </c>
      <c r="S22" s="118">
        <f t="shared" si="14"/>
        <v>402100.09625158302</v>
      </c>
      <c r="T22" s="118">
        <f t="shared" si="16"/>
        <v>402014.85687282839</v>
      </c>
      <c r="U22" s="118">
        <f t="shared" si="17"/>
        <v>402464.95365579799</v>
      </c>
      <c r="V22" s="118">
        <f t="shared" si="17"/>
        <v>402856.45625328651</v>
      </c>
      <c r="W22" s="118">
        <f t="shared" si="17"/>
        <v>403383.03338969004</v>
      </c>
      <c r="X22" s="118">
        <f t="shared" si="17"/>
        <v>403767.32486987906</v>
      </c>
      <c r="Y22" s="118">
        <f t="shared" si="17"/>
        <v>404176.14802325296</v>
      </c>
      <c r="Z22" s="118">
        <f t="shared" si="17"/>
        <v>404510.9291973685</v>
      </c>
      <c r="AA22" s="118">
        <f t="shared" si="17"/>
        <v>404944.91862209665</v>
      </c>
      <c r="AB22" s="118">
        <f t="shared" si="17"/>
        <v>405355.75255722826</v>
      </c>
      <c r="AC22" s="118">
        <f t="shared" si="17"/>
        <v>405775.11788976495</v>
      </c>
      <c r="AD22" s="118">
        <f t="shared" si="17"/>
        <v>406171.24187171989</v>
      </c>
      <c r="AE22" s="118">
        <f t="shared" si="17"/>
        <v>406574.40871830698</v>
      </c>
      <c r="AF22" s="118">
        <f t="shared" si="17"/>
        <v>406975.02555857156</v>
      </c>
    </row>
    <row r="23" spans="1:32">
      <c r="A23" s="113" t="s">
        <v>138</v>
      </c>
      <c r="B23" s="13">
        <v>358889</v>
      </c>
      <c r="C23" s="13">
        <v>309959</v>
      </c>
      <c r="D23" s="13">
        <v>375258</v>
      </c>
      <c r="E23" s="235">
        <v>346764</v>
      </c>
      <c r="F23" s="235">
        <v>428073</v>
      </c>
      <c r="G23" s="118">
        <f t="shared" si="12"/>
        <v>347644.67456534231</v>
      </c>
      <c r="H23" s="118">
        <f t="shared" si="13"/>
        <v>355911.83915234584</v>
      </c>
      <c r="I23" s="118">
        <f t="shared" si="14"/>
        <v>355058.19458202261</v>
      </c>
      <c r="J23" s="118">
        <f t="shared" si="14"/>
        <v>364221.89511989278</v>
      </c>
      <c r="K23" s="118">
        <f t="shared" si="14"/>
        <v>360260.58687330387</v>
      </c>
      <c r="L23" s="118">
        <f t="shared" si="14"/>
        <v>363250.75015985454</v>
      </c>
      <c r="M23" s="118">
        <f t="shared" si="14"/>
        <v>358047.69926419761</v>
      </c>
      <c r="N23" s="118">
        <f t="shared" si="14"/>
        <v>361181.41485276876</v>
      </c>
      <c r="O23" s="118">
        <f t="shared" si="14"/>
        <v>361610.29769951547</v>
      </c>
      <c r="P23" s="118">
        <f t="shared" si="14"/>
        <v>362839.84645432472</v>
      </c>
      <c r="Q23" s="118">
        <f t="shared" si="14"/>
        <v>362315.43508019386</v>
      </c>
      <c r="R23" s="118">
        <f t="shared" si="14"/>
        <v>362833.35298383754</v>
      </c>
      <c r="S23" s="118">
        <f t="shared" si="14"/>
        <v>362645.54078033986</v>
      </c>
      <c r="T23" s="118">
        <f t="shared" si="16"/>
        <v>363606.50483385328</v>
      </c>
      <c r="U23" s="118">
        <f t="shared" si="17"/>
        <v>363900.5027845279</v>
      </c>
      <c r="V23" s="118">
        <f t="shared" si="17"/>
        <v>364301.34317370882</v>
      </c>
      <c r="W23" s="118">
        <f t="shared" si="17"/>
        <v>364514.32402568182</v>
      </c>
      <c r="X23" s="118">
        <f t="shared" si="17"/>
        <v>364913.09635716438</v>
      </c>
      <c r="Y23" s="118">
        <f t="shared" si="17"/>
        <v>365250.63702367345</v>
      </c>
      <c r="Z23" s="118">
        <f t="shared" si="17"/>
        <v>365705.96445150842</v>
      </c>
      <c r="AA23" s="118">
        <f t="shared" si="17"/>
        <v>366036.10783968493</v>
      </c>
      <c r="AB23" s="118">
        <f t="shared" si="17"/>
        <v>366398.646348237</v>
      </c>
      <c r="AC23" s="118">
        <f t="shared" si="17"/>
        <v>366746.98882827617</v>
      </c>
      <c r="AD23" s="118">
        <f t="shared" si="17"/>
        <v>367125.36263534409</v>
      </c>
      <c r="AE23" s="118">
        <f t="shared" si="17"/>
        <v>367493.61007780209</v>
      </c>
      <c r="AF23" s="118">
        <f t="shared" si="17"/>
        <v>367870.05685572559</v>
      </c>
    </row>
    <row r="24" spans="1:32">
      <c r="A24" s="113" t="s">
        <v>139</v>
      </c>
      <c r="B24" s="13">
        <v>457887</v>
      </c>
      <c r="C24" s="13">
        <v>490647</v>
      </c>
      <c r="D24" s="13">
        <v>450973</v>
      </c>
      <c r="E24" s="235">
        <v>474677</v>
      </c>
      <c r="F24" s="235">
        <v>463678</v>
      </c>
      <c r="G24" s="118">
        <f t="shared" si="12"/>
        <v>468447.86842449073</v>
      </c>
      <c r="H24" s="118">
        <f t="shared" si="13"/>
        <v>457448.50943893328</v>
      </c>
      <c r="I24" s="118">
        <f t="shared" si="14"/>
        <v>461264.25576896907</v>
      </c>
      <c r="J24" s="118">
        <f t="shared" si="14"/>
        <v>454915.82656869298</v>
      </c>
      <c r="K24" s="118">
        <f t="shared" si="14"/>
        <v>456947.74678979255</v>
      </c>
      <c r="L24" s="118">
        <f t="shared" si="14"/>
        <v>452516.44694319379</v>
      </c>
      <c r="M24" s="118">
        <f t="shared" si="14"/>
        <v>461646.36024722847</v>
      </c>
      <c r="N24" s="118">
        <f t="shared" si="14"/>
        <v>458447.31487918022</v>
      </c>
      <c r="O24" s="118">
        <f t="shared" si="14"/>
        <v>459290.24752017524</v>
      </c>
      <c r="P24" s="118">
        <f t="shared" si="14"/>
        <v>458724.60297200212</v>
      </c>
      <c r="Q24" s="118">
        <f t="shared" si="14"/>
        <v>459602.9910743545</v>
      </c>
      <c r="R24" s="118">
        <f t="shared" si="14"/>
        <v>459959.78557295335</v>
      </c>
      <c r="S24" s="118">
        <f t="shared" si="14"/>
        <v>461382.77072245011</v>
      </c>
      <c r="T24" s="118">
        <f t="shared" si="16"/>
        <v>461044.10484094411</v>
      </c>
      <c r="U24" s="118">
        <f t="shared" si="17"/>
        <v>461633.54731031484</v>
      </c>
      <c r="V24" s="118">
        <f t="shared" si="17"/>
        <v>461985.72361453285</v>
      </c>
      <c r="W24" s="118">
        <f t="shared" si="17"/>
        <v>462569.8425471916</v>
      </c>
      <c r="X24" s="118">
        <f t="shared" si="17"/>
        <v>463048.29762446787</v>
      </c>
      <c r="Y24" s="118">
        <f t="shared" si="17"/>
        <v>463572.39967547328</v>
      </c>
      <c r="Z24" s="118">
        <f t="shared" si="17"/>
        <v>463906.839143258</v>
      </c>
      <c r="AA24" s="118">
        <f t="shared" si="17"/>
        <v>464414.5232748313</v>
      </c>
      <c r="AB24" s="118">
        <f t="shared" si="17"/>
        <v>464871.00254863239</v>
      </c>
      <c r="AC24" s="118">
        <f t="shared" si="17"/>
        <v>465358.70794970513</v>
      </c>
      <c r="AD24" s="118">
        <f t="shared" si="17"/>
        <v>465820.78317961411</v>
      </c>
      <c r="AE24" s="118">
        <f t="shared" si="17"/>
        <v>466284.7158837936</v>
      </c>
      <c r="AF24" s="118">
        <f t="shared" si="17"/>
        <v>466736.19354025763</v>
      </c>
    </row>
    <row r="25" spans="1:32">
      <c r="A25" s="113" t="s">
        <v>140</v>
      </c>
      <c r="B25" s="13">
        <v>438649</v>
      </c>
      <c r="C25" s="13">
        <v>470617</v>
      </c>
      <c r="D25" s="13">
        <v>422543</v>
      </c>
      <c r="E25" s="235">
        <v>404214</v>
      </c>
      <c r="F25" s="235">
        <v>444305</v>
      </c>
      <c r="G25" s="118">
        <f t="shared" si="12"/>
        <v>433914.85248294176</v>
      </c>
      <c r="H25" s="118">
        <f t="shared" si="13"/>
        <v>426623.89554557559</v>
      </c>
      <c r="I25" s="118">
        <f t="shared" si="14"/>
        <v>427318.13452929468</v>
      </c>
      <c r="J25" s="118">
        <f t="shared" si="14"/>
        <v>418835.82665914728</v>
      </c>
      <c r="K25" s="118">
        <f t="shared" si="14"/>
        <v>419783.09313966194</v>
      </c>
      <c r="L25" s="118">
        <f t="shared" si="14"/>
        <v>422144.62014872133</v>
      </c>
      <c r="M25" s="118">
        <f t="shared" si="14"/>
        <v>426998.46801379666</v>
      </c>
      <c r="N25" s="118">
        <f t="shared" si="14"/>
        <v>424634.9935885017</v>
      </c>
      <c r="O25" s="118">
        <f t="shared" si="14"/>
        <v>424710.20811476797</v>
      </c>
      <c r="P25" s="118">
        <f t="shared" si="14"/>
        <v>424171.43073017983</v>
      </c>
      <c r="Q25" s="118">
        <f t="shared" si="14"/>
        <v>425351.01240202331</v>
      </c>
      <c r="R25" s="118">
        <f t="shared" si="14"/>
        <v>426232.19497941347</v>
      </c>
      <c r="S25" s="118">
        <f t="shared" si="14"/>
        <v>426876.04175090929</v>
      </c>
      <c r="T25" s="118">
        <f t="shared" si="16"/>
        <v>426722.17335917911</v>
      </c>
      <c r="U25" s="118">
        <f t="shared" si="17"/>
        <v>427172.17807168624</v>
      </c>
      <c r="V25" s="118">
        <f t="shared" si="17"/>
        <v>427576.18270513113</v>
      </c>
      <c r="W25" s="118">
        <f t="shared" si="17"/>
        <v>428178.73577265244</v>
      </c>
      <c r="X25" s="118">
        <f t="shared" si="17"/>
        <v>428625.55219513137</v>
      </c>
      <c r="Y25" s="118">
        <f t="shared" si="17"/>
        <v>429016.41953334329</v>
      </c>
      <c r="Z25" s="118">
        <f t="shared" si="17"/>
        <v>429367.72298040299</v>
      </c>
      <c r="AA25" s="118">
        <f t="shared" si="17"/>
        <v>429828.40990687965</v>
      </c>
      <c r="AB25" s="118">
        <f t="shared" si="17"/>
        <v>430269.27752053348</v>
      </c>
      <c r="AC25" s="118">
        <f t="shared" si="17"/>
        <v>430721.52699532168</v>
      </c>
      <c r="AD25" s="118">
        <f t="shared" si="17"/>
        <v>431141.30986925558</v>
      </c>
      <c r="AE25" s="118">
        <f t="shared" si="17"/>
        <v>431562.18370552722</v>
      </c>
      <c r="AF25" s="118">
        <f t="shared" si="17"/>
        <v>431988.86381029314</v>
      </c>
    </row>
    <row r="26" spans="1:32" ht="12" thickBot="1">
      <c r="A26" s="113" t="s">
        <v>141</v>
      </c>
      <c r="B26" s="13">
        <f>SUM(B14:B25)</f>
        <v>4881561</v>
      </c>
      <c r="C26" s="13">
        <f>SUM(C14:C25)</f>
        <v>4802282</v>
      </c>
      <c r="D26" s="13">
        <f>SUM(D14:D25)</f>
        <v>4798307</v>
      </c>
      <c r="E26" s="13">
        <f>SUM(E14:E25)</f>
        <v>4772748</v>
      </c>
      <c r="F26" s="13">
        <f>SUM(F14:F25)</f>
        <v>5365836</v>
      </c>
      <c r="G26" s="118">
        <f t="shared" ref="G26:AF26" si="18">G4</f>
        <v>4812716.3207193054</v>
      </c>
      <c r="H26" s="118">
        <f t="shared" si="18"/>
        <v>4817529.0370400241</v>
      </c>
      <c r="I26" s="118">
        <f t="shared" si="18"/>
        <v>4822346.5660770638</v>
      </c>
      <c r="J26" s="118">
        <f t="shared" si="18"/>
        <v>4827168.9126431402</v>
      </c>
      <c r="K26" s="118">
        <f t="shared" si="18"/>
        <v>4831996.0815557828</v>
      </c>
      <c r="L26" s="118">
        <f t="shared" si="18"/>
        <v>4836828.0776373381</v>
      </c>
      <c r="M26" s="118">
        <f t="shared" si="18"/>
        <v>4841664.9057149747</v>
      </c>
      <c r="N26" s="118">
        <f t="shared" si="18"/>
        <v>4846506.5706206895</v>
      </c>
      <c r="O26" s="118">
        <f t="shared" si="18"/>
        <v>4851353.07719131</v>
      </c>
      <c r="P26" s="118">
        <f t="shared" si="18"/>
        <v>4856204.4302685009</v>
      </c>
      <c r="Q26" s="118">
        <f t="shared" si="18"/>
        <v>4861060.6346987691</v>
      </c>
      <c r="R26" s="118">
        <f t="shared" si="18"/>
        <v>4865921.6953334669</v>
      </c>
      <c r="S26" s="118">
        <f t="shared" si="18"/>
        <v>4870787.6170287998</v>
      </c>
      <c r="T26" s="118">
        <f t="shared" si="18"/>
        <v>4875658.4046458285</v>
      </c>
      <c r="U26" s="118">
        <f t="shared" si="18"/>
        <v>4880534.063050474</v>
      </c>
      <c r="V26" s="118">
        <f t="shared" si="18"/>
        <v>4885414.5971135236</v>
      </c>
      <c r="W26" s="118">
        <f t="shared" si="18"/>
        <v>4890300.0117106363</v>
      </c>
      <c r="X26" s="118">
        <f t="shared" si="18"/>
        <v>4895190.3117223466</v>
      </c>
      <c r="Y26" s="118">
        <f t="shared" si="18"/>
        <v>4900085.5020340681</v>
      </c>
      <c r="Z26" s="118">
        <f t="shared" si="18"/>
        <v>4904985.5875361012</v>
      </c>
      <c r="AA26" s="118">
        <f t="shared" si="18"/>
        <v>4909890.5731236367</v>
      </c>
      <c r="AB26" s="118">
        <f t="shared" si="18"/>
        <v>4914800.4636967601</v>
      </c>
      <c r="AC26" s="118">
        <f t="shared" si="18"/>
        <v>4919715.2641604561</v>
      </c>
      <c r="AD26" s="118">
        <f t="shared" si="18"/>
        <v>4924634.9794246163</v>
      </c>
      <c r="AE26" s="118">
        <f t="shared" si="18"/>
        <v>4929559.6144040404</v>
      </c>
      <c r="AF26" s="118">
        <f t="shared" si="18"/>
        <v>4934489.1740184436</v>
      </c>
    </row>
    <row r="27" spans="1:32">
      <c r="A27" s="199"/>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row>
    <row r="28" spans="1:32" ht="12" thickBot="1">
      <c r="A28" s="138" t="s">
        <v>263</v>
      </c>
    </row>
    <row r="29" spans="1:32" ht="12" thickBot="1">
      <c r="A29" s="176"/>
      <c r="B29" s="177">
        <f>B2</f>
        <v>2020</v>
      </c>
      <c r="C29" s="177">
        <f t="shared" ref="C29:AF29" si="19">C2</f>
        <v>2021</v>
      </c>
      <c r="D29" s="177">
        <f t="shared" si="19"/>
        <v>2022</v>
      </c>
      <c r="E29" s="177">
        <f t="shared" si="19"/>
        <v>2023</v>
      </c>
      <c r="F29" s="177">
        <f t="shared" si="19"/>
        <v>2024</v>
      </c>
      <c r="G29" s="177">
        <f t="shared" si="19"/>
        <v>2025</v>
      </c>
      <c r="H29" s="177">
        <f t="shared" si="19"/>
        <v>2026</v>
      </c>
      <c r="I29" s="177">
        <f t="shared" si="19"/>
        <v>2027</v>
      </c>
      <c r="J29" s="177">
        <f t="shared" si="19"/>
        <v>2028</v>
      </c>
      <c r="K29" s="177">
        <f t="shared" si="19"/>
        <v>2029</v>
      </c>
      <c r="L29" s="177">
        <f t="shared" si="19"/>
        <v>2030</v>
      </c>
      <c r="M29" s="177">
        <f t="shared" si="19"/>
        <v>2031</v>
      </c>
      <c r="N29" s="177">
        <f t="shared" si="19"/>
        <v>2032</v>
      </c>
      <c r="O29" s="177">
        <f t="shared" si="19"/>
        <v>2033</v>
      </c>
      <c r="P29" s="177">
        <f t="shared" si="19"/>
        <v>2034</v>
      </c>
      <c r="Q29" s="177">
        <f t="shared" si="19"/>
        <v>2035</v>
      </c>
      <c r="R29" s="177">
        <f t="shared" si="19"/>
        <v>2036</v>
      </c>
      <c r="S29" s="177">
        <f t="shared" si="19"/>
        <v>2037</v>
      </c>
      <c r="T29" s="177">
        <f t="shared" si="19"/>
        <v>2038</v>
      </c>
      <c r="U29" s="177">
        <f t="shared" si="19"/>
        <v>2039</v>
      </c>
      <c r="V29" s="177">
        <f t="shared" si="19"/>
        <v>2040</v>
      </c>
      <c r="W29" s="177">
        <f t="shared" si="19"/>
        <v>2041</v>
      </c>
      <c r="X29" s="177">
        <f t="shared" si="19"/>
        <v>2042</v>
      </c>
      <c r="Y29" s="177">
        <f t="shared" si="19"/>
        <v>2043</v>
      </c>
      <c r="Z29" s="177">
        <f t="shared" si="19"/>
        <v>2044</v>
      </c>
      <c r="AA29" s="177">
        <f t="shared" si="19"/>
        <v>2045</v>
      </c>
      <c r="AB29" s="177">
        <f t="shared" si="19"/>
        <v>2046</v>
      </c>
      <c r="AC29" s="177">
        <f t="shared" si="19"/>
        <v>2047</v>
      </c>
      <c r="AD29" s="177">
        <f t="shared" si="19"/>
        <v>2048</v>
      </c>
      <c r="AE29" s="177">
        <f t="shared" si="19"/>
        <v>2049</v>
      </c>
      <c r="AF29" s="177">
        <f t="shared" si="19"/>
        <v>2050</v>
      </c>
    </row>
    <row r="30" spans="1:32">
      <c r="A30" s="113" t="s">
        <v>129</v>
      </c>
      <c r="B30" s="13">
        <v>452141</v>
      </c>
      <c r="C30" s="13">
        <v>344211</v>
      </c>
      <c r="D30" s="13">
        <v>392370</v>
      </c>
      <c r="E30" s="13">
        <v>433899</v>
      </c>
      <c r="F30" s="235">
        <v>403504</v>
      </c>
      <c r="G30" s="118">
        <f t="shared" ref="G30:G41" si="20">(SUM(B30:E30)/(SUM($B$42:$E$42))*G$42)</f>
        <v>421077.26770972623</v>
      </c>
      <c r="H30" s="118">
        <f t="shared" ref="H30:H41" si="21">(SUM(B30:F30)/(SUM(B$42:F$42))*H$42)</f>
        <v>415137.90630036214</v>
      </c>
      <c r="I30" s="118">
        <f t="shared" ref="I30:I41" si="22">(SUM(C30:G30)/(SUM(C$42:G$42))*I$42)</f>
        <v>410705.8915838541</v>
      </c>
      <c r="J30" s="118">
        <f t="shared" ref="J30:Y41" si="23">(SUM(D30:H30)/(SUM(D$42:H$42))*J$42)</f>
        <v>425416.07467100344</v>
      </c>
      <c r="K30" s="118">
        <f t="shared" si="23"/>
        <v>429236.33823707589</v>
      </c>
      <c r="L30" s="118">
        <f t="shared" si="23"/>
        <v>424765.61757666263</v>
      </c>
      <c r="M30" s="118">
        <f t="shared" si="23"/>
        <v>437337.85617249075</v>
      </c>
      <c r="N30" s="118">
        <f t="shared" si="23"/>
        <v>438105.40250866237</v>
      </c>
      <c r="O30" s="118">
        <f t="shared" si="23"/>
        <v>442725.21646402963</v>
      </c>
      <c r="P30" s="118">
        <f t="shared" si="23"/>
        <v>448427.06010195555</v>
      </c>
      <c r="Q30" s="118">
        <f t="shared" si="23"/>
        <v>452029.09592957899</v>
      </c>
      <c r="R30" s="118">
        <f t="shared" si="23"/>
        <v>456022.68894197809</v>
      </c>
      <c r="S30" s="118">
        <f t="shared" si="23"/>
        <v>461696.22417481162</v>
      </c>
      <c r="T30" s="118">
        <f t="shared" si="23"/>
        <v>465584.54156648967</v>
      </c>
      <c r="U30" s="118">
        <f t="shared" si="23"/>
        <v>470493.7962170458</v>
      </c>
      <c r="V30" s="118">
        <f t="shared" si="23"/>
        <v>475250.82628814568</v>
      </c>
      <c r="W30" s="118">
        <f t="shared" si="23"/>
        <v>479842.91843434866</v>
      </c>
      <c r="X30" s="118">
        <f t="shared" si="23"/>
        <v>484675.3651108598</v>
      </c>
      <c r="Y30" s="118">
        <f t="shared" si="23"/>
        <v>489632.35957538622</v>
      </c>
      <c r="Z30" s="118">
        <f t="shared" ref="Z30:AF41" si="24">(SUM(T30:X30)/(SUM(T$42:X$42))*Z$42)</f>
        <v>494414.32334513275</v>
      </c>
      <c r="AA30" s="118">
        <f t="shared" si="24"/>
        <v>499418.67902492249</v>
      </c>
      <c r="AB30" s="118">
        <f t="shared" si="24"/>
        <v>504396.54544726148</v>
      </c>
      <c r="AC30" s="118">
        <f t="shared" si="24"/>
        <v>509425.88037764339</v>
      </c>
      <c r="AD30" s="118">
        <f t="shared" si="24"/>
        <v>514535.4950111229</v>
      </c>
      <c r="AE30" s="118">
        <f t="shared" si="24"/>
        <v>519686.08212914033</v>
      </c>
      <c r="AF30" s="118">
        <f t="shared" si="24"/>
        <v>524868.42953447637</v>
      </c>
    </row>
    <row r="31" spans="1:32">
      <c r="A31" s="113" t="s">
        <v>130</v>
      </c>
      <c r="B31" s="13">
        <v>433561</v>
      </c>
      <c r="C31" s="13">
        <v>323028</v>
      </c>
      <c r="D31" s="13">
        <v>360615</v>
      </c>
      <c r="E31" s="13">
        <v>387105</v>
      </c>
      <c r="F31" s="235">
        <v>412486</v>
      </c>
      <c r="G31" s="118">
        <f t="shared" si="20"/>
        <v>390374.78469165048</v>
      </c>
      <c r="H31" s="118">
        <f t="shared" si="21"/>
        <v>392737.00443309406</v>
      </c>
      <c r="I31" s="118">
        <f t="shared" si="22"/>
        <v>385703.52642828471</v>
      </c>
      <c r="J31" s="118">
        <f t="shared" si="23"/>
        <v>400156.5140051691</v>
      </c>
      <c r="K31" s="118">
        <f t="shared" si="23"/>
        <v>405364.75733199052</v>
      </c>
      <c r="L31" s="118">
        <f t="shared" si="23"/>
        <v>405452.58611021581</v>
      </c>
      <c r="M31" s="118">
        <f t="shared" si="23"/>
        <v>410859.83388452657</v>
      </c>
      <c r="N31" s="118">
        <f t="shared" si="23"/>
        <v>413997.52733928524</v>
      </c>
      <c r="O31" s="118">
        <f t="shared" si="23"/>
        <v>417768.89172941743</v>
      </c>
      <c r="P31" s="118">
        <f t="shared" si="23"/>
        <v>423656.87891023181</v>
      </c>
      <c r="Q31" s="118">
        <f t="shared" si="23"/>
        <v>427322.01819506584</v>
      </c>
      <c r="R31" s="118">
        <f t="shared" si="23"/>
        <v>431128.61231024133</v>
      </c>
      <c r="S31" s="118">
        <f t="shared" si="23"/>
        <v>435679.6454487617</v>
      </c>
      <c r="T31" s="118">
        <f t="shared" si="23"/>
        <v>439897.58224450756</v>
      </c>
      <c r="U31" s="118">
        <f t="shared" si="23"/>
        <v>444409.63530773704</v>
      </c>
      <c r="V31" s="118">
        <f t="shared" si="23"/>
        <v>449014.62017682311</v>
      </c>
      <c r="W31" s="118">
        <f t="shared" si="23"/>
        <v>453333.27288413828</v>
      </c>
      <c r="X31" s="118">
        <f t="shared" si="23"/>
        <v>457847.50764326128</v>
      </c>
      <c r="Y31" s="118">
        <f t="shared" si="23"/>
        <v>462468.30189659749</v>
      </c>
      <c r="Z31" s="118">
        <f t="shared" si="24"/>
        <v>467081.43839990941</v>
      </c>
      <c r="AA31" s="118">
        <f t="shared" si="24"/>
        <v>471778.40961975523</v>
      </c>
      <c r="AB31" s="118">
        <f t="shared" si="24"/>
        <v>476496.4163234575</v>
      </c>
      <c r="AC31" s="118">
        <f t="shared" si="24"/>
        <v>481233.5654049305</v>
      </c>
      <c r="AD31" s="118">
        <f t="shared" si="24"/>
        <v>486053.82013196882</v>
      </c>
      <c r="AE31" s="118">
        <f t="shared" si="24"/>
        <v>490920.46337353881</v>
      </c>
      <c r="AF31" s="118">
        <f t="shared" si="24"/>
        <v>495828.61437910184</v>
      </c>
    </row>
    <row r="32" spans="1:32">
      <c r="A32" s="113" t="s">
        <v>131</v>
      </c>
      <c r="B32" s="13">
        <v>423298</v>
      </c>
      <c r="C32" s="13">
        <v>400719</v>
      </c>
      <c r="D32" s="13">
        <v>412602</v>
      </c>
      <c r="E32" s="235">
        <v>418266</v>
      </c>
      <c r="F32" s="235">
        <v>482837</v>
      </c>
      <c r="G32" s="118">
        <f t="shared" si="20"/>
        <v>429449.91724734876</v>
      </c>
      <c r="H32" s="118">
        <f t="shared" si="21"/>
        <v>438003.29956553661</v>
      </c>
      <c r="I32" s="118">
        <f t="shared" si="22"/>
        <v>441340.65598758945</v>
      </c>
      <c r="J32" s="118">
        <f t="shared" si="23"/>
        <v>449131.20922269713</v>
      </c>
      <c r="K32" s="118">
        <f t="shared" si="23"/>
        <v>455096.23825800815</v>
      </c>
      <c r="L32" s="118">
        <f t="shared" si="23"/>
        <v>458512.29708813841</v>
      </c>
      <c r="M32" s="118">
        <f t="shared" si="23"/>
        <v>460530.17407016869</v>
      </c>
      <c r="N32" s="118">
        <f t="shared" si="23"/>
        <v>466578.06105811324</v>
      </c>
      <c r="O32" s="118">
        <f t="shared" si="23"/>
        <v>471265.90809410857</v>
      </c>
      <c r="P32" s="118">
        <f t="shared" si="23"/>
        <v>476517.81707649969</v>
      </c>
      <c r="Q32" s="118">
        <f t="shared" si="23"/>
        <v>481124.05228572339</v>
      </c>
      <c r="R32" s="118">
        <f t="shared" si="23"/>
        <v>485581.88707101333</v>
      </c>
      <c r="S32" s="118">
        <f t="shared" si="23"/>
        <v>490287.39779598586</v>
      </c>
      <c r="T32" s="118">
        <f t="shared" si="23"/>
        <v>495500.66422198166</v>
      </c>
      <c r="U32" s="118">
        <f t="shared" si="23"/>
        <v>500434.58188238333</v>
      </c>
      <c r="V32" s="118">
        <f t="shared" si="23"/>
        <v>505477.83942167333</v>
      </c>
      <c r="W32" s="118">
        <f t="shared" si="23"/>
        <v>510454.92290401831</v>
      </c>
      <c r="X32" s="118">
        <f t="shared" si="23"/>
        <v>515522.95081961091</v>
      </c>
      <c r="Y32" s="118">
        <f t="shared" si="23"/>
        <v>520699.03449167061</v>
      </c>
      <c r="Z32" s="118">
        <f t="shared" si="24"/>
        <v>525950.55806273618</v>
      </c>
      <c r="AA32" s="118">
        <f t="shared" si="24"/>
        <v>531194.34389535978</v>
      </c>
      <c r="AB32" s="118">
        <f t="shared" si="24"/>
        <v>536504.22358075529</v>
      </c>
      <c r="AC32" s="118">
        <f t="shared" si="24"/>
        <v>541855.83324362012</v>
      </c>
      <c r="AD32" s="118">
        <f t="shared" si="24"/>
        <v>547276.69786210475</v>
      </c>
      <c r="AE32" s="118">
        <f t="shared" si="24"/>
        <v>552756.57589823555</v>
      </c>
      <c r="AF32" s="118">
        <f t="shared" si="24"/>
        <v>558287.39289768913</v>
      </c>
    </row>
    <row r="33" spans="1:32">
      <c r="A33" s="113" t="s">
        <v>132</v>
      </c>
      <c r="B33" s="13">
        <v>302693</v>
      </c>
      <c r="C33" s="13">
        <v>373523</v>
      </c>
      <c r="D33" s="13">
        <v>379775</v>
      </c>
      <c r="E33" s="235">
        <v>360637</v>
      </c>
      <c r="F33" s="235">
        <v>427227</v>
      </c>
      <c r="G33" s="118">
        <f t="shared" si="20"/>
        <v>367621.18054745626</v>
      </c>
      <c r="H33" s="118">
        <f t="shared" si="21"/>
        <v>377792.14225255314</v>
      </c>
      <c r="I33" s="118">
        <f t="shared" si="22"/>
        <v>392944.57302905712</v>
      </c>
      <c r="J33" s="118">
        <f t="shared" si="23"/>
        <v>393924.42805040535</v>
      </c>
      <c r="K33" s="118">
        <f t="shared" si="23"/>
        <v>396677.48736669851</v>
      </c>
      <c r="L33" s="118">
        <f t="shared" si="23"/>
        <v>400961.4088285481</v>
      </c>
      <c r="M33" s="118">
        <f t="shared" si="23"/>
        <v>401416.91790600924</v>
      </c>
      <c r="N33" s="118">
        <f t="shared" si="23"/>
        <v>408355.02599973493</v>
      </c>
      <c r="O33" s="118">
        <f t="shared" si="23"/>
        <v>413271.34648175916</v>
      </c>
      <c r="P33" s="118">
        <f t="shared" si="23"/>
        <v>416478.26479024818</v>
      </c>
      <c r="Q33" s="118">
        <f t="shared" si="23"/>
        <v>420504.36233899702</v>
      </c>
      <c r="R33" s="118">
        <f t="shared" si="23"/>
        <v>424624.90803370962</v>
      </c>
      <c r="S33" s="118">
        <f t="shared" si="23"/>
        <v>428691.80052115698</v>
      </c>
      <c r="T33" s="118">
        <f t="shared" si="23"/>
        <v>433521.38785290963</v>
      </c>
      <c r="U33" s="118">
        <f t="shared" si="23"/>
        <v>437753.47464960907</v>
      </c>
      <c r="V33" s="118">
        <f t="shared" si="23"/>
        <v>441967.51226059737</v>
      </c>
      <c r="W33" s="118">
        <f t="shared" si="23"/>
        <v>446394.88763656799</v>
      </c>
      <c r="X33" s="118">
        <f t="shared" si="23"/>
        <v>450861.37337662978</v>
      </c>
      <c r="Y33" s="118">
        <f t="shared" si="23"/>
        <v>455391.71043399483</v>
      </c>
      <c r="Z33" s="118">
        <f t="shared" si="24"/>
        <v>460005.20292619319</v>
      </c>
      <c r="AA33" s="118">
        <f t="shared" si="24"/>
        <v>464556.42137715599</v>
      </c>
      <c r="AB33" s="118">
        <f t="shared" si="24"/>
        <v>469187.01042872254</v>
      </c>
      <c r="AC33" s="118">
        <f t="shared" si="24"/>
        <v>473887.76687971875</v>
      </c>
      <c r="AD33" s="118">
        <f t="shared" si="24"/>
        <v>478630.812136764</v>
      </c>
      <c r="AE33" s="118">
        <f t="shared" si="24"/>
        <v>483422.60917504941</v>
      </c>
      <c r="AF33" s="118">
        <f t="shared" si="24"/>
        <v>488258.67083172186</v>
      </c>
    </row>
    <row r="34" spans="1:32">
      <c r="A34" s="113" t="s">
        <v>133</v>
      </c>
      <c r="B34" s="13">
        <v>301784</v>
      </c>
      <c r="C34" s="13">
        <v>408032</v>
      </c>
      <c r="D34" s="13">
        <v>407824</v>
      </c>
      <c r="E34" s="235">
        <v>359558</v>
      </c>
      <c r="F34" s="235">
        <v>433935</v>
      </c>
      <c r="G34" s="118">
        <f t="shared" si="20"/>
        <v>383339.36125951289</v>
      </c>
      <c r="H34" s="118">
        <f t="shared" si="21"/>
        <v>391576.90284732188</v>
      </c>
      <c r="I34" s="118">
        <f t="shared" si="22"/>
        <v>410217.40199456003</v>
      </c>
      <c r="J34" s="118">
        <f t="shared" si="23"/>
        <v>406934.2740809361</v>
      </c>
      <c r="K34" s="118">
        <f t="shared" si="23"/>
        <v>407469.49042858294</v>
      </c>
      <c r="L34" s="118">
        <f t="shared" si="23"/>
        <v>414567.5569320512</v>
      </c>
      <c r="M34" s="118">
        <f t="shared" si="23"/>
        <v>416104.13444279967</v>
      </c>
      <c r="N34" s="118">
        <f t="shared" si="23"/>
        <v>422602.72813332226</v>
      </c>
      <c r="O34" s="118">
        <f t="shared" si="23"/>
        <v>427706.84987521725</v>
      </c>
      <c r="P34" s="118">
        <f t="shared" si="23"/>
        <v>430284.23869218328</v>
      </c>
      <c r="Q34" s="118">
        <f t="shared" si="23"/>
        <v>434607.01581988431</v>
      </c>
      <c r="R34" s="118">
        <f t="shared" si="23"/>
        <v>439354.7694420084</v>
      </c>
      <c r="S34" s="118">
        <f t="shared" si="23"/>
        <v>443524.98479660484</v>
      </c>
      <c r="T34" s="118">
        <f t="shared" si="23"/>
        <v>448363.44653454563</v>
      </c>
      <c r="U34" s="118">
        <f t="shared" si="23"/>
        <v>452717.37228066439</v>
      </c>
      <c r="V34" s="118">
        <f t="shared" si="23"/>
        <v>457016.01412746281</v>
      </c>
      <c r="W34" s="118">
        <f t="shared" si="23"/>
        <v>461684.35366028309</v>
      </c>
      <c r="X34" s="118">
        <f t="shared" si="23"/>
        <v>466347.67063637788</v>
      </c>
      <c r="Y34" s="118">
        <f t="shared" si="23"/>
        <v>470994.46152479557</v>
      </c>
      <c r="Z34" s="118">
        <f t="shared" si="24"/>
        <v>475743.86695808987</v>
      </c>
      <c r="AA34" s="118">
        <f t="shared" si="24"/>
        <v>480453.38564972195</v>
      </c>
      <c r="AB34" s="118">
        <f t="shared" si="24"/>
        <v>485245.20374240656</v>
      </c>
      <c r="AC34" s="118">
        <f t="shared" si="24"/>
        <v>490122.52538769552</v>
      </c>
      <c r="AD34" s="118">
        <f t="shared" si="24"/>
        <v>495025.54294569301</v>
      </c>
      <c r="AE34" s="118">
        <f t="shared" si="24"/>
        <v>499973.09491763974</v>
      </c>
      <c r="AF34" s="118">
        <f t="shared" si="24"/>
        <v>504973.96771015949</v>
      </c>
    </row>
    <row r="35" spans="1:32">
      <c r="A35" s="113" t="s">
        <v>134</v>
      </c>
      <c r="B35" s="13">
        <v>382470</v>
      </c>
      <c r="C35" s="13">
        <v>397893</v>
      </c>
      <c r="D35" s="13">
        <v>388707</v>
      </c>
      <c r="E35" s="235">
        <v>383153</v>
      </c>
      <c r="F35" s="235">
        <v>468650</v>
      </c>
      <c r="G35" s="118">
        <f t="shared" si="20"/>
        <v>402808.67788361816</v>
      </c>
      <c r="H35" s="118">
        <f t="shared" si="21"/>
        <v>414061.81065774907</v>
      </c>
      <c r="I35" s="118">
        <f t="shared" si="22"/>
        <v>420206.47468082723</v>
      </c>
      <c r="J35" s="118">
        <f t="shared" si="23"/>
        <v>423643.63095125137</v>
      </c>
      <c r="K35" s="118">
        <f t="shared" si="23"/>
        <v>430174.55933599913</v>
      </c>
      <c r="L35" s="118">
        <f t="shared" si="23"/>
        <v>435718.99503264821</v>
      </c>
      <c r="M35" s="118">
        <f t="shared" si="23"/>
        <v>435115.69463136984</v>
      </c>
      <c r="N35" s="118">
        <f t="shared" si="23"/>
        <v>441964.33813355787</v>
      </c>
      <c r="O35" s="118">
        <f t="shared" si="23"/>
        <v>446345.65554896917</v>
      </c>
      <c r="P35" s="118">
        <f t="shared" si="23"/>
        <v>450873.47123309807</v>
      </c>
      <c r="Q35" s="118">
        <f t="shared" si="23"/>
        <v>455597.76703807659</v>
      </c>
      <c r="R35" s="118">
        <f t="shared" si="23"/>
        <v>459905.21469421714</v>
      </c>
      <c r="S35" s="118">
        <f t="shared" si="23"/>
        <v>464041.99107683136</v>
      </c>
      <c r="T35" s="118">
        <f t="shared" si="23"/>
        <v>469200.69510061754</v>
      </c>
      <c r="U35" s="118">
        <f t="shared" si="23"/>
        <v>473795.05904092273</v>
      </c>
      <c r="V35" s="118">
        <f t="shared" si="23"/>
        <v>478551.19728805171</v>
      </c>
      <c r="W35" s="118">
        <f t="shared" si="23"/>
        <v>483321.18424044177</v>
      </c>
      <c r="X35" s="118">
        <f t="shared" si="23"/>
        <v>488097.7976113357</v>
      </c>
      <c r="Y35" s="118">
        <f t="shared" si="23"/>
        <v>492970.66550118249</v>
      </c>
      <c r="Z35" s="118">
        <f t="shared" si="24"/>
        <v>497976.68359472987</v>
      </c>
      <c r="AA35" s="118">
        <f t="shared" si="24"/>
        <v>502923.21913231979</v>
      </c>
      <c r="AB35" s="118">
        <f t="shared" si="24"/>
        <v>507955.4199805471</v>
      </c>
      <c r="AC35" s="118">
        <f t="shared" si="24"/>
        <v>513027.24254254432</v>
      </c>
      <c r="AD35" s="118">
        <f t="shared" si="24"/>
        <v>518153.63186808175</v>
      </c>
      <c r="AE35" s="118">
        <f t="shared" si="24"/>
        <v>523341.45428462466</v>
      </c>
      <c r="AF35" s="118">
        <f t="shared" si="24"/>
        <v>528582.03456203372</v>
      </c>
    </row>
    <row r="36" spans="1:32">
      <c r="A36" s="113" t="s">
        <v>135</v>
      </c>
      <c r="B36" s="13">
        <v>456930</v>
      </c>
      <c r="C36" s="13">
        <v>447997</v>
      </c>
      <c r="D36" s="13">
        <v>413681</v>
      </c>
      <c r="E36" s="235">
        <v>410612</v>
      </c>
      <c r="F36" s="235">
        <v>486932</v>
      </c>
      <c r="G36" s="118">
        <f t="shared" si="20"/>
        <v>448740.17584452115</v>
      </c>
      <c r="H36" s="118">
        <f t="shared" si="21"/>
        <v>454073.0218142317</v>
      </c>
      <c r="I36" s="118">
        <f t="shared" si="22"/>
        <v>454533.94774921262</v>
      </c>
      <c r="J36" s="118">
        <f t="shared" si="23"/>
        <v>455901.66055570584</v>
      </c>
      <c r="K36" s="118">
        <f t="shared" si="23"/>
        <v>464362.15670825477</v>
      </c>
      <c r="L36" s="118">
        <f t="shared" si="23"/>
        <v>470670.75684724218</v>
      </c>
      <c r="M36" s="118">
        <f t="shared" si="23"/>
        <v>473971.29141537391</v>
      </c>
      <c r="N36" s="118">
        <f t="shared" si="23"/>
        <v>478535.04965578701</v>
      </c>
      <c r="O36" s="118">
        <f t="shared" si="23"/>
        <v>482675.88349192211</v>
      </c>
      <c r="P36" s="118">
        <f t="shared" si="23"/>
        <v>487670.51754158695</v>
      </c>
      <c r="Q36" s="118">
        <f t="shared" si="23"/>
        <v>493242.23862552241</v>
      </c>
      <c r="R36" s="118">
        <f t="shared" si="23"/>
        <v>498092.71312095155</v>
      </c>
      <c r="S36" s="118">
        <f t="shared" si="23"/>
        <v>502789.8429394082</v>
      </c>
      <c r="T36" s="118">
        <f t="shared" si="23"/>
        <v>507809.51556302223</v>
      </c>
      <c r="U36" s="118">
        <f t="shared" si="23"/>
        <v>512856.94283838285</v>
      </c>
      <c r="V36" s="118">
        <f t="shared" si="23"/>
        <v>518087.25663908711</v>
      </c>
      <c r="W36" s="118">
        <f t="shared" si="23"/>
        <v>523328.55672049121</v>
      </c>
      <c r="X36" s="118">
        <f t="shared" si="23"/>
        <v>528498.80987878866</v>
      </c>
      <c r="Y36" s="118">
        <f t="shared" si="23"/>
        <v>533750.39391875931</v>
      </c>
      <c r="Z36" s="118">
        <f t="shared" si="24"/>
        <v>539100.43501924584</v>
      </c>
      <c r="AA36" s="118">
        <f t="shared" si="24"/>
        <v>544498.73693130456</v>
      </c>
      <c r="AB36" s="118">
        <f t="shared" si="24"/>
        <v>549960.01284017216</v>
      </c>
      <c r="AC36" s="118">
        <f t="shared" si="24"/>
        <v>555456.24710820906</v>
      </c>
      <c r="AD36" s="118">
        <f t="shared" si="24"/>
        <v>560998.25838941103</v>
      </c>
      <c r="AE36" s="118">
        <f t="shared" si="24"/>
        <v>566608.10640396748</v>
      </c>
      <c r="AF36" s="118">
        <f t="shared" si="24"/>
        <v>572278.39238481608</v>
      </c>
    </row>
    <row r="37" spans="1:32">
      <c r="A37" s="113" t="s">
        <v>136</v>
      </c>
      <c r="B37" s="13">
        <v>435094</v>
      </c>
      <c r="C37" s="13">
        <v>423137</v>
      </c>
      <c r="D37" s="13">
        <v>418299</v>
      </c>
      <c r="E37" s="235">
        <v>403104</v>
      </c>
      <c r="F37" s="235">
        <v>484398</v>
      </c>
      <c r="G37" s="118">
        <f t="shared" si="20"/>
        <v>435872.39131772495</v>
      </c>
      <c r="H37" s="118">
        <f t="shared" si="21"/>
        <v>443394.02240581671</v>
      </c>
      <c r="I37" s="118">
        <f t="shared" si="22"/>
        <v>445650.66560427012</v>
      </c>
      <c r="J37" s="118">
        <f t="shared" si="23"/>
        <v>449936.16794693773</v>
      </c>
      <c r="K37" s="118">
        <f t="shared" si="23"/>
        <v>455615.65014406876</v>
      </c>
      <c r="L37" s="118">
        <f t="shared" si="23"/>
        <v>462295.61246050883</v>
      </c>
      <c r="M37" s="118">
        <f t="shared" si="23"/>
        <v>464161.01832036261</v>
      </c>
      <c r="N37" s="118">
        <f t="shared" si="23"/>
        <v>469659.69586172246</v>
      </c>
      <c r="O37" s="118">
        <f t="shared" si="23"/>
        <v>473981.3118153477</v>
      </c>
      <c r="P37" s="118">
        <f t="shared" si="23"/>
        <v>478977.59575639694</v>
      </c>
      <c r="Q37" s="118">
        <f t="shared" si="23"/>
        <v>483981.39494702301</v>
      </c>
      <c r="R37" s="118">
        <f t="shared" si="23"/>
        <v>488843.02044555021</v>
      </c>
      <c r="S37" s="118">
        <f t="shared" si="23"/>
        <v>493355.83606636559</v>
      </c>
      <c r="T37" s="118">
        <f t="shared" si="23"/>
        <v>498492.16558607778</v>
      </c>
      <c r="U37" s="118">
        <f t="shared" si="23"/>
        <v>503423.33704530663</v>
      </c>
      <c r="V37" s="118">
        <f t="shared" si="23"/>
        <v>508524.05055863532</v>
      </c>
      <c r="W37" s="118">
        <f t="shared" si="23"/>
        <v>513611.21415163018</v>
      </c>
      <c r="X37" s="118">
        <f t="shared" si="23"/>
        <v>518718.54563433089</v>
      </c>
      <c r="Y37" s="118">
        <f t="shared" si="23"/>
        <v>523872.81163905933</v>
      </c>
      <c r="Z37" s="118">
        <f t="shared" si="24"/>
        <v>529150.79651212972</v>
      </c>
      <c r="AA37" s="118">
        <f t="shared" si="24"/>
        <v>534432.51397127646</v>
      </c>
      <c r="AB37" s="118">
        <f t="shared" si="24"/>
        <v>539786.40337037807</v>
      </c>
      <c r="AC37" s="118">
        <f t="shared" si="24"/>
        <v>545177.95972637285</v>
      </c>
      <c r="AD37" s="118">
        <f t="shared" si="24"/>
        <v>550625.02177532692</v>
      </c>
      <c r="AE37" s="118">
        <f t="shared" si="24"/>
        <v>556131.23107657954</v>
      </c>
      <c r="AF37" s="118">
        <f t="shared" si="24"/>
        <v>561698.37129249563</v>
      </c>
    </row>
    <row r="38" spans="1:32">
      <c r="A38" s="113" t="s">
        <v>137</v>
      </c>
      <c r="B38" s="13">
        <v>401472</v>
      </c>
      <c r="C38" s="13">
        <v>418976</v>
      </c>
      <c r="D38" s="13">
        <v>381769</v>
      </c>
      <c r="E38" s="235">
        <v>368195</v>
      </c>
      <c r="F38" s="235">
        <v>435652</v>
      </c>
      <c r="G38" s="118">
        <f t="shared" si="20"/>
        <v>407528.80317619862</v>
      </c>
      <c r="H38" s="118">
        <f t="shared" si="21"/>
        <v>411027.55696935271</v>
      </c>
      <c r="I38" s="118">
        <f t="shared" si="22"/>
        <v>414217.78960782161</v>
      </c>
      <c r="J38" s="118">
        <f t="shared" si="23"/>
        <v>412687.32761539891</v>
      </c>
      <c r="K38" s="118">
        <f t="shared" si="23"/>
        <v>419412.61396279768</v>
      </c>
      <c r="L38" s="118">
        <f t="shared" si="23"/>
        <v>425844.46098261472</v>
      </c>
      <c r="M38" s="118">
        <f t="shared" si="23"/>
        <v>429700.70645007887</v>
      </c>
      <c r="N38" s="118">
        <f t="shared" si="23"/>
        <v>433512.19845898845</v>
      </c>
      <c r="O38" s="118">
        <f t="shared" si="23"/>
        <v>437398.08455596666</v>
      </c>
      <c r="P38" s="118">
        <f t="shared" si="23"/>
        <v>441413.25485070184</v>
      </c>
      <c r="Q38" s="118">
        <f t="shared" si="23"/>
        <v>446555.5682531771</v>
      </c>
      <c r="R38" s="118">
        <f t="shared" si="23"/>
        <v>451133.90596954152</v>
      </c>
      <c r="S38" s="118">
        <f t="shared" si="23"/>
        <v>455443.89148530981</v>
      </c>
      <c r="T38" s="118">
        <f t="shared" si="23"/>
        <v>459904.14454076812</v>
      </c>
      <c r="U38" s="118">
        <f t="shared" si="23"/>
        <v>464468.13419351209</v>
      </c>
      <c r="V38" s="118">
        <f t="shared" si="23"/>
        <v>469151.64972381771</v>
      </c>
      <c r="W38" s="118">
        <f t="shared" si="23"/>
        <v>473949.37467097823</v>
      </c>
      <c r="X38" s="118">
        <f t="shared" si="23"/>
        <v>478651.62369027617</v>
      </c>
      <c r="Y38" s="118">
        <f t="shared" si="23"/>
        <v>483399.52723565651</v>
      </c>
      <c r="Z38" s="118">
        <f t="shared" si="24"/>
        <v>488229.0608936373</v>
      </c>
      <c r="AA38" s="118">
        <f t="shared" si="24"/>
        <v>493118.45467541396</v>
      </c>
      <c r="AB38" s="118">
        <f t="shared" si="24"/>
        <v>498063.10821715527</v>
      </c>
      <c r="AC38" s="118">
        <f t="shared" si="24"/>
        <v>503050.60506371164</v>
      </c>
      <c r="AD38" s="118">
        <f t="shared" si="24"/>
        <v>508068.67777983524</v>
      </c>
      <c r="AE38" s="118">
        <f t="shared" si="24"/>
        <v>513146.11062517948</v>
      </c>
      <c r="AF38" s="118">
        <f t="shared" si="24"/>
        <v>518279.76572834415</v>
      </c>
    </row>
    <row r="39" spans="1:32">
      <c r="A39" s="113" t="s">
        <v>138</v>
      </c>
      <c r="B39" s="13">
        <v>387028</v>
      </c>
      <c r="C39" s="13">
        <v>353674</v>
      </c>
      <c r="D39" s="13">
        <v>390867</v>
      </c>
      <c r="E39" s="235">
        <v>352597</v>
      </c>
      <c r="F39" s="235">
        <v>396446</v>
      </c>
      <c r="G39" s="118">
        <f t="shared" si="20"/>
        <v>385147.58782714728</v>
      </c>
      <c r="H39" s="118">
        <f t="shared" si="21"/>
        <v>385323.37750303501</v>
      </c>
      <c r="I39" s="118">
        <f t="shared" si="22"/>
        <v>386758.11330399913</v>
      </c>
      <c r="J39" s="118">
        <f t="shared" si="23"/>
        <v>393374.3579081106</v>
      </c>
      <c r="K39" s="118">
        <f t="shared" si="23"/>
        <v>392569.11159990454</v>
      </c>
      <c r="L39" s="118">
        <f t="shared" si="23"/>
        <v>398411.82464454963</v>
      </c>
      <c r="M39" s="118">
        <f t="shared" si="23"/>
        <v>404374.59126268025</v>
      </c>
      <c r="N39" s="118">
        <f t="shared" si="23"/>
        <v>407134.88156555447</v>
      </c>
      <c r="O39" s="118">
        <f t="shared" si="23"/>
        <v>411099.44291368569</v>
      </c>
      <c r="P39" s="118">
        <f t="shared" si="23"/>
        <v>415339.85241561016</v>
      </c>
      <c r="Q39" s="118">
        <f t="shared" si="23"/>
        <v>419028.44610796054</v>
      </c>
      <c r="R39" s="118">
        <f t="shared" si="23"/>
        <v>423767.0417714814</v>
      </c>
      <c r="S39" s="118">
        <f t="shared" si="23"/>
        <v>428057.36477210984</v>
      </c>
      <c r="T39" s="118">
        <f t="shared" si="23"/>
        <v>432092.937555173</v>
      </c>
      <c r="U39" s="118">
        <f t="shared" si="23"/>
        <v>436446.91044499166</v>
      </c>
      <c r="V39" s="118">
        <f t="shared" si="23"/>
        <v>440815.66082845256</v>
      </c>
      <c r="W39" s="118">
        <f t="shared" si="23"/>
        <v>445208.04377537558</v>
      </c>
      <c r="X39" s="118">
        <f t="shared" si="23"/>
        <v>449741.96746412589</v>
      </c>
      <c r="Y39" s="118">
        <f t="shared" si="23"/>
        <v>454203.84421813639</v>
      </c>
      <c r="Z39" s="118">
        <f t="shared" si="24"/>
        <v>458716.41432348342</v>
      </c>
      <c r="AA39" s="118">
        <f t="shared" si="24"/>
        <v>463317.69836942758</v>
      </c>
      <c r="AB39" s="118">
        <f t="shared" si="24"/>
        <v>467951.98652726371</v>
      </c>
      <c r="AC39" s="118">
        <f t="shared" si="24"/>
        <v>472634.66498621408</v>
      </c>
      <c r="AD39" s="118">
        <f t="shared" si="24"/>
        <v>477367.6839673589</v>
      </c>
      <c r="AE39" s="118">
        <f t="shared" si="24"/>
        <v>482131.6588455782</v>
      </c>
      <c r="AF39" s="118">
        <f t="shared" si="24"/>
        <v>486952.05847484479</v>
      </c>
    </row>
    <row r="40" spans="1:32">
      <c r="A40" s="113" t="s">
        <v>139</v>
      </c>
      <c r="B40" s="13">
        <v>450022</v>
      </c>
      <c r="C40" s="13">
        <v>437332</v>
      </c>
      <c r="D40" s="13">
        <v>433461</v>
      </c>
      <c r="E40" s="235">
        <v>412403</v>
      </c>
      <c r="F40" s="235">
        <v>452339</v>
      </c>
      <c r="G40" s="118">
        <f t="shared" si="20"/>
        <v>449777.67438318388</v>
      </c>
      <c r="H40" s="118">
        <f t="shared" si="21"/>
        <v>447804.33442166727</v>
      </c>
      <c r="I40" s="118">
        <f t="shared" si="22"/>
        <v>449871.29209940037</v>
      </c>
      <c r="J40" s="118">
        <f t="shared" si="23"/>
        <v>452143.07178441429</v>
      </c>
      <c r="K40" s="118">
        <f t="shared" si="23"/>
        <v>455569.56622041645</v>
      </c>
      <c r="L40" s="118">
        <f t="shared" si="23"/>
        <v>460798.6135204673</v>
      </c>
      <c r="M40" s="118">
        <f t="shared" si="23"/>
        <v>469300.47753491928</v>
      </c>
      <c r="N40" s="118">
        <f t="shared" si="23"/>
        <v>471593.9371472582</v>
      </c>
      <c r="O40" s="118">
        <f t="shared" si="23"/>
        <v>476067.28877702227</v>
      </c>
      <c r="P40" s="118">
        <f t="shared" si="23"/>
        <v>480587.7755041378</v>
      </c>
      <c r="Q40" s="118">
        <f t="shared" si="23"/>
        <v>485566.4097880128</v>
      </c>
      <c r="R40" s="118">
        <f t="shared" si="23"/>
        <v>490772.70408385462</v>
      </c>
      <c r="S40" s="118">
        <f t="shared" si="23"/>
        <v>495926.88738154562</v>
      </c>
      <c r="T40" s="118">
        <f t="shared" si="23"/>
        <v>500395.26196954935</v>
      </c>
      <c r="U40" s="118">
        <f t="shared" si="23"/>
        <v>505458.95372178848</v>
      </c>
      <c r="V40" s="118">
        <f t="shared" si="23"/>
        <v>510521.60975065379</v>
      </c>
      <c r="W40" s="118">
        <f t="shared" si="23"/>
        <v>515697.30685259122</v>
      </c>
      <c r="X40" s="118">
        <f t="shared" si="23"/>
        <v>520890.48889626464</v>
      </c>
      <c r="Y40" s="118">
        <f t="shared" si="23"/>
        <v>526077.30365784024</v>
      </c>
      <c r="Z40" s="118">
        <f t="shared" si="24"/>
        <v>531272.23406616156</v>
      </c>
      <c r="AA40" s="118">
        <f t="shared" si="24"/>
        <v>536616.67201657547</v>
      </c>
      <c r="AB40" s="118">
        <f t="shared" si="24"/>
        <v>541988.42075725459</v>
      </c>
      <c r="AC40" s="118">
        <f t="shared" si="24"/>
        <v>547418.80837149126</v>
      </c>
      <c r="AD40" s="118">
        <f t="shared" si="24"/>
        <v>552889.99437049241</v>
      </c>
      <c r="AE40" s="118">
        <f t="shared" si="24"/>
        <v>558410.5428956023</v>
      </c>
      <c r="AF40" s="118">
        <f t="shared" si="24"/>
        <v>563990.26913141552</v>
      </c>
    </row>
    <row r="41" spans="1:32">
      <c r="A41" s="113" t="s">
        <v>140</v>
      </c>
      <c r="B41" s="13">
        <v>407528</v>
      </c>
      <c r="C41" s="13">
        <v>443944</v>
      </c>
      <c r="D41" s="13">
        <v>436461</v>
      </c>
      <c r="E41" s="235">
        <v>410057</v>
      </c>
      <c r="F41" s="235">
        <v>454680</v>
      </c>
      <c r="G41" s="118">
        <f t="shared" si="20"/>
        <v>440635.85384291096</v>
      </c>
      <c r="H41" s="118">
        <f t="shared" si="21"/>
        <v>441066.03331758932</v>
      </c>
      <c r="I41" s="118">
        <f t="shared" si="22"/>
        <v>449967.0545443166</v>
      </c>
      <c r="J41" s="118">
        <f t="shared" si="23"/>
        <v>449489.84368729574</v>
      </c>
      <c r="K41" s="118">
        <f t="shared" si="23"/>
        <v>452317.97649032134</v>
      </c>
      <c r="L41" s="118">
        <f t="shared" si="23"/>
        <v>457504.87552131363</v>
      </c>
      <c r="M41" s="118">
        <f t="shared" si="23"/>
        <v>464786.95550963108</v>
      </c>
      <c r="N41" s="118">
        <f t="shared" si="23"/>
        <v>468297.40225442854</v>
      </c>
      <c r="O41" s="118">
        <f t="shared" si="23"/>
        <v>473233.73085013212</v>
      </c>
      <c r="P41" s="118">
        <f t="shared" si="23"/>
        <v>477048.27983090375</v>
      </c>
      <c r="Q41" s="118">
        <f t="shared" si="23"/>
        <v>481989.38744156796</v>
      </c>
      <c r="R41" s="118">
        <f t="shared" si="23"/>
        <v>487135.76845374884</v>
      </c>
      <c r="S41" s="118">
        <f t="shared" si="23"/>
        <v>492231.00022278819</v>
      </c>
      <c r="T41" s="118">
        <f t="shared" si="23"/>
        <v>496881.79261285346</v>
      </c>
      <c r="U41" s="118">
        <f t="shared" si="23"/>
        <v>501862.37907963624</v>
      </c>
      <c r="V41" s="118">
        <f t="shared" si="23"/>
        <v>506783.54540560034</v>
      </c>
      <c r="W41" s="118">
        <f t="shared" si="23"/>
        <v>511947.36436282628</v>
      </c>
      <c r="X41" s="118">
        <f t="shared" si="23"/>
        <v>517107.03353476542</v>
      </c>
      <c r="Y41" s="118">
        <f t="shared" si="23"/>
        <v>522270.33154651447</v>
      </c>
      <c r="Z41" s="118">
        <f t="shared" si="24"/>
        <v>527447.03899454069</v>
      </c>
      <c r="AA41" s="118">
        <f t="shared" si="24"/>
        <v>532730.39896371658</v>
      </c>
      <c r="AB41" s="118">
        <f t="shared" si="24"/>
        <v>538054.57174784492</v>
      </c>
      <c r="AC41" s="118">
        <f t="shared" si="24"/>
        <v>543454.11710069946</v>
      </c>
      <c r="AD41" s="118">
        <f t="shared" si="24"/>
        <v>548887.03211662034</v>
      </c>
      <c r="AE41" s="118">
        <f t="shared" si="24"/>
        <v>554369.86541319208</v>
      </c>
      <c r="AF41" s="118">
        <f t="shared" si="24"/>
        <v>559908.80606161163</v>
      </c>
    </row>
    <row r="42" spans="1:32" ht="12" thickBot="1">
      <c r="A42" s="113" t="s">
        <v>141</v>
      </c>
      <c r="B42" s="13">
        <f>SUM(B30:B41)</f>
        <v>4834021</v>
      </c>
      <c r="C42" s="13">
        <f>SUM(C30:C41)</f>
        <v>4772466</v>
      </c>
      <c r="D42" s="13">
        <f>SUM(D30:D41)</f>
        <v>4816431</v>
      </c>
      <c r="E42" s="13">
        <f>SUM(E30:E41)</f>
        <v>4699586</v>
      </c>
      <c r="F42" s="13">
        <f>SUM(F30:F41)</f>
        <v>5339086</v>
      </c>
      <c r="G42" s="118">
        <f t="shared" ref="G42:AF42" si="25">G6</f>
        <v>4962373.6757309996</v>
      </c>
      <c r="H42" s="118">
        <f t="shared" si="25"/>
        <v>5011997.4124883097</v>
      </c>
      <c r="I42" s="118">
        <f t="shared" si="25"/>
        <v>5062117.386613193</v>
      </c>
      <c r="J42" s="118">
        <f t="shared" si="25"/>
        <v>5112738.5604793252</v>
      </c>
      <c r="K42" s="118">
        <f t="shared" si="25"/>
        <v>5163865.9460841184</v>
      </c>
      <c r="L42" s="118">
        <f t="shared" si="25"/>
        <v>5215504.6055449601</v>
      </c>
      <c r="M42" s="118">
        <f t="shared" si="25"/>
        <v>5267659.6516004102</v>
      </c>
      <c r="N42" s="118">
        <f t="shared" si="25"/>
        <v>5320336.2481164141</v>
      </c>
      <c r="O42" s="118">
        <f t="shared" si="25"/>
        <v>5373539.6105975779</v>
      </c>
      <c r="P42" s="118">
        <f t="shared" si="25"/>
        <v>5427275.0067035537</v>
      </c>
      <c r="Q42" s="118">
        <f t="shared" si="25"/>
        <v>5481547.7567705894</v>
      </c>
      <c r="R42" s="118">
        <f t="shared" si="25"/>
        <v>5536363.2343382956</v>
      </c>
      <c r="S42" s="118">
        <f t="shared" si="25"/>
        <v>5591726.8666816782</v>
      </c>
      <c r="T42" s="118">
        <f t="shared" si="25"/>
        <v>5647644.1353484951</v>
      </c>
      <c r="U42" s="118">
        <f t="shared" si="25"/>
        <v>5704120.5767019801</v>
      </c>
      <c r="V42" s="118">
        <f t="shared" si="25"/>
        <v>5761161.7824689997</v>
      </c>
      <c r="W42" s="118">
        <f t="shared" si="25"/>
        <v>5818773.4002936902</v>
      </c>
      <c r="X42" s="118">
        <f t="shared" si="25"/>
        <v>5876961.1342966268</v>
      </c>
      <c r="Y42" s="118">
        <f t="shared" si="25"/>
        <v>5935730.7456395933</v>
      </c>
      <c r="Z42" s="118">
        <f t="shared" si="25"/>
        <v>5995088.0530959889</v>
      </c>
      <c r="AA42" s="118">
        <f t="shared" si="25"/>
        <v>6055038.9336269489</v>
      </c>
      <c r="AB42" s="118">
        <f t="shared" si="25"/>
        <v>6115589.3229632182</v>
      </c>
      <c r="AC42" s="118">
        <f t="shared" si="25"/>
        <v>6176745.2161928508</v>
      </c>
      <c r="AD42" s="118">
        <f t="shared" si="25"/>
        <v>6238512.6683547795</v>
      </c>
      <c r="AE42" s="118">
        <f t="shared" si="25"/>
        <v>6300897.7950383276</v>
      </c>
      <c r="AF42" s="118">
        <f t="shared" si="25"/>
        <v>6363906.7729887106</v>
      </c>
    </row>
    <row r="43" spans="1:32">
      <c r="A43" s="199"/>
      <c r="B43" s="199"/>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c r="AA43" s="199"/>
      <c r="AB43" s="199"/>
      <c r="AC43" s="199"/>
      <c r="AD43" s="199"/>
      <c r="AE43" s="199"/>
      <c r="AF43" s="199"/>
    </row>
    <row r="44" spans="1:32" ht="12" thickBot="1">
      <c r="A44" s="138" t="s">
        <v>145</v>
      </c>
    </row>
    <row r="45" spans="1:32" ht="12" thickBot="1">
      <c r="A45" s="176"/>
      <c r="B45" s="177">
        <f>B2</f>
        <v>2020</v>
      </c>
      <c r="C45" s="177">
        <f t="shared" ref="C45:AF45" si="26">C2</f>
        <v>2021</v>
      </c>
      <c r="D45" s="177">
        <f t="shared" si="26"/>
        <v>2022</v>
      </c>
      <c r="E45" s="177">
        <f t="shared" si="26"/>
        <v>2023</v>
      </c>
      <c r="F45" s="177">
        <f t="shared" si="26"/>
        <v>2024</v>
      </c>
      <c r="G45" s="177">
        <f t="shared" si="26"/>
        <v>2025</v>
      </c>
      <c r="H45" s="177">
        <f t="shared" si="26"/>
        <v>2026</v>
      </c>
      <c r="I45" s="177">
        <f t="shared" si="26"/>
        <v>2027</v>
      </c>
      <c r="J45" s="177">
        <f t="shared" si="26"/>
        <v>2028</v>
      </c>
      <c r="K45" s="177">
        <f t="shared" si="26"/>
        <v>2029</v>
      </c>
      <c r="L45" s="177">
        <f t="shared" si="26"/>
        <v>2030</v>
      </c>
      <c r="M45" s="177">
        <f t="shared" si="26"/>
        <v>2031</v>
      </c>
      <c r="N45" s="177">
        <f t="shared" si="26"/>
        <v>2032</v>
      </c>
      <c r="O45" s="177">
        <f t="shared" si="26"/>
        <v>2033</v>
      </c>
      <c r="P45" s="177">
        <f t="shared" si="26"/>
        <v>2034</v>
      </c>
      <c r="Q45" s="177">
        <f t="shared" si="26"/>
        <v>2035</v>
      </c>
      <c r="R45" s="177">
        <f t="shared" si="26"/>
        <v>2036</v>
      </c>
      <c r="S45" s="177">
        <f t="shared" si="26"/>
        <v>2037</v>
      </c>
      <c r="T45" s="177">
        <f t="shared" si="26"/>
        <v>2038</v>
      </c>
      <c r="U45" s="177">
        <f t="shared" si="26"/>
        <v>2039</v>
      </c>
      <c r="V45" s="177">
        <f t="shared" si="26"/>
        <v>2040</v>
      </c>
      <c r="W45" s="177">
        <f t="shared" si="26"/>
        <v>2041</v>
      </c>
      <c r="X45" s="177">
        <f t="shared" si="26"/>
        <v>2042</v>
      </c>
      <c r="Y45" s="177">
        <f t="shared" si="26"/>
        <v>2043</v>
      </c>
      <c r="Z45" s="177">
        <f t="shared" si="26"/>
        <v>2044</v>
      </c>
      <c r="AA45" s="177">
        <f t="shared" si="26"/>
        <v>2045</v>
      </c>
      <c r="AB45" s="177">
        <f t="shared" si="26"/>
        <v>2046</v>
      </c>
      <c r="AC45" s="177">
        <f t="shared" si="26"/>
        <v>2047</v>
      </c>
      <c r="AD45" s="177">
        <f t="shared" si="26"/>
        <v>2048</v>
      </c>
      <c r="AE45" s="177">
        <f t="shared" si="26"/>
        <v>2049</v>
      </c>
      <c r="AF45" s="177">
        <f t="shared" si="26"/>
        <v>2050</v>
      </c>
    </row>
    <row r="46" spans="1:32">
      <c r="A46" s="113" t="s">
        <v>129</v>
      </c>
      <c r="B46" s="13">
        <v>-520</v>
      </c>
      <c r="C46" s="13">
        <v>566</v>
      </c>
      <c r="D46" s="13">
        <v>-553</v>
      </c>
      <c r="E46" s="13">
        <v>1228</v>
      </c>
      <c r="F46" s="113">
        <v>-441</v>
      </c>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c r="A47" s="113" t="s">
        <v>130</v>
      </c>
      <c r="B47" s="13">
        <v>-22</v>
      </c>
      <c r="C47" s="13">
        <v>199</v>
      </c>
      <c r="D47" s="13">
        <v>309</v>
      </c>
      <c r="E47" s="13">
        <v>1327</v>
      </c>
      <c r="F47" s="113">
        <v>-137</v>
      </c>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c r="A48" s="113" t="s">
        <v>131</v>
      </c>
      <c r="B48" s="13">
        <v>-2314</v>
      </c>
      <c r="C48" s="13">
        <v>139</v>
      </c>
      <c r="D48" s="13">
        <v>-212</v>
      </c>
      <c r="E48" s="113">
        <v>279</v>
      </c>
      <c r="F48" s="113">
        <v>-336</v>
      </c>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c r="A49" s="113" t="s">
        <v>132</v>
      </c>
      <c r="B49" s="13">
        <v>-85</v>
      </c>
      <c r="C49" s="13">
        <v>-465</v>
      </c>
      <c r="D49" s="13">
        <v>1183</v>
      </c>
      <c r="E49" s="113">
        <v>-68</v>
      </c>
      <c r="F49" s="113">
        <v>-18</v>
      </c>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c r="A50" s="113" t="s">
        <v>133</v>
      </c>
      <c r="B50" s="13">
        <v>-1966</v>
      </c>
      <c r="C50" s="13">
        <v>-43</v>
      </c>
      <c r="D50" s="13">
        <v>-594</v>
      </c>
      <c r="E50" s="113">
        <v>-5</v>
      </c>
      <c r="F50" s="113">
        <v>-60</v>
      </c>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c r="A51" s="113" t="s">
        <v>134</v>
      </c>
      <c r="B51" s="13">
        <v>-1436</v>
      </c>
      <c r="C51" s="13">
        <v>-371</v>
      </c>
      <c r="D51" s="13">
        <v>-890</v>
      </c>
      <c r="E51" s="113">
        <v>142</v>
      </c>
      <c r="F51" s="113">
        <v>-36</v>
      </c>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c r="A52" s="113" t="s">
        <v>135</v>
      </c>
      <c r="B52" s="13">
        <v>4722</v>
      </c>
      <c r="C52" s="13">
        <v>329</v>
      </c>
      <c r="D52" s="13">
        <v>402</v>
      </c>
      <c r="E52" s="113">
        <v>592</v>
      </c>
      <c r="F52" s="113">
        <v>-162</v>
      </c>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c r="A53" s="113" t="s">
        <v>136</v>
      </c>
      <c r="B53" s="13">
        <v>797</v>
      </c>
      <c r="C53" s="13">
        <v>218</v>
      </c>
      <c r="D53" s="13">
        <v>-78</v>
      </c>
      <c r="E53" s="113">
        <v>-8</v>
      </c>
      <c r="F53" s="113">
        <v>304</v>
      </c>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c r="A54" s="113" t="s">
        <v>137</v>
      </c>
      <c r="B54" s="13">
        <v>1429</v>
      </c>
      <c r="C54" s="13">
        <v>146</v>
      </c>
      <c r="D54" s="13">
        <v>-1180</v>
      </c>
      <c r="E54" s="113">
        <v>-983</v>
      </c>
      <c r="F54" s="113">
        <v>182</v>
      </c>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c r="A55" s="113" t="s">
        <v>138</v>
      </c>
      <c r="B55" s="13">
        <v>-162</v>
      </c>
      <c r="C55" s="13">
        <v>-1589</v>
      </c>
      <c r="D55" s="13">
        <v>1418</v>
      </c>
      <c r="E55" s="113">
        <v>-973</v>
      </c>
      <c r="F55" s="113">
        <v>669</v>
      </c>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c r="A56" s="113" t="s">
        <v>139</v>
      </c>
      <c r="B56" s="13">
        <v>98</v>
      </c>
      <c r="C56" s="13">
        <v>1802</v>
      </c>
      <c r="D56" s="13">
        <v>438</v>
      </c>
      <c r="E56" s="113">
        <v>-726</v>
      </c>
      <c r="F56" s="113">
        <v>306</v>
      </c>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c r="A57" s="113" t="s">
        <v>140</v>
      </c>
      <c r="B57" s="13">
        <v>-277</v>
      </c>
      <c r="C57" s="13">
        <v>144</v>
      </c>
      <c r="D57" s="13">
        <v>171</v>
      </c>
      <c r="E57" s="113">
        <v>-352</v>
      </c>
      <c r="F57" s="113">
        <v>413</v>
      </c>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ht="12" thickBot="1">
      <c r="A58" s="113" t="s">
        <v>141</v>
      </c>
      <c r="B58" s="13">
        <f>SUM(B46:B57)</f>
        <v>264</v>
      </c>
      <c r="C58" s="13">
        <f>SUM(C46:C57)</f>
        <v>1075</v>
      </c>
      <c r="D58" s="13">
        <f>SUM(D46:D57)</f>
        <v>414</v>
      </c>
      <c r="E58" s="13">
        <f>SUM(E46:E57)</f>
        <v>453</v>
      </c>
      <c r="F58" s="13">
        <f>SUM(F46:F57)</f>
        <v>684</v>
      </c>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row>
    <row r="60" spans="1:32" ht="12" thickBot="1">
      <c r="A60" s="138" t="s">
        <v>146</v>
      </c>
    </row>
    <row r="61" spans="1:32" ht="12" thickBot="1">
      <c r="A61" s="176"/>
      <c r="B61" s="177">
        <f>B2</f>
        <v>2020</v>
      </c>
      <c r="C61" s="177">
        <f t="shared" ref="C61:AF61" si="27">C2</f>
        <v>2021</v>
      </c>
      <c r="D61" s="177">
        <f t="shared" si="27"/>
        <v>2022</v>
      </c>
      <c r="E61" s="177">
        <f t="shared" si="27"/>
        <v>2023</v>
      </c>
      <c r="F61" s="177">
        <f t="shared" si="27"/>
        <v>2024</v>
      </c>
      <c r="G61" s="177">
        <f t="shared" si="27"/>
        <v>2025</v>
      </c>
      <c r="H61" s="177">
        <f t="shared" si="27"/>
        <v>2026</v>
      </c>
      <c r="I61" s="177">
        <f t="shared" si="27"/>
        <v>2027</v>
      </c>
      <c r="J61" s="177">
        <f t="shared" si="27"/>
        <v>2028</v>
      </c>
      <c r="K61" s="177">
        <f t="shared" si="27"/>
        <v>2029</v>
      </c>
      <c r="L61" s="177">
        <f t="shared" si="27"/>
        <v>2030</v>
      </c>
      <c r="M61" s="177">
        <f t="shared" si="27"/>
        <v>2031</v>
      </c>
      <c r="N61" s="177">
        <f t="shared" si="27"/>
        <v>2032</v>
      </c>
      <c r="O61" s="177">
        <f t="shared" si="27"/>
        <v>2033</v>
      </c>
      <c r="P61" s="177">
        <f t="shared" si="27"/>
        <v>2034</v>
      </c>
      <c r="Q61" s="177">
        <f t="shared" si="27"/>
        <v>2035</v>
      </c>
      <c r="R61" s="177">
        <f t="shared" si="27"/>
        <v>2036</v>
      </c>
      <c r="S61" s="177">
        <f t="shared" si="27"/>
        <v>2037</v>
      </c>
      <c r="T61" s="177">
        <f t="shared" si="27"/>
        <v>2038</v>
      </c>
      <c r="U61" s="177">
        <f t="shared" si="27"/>
        <v>2039</v>
      </c>
      <c r="V61" s="177">
        <f t="shared" si="27"/>
        <v>2040</v>
      </c>
      <c r="W61" s="177">
        <f t="shared" si="27"/>
        <v>2041</v>
      </c>
      <c r="X61" s="177">
        <f t="shared" si="27"/>
        <v>2042</v>
      </c>
      <c r="Y61" s="177">
        <f t="shared" si="27"/>
        <v>2043</v>
      </c>
      <c r="Z61" s="177">
        <f t="shared" si="27"/>
        <v>2044</v>
      </c>
      <c r="AA61" s="177">
        <f t="shared" si="27"/>
        <v>2045</v>
      </c>
      <c r="AB61" s="177">
        <f t="shared" si="27"/>
        <v>2046</v>
      </c>
      <c r="AC61" s="177">
        <f t="shared" si="27"/>
        <v>2047</v>
      </c>
      <c r="AD61" s="177">
        <f t="shared" si="27"/>
        <v>2048</v>
      </c>
      <c r="AE61" s="177">
        <f t="shared" si="27"/>
        <v>2049</v>
      </c>
      <c r="AF61" s="177">
        <f t="shared" si="27"/>
        <v>2050</v>
      </c>
    </row>
    <row r="62" spans="1:32">
      <c r="A62" s="113" t="s">
        <v>129</v>
      </c>
      <c r="B62" s="13">
        <f>((B3+B14)-B78)-(B30+B46)</f>
        <v>-19883</v>
      </c>
      <c r="C62" s="13">
        <f>((B89+C14)-C78)-(C30+C46)</f>
        <v>445</v>
      </c>
      <c r="D62" s="13">
        <f>((C89+D14)-D78)-(D30+D46)</f>
        <v>74</v>
      </c>
      <c r="E62" s="13">
        <f>((D89+E14)-E78)-(E30+E46)</f>
        <v>-208</v>
      </c>
      <c r="F62" s="13">
        <f>((E89+F14)-F78)-(F30+F46)</f>
        <v>983</v>
      </c>
      <c r="G62" s="13">
        <f t="shared" ref="G62:AF68" si="28">((F89+G14)-G78)-(G30+G46)</f>
        <v>-10961.039923151606</v>
      </c>
      <c r="H62" s="13">
        <f t="shared" si="28"/>
        <v>-7648.2083506334457</v>
      </c>
      <c r="I62" s="13">
        <f t="shared" si="28"/>
        <v>-13513.739176828298</v>
      </c>
      <c r="J62" s="13">
        <f t="shared" si="28"/>
        <v>-13476.883637759543</v>
      </c>
      <c r="K62" s="13">
        <f t="shared" si="28"/>
        <v>-14476.270497309917</v>
      </c>
      <c r="L62" s="13">
        <f t="shared" si="28"/>
        <v>-18604.933482695778</v>
      </c>
      <c r="M62" s="13">
        <f t="shared" si="28"/>
        <v>-27187.298684680718</v>
      </c>
      <c r="N62" s="13">
        <f t="shared" si="28"/>
        <v>-29180.822810387181</v>
      </c>
      <c r="O62" s="13">
        <f t="shared" si="28"/>
        <v>-32834.632849391201</v>
      </c>
      <c r="P62" s="13">
        <f t="shared" si="28"/>
        <v>-36612.294012188679</v>
      </c>
      <c r="Q62" s="13">
        <f t="shared" si="28"/>
        <v>-40193.991598759312</v>
      </c>
      <c r="R62" s="13">
        <f t="shared" si="28"/>
        <v>-45210.704788093746</v>
      </c>
      <c r="S62" s="13">
        <f t="shared" si="28"/>
        <v>-49313.110102087958</v>
      </c>
      <c r="T62" s="13">
        <f t="shared" si="28"/>
        <v>-53500.313017385022</v>
      </c>
      <c r="U62" s="13">
        <f t="shared" si="28"/>
        <v>-57283.389846601232</v>
      </c>
      <c r="V62" s="13">
        <f t="shared" si="28"/>
        <v>-62031.634480502631</v>
      </c>
      <c r="W62" s="13">
        <f t="shared" si="28"/>
        <v>-65911.78000270098</v>
      </c>
      <c r="X62" s="13">
        <f t="shared" si="28"/>
        <v>-70898.001189227507</v>
      </c>
      <c r="Y62" s="13">
        <f t="shared" si="28"/>
        <v>-74796.9656952761</v>
      </c>
      <c r="Z62" s="13">
        <f t="shared" si="28"/>
        <v>-79730.663360559032</v>
      </c>
      <c r="AA62" s="13">
        <f t="shared" si="28"/>
        <v>-83750.881630442396</v>
      </c>
      <c r="AB62" s="13">
        <f t="shared" si="28"/>
        <v>-88864.617913241789</v>
      </c>
      <c r="AC62" s="13">
        <f t="shared" si="28"/>
        <v>-92970.5697329666</v>
      </c>
      <c r="AD62" s="13">
        <f t="shared" si="28"/>
        <v>-98190.444973306498</v>
      </c>
      <c r="AE62" s="13">
        <f t="shared" si="28"/>
        <v>-102371.5970511295</v>
      </c>
      <c r="AF62" s="13">
        <f t="shared" si="28"/>
        <v>-107682.50464976591</v>
      </c>
    </row>
    <row r="63" spans="1:32">
      <c r="A63" s="113" t="s">
        <v>130</v>
      </c>
      <c r="B63" s="13">
        <f>((B78+B15)-B79)-(B31+B47)</f>
        <v>22086</v>
      </c>
      <c r="C63" s="13">
        <f>((C78+C15)-C79)-(C31+C47)</f>
        <v>-395</v>
      </c>
      <c r="D63" s="13">
        <f>((D78+D15)-D79)-(D31+D47)</f>
        <v>-188</v>
      </c>
      <c r="E63" s="13">
        <f t="shared" ref="E63:F68" si="29">((D90+E15)-E79)-(E31+E47)</f>
        <v>-124673</v>
      </c>
      <c r="F63" s="13">
        <f t="shared" si="29"/>
        <v>-198932</v>
      </c>
      <c r="G63" s="13">
        <f t="shared" si="28"/>
        <v>-180118.18621189141</v>
      </c>
      <c r="H63" s="13">
        <f t="shared" si="28"/>
        <v>-184864.26369159168</v>
      </c>
      <c r="I63" s="13">
        <f t="shared" si="28"/>
        <v>-188545.05835035368</v>
      </c>
      <c r="J63" s="13">
        <f t="shared" si="28"/>
        <v>-191745.30442808545</v>
      </c>
      <c r="K63" s="13">
        <f t="shared" si="28"/>
        <v>-199240.86934050801</v>
      </c>
      <c r="L63" s="13">
        <f t="shared" si="28"/>
        <v>-200791.32007809263</v>
      </c>
      <c r="M63" s="13">
        <f t="shared" si="28"/>
        <v>-204292.39901045995</v>
      </c>
      <c r="N63" s="13">
        <f t="shared" si="28"/>
        <v>-206826.8381782521</v>
      </c>
      <c r="O63" s="13">
        <f t="shared" si="28"/>
        <v>-212587.11193103384</v>
      </c>
      <c r="P63" s="13">
        <f t="shared" si="28"/>
        <v>-214737.83246523835</v>
      </c>
      <c r="Q63" s="13">
        <f t="shared" si="28"/>
        <v>-220778.24711861211</v>
      </c>
      <c r="R63" s="13">
        <f t="shared" si="28"/>
        <v>-222296.76798170403</v>
      </c>
      <c r="S63" s="13">
        <f t="shared" si="28"/>
        <v>-228196.59486334352</v>
      </c>
      <c r="T63" s="13">
        <f t="shared" si="28"/>
        <v>-230233.03333686799</v>
      </c>
      <c r="U63" s="13">
        <f t="shared" si="28"/>
        <v>-236409.16655255901</v>
      </c>
      <c r="V63" s="13">
        <f t="shared" si="28"/>
        <v>-238387.20426194009</v>
      </c>
      <c r="W63" s="13">
        <f t="shared" si="28"/>
        <v>-244617.11092703312</v>
      </c>
      <c r="X63" s="13">
        <f t="shared" si="28"/>
        <v>-246584.54307923722</v>
      </c>
      <c r="Y63" s="13">
        <f t="shared" si="28"/>
        <v>-252955.36910736427</v>
      </c>
      <c r="Z63" s="13">
        <f t="shared" si="28"/>
        <v>-255082.69246420136</v>
      </c>
      <c r="AA63" s="13">
        <f t="shared" si="28"/>
        <v>-261536.91099117126</v>
      </c>
      <c r="AB63" s="13">
        <f t="shared" si="28"/>
        <v>-263725.25699904549</v>
      </c>
      <c r="AC63" s="13">
        <f t="shared" si="28"/>
        <v>-270266.70129650354</v>
      </c>
      <c r="AD63" s="13">
        <f t="shared" si="28"/>
        <v>-272545.90585747734</v>
      </c>
      <c r="AE63" s="13">
        <f t="shared" si="28"/>
        <v>-279198.80900559272</v>
      </c>
      <c r="AF63" s="13">
        <f t="shared" si="28"/>
        <v>-281577.9610942346</v>
      </c>
    </row>
    <row r="64" spans="1:32">
      <c r="A64" s="113" t="s">
        <v>131</v>
      </c>
      <c r="B64" s="13">
        <f t="shared" ref="B64:Q73" si="30">((B79+B16)-B80)-(B32+B48)</f>
        <v>4742</v>
      </c>
      <c r="C64" s="13">
        <f t="shared" si="30"/>
        <v>-131</v>
      </c>
      <c r="D64" s="13">
        <f t="shared" si="30"/>
        <v>-163</v>
      </c>
      <c r="E64" s="13">
        <f t="shared" si="29"/>
        <v>-116773</v>
      </c>
      <c r="F64" s="13">
        <f t="shared" si="29"/>
        <v>-175891</v>
      </c>
      <c r="G64" s="13">
        <f t="shared" si="28"/>
        <v>-163259.89592322957</v>
      </c>
      <c r="H64" s="13">
        <f t="shared" si="28"/>
        <v>-177428.57820648982</v>
      </c>
      <c r="I64" s="13">
        <f t="shared" si="28"/>
        <v>-183231.35571030804</v>
      </c>
      <c r="J64" s="13">
        <f t="shared" si="28"/>
        <v>-188843.62545869875</v>
      </c>
      <c r="K64" s="13">
        <f t="shared" si="28"/>
        <v>-199086.16047336507</v>
      </c>
      <c r="L64" s="13">
        <f t="shared" si="28"/>
        <v>-201233.34153267954</v>
      </c>
      <c r="M64" s="13">
        <f t="shared" si="28"/>
        <v>-199259.77849525589</v>
      </c>
      <c r="N64" s="13">
        <f t="shared" si="28"/>
        <v>-205801.91442321686</v>
      </c>
      <c r="O64" s="13">
        <f t="shared" si="28"/>
        <v>-211645.17136002946</v>
      </c>
      <c r="P64" s="13">
        <f t="shared" si="28"/>
        <v>-215066.47294725597</v>
      </c>
      <c r="Q64" s="13">
        <f t="shared" si="28"/>
        <v>-221101.71368624413</v>
      </c>
      <c r="R64" s="13">
        <f t="shared" si="28"/>
        <v>-223171.83476800867</v>
      </c>
      <c r="S64" s="13">
        <f t="shared" si="28"/>
        <v>-228621.57341298708</v>
      </c>
      <c r="T64" s="13">
        <f t="shared" si="28"/>
        <v>-232310.8936489214</v>
      </c>
      <c r="U64" s="13">
        <f t="shared" si="28"/>
        <v>-238361.26510682501</v>
      </c>
      <c r="V64" s="13">
        <f t="shared" si="28"/>
        <v>-241392.75510232453</v>
      </c>
      <c r="W64" s="13">
        <f t="shared" si="28"/>
        <v>-247540.04783436889</v>
      </c>
      <c r="X64" s="13">
        <f t="shared" si="28"/>
        <v>-250497.1703666781</v>
      </c>
      <c r="Y64" s="13">
        <f t="shared" si="28"/>
        <v>-256866.98710144829</v>
      </c>
      <c r="Z64" s="13">
        <f t="shared" si="28"/>
        <v>-260148.72615386744</v>
      </c>
      <c r="AA64" s="13">
        <f t="shared" si="28"/>
        <v>-266558.64413837611</v>
      </c>
      <c r="AB64" s="13">
        <f t="shared" si="28"/>
        <v>-269824.73227656656</v>
      </c>
      <c r="AC64" s="13">
        <f t="shared" si="28"/>
        <v>-276360.87978800538</v>
      </c>
      <c r="AD64" s="13">
        <f t="shared" si="28"/>
        <v>-279730.70372204971</v>
      </c>
      <c r="AE64" s="13">
        <f t="shared" si="28"/>
        <v>-286411.47332915163</v>
      </c>
      <c r="AF64" s="13">
        <f t="shared" si="28"/>
        <v>-289901.42412737396</v>
      </c>
    </row>
    <row r="65" spans="1:32">
      <c r="A65" s="113" t="s">
        <v>132</v>
      </c>
      <c r="B65" s="13">
        <f t="shared" si="30"/>
        <v>5540</v>
      </c>
      <c r="C65" s="13">
        <f t="shared" si="30"/>
        <v>-203</v>
      </c>
      <c r="D65" s="13">
        <f t="shared" si="30"/>
        <v>-227</v>
      </c>
      <c r="E65" s="13">
        <f t="shared" si="29"/>
        <v>-117343</v>
      </c>
      <c r="F65" s="13">
        <f t="shared" si="29"/>
        <v>-130786</v>
      </c>
      <c r="G65" s="13">
        <f t="shared" si="28"/>
        <v>-175965.90559606161</v>
      </c>
      <c r="H65" s="13">
        <f t="shared" si="28"/>
        <v>-180403.10562888766</v>
      </c>
      <c r="I65" s="13">
        <f t="shared" si="28"/>
        <v>-183060.87307550636</v>
      </c>
      <c r="J65" s="13">
        <f t="shared" si="28"/>
        <v>-191857.86834163906</v>
      </c>
      <c r="K65" s="13">
        <f t="shared" si="28"/>
        <v>-197508.06466964184</v>
      </c>
      <c r="L65" s="13">
        <f t="shared" si="28"/>
        <v>-196239.85581869347</v>
      </c>
      <c r="M65" s="13">
        <f t="shared" si="28"/>
        <v>-200373.32135246432</v>
      </c>
      <c r="N65" s="13">
        <f t="shared" si="28"/>
        <v>-203824.30642371211</v>
      </c>
      <c r="O65" s="13">
        <f t="shared" si="28"/>
        <v>-208870.18893597747</v>
      </c>
      <c r="P65" s="13">
        <f t="shared" si="28"/>
        <v>-212288.58973887283</v>
      </c>
      <c r="Q65" s="13">
        <f t="shared" si="28"/>
        <v>-216709.29902633576</v>
      </c>
      <c r="R65" s="13">
        <f t="shared" si="28"/>
        <v>-218958.37170759507</v>
      </c>
      <c r="S65" s="13">
        <f t="shared" si="28"/>
        <v>-224074.70557236456</v>
      </c>
      <c r="T65" s="13">
        <f t="shared" si="28"/>
        <v>-227112.60065447103</v>
      </c>
      <c r="U65" s="13">
        <f t="shared" si="28"/>
        <v>-232190.74450937659</v>
      </c>
      <c r="V65" s="13">
        <f t="shared" si="28"/>
        <v>-235138.24675862992</v>
      </c>
      <c r="W65" s="13">
        <f t="shared" si="28"/>
        <v>-240153.31261887948</v>
      </c>
      <c r="X65" s="13">
        <f t="shared" si="28"/>
        <v>-243147.12620506942</v>
      </c>
      <c r="Y65" s="13">
        <f t="shared" si="28"/>
        <v>-248425.39623746375</v>
      </c>
      <c r="Z65" s="13">
        <f t="shared" si="28"/>
        <v>-251553.57614610856</v>
      </c>
      <c r="AA65" s="13">
        <f t="shared" si="28"/>
        <v>-256856.24393766688</v>
      </c>
      <c r="AB65" s="13">
        <f t="shared" si="28"/>
        <v>-260043.33833502646</v>
      </c>
      <c r="AC65" s="13">
        <f t="shared" si="28"/>
        <v>-265432.61611733335</v>
      </c>
      <c r="AD65" s="13">
        <f t="shared" si="28"/>
        <v>-268729.51605938852</v>
      </c>
      <c r="AE65" s="13">
        <f t="shared" si="28"/>
        <v>-274235.94023503567</v>
      </c>
      <c r="AF65" s="13">
        <f t="shared" si="28"/>
        <v>-277619.25327501545</v>
      </c>
    </row>
    <row r="66" spans="1:32">
      <c r="A66" s="113" t="s">
        <v>133</v>
      </c>
      <c r="B66" s="13">
        <f t="shared" si="30"/>
        <v>612</v>
      </c>
      <c r="C66" s="13">
        <f t="shared" si="30"/>
        <v>8599</v>
      </c>
      <c r="D66" s="13">
        <f t="shared" si="30"/>
        <v>-253</v>
      </c>
      <c r="E66" s="13">
        <f t="shared" si="29"/>
        <v>-93683</v>
      </c>
      <c r="F66" s="13">
        <f t="shared" si="29"/>
        <v>-118654</v>
      </c>
      <c r="G66" s="13">
        <f t="shared" si="28"/>
        <v>-185345.52421417323</v>
      </c>
      <c r="H66" s="13">
        <f t="shared" si="28"/>
        <v>-185088.11535677055</v>
      </c>
      <c r="I66" s="13">
        <f t="shared" si="28"/>
        <v>-188543.02978103972</v>
      </c>
      <c r="J66" s="13">
        <f t="shared" si="28"/>
        <v>-187905.46564378121</v>
      </c>
      <c r="K66" s="13">
        <f t="shared" si="28"/>
        <v>-193648.47811231538</v>
      </c>
      <c r="L66" s="13">
        <f t="shared" si="28"/>
        <v>-196810.32705197608</v>
      </c>
      <c r="M66" s="13">
        <f t="shared" si="28"/>
        <v>-203028.98973227935</v>
      </c>
      <c r="N66" s="13">
        <f t="shared" si="28"/>
        <v>-205127.37371452074</v>
      </c>
      <c r="O66" s="13">
        <f t="shared" si="28"/>
        <v>-209340.64899869848</v>
      </c>
      <c r="P66" s="13">
        <f t="shared" si="28"/>
        <v>-212329.50412897518</v>
      </c>
      <c r="Q66" s="13">
        <f t="shared" si="28"/>
        <v>-217217.03417731731</v>
      </c>
      <c r="R66" s="13">
        <f t="shared" si="28"/>
        <v>-220703.03157798233</v>
      </c>
      <c r="S66" s="13">
        <f t="shared" si="28"/>
        <v>-225378.69140571743</v>
      </c>
      <c r="T66" s="13">
        <f t="shared" si="28"/>
        <v>-228665.66700100162</v>
      </c>
      <c r="U66" s="13">
        <f t="shared" si="28"/>
        <v>-233316.56819017805</v>
      </c>
      <c r="V66" s="13">
        <f t="shared" si="28"/>
        <v>-236916.12705107572</v>
      </c>
      <c r="W66" s="13">
        <f t="shared" si="28"/>
        <v>-241725.79503618556</v>
      </c>
      <c r="X66" s="13">
        <f t="shared" si="28"/>
        <v>-245413.25963099711</v>
      </c>
      <c r="Y66" s="13">
        <f t="shared" si="28"/>
        <v>-250229.34026343611</v>
      </c>
      <c r="Z66" s="13">
        <f t="shared" si="28"/>
        <v>-253987.18823134011</v>
      </c>
      <c r="AA66" s="13">
        <f t="shared" si="28"/>
        <v>-258914.08429619743</v>
      </c>
      <c r="AB66" s="13">
        <f t="shared" si="28"/>
        <v>-262801.13974584953</v>
      </c>
      <c r="AC66" s="13">
        <f t="shared" si="28"/>
        <v>-267821.12622431293</v>
      </c>
      <c r="AD66" s="13">
        <f t="shared" si="28"/>
        <v>-271793.35115779331</v>
      </c>
      <c r="AE66" s="13">
        <f t="shared" si="28"/>
        <v>-276898.11120007734</v>
      </c>
      <c r="AF66" s="13">
        <f t="shared" si="28"/>
        <v>-280971.89310357918</v>
      </c>
    </row>
    <row r="67" spans="1:32">
      <c r="A67" s="113" t="s">
        <v>134</v>
      </c>
      <c r="B67" s="13">
        <f t="shared" si="30"/>
        <v>21012</v>
      </c>
      <c r="C67" s="13">
        <f t="shared" si="30"/>
        <v>-239</v>
      </c>
      <c r="D67" s="13">
        <f t="shared" si="30"/>
        <v>-268</v>
      </c>
      <c r="E67" s="13">
        <f t="shared" si="29"/>
        <v>-93747</v>
      </c>
      <c r="F67" s="13">
        <f t="shared" si="29"/>
        <v>-123495</v>
      </c>
      <c r="G67" s="13">
        <f t="shared" si="28"/>
        <v>-160404.25416274578</v>
      </c>
      <c r="H67" s="13">
        <f t="shared" si="28"/>
        <v>-168345.24216322502</v>
      </c>
      <c r="I67" s="13">
        <f t="shared" si="28"/>
        <v>-173176.45216905425</v>
      </c>
      <c r="J67" s="13">
        <f t="shared" si="28"/>
        <v>-176491.79861230322</v>
      </c>
      <c r="K67" s="13">
        <f t="shared" si="28"/>
        <v>-182304.93934226671</v>
      </c>
      <c r="L67" s="13">
        <f t="shared" si="28"/>
        <v>-186364.30324584665</v>
      </c>
      <c r="M67" s="13">
        <f t="shared" si="28"/>
        <v>-187454.46596009639</v>
      </c>
      <c r="N67" s="13">
        <f t="shared" si="28"/>
        <v>-192907.48868298932</v>
      </c>
      <c r="O67" s="13">
        <f t="shared" si="28"/>
        <v>-196898.31638986059</v>
      </c>
      <c r="P67" s="13">
        <f t="shared" si="28"/>
        <v>-201019.14319744747</v>
      </c>
      <c r="Q67" s="13">
        <f t="shared" si="28"/>
        <v>-205282.49893697246</v>
      </c>
      <c r="R67" s="13">
        <f t="shared" si="28"/>
        <v>-209191.41523319139</v>
      </c>
      <c r="S67" s="13">
        <f t="shared" si="28"/>
        <v>-213135.30693112541</v>
      </c>
      <c r="T67" s="13">
        <f t="shared" si="28"/>
        <v>-217681.05168714863</v>
      </c>
      <c r="U67" s="13">
        <f t="shared" si="28"/>
        <v>-221903.96697046614</v>
      </c>
      <c r="V67" s="13">
        <f t="shared" si="28"/>
        <v>-226243.98445060139</v>
      </c>
      <c r="W67" s="13">
        <f t="shared" si="28"/>
        <v>-230604.98714763147</v>
      </c>
      <c r="X67" s="13">
        <f t="shared" si="28"/>
        <v>-234981.61602312454</v>
      </c>
      <c r="Y67" s="13">
        <f t="shared" si="28"/>
        <v>-239452.40046571137</v>
      </c>
      <c r="Z67" s="13">
        <f t="shared" si="28"/>
        <v>-244014.74926286488</v>
      </c>
      <c r="AA67" s="13">
        <f t="shared" si="28"/>
        <v>-248559.95957973594</v>
      </c>
      <c r="AB67" s="13">
        <f t="shared" si="28"/>
        <v>-253176.33323061635</v>
      </c>
      <c r="AC67" s="13">
        <f t="shared" si="28"/>
        <v>-257835.29955575737</v>
      </c>
      <c r="AD67" s="13">
        <f t="shared" si="28"/>
        <v>-262547.45857484324</v>
      </c>
      <c r="AE67" s="13">
        <f t="shared" si="28"/>
        <v>-267318.46602637612</v>
      </c>
      <c r="AF67" s="13">
        <f t="shared" si="28"/>
        <v>-272139.79223730019</v>
      </c>
    </row>
    <row r="68" spans="1:32">
      <c r="A68" s="113" t="s">
        <v>135</v>
      </c>
      <c r="B68" s="13">
        <f t="shared" si="30"/>
        <v>6</v>
      </c>
      <c r="C68" s="13">
        <f t="shared" si="30"/>
        <v>4032</v>
      </c>
      <c r="D68" s="13">
        <f t="shared" si="30"/>
        <v>-266</v>
      </c>
      <c r="E68" s="13">
        <f t="shared" si="29"/>
        <v>-107942</v>
      </c>
      <c r="F68" s="13">
        <f t="shared" si="29"/>
        <v>-118865</v>
      </c>
      <c r="G68" s="13">
        <f t="shared" si="28"/>
        <v>-193018.40196285429</v>
      </c>
      <c r="H68" s="13">
        <f t="shared" si="28"/>
        <v>-193292.88888333432</v>
      </c>
      <c r="I68" s="13">
        <f t="shared" si="28"/>
        <v>-201318.57102530237</v>
      </c>
      <c r="J68" s="13">
        <f t="shared" si="28"/>
        <v>-202583.54234877744</v>
      </c>
      <c r="K68" s="13">
        <f t="shared" si="28"/>
        <v>-204464.86006207645</v>
      </c>
      <c r="L68" s="13">
        <f t="shared" si="28"/>
        <v>-208457.15123719344</v>
      </c>
      <c r="M68" s="13">
        <f t="shared" si="28"/>
        <v>-215499.90519245694</v>
      </c>
      <c r="N68" s="13">
        <f t="shared" si="28"/>
        <v>-219191.79778840774</v>
      </c>
      <c r="O68" s="13">
        <f t="shared" si="28"/>
        <v>-223364.52961298768</v>
      </c>
      <c r="P68" s="13">
        <f t="shared" si="28"/>
        <v>-227560.38086447012</v>
      </c>
      <c r="Q68" s="13">
        <f t="shared" si="28"/>
        <v>-231496.95357130855</v>
      </c>
      <c r="R68" s="13">
        <f t="shared" si="28"/>
        <v>-236736.39023536813</v>
      </c>
      <c r="S68" s="13">
        <f t="shared" si="28"/>
        <v>-241095.85863012515</v>
      </c>
      <c r="T68" s="13">
        <f t="shared" si="28"/>
        <v>-245967.93374608821</v>
      </c>
      <c r="U68" s="13">
        <f t="shared" si="28"/>
        <v>-250111.63093618705</v>
      </c>
      <c r="V68" s="13">
        <f t="shared" si="28"/>
        <v>-255265.57309593307</v>
      </c>
      <c r="W68" s="13">
        <f t="shared" si="28"/>
        <v>-259546.02669671428</v>
      </c>
      <c r="X68" s="13">
        <f t="shared" si="28"/>
        <v>-264931.83862154454</v>
      </c>
      <c r="Y68" s="13">
        <f t="shared" si="28"/>
        <v>-269264.53718174866</v>
      </c>
      <c r="Z68" s="13">
        <f t="shared" si="28"/>
        <v>-274670.18128944898</v>
      </c>
      <c r="AA68" s="13">
        <f t="shared" si="28"/>
        <v>-279105.80949302774</v>
      </c>
      <c r="AB68" s="13">
        <f t="shared" si="28"/>
        <v>-284660.44805736002</v>
      </c>
      <c r="AC68" s="13">
        <f t="shared" si="28"/>
        <v>-289208.67331977328</v>
      </c>
      <c r="AD68" s="13">
        <f t="shared" si="28"/>
        <v>-294877.76316374866</v>
      </c>
      <c r="AE68" s="13">
        <f t="shared" si="28"/>
        <v>-299517.6428491784</v>
      </c>
      <c r="AF68" s="13">
        <f t="shared" si="28"/>
        <v>-305291.39244626614</v>
      </c>
    </row>
    <row r="69" spans="1:32">
      <c r="A69" s="113" t="s">
        <v>136</v>
      </c>
      <c r="B69" s="13">
        <f t="shared" si="30"/>
        <v>30</v>
      </c>
      <c r="C69" s="13">
        <f t="shared" si="30"/>
        <v>-137</v>
      </c>
      <c r="D69" s="13">
        <f t="shared" si="30"/>
        <v>-106</v>
      </c>
      <c r="E69" s="13">
        <f t="shared" si="30"/>
        <v>-250</v>
      </c>
      <c r="F69" s="13">
        <f t="shared" si="30"/>
        <v>-265</v>
      </c>
      <c r="G69" s="13">
        <f t="shared" si="30"/>
        <v>-16960.506066430942</v>
      </c>
      <c r="H69" s="13">
        <f t="shared" si="30"/>
        <v>-11862.205715430551</v>
      </c>
      <c r="I69" s="13">
        <f t="shared" si="30"/>
        <v>-14914.719221993291</v>
      </c>
      <c r="J69" s="13">
        <f t="shared" si="30"/>
        <v>-16489.152462452999</v>
      </c>
      <c r="K69" s="13">
        <f t="shared" si="30"/>
        <v>-18830.560194317717</v>
      </c>
      <c r="L69" s="13">
        <f t="shared" si="30"/>
        <v>-21678.314473534934</v>
      </c>
      <c r="M69" s="13">
        <f t="shared" si="30"/>
        <v>-31939.535994335019</v>
      </c>
      <c r="N69" s="13">
        <f t="shared" si="30"/>
        <v>-33511.445608347072</v>
      </c>
      <c r="O69" s="13">
        <f t="shared" si="30"/>
        <v>-37262.875352806586</v>
      </c>
      <c r="P69" s="13">
        <f t="shared" si="30"/>
        <v>-41604.063922879577</v>
      </c>
      <c r="Q69" s="13">
        <f t="shared" si="30"/>
        <v>-45519.257849312155</v>
      </c>
      <c r="R69" s="13">
        <f t="shared" ref="R69:AF73" si="31">((R84+R21)-R85)-(R37+R53)</f>
        <v>-50694.424288745155</v>
      </c>
      <c r="S69" s="13">
        <f t="shared" si="31"/>
        <v>-55208.297711990424</v>
      </c>
      <c r="T69" s="13">
        <f t="shared" si="31"/>
        <v>-59586.157505910087</v>
      </c>
      <c r="U69" s="13">
        <f t="shared" si="31"/>
        <v>-63684.169255045301</v>
      </c>
      <c r="V69" s="13">
        <f t="shared" si="31"/>
        <v>-68777.316859271436</v>
      </c>
      <c r="W69" s="13">
        <f t="shared" si="31"/>
        <v>-72957.757726318086</v>
      </c>
      <c r="X69" s="13">
        <f t="shared" si="31"/>
        <v>-78238.841586279159</v>
      </c>
      <c r="Y69" s="13">
        <f t="shared" si="31"/>
        <v>-82458.428484005388</v>
      </c>
      <c r="Z69" s="13">
        <f t="shared" si="31"/>
        <v>-87699.812812879449</v>
      </c>
      <c r="AA69" s="13">
        <f t="shared" si="31"/>
        <v>-92046.145388387376</v>
      </c>
      <c r="AB69" s="13">
        <f t="shared" si="31"/>
        <v>-97488.001100531546</v>
      </c>
      <c r="AC69" s="13">
        <f t="shared" si="31"/>
        <v>-101917.81547202694</v>
      </c>
      <c r="AD69" s="13">
        <f t="shared" si="31"/>
        <v>-107466.27140984929</v>
      </c>
      <c r="AE69" s="13">
        <f t="shared" si="31"/>
        <v>-111982.46487695712</v>
      </c>
      <c r="AF69" s="13">
        <f t="shared" si="31"/>
        <v>-117631.03507202992</v>
      </c>
    </row>
    <row r="70" spans="1:32">
      <c r="A70" s="113" t="s">
        <v>137</v>
      </c>
      <c r="B70" s="13">
        <f t="shared" si="30"/>
        <v>-116</v>
      </c>
      <c r="C70" s="13">
        <f t="shared" si="30"/>
        <v>-37</v>
      </c>
      <c r="D70" s="13">
        <f t="shared" si="30"/>
        <v>-291</v>
      </c>
      <c r="E70" s="13">
        <f t="shared" si="30"/>
        <v>-256</v>
      </c>
      <c r="F70" s="13">
        <f t="shared" si="30"/>
        <v>-321</v>
      </c>
      <c r="G70" s="13">
        <f t="shared" si="30"/>
        <v>-539.42037068807986</v>
      </c>
      <c r="H70" s="13">
        <f t="shared" si="30"/>
        <v>-10554.766346484947</v>
      </c>
      <c r="I70" s="13">
        <f t="shared" si="30"/>
        <v>-12980.646958313184</v>
      </c>
      <c r="J70" s="13">
        <f t="shared" si="30"/>
        <v>-18370.781870599953</v>
      </c>
      <c r="K70" s="13">
        <f t="shared" si="30"/>
        <v>-21313.934328650706</v>
      </c>
      <c r="L70" s="13">
        <f t="shared" si="30"/>
        <v>-28921.984552349488</v>
      </c>
      <c r="M70" s="13">
        <f t="shared" si="30"/>
        <v>-27659.05468140007</v>
      </c>
      <c r="N70" s="13">
        <f t="shared" si="30"/>
        <v>-33923.692219101591</v>
      </c>
      <c r="O70" s="13">
        <f t="shared" si="30"/>
        <v>-37062.848769100849</v>
      </c>
      <c r="P70" s="13">
        <f t="shared" si="30"/>
        <v>-41840.767563579313</v>
      </c>
      <c r="Q70" s="13">
        <f t="shared" si="30"/>
        <v>-45342.821325989673</v>
      </c>
      <c r="R70" s="13">
        <f t="shared" si="31"/>
        <v>-50056.917651260039</v>
      </c>
      <c r="S70" s="13">
        <f t="shared" si="31"/>
        <v>-53073.711900393479</v>
      </c>
      <c r="T70" s="13">
        <f t="shared" si="31"/>
        <v>-58159.371001273161</v>
      </c>
      <c r="U70" s="13">
        <f t="shared" si="31"/>
        <v>-61733.097204380727</v>
      </c>
      <c r="V70" s="13">
        <f t="shared" si="31"/>
        <v>-66565.276803864515</v>
      </c>
      <c r="W70" s="13">
        <f t="shared" si="31"/>
        <v>-70296.257947954757</v>
      </c>
      <c r="X70" s="13">
        <f t="shared" si="31"/>
        <v>-75154.38215373049</v>
      </c>
      <c r="Y70" s="13">
        <f t="shared" si="31"/>
        <v>-78953.295879070181</v>
      </c>
      <c r="Z70" s="13">
        <f t="shared" si="31"/>
        <v>-83988.215029602114</v>
      </c>
      <c r="AA70" s="13">
        <f t="shared" si="31"/>
        <v>-87903.452719983936</v>
      </c>
      <c r="AB70" s="13">
        <f t="shared" si="31"/>
        <v>-92977.438993260439</v>
      </c>
      <c r="AC70" s="13">
        <f t="shared" si="31"/>
        <v>-97005.403840613319</v>
      </c>
      <c r="AD70" s="13">
        <f t="shared" si="31"/>
        <v>-102167.51924144878</v>
      </c>
      <c r="AE70" s="13">
        <f t="shared" si="31"/>
        <v>-106301.61857353908</v>
      </c>
      <c r="AF70" s="13">
        <f t="shared" si="31"/>
        <v>-111574.82350310596</v>
      </c>
    </row>
    <row r="71" spans="1:32">
      <c r="A71" s="113" t="s">
        <v>138</v>
      </c>
      <c r="B71" s="13">
        <f t="shared" si="30"/>
        <v>-194</v>
      </c>
      <c r="C71" s="13">
        <f t="shared" si="30"/>
        <v>10</v>
      </c>
      <c r="D71" s="13">
        <f t="shared" si="30"/>
        <v>-183</v>
      </c>
      <c r="E71" s="13">
        <f t="shared" si="30"/>
        <v>-1447</v>
      </c>
      <c r="F71" s="13">
        <f t="shared" si="30"/>
        <v>-368</v>
      </c>
      <c r="G71" s="13">
        <f t="shared" si="30"/>
        <v>-37232.82992847159</v>
      </c>
      <c r="H71" s="13">
        <f t="shared" si="30"/>
        <v>-29681.621684022539</v>
      </c>
      <c r="I71" s="13">
        <f t="shared" si="30"/>
        <v>-31429.835388643201</v>
      </c>
      <c r="J71" s="13">
        <f t="shared" si="30"/>
        <v>-29422.546121551131</v>
      </c>
      <c r="K71" s="13">
        <f t="shared" si="30"/>
        <v>-32038.441393267363</v>
      </c>
      <c r="L71" s="13">
        <f t="shared" si="30"/>
        <v>-35431.157818028412</v>
      </c>
      <c r="M71" s="13">
        <f t="shared" si="30"/>
        <v>-46056.808665149321</v>
      </c>
      <c r="N71" s="13">
        <f t="shared" si="30"/>
        <v>-46223.550046119024</v>
      </c>
      <c r="O71" s="13">
        <f t="shared" si="30"/>
        <v>-49219.061880836904</v>
      </c>
      <c r="P71" s="13">
        <f t="shared" si="30"/>
        <v>-52770.089294618811</v>
      </c>
      <c r="Q71" s="13">
        <f t="shared" si="30"/>
        <v>-56442.927694433311</v>
      </c>
      <c r="R71" s="13">
        <f t="shared" si="31"/>
        <v>-61203.772120977228</v>
      </c>
      <c r="S71" s="13">
        <f t="shared" si="31"/>
        <v>-65141.740658436669</v>
      </c>
      <c r="T71" s="13">
        <f t="shared" si="31"/>
        <v>-68756.516054653097</v>
      </c>
      <c r="U71" s="13">
        <f t="shared" si="31"/>
        <v>-72276.324327130395</v>
      </c>
      <c r="V71" s="13">
        <f t="shared" si="31"/>
        <v>-76784.400988077105</v>
      </c>
      <c r="W71" s="13">
        <f t="shared" si="31"/>
        <v>-80423.636416360445</v>
      </c>
      <c r="X71" s="13">
        <f t="shared" si="31"/>
        <v>-85098.954440294881</v>
      </c>
      <c r="Y71" s="13">
        <f t="shared" si="31"/>
        <v>-88683.12386112957</v>
      </c>
      <c r="Z71" s="13">
        <f t="shared" si="31"/>
        <v>-93280.533205308369</v>
      </c>
      <c r="AA71" s="13">
        <f t="shared" si="31"/>
        <v>-97011.507196409337</v>
      </c>
      <c r="AB71" s="13">
        <f t="shared" si="31"/>
        <v>-101823.42351236008</v>
      </c>
      <c r="AC71" s="13">
        <f t="shared" si="31"/>
        <v>-105617.5928246046</v>
      </c>
      <c r="AD71" s="13">
        <f t="shared" si="31"/>
        <v>-110512.40466534818</v>
      </c>
      <c r="AE71" s="13">
        <f t="shared" si="31"/>
        <v>-114367.9654344428</v>
      </c>
      <c r="AF71" s="13">
        <f t="shared" si="31"/>
        <v>-119352.08495245251</v>
      </c>
    </row>
    <row r="72" spans="1:32">
      <c r="A72" s="113" t="s">
        <v>139</v>
      </c>
      <c r="B72" s="13">
        <f t="shared" si="30"/>
        <v>-978</v>
      </c>
      <c r="C72" s="13">
        <f t="shared" si="30"/>
        <v>-9</v>
      </c>
      <c r="D72" s="13">
        <f t="shared" si="30"/>
        <v>-338</v>
      </c>
      <c r="E72" s="13">
        <f t="shared" si="30"/>
        <v>-5611</v>
      </c>
      <c r="F72" s="13">
        <f t="shared" si="30"/>
        <v>-302</v>
      </c>
      <c r="G72" s="13">
        <f t="shared" si="30"/>
        <v>18940.277374640165</v>
      </c>
      <c r="H72" s="13">
        <f t="shared" si="30"/>
        <v>9374.0916839326965</v>
      </c>
      <c r="I72" s="13">
        <f t="shared" si="30"/>
        <v>11663.04700290208</v>
      </c>
      <c r="J72" s="13">
        <f t="shared" si="30"/>
        <v>2502.6714509453741</v>
      </c>
      <c r="K72" s="13">
        <f t="shared" si="30"/>
        <v>1648.2639027093537</v>
      </c>
      <c r="L72" s="13">
        <f t="shared" si="30"/>
        <v>-8552.2499106067698</v>
      </c>
      <c r="M72" s="13">
        <f t="shared" si="30"/>
        <v>-7384.0339543574955</v>
      </c>
      <c r="N72" s="13">
        <f t="shared" si="30"/>
        <v>-13416.70560141129</v>
      </c>
      <c r="O72" s="13">
        <f t="shared" si="30"/>
        <v>-16506.957923513721</v>
      </c>
      <c r="P72" s="13">
        <f t="shared" si="30"/>
        <v>-22133.255865468935</v>
      </c>
      <c r="Q72" s="13">
        <f t="shared" si="30"/>
        <v>-25693.335380324919</v>
      </c>
      <c r="R72" s="13">
        <f t="shared" si="31"/>
        <v>-31083.00184423459</v>
      </c>
      <c r="S72" s="13">
        <f t="shared" si="31"/>
        <v>-34274.033325762139</v>
      </c>
      <c r="T72" s="13">
        <f t="shared" si="31"/>
        <v>-39621.240461938549</v>
      </c>
      <c r="U72" s="13">
        <f t="shared" si="31"/>
        <v>-43555.323078140384</v>
      </c>
      <c r="V72" s="13">
        <f t="shared" si="31"/>
        <v>-48805.969469454198</v>
      </c>
      <c r="W72" s="13">
        <f t="shared" si="31"/>
        <v>-52857.380972066312</v>
      </c>
      <c r="X72" s="13">
        <f t="shared" si="31"/>
        <v>-58112.274605130136</v>
      </c>
      <c r="Y72" s="13">
        <f t="shared" si="31"/>
        <v>-62234.820649033645</v>
      </c>
      <c r="Z72" s="13">
        <f t="shared" si="31"/>
        <v>-67635.478256236878</v>
      </c>
      <c r="AA72" s="13">
        <f t="shared" si="31"/>
        <v>-71932.065408410854</v>
      </c>
      <c r="AB72" s="13">
        <f t="shared" si="31"/>
        <v>-77387.501541955513</v>
      </c>
      <c r="AC72" s="13">
        <f t="shared" si="31"/>
        <v>-81790.01708845282</v>
      </c>
      <c r="AD72" s="13">
        <f t="shared" si="31"/>
        <v>-87339.294524211553</v>
      </c>
      <c r="AE72" s="13">
        <f t="shared" si="31"/>
        <v>-91855.743678475381</v>
      </c>
      <c r="AF72" s="13">
        <f t="shared" si="31"/>
        <v>-97524.158924491261</v>
      </c>
    </row>
    <row r="73" spans="1:32">
      <c r="A73" s="113" t="s">
        <v>140</v>
      </c>
      <c r="B73" s="13">
        <f t="shared" si="30"/>
        <v>-85</v>
      </c>
      <c r="C73" s="13">
        <f t="shared" si="30"/>
        <v>15789</v>
      </c>
      <c r="D73" s="13">
        <f t="shared" si="30"/>
        <v>-608</v>
      </c>
      <c r="E73" s="13">
        <f t="shared" si="30"/>
        <v>28828</v>
      </c>
      <c r="F73" s="13">
        <f t="shared" si="30"/>
        <v>24815</v>
      </c>
      <c r="G73" s="13">
        <f t="shared" si="30"/>
        <v>-6450.918026635889</v>
      </c>
      <c r="H73" s="13">
        <f t="shared" si="30"/>
        <v>-14712.221105347038</v>
      </c>
      <c r="I73" s="13">
        <f t="shared" si="30"/>
        <v>-22378.836681688554</v>
      </c>
      <c r="J73" s="13">
        <f t="shared" si="30"/>
        <v>-30924.100361481833</v>
      </c>
      <c r="K73" s="13">
        <f t="shared" si="30"/>
        <v>-32264.800017326022</v>
      </c>
      <c r="L73" s="13">
        <f t="shared" si="30"/>
        <v>-35630.33870592562</v>
      </c>
      <c r="M73" s="13">
        <f t="shared" si="30"/>
        <v>-37518.404162501101</v>
      </c>
      <c r="N73" s="13">
        <f t="shared" si="30"/>
        <v>-43932.491999260208</v>
      </c>
      <c r="O73" s="13">
        <f t="shared" si="30"/>
        <v>-48253.439402030839</v>
      </c>
      <c r="P73" s="13">
        <f t="shared" si="30"/>
        <v>-53146.932434057235</v>
      </c>
      <c r="Q73" s="13">
        <f t="shared" si="30"/>
        <v>-56368.291706211283</v>
      </c>
      <c r="R73" s="13">
        <f t="shared" si="31"/>
        <v>-61173.656807668682</v>
      </c>
      <c r="S73" s="13">
        <f t="shared" si="31"/>
        <v>-65084.875138545525</v>
      </c>
      <c r="T73" s="13">
        <f t="shared" si="31"/>
        <v>-70429.702587007661</v>
      </c>
      <c r="U73" s="13">
        <f t="shared" si="31"/>
        <v>-74420.117674616689</v>
      </c>
      <c r="V73" s="13">
        <f t="shared" si="31"/>
        <v>-79477.446033802582</v>
      </c>
      <c r="W73" s="13">
        <f t="shared" si="31"/>
        <v>-83498.545256840473</v>
      </c>
      <c r="X73" s="13">
        <f t="shared" si="31"/>
        <v>-88751.564672967361</v>
      </c>
      <c r="Y73" s="13">
        <f t="shared" si="31"/>
        <v>-92983.82867983781</v>
      </c>
      <c r="Z73" s="13">
        <f t="shared" si="31"/>
        <v>-98349.399347471073</v>
      </c>
      <c r="AA73" s="13">
        <f t="shared" si="31"/>
        <v>-102631.90572350356</v>
      </c>
      <c r="AB73" s="13">
        <f t="shared" si="31"/>
        <v>-108055.37756064476</v>
      </c>
      <c r="AC73" s="13">
        <f t="shared" si="31"/>
        <v>-112462.50677204446</v>
      </c>
      <c r="AD73" s="13">
        <f t="shared" si="31"/>
        <v>-118015.80558069807</v>
      </c>
      <c r="AE73" s="13">
        <f t="shared" si="31"/>
        <v>-122537.59837433149</v>
      </c>
      <c r="AF73" s="13">
        <f t="shared" si="31"/>
        <v>-128190.02558465186</v>
      </c>
    </row>
    <row r="74" spans="1:32" ht="12" thickBot="1">
      <c r="A74" s="113" t="s">
        <v>141</v>
      </c>
      <c r="B74" s="13">
        <f>SUM(B62:B73)</f>
        <v>32772</v>
      </c>
      <c r="C74" s="13">
        <f>SUM(C62:C73)</f>
        <v>27724</v>
      </c>
      <c r="D74" s="13">
        <f>SUM(D62:D73)</f>
        <v>-2817</v>
      </c>
      <c r="E74" s="13">
        <f>SUM(E62:E73)</f>
        <v>-633105</v>
      </c>
      <c r="F74" s="13">
        <f>SUM(F62:F73)</f>
        <v>-842081</v>
      </c>
      <c r="G74" s="13">
        <f t="shared" ref="G74:AF74" si="32">SUM(G62:G73)</f>
        <v>-1111316.6050116941</v>
      </c>
      <c r="H74" s="13">
        <f t="shared" si="32"/>
        <v>-1154507.1254482847</v>
      </c>
      <c r="I74" s="13">
        <f t="shared" si="32"/>
        <v>-1201430.0705361292</v>
      </c>
      <c r="J74" s="13">
        <f t="shared" si="32"/>
        <v>-1245608.3978361853</v>
      </c>
      <c r="K74" s="13">
        <f t="shared" si="32"/>
        <v>-1293529.1145283361</v>
      </c>
      <c r="L74" s="13">
        <f t="shared" si="32"/>
        <v>-1338715.277907623</v>
      </c>
      <c r="M74" s="13">
        <f t="shared" si="32"/>
        <v>-1387653.9958854369</v>
      </c>
      <c r="N74" s="13">
        <f t="shared" si="32"/>
        <v>-1433868.4274957255</v>
      </c>
      <c r="O74" s="13">
        <f t="shared" si="32"/>
        <v>-1483845.7834062679</v>
      </c>
      <c r="P74" s="13">
        <f t="shared" si="32"/>
        <v>-1531109.3264350523</v>
      </c>
      <c r="Q74" s="13">
        <f t="shared" si="32"/>
        <v>-1582146.3720718212</v>
      </c>
      <c r="R74" s="13">
        <f t="shared" si="32"/>
        <v>-1630480.289004829</v>
      </c>
      <c r="S74" s="13">
        <f t="shared" si="32"/>
        <v>-1682598.4996528793</v>
      </c>
      <c r="T74" s="13">
        <f t="shared" si="32"/>
        <v>-1732024.4807026666</v>
      </c>
      <c r="U74" s="13">
        <f t="shared" si="32"/>
        <v>-1785245.7636515063</v>
      </c>
      <c r="V74" s="13">
        <f t="shared" si="32"/>
        <v>-1835785.935355477</v>
      </c>
      <c r="W74" s="13">
        <f t="shared" si="32"/>
        <v>-1890132.6385830538</v>
      </c>
      <c r="X74" s="13">
        <f t="shared" si="32"/>
        <v>-1941809.5725742804</v>
      </c>
      <c r="Y74" s="13">
        <f t="shared" si="32"/>
        <v>-1997304.4936055248</v>
      </c>
      <c r="Z74" s="13">
        <f t="shared" si="32"/>
        <v>-2050141.2155598882</v>
      </c>
      <c r="AA74" s="13">
        <f t="shared" si="32"/>
        <v>-2106807.6105033131</v>
      </c>
      <c r="AB74" s="13">
        <f t="shared" si="32"/>
        <v>-2160827.609266459</v>
      </c>
      <c r="AC74" s="13">
        <f t="shared" si="32"/>
        <v>-2218689.2020323947</v>
      </c>
      <c r="AD74" s="13">
        <f t="shared" si="32"/>
        <v>-2273916.4389301627</v>
      </c>
      <c r="AE74" s="13">
        <f t="shared" si="32"/>
        <v>-2332997.4306342872</v>
      </c>
      <c r="AF74" s="13">
        <f t="shared" si="32"/>
        <v>-2389456.348970267</v>
      </c>
    </row>
    <row r="75" spans="1:32">
      <c r="A75" s="199"/>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c r="AA75" s="199"/>
      <c r="AB75" s="199"/>
      <c r="AC75" s="199"/>
      <c r="AD75" s="199"/>
      <c r="AE75" s="199"/>
      <c r="AF75" s="199"/>
    </row>
    <row r="76" spans="1:32" ht="12" thickBot="1">
      <c r="A76" s="138" t="s">
        <v>147</v>
      </c>
    </row>
    <row r="77" spans="1:32" ht="12" thickBot="1">
      <c r="A77" s="176"/>
      <c r="B77" s="177">
        <f>B2</f>
        <v>2020</v>
      </c>
      <c r="C77" s="177">
        <f t="shared" ref="C77:AF77" si="33">C2</f>
        <v>2021</v>
      </c>
      <c r="D77" s="177">
        <f t="shared" si="33"/>
        <v>2022</v>
      </c>
      <c r="E77" s="177">
        <f t="shared" si="33"/>
        <v>2023</v>
      </c>
      <c r="F77" s="177">
        <f t="shared" si="33"/>
        <v>2024</v>
      </c>
      <c r="G77" s="177">
        <f t="shared" si="33"/>
        <v>2025</v>
      </c>
      <c r="H77" s="177">
        <f t="shared" si="33"/>
        <v>2026</v>
      </c>
      <c r="I77" s="177">
        <f t="shared" si="33"/>
        <v>2027</v>
      </c>
      <c r="J77" s="177">
        <f t="shared" si="33"/>
        <v>2028</v>
      </c>
      <c r="K77" s="177">
        <f t="shared" si="33"/>
        <v>2029</v>
      </c>
      <c r="L77" s="177">
        <f t="shared" si="33"/>
        <v>2030</v>
      </c>
      <c r="M77" s="177">
        <f t="shared" si="33"/>
        <v>2031</v>
      </c>
      <c r="N77" s="177">
        <f t="shared" si="33"/>
        <v>2032</v>
      </c>
      <c r="O77" s="177">
        <f t="shared" si="33"/>
        <v>2033</v>
      </c>
      <c r="P77" s="177">
        <f t="shared" si="33"/>
        <v>2034</v>
      </c>
      <c r="Q77" s="177">
        <f t="shared" si="33"/>
        <v>2035</v>
      </c>
      <c r="R77" s="177">
        <f t="shared" si="33"/>
        <v>2036</v>
      </c>
      <c r="S77" s="177">
        <f t="shared" si="33"/>
        <v>2037</v>
      </c>
      <c r="T77" s="177">
        <f t="shared" si="33"/>
        <v>2038</v>
      </c>
      <c r="U77" s="177">
        <f t="shared" si="33"/>
        <v>2039</v>
      </c>
      <c r="V77" s="177">
        <f t="shared" si="33"/>
        <v>2040</v>
      </c>
      <c r="W77" s="177">
        <f t="shared" si="33"/>
        <v>2041</v>
      </c>
      <c r="X77" s="177">
        <f t="shared" si="33"/>
        <v>2042</v>
      </c>
      <c r="Y77" s="177">
        <f t="shared" si="33"/>
        <v>2043</v>
      </c>
      <c r="Z77" s="177">
        <f t="shared" si="33"/>
        <v>2044</v>
      </c>
      <c r="AA77" s="177">
        <f t="shared" si="33"/>
        <v>2045</v>
      </c>
      <c r="AB77" s="177">
        <f t="shared" si="33"/>
        <v>2046</v>
      </c>
      <c r="AC77" s="177">
        <f t="shared" si="33"/>
        <v>2047</v>
      </c>
      <c r="AD77" s="177">
        <f t="shared" si="33"/>
        <v>2048</v>
      </c>
      <c r="AE77" s="177">
        <f t="shared" si="33"/>
        <v>2049</v>
      </c>
      <c r="AF77" s="177">
        <f t="shared" si="33"/>
        <v>2050</v>
      </c>
    </row>
    <row r="78" spans="1:32">
      <c r="A78" s="113" t="s">
        <v>129</v>
      </c>
      <c r="B78" s="13">
        <v>149990</v>
      </c>
      <c r="C78" s="13">
        <v>108806</v>
      </c>
      <c r="D78" s="235">
        <v>117791</v>
      </c>
      <c r="E78" s="13">
        <v>124400</v>
      </c>
      <c r="F78" s="235">
        <v>198667</v>
      </c>
      <c r="G78" s="118">
        <f t="shared" ref="G78:AF78" si="34">F89+(E$89-F$89)/12</f>
        <v>161491.91666666666</v>
      </c>
      <c r="H78" s="118">
        <f t="shared" si="34"/>
        <v>158791.08333333323</v>
      </c>
      <c r="I78" s="118">
        <f t="shared" si="34"/>
        <v>161491.91666666666</v>
      </c>
      <c r="J78" s="118">
        <f t="shared" si="34"/>
        <v>158791.08333333323</v>
      </c>
      <c r="K78" s="118">
        <f t="shared" si="34"/>
        <v>161491.91666666666</v>
      </c>
      <c r="L78" s="118">
        <f t="shared" si="34"/>
        <v>158791.08333333323</v>
      </c>
      <c r="M78" s="118">
        <f t="shared" si="34"/>
        <v>161491.91666666666</v>
      </c>
      <c r="N78" s="118">
        <f t="shared" si="34"/>
        <v>158791.08333333323</v>
      </c>
      <c r="O78" s="118">
        <f t="shared" si="34"/>
        <v>161491.91666666666</v>
      </c>
      <c r="P78" s="118">
        <f t="shared" si="34"/>
        <v>158791.08333333323</v>
      </c>
      <c r="Q78" s="118">
        <f t="shared" si="34"/>
        <v>161491.91666666666</v>
      </c>
      <c r="R78" s="118">
        <f t="shared" si="34"/>
        <v>158791.08333333323</v>
      </c>
      <c r="S78" s="118">
        <f t="shared" si="34"/>
        <v>161491.91666666666</v>
      </c>
      <c r="T78" s="118">
        <f t="shared" si="34"/>
        <v>158791.08333333323</v>
      </c>
      <c r="U78" s="118">
        <f t="shared" si="34"/>
        <v>161491.91666666666</v>
      </c>
      <c r="V78" s="118">
        <f t="shared" si="34"/>
        <v>158791.08333333323</v>
      </c>
      <c r="W78" s="118">
        <f t="shared" si="34"/>
        <v>161491.91666666666</v>
      </c>
      <c r="X78" s="118">
        <f t="shared" si="34"/>
        <v>158791.08333333323</v>
      </c>
      <c r="Y78" s="118">
        <f t="shared" si="34"/>
        <v>161491.91666666666</v>
      </c>
      <c r="Z78" s="118">
        <f t="shared" si="34"/>
        <v>158791.08333333323</v>
      </c>
      <c r="AA78" s="118">
        <f t="shared" si="34"/>
        <v>161491.91666666666</v>
      </c>
      <c r="AB78" s="118">
        <f t="shared" si="34"/>
        <v>158791.08333333323</v>
      </c>
      <c r="AC78" s="118">
        <f t="shared" si="34"/>
        <v>161491.91666666666</v>
      </c>
      <c r="AD78" s="118">
        <f t="shared" si="34"/>
        <v>158791.08333333323</v>
      </c>
      <c r="AE78" s="118">
        <f t="shared" si="34"/>
        <v>161491.91666666666</v>
      </c>
      <c r="AF78" s="118">
        <f t="shared" si="34"/>
        <v>158791.08333333323</v>
      </c>
    </row>
    <row r="79" spans="1:32">
      <c r="A79" s="113" t="s">
        <v>130</v>
      </c>
      <c r="B79" s="13">
        <v>116504</v>
      </c>
      <c r="C79" s="13">
        <v>107326</v>
      </c>
      <c r="D79" s="235">
        <v>116120</v>
      </c>
      <c r="E79" s="13">
        <v>119910</v>
      </c>
      <c r="F79" s="235">
        <v>175631</v>
      </c>
      <c r="G79" s="118">
        <f t="shared" ref="G79:AF88" si="35">G78+(E$89-F$89)/12</f>
        <v>161221.83333333331</v>
      </c>
      <c r="H79" s="118">
        <f t="shared" si="35"/>
        <v>159061.16666666657</v>
      </c>
      <c r="I79" s="118">
        <f t="shared" si="35"/>
        <v>161221.83333333331</v>
      </c>
      <c r="J79" s="118">
        <f t="shared" si="35"/>
        <v>159061.16666666657</v>
      </c>
      <c r="K79" s="118">
        <f t="shared" si="35"/>
        <v>161221.83333333331</v>
      </c>
      <c r="L79" s="118">
        <f t="shared" si="35"/>
        <v>159061.16666666657</v>
      </c>
      <c r="M79" s="118">
        <f t="shared" si="35"/>
        <v>161221.83333333331</v>
      </c>
      <c r="N79" s="118">
        <f t="shared" si="35"/>
        <v>159061.16666666657</v>
      </c>
      <c r="O79" s="118">
        <f t="shared" si="35"/>
        <v>161221.83333333331</v>
      </c>
      <c r="P79" s="118">
        <f t="shared" si="35"/>
        <v>159061.16666666657</v>
      </c>
      <c r="Q79" s="118">
        <f t="shared" si="35"/>
        <v>161221.83333333331</v>
      </c>
      <c r="R79" s="118">
        <f t="shared" si="35"/>
        <v>159061.16666666657</v>
      </c>
      <c r="S79" s="118">
        <f t="shared" si="35"/>
        <v>161221.83333333331</v>
      </c>
      <c r="T79" s="118">
        <f t="shared" si="35"/>
        <v>159061.16666666657</v>
      </c>
      <c r="U79" s="118">
        <f t="shared" si="35"/>
        <v>161221.83333333331</v>
      </c>
      <c r="V79" s="118">
        <f t="shared" si="35"/>
        <v>159061.16666666657</v>
      </c>
      <c r="W79" s="118">
        <f t="shared" si="35"/>
        <v>161221.83333333331</v>
      </c>
      <c r="X79" s="118">
        <f t="shared" si="35"/>
        <v>159061.16666666657</v>
      </c>
      <c r="Y79" s="118">
        <f t="shared" si="35"/>
        <v>161221.83333333331</v>
      </c>
      <c r="Z79" s="118">
        <f t="shared" si="35"/>
        <v>159061.16666666657</v>
      </c>
      <c r="AA79" s="118">
        <f t="shared" si="35"/>
        <v>161221.83333333331</v>
      </c>
      <c r="AB79" s="118">
        <f t="shared" si="35"/>
        <v>159061.16666666657</v>
      </c>
      <c r="AC79" s="118">
        <f t="shared" si="35"/>
        <v>161221.83333333331</v>
      </c>
      <c r="AD79" s="118">
        <f t="shared" si="35"/>
        <v>159061.16666666657</v>
      </c>
      <c r="AE79" s="118">
        <f t="shared" si="35"/>
        <v>161221.83333333331</v>
      </c>
      <c r="AF79" s="118">
        <f t="shared" si="35"/>
        <v>159061.16666666657</v>
      </c>
    </row>
    <row r="80" spans="1:32">
      <c r="A80" s="113" t="s">
        <v>131</v>
      </c>
      <c r="B80" s="13">
        <v>130360</v>
      </c>
      <c r="C80" s="13">
        <v>124474</v>
      </c>
      <c r="D80" s="235">
        <v>136522</v>
      </c>
      <c r="E80" s="235">
        <v>117067</v>
      </c>
      <c r="F80" s="235">
        <v>130460</v>
      </c>
      <c r="G80" s="118">
        <f t="shared" si="35"/>
        <v>160951.74999999997</v>
      </c>
      <c r="H80" s="118">
        <f t="shared" si="35"/>
        <v>159331.24999999991</v>
      </c>
      <c r="I80" s="118">
        <f t="shared" si="35"/>
        <v>160951.74999999997</v>
      </c>
      <c r="J80" s="118">
        <f t="shared" si="35"/>
        <v>159331.24999999991</v>
      </c>
      <c r="K80" s="118">
        <f t="shared" si="35"/>
        <v>160951.74999999997</v>
      </c>
      <c r="L80" s="118">
        <f t="shared" si="35"/>
        <v>159331.24999999991</v>
      </c>
      <c r="M80" s="118">
        <f t="shared" si="35"/>
        <v>160951.74999999997</v>
      </c>
      <c r="N80" s="118">
        <f t="shared" si="35"/>
        <v>159331.24999999991</v>
      </c>
      <c r="O80" s="118">
        <f t="shared" si="35"/>
        <v>160951.74999999997</v>
      </c>
      <c r="P80" s="118">
        <f t="shared" si="35"/>
        <v>159331.24999999991</v>
      </c>
      <c r="Q80" s="118">
        <f t="shared" si="35"/>
        <v>160951.74999999997</v>
      </c>
      <c r="R80" s="118">
        <f t="shared" si="35"/>
        <v>159331.24999999991</v>
      </c>
      <c r="S80" s="118">
        <f t="shared" si="35"/>
        <v>160951.74999999997</v>
      </c>
      <c r="T80" s="118">
        <f t="shared" si="35"/>
        <v>159331.24999999991</v>
      </c>
      <c r="U80" s="118">
        <f t="shared" si="35"/>
        <v>160951.74999999997</v>
      </c>
      <c r="V80" s="118">
        <f t="shared" si="35"/>
        <v>159331.24999999991</v>
      </c>
      <c r="W80" s="118">
        <f t="shared" si="35"/>
        <v>160951.74999999997</v>
      </c>
      <c r="X80" s="118">
        <f t="shared" si="35"/>
        <v>159331.24999999991</v>
      </c>
      <c r="Y80" s="118">
        <f t="shared" si="35"/>
        <v>160951.74999999997</v>
      </c>
      <c r="Z80" s="118">
        <f t="shared" si="35"/>
        <v>159331.24999999991</v>
      </c>
      <c r="AA80" s="118">
        <f t="shared" si="35"/>
        <v>160951.74999999997</v>
      </c>
      <c r="AB80" s="118">
        <f t="shared" si="35"/>
        <v>159331.24999999991</v>
      </c>
      <c r="AC80" s="118">
        <f t="shared" si="35"/>
        <v>160951.74999999997</v>
      </c>
      <c r="AD80" s="118">
        <f t="shared" si="35"/>
        <v>159331.24999999991</v>
      </c>
      <c r="AE80" s="118">
        <f t="shared" si="35"/>
        <v>160951.74999999997</v>
      </c>
      <c r="AF80" s="118">
        <f t="shared" si="35"/>
        <v>159331.24999999991</v>
      </c>
    </row>
    <row r="81" spans="1:32">
      <c r="A81" s="113" t="s">
        <v>132</v>
      </c>
      <c r="B81" s="13">
        <v>112354</v>
      </c>
      <c r="C81" s="13">
        <v>154606</v>
      </c>
      <c r="D81" s="235">
        <v>135642</v>
      </c>
      <c r="E81" s="235">
        <v>93437</v>
      </c>
      <c r="F81" s="235">
        <v>118389</v>
      </c>
      <c r="G81" s="118">
        <f t="shared" si="35"/>
        <v>160681.66666666663</v>
      </c>
      <c r="H81" s="118">
        <f t="shared" si="35"/>
        <v>159601.33333333326</v>
      </c>
      <c r="I81" s="118">
        <f t="shared" si="35"/>
        <v>160681.66666666663</v>
      </c>
      <c r="J81" s="118">
        <f t="shared" si="35"/>
        <v>159601.33333333326</v>
      </c>
      <c r="K81" s="118">
        <f t="shared" si="35"/>
        <v>160681.66666666663</v>
      </c>
      <c r="L81" s="118">
        <f t="shared" si="35"/>
        <v>159601.33333333326</v>
      </c>
      <c r="M81" s="118">
        <f t="shared" si="35"/>
        <v>160681.66666666663</v>
      </c>
      <c r="N81" s="118">
        <f t="shared" si="35"/>
        <v>159601.33333333326</v>
      </c>
      <c r="O81" s="118">
        <f t="shared" si="35"/>
        <v>160681.66666666663</v>
      </c>
      <c r="P81" s="118">
        <f t="shared" si="35"/>
        <v>159601.33333333326</v>
      </c>
      <c r="Q81" s="118">
        <f t="shared" si="35"/>
        <v>160681.66666666663</v>
      </c>
      <c r="R81" s="118">
        <f t="shared" si="35"/>
        <v>159601.33333333326</v>
      </c>
      <c r="S81" s="118">
        <f t="shared" si="35"/>
        <v>160681.66666666663</v>
      </c>
      <c r="T81" s="118">
        <f t="shared" si="35"/>
        <v>159601.33333333326</v>
      </c>
      <c r="U81" s="118">
        <f t="shared" si="35"/>
        <v>160681.66666666663</v>
      </c>
      <c r="V81" s="118">
        <f t="shared" si="35"/>
        <v>159601.33333333326</v>
      </c>
      <c r="W81" s="118">
        <f t="shared" si="35"/>
        <v>160681.66666666663</v>
      </c>
      <c r="X81" s="118">
        <f t="shared" si="35"/>
        <v>159601.33333333326</v>
      </c>
      <c r="Y81" s="118">
        <f t="shared" si="35"/>
        <v>160681.66666666663</v>
      </c>
      <c r="Z81" s="118">
        <f t="shared" si="35"/>
        <v>159601.33333333326</v>
      </c>
      <c r="AA81" s="118">
        <f t="shared" si="35"/>
        <v>160681.66666666663</v>
      </c>
      <c r="AB81" s="118">
        <f t="shared" si="35"/>
        <v>159601.33333333326</v>
      </c>
      <c r="AC81" s="118">
        <f t="shared" si="35"/>
        <v>160681.66666666663</v>
      </c>
      <c r="AD81" s="118">
        <f t="shared" si="35"/>
        <v>159601.33333333326</v>
      </c>
      <c r="AE81" s="118">
        <f t="shared" si="35"/>
        <v>160681.66666666663</v>
      </c>
      <c r="AF81" s="118">
        <f t="shared" si="35"/>
        <v>159601.33333333326</v>
      </c>
    </row>
    <row r="82" spans="1:32">
      <c r="A82" s="113" t="s">
        <v>133</v>
      </c>
      <c r="B82" s="13">
        <v>97366</v>
      </c>
      <c r="C82" s="13">
        <v>121328</v>
      </c>
      <c r="D82" s="235">
        <v>134547</v>
      </c>
      <c r="E82" s="235">
        <v>93418</v>
      </c>
      <c r="F82" s="235">
        <v>123198</v>
      </c>
      <c r="G82" s="118">
        <f t="shared" si="35"/>
        <v>160411.58333333328</v>
      </c>
      <c r="H82" s="118">
        <f t="shared" si="35"/>
        <v>159871.4166666666</v>
      </c>
      <c r="I82" s="118">
        <f t="shared" si="35"/>
        <v>160411.58333333328</v>
      </c>
      <c r="J82" s="118">
        <f t="shared" si="35"/>
        <v>159871.4166666666</v>
      </c>
      <c r="K82" s="118">
        <f t="shared" si="35"/>
        <v>160411.58333333328</v>
      </c>
      <c r="L82" s="118">
        <f t="shared" si="35"/>
        <v>159871.4166666666</v>
      </c>
      <c r="M82" s="118">
        <f t="shared" si="35"/>
        <v>160411.58333333328</v>
      </c>
      <c r="N82" s="118">
        <f t="shared" si="35"/>
        <v>159871.4166666666</v>
      </c>
      <c r="O82" s="118">
        <f t="shared" si="35"/>
        <v>160411.58333333328</v>
      </c>
      <c r="P82" s="118">
        <f t="shared" si="35"/>
        <v>159871.4166666666</v>
      </c>
      <c r="Q82" s="118">
        <f t="shared" si="35"/>
        <v>160411.58333333328</v>
      </c>
      <c r="R82" s="118">
        <f t="shared" si="35"/>
        <v>159871.4166666666</v>
      </c>
      <c r="S82" s="118">
        <f t="shared" si="35"/>
        <v>160411.58333333328</v>
      </c>
      <c r="T82" s="118">
        <f t="shared" si="35"/>
        <v>159871.4166666666</v>
      </c>
      <c r="U82" s="118">
        <f t="shared" si="35"/>
        <v>160411.58333333328</v>
      </c>
      <c r="V82" s="118">
        <f t="shared" si="35"/>
        <v>159871.4166666666</v>
      </c>
      <c r="W82" s="118">
        <f t="shared" si="35"/>
        <v>160411.58333333328</v>
      </c>
      <c r="X82" s="118">
        <f t="shared" si="35"/>
        <v>159871.4166666666</v>
      </c>
      <c r="Y82" s="118">
        <f t="shared" si="35"/>
        <v>160411.58333333328</v>
      </c>
      <c r="Z82" s="118">
        <f t="shared" si="35"/>
        <v>159871.4166666666</v>
      </c>
      <c r="AA82" s="118">
        <f t="shared" si="35"/>
        <v>160411.58333333328</v>
      </c>
      <c r="AB82" s="118">
        <f t="shared" si="35"/>
        <v>159871.4166666666</v>
      </c>
      <c r="AC82" s="118">
        <f t="shared" si="35"/>
        <v>160411.58333333328</v>
      </c>
      <c r="AD82" s="118">
        <f t="shared" si="35"/>
        <v>159871.4166666666</v>
      </c>
      <c r="AE82" s="118">
        <f t="shared" si="35"/>
        <v>160411.58333333328</v>
      </c>
      <c r="AF82" s="118">
        <f t="shared" si="35"/>
        <v>159871.4166666666</v>
      </c>
    </row>
    <row r="83" spans="1:32">
      <c r="A83" s="113" t="s">
        <v>134</v>
      </c>
      <c r="B83" s="13">
        <v>99045</v>
      </c>
      <c r="C83" s="13">
        <v>130068</v>
      </c>
      <c r="D83" s="235">
        <v>150561</v>
      </c>
      <c r="E83" s="235">
        <v>107662</v>
      </c>
      <c r="F83" s="235">
        <v>118561</v>
      </c>
      <c r="G83" s="118">
        <f t="shared" si="35"/>
        <v>160141.49999999994</v>
      </c>
      <c r="H83" s="118">
        <f t="shared" si="35"/>
        <v>160141.49999999994</v>
      </c>
      <c r="I83" s="118">
        <f t="shared" si="35"/>
        <v>160141.49999999994</v>
      </c>
      <c r="J83" s="118">
        <f t="shared" si="35"/>
        <v>160141.49999999994</v>
      </c>
      <c r="K83" s="118">
        <f t="shared" si="35"/>
        <v>160141.49999999994</v>
      </c>
      <c r="L83" s="118">
        <f t="shared" si="35"/>
        <v>160141.49999999994</v>
      </c>
      <c r="M83" s="118">
        <f t="shared" si="35"/>
        <v>160141.49999999994</v>
      </c>
      <c r="N83" s="118">
        <f t="shared" si="35"/>
        <v>160141.49999999994</v>
      </c>
      <c r="O83" s="118">
        <f t="shared" si="35"/>
        <v>160141.49999999994</v>
      </c>
      <c r="P83" s="118">
        <f t="shared" si="35"/>
        <v>160141.49999999994</v>
      </c>
      <c r="Q83" s="118">
        <f t="shared" si="35"/>
        <v>160141.49999999994</v>
      </c>
      <c r="R83" s="118">
        <f t="shared" si="35"/>
        <v>160141.49999999994</v>
      </c>
      <c r="S83" s="118">
        <f t="shared" si="35"/>
        <v>160141.49999999994</v>
      </c>
      <c r="T83" s="118">
        <f t="shared" si="35"/>
        <v>160141.49999999994</v>
      </c>
      <c r="U83" s="118">
        <f t="shared" si="35"/>
        <v>160141.49999999994</v>
      </c>
      <c r="V83" s="118">
        <f t="shared" si="35"/>
        <v>160141.49999999994</v>
      </c>
      <c r="W83" s="118">
        <f t="shared" si="35"/>
        <v>160141.49999999994</v>
      </c>
      <c r="X83" s="118">
        <f t="shared" si="35"/>
        <v>160141.49999999994</v>
      </c>
      <c r="Y83" s="118">
        <f t="shared" si="35"/>
        <v>160141.49999999994</v>
      </c>
      <c r="Z83" s="118">
        <f t="shared" si="35"/>
        <v>160141.49999999994</v>
      </c>
      <c r="AA83" s="118">
        <f t="shared" si="35"/>
        <v>160141.49999999994</v>
      </c>
      <c r="AB83" s="118">
        <f t="shared" si="35"/>
        <v>160141.49999999994</v>
      </c>
      <c r="AC83" s="118">
        <f t="shared" si="35"/>
        <v>160141.49999999994</v>
      </c>
      <c r="AD83" s="118">
        <f t="shared" si="35"/>
        <v>160141.49999999994</v>
      </c>
      <c r="AE83" s="118">
        <f t="shared" si="35"/>
        <v>160141.49999999994</v>
      </c>
      <c r="AF83" s="118">
        <f t="shared" si="35"/>
        <v>160141.49999999994</v>
      </c>
    </row>
    <row r="84" spans="1:32">
      <c r="A84" s="113" t="s">
        <v>135</v>
      </c>
      <c r="B84" s="13">
        <v>102408</v>
      </c>
      <c r="C84" s="13">
        <v>96426</v>
      </c>
      <c r="D84" s="235">
        <v>119142</v>
      </c>
      <c r="E84" s="235">
        <v>93324</v>
      </c>
      <c r="F84" s="235">
        <v>121940</v>
      </c>
      <c r="G84" s="118">
        <f t="shared" si="35"/>
        <v>159871.4166666666</v>
      </c>
      <c r="H84" s="118">
        <f t="shared" si="35"/>
        <v>160411.58333333328</v>
      </c>
      <c r="I84" s="118">
        <f t="shared" si="35"/>
        <v>159871.4166666666</v>
      </c>
      <c r="J84" s="118">
        <f t="shared" si="35"/>
        <v>160411.58333333328</v>
      </c>
      <c r="K84" s="118">
        <f t="shared" si="35"/>
        <v>159871.4166666666</v>
      </c>
      <c r="L84" s="118">
        <f t="shared" si="35"/>
        <v>160411.58333333328</v>
      </c>
      <c r="M84" s="118">
        <f t="shared" si="35"/>
        <v>159871.4166666666</v>
      </c>
      <c r="N84" s="118">
        <f t="shared" si="35"/>
        <v>160411.58333333328</v>
      </c>
      <c r="O84" s="118">
        <f t="shared" si="35"/>
        <v>159871.4166666666</v>
      </c>
      <c r="P84" s="118">
        <f t="shared" si="35"/>
        <v>160411.58333333328</v>
      </c>
      <c r="Q84" s="118">
        <f t="shared" si="35"/>
        <v>159871.4166666666</v>
      </c>
      <c r="R84" s="118">
        <f t="shared" si="35"/>
        <v>160411.58333333328</v>
      </c>
      <c r="S84" s="118">
        <f t="shared" si="35"/>
        <v>159871.4166666666</v>
      </c>
      <c r="T84" s="118">
        <f t="shared" si="35"/>
        <v>160411.58333333328</v>
      </c>
      <c r="U84" s="118">
        <f t="shared" si="35"/>
        <v>159871.4166666666</v>
      </c>
      <c r="V84" s="118">
        <f t="shared" si="35"/>
        <v>160411.58333333328</v>
      </c>
      <c r="W84" s="118">
        <f t="shared" si="35"/>
        <v>159871.4166666666</v>
      </c>
      <c r="X84" s="118">
        <f t="shared" si="35"/>
        <v>160411.58333333328</v>
      </c>
      <c r="Y84" s="118">
        <f t="shared" si="35"/>
        <v>159871.4166666666</v>
      </c>
      <c r="Z84" s="118">
        <f t="shared" si="35"/>
        <v>160411.58333333328</v>
      </c>
      <c r="AA84" s="118">
        <f t="shared" si="35"/>
        <v>159871.4166666666</v>
      </c>
      <c r="AB84" s="118">
        <f t="shared" si="35"/>
        <v>160411.58333333328</v>
      </c>
      <c r="AC84" s="118">
        <f t="shared" si="35"/>
        <v>159871.4166666666</v>
      </c>
      <c r="AD84" s="118">
        <f t="shared" si="35"/>
        <v>160411.58333333328</v>
      </c>
      <c r="AE84" s="118">
        <f t="shared" si="35"/>
        <v>159871.4166666666</v>
      </c>
      <c r="AF84" s="118">
        <f t="shared" si="35"/>
        <v>160411.58333333328</v>
      </c>
    </row>
    <row r="85" spans="1:32">
      <c r="A85" s="113" t="s">
        <v>136</v>
      </c>
      <c r="B85" s="13">
        <v>100300</v>
      </c>
      <c r="C85" s="13">
        <v>89293</v>
      </c>
      <c r="D85" s="235">
        <v>117301</v>
      </c>
      <c r="E85" s="235">
        <v>99224</v>
      </c>
      <c r="F85" s="235">
        <v>169376</v>
      </c>
      <c r="G85" s="118">
        <f t="shared" si="35"/>
        <v>159601.33333333326</v>
      </c>
      <c r="H85" s="118">
        <f t="shared" si="35"/>
        <v>160681.66666666663</v>
      </c>
      <c r="I85" s="118">
        <f t="shared" si="35"/>
        <v>159601.33333333326</v>
      </c>
      <c r="J85" s="118">
        <f t="shared" si="35"/>
        <v>160681.66666666663</v>
      </c>
      <c r="K85" s="118">
        <f t="shared" si="35"/>
        <v>159601.33333333326</v>
      </c>
      <c r="L85" s="118">
        <f t="shared" si="35"/>
        <v>160681.66666666663</v>
      </c>
      <c r="M85" s="118">
        <f t="shared" si="35"/>
        <v>159601.33333333326</v>
      </c>
      <c r="N85" s="118">
        <f t="shared" si="35"/>
        <v>160681.66666666663</v>
      </c>
      <c r="O85" s="118">
        <f t="shared" si="35"/>
        <v>159601.33333333326</v>
      </c>
      <c r="P85" s="118">
        <f t="shared" si="35"/>
        <v>160681.66666666663</v>
      </c>
      <c r="Q85" s="118">
        <f t="shared" si="35"/>
        <v>159601.33333333326</v>
      </c>
      <c r="R85" s="118">
        <f t="shared" si="35"/>
        <v>160681.66666666663</v>
      </c>
      <c r="S85" s="118">
        <f t="shared" si="35"/>
        <v>159601.33333333326</v>
      </c>
      <c r="T85" s="118">
        <f t="shared" si="35"/>
        <v>160681.66666666663</v>
      </c>
      <c r="U85" s="118">
        <f t="shared" si="35"/>
        <v>159601.33333333326</v>
      </c>
      <c r="V85" s="118">
        <f t="shared" si="35"/>
        <v>160681.66666666663</v>
      </c>
      <c r="W85" s="118">
        <f t="shared" si="35"/>
        <v>159601.33333333326</v>
      </c>
      <c r="X85" s="118">
        <f t="shared" si="35"/>
        <v>160681.66666666663</v>
      </c>
      <c r="Y85" s="118">
        <f t="shared" si="35"/>
        <v>159601.33333333326</v>
      </c>
      <c r="Z85" s="118">
        <f t="shared" si="35"/>
        <v>160681.66666666663</v>
      </c>
      <c r="AA85" s="118">
        <f t="shared" si="35"/>
        <v>159601.33333333326</v>
      </c>
      <c r="AB85" s="118">
        <f t="shared" si="35"/>
        <v>160681.66666666663</v>
      </c>
      <c r="AC85" s="118">
        <f t="shared" si="35"/>
        <v>159601.33333333326</v>
      </c>
      <c r="AD85" s="118">
        <f t="shared" si="35"/>
        <v>160681.66666666663</v>
      </c>
      <c r="AE85" s="118">
        <f t="shared" si="35"/>
        <v>159601.33333333326</v>
      </c>
      <c r="AF85" s="118">
        <f t="shared" si="35"/>
        <v>160681.66666666663</v>
      </c>
    </row>
    <row r="86" spans="1:32">
      <c r="A86" s="113" t="s">
        <v>137</v>
      </c>
      <c r="B86" s="13">
        <v>110860</v>
      </c>
      <c r="C86" s="13">
        <v>104196</v>
      </c>
      <c r="D86" s="235">
        <v>121514</v>
      </c>
      <c r="E86" s="235">
        <v>127642</v>
      </c>
      <c r="F86" s="235">
        <v>154704</v>
      </c>
      <c r="G86" s="118">
        <f t="shared" si="35"/>
        <v>159331.24999999991</v>
      </c>
      <c r="H86" s="118">
        <f t="shared" si="35"/>
        <v>160951.74999999997</v>
      </c>
      <c r="I86" s="118">
        <f t="shared" si="35"/>
        <v>159331.24999999991</v>
      </c>
      <c r="J86" s="118">
        <f t="shared" si="35"/>
        <v>160951.74999999997</v>
      </c>
      <c r="K86" s="118">
        <f t="shared" si="35"/>
        <v>159331.24999999991</v>
      </c>
      <c r="L86" s="118">
        <f t="shared" si="35"/>
        <v>160951.74999999997</v>
      </c>
      <c r="M86" s="118">
        <f t="shared" si="35"/>
        <v>159331.24999999991</v>
      </c>
      <c r="N86" s="118">
        <f t="shared" si="35"/>
        <v>160951.74999999997</v>
      </c>
      <c r="O86" s="118">
        <f t="shared" si="35"/>
        <v>159331.24999999991</v>
      </c>
      <c r="P86" s="118">
        <f t="shared" si="35"/>
        <v>160951.74999999997</v>
      </c>
      <c r="Q86" s="118">
        <f t="shared" si="35"/>
        <v>159331.24999999991</v>
      </c>
      <c r="R86" s="118">
        <f t="shared" si="35"/>
        <v>160951.74999999997</v>
      </c>
      <c r="S86" s="118">
        <f t="shared" si="35"/>
        <v>159331.24999999991</v>
      </c>
      <c r="T86" s="118">
        <f t="shared" si="35"/>
        <v>160951.74999999997</v>
      </c>
      <c r="U86" s="118">
        <f t="shared" si="35"/>
        <v>159331.24999999991</v>
      </c>
      <c r="V86" s="118">
        <f t="shared" si="35"/>
        <v>160951.74999999997</v>
      </c>
      <c r="W86" s="118">
        <f t="shared" si="35"/>
        <v>159331.24999999991</v>
      </c>
      <c r="X86" s="118">
        <f t="shared" si="35"/>
        <v>160951.74999999997</v>
      </c>
      <c r="Y86" s="118">
        <f t="shared" si="35"/>
        <v>159331.24999999991</v>
      </c>
      <c r="Z86" s="118">
        <f t="shared" si="35"/>
        <v>160951.74999999997</v>
      </c>
      <c r="AA86" s="118">
        <f t="shared" si="35"/>
        <v>159331.24999999991</v>
      </c>
      <c r="AB86" s="118">
        <f t="shared" si="35"/>
        <v>160951.74999999997</v>
      </c>
      <c r="AC86" s="118">
        <f t="shared" si="35"/>
        <v>159331.24999999991</v>
      </c>
      <c r="AD86" s="118">
        <f t="shared" si="35"/>
        <v>160951.74999999997</v>
      </c>
      <c r="AE86" s="118">
        <f t="shared" si="35"/>
        <v>159331.24999999991</v>
      </c>
      <c r="AF86" s="118">
        <f t="shared" si="35"/>
        <v>160951.74999999997</v>
      </c>
    </row>
    <row r="87" spans="1:32">
      <c r="A87" s="113" t="s">
        <v>138</v>
      </c>
      <c r="B87" s="13">
        <v>83077</v>
      </c>
      <c r="C87" s="13">
        <v>62060</v>
      </c>
      <c r="D87" s="235">
        <v>104670</v>
      </c>
      <c r="E87" s="235">
        <v>124229</v>
      </c>
      <c r="F87" s="235">
        <v>186030</v>
      </c>
      <c r="G87" s="118">
        <f t="shared" si="35"/>
        <v>159061.16666666657</v>
      </c>
      <c r="H87" s="118">
        <f t="shared" si="35"/>
        <v>161221.83333333331</v>
      </c>
      <c r="I87" s="118">
        <f t="shared" si="35"/>
        <v>159061.16666666657</v>
      </c>
      <c r="J87" s="118">
        <f t="shared" si="35"/>
        <v>161221.83333333331</v>
      </c>
      <c r="K87" s="118">
        <f t="shared" si="35"/>
        <v>159061.16666666657</v>
      </c>
      <c r="L87" s="118">
        <f t="shared" si="35"/>
        <v>161221.83333333331</v>
      </c>
      <c r="M87" s="118">
        <f t="shared" si="35"/>
        <v>159061.16666666657</v>
      </c>
      <c r="N87" s="118">
        <f t="shared" si="35"/>
        <v>161221.83333333331</v>
      </c>
      <c r="O87" s="118">
        <f t="shared" si="35"/>
        <v>159061.16666666657</v>
      </c>
      <c r="P87" s="118">
        <f t="shared" si="35"/>
        <v>161221.83333333331</v>
      </c>
      <c r="Q87" s="118">
        <f t="shared" si="35"/>
        <v>159061.16666666657</v>
      </c>
      <c r="R87" s="118">
        <f t="shared" si="35"/>
        <v>161221.83333333331</v>
      </c>
      <c r="S87" s="118">
        <f t="shared" si="35"/>
        <v>159061.16666666657</v>
      </c>
      <c r="T87" s="118">
        <f t="shared" si="35"/>
        <v>161221.83333333331</v>
      </c>
      <c r="U87" s="118">
        <f t="shared" si="35"/>
        <v>159061.16666666657</v>
      </c>
      <c r="V87" s="118">
        <f t="shared" si="35"/>
        <v>161221.83333333331</v>
      </c>
      <c r="W87" s="118">
        <f t="shared" si="35"/>
        <v>159061.16666666657</v>
      </c>
      <c r="X87" s="118">
        <f t="shared" si="35"/>
        <v>161221.83333333331</v>
      </c>
      <c r="Y87" s="118">
        <f t="shared" si="35"/>
        <v>159061.16666666657</v>
      </c>
      <c r="Z87" s="118">
        <f t="shared" si="35"/>
        <v>161221.83333333331</v>
      </c>
      <c r="AA87" s="118">
        <f t="shared" si="35"/>
        <v>159061.16666666657</v>
      </c>
      <c r="AB87" s="118">
        <f t="shared" si="35"/>
        <v>161221.83333333331</v>
      </c>
      <c r="AC87" s="118">
        <f t="shared" si="35"/>
        <v>159061.16666666657</v>
      </c>
      <c r="AD87" s="118">
        <f t="shared" si="35"/>
        <v>161221.83333333331</v>
      </c>
      <c r="AE87" s="118">
        <f t="shared" si="35"/>
        <v>159061.16666666657</v>
      </c>
      <c r="AF87" s="118">
        <f t="shared" si="35"/>
        <v>161221.83333333331</v>
      </c>
    </row>
    <row r="88" spans="1:32">
      <c r="A88" s="113" t="s">
        <v>139</v>
      </c>
      <c r="B88" s="13">
        <v>91822</v>
      </c>
      <c r="C88" s="13">
        <v>113582</v>
      </c>
      <c r="D88" s="235">
        <v>122082</v>
      </c>
      <c r="E88" s="235">
        <v>192840</v>
      </c>
      <c r="F88" s="235">
        <v>197365</v>
      </c>
      <c r="G88" s="118">
        <f t="shared" si="35"/>
        <v>158791.08333333323</v>
      </c>
      <c r="H88" s="118">
        <f t="shared" si="35"/>
        <v>161491.91666666666</v>
      </c>
      <c r="I88" s="118">
        <f t="shared" si="35"/>
        <v>158791.08333333323</v>
      </c>
      <c r="J88" s="118">
        <f t="shared" si="35"/>
        <v>161491.91666666666</v>
      </c>
      <c r="K88" s="118">
        <f t="shared" si="35"/>
        <v>158791.08333333323</v>
      </c>
      <c r="L88" s="118">
        <f t="shared" si="35"/>
        <v>161491.91666666666</v>
      </c>
      <c r="M88" s="118">
        <f t="shared" si="35"/>
        <v>158791.08333333323</v>
      </c>
      <c r="N88" s="118">
        <f t="shared" si="35"/>
        <v>161491.91666666666</v>
      </c>
      <c r="O88" s="118">
        <f t="shared" si="35"/>
        <v>158791.08333333323</v>
      </c>
      <c r="P88" s="118">
        <f t="shared" si="35"/>
        <v>161491.91666666666</v>
      </c>
      <c r="Q88" s="118">
        <f t="shared" si="35"/>
        <v>158791.08333333323</v>
      </c>
      <c r="R88" s="118">
        <f t="shared" si="35"/>
        <v>161491.91666666666</v>
      </c>
      <c r="S88" s="118">
        <f t="shared" si="35"/>
        <v>158791.08333333323</v>
      </c>
      <c r="T88" s="118">
        <f t="shared" si="35"/>
        <v>161491.91666666666</v>
      </c>
      <c r="U88" s="118">
        <f t="shared" si="35"/>
        <v>158791.08333333323</v>
      </c>
      <c r="V88" s="118">
        <f t="shared" si="35"/>
        <v>161491.91666666666</v>
      </c>
      <c r="W88" s="118">
        <f t="shared" si="35"/>
        <v>158791.08333333323</v>
      </c>
      <c r="X88" s="118">
        <f t="shared" si="35"/>
        <v>161491.91666666666</v>
      </c>
      <c r="Y88" s="118">
        <f t="shared" si="35"/>
        <v>158791.08333333323</v>
      </c>
      <c r="Z88" s="118">
        <f t="shared" si="35"/>
        <v>161491.91666666666</v>
      </c>
      <c r="AA88" s="118">
        <f t="shared" si="35"/>
        <v>158791.08333333323</v>
      </c>
      <c r="AB88" s="118">
        <f t="shared" ref="AB88:AF89" si="36">AB87+(Z$89-AA$89)/12</f>
        <v>161491.91666666666</v>
      </c>
      <c r="AC88" s="118">
        <f t="shared" si="36"/>
        <v>158791.08333333323</v>
      </c>
      <c r="AD88" s="118">
        <f t="shared" si="36"/>
        <v>161491.91666666666</v>
      </c>
      <c r="AE88" s="118">
        <f t="shared" si="36"/>
        <v>158791.08333333323</v>
      </c>
      <c r="AF88" s="118">
        <f t="shared" si="36"/>
        <v>161491.91666666666</v>
      </c>
    </row>
    <row r="89" spans="1:32" ht="12" thickBot="1">
      <c r="A89" s="113" t="s">
        <v>140</v>
      </c>
      <c r="B89" s="13">
        <v>123305</v>
      </c>
      <c r="C89" s="13">
        <v>124322</v>
      </c>
      <c r="D89" s="235">
        <v>108601</v>
      </c>
      <c r="E89" s="235">
        <v>158521</v>
      </c>
      <c r="F89" s="235">
        <v>161762</v>
      </c>
      <c r="G89" s="118">
        <f t="shared" ref="G89:AA89" si="37">G88+(E$89-F$89)/12</f>
        <v>158520.99999999988</v>
      </c>
      <c r="H89" s="118">
        <f t="shared" si="37"/>
        <v>161762</v>
      </c>
      <c r="I89" s="118">
        <f t="shared" si="37"/>
        <v>158520.99999999988</v>
      </c>
      <c r="J89" s="118">
        <f t="shared" si="37"/>
        <v>161762</v>
      </c>
      <c r="K89" s="118">
        <f t="shared" si="37"/>
        <v>158520.99999999988</v>
      </c>
      <c r="L89" s="118">
        <f t="shared" si="37"/>
        <v>161762</v>
      </c>
      <c r="M89" s="118">
        <f t="shared" si="37"/>
        <v>158520.99999999988</v>
      </c>
      <c r="N89" s="118">
        <f t="shared" si="37"/>
        <v>161762</v>
      </c>
      <c r="O89" s="118">
        <f t="shared" si="37"/>
        <v>158520.99999999988</v>
      </c>
      <c r="P89" s="118">
        <f t="shared" si="37"/>
        <v>161762</v>
      </c>
      <c r="Q89" s="118">
        <f t="shared" si="37"/>
        <v>158520.99999999988</v>
      </c>
      <c r="R89" s="118">
        <f t="shared" si="37"/>
        <v>161762</v>
      </c>
      <c r="S89" s="118">
        <f t="shared" si="37"/>
        <v>158520.99999999988</v>
      </c>
      <c r="T89" s="118">
        <f t="shared" si="37"/>
        <v>161762</v>
      </c>
      <c r="U89" s="118">
        <f t="shared" si="37"/>
        <v>158520.99999999988</v>
      </c>
      <c r="V89" s="118">
        <f t="shared" si="37"/>
        <v>161762</v>
      </c>
      <c r="W89" s="118">
        <f t="shared" si="37"/>
        <v>158520.99999999988</v>
      </c>
      <c r="X89" s="118">
        <f t="shared" si="37"/>
        <v>161762</v>
      </c>
      <c r="Y89" s="118">
        <f t="shared" si="37"/>
        <v>158520.99999999988</v>
      </c>
      <c r="Z89" s="118">
        <f t="shared" si="37"/>
        <v>161762</v>
      </c>
      <c r="AA89" s="118">
        <f t="shared" si="37"/>
        <v>158520.99999999988</v>
      </c>
      <c r="AB89" s="118">
        <f t="shared" si="36"/>
        <v>161762</v>
      </c>
      <c r="AC89" s="118">
        <f t="shared" si="36"/>
        <v>158520.99999999988</v>
      </c>
      <c r="AD89" s="118">
        <f t="shared" si="36"/>
        <v>161762</v>
      </c>
      <c r="AE89" s="118">
        <f t="shared" si="36"/>
        <v>158520.99999999988</v>
      </c>
      <c r="AF89" s="118">
        <f t="shared" si="36"/>
        <v>161762</v>
      </c>
    </row>
    <row r="90" spans="1:32">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5E8B-BC44-4D5A-A779-E99E6AD250C0}">
  <dimension ref="A1:X91"/>
  <sheetViews>
    <sheetView zoomScale="115" zoomScaleNormal="115" workbookViewId="0">
      <pane xSplit="1" ySplit="3" topLeftCell="B4"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24" width="10.83203125" style="113" customWidth="1"/>
    <col min="25" max="16384" width="9.33203125" style="113"/>
  </cols>
  <sheetData>
    <row r="1" spans="1:24">
      <c r="A1" s="111" t="s">
        <v>264</v>
      </c>
      <c r="B1" s="112"/>
      <c r="C1" s="112"/>
      <c r="D1" s="112"/>
      <c r="E1" s="112"/>
      <c r="F1" s="112"/>
      <c r="G1" s="112"/>
      <c r="H1" s="112"/>
      <c r="I1" s="112"/>
      <c r="J1" s="112"/>
      <c r="K1" s="112"/>
      <c r="L1" s="112"/>
      <c r="M1" s="112"/>
      <c r="N1" s="112"/>
      <c r="O1" s="112"/>
      <c r="P1" s="112"/>
      <c r="Q1" s="112"/>
      <c r="R1" s="112"/>
      <c r="S1" s="112"/>
      <c r="T1" s="112"/>
      <c r="U1" s="112"/>
      <c r="V1" s="112"/>
      <c r="W1" s="112"/>
      <c r="X1" s="112"/>
    </row>
    <row r="2" spans="1:24">
      <c r="A2" s="111" t="s">
        <v>265</v>
      </c>
      <c r="B2" s="112"/>
      <c r="C2" s="112"/>
      <c r="D2" s="112"/>
      <c r="E2" s="112"/>
      <c r="F2" s="112"/>
      <c r="G2" s="112"/>
      <c r="H2" s="112"/>
      <c r="I2" s="112"/>
      <c r="J2" s="112"/>
      <c r="K2" s="112"/>
      <c r="L2" s="112"/>
      <c r="M2" s="112"/>
      <c r="N2" s="112"/>
      <c r="O2" s="112"/>
      <c r="P2" s="112"/>
      <c r="Q2" s="112"/>
      <c r="R2" s="112"/>
      <c r="S2" s="112"/>
      <c r="T2" s="112"/>
      <c r="U2" s="112"/>
      <c r="V2" s="112"/>
      <c r="W2" s="112"/>
      <c r="X2" s="112"/>
    </row>
    <row r="3" spans="1:24" ht="12" thickBot="1">
      <c r="A3" s="168" t="s">
        <v>198</v>
      </c>
      <c r="B3" s="169">
        <v>2020</v>
      </c>
      <c r="C3" s="169">
        <v>2021</v>
      </c>
      <c r="D3" s="169">
        <v>2022</v>
      </c>
      <c r="E3" s="169">
        <v>2023</v>
      </c>
      <c r="F3" s="169">
        <v>2024</v>
      </c>
      <c r="G3" s="169">
        <v>2025</v>
      </c>
      <c r="H3" s="169">
        <v>2026</v>
      </c>
      <c r="I3" s="169">
        <v>2027</v>
      </c>
      <c r="J3" s="169">
        <v>2028</v>
      </c>
      <c r="K3" s="169">
        <v>2029</v>
      </c>
      <c r="L3" s="169">
        <v>2030</v>
      </c>
      <c r="M3" s="169">
        <v>2031</v>
      </c>
      <c r="N3" s="169">
        <v>2032</v>
      </c>
      <c r="O3" s="169">
        <v>2033</v>
      </c>
      <c r="P3" s="169">
        <v>2034</v>
      </c>
      <c r="Q3" s="169">
        <v>2035</v>
      </c>
      <c r="R3" s="169">
        <v>2036</v>
      </c>
      <c r="S3" s="169">
        <v>2037</v>
      </c>
      <c r="T3" s="169">
        <v>2038</v>
      </c>
      <c r="U3" s="169">
        <v>2039</v>
      </c>
      <c r="V3" s="169">
        <v>2040</v>
      </c>
      <c r="W3" s="169">
        <v>2041</v>
      </c>
      <c r="X3" s="169">
        <v>2042</v>
      </c>
    </row>
    <row r="4" spans="1:24" ht="12" thickTop="1">
      <c r="A4" s="116" t="s">
        <v>120</v>
      </c>
      <c r="B4" s="13">
        <v>105805</v>
      </c>
      <c r="C4" s="13">
        <f>B11</f>
        <v>118227</v>
      </c>
      <c r="D4" s="13">
        <f>C11</f>
        <v>121716</v>
      </c>
    </row>
    <row r="5" spans="1:24">
      <c r="A5" s="116" t="s">
        <v>260</v>
      </c>
      <c r="B5" s="13">
        <f>B27</f>
        <v>4424186</v>
      </c>
      <c r="C5" s="13">
        <f>C27</f>
        <v>4385382</v>
      </c>
      <c r="D5" s="13">
        <f>D27</f>
        <v>4415554</v>
      </c>
    </row>
    <row r="6" spans="1:24">
      <c r="A6" s="116" t="s">
        <v>122</v>
      </c>
      <c r="B6" s="13">
        <f>SUM(B4:B5)</f>
        <v>4529991</v>
      </c>
      <c r="C6" s="13">
        <f>SUM(C4:C5)</f>
        <v>4503609</v>
      </c>
      <c r="D6" s="13">
        <f>SUM(D4:D5)</f>
        <v>4537270</v>
      </c>
    </row>
    <row r="7" spans="1:24">
      <c r="A7" s="116" t="s">
        <v>261</v>
      </c>
      <c r="B7" s="13">
        <f>B43</f>
        <v>4379589</v>
      </c>
      <c r="C7" s="13">
        <f>C43</f>
        <v>4352583</v>
      </c>
      <c r="D7" s="13">
        <f>D43</f>
        <v>4457942</v>
      </c>
    </row>
    <row r="8" spans="1:24">
      <c r="A8" s="116" t="s">
        <v>124</v>
      </c>
      <c r="B8" s="13">
        <f>B59</f>
        <v>-3104</v>
      </c>
      <c r="C8" s="13">
        <f>C59</f>
        <v>544</v>
      </c>
      <c r="D8" s="13">
        <f>D59</f>
        <v>322</v>
      </c>
    </row>
    <row r="9" spans="1:24">
      <c r="A9" s="116" t="s">
        <v>125</v>
      </c>
      <c r="B9" s="13">
        <f>B10-SUM(B7:B8)</f>
        <v>35279</v>
      </c>
      <c r="C9" s="13">
        <f>C10-SUM(C7:C8)</f>
        <v>28766</v>
      </c>
      <c r="D9" s="13">
        <f>D10-SUM(D7:D8)</f>
        <v>-368</v>
      </c>
    </row>
    <row r="10" spans="1:24">
      <c r="A10" s="116" t="s">
        <v>126</v>
      </c>
      <c r="B10" s="13">
        <f>B6-B11</f>
        <v>4411764</v>
      </c>
      <c r="C10" s="13">
        <f>C6-C11</f>
        <v>4381893</v>
      </c>
      <c r="D10" s="13">
        <f>D6-D11</f>
        <v>4457896</v>
      </c>
    </row>
    <row r="11" spans="1:24">
      <c r="A11" s="116" t="s">
        <v>127</v>
      </c>
      <c r="B11" s="13">
        <f>B90</f>
        <v>118227</v>
      </c>
      <c r="C11" s="13">
        <f>C90</f>
        <v>121716</v>
      </c>
      <c r="D11" s="13">
        <f>D90</f>
        <v>79374</v>
      </c>
    </row>
    <row r="12" spans="1:24">
      <c r="A12" s="116"/>
      <c r="B12" s="13"/>
      <c r="C12" s="13"/>
      <c r="D12" s="13"/>
    </row>
    <row r="13" spans="1:24" ht="12" thickBot="1">
      <c r="A13" s="138" t="s">
        <v>262</v>
      </c>
    </row>
    <row r="14" spans="1:24" ht="12" thickBot="1">
      <c r="A14" s="176"/>
      <c r="B14" s="177">
        <f>B3</f>
        <v>2020</v>
      </c>
      <c r="C14" s="177">
        <f>C3</f>
        <v>2021</v>
      </c>
      <c r="D14" s="177">
        <f>D3</f>
        <v>2022</v>
      </c>
      <c r="E14" s="177">
        <f t="shared" ref="E14:X14" si="0">E3</f>
        <v>2023</v>
      </c>
      <c r="F14" s="177">
        <f t="shared" si="0"/>
        <v>2024</v>
      </c>
      <c r="G14" s="177">
        <f t="shared" si="0"/>
        <v>2025</v>
      </c>
      <c r="H14" s="177">
        <f t="shared" si="0"/>
        <v>2026</v>
      </c>
      <c r="I14" s="177">
        <f t="shared" si="0"/>
        <v>2027</v>
      </c>
      <c r="J14" s="177">
        <f t="shared" si="0"/>
        <v>2028</v>
      </c>
      <c r="K14" s="177">
        <f t="shared" si="0"/>
        <v>2029</v>
      </c>
      <c r="L14" s="177">
        <f t="shared" si="0"/>
        <v>2030</v>
      </c>
      <c r="M14" s="177">
        <f t="shared" si="0"/>
        <v>2031</v>
      </c>
      <c r="N14" s="177">
        <f t="shared" si="0"/>
        <v>2032</v>
      </c>
      <c r="O14" s="177">
        <f t="shared" si="0"/>
        <v>2033</v>
      </c>
      <c r="P14" s="177">
        <f t="shared" si="0"/>
        <v>2034</v>
      </c>
      <c r="Q14" s="177">
        <f t="shared" si="0"/>
        <v>2035</v>
      </c>
      <c r="R14" s="177">
        <f t="shared" si="0"/>
        <v>2036</v>
      </c>
      <c r="S14" s="177">
        <f t="shared" si="0"/>
        <v>2037</v>
      </c>
      <c r="T14" s="177">
        <f t="shared" si="0"/>
        <v>2038</v>
      </c>
      <c r="U14" s="177">
        <f t="shared" si="0"/>
        <v>2039</v>
      </c>
      <c r="V14" s="177">
        <f t="shared" si="0"/>
        <v>2040</v>
      </c>
      <c r="W14" s="177">
        <f t="shared" si="0"/>
        <v>2041</v>
      </c>
      <c r="X14" s="177">
        <f t="shared" si="0"/>
        <v>2042</v>
      </c>
    </row>
    <row r="15" spans="1:24">
      <c r="A15" s="113" t="s">
        <v>129</v>
      </c>
      <c r="B15" s="13">
        <v>435712</v>
      </c>
      <c r="C15" s="13">
        <v>302223</v>
      </c>
      <c r="D15" s="13">
        <v>365227</v>
      </c>
      <c r="E15" s="13">
        <v>412932</v>
      </c>
      <c r="F15" s="13"/>
      <c r="G15" s="13"/>
      <c r="H15" s="13"/>
      <c r="I15" s="13"/>
      <c r="J15" s="13"/>
      <c r="K15" s="13"/>
      <c r="L15" s="13"/>
      <c r="M15" s="13"/>
      <c r="N15" s="13"/>
      <c r="O15" s="13"/>
      <c r="P15" s="13"/>
      <c r="Q15" s="13"/>
      <c r="R15" s="13"/>
      <c r="S15" s="13"/>
      <c r="T15" s="13"/>
      <c r="U15" s="13"/>
      <c r="V15" s="13"/>
      <c r="W15" s="13"/>
      <c r="X15" s="13"/>
    </row>
    <row r="16" spans="1:24">
      <c r="A16" s="113" t="s">
        <v>130</v>
      </c>
      <c r="B16" s="13">
        <v>387985</v>
      </c>
      <c r="C16" s="13">
        <v>289198</v>
      </c>
      <c r="D16" s="13">
        <v>338093</v>
      </c>
      <c r="E16" s="13">
        <v>348178</v>
      </c>
      <c r="F16" s="13"/>
      <c r="G16" s="13"/>
      <c r="H16" s="13"/>
      <c r="I16" s="13"/>
      <c r="J16" s="13"/>
      <c r="K16" s="13"/>
      <c r="L16" s="13"/>
      <c r="M16" s="13"/>
      <c r="N16" s="13"/>
      <c r="O16" s="13"/>
      <c r="P16" s="13"/>
      <c r="Q16" s="13"/>
      <c r="R16" s="13"/>
      <c r="S16" s="13"/>
      <c r="T16" s="13"/>
      <c r="U16" s="13"/>
      <c r="V16" s="13"/>
      <c r="W16" s="13"/>
      <c r="X16" s="13"/>
    </row>
    <row r="17" spans="1:24">
      <c r="A17" s="113" t="s">
        <v>131</v>
      </c>
      <c r="B17" s="13">
        <v>408229</v>
      </c>
      <c r="C17" s="13">
        <v>383745</v>
      </c>
      <c r="D17" s="13">
        <v>405189</v>
      </c>
      <c r="E17" s="13">
        <v>414423</v>
      </c>
      <c r="F17" s="13"/>
      <c r="G17" s="13"/>
      <c r="H17" s="13"/>
      <c r="I17" s="13"/>
      <c r="J17" s="13"/>
      <c r="K17" s="13"/>
      <c r="L17" s="13"/>
      <c r="M17" s="13"/>
      <c r="N17" s="13"/>
      <c r="O17" s="13"/>
      <c r="P17" s="13"/>
      <c r="Q17" s="13"/>
      <c r="R17" s="13"/>
      <c r="S17" s="13"/>
      <c r="T17" s="13"/>
      <c r="U17" s="13"/>
      <c r="V17" s="13"/>
      <c r="W17" s="13"/>
      <c r="X17" s="13"/>
    </row>
    <row r="18" spans="1:24">
      <c r="A18" s="113" t="s">
        <v>132</v>
      </c>
      <c r="B18" s="13">
        <v>255132</v>
      </c>
      <c r="C18" s="13">
        <v>368953</v>
      </c>
      <c r="D18" s="13">
        <v>354071</v>
      </c>
      <c r="E18" s="13">
        <v>322039</v>
      </c>
      <c r="F18" s="13"/>
      <c r="G18" s="13"/>
      <c r="H18" s="13"/>
      <c r="I18" s="13"/>
      <c r="J18" s="13"/>
      <c r="K18" s="13"/>
      <c r="L18" s="13"/>
      <c r="M18" s="13"/>
      <c r="N18" s="13"/>
      <c r="O18" s="13"/>
      <c r="P18" s="13"/>
      <c r="Q18" s="13"/>
      <c r="R18" s="13"/>
      <c r="S18" s="13"/>
      <c r="T18" s="13"/>
      <c r="U18" s="13"/>
      <c r="V18" s="13"/>
      <c r="W18" s="13"/>
      <c r="X18" s="13"/>
    </row>
    <row r="19" spans="1:24">
      <c r="A19" s="113" t="s">
        <v>133</v>
      </c>
      <c r="B19" s="13">
        <v>247284</v>
      </c>
      <c r="C19" s="13">
        <v>355843</v>
      </c>
      <c r="D19" s="13">
        <v>380487</v>
      </c>
      <c r="E19" s="13">
        <v>353598</v>
      </c>
      <c r="F19" s="13"/>
      <c r="G19" s="13"/>
      <c r="H19" s="13"/>
      <c r="I19" s="13"/>
      <c r="J19" s="13"/>
      <c r="K19" s="13"/>
      <c r="L19" s="13"/>
      <c r="M19" s="13"/>
      <c r="N19" s="13"/>
      <c r="O19" s="13"/>
      <c r="P19" s="13"/>
      <c r="Q19" s="13"/>
      <c r="R19" s="13"/>
      <c r="S19" s="13"/>
      <c r="T19" s="13"/>
      <c r="U19" s="13"/>
      <c r="V19" s="13"/>
      <c r="W19" s="13"/>
      <c r="X19" s="13"/>
    </row>
    <row r="20" spans="1:24">
      <c r="A20" s="113" t="s">
        <v>134</v>
      </c>
      <c r="B20" s="13">
        <v>365051</v>
      </c>
      <c r="C20" s="13">
        <v>366464</v>
      </c>
      <c r="D20" s="13">
        <v>376257</v>
      </c>
      <c r="E20" s="13">
        <v>387942</v>
      </c>
      <c r="F20" s="13"/>
      <c r="G20" s="13"/>
      <c r="H20" s="13"/>
      <c r="I20" s="13"/>
      <c r="J20" s="13"/>
      <c r="K20" s="13"/>
      <c r="L20" s="13"/>
      <c r="M20" s="13"/>
      <c r="N20" s="13"/>
      <c r="O20" s="13"/>
      <c r="P20" s="13"/>
      <c r="Q20" s="13"/>
      <c r="R20" s="13"/>
      <c r="S20" s="13"/>
      <c r="T20" s="13"/>
      <c r="U20" s="13"/>
      <c r="V20" s="13"/>
      <c r="W20" s="13"/>
      <c r="X20" s="13"/>
    </row>
    <row r="21" spans="1:24">
      <c r="A21" s="113" t="s">
        <v>135</v>
      </c>
      <c r="B21" s="13">
        <v>414484</v>
      </c>
      <c r="C21" s="13">
        <v>382005</v>
      </c>
      <c r="D21" s="13">
        <v>355981</v>
      </c>
      <c r="E21" s="13">
        <v>387964</v>
      </c>
      <c r="F21" s="13"/>
      <c r="G21" s="13"/>
      <c r="H21" s="13"/>
      <c r="I21" s="13"/>
      <c r="J21" s="13"/>
      <c r="K21" s="13"/>
      <c r="L21" s="13"/>
      <c r="M21" s="13"/>
      <c r="N21" s="13"/>
      <c r="O21" s="13"/>
      <c r="P21" s="13"/>
      <c r="Q21" s="13"/>
      <c r="R21" s="13"/>
      <c r="S21" s="13"/>
      <c r="T21" s="13"/>
      <c r="U21" s="13"/>
      <c r="V21" s="13"/>
      <c r="W21" s="13"/>
      <c r="X21" s="13"/>
    </row>
    <row r="22" spans="1:24">
      <c r="A22" s="113" t="s">
        <v>136</v>
      </c>
      <c r="B22" s="13">
        <v>396188</v>
      </c>
      <c r="C22" s="13">
        <v>380357</v>
      </c>
      <c r="D22" s="13">
        <v>389644</v>
      </c>
      <c r="E22" s="13">
        <v>408120</v>
      </c>
      <c r="F22" s="13"/>
      <c r="G22" s="13"/>
      <c r="H22" s="13"/>
      <c r="I22" s="13"/>
      <c r="J22" s="13"/>
      <c r="K22" s="13"/>
      <c r="L22" s="13"/>
      <c r="M22" s="13"/>
      <c r="N22" s="13"/>
      <c r="O22" s="13"/>
      <c r="P22" s="13"/>
      <c r="Q22" s="13"/>
      <c r="R22" s="13"/>
      <c r="S22" s="13"/>
      <c r="T22" s="13"/>
      <c r="U22" s="13"/>
      <c r="V22" s="13"/>
      <c r="W22" s="13"/>
      <c r="X22" s="13"/>
    </row>
    <row r="23" spans="1:24">
      <c r="A23" s="113" t="s">
        <v>137</v>
      </c>
      <c r="B23" s="13">
        <v>375891</v>
      </c>
      <c r="C23" s="13">
        <v>398288</v>
      </c>
      <c r="D23" s="13">
        <v>347379</v>
      </c>
      <c r="E23" s="13">
        <v>366419</v>
      </c>
      <c r="F23" s="13"/>
      <c r="G23" s="13"/>
      <c r="H23" s="13"/>
      <c r="I23" s="13"/>
      <c r="J23" s="13"/>
      <c r="K23" s="13"/>
      <c r="L23" s="13"/>
      <c r="M23" s="13"/>
      <c r="N23" s="13"/>
      <c r="O23" s="13"/>
      <c r="P23" s="13"/>
      <c r="Q23" s="13"/>
      <c r="R23" s="13"/>
      <c r="S23" s="13"/>
      <c r="T23" s="13"/>
      <c r="U23" s="13"/>
      <c r="V23" s="13"/>
      <c r="W23" s="13"/>
      <c r="X23" s="13"/>
    </row>
    <row r="24" spans="1:24">
      <c r="A24" s="113" t="s">
        <v>138</v>
      </c>
      <c r="B24" s="13">
        <v>321127</v>
      </c>
      <c r="C24" s="13">
        <v>275459</v>
      </c>
      <c r="D24" s="13">
        <v>308171</v>
      </c>
      <c r="E24" s="13"/>
      <c r="F24" s="13"/>
      <c r="G24" s="13"/>
      <c r="H24" s="13"/>
      <c r="I24" s="13"/>
      <c r="J24" s="13"/>
      <c r="K24" s="13"/>
      <c r="L24" s="13"/>
      <c r="M24" s="13"/>
      <c r="N24" s="13"/>
      <c r="O24" s="13"/>
      <c r="P24" s="13"/>
      <c r="Q24" s="13"/>
      <c r="R24" s="13"/>
      <c r="S24" s="13"/>
      <c r="T24" s="13"/>
      <c r="U24" s="13"/>
      <c r="V24" s="13"/>
      <c r="W24" s="13"/>
      <c r="X24" s="13"/>
    </row>
    <row r="25" spans="1:24">
      <c r="A25" s="113" t="s">
        <v>139</v>
      </c>
      <c r="B25" s="13">
        <v>415109</v>
      </c>
      <c r="C25" s="13">
        <v>453237</v>
      </c>
      <c r="D25" s="13">
        <v>409373</v>
      </c>
      <c r="E25" s="13"/>
      <c r="F25" s="13"/>
      <c r="G25" s="13"/>
      <c r="H25" s="13"/>
      <c r="I25" s="13"/>
      <c r="J25" s="13"/>
      <c r="K25" s="13"/>
      <c r="L25" s="13"/>
      <c r="M25" s="13"/>
      <c r="N25" s="13"/>
      <c r="O25" s="13"/>
      <c r="P25" s="13"/>
      <c r="Q25" s="13"/>
      <c r="R25" s="13"/>
      <c r="S25" s="13"/>
      <c r="T25" s="13"/>
      <c r="U25" s="13"/>
      <c r="V25" s="13"/>
      <c r="W25" s="13"/>
      <c r="X25" s="13"/>
    </row>
    <row r="26" spans="1:24">
      <c r="A26" s="113" t="s">
        <v>140</v>
      </c>
      <c r="B26" s="13">
        <v>401994</v>
      </c>
      <c r="C26" s="13">
        <v>429610</v>
      </c>
      <c r="D26" s="13">
        <v>385682</v>
      </c>
      <c r="E26" s="13"/>
      <c r="F26" s="13"/>
      <c r="G26" s="13"/>
      <c r="H26" s="13"/>
      <c r="I26" s="13"/>
      <c r="J26" s="13"/>
      <c r="K26" s="13"/>
      <c r="L26" s="13"/>
      <c r="M26" s="13"/>
      <c r="N26" s="13"/>
      <c r="O26" s="13"/>
      <c r="P26" s="13"/>
      <c r="Q26" s="13"/>
      <c r="R26" s="13"/>
      <c r="S26" s="13"/>
      <c r="T26" s="13"/>
      <c r="U26" s="13"/>
      <c r="V26" s="13"/>
      <c r="W26" s="13"/>
      <c r="X26" s="13"/>
    </row>
    <row r="27" spans="1:24" ht="12" thickBot="1">
      <c r="A27" s="113" t="s">
        <v>141</v>
      </c>
      <c r="B27" s="13">
        <f>SUM(B15:B26)</f>
        <v>4424186</v>
      </c>
      <c r="C27" s="13">
        <f>SUM(C15:C26)</f>
        <v>4385382</v>
      </c>
      <c r="D27" s="13">
        <f>SUM(D15:D26)</f>
        <v>4415554</v>
      </c>
      <c r="E27" s="13"/>
      <c r="F27" s="13"/>
      <c r="G27" s="13"/>
      <c r="H27" s="13"/>
      <c r="I27" s="13"/>
      <c r="J27" s="13"/>
      <c r="K27" s="13"/>
      <c r="L27" s="13"/>
      <c r="M27" s="13"/>
      <c r="N27" s="13"/>
      <c r="O27" s="13"/>
      <c r="P27" s="13"/>
      <c r="Q27" s="13"/>
      <c r="R27" s="13"/>
      <c r="S27" s="13"/>
      <c r="T27" s="13"/>
      <c r="U27" s="13"/>
      <c r="V27" s="13"/>
      <c r="W27" s="13"/>
      <c r="X27" s="13"/>
    </row>
    <row r="28" spans="1:24">
      <c r="A28" s="199"/>
      <c r="B28" s="199"/>
      <c r="C28" s="199"/>
      <c r="D28" s="199"/>
      <c r="E28" s="199"/>
      <c r="F28" s="199"/>
      <c r="G28" s="199"/>
      <c r="H28" s="199"/>
      <c r="I28" s="199"/>
      <c r="J28" s="199"/>
      <c r="K28" s="199"/>
      <c r="L28" s="199"/>
      <c r="M28" s="199"/>
      <c r="N28" s="199"/>
      <c r="O28" s="199"/>
      <c r="P28" s="199"/>
      <c r="Q28" s="199"/>
      <c r="R28" s="199"/>
      <c r="S28" s="199"/>
      <c r="T28" s="199"/>
      <c r="U28" s="199"/>
      <c r="V28" s="199"/>
      <c r="W28" s="199"/>
      <c r="X28" s="199"/>
    </row>
    <row r="29" spans="1:24" ht="12" thickBot="1">
      <c r="A29" s="138" t="s">
        <v>263</v>
      </c>
    </row>
    <row r="30" spans="1:24" ht="12" thickBot="1">
      <c r="A30" s="176"/>
      <c r="B30" s="177">
        <f>B3</f>
        <v>2020</v>
      </c>
      <c r="C30" s="177">
        <f t="shared" ref="C30:X30" si="1">C3</f>
        <v>2021</v>
      </c>
      <c r="D30" s="177">
        <f t="shared" si="1"/>
        <v>2022</v>
      </c>
      <c r="E30" s="177">
        <f t="shared" si="1"/>
        <v>2023</v>
      </c>
      <c r="F30" s="177">
        <f t="shared" si="1"/>
        <v>2024</v>
      </c>
      <c r="G30" s="177">
        <f t="shared" si="1"/>
        <v>2025</v>
      </c>
      <c r="H30" s="177">
        <f t="shared" si="1"/>
        <v>2026</v>
      </c>
      <c r="I30" s="177">
        <f t="shared" si="1"/>
        <v>2027</v>
      </c>
      <c r="J30" s="177">
        <f t="shared" si="1"/>
        <v>2028</v>
      </c>
      <c r="K30" s="177">
        <f t="shared" si="1"/>
        <v>2029</v>
      </c>
      <c r="L30" s="177">
        <f t="shared" si="1"/>
        <v>2030</v>
      </c>
      <c r="M30" s="177">
        <f t="shared" si="1"/>
        <v>2031</v>
      </c>
      <c r="N30" s="177">
        <f t="shared" si="1"/>
        <v>2032</v>
      </c>
      <c r="O30" s="177">
        <f t="shared" si="1"/>
        <v>2033</v>
      </c>
      <c r="P30" s="177">
        <f t="shared" si="1"/>
        <v>2034</v>
      </c>
      <c r="Q30" s="177">
        <f t="shared" si="1"/>
        <v>2035</v>
      </c>
      <c r="R30" s="177">
        <f t="shared" si="1"/>
        <v>2036</v>
      </c>
      <c r="S30" s="177">
        <f t="shared" si="1"/>
        <v>2037</v>
      </c>
      <c r="T30" s="177">
        <f t="shared" si="1"/>
        <v>2038</v>
      </c>
      <c r="U30" s="177">
        <f t="shared" si="1"/>
        <v>2039</v>
      </c>
      <c r="V30" s="177">
        <f t="shared" si="1"/>
        <v>2040</v>
      </c>
      <c r="W30" s="177">
        <f t="shared" si="1"/>
        <v>2041</v>
      </c>
      <c r="X30" s="177">
        <f t="shared" si="1"/>
        <v>2042</v>
      </c>
    </row>
    <row r="31" spans="1:24">
      <c r="A31" s="113" t="s">
        <v>129</v>
      </c>
      <c r="B31" s="13">
        <v>415351</v>
      </c>
      <c r="C31" s="13">
        <v>314384</v>
      </c>
      <c r="D31" s="13">
        <v>371580</v>
      </c>
      <c r="E31" s="13">
        <v>397890</v>
      </c>
      <c r="F31" s="13"/>
      <c r="G31" s="13"/>
      <c r="H31" s="13"/>
      <c r="I31" s="13"/>
      <c r="J31" s="13"/>
      <c r="K31" s="13"/>
      <c r="L31" s="13"/>
      <c r="M31" s="13"/>
      <c r="N31" s="13"/>
      <c r="O31" s="13"/>
      <c r="P31" s="13"/>
      <c r="Q31" s="13"/>
      <c r="R31" s="13"/>
      <c r="S31" s="13"/>
      <c r="T31" s="13"/>
      <c r="U31" s="13"/>
      <c r="V31" s="13"/>
      <c r="W31" s="13"/>
      <c r="X31" s="13"/>
    </row>
    <row r="32" spans="1:24">
      <c r="A32" s="113" t="s">
        <v>130</v>
      </c>
      <c r="B32" s="13">
        <v>398788</v>
      </c>
      <c r="C32" s="13">
        <v>292209</v>
      </c>
      <c r="D32" s="13">
        <v>339492</v>
      </c>
      <c r="E32" s="13">
        <v>350584</v>
      </c>
      <c r="F32" s="13"/>
      <c r="G32" s="13"/>
      <c r="H32" s="13"/>
      <c r="I32" s="13"/>
      <c r="J32" s="13"/>
      <c r="K32" s="13"/>
      <c r="L32" s="13"/>
      <c r="M32" s="13"/>
      <c r="N32" s="13"/>
      <c r="O32" s="13"/>
      <c r="P32" s="13"/>
      <c r="Q32" s="13"/>
      <c r="R32" s="13"/>
      <c r="S32" s="13"/>
      <c r="T32" s="13"/>
      <c r="U32" s="13"/>
      <c r="V32" s="13"/>
      <c r="W32" s="13"/>
      <c r="X32" s="13"/>
    </row>
    <row r="33" spans="1:24">
      <c r="A33" s="113" t="s">
        <v>131</v>
      </c>
      <c r="B33" s="13">
        <v>392475</v>
      </c>
      <c r="C33" s="13">
        <v>365998</v>
      </c>
      <c r="D33" s="13">
        <v>385963</v>
      </c>
      <c r="E33" s="13">
        <v>413801</v>
      </c>
      <c r="F33" s="13"/>
      <c r="G33" s="13"/>
      <c r="H33" s="13"/>
      <c r="I33" s="13"/>
      <c r="J33" s="13"/>
      <c r="K33" s="13"/>
      <c r="L33" s="13"/>
      <c r="M33" s="13"/>
      <c r="N33" s="13"/>
      <c r="O33" s="13"/>
      <c r="P33" s="13"/>
      <c r="Q33" s="13"/>
      <c r="R33" s="13"/>
      <c r="S33" s="13"/>
      <c r="T33" s="13"/>
      <c r="U33" s="13"/>
      <c r="V33" s="13"/>
      <c r="W33" s="13"/>
      <c r="X33" s="13"/>
    </row>
    <row r="34" spans="1:24">
      <c r="A34" s="113" t="s">
        <v>132</v>
      </c>
      <c r="B34" s="13">
        <v>267391</v>
      </c>
      <c r="C34" s="13">
        <v>339496</v>
      </c>
      <c r="D34" s="13">
        <v>353040</v>
      </c>
      <c r="E34" s="13">
        <v>345764</v>
      </c>
      <c r="F34" s="13"/>
      <c r="G34" s="13"/>
      <c r="H34" s="13"/>
      <c r="I34" s="13"/>
      <c r="J34" s="13"/>
      <c r="K34" s="13"/>
      <c r="L34" s="13"/>
      <c r="M34" s="13"/>
      <c r="N34" s="13"/>
      <c r="O34" s="13"/>
      <c r="P34" s="13"/>
      <c r="Q34" s="13"/>
      <c r="R34" s="13"/>
      <c r="S34" s="13"/>
      <c r="T34" s="13"/>
      <c r="U34" s="13"/>
      <c r="V34" s="13"/>
      <c r="W34" s="13"/>
      <c r="X34" s="13"/>
    </row>
    <row r="35" spans="1:24">
      <c r="A35" s="113" t="s">
        <v>133</v>
      </c>
      <c r="B35" s="13">
        <v>262341</v>
      </c>
      <c r="C35" s="13">
        <v>379932</v>
      </c>
      <c r="D35" s="13">
        <v>381509</v>
      </c>
      <c r="E35" s="13">
        <v>354586</v>
      </c>
      <c r="F35" s="13"/>
      <c r="G35" s="13"/>
      <c r="H35" s="13"/>
      <c r="I35" s="13"/>
      <c r="J35" s="13"/>
      <c r="K35" s="13"/>
      <c r="L35" s="13"/>
      <c r="M35" s="13"/>
      <c r="N35" s="13"/>
      <c r="O35" s="13"/>
      <c r="P35" s="13"/>
      <c r="Q35" s="13"/>
      <c r="R35" s="13"/>
      <c r="S35" s="13"/>
      <c r="T35" s="13"/>
      <c r="U35" s="13"/>
      <c r="V35" s="13"/>
      <c r="W35" s="13"/>
      <c r="X35" s="13"/>
    </row>
    <row r="36" spans="1:24">
      <c r="A36" s="113" t="s">
        <v>134</v>
      </c>
      <c r="B36" s="13">
        <v>345080</v>
      </c>
      <c r="C36" s="13">
        <v>358389</v>
      </c>
      <c r="D36" s="13">
        <v>361009</v>
      </c>
      <c r="E36" s="13">
        <v>371713</v>
      </c>
      <c r="F36" s="13"/>
      <c r="G36" s="13"/>
      <c r="H36" s="13"/>
      <c r="I36" s="13"/>
      <c r="J36" s="13"/>
      <c r="K36" s="13"/>
      <c r="L36" s="13"/>
      <c r="M36" s="13"/>
      <c r="N36" s="13"/>
      <c r="O36" s="13"/>
      <c r="P36" s="13"/>
      <c r="Q36" s="13"/>
      <c r="R36" s="13"/>
      <c r="S36" s="13"/>
      <c r="T36" s="13"/>
      <c r="U36" s="13"/>
      <c r="V36" s="13"/>
      <c r="W36" s="13"/>
      <c r="X36" s="13"/>
    </row>
    <row r="37" spans="1:24">
      <c r="A37" s="113" t="s">
        <v>135</v>
      </c>
      <c r="B37" s="13">
        <v>407957</v>
      </c>
      <c r="C37" s="13">
        <v>410823</v>
      </c>
      <c r="D37" s="13">
        <v>386948</v>
      </c>
      <c r="E37" s="13">
        <v>403147</v>
      </c>
      <c r="F37" s="13"/>
      <c r="G37" s="13"/>
      <c r="H37" s="13"/>
      <c r="I37" s="13"/>
      <c r="J37" s="13"/>
      <c r="K37" s="13"/>
      <c r="L37" s="13"/>
      <c r="M37" s="13"/>
      <c r="N37" s="13"/>
      <c r="O37" s="13"/>
      <c r="P37" s="13"/>
      <c r="Q37" s="13"/>
      <c r="R37" s="13"/>
      <c r="S37" s="13"/>
      <c r="T37" s="13"/>
      <c r="U37" s="13"/>
      <c r="V37" s="13"/>
      <c r="W37" s="13"/>
      <c r="X37" s="13"/>
    </row>
    <row r="38" spans="1:24">
      <c r="A38" s="113" t="s">
        <v>136</v>
      </c>
      <c r="B38" s="13">
        <v>399243</v>
      </c>
      <c r="C38" s="13">
        <v>387313</v>
      </c>
      <c r="D38" s="13">
        <v>392674</v>
      </c>
      <c r="E38" s="13">
        <v>400650</v>
      </c>
      <c r="F38" s="13"/>
      <c r="G38" s="13"/>
      <c r="H38" s="13"/>
      <c r="I38" s="13"/>
      <c r="J38" s="13"/>
      <c r="K38" s="13"/>
      <c r="L38" s="13"/>
      <c r="M38" s="13"/>
      <c r="N38" s="13"/>
      <c r="O38" s="13"/>
      <c r="P38" s="13"/>
      <c r="Q38" s="13"/>
      <c r="R38" s="13"/>
      <c r="S38" s="13"/>
      <c r="T38" s="13"/>
      <c r="U38" s="13"/>
      <c r="V38" s="13"/>
      <c r="W38" s="13"/>
      <c r="X38" s="13"/>
    </row>
    <row r="39" spans="1:24">
      <c r="A39" s="113" t="s">
        <v>137</v>
      </c>
      <c r="B39" s="13">
        <v>363858</v>
      </c>
      <c r="C39" s="13">
        <v>382621</v>
      </c>
      <c r="D39" s="13">
        <v>344603</v>
      </c>
      <c r="E39" s="13">
        <v>367726</v>
      </c>
      <c r="F39" s="13"/>
      <c r="G39" s="13"/>
      <c r="H39" s="13"/>
      <c r="I39" s="13"/>
      <c r="J39" s="13"/>
      <c r="K39" s="13"/>
      <c r="L39" s="13"/>
      <c r="M39" s="13"/>
      <c r="N39" s="13"/>
      <c r="O39" s="13"/>
      <c r="P39" s="13"/>
      <c r="Q39" s="13"/>
      <c r="R39" s="13"/>
      <c r="S39" s="13"/>
      <c r="T39" s="13"/>
      <c r="U39" s="13"/>
      <c r="V39" s="13"/>
      <c r="W39" s="13"/>
      <c r="X39" s="13"/>
    </row>
    <row r="40" spans="1:24">
      <c r="A40" s="113" t="s">
        <v>138</v>
      </c>
      <c r="B40" s="13">
        <v>349530</v>
      </c>
      <c r="C40" s="13">
        <v>319052</v>
      </c>
      <c r="D40" s="13">
        <v>350371</v>
      </c>
      <c r="E40" s="13"/>
      <c r="F40" s="13"/>
      <c r="G40" s="13"/>
      <c r="H40" s="13"/>
      <c r="I40" s="13"/>
      <c r="J40" s="13"/>
      <c r="K40" s="13"/>
      <c r="L40" s="13"/>
      <c r="M40" s="13"/>
      <c r="N40" s="13"/>
      <c r="O40" s="13"/>
      <c r="P40" s="13"/>
      <c r="Q40" s="13"/>
      <c r="R40" s="13"/>
      <c r="S40" s="13"/>
      <c r="T40" s="13"/>
      <c r="U40" s="13"/>
      <c r="V40" s="13"/>
      <c r="W40" s="13"/>
      <c r="X40" s="13"/>
    </row>
    <row r="41" spans="1:24">
      <c r="A41" s="113" t="s">
        <v>139</v>
      </c>
      <c r="B41" s="13">
        <v>407327</v>
      </c>
      <c r="C41" s="13">
        <v>399599</v>
      </c>
      <c r="D41" s="13">
        <v>391289</v>
      </c>
      <c r="E41" s="13"/>
      <c r="F41" s="13"/>
      <c r="G41" s="13"/>
      <c r="H41" s="13"/>
      <c r="I41" s="13"/>
      <c r="J41" s="13"/>
      <c r="K41" s="13"/>
      <c r="L41" s="13"/>
      <c r="M41" s="13"/>
      <c r="N41" s="13"/>
      <c r="O41" s="13"/>
      <c r="P41" s="13"/>
      <c r="Q41" s="13"/>
      <c r="R41" s="13"/>
      <c r="S41" s="13"/>
      <c r="T41" s="13"/>
      <c r="U41" s="13"/>
      <c r="V41" s="13"/>
      <c r="W41" s="13"/>
      <c r="X41" s="13"/>
    </row>
    <row r="42" spans="1:24">
      <c r="A42" s="113" t="s">
        <v>140</v>
      </c>
      <c r="B42" s="13">
        <v>370248</v>
      </c>
      <c r="C42" s="13">
        <v>402767</v>
      </c>
      <c r="D42" s="13">
        <v>399464</v>
      </c>
      <c r="E42" s="13"/>
      <c r="F42" s="13"/>
      <c r="G42" s="13"/>
      <c r="H42" s="13"/>
      <c r="I42" s="13"/>
      <c r="J42" s="13"/>
      <c r="K42" s="13"/>
      <c r="L42" s="13"/>
      <c r="M42" s="13"/>
      <c r="N42" s="13"/>
      <c r="O42" s="13"/>
      <c r="P42" s="13"/>
      <c r="Q42" s="13"/>
      <c r="R42" s="13"/>
      <c r="S42" s="13"/>
      <c r="T42" s="13"/>
      <c r="U42" s="13"/>
      <c r="V42" s="13"/>
      <c r="W42" s="13"/>
      <c r="X42" s="13"/>
    </row>
    <row r="43" spans="1:24" ht="12" thickBot="1">
      <c r="A43" s="113" t="s">
        <v>141</v>
      </c>
      <c r="B43" s="13">
        <f>SUM(B31:B42)</f>
        <v>4379589</v>
      </c>
      <c r="C43" s="13">
        <f>SUM(C31:C42)</f>
        <v>4352583</v>
      </c>
      <c r="D43" s="13">
        <f>SUM(D31:D42)</f>
        <v>4457942</v>
      </c>
      <c r="E43" s="13"/>
      <c r="F43" s="13"/>
      <c r="G43" s="13"/>
      <c r="H43" s="13"/>
      <c r="I43" s="13"/>
      <c r="J43" s="13"/>
      <c r="K43" s="13"/>
      <c r="L43" s="13"/>
      <c r="M43" s="13"/>
      <c r="N43" s="13"/>
      <c r="O43" s="13"/>
      <c r="P43" s="13"/>
      <c r="Q43" s="13"/>
      <c r="R43" s="13"/>
      <c r="S43" s="13"/>
      <c r="T43" s="13"/>
      <c r="U43" s="13"/>
      <c r="V43" s="13"/>
      <c r="W43" s="13"/>
      <c r="X43" s="13"/>
    </row>
    <row r="44" spans="1:24">
      <c r="A44" s="199"/>
      <c r="B44" s="199"/>
      <c r="C44" s="199"/>
      <c r="D44" s="199"/>
      <c r="E44" s="199"/>
      <c r="F44" s="199"/>
      <c r="G44" s="199"/>
      <c r="H44" s="199"/>
      <c r="I44" s="199"/>
      <c r="J44" s="199"/>
      <c r="K44" s="199"/>
      <c r="L44" s="199"/>
      <c r="M44" s="199"/>
      <c r="N44" s="199"/>
      <c r="O44" s="199"/>
      <c r="P44" s="199"/>
      <c r="Q44" s="199"/>
      <c r="R44" s="199"/>
      <c r="S44" s="199"/>
      <c r="T44" s="199"/>
      <c r="U44" s="199"/>
      <c r="V44" s="199"/>
      <c r="W44" s="199"/>
      <c r="X44" s="199"/>
    </row>
    <row r="45" spans="1:24" ht="12" thickBot="1">
      <c r="A45" s="138" t="s">
        <v>145</v>
      </c>
    </row>
    <row r="46" spans="1:24" ht="12" thickBot="1">
      <c r="A46" s="176"/>
      <c r="B46" s="177">
        <f>B3</f>
        <v>2020</v>
      </c>
      <c r="C46" s="177">
        <f t="shared" ref="C46:X46" si="2">C3</f>
        <v>2021</v>
      </c>
      <c r="D46" s="177">
        <f t="shared" si="2"/>
        <v>2022</v>
      </c>
      <c r="E46" s="177">
        <f t="shared" si="2"/>
        <v>2023</v>
      </c>
      <c r="F46" s="177">
        <f t="shared" si="2"/>
        <v>2024</v>
      </c>
      <c r="G46" s="177">
        <f t="shared" si="2"/>
        <v>2025</v>
      </c>
      <c r="H46" s="177">
        <f t="shared" si="2"/>
        <v>2026</v>
      </c>
      <c r="I46" s="177">
        <f t="shared" si="2"/>
        <v>2027</v>
      </c>
      <c r="J46" s="177">
        <f t="shared" si="2"/>
        <v>2028</v>
      </c>
      <c r="K46" s="177">
        <f t="shared" si="2"/>
        <v>2029</v>
      </c>
      <c r="L46" s="177">
        <f t="shared" si="2"/>
        <v>2030</v>
      </c>
      <c r="M46" s="177">
        <f t="shared" si="2"/>
        <v>2031</v>
      </c>
      <c r="N46" s="177">
        <f t="shared" si="2"/>
        <v>2032</v>
      </c>
      <c r="O46" s="177">
        <f t="shared" si="2"/>
        <v>2033</v>
      </c>
      <c r="P46" s="177">
        <f t="shared" si="2"/>
        <v>2034</v>
      </c>
      <c r="Q46" s="177">
        <f t="shared" si="2"/>
        <v>2035</v>
      </c>
      <c r="R46" s="177">
        <f t="shared" si="2"/>
        <v>2036</v>
      </c>
      <c r="S46" s="177">
        <f t="shared" si="2"/>
        <v>2037</v>
      </c>
      <c r="T46" s="177">
        <f t="shared" si="2"/>
        <v>2038</v>
      </c>
      <c r="U46" s="177">
        <f t="shared" si="2"/>
        <v>2039</v>
      </c>
      <c r="V46" s="177">
        <f t="shared" si="2"/>
        <v>2040</v>
      </c>
      <c r="W46" s="177">
        <f t="shared" si="2"/>
        <v>2041</v>
      </c>
      <c r="X46" s="177">
        <f t="shared" si="2"/>
        <v>2042</v>
      </c>
    </row>
    <row r="47" spans="1:24">
      <c r="A47" s="113" t="s">
        <v>129</v>
      </c>
      <c r="B47" s="13">
        <v>-528</v>
      </c>
      <c r="C47" s="13">
        <v>134</v>
      </c>
      <c r="D47" s="13">
        <v>-564</v>
      </c>
      <c r="E47" s="13">
        <v>1187</v>
      </c>
      <c r="F47" s="13"/>
      <c r="G47" s="13"/>
      <c r="H47" s="13"/>
      <c r="I47" s="13"/>
      <c r="J47" s="13"/>
      <c r="K47" s="13"/>
      <c r="L47" s="13"/>
      <c r="M47" s="13"/>
      <c r="N47" s="13"/>
      <c r="O47" s="13"/>
      <c r="P47" s="13"/>
      <c r="Q47" s="13"/>
      <c r="R47" s="13"/>
      <c r="S47" s="13"/>
      <c r="T47" s="13"/>
      <c r="U47" s="13"/>
      <c r="V47" s="13"/>
      <c r="W47" s="13"/>
      <c r="X47" s="13"/>
    </row>
    <row r="48" spans="1:24">
      <c r="A48" s="113" t="s">
        <v>130</v>
      </c>
      <c r="B48" s="13">
        <v>-38</v>
      </c>
      <c r="C48" s="13">
        <v>66</v>
      </c>
      <c r="D48" s="13">
        <v>267</v>
      </c>
      <c r="E48" s="13">
        <v>1405</v>
      </c>
      <c r="F48" s="13"/>
      <c r="G48" s="13"/>
      <c r="H48" s="13"/>
      <c r="I48" s="13"/>
      <c r="J48" s="13"/>
      <c r="K48" s="13"/>
      <c r="L48" s="13"/>
      <c r="M48" s="13"/>
      <c r="N48" s="13"/>
      <c r="O48" s="13"/>
      <c r="P48" s="13"/>
      <c r="Q48" s="13"/>
      <c r="R48" s="13"/>
      <c r="S48" s="13"/>
      <c r="T48" s="13"/>
      <c r="U48" s="13"/>
      <c r="V48" s="13"/>
      <c r="W48" s="13"/>
      <c r="X48" s="13"/>
    </row>
    <row r="49" spans="1:24">
      <c r="A49" s="113" t="s">
        <v>131</v>
      </c>
      <c r="B49" s="13">
        <v>-2149</v>
      </c>
      <c r="C49" s="13">
        <v>157</v>
      </c>
      <c r="D49" s="13">
        <v>-188</v>
      </c>
      <c r="E49" s="13">
        <v>141</v>
      </c>
      <c r="F49" s="13"/>
      <c r="G49" s="13"/>
      <c r="H49" s="13"/>
      <c r="I49" s="13"/>
      <c r="J49" s="13"/>
      <c r="K49" s="13"/>
      <c r="L49" s="13"/>
      <c r="M49" s="13"/>
      <c r="N49" s="13"/>
      <c r="O49" s="13"/>
      <c r="P49" s="13"/>
      <c r="Q49" s="13"/>
      <c r="R49" s="13"/>
      <c r="S49" s="13"/>
      <c r="T49" s="13"/>
      <c r="U49" s="13"/>
      <c r="V49" s="13"/>
      <c r="W49" s="13"/>
      <c r="X49" s="13"/>
    </row>
    <row r="50" spans="1:24">
      <c r="A50" s="113" t="s">
        <v>132</v>
      </c>
      <c r="B50" s="13">
        <v>61</v>
      </c>
      <c r="C50" s="13">
        <v>-328</v>
      </c>
      <c r="D50" s="13">
        <v>1198</v>
      </c>
      <c r="E50" s="13">
        <v>-335</v>
      </c>
      <c r="F50" s="13"/>
      <c r="G50" s="13"/>
      <c r="H50" s="13"/>
      <c r="I50" s="13"/>
      <c r="J50" s="13"/>
      <c r="K50" s="13"/>
      <c r="L50" s="13"/>
      <c r="M50" s="13"/>
      <c r="N50" s="13"/>
      <c r="O50" s="13"/>
      <c r="P50" s="13"/>
      <c r="Q50" s="13"/>
      <c r="R50" s="13"/>
      <c r="S50" s="13"/>
      <c r="T50" s="13"/>
      <c r="U50" s="13"/>
      <c r="V50" s="13"/>
      <c r="W50" s="13"/>
      <c r="X50" s="13"/>
    </row>
    <row r="51" spans="1:24">
      <c r="A51" s="113" t="s">
        <v>133</v>
      </c>
      <c r="B51" s="13">
        <v>-1621</v>
      </c>
      <c r="C51" s="13">
        <v>23</v>
      </c>
      <c r="D51" s="13">
        <v>-697</v>
      </c>
      <c r="E51" s="13">
        <v>792</v>
      </c>
      <c r="F51" s="13"/>
      <c r="G51" s="13"/>
      <c r="H51" s="13"/>
      <c r="I51" s="13"/>
      <c r="J51" s="13"/>
      <c r="K51" s="13"/>
      <c r="L51" s="13"/>
      <c r="M51" s="13"/>
      <c r="N51" s="13"/>
      <c r="O51" s="13"/>
      <c r="P51" s="13"/>
      <c r="Q51" s="13"/>
      <c r="R51" s="13"/>
      <c r="S51" s="13"/>
      <c r="T51" s="13"/>
      <c r="U51" s="13"/>
      <c r="V51" s="13"/>
      <c r="W51" s="13"/>
      <c r="X51" s="13"/>
    </row>
    <row r="52" spans="1:24">
      <c r="A52" s="113" t="s">
        <v>134</v>
      </c>
      <c r="B52" s="13">
        <v>-1295</v>
      </c>
      <c r="C52" s="13">
        <v>-305</v>
      </c>
      <c r="D52" s="13">
        <v>-889</v>
      </c>
      <c r="E52" s="13">
        <v>219</v>
      </c>
      <c r="F52" s="13"/>
      <c r="G52" s="13"/>
      <c r="H52" s="13"/>
      <c r="I52" s="13"/>
      <c r="J52" s="13"/>
      <c r="K52" s="13"/>
      <c r="L52" s="13"/>
      <c r="M52" s="13"/>
      <c r="N52" s="13"/>
      <c r="O52" s="13"/>
      <c r="P52" s="13"/>
      <c r="Q52" s="13"/>
      <c r="R52" s="13"/>
      <c r="S52" s="13"/>
      <c r="T52" s="13"/>
      <c r="U52" s="13"/>
      <c r="V52" s="13"/>
      <c r="W52" s="13"/>
      <c r="X52" s="13"/>
    </row>
    <row r="53" spans="1:24">
      <c r="A53" s="113" t="s">
        <v>135</v>
      </c>
      <c r="B53" s="13">
        <v>3069</v>
      </c>
      <c r="C53" s="13">
        <v>372</v>
      </c>
      <c r="D53" s="13">
        <v>439</v>
      </c>
      <c r="E53" s="13">
        <v>431</v>
      </c>
      <c r="F53" s="13"/>
      <c r="G53" s="13"/>
      <c r="H53" s="13"/>
      <c r="I53" s="13"/>
      <c r="J53" s="13"/>
      <c r="K53" s="13"/>
      <c r="L53" s="13"/>
      <c r="M53" s="13"/>
      <c r="N53" s="13"/>
      <c r="O53" s="13"/>
      <c r="P53" s="13"/>
      <c r="Q53" s="13"/>
      <c r="R53" s="13"/>
      <c r="S53" s="13"/>
      <c r="T53" s="13"/>
      <c r="U53" s="13"/>
      <c r="V53" s="13"/>
      <c r="W53" s="13"/>
      <c r="X53" s="13"/>
    </row>
    <row r="54" spans="1:24">
      <c r="A54" s="113" t="s">
        <v>136</v>
      </c>
      <c r="B54" s="13">
        <v>8</v>
      </c>
      <c r="C54" s="13">
        <v>226</v>
      </c>
      <c r="D54" s="13">
        <v>-76</v>
      </c>
      <c r="E54" s="13">
        <v>-226</v>
      </c>
      <c r="F54" s="13"/>
      <c r="G54" s="13"/>
      <c r="H54" s="13"/>
      <c r="I54" s="13"/>
      <c r="J54" s="13"/>
      <c r="K54" s="13"/>
      <c r="L54" s="13"/>
      <c r="M54" s="13"/>
      <c r="N54" s="13"/>
      <c r="O54" s="13"/>
      <c r="P54" s="13"/>
      <c r="Q54" s="13"/>
      <c r="R54" s="13"/>
      <c r="S54" s="13"/>
      <c r="T54" s="13"/>
      <c r="U54" s="13"/>
      <c r="V54" s="13"/>
      <c r="W54" s="13"/>
      <c r="X54" s="13"/>
    </row>
    <row r="55" spans="1:24">
      <c r="A55" s="113" t="s">
        <v>137</v>
      </c>
      <c r="B55" s="13">
        <v>588</v>
      </c>
      <c r="C55" s="13">
        <v>-22</v>
      </c>
      <c r="D55" s="13">
        <v>-1184</v>
      </c>
      <c r="E55" s="13">
        <v>-1583</v>
      </c>
      <c r="F55" s="13"/>
      <c r="G55" s="13"/>
      <c r="H55" s="13"/>
      <c r="I55" s="13"/>
      <c r="J55" s="13"/>
      <c r="K55" s="13"/>
      <c r="L55" s="13"/>
      <c r="M55" s="13"/>
      <c r="N55" s="13"/>
      <c r="O55" s="13"/>
      <c r="P55" s="13"/>
      <c r="Q55" s="13"/>
      <c r="R55" s="13"/>
      <c r="S55" s="13"/>
      <c r="T55" s="13"/>
      <c r="U55" s="13"/>
      <c r="V55" s="13"/>
      <c r="W55" s="13"/>
      <c r="X55" s="13"/>
    </row>
    <row r="56" spans="1:24">
      <c r="A56" s="113" t="s">
        <v>138</v>
      </c>
      <c r="B56" s="13">
        <v>-1046</v>
      </c>
      <c r="C56" s="13">
        <v>-1625</v>
      </c>
      <c r="D56" s="13">
        <v>1425</v>
      </c>
      <c r="E56" s="13"/>
      <c r="F56" s="13"/>
      <c r="G56" s="13"/>
      <c r="H56" s="13"/>
      <c r="I56" s="13"/>
      <c r="J56" s="13"/>
      <c r="K56" s="13"/>
      <c r="L56" s="13"/>
      <c r="M56" s="13"/>
      <c r="N56" s="13"/>
      <c r="O56" s="13"/>
      <c r="P56" s="13"/>
      <c r="Q56" s="13"/>
      <c r="R56" s="13"/>
      <c r="S56" s="13"/>
      <c r="T56" s="13"/>
      <c r="U56" s="13"/>
      <c r="V56" s="13"/>
      <c r="W56" s="13"/>
      <c r="X56" s="13"/>
    </row>
    <row r="57" spans="1:24">
      <c r="A57" s="113" t="s">
        <v>139</v>
      </c>
      <c r="B57" s="13">
        <v>-503</v>
      </c>
      <c r="C57" s="13">
        <v>1810</v>
      </c>
      <c r="D57" s="13">
        <v>420</v>
      </c>
      <c r="E57" s="13"/>
      <c r="F57" s="13"/>
      <c r="G57" s="13"/>
      <c r="H57" s="13"/>
      <c r="I57" s="13"/>
      <c r="J57" s="13"/>
      <c r="K57" s="13"/>
      <c r="L57" s="13"/>
      <c r="M57" s="13"/>
      <c r="N57" s="13"/>
      <c r="O57" s="13"/>
      <c r="P57" s="13"/>
      <c r="Q57" s="13"/>
      <c r="R57" s="13"/>
      <c r="S57" s="13"/>
      <c r="T57" s="13"/>
      <c r="U57" s="13"/>
      <c r="V57" s="13"/>
      <c r="W57" s="13"/>
      <c r="X57" s="13"/>
    </row>
    <row r="58" spans="1:24">
      <c r="A58" s="113" t="s">
        <v>140</v>
      </c>
      <c r="B58" s="13">
        <v>350</v>
      </c>
      <c r="C58" s="13">
        <v>36</v>
      </c>
      <c r="D58" s="13">
        <v>171</v>
      </c>
      <c r="E58" s="13"/>
      <c r="F58" s="13"/>
      <c r="G58" s="13"/>
      <c r="H58" s="13"/>
      <c r="I58" s="13"/>
      <c r="J58" s="13"/>
      <c r="K58" s="13"/>
      <c r="L58" s="13"/>
      <c r="M58" s="13"/>
      <c r="N58" s="13"/>
      <c r="O58" s="13"/>
      <c r="P58" s="13"/>
      <c r="Q58" s="13"/>
      <c r="R58" s="13"/>
      <c r="S58" s="13"/>
      <c r="T58" s="13"/>
      <c r="U58" s="13"/>
      <c r="V58" s="13"/>
      <c r="W58" s="13"/>
      <c r="X58" s="13"/>
    </row>
    <row r="59" spans="1:24" ht="12" thickBot="1">
      <c r="A59" s="113" t="s">
        <v>141</v>
      </c>
      <c r="B59" s="13">
        <f>SUM(B47:B58)</f>
        <v>-3104</v>
      </c>
      <c r="C59" s="13">
        <f>SUM(C47:C58)</f>
        <v>544</v>
      </c>
      <c r="D59" s="13">
        <f>SUM(D47:D58)</f>
        <v>322</v>
      </c>
      <c r="E59" s="13"/>
      <c r="F59" s="13"/>
      <c r="G59" s="13"/>
      <c r="H59" s="13"/>
      <c r="I59" s="13"/>
      <c r="J59" s="13"/>
      <c r="K59" s="13"/>
      <c r="L59" s="13"/>
      <c r="M59" s="13"/>
      <c r="N59" s="13"/>
      <c r="O59" s="13"/>
      <c r="P59" s="13"/>
      <c r="Q59" s="13"/>
      <c r="R59" s="13"/>
      <c r="S59" s="13"/>
      <c r="T59" s="13"/>
      <c r="U59" s="13"/>
      <c r="V59" s="13"/>
      <c r="W59" s="13"/>
      <c r="X59" s="13"/>
    </row>
    <row r="60" spans="1:24">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row>
    <row r="61" spans="1:24" ht="12" thickBot="1">
      <c r="A61" s="138" t="s">
        <v>146</v>
      </c>
    </row>
    <row r="62" spans="1:24" ht="12" thickBot="1">
      <c r="A62" s="176"/>
      <c r="B62" s="177">
        <f>B3</f>
        <v>2020</v>
      </c>
      <c r="C62" s="177">
        <f t="shared" ref="C62:X62" si="3">C3</f>
        <v>2021</v>
      </c>
      <c r="D62" s="177">
        <f t="shared" si="3"/>
        <v>2022</v>
      </c>
      <c r="E62" s="177">
        <f t="shared" si="3"/>
        <v>2023</v>
      </c>
      <c r="F62" s="177">
        <f t="shared" si="3"/>
        <v>2024</v>
      </c>
      <c r="G62" s="177">
        <f t="shared" si="3"/>
        <v>2025</v>
      </c>
      <c r="H62" s="177">
        <f t="shared" si="3"/>
        <v>2026</v>
      </c>
      <c r="I62" s="177">
        <f t="shared" si="3"/>
        <v>2027</v>
      </c>
      <c r="J62" s="177">
        <f t="shared" si="3"/>
        <v>2028</v>
      </c>
      <c r="K62" s="177">
        <f t="shared" si="3"/>
        <v>2029</v>
      </c>
      <c r="L62" s="177">
        <f t="shared" si="3"/>
        <v>2030</v>
      </c>
      <c r="M62" s="177">
        <f t="shared" si="3"/>
        <v>2031</v>
      </c>
      <c r="N62" s="177">
        <f t="shared" si="3"/>
        <v>2032</v>
      </c>
      <c r="O62" s="177">
        <f t="shared" si="3"/>
        <v>2033</v>
      </c>
      <c r="P62" s="177">
        <f t="shared" si="3"/>
        <v>2034</v>
      </c>
      <c r="Q62" s="177">
        <f t="shared" si="3"/>
        <v>2035</v>
      </c>
      <c r="R62" s="177">
        <f t="shared" si="3"/>
        <v>2036</v>
      </c>
      <c r="S62" s="177">
        <f t="shared" si="3"/>
        <v>2037</v>
      </c>
      <c r="T62" s="177">
        <f t="shared" si="3"/>
        <v>2038</v>
      </c>
      <c r="U62" s="177">
        <f t="shared" si="3"/>
        <v>2039</v>
      </c>
      <c r="V62" s="177">
        <f t="shared" si="3"/>
        <v>2040</v>
      </c>
      <c r="W62" s="177">
        <f t="shared" si="3"/>
        <v>2041</v>
      </c>
      <c r="X62" s="177">
        <f t="shared" si="3"/>
        <v>2042</v>
      </c>
    </row>
    <row r="63" spans="1:24">
      <c r="A63" s="113" t="s">
        <v>129</v>
      </c>
      <c r="B63" s="13">
        <f>((B4+B15)-B79)-(B31+B47)</f>
        <v>-18993</v>
      </c>
      <c r="C63" s="13">
        <f>((B90+C15)-C79)-(C31+C47)</f>
        <v>0</v>
      </c>
      <c r="D63" s="13">
        <f>((C90+D15)-D79)-(D31+D47)</f>
        <v>0</v>
      </c>
      <c r="E63" s="13">
        <f>((D90+E15)-E79)-(E31+E47)</f>
        <v>22</v>
      </c>
      <c r="F63" s="13"/>
      <c r="G63" s="13"/>
      <c r="H63" s="13"/>
      <c r="I63" s="13"/>
      <c r="J63" s="13"/>
      <c r="K63" s="13"/>
      <c r="L63" s="13"/>
      <c r="M63" s="13"/>
      <c r="N63" s="13"/>
      <c r="O63" s="13"/>
      <c r="P63" s="13"/>
      <c r="Q63" s="13"/>
      <c r="R63" s="13"/>
      <c r="S63" s="13"/>
      <c r="T63" s="13"/>
      <c r="U63" s="13"/>
      <c r="V63" s="13"/>
      <c r="W63" s="13"/>
      <c r="X63" s="13"/>
    </row>
    <row r="64" spans="1:24">
      <c r="A64" s="113" t="s">
        <v>130</v>
      </c>
      <c r="B64" s="13">
        <f>((B79+B16)-B80)-(B32+B48)</f>
        <v>22258</v>
      </c>
      <c r="C64" s="13">
        <f>((C79+C16)-C80)-(C32+C48)</f>
        <v>-194</v>
      </c>
      <c r="D64" s="13">
        <f>((D79+D16)-D80)-(D32+D48)</f>
        <v>0</v>
      </c>
      <c r="E64" s="13">
        <f t="shared" ref="E64:E69" si="4">((D91+E16)-E80)-(E32+E48)</f>
        <v>-93207</v>
      </c>
      <c r="F64" s="13"/>
      <c r="G64" s="13"/>
      <c r="H64" s="13"/>
      <c r="I64" s="13"/>
      <c r="J64" s="13"/>
      <c r="K64" s="13"/>
      <c r="L64" s="13"/>
      <c r="M64" s="13"/>
      <c r="N64" s="13"/>
      <c r="O64" s="13"/>
      <c r="P64" s="13"/>
      <c r="Q64" s="13"/>
      <c r="R64" s="13"/>
      <c r="S64" s="13"/>
      <c r="T64" s="13"/>
      <c r="U64" s="13"/>
      <c r="V64" s="13"/>
      <c r="W64" s="13"/>
      <c r="X64" s="13"/>
    </row>
    <row r="65" spans="1:24">
      <c r="A65" s="113" t="s">
        <v>131</v>
      </c>
      <c r="B65" s="13">
        <f t="shared" ref="B65:D74" si="5">((B80+B17)-B81)-(B33+B49)</f>
        <v>4952</v>
      </c>
      <c r="C65" s="13">
        <f t="shared" si="5"/>
        <v>0</v>
      </c>
      <c r="D65" s="13">
        <f t="shared" si="5"/>
        <v>0</v>
      </c>
      <c r="E65" s="13">
        <f t="shared" si="4"/>
        <v>-89396</v>
      </c>
      <c r="F65" s="13"/>
      <c r="G65" s="13"/>
      <c r="H65" s="13"/>
      <c r="I65" s="13"/>
      <c r="J65" s="13"/>
      <c r="K65" s="13"/>
      <c r="L65" s="13"/>
      <c r="M65" s="13"/>
      <c r="N65" s="13"/>
      <c r="O65" s="13"/>
      <c r="P65" s="13"/>
      <c r="Q65" s="13"/>
      <c r="R65" s="13"/>
      <c r="S65" s="13"/>
      <c r="T65" s="13"/>
      <c r="U65" s="13"/>
      <c r="V65" s="13"/>
      <c r="W65" s="13"/>
      <c r="X65" s="13"/>
    </row>
    <row r="66" spans="1:24">
      <c r="A66" s="113" t="s">
        <v>132</v>
      </c>
      <c r="B66" s="13">
        <f t="shared" si="5"/>
        <v>5756</v>
      </c>
      <c r="C66" s="13">
        <f t="shared" si="5"/>
        <v>0</v>
      </c>
      <c r="D66" s="13">
        <f t="shared" si="5"/>
        <v>0</v>
      </c>
      <c r="E66" s="13">
        <f t="shared" si="4"/>
        <v>-89877</v>
      </c>
      <c r="F66" s="13"/>
      <c r="G66" s="13"/>
      <c r="H66" s="13"/>
      <c r="I66" s="13"/>
      <c r="J66" s="13"/>
      <c r="K66" s="13"/>
      <c r="L66" s="13"/>
      <c r="M66" s="13"/>
      <c r="N66" s="13"/>
      <c r="O66" s="13"/>
      <c r="P66" s="13"/>
      <c r="Q66" s="13"/>
      <c r="R66" s="13"/>
      <c r="S66" s="13"/>
      <c r="T66" s="13"/>
      <c r="U66" s="13"/>
      <c r="V66" s="13"/>
      <c r="W66" s="13"/>
      <c r="X66" s="13"/>
    </row>
    <row r="67" spans="1:24">
      <c r="A67" s="113" t="s">
        <v>133</v>
      </c>
      <c r="B67" s="13">
        <f t="shared" si="5"/>
        <v>608</v>
      </c>
      <c r="C67" s="13">
        <f t="shared" si="5"/>
        <v>8700</v>
      </c>
      <c r="D67" s="13">
        <f t="shared" si="5"/>
        <v>0</v>
      </c>
      <c r="E67" s="13">
        <f t="shared" si="4"/>
        <v>-66487</v>
      </c>
      <c r="F67" s="13"/>
      <c r="G67" s="13"/>
      <c r="H67" s="13"/>
      <c r="I67" s="13"/>
      <c r="J67" s="13"/>
      <c r="K67" s="13"/>
      <c r="L67" s="13"/>
      <c r="M67" s="13"/>
      <c r="N67" s="13"/>
      <c r="O67" s="13"/>
      <c r="P67" s="13"/>
      <c r="Q67" s="13"/>
      <c r="R67" s="13"/>
      <c r="S67" s="13"/>
      <c r="T67" s="13"/>
      <c r="U67" s="13"/>
      <c r="V67" s="13"/>
      <c r="W67" s="13"/>
      <c r="X67" s="13"/>
    </row>
    <row r="68" spans="1:24">
      <c r="A68" s="113" t="s">
        <v>134</v>
      </c>
      <c r="B68" s="13">
        <f t="shared" si="5"/>
        <v>20756</v>
      </c>
      <c r="C68" s="13">
        <f t="shared" si="5"/>
        <v>0</v>
      </c>
      <c r="D68" s="13">
        <f t="shared" si="5"/>
        <v>0</v>
      </c>
      <c r="E68" s="13">
        <f t="shared" si="4"/>
        <v>-64707</v>
      </c>
      <c r="F68" s="13"/>
      <c r="G68" s="13"/>
      <c r="H68" s="13"/>
      <c r="I68" s="13"/>
      <c r="J68" s="13"/>
      <c r="K68" s="13"/>
      <c r="L68" s="13"/>
      <c r="M68" s="13"/>
      <c r="N68" s="13"/>
      <c r="O68" s="13"/>
      <c r="P68" s="13"/>
      <c r="Q68" s="13"/>
      <c r="R68" s="13"/>
      <c r="S68" s="13"/>
      <c r="T68" s="13"/>
      <c r="U68" s="13"/>
      <c r="V68" s="13"/>
      <c r="W68" s="13"/>
      <c r="X68" s="13"/>
    </row>
    <row r="69" spans="1:24">
      <c r="A69" s="113" t="s">
        <v>135</v>
      </c>
      <c r="B69" s="13">
        <f t="shared" si="5"/>
        <v>0</v>
      </c>
      <c r="C69" s="13">
        <f t="shared" si="5"/>
        <v>4260</v>
      </c>
      <c r="D69" s="13">
        <f t="shared" si="5"/>
        <v>-37</v>
      </c>
      <c r="E69" s="13">
        <f t="shared" si="4"/>
        <v>-80717</v>
      </c>
      <c r="F69" s="13"/>
      <c r="G69" s="13"/>
      <c r="H69" s="13"/>
      <c r="I69" s="13"/>
      <c r="J69" s="13"/>
      <c r="K69" s="13"/>
      <c r="L69" s="13"/>
      <c r="M69" s="13"/>
      <c r="N69" s="13"/>
      <c r="O69" s="13"/>
      <c r="P69" s="13"/>
      <c r="Q69" s="13"/>
      <c r="R69" s="13"/>
      <c r="S69" s="13"/>
      <c r="T69" s="13"/>
      <c r="U69" s="13"/>
      <c r="V69" s="13"/>
      <c r="W69" s="13"/>
      <c r="X69" s="13"/>
    </row>
    <row r="70" spans="1:24">
      <c r="A70" s="113" t="s">
        <v>136</v>
      </c>
      <c r="B70" s="13">
        <f t="shared" si="5"/>
        <v>0</v>
      </c>
      <c r="C70" s="13">
        <f t="shared" si="5"/>
        <v>0</v>
      </c>
      <c r="D70" s="13">
        <f t="shared" si="5"/>
        <v>0</v>
      </c>
      <c r="E70" s="13">
        <f>((E85+E22)-E86)-(E38+E54)</f>
        <v>0</v>
      </c>
      <c r="F70" s="13"/>
      <c r="G70" s="13"/>
      <c r="H70" s="13"/>
      <c r="I70" s="13"/>
      <c r="J70" s="13"/>
      <c r="K70" s="13"/>
      <c r="L70" s="13"/>
      <c r="M70" s="13"/>
      <c r="N70" s="13"/>
      <c r="O70" s="13"/>
      <c r="P70" s="13"/>
      <c r="Q70" s="13"/>
      <c r="R70" s="13"/>
      <c r="S70" s="13"/>
      <c r="T70" s="13"/>
      <c r="U70" s="13"/>
      <c r="V70" s="13"/>
      <c r="W70" s="13"/>
      <c r="X70" s="13"/>
    </row>
    <row r="71" spans="1:24">
      <c r="A71" s="113" t="s">
        <v>137</v>
      </c>
      <c r="B71" s="13">
        <f t="shared" si="5"/>
        <v>0</v>
      </c>
      <c r="C71" s="13">
        <f t="shared" si="5"/>
        <v>0</v>
      </c>
      <c r="D71" s="13">
        <f t="shared" si="5"/>
        <v>0</v>
      </c>
      <c r="E71" s="13">
        <f>((E86+E23)-E87)-(E39+E55)</f>
        <v>0</v>
      </c>
      <c r="F71" s="13"/>
      <c r="G71" s="13"/>
      <c r="H71" s="13"/>
      <c r="I71" s="13"/>
      <c r="J71" s="13"/>
      <c r="K71" s="13"/>
      <c r="L71" s="13"/>
      <c r="M71" s="13"/>
      <c r="N71" s="13"/>
      <c r="O71" s="13"/>
      <c r="P71" s="13"/>
      <c r="Q71" s="13"/>
      <c r="R71" s="13"/>
      <c r="S71" s="13"/>
      <c r="T71" s="13"/>
      <c r="U71" s="13"/>
      <c r="V71" s="13"/>
      <c r="W71" s="13"/>
      <c r="X71" s="13"/>
    </row>
    <row r="72" spans="1:24">
      <c r="A72" s="113" t="s">
        <v>138</v>
      </c>
      <c r="B72" s="13">
        <f t="shared" si="5"/>
        <v>0</v>
      </c>
      <c r="C72" s="13">
        <f t="shared" si="5"/>
        <v>0</v>
      </c>
      <c r="D72" s="13">
        <f t="shared" si="5"/>
        <v>0</v>
      </c>
      <c r="E72" s="13"/>
      <c r="F72" s="13"/>
      <c r="G72" s="13"/>
      <c r="H72" s="13"/>
      <c r="I72" s="13"/>
      <c r="J72" s="13"/>
      <c r="K72" s="13"/>
      <c r="L72" s="13"/>
      <c r="M72" s="13"/>
      <c r="N72" s="13"/>
      <c r="O72" s="13"/>
      <c r="P72" s="13"/>
      <c r="Q72" s="13"/>
      <c r="R72" s="13"/>
      <c r="S72" s="13"/>
      <c r="T72" s="13"/>
      <c r="U72" s="13"/>
      <c r="V72" s="13"/>
      <c r="W72" s="13"/>
      <c r="X72" s="13"/>
    </row>
    <row r="73" spans="1:24">
      <c r="A73" s="113" t="s">
        <v>139</v>
      </c>
      <c r="B73" s="13">
        <f t="shared" si="5"/>
        <v>-58</v>
      </c>
      <c r="C73" s="13">
        <f t="shared" si="5"/>
        <v>0</v>
      </c>
      <c r="D73" s="13">
        <f t="shared" si="5"/>
        <v>0</v>
      </c>
      <c r="E73" s="13"/>
      <c r="F73" s="13"/>
      <c r="G73" s="13"/>
      <c r="H73" s="13"/>
      <c r="I73" s="13"/>
      <c r="J73" s="13"/>
      <c r="K73" s="13"/>
      <c r="L73" s="13"/>
      <c r="M73" s="13"/>
      <c r="N73" s="13"/>
      <c r="O73" s="13"/>
      <c r="P73" s="13"/>
      <c r="Q73" s="13"/>
      <c r="R73" s="13"/>
      <c r="S73" s="13"/>
      <c r="T73" s="13"/>
      <c r="U73" s="13"/>
      <c r="V73" s="13"/>
      <c r="W73" s="13"/>
      <c r="X73" s="13"/>
    </row>
    <row r="74" spans="1:24">
      <c r="A74" s="113" t="s">
        <v>140</v>
      </c>
      <c r="B74" s="13">
        <f t="shared" si="5"/>
        <v>0</v>
      </c>
      <c r="C74" s="13">
        <f t="shared" si="5"/>
        <v>16000</v>
      </c>
      <c r="D74" s="13">
        <f t="shared" si="5"/>
        <v>-331</v>
      </c>
      <c r="E74" s="13"/>
      <c r="F74" s="13"/>
      <c r="G74" s="13"/>
      <c r="H74" s="13"/>
      <c r="I74" s="13"/>
      <c r="J74" s="13"/>
      <c r="K74" s="13"/>
      <c r="L74" s="13"/>
      <c r="M74" s="13"/>
      <c r="N74" s="13"/>
      <c r="O74" s="13"/>
      <c r="P74" s="13"/>
      <c r="Q74" s="13"/>
      <c r="R74" s="13"/>
      <c r="S74" s="13"/>
      <c r="T74" s="13"/>
      <c r="U74" s="13"/>
      <c r="V74" s="13"/>
      <c r="W74" s="13"/>
      <c r="X74" s="13"/>
    </row>
    <row r="75" spans="1:24" ht="12" thickBot="1">
      <c r="A75" s="113" t="s">
        <v>141</v>
      </c>
      <c r="B75" s="13">
        <f>SUM(B63:B74)</f>
        <v>35279</v>
      </c>
      <c r="C75" s="13">
        <f>SUM(C63:C74)</f>
        <v>28766</v>
      </c>
      <c r="D75" s="13">
        <f>SUM(D63:D74)</f>
        <v>-368</v>
      </c>
      <c r="E75" s="13"/>
      <c r="F75" s="13"/>
      <c r="G75" s="13"/>
      <c r="H75" s="13"/>
      <c r="I75" s="13"/>
      <c r="J75" s="13"/>
      <c r="K75" s="13"/>
      <c r="L75" s="13"/>
      <c r="M75" s="13"/>
      <c r="N75" s="13"/>
      <c r="O75" s="13"/>
      <c r="P75" s="13"/>
      <c r="Q75" s="13"/>
      <c r="R75" s="13"/>
      <c r="S75" s="13"/>
      <c r="T75" s="13"/>
      <c r="U75" s="13"/>
      <c r="V75" s="13"/>
      <c r="W75" s="13"/>
      <c r="X75" s="13"/>
    </row>
    <row r="76" spans="1:24">
      <c r="A76" s="199"/>
      <c r="B76" s="199"/>
      <c r="C76" s="199"/>
      <c r="D76" s="199"/>
      <c r="E76" s="199"/>
      <c r="F76" s="199"/>
      <c r="G76" s="199"/>
      <c r="H76" s="199"/>
      <c r="I76" s="199"/>
      <c r="J76" s="199"/>
      <c r="K76" s="199"/>
      <c r="L76" s="199"/>
      <c r="M76" s="199"/>
      <c r="N76" s="199"/>
      <c r="O76" s="199"/>
      <c r="P76" s="199"/>
      <c r="Q76" s="199"/>
      <c r="R76" s="199"/>
      <c r="S76" s="199"/>
      <c r="T76" s="199"/>
      <c r="U76" s="199"/>
      <c r="V76" s="199"/>
      <c r="W76" s="199"/>
      <c r="X76" s="199"/>
    </row>
    <row r="77" spans="1:24" ht="12" thickBot="1">
      <c r="A77" s="138" t="s">
        <v>147</v>
      </c>
    </row>
    <row r="78" spans="1:24" ht="12" thickBot="1">
      <c r="A78" s="176"/>
      <c r="B78" s="177">
        <f>B3</f>
        <v>2020</v>
      </c>
      <c r="C78" s="177">
        <f t="shared" ref="C78:X78" si="6">C3</f>
        <v>2021</v>
      </c>
      <c r="D78" s="177">
        <f t="shared" si="6"/>
        <v>2022</v>
      </c>
      <c r="E78" s="177">
        <f t="shared" si="6"/>
        <v>2023</v>
      </c>
      <c r="F78" s="177">
        <f t="shared" si="6"/>
        <v>2024</v>
      </c>
      <c r="G78" s="177">
        <f t="shared" si="6"/>
        <v>2025</v>
      </c>
      <c r="H78" s="177">
        <f t="shared" si="6"/>
        <v>2026</v>
      </c>
      <c r="I78" s="177">
        <f t="shared" si="6"/>
        <v>2027</v>
      </c>
      <c r="J78" s="177">
        <f t="shared" si="6"/>
        <v>2028</v>
      </c>
      <c r="K78" s="177">
        <f t="shared" si="6"/>
        <v>2029</v>
      </c>
      <c r="L78" s="177">
        <f t="shared" si="6"/>
        <v>2030</v>
      </c>
      <c r="M78" s="177">
        <f t="shared" si="6"/>
        <v>2031</v>
      </c>
      <c r="N78" s="177">
        <f t="shared" si="6"/>
        <v>2032</v>
      </c>
      <c r="O78" s="177">
        <f t="shared" si="6"/>
        <v>2033</v>
      </c>
      <c r="P78" s="177">
        <f t="shared" si="6"/>
        <v>2034</v>
      </c>
      <c r="Q78" s="177">
        <f t="shared" si="6"/>
        <v>2035</v>
      </c>
      <c r="R78" s="177">
        <f t="shared" si="6"/>
        <v>2036</v>
      </c>
      <c r="S78" s="177">
        <f t="shared" si="6"/>
        <v>2037</v>
      </c>
      <c r="T78" s="177">
        <f t="shared" si="6"/>
        <v>2038</v>
      </c>
      <c r="U78" s="177">
        <f t="shared" si="6"/>
        <v>2039</v>
      </c>
      <c r="V78" s="177">
        <f t="shared" si="6"/>
        <v>2040</v>
      </c>
      <c r="W78" s="177">
        <f t="shared" si="6"/>
        <v>2041</v>
      </c>
      <c r="X78" s="177">
        <f t="shared" si="6"/>
        <v>2042</v>
      </c>
    </row>
    <row r="79" spans="1:24">
      <c r="A79" s="113" t="s">
        <v>129</v>
      </c>
      <c r="B79" s="13">
        <v>145687</v>
      </c>
      <c r="C79" s="13">
        <v>105932</v>
      </c>
      <c r="D79" s="13">
        <v>115927</v>
      </c>
      <c r="E79" s="13">
        <v>93207</v>
      </c>
      <c r="F79" s="13"/>
      <c r="G79" s="13"/>
      <c r="H79" s="13"/>
      <c r="I79" s="13"/>
      <c r="J79" s="13"/>
      <c r="K79" s="13"/>
      <c r="L79" s="13"/>
      <c r="M79" s="13"/>
      <c r="N79" s="13"/>
      <c r="O79" s="13"/>
      <c r="P79" s="13"/>
      <c r="Q79" s="13"/>
      <c r="R79" s="13"/>
      <c r="S79" s="13"/>
      <c r="T79" s="13"/>
      <c r="U79" s="13"/>
      <c r="V79" s="13"/>
      <c r="W79" s="13"/>
      <c r="X79" s="13"/>
    </row>
    <row r="80" spans="1:24">
      <c r="A80" s="113" t="s">
        <v>130</v>
      </c>
      <c r="B80" s="13">
        <v>112664</v>
      </c>
      <c r="C80" s="13">
        <v>103049</v>
      </c>
      <c r="D80" s="13">
        <v>114261</v>
      </c>
      <c r="E80" s="13">
        <v>89396</v>
      </c>
      <c r="F80" s="13"/>
      <c r="G80" s="13"/>
      <c r="H80" s="13"/>
      <c r="I80" s="13"/>
      <c r="J80" s="13"/>
      <c r="K80" s="13"/>
      <c r="L80" s="13"/>
      <c r="M80" s="13"/>
      <c r="N80" s="13"/>
      <c r="O80" s="13"/>
      <c r="P80" s="13"/>
      <c r="Q80" s="13"/>
      <c r="R80" s="13"/>
      <c r="S80" s="13"/>
      <c r="T80" s="13"/>
      <c r="U80" s="13"/>
      <c r="V80" s="13"/>
      <c r="W80" s="13"/>
      <c r="X80" s="13"/>
    </row>
    <row r="81" spans="1:24">
      <c r="A81" s="113" t="s">
        <v>131</v>
      </c>
      <c r="B81" s="13">
        <v>125615</v>
      </c>
      <c r="C81" s="13">
        <v>120639</v>
      </c>
      <c r="D81" s="13">
        <v>133675</v>
      </c>
      <c r="E81" s="13">
        <v>89877</v>
      </c>
      <c r="F81" s="13"/>
      <c r="G81" s="13"/>
      <c r="H81" s="13"/>
      <c r="I81" s="13"/>
      <c r="J81" s="13"/>
      <c r="K81" s="13"/>
      <c r="L81" s="13"/>
      <c r="M81" s="13"/>
      <c r="N81" s="13"/>
      <c r="O81" s="13"/>
      <c r="P81" s="13"/>
      <c r="Q81" s="13"/>
      <c r="R81" s="13"/>
      <c r="S81" s="13"/>
      <c r="T81" s="13"/>
      <c r="U81" s="13"/>
      <c r="V81" s="13"/>
      <c r="W81" s="13"/>
      <c r="X81" s="13"/>
    </row>
    <row r="82" spans="1:24">
      <c r="A82" s="113" t="s">
        <v>132</v>
      </c>
      <c r="B82" s="13">
        <v>107539</v>
      </c>
      <c r="C82" s="13">
        <v>150424</v>
      </c>
      <c r="D82" s="13">
        <v>133508</v>
      </c>
      <c r="E82" s="13">
        <v>66487</v>
      </c>
      <c r="F82" s="13"/>
      <c r="G82" s="13"/>
      <c r="H82" s="13"/>
      <c r="I82" s="13"/>
      <c r="J82" s="13"/>
      <c r="K82" s="13"/>
      <c r="L82" s="13"/>
      <c r="M82" s="13"/>
      <c r="N82" s="13"/>
      <c r="O82" s="13"/>
      <c r="P82" s="13"/>
      <c r="Q82" s="13"/>
      <c r="R82" s="13"/>
      <c r="S82" s="13"/>
      <c r="T82" s="13"/>
      <c r="U82" s="13"/>
      <c r="V82" s="13"/>
      <c r="W82" s="13"/>
      <c r="X82" s="13"/>
    </row>
    <row r="83" spans="1:24">
      <c r="A83" s="113" t="s">
        <v>133</v>
      </c>
      <c r="B83" s="13">
        <v>93495</v>
      </c>
      <c r="C83" s="13">
        <v>117612</v>
      </c>
      <c r="D83" s="13">
        <v>133183</v>
      </c>
      <c r="E83" s="13">
        <v>64707</v>
      </c>
      <c r="F83" s="13"/>
      <c r="G83" s="13"/>
      <c r="H83" s="13"/>
      <c r="I83" s="13"/>
      <c r="J83" s="13"/>
      <c r="K83" s="13"/>
      <c r="L83" s="13"/>
      <c r="M83" s="13"/>
      <c r="N83" s="13"/>
      <c r="O83" s="13"/>
      <c r="P83" s="13"/>
      <c r="Q83" s="13"/>
      <c r="R83" s="13"/>
      <c r="S83" s="13"/>
      <c r="T83" s="13"/>
      <c r="U83" s="13"/>
      <c r="V83" s="13"/>
      <c r="W83" s="13"/>
      <c r="X83" s="13"/>
    </row>
    <row r="84" spans="1:24">
      <c r="A84" s="113" t="s">
        <v>134</v>
      </c>
      <c r="B84" s="13">
        <v>94005</v>
      </c>
      <c r="C84" s="13">
        <v>125992</v>
      </c>
      <c r="D84" s="13">
        <v>149320</v>
      </c>
      <c r="E84" s="13">
        <v>80717</v>
      </c>
      <c r="F84" s="13"/>
      <c r="G84" s="13"/>
      <c r="H84" s="13"/>
      <c r="I84" s="13"/>
      <c r="J84" s="13"/>
      <c r="K84" s="13"/>
      <c r="L84" s="13"/>
      <c r="M84" s="13"/>
      <c r="N84" s="13"/>
      <c r="O84" s="13"/>
      <c r="P84" s="13"/>
      <c r="Q84" s="13"/>
      <c r="R84" s="13"/>
      <c r="S84" s="13"/>
      <c r="T84" s="13"/>
      <c r="U84" s="13"/>
      <c r="V84" s="13"/>
      <c r="W84" s="13"/>
      <c r="X84" s="13"/>
    </row>
    <row r="85" spans="1:24">
      <c r="A85" s="113" t="s">
        <v>135</v>
      </c>
      <c r="B85" s="13">
        <v>97463</v>
      </c>
      <c r="C85" s="13">
        <v>92542</v>
      </c>
      <c r="D85" s="13">
        <v>117951</v>
      </c>
      <c r="E85" s="13">
        <v>65103</v>
      </c>
      <c r="F85" s="13"/>
      <c r="G85" s="13"/>
      <c r="H85" s="13"/>
      <c r="I85" s="13"/>
      <c r="J85" s="13"/>
      <c r="K85" s="13"/>
      <c r="L85" s="13"/>
      <c r="M85" s="13"/>
      <c r="N85" s="13"/>
      <c r="O85" s="13"/>
      <c r="P85" s="13"/>
      <c r="Q85" s="13"/>
      <c r="R85" s="13"/>
      <c r="S85" s="13"/>
      <c r="T85" s="13"/>
      <c r="U85" s="13"/>
      <c r="V85" s="13"/>
      <c r="W85" s="13"/>
      <c r="X85" s="13"/>
    </row>
    <row r="86" spans="1:24">
      <c r="A86" s="113" t="s">
        <v>136</v>
      </c>
      <c r="B86" s="13">
        <v>94400</v>
      </c>
      <c r="C86" s="13">
        <v>85360</v>
      </c>
      <c r="D86" s="13">
        <v>114997</v>
      </c>
      <c r="E86" s="13">
        <v>72799</v>
      </c>
      <c r="F86" s="13"/>
      <c r="G86" s="13"/>
      <c r="H86" s="13"/>
      <c r="I86" s="13"/>
      <c r="J86" s="13"/>
      <c r="K86" s="13"/>
      <c r="L86" s="13"/>
      <c r="M86" s="13"/>
      <c r="N86" s="13"/>
      <c r="O86" s="13"/>
      <c r="P86" s="13"/>
      <c r="Q86" s="13"/>
      <c r="R86" s="13"/>
      <c r="S86" s="13"/>
      <c r="T86" s="13"/>
      <c r="U86" s="13"/>
      <c r="V86" s="13"/>
      <c r="W86" s="13"/>
      <c r="X86" s="13"/>
    </row>
    <row r="87" spans="1:24">
      <c r="A87" s="113" t="s">
        <v>137</v>
      </c>
      <c r="B87" s="13">
        <v>105845</v>
      </c>
      <c r="C87" s="13">
        <v>101049</v>
      </c>
      <c r="D87" s="13">
        <v>118957</v>
      </c>
      <c r="E87" s="13">
        <v>73075</v>
      </c>
      <c r="F87" s="13"/>
      <c r="G87" s="13"/>
      <c r="H87" s="13"/>
      <c r="I87" s="13"/>
      <c r="J87" s="13"/>
      <c r="K87" s="13"/>
      <c r="L87" s="13"/>
      <c r="M87" s="13"/>
      <c r="N87" s="13"/>
      <c r="O87" s="13"/>
      <c r="P87" s="13"/>
      <c r="Q87" s="13"/>
      <c r="R87" s="13"/>
      <c r="S87" s="13"/>
      <c r="T87" s="13"/>
      <c r="U87" s="13"/>
      <c r="V87" s="13"/>
      <c r="W87" s="13"/>
      <c r="X87" s="13"/>
    </row>
    <row r="88" spans="1:24">
      <c r="A88" s="113" t="s">
        <v>138</v>
      </c>
      <c r="B88" s="13">
        <v>78488</v>
      </c>
      <c r="C88" s="13">
        <v>59081</v>
      </c>
      <c r="D88" s="13">
        <v>75332</v>
      </c>
      <c r="E88" s="13"/>
      <c r="F88" s="13"/>
      <c r="G88" s="13"/>
      <c r="H88" s="13"/>
      <c r="I88" s="13"/>
      <c r="J88" s="13"/>
      <c r="K88" s="13"/>
      <c r="L88" s="13"/>
      <c r="M88" s="13"/>
      <c r="N88" s="13"/>
      <c r="O88" s="13"/>
      <c r="P88" s="13"/>
      <c r="Q88" s="13"/>
      <c r="R88" s="13"/>
      <c r="S88" s="13"/>
      <c r="T88" s="13"/>
      <c r="U88" s="13"/>
      <c r="V88" s="13"/>
      <c r="W88" s="13"/>
      <c r="X88" s="13"/>
    </row>
    <row r="89" spans="1:24">
      <c r="A89" s="113" t="s">
        <v>139</v>
      </c>
      <c r="B89" s="13">
        <v>86831</v>
      </c>
      <c r="C89" s="13">
        <v>110909</v>
      </c>
      <c r="D89" s="13">
        <v>92996</v>
      </c>
      <c r="E89" s="13"/>
      <c r="F89" s="13"/>
      <c r="G89" s="13"/>
      <c r="H89" s="13"/>
      <c r="I89" s="13"/>
      <c r="J89" s="13"/>
      <c r="K89" s="13"/>
      <c r="L89" s="13"/>
      <c r="M89" s="13"/>
      <c r="N89" s="13"/>
      <c r="O89" s="13"/>
      <c r="P89" s="13"/>
      <c r="Q89" s="13"/>
      <c r="R89" s="13"/>
      <c r="S89" s="13"/>
      <c r="T89" s="13"/>
      <c r="U89" s="13"/>
      <c r="V89" s="13"/>
      <c r="W89" s="13"/>
      <c r="X89" s="13"/>
    </row>
    <row r="90" spans="1:24" ht="12" thickBot="1">
      <c r="A90" s="113" t="s">
        <v>140</v>
      </c>
      <c r="B90" s="13">
        <v>118227</v>
      </c>
      <c r="C90" s="13">
        <v>121716</v>
      </c>
      <c r="D90" s="13">
        <v>79374</v>
      </c>
      <c r="E90" s="13"/>
      <c r="F90" s="13"/>
      <c r="G90" s="13"/>
      <c r="H90" s="13"/>
      <c r="I90" s="13"/>
      <c r="J90" s="13"/>
      <c r="K90" s="13"/>
      <c r="L90" s="13"/>
      <c r="M90" s="13"/>
      <c r="N90" s="13"/>
      <c r="O90" s="13"/>
      <c r="P90" s="13"/>
      <c r="Q90" s="13"/>
      <c r="R90" s="13"/>
      <c r="S90" s="13"/>
      <c r="T90" s="13"/>
      <c r="U90" s="13"/>
      <c r="V90" s="13"/>
      <c r="W90" s="13"/>
      <c r="X90" s="13"/>
    </row>
    <row r="91" spans="1:24">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58F1-95C1-488A-9D4A-516F1A79FE5E}">
  <dimension ref="A1:BA125"/>
  <sheetViews>
    <sheetView zoomScale="115" zoomScaleNormal="115" workbookViewId="0">
      <pane xSplit="1" ySplit="3" topLeftCell="B25"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33" width="11.6640625" style="113" customWidth="1"/>
    <col min="34" max="35" width="9.33203125" style="113"/>
    <col min="36" max="36" width="9.6640625" style="113" bestFit="1" customWidth="1"/>
    <col min="37" max="40" width="15.5" style="113" bestFit="1" customWidth="1"/>
    <col min="41" max="41" width="18.5" style="113" bestFit="1" customWidth="1"/>
    <col min="42" max="42" width="16.5" style="113" bestFit="1" customWidth="1"/>
    <col min="43" max="52" width="18.5" style="113" bestFit="1" customWidth="1"/>
    <col min="53" max="53" width="11.33203125" style="113" bestFit="1" customWidth="1"/>
    <col min="54" max="16384" width="9.33203125" style="113"/>
  </cols>
  <sheetData>
    <row r="1" spans="1:53">
      <c r="A1" s="111" t="s">
        <v>264</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row>
    <row r="2" spans="1:53">
      <c r="A2" s="111" t="s">
        <v>266</v>
      </c>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row>
    <row r="3" spans="1:53" ht="12" thickBot="1">
      <c r="A3" s="168" t="s">
        <v>198</v>
      </c>
      <c r="B3" s="169">
        <v>2020</v>
      </c>
      <c r="C3" s="169">
        <v>2021</v>
      </c>
      <c r="D3" s="169">
        <v>2022</v>
      </c>
      <c r="E3" s="169">
        <v>2023</v>
      </c>
      <c r="F3" s="169">
        <v>2024</v>
      </c>
      <c r="G3" s="169">
        <v>2025</v>
      </c>
      <c r="H3" s="169">
        <v>2026</v>
      </c>
      <c r="I3" s="169">
        <v>2027</v>
      </c>
      <c r="J3" s="169">
        <v>2028</v>
      </c>
      <c r="K3" s="169">
        <v>2029</v>
      </c>
      <c r="L3" s="169">
        <v>2030</v>
      </c>
      <c r="M3" s="169">
        <v>2031</v>
      </c>
      <c r="N3" s="169">
        <v>2032</v>
      </c>
      <c r="O3" s="169">
        <v>2033</v>
      </c>
      <c r="P3" s="169">
        <v>2034</v>
      </c>
      <c r="Q3" s="169">
        <v>2035</v>
      </c>
      <c r="R3" s="169">
        <v>2036</v>
      </c>
      <c r="S3" s="169">
        <v>2037</v>
      </c>
      <c r="T3" s="169">
        <v>2038</v>
      </c>
      <c r="U3" s="169">
        <v>2039</v>
      </c>
      <c r="V3" s="169">
        <v>2040</v>
      </c>
      <c r="W3" s="169">
        <v>2041</v>
      </c>
      <c r="X3" s="169">
        <v>2042</v>
      </c>
      <c r="Y3" s="169">
        <v>2043</v>
      </c>
      <c r="Z3" s="169">
        <v>2044</v>
      </c>
      <c r="AA3" s="169">
        <v>2045</v>
      </c>
      <c r="AB3" s="169">
        <v>2046</v>
      </c>
      <c r="AC3" s="169">
        <v>2047</v>
      </c>
      <c r="AD3" s="169">
        <v>2048</v>
      </c>
      <c r="AE3" s="169">
        <v>2049</v>
      </c>
      <c r="AF3" s="169">
        <v>2050</v>
      </c>
      <c r="AG3" s="248"/>
    </row>
    <row r="4" spans="1:53" ht="12" thickTop="1">
      <c r="A4" s="116" t="s">
        <v>120</v>
      </c>
      <c r="B4" s="13">
        <f>'Total Feedstock'!B3-'Total Ethanol Feedstock'!B4</f>
        <v>2996</v>
      </c>
      <c r="C4" s="13">
        <f>B12</f>
        <v>5078</v>
      </c>
      <c r="D4" s="13">
        <f>C12</f>
        <v>2606</v>
      </c>
      <c r="E4" s="13">
        <f>D12</f>
        <v>29227</v>
      </c>
      <c r="F4" s="118">
        <f t="shared" ref="F4:R4" si="0">E12</f>
        <v>158521</v>
      </c>
      <c r="G4" s="118">
        <f t="shared" si="0"/>
        <v>161762</v>
      </c>
      <c r="H4" s="119">
        <f t="shared" si="0"/>
        <v>30000</v>
      </c>
      <c r="I4" s="119">
        <f t="shared" si="0"/>
        <v>30000</v>
      </c>
      <c r="J4" s="119">
        <f t="shared" si="0"/>
        <v>30000</v>
      </c>
      <c r="K4" s="119">
        <f t="shared" si="0"/>
        <v>30000</v>
      </c>
      <c r="L4" s="119">
        <f t="shared" si="0"/>
        <v>30000</v>
      </c>
      <c r="M4" s="119">
        <f t="shared" si="0"/>
        <v>30000</v>
      </c>
      <c r="N4" s="119">
        <f t="shared" si="0"/>
        <v>30000</v>
      </c>
      <c r="O4" s="119">
        <f t="shared" si="0"/>
        <v>30000</v>
      </c>
      <c r="P4" s="119">
        <f t="shared" si="0"/>
        <v>30000</v>
      </c>
      <c r="Q4" s="119">
        <f t="shared" si="0"/>
        <v>30000</v>
      </c>
      <c r="R4" s="119">
        <f t="shared" si="0"/>
        <v>30000</v>
      </c>
    </row>
    <row r="5" spans="1:53">
      <c r="A5" s="116" t="s">
        <v>260</v>
      </c>
      <c r="B5" s="13">
        <f>B28</f>
        <v>457375</v>
      </c>
      <c r="C5" s="13">
        <f>C28</f>
        <v>416900</v>
      </c>
      <c r="D5" s="13">
        <f>D28</f>
        <v>382753</v>
      </c>
      <c r="E5" s="118">
        <f>D5/D7*E7</f>
        <v>525590.97996312298</v>
      </c>
      <c r="F5" s="118">
        <f t="shared" ref="F5:R5" si="1">E5/E7*F7</f>
        <v>1198025.8905768376</v>
      </c>
      <c r="G5" s="119">
        <f t="shared" si="1"/>
        <v>1230454.1499591272</v>
      </c>
      <c r="H5" s="119">
        <f t="shared" si="1"/>
        <v>1503640.7362714887</v>
      </c>
      <c r="I5" s="119">
        <f t="shared" si="1"/>
        <v>1960388.9182910924</v>
      </c>
      <c r="J5" s="119">
        <f t="shared" si="1"/>
        <v>2178651.0223740959</v>
      </c>
      <c r="K5" s="119">
        <f t="shared" si="1"/>
        <v>2175847.4671234321</v>
      </c>
      <c r="L5" s="119">
        <f t="shared" si="1"/>
        <v>2299688.2598194038</v>
      </c>
      <c r="M5" s="119">
        <f t="shared" si="1"/>
        <v>2345548.1934766574</v>
      </c>
      <c r="N5" s="119">
        <f t="shared" si="1"/>
        <v>2387362.3528470257</v>
      </c>
      <c r="O5" s="119">
        <f t="shared" si="1"/>
        <v>2427163.7879184545</v>
      </c>
      <c r="P5" s="119">
        <f t="shared" si="1"/>
        <v>2466295.1503231358</v>
      </c>
      <c r="Q5" s="119">
        <f t="shared" si="1"/>
        <v>2505120.4588533728</v>
      </c>
      <c r="R5" s="119">
        <f t="shared" si="1"/>
        <v>2524636.3476563375</v>
      </c>
    </row>
    <row r="6" spans="1:53">
      <c r="A6" s="230" t="s">
        <v>267</v>
      </c>
      <c r="B6" s="13">
        <f>SUM(B4:B5)</f>
        <v>460371</v>
      </c>
      <c r="C6" s="13">
        <f>SUM(C4:C5)</f>
        <v>421978</v>
      </c>
      <c r="D6" s="13">
        <f>SUM(D4:D5)</f>
        <v>385359</v>
      </c>
      <c r="E6" s="118">
        <f>SUM(E4:E5)</f>
        <v>554817.97996312298</v>
      </c>
      <c r="F6" s="118">
        <f t="shared" ref="F6:R6" si="2">SUM(F4:F5)</f>
        <v>1356546.8905768376</v>
      </c>
      <c r="G6" s="119">
        <f t="shared" si="2"/>
        <v>1392216.1499591272</v>
      </c>
      <c r="H6" s="119">
        <f t="shared" si="2"/>
        <v>1533640.7362714887</v>
      </c>
      <c r="I6" s="119">
        <f t="shared" si="2"/>
        <v>1990388.9182910924</v>
      </c>
      <c r="J6" s="119">
        <f t="shared" si="2"/>
        <v>2208651.0223740959</v>
      </c>
      <c r="K6" s="119">
        <f t="shared" si="2"/>
        <v>2205847.4671234321</v>
      </c>
      <c r="L6" s="119">
        <f t="shared" si="2"/>
        <v>2329688.2598194038</v>
      </c>
      <c r="M6" s="119">
        <f t="shared" si="2"/>
        <v>2375548.1934766574</v>
      </c>
      <c r="N6" s="119">
        <f t="shared" si="2"/>
        <v>2417362.3528470257</v>
      </c>
      <c r="O6" s="119">
        <f t="shared" si="2"/>
        <v>2457163.7879184545</v>
      </c>
      <c r="P6" s="119">
        <f t="shared" si="2"/>
        <v>2496295.1503231358</v>
      </c>
      <c r="Q6" s="119">
        <f t="shared" si="2"/>
        <v>2535120.4588533728</v>
      </c>
      <c r="R6" s="119">
        <f t="shared" si="2"/>
        <v>2554636.3476563375</v>
      </c>
    </row>
    <row r="7" spans="1:53">
      <c r="A7" s="116" t="s">
        <v>261</v>
      </c>
      <c r="B7" s="13">
        <f>B44</f>
        <v>454432</v>
      </c>
      <c r="C7" s="13">
        <f>C44</f>
        <v>419883</v>
      </c>
      <c r="D7" s="13">
        <f>D44</f>
        <v>358489</v>
      </c>
      <c r="E7" s="118">
        <f>E44</f>
        <v>492272</v>
      </c>
      <c r="F7" s="118">
        <f t="shared" ref="F7:AF7" si="3">F44</f>
        <v>1122079</v>
      </c>
      <c r="G7" s="119">
        <f t="shared" si="3"/>
        <v>1152451.5229526551</v>
      </c>
      <c r="H7" s="119">
        <f t="shared" si="3"/>
        <v>1408319.8927382145</v>
      </c>
      <c r="I7" s="119">
        <f t="shared" si="3"/>
        <v>1836113.2712983452</v>
      </c>
      <c r="J7" s="119">
        <f t="shared" si="3"/>
        <v>2040539.0065129923</v>
      </c>
      <c r="K7" s="119">
        <f t="shared" si="3"/>
        <v>2037913.1780589886</v>
      </c>
      <c r="L7" s="119">
        <f t="shared" si="3"/>
        <v>2153903.2863867776</v>
      </c>
      <c r="M7" s="119">
        <f t="shared" si="3"/>
        <v>2196856.0046067662</v>
      </c>
      <c r="N7" s="119">
        <f t="shared" si="3"/>
        <v>2236019.4237792455</v>
      </c>
      <c r="O7" s="119">
        <f t="shared" si="3"/>
        <v>2273297.712015579</v>
      </c>
      <c r="P7" s="119">
        <f t="shared" si="3"/>
        <v>2309948.4057451952</v>
      </c>
      <c r="Q7" s="119">
        <f t="shared" si="3"/>
        <v>2346312.4473848329</v>
      </c>
      <c r="R7" s="119">
        <f t="shared" si="3"/>
        <v>2364591.1583579304</v>
      </c>
      <c r="S7" s="13">
        <f t="shared" si="3"/>
        <v>0</v>
      </c>
      <c r="T7" s="13">
        <f t="shared" si="3"/>
        <v>0</v>
      </c>
      <c r="U7" s="13">
        <f t="shared" si="3"/>
        <v>0</v>
      </c>
      <c r="V7" s="13">
        <f t="shared" si="3"/>
        <v>0</v>
      </c>
      <c r="W7" s="13">
        <f t="shared" si="3"/>
        <v>0</v>
      </c>
      <c r="X7" s="13">
        <f t="shared" si="3"/>
        <v>0</v>
      </c>
      <c r="Y7" s="13">
        <f t="shared" si="3"/>
        <v>0</v>
      </c>
      <c r="Z7" s="13">
        <f t="shared" si="3"/>
        <v>0</v>
      </c>
      <c r="AA7" s="13">
        <f t="shared" si="3"/>
        <v>0</v>
      </c>
      <c r="AB7" s="13">
        <f t="shared" si="3"/>
        <v>0</v>
      </c>
      <c r="AC7" s="13">
        <f t="shared" si="3"/>
        <v>0</v>
      </c>
      <c r="AD7" s="13">
        <f t="shared" si="3"/>
        <v>0</v>
      </c>
      <c r="AE7" s="13">
        <f t="shared" si="3"/>
        <v>0</v>
      </c>
      <c r="AF7" s="13">
        <f t="shared" si="3"/>
        <v>0</v>
      </c>
      <c r="AG7" s="13"/>
    </row>
    <row r="8" spans="1:53">
      <c r="A8" s="116" t="s">
        <v>268</v>
      </c>
      <c r="B8" s="13">
        <f t="shared" ref="B8:R8" si="4">B6-B7-B12</f>
        <v>861</v>
      </c>
      <c r="C8" s="13">
        <f t="shared" si="4"/>
        <v>-511</v>
      </c>
      <c r="D8" s="13">
        <f t="shared" si="4"/>
        <v>-2357</v>
      </c>
      <c r="E8" s="118">
        <f t="shared" si="4"/>
        <v>-95975.020036877017</v>
      </c>
      <c r="F8" s="118">
        <f t="shared" si="4"/>
        <v>72705.890576837584</v>
      </c>
      <c r="G8" s="119">
        <f t="shared" si="4"/>
        <v>209764.62700647209</v>
      </c>
      <c r="H8" s="119">
        <f t="shared" si="4"/>
        <v>95320.843533274252</v>
      </c>
      <c r="I8" s="119">
        <f t="shared" si="4"/>
        <v>124275.64699274721</v>
      </c>
      <c r="J8" s="119">
        <f t="shared" si="4"/>
        <v>138112.01586110354</v>
      </c>
      <c r="K8" s="119">
        <f t="shared" si="4"/>
        <v>137934.28906444344</v>
      </c>
      <c r="L8" s="119">
        <f t="shared" si="4"/>
        <v>145784.97343262611</v>
      </c>
      <c r="M8" s="119">
        <f t="shared" si="4"/>
        <v>148692.18886989122</v>
      </c>
      <c r="N8" s="119">
        <f t="shared" si="4"/>
        <v>151342.92906778026</v>
      </c>
      <c r="O8" s="119">
        <f t="shared" si="4"/>
        <v>153866.07590287551</v>
      </c>
      <c r="P8" s="119">
        <f t="shared" si="4"/>
        <v>156346.74457794055</v>
      </c>
      <c r="Q8" s="119">
        <f t="shared" si="4"/>
        <v>158808.01146853995</v>
      </c>
      <c r="R8" s="119">
        <f t="shared" si="4"/>
        <v>160045.18929840717</v>
      </c>
      <c r="S8" s="13"/>
      <c r="T8" s="13"/>
      <c r="U8" s="13"/>
      <c r="V8" s="13"/>
      <c r="W8" s="13"/>
      <c r="X8" s="13"/>
      <c r="Y8" s="13"/>
      <c r="Z8" s="13"/>
      <c r="AA8" s="13"/>
      <c r="AB8" s="13"/>
      <c r="AC8" s="13"/>
      <c r="AD8" s="13"/>
      <c r="AE8" s="13"/>
      <c r="AF8" s="13"/>
      <c r="AG8" s="13"/>
    </row>
    <row r="9" spans="1:53">
      <c r="A9" s="116" t="s">
        <v>269</v>
      </c>
      <c r="B9" s="13">
        <f>B60</f>
        <v>3464</v>
      </c>
      <c r="C9" s="13">
        <f>C60</f>
        <v>531</v>
      </c>
      <c r="D9" s="13">
        <f>D60</f>
        <v>92</v>
      </c>
      <c r="E9" s="118">
        <f>E60</f>
        <v>-340</v>
      </c>
      <c r="F9" s="118">
        <f t="shared" ref="F9:R9" si="5">F60</f>
        <v>763</v>
      </c>
      <c r="G9" s="119">
        <f t="shared" si="5"/>
        <v>100</v>
      </c>
      <c r="H9" s="119">
        <f t="shared" si="5"/>
        <v>100</v>
      </c>
      <c r="I9" s="119">
        <f t="shared" si="5"/>
        <v>100</v>
      </c>
      <c r="J9" s="119">
        <f t="shared" si="5"/>
        <v>100</v>
      </c>
      <c r="K9" s="119">
        <f t="shared" si="5"/>
        <v>100</v>
      </c>
      <c r="L9" s="119">
        <f t="shared" si="5"/>
        <v>100</v>
      </c>
      <c r="M9" s="119">
        <f t="shared" si="5"/>
        <v>100</v>
      </c>
      <c r="N9" s="119">
        <f t="shared" si="5"/>
        <v>100</v>
      </c>
      <c r="O9" s="119">
        <f t="shared" si="5"/>
        <v>100</v>
      </c>
      <c r="P9" s="119">
        <f t="shared" si="5"/>
        <v>100</v>
      </c>
      <c r="Q9" s="119">
        <f t="shared" si="5"/>
        <v>100</v>
      </c>
      <c r="R9" s="119">
        <f t="shared" si="5"/>
        <v>100</v>
      </c>
    </row>
    <row r="10" spans="1:53">
      <c r="A10" s="116" t="s">
        <v>270</v>
      </c>
      <c r="B10" s="13">
        <f t="shared" ref="B10:R10" si="6">B11-SUM(B7,B9)</f>
        <v>-2603</v>
      </c>
      <c r="C10" s="13">
        <f t="shared" si="6"/>
        <v>-1042</v>
      </c>
      <c r="D10" s="13">
        <f t="shared" si="6"/>
        <v>-2449</v>
      </c>
      <c r="E10" s="118">
        <f t="shared" si="6"/>
        <v>-95635.020036877017</v>
      </c>
      <c r="F10" s="118">
        <f t="shared" si="6"/>
        <v>71942.890576837584</v>
      </c>
      <c r="G10" s="119">
        <f t="shared" si="6"/>
        <v>209664.62700647209</v>
      </c>
      <c r="H10" s="119">
        <f t="shared" si="6"/>
        <v>95220.843533274252</v>
      </c>
      <c r="I10" s="119">
        <f t="shared" si="6"/>
        <v>124175.64699274721</v>
      </c>
      <c r="J10" s="119">
        <f t="shared" si="6"/>
        <v>138012.01586110354</v>
      </c>
      <c r="K10" s="119">
        <f t="shared" si="6"/>
        <v>137834.28906444344</v>
      </c>
      <c r="L10" s="119">
        <f t="shared" si="6"/>
        <v>145684.97343262611</v>
      </c>
      <c r="M10" s="119">
        <f t="shared" si="6"/>
        <v>148592.18886989122</v>
      </c>
      <c r="N10" s="119">
        <f t="shared" si="6"/>
        <v>151242.92906778026</v>
      </c>
      <c r="O10" s="119">
        <f t="shared" si="6"/>
        <v>153766.07590287551</v>
      </c>
      <c r="P10" s="119">
        <f t="shared" si="6"/>
        <v>156246.74457794055</v>
      </c>
      <c r="Q10" s="119">
        <f t="shared" si="6"/>
        <v>158708.01146853995</v>
      </c>
      <c r="R10" s="119">
        <f t="shared" si="6"/>
        <v>159945.18929840717</v>
      </c>
    </row>
    <row r="11" spans="1:53">
      <c r="A11" s="230" t="s">
        <v>271</v>
      </c>
      <c r="B11" s="13">
        <f>B6-B12</f>
        <v>455293</v>
      </c>
      <c r="C11" s="13">
        <f>C6-C12</f>
        <v>419372</v>
      </c>
      <c r="D11" s="13">
        <f>D6-D12</f>
        <v>356132</v>
      </c>
      <c r="E11" s="118">
        <f>E6-E12</f>
        <v>396296.97996312298</v>
      </c>
      <c r="F11" s="118">
        <f t="shared" ref="F11:R11" si="7">F6-F12</f>
        <v>1194784.8905768376</v>
      </c>
      <c r="G11" s="119">
        <f t="shared" si="7"/>
        <v>1362216.1499591272</v>
      </c>
      <c r="H11" s="119">
        <f t="shared" si="7"/>
        <v>1503640.7362714887</v>
      </c>
      <c r="I11" s="119">
        <f t="shared" si="7"/>
        <v>1960388.9182910924</v>
      </c>
      <c r="J11" s="119">
        <f t="shared" si="7"/>
        <v>2178651.0223740959</v>
      </c>
      <c r="K11" s="119">
        <f t="shared" si="7"/>
        <v>2175847.4671234321</v>
      </c>
      <c r="L11" s="119">
        <f t="shared" si="7"/>
        <v>2299688.2598194038</v>
      </c>
      <c r="M11" s="119">
        <f t="shared" si="7"/>
        <v>2345548.1934766574</v>
      </c>
      <c r="N11" s="119">
        <f t="shared" si="7"/>
        <v>2387362.3528470257</v>
      </c>
      <c r="O11" s="119">
        <f t="shared" si="7"/>
        <v>2427163.7879184545</v>
      </c>
      <c r="P11" s="119">
        <f t="shared" si="7"/>
        <v>2466295.1503231358</v>
      </c>
      <c r="Q11" s="119">
        <f t="shared" si="7"/>
        <v>2505120.4588533728</v>
      </c>
      <c r="R11" s="119">
        <f t="shared" si="7"/>
        <v>2524636.3476563375</v>
      </c>
    </row>
    <row r="12" spans="1:53" ht="12" thickBot="1">
      <c r="A12" s="116" t="s">
        <v>127</v>
      </c>
      <c r="B12" s="13">
        <f>B91</f>
        <v>5078</v>
      </c>
      <c r="C12" s="13">
        <f>C91</f>
        <v>2606</v>
      </c>
      <c r="D12" s="13">
        <f>D91</f>
        <v>29227</v>
      </c>
      <c r="E12" s="13">
        <f>E91</f>
        <v>158521</v>
      </c>
      <c r="F12" s="13">
        <f>F91</f>
        <v>161762</v>
      </c>
      <c r="G12" s="119">
        <v>30000</v>
      </c>
      <c r="H12" s="119">
        <v>30000</v>
      </c>
      <c r="I12" s="119">
        <v>30000</v>
      </c>
      <c r="J12" s="119">
        <v>30000</v>
      </c>
      <c r="K12" s="119">
        <v>30000</v>
      </c>
      <c r="L12" s="119">
        <v>30000</v>
      </c>
      <c r="M12" s="119">
        <v>30000</v>
      </c>
      <c r="N12" s="119">
        <v>30000</v>
      </c>
      <c r="O12" s="119">
        <v>30000</v>
      </c>
      <c r="P12" s="119">
        <v>30000</v>
      </c>
      <c r="Q12" s="119">
        <v>30000</v>
      </c>
      <c r="R12" s="119">
        <v>30000</v>
      </c>
      <c r="AO12" s="175">
        <f>AO15/AN18-1</f>
        <v>0.36499689777705369</v>
      </c>
    </row>
    <row r="13" spans="1:53">
      <c r="A13" s="249"/>
      <c r="B13" s="212"/>
      <c r="C13" s="212"/>
      <c r="D13" s="212"/>
      <c r="E13" s="199"/>
      <c r="F13" s="199"/>
      <c r="G13" s="199"/>
      <c r="H13" s="199"/>
      <c r="I13" s="199"/>
      <c r="J13" s="199"/>
      <c r="K13" s="199"/>
      <c r="L13" s="199"/>
      <c r="M13" s="199"/>
      <c r="N13" s="199"/>
      <c r="O13" s="199"/>
      <c r="P13" s="199"/>
      <c r="Q13" s="199"/>
      <c r="R13" s="199"/>
      <c r="S13" s="199"/>
      <c r="T13" s="199"/>
      <c r="U13" s="199"/>
      <c r="V13" s="199"/>
      <c r="W13" s="199"/>
      <c r="X13" s="199"/>
      <c r="Y13" s="199"/>
      <c r="Z13" s="199"/>
      <c r="AA13" s="199"/>
      <c r="AB13" s="199"/>
      <c r="AC13" s="199"/>
      <c r="AD13" s="199"/>
      <c r="AE13" s="199"/>
      <c r="AF13" s="199"/>
      <c r="AJ13" s="175" t="s">
        <v>65</v>
      </c>
      <c r="AK13" s="175"/>
      <c r="AL13" s="175"/>
      <c r="AM13" s="175"/>
      <c r="AN13" s="175"/>
      <c r="AO13" s="175">
        <f>AO15/AN15-1</f>
        <v>0.902541928721174</v>
      </c>
      <c r="AP13" s="175"/>
      <c r="AQ13" s="175"/>
      <c r="AR13" s="175"/>
      <c r="AS13" s="175"/>
      <c r="AT13" s="175"/>
      <c r="AU13" s="174"/>
      <c r="AV13" s="174"/>
      <c r="AW13" s="174"/>
      <c r="AX13" s="174"/>
      <c r="AY13" s="174"/>
      <c r="AZ13" s="174"/>
      <c r="BA13" s="174"/>
    </row>
    <row r="14" spans="1:53" ht="12" thickBot="1">
      <c r="A14" s="138" t="s">
        <v>262</v>
      </c>
      <c r="AJ14" s="174"/>
      <c r="AK14" s="178">
        <f t="shared" ref="AK14:AZ14" si="8">B15</f>
        <v>2020</v>
      </c>
      <c r="AL14" s="178">
        <f t="shared" si="8"/>
        <v>2021</v>
      </c>
      <c r="AM14" s="178">
        <f t="shared" si="8"/>
        <v>2022</v>
      </c>
      <c r="AN14" s="178">
        <f t="shared" si="8"/>
        <v>2023</v>
      </c>
      <c r="AO14" s="178">
        <f t="shared" si="8"/>
        <v>2024</v>
      </c>
      <c r="AP14" s="178">
        <f t="shared" si="8"/>
        <v>2025</v>
      </c>
      <c r="AQ14" s="178">
        <f t="shared" si="8"/>
        <v>2026</v>
      </c>
      <c r="AR14" s="178">
        <f t="shared" si="8"/>
        <v>2027</v>
      </c>
      <c r="AS14" s="178">
        <f t="shared" si="8"/>
        <v>2028</v>
      </c>
      <c r="AT14" s="178">
        <f t="shared" si="8"/>
        <v>2029</v>
      </c>
      <c r="AU14" s="178">
        <f t="shared" si="8"/>
        <v>2030</v>
      </c>
      <c r="AV14" s="178">
        <f t="shared" si="8"/>
        <v>2031</v>
      </c>
      <c r="AW14" s="178">
        <f t="shared" si="8"/>
        <v>2032</v>
      </c>
      <c r="AX14" s="178">
        <f t="shared" si="8"/>
        <v>2033</v>
      </c>
      <c r="AY14" s="178">
        <f t="shared" si="8"/>
        <v>2034</v>
      </c>
      <c r="AZ14" s="178">
        <f t="shared" si="8"/>
        <v>2035</v>
      </c>
    </row>
    <row r="15" spans="1:53" ht="12" thickBot="1">
      <c r="A15" s="176"/>
      <c r="B15" s="177">
        <f>B3</f>
        <v>2020</v>
      </c>
      <c r="C15" s="177">
        <f>C3</f>
        <v>2021</v>
      </c>
      <c r="D15" s="177">
        <f>D3</f>
        <v>2022</v>
      </c>
      <c r="E15" s="177">
        <f t="shared" ref="E15:AF15" si="9">E3</f>
        <v>2023</v>
      </c>
      <c r="F15" s="177">
        <f t="shared" si="9"/>
        <v>2024</v>
      </c>
      <c r="G15" s="177">
        <f t="shared" si="9"/>
        <v>2025</v>
      </c>
      <c r="H15" s="177">
        <f t="shared" si="9"/>
        <v>2026</v>
      </c>
      <c r="I15" s="177">
        <f t="shared" si="9"/>
        <v>2027</v>
      </c>
      <c r="J15" s="177">
        <f t="shared" si="9"/>
        <v>2028</v>
      </c>
      <c r="K15" s="177">
        <f t="shared" si="9"/>
        <v>2029</v>
      </c>
      <c r="L15" s="177">
        <f t="shared" si="9"/>
        <v>2030</v>
      </c>
      <c r="M15" s="177">
        <f t="shared" si="9"/>
        <v>2031</v>
      </c>
      <c r="N15" s="177">
        <f t="shared" si="9"/>
        <v>2032</v>
      </c>
      <c r="O15" s="177">
        <f t="shared" si="9"/>
        <v>2033</v>
      </c>
      <c r="P15" s="177">
        <f t="shared" si="9"/>
        <v>2034</v>
      </c>
      <c r="Q15" s="177">
        <f t="shared" si="9"/>
        <v>2035</v>
      </c>
      <c r="R15" s="177">
        <f t="shared" si="9"/>
        <v>2036</v>
      </c>
      <c r="S15" s="177">
        <f t="shared" si="9"/>
        <v>2037</v>
      </c>
      <c r="T15" s="177">
        <f t="shared" si="9"/>
        <v>2038</v>
      </c>
      <c r="U15" s="177">
        <f t="shared" si="9"/>
        <v>2039</v>
      </c>
      <c r="V15" s="177">
        <f t="shared" si="9"/>
        <v>2040</v>
      </c>
      <c r="W15" s="177">
        <f t="shared" si="9"/>
        <v>2041</v>
      </c>
      <c r="X15" s="177">
        <f t="shared" si="9"/>
        <v>2042</v>
      </c>
      <c r="Y15" s="177">
        <f t="shared" si="9"/>
        <v>2043</v>
      </c>
      <c r="Z15" s="177">
        <f t="shared" si="9"/>
        <v>2044</v>
      </c>
      <c r="AA15" s="177">
        <f t="shared" si="9"/>
        <v>2045</v>
      </c>
      <c r="AB15" s="177">
        <f t="shared" si="9"/>
        <v>2046</v>
      </c>
      <c r="AC15" s="177">
        <f t="shared" si="9"/>
        <v>2047</v>
      </c>
      <c r="AD15" s="177">
        <f t="shared" si="9"/>
        <v>2048</v>
      </c>
      <c r="AE15" s="177">
        <f t="shared" si="9"/>
        <v>2049</v>
      </c>
      <c r="AF15" s="177">
        <f t="shared" si="9"/>
        <v>2050</v>
      </c>
      <c r="AG15" s="248"/>
      <c r="AJ15" s="179" t="s">
        <v>213</v>
      </c>
      <c r="AK15" s="180">
        <f t="shared" ref="AK15:AZ15" si="10">SUM(B16:B18)</f>
        <v>102722</v>
      </c>
      <c r="AL15" s="180">
        <f t="shared" si="10"/>
        <v>94784</v>
      </c>
      <c r="AM15" s="180">
        <f t="shared" si="10"/>
        <v>68545</v>
      </c>
      <c r="AN15" s="180">
        <f t="shared" si="10"/>
        <v>114480</v>
      </c>
      <c r="AO15" s="180">
        <f t="shared" si="10"/>
        <v>217803</v>
      </c>
      <c r="AP15" s="183">
        <f t="shared" si="10"/>
        <v>151005.47767402546</v>
      </c>
      <c r="AQ15" s="183">
        <f t="shared" si="10"/>
        <v>251272.78611524054</v>
      </c>
      <c r="AR15" s="183">
        <f t="shared" si="10"/>
        <v>315328.89908005431</v>
      </c>
      <c r="AS15" s="183">
        <f t="shared" si="10"/>
        <v>333032.47900063975</v>
      </c>
      <c r="AT15" s="183">
        <f t="shared" si="10"/>
        <v>346903.68453848222</v>
      </c>
      <c r="AU15" s="183">
        <f t="shared" si="10"/>
        <v>362445.00212162093</v>
      </c>
      <c r="AV15" s="183">
        <f t="shared" si="10"/>
        <v>367431.11549741653</v>
      </c>
      <c r="AW15" s="183">
        <f t="shared" si="10"/>
        <v>376870.24407974689</v>
      </c>
      <c r="AX15" s="183">
        <f t="shared" si="10"/>
        <v>381971.83794691984</v>
      </c>
      <c r="AY15" s="183">
        <f t="shared" si="10"/>
        <v>387945.98984936211</v>
      </c>
      <c r="AZ15" s="183">
        <f t="shared" si="10"/>
        <v>394576.67562063038</v>
      </c>
    </row>
    <row r="16" spans="1:53">
      <c r="A16" s="113" t="s">
        <v>129</v>
      </c>
      <c r="B16" s="13">
        <f>'VO RD Feedstock'!B14+'Other RD Feedstock'!B15</f>
        <v>37215</v>
      </c>
      <c r="C16" s="13">
        <f>'VO RD Feedstock'!C14+'Other RD Feedstock'!C15</f>
        <v>28500</v>
      </c>
      <c r="D16" s="13">
        <f>'VO RD Feedstock'!D14+'Other RD Feedstock'!D15</f>
        <v>20133</v>
      </c>
      <c r="E16" s="13">
        <f>'VO RD Feedstock'!E14+'Other RD Feedstock'!E15</f>
        <v>37786</v>
      </c>
      <c r="F16" s="13">
        <f>'VO RD Feedstock'!F14+'Other RD Feedstock'!F15</f>
        <v>78702</v>
      </c>
      <c r="G16" s="13">
        <f>'VO RD Feedstock'!G14+'Other RD Feedstock'!G15</f>
        <v>23255</v>
      </c>
      <c r="H16" s="119">
        <f t="shared" ref="H16:H26" si="11">(SUM(E16:G16)/SUM(E$28:G$28))*H$28</f>
        <v>72655.597168583714</v>
      </c>
      <c r="I16" s="119">
        <f t="shared" ref="I16:I26" si="12">(SUM(F16:H16)/SUM(F$28:H$28))*I$28</f>
        <v>88795.45512181567</v>
      </c>
      <c r="J16" s="119">
        <f t="shared" ref="J16:R26" si="13">(SUM(G16:I16)/SUM(G$28:I$28))*J$28</f>
        <v>85719.760982786247</v>
      </c>
      <c r="K16" s="119">
        <f t="shared" si="13"/>
        <v>95310.370867781632</v>
      </c>
      <c r="L16" s="119">
        <f t="shared" si="13"/>
        <v>98262.200810412382</v>
      </c>
      <c r="M16" s="119">
        <f t="shared" si="13"/>
        <v>98448.338016977199</v>
      </c>
      <c r="N16" s="119">
        <f t="shared" si="13"/>
        <v>102206.58977136845</v>
      </c>
      <c r="O16" s="119">
        <f t="shared" si="13"/>
        <v>103165.39448968925</v>
      </c>
      <c r="P16" s="119">
        <f t="shared" si="13"/>
        <v>104651.23020028548</v>
      </c>
      <c r="Q16" s="119">
        <f t="shared" si="13"/>
        <v>106670.03985074806</v>
      </c>
      <c r="R16" s="119">
        <f t="shared" si="13"/>
        <v>107313.09641205752</v>
      </c>
      <c r="AJ16" s="181" t="s">
        <v>214</v>
      </c>
      <c r="AK16" s="250">
        <f t="shared" ref="AK16:AZ16" si="14">SUM(B19:B21)</f>
        <v>111842</v>
      </c>
      <c r="AL16" s="250">
        <f t="shared" si="14"/>
        <v>101060</v>
      </c>
      <c r="AM16" s="250">
        <f t="shared" si="14"/>
        <v>78481</v>
      </c>
      <c r="AN16" s="250">
        <f t="shared" si="14"/>
        <v>119824</v>
      </c>
      <c r="AO16" s="207">
        <f t="shared" si="14"/>
        <v>305152</v>
      </c>
      <c r="AP16" s="207">
        <f t="shared" si="14"/>
        <v>302008.2115584701</v>
      </c>
      <c r="AQ16" s="207">
        <f t="shared" si="14"/>
        <v>377975.79859393777</v>
      </c>
      <c r="AR16" s="207">
        <f t="shared" si="14"/>
        <v>500969.58522366721</v>
      </c>
      <c r="AS16" s="207">
        <f t="shared" si="14"/>
        <v>548065.74377022183</v>
      </c>
      <c r="AT16" s="207">
        <f t="shared" si="14"/>
        <v>550263.02661602315</v>
      </c>
      <c r="AU16" s="207">
        <f t="shared" si="14"/>
        <v>582415.39632335817</v>
      </c>
      <c r="AV16" s="207">
        <f t="shared" si="14"/>
        <v>592449.02381599427</v>
      </c>
      <c r="AW16" s="207">
        <f t="shared" si="14"/>
        <v>603790.30199552362</v>
      </c>
      <c r="AX16" s="207">
        <f t="shared" si="14"/>
        <v>613867.85337518307</v>
      </c>
      <c r="AY16" s="207">
        <f t="shared" si="14"/>
        <v>623493.32551528257</v>
      </c>
      <c r="AZ16" s="207">
        <f t="shared" si="14"/>
        <v>633487.08314828749</v>
      </c>
    </row>
    <row r="17" spans="1:53">
      <c r="A17" s="113" t="s">
        <v>130</v>
      </c>
      <c r="B17" s="13">
        <f>'VO RD Feedstock'!B15+'Other RD Feedstock'!B16</f>
        <v>34154</v>
      </c>
      <c r="C17" s="13">
        <f>'VO RD Feedstock'!C15+'Other RD Feedstock'!C16</f>
        <v>32154</v>
      </c>
      <c r="D17" s="13">
        <f>'VO RD Feedstock'!D15+'Other RD Feedstock'!D16</f>
        <v>20972</v>
      </c>
      <c r="E17" s="13">
        <f>'VO RD Feedstock'!E15+'Other RD Feedstock'!E16</f>
        <v>35491</v>
      </c>
      <c r="F17" s="13">
        <f>'VO RD Feedstock'!F15+'Other RD Feedstock'!F16</f>
        <v>47809</v>
      </c>
      <c r="G17" s="13">
        <f>'VO RD Feedstock'!G15+'Other RD Feedstock'!G16</f>
        <v>32717</v>
      </c>
      <c r="H17" s="119">
        <f t="shared" si="11"/>
        <v>60319.904515486116</v>
      </c>
      <c r="I17" s="119">
        <f t="shared" si="12"/>
        <v>71624.134777754443</v>
      </c>
      <c r="J17" s="119">
        <f t="shared" si="13"/>
        <v>76417.12199664292</v>
      </c>
      <c r="K17" s="119">
        <f t="shared" si="13"/>
        <v>80345.164115438325</v>
      </c>
      <c r="L17" s="119">
        <f t="shared" si="13"/>
        <v>83171.327833135758</v>
      </c>
      <c r="M17" s="119">
        <f t="shared" si="13"/>
        <v>84574.701003289374</v>
      </c>
      <c r="N17" s="119">
        <f t="shared" si="13"/>
        <v>86831.298520332697</v>
      </c>
      <c r="O17" s="119">
        <f t="shared" si="13"/>
        <v>87862.380212225165</v>
      </c>
      <c r="P17" s="119">
        <f t="shared" si="13"/>
        <v>89305.266639014357</v>
      </c>
      <c r="Q17" s="119">
        <f t="shared" si="13"/>
        <v>90834.417262170668</v>
      </c>
      <c r="R17" s="119">
        <f t="shared" si="13"/>
        <v>91451.036204775766</v>
      </c>
      <c r="AJ17" s="179" t="s">
        <v>215</v>
      </c>
      <c r="AK17" s="180">
        <f t="shared" ref="AK17:AZ17" si="15">SUM(B22:B24)</f>
        <v>125616</v>
      </c>
      <c r="AL17" s="180">
        <f t="shared" si="15"/>
        <v>108139</v>
      </c>
      <c r="AM17" s="180">
        <f t="shared" si="15"/>
        <v>90179</v>
      </c>
      <c r="AN17" s="180">
        <f t="shared" si="15"/>
        <v>146795</v>
      </c>
      <c r="AO17" s="183">
        <f t="shared" si="15"/>
        <v>325498</v>
      </c>
      <c r="AP17" s="183">
        <f t="shared" si="15"/>
        <v>335679.58560521464</v>
      </c>
      <c r="AQ17" s="183">
        <f t="shared" si="15"/>
        <v>420083.51547477505</v>
      </c>
      <c r="AR17" s="183">
        <f t="shared" si="15"/>
        <v>549851.91866321734</v>
      </c>
      <c r="AS17" s="183">
        <f t="shared" si="15"/>
        <v>605919.54643676092</v>
      </c>
      <c r="AT17" s="183">
        <f t="shared" si="15"/>
        <v>607658.00234842906</v>
      </c>
      <c r="AU17" s="183">
        <f t="shared" si="15"/>
        <v>642186.91188522789</v>
      </c>
      <c r="AV17" s="183">
        <f t="shared" si="15"/>
        <v>654142.29299929203</v>
      </c>
      <c r="AW17" s="183">
        <f t="shared" si="15"/>
        <v>666390.77188933687</v>
      </c>
      <c r="AX17" s="183">
        <f t="shared" si="15"/>
        <v>677394.37223240477</v>
      </c>
      <c r="AY17" s="183">
        <f t="shared" si="15"/>
        <v>688188.21130167623</v>
      </c>
      <c r="AZ17" s="183">
        <f t="shared" si="15"/>
        <v>699143.38245693187</v>
      </c>
    </row>
    <row r="18" spans="1:53">
      <c r="A18" s="113" t="s">
        <v>131</v>
      </c>
      <c r="B18" s="13">
        <f>'VO RD Feedstock'!B16+'Other RD Feedstock'!B17</f>
        <v>31353</v>
      </c>
      <c r="C18" s="13">
        <f>'VO RD Feedstock'!C16+'Other RD Feedstock'!C17</f>
        <v>34130</v>
      </c>
      <c r="D18" s="13">
        <f>'VO RD Feedstock'!D16+'Other RD Feedstock'!D17</f>
        <v>27440</v>
      </c>
      <c r="E18" s="13">
        <f>'VO RD Feedstock'!E16+'Other RD Feedstock'!E17</f>
        <v>41203</v>
      </c>
      <c r="F18" s="13">
        <f>'VO RD Feedstock'!F16+'Other RD Feedstock'!F17</f>
        <v>91292</v>
      </c>
      <c r="G18" s="119">
        <f t="shared" ref="G18:G26" si="16">(SUM(B18:F18)/SUM(B$28:F$28))*G$28</f>
        <v>95033.47767402546</v>
      </c>
      <c r="H18" s="119">
        <f t="shared" si="11"/>
        <v>118297.2844311707</v>
      </c>
      <c r="I18" s="119">
        <f t="shared" si="12"/>
        <v>154909.30918048421</v>
      </c>
      <c r="J18" s="119">
        <f t="shared" si="13"/>
        <v>170895.5960212106</v>
      </c>
      <c r="K18" s="119">
        <f t="shared" si="13"/>
        <v>171248.14955526229</v>
      </c>
      <c r="L18" s="119">
        <f t="shared" si="13"/>
        <v>181011.47347807276</v>
      </c>
      <c r="M18" s="119">
        <f t="shared" si="13"/>
        <v>184408.07647714997</v>
      </c>
      <c r="N18" s="119">
        <f t="shared" si="13"/>
        <v>187832.35578804577</v>
      </c>
      <c r="O18" s="119">
        <f t="shared" si="13"/>
        <v>190944.06324500544</v>
      </c>
      <c r="P18" s="119">
        <f t="shared" si="13"/>
        <v>193989.49301006226</v>
      </c>
      <c r="Q18" s="119">
        <f t="shared" si="13"/>
        <v>197072.21850771163</v>
      </c>
      <c r="R18" s="119">
        <f t="shared" si="13"/>
        <v>198599.33301370512</v>
      </c>
      <c r="AJ18" s="181" t="s">
        <v>216</v>
      </c>
      <c r="AK18" s="251">
        <f t="shared" ref="AK18:AZ18" si="17">SUM(B25:B27)</f>
        <v>117195</v>
      </c>
      <c r="AL18" s="251">
        <f t="shared" si="17"/>
        <v>112917</v>
      </c>
      <c r="AM18" s="251">
        <f t="shared" si="17"/>
        <v>145548</v>
      </c>
      <c r="AN18" s="251">
        <f t="shared" si="17"/>
        <v>159563</v>
      </c>
      <c r="AO18" s="210">
        <f t="shared" si="17"/>
        <v>272476</v>
      </c>
      <c r="AP18" s="210">
        <f t="shared" si="17"/>
        <v>441760.87512141699</v>
      </c>
      <c r="AQ18" s="210">
        <f t="shared" si="17"/>
        <v>454308.6360875353</v>
      </c>
      <c r="AR18" s="210">
        <f t="shared" si="17"/>
        <v>594238.51532415347</v>
      </c>
      <c r="AS18" s="210">
        <f t="shared" si="17"/>
        <v>691633.25316647324</v>
      </c>
      <c r="AT18" s="210">
        <f t="shared" si="17"/>
        <v>671022.75362049765</v>
      </c>
      <c r="AU18" s="210">
        <f t="shared" si="17"/>
        <v>712640.94948919653</v>
      </c>
      <c r="AV18" s="210">
        <f t="shared" si="17"/>
        <v>731525.76116395462</v>
      </c>
      <c r="AW18" s="210">
        <f t="shared" si="17"/>
        <v>740311.03488241835</v>
      </c>
      <c r="AX18" s="210">
        <f t="shared" si="17"/>
        <v>753929.72436394705</v>
      </c>
      <c r="AY18" s="210">
        <f t="shared" si="17"/>
        <v>766667.62365681515</v>
      </c>
      <c r="AZ18" s="210">
        <f t="shared" si="17"/>
        <v>777913.31762752321</v>
      </c>
    </row>
    <row r="19" spans="1:53">
      <c r="A19" s="113" t="s">
        <v>132</v>
      </c>
      <c r="B19" s="13">
        <f>'VO RD Feedstock'!B17+'Other RD Feedstock'!B18</f>
        <v>35010</v>
      </c>
      <c r="C19" s="13">
        <f>'VO RD Feedstock'!C17+'Other RD Feedstock'!C18</f>
        <v>34034</v>
      </c>
      <c r="D19" s="13">
        <f>'VO RD Feedstock'!D17+'Other RD Feedstock'!D18</f>
        <v>25780</v>
      </c>
      <c r="E19" s="13">
        <f>'VO RD Feedstock'!E17+'Other RD Feedstock'!E18</f>
        <v>31722</v>
      </c>
      <c r="F19" s="13">
        <f>'VO RD Feedstock'!F17+'Other RD Feedstock'!F18</f>
        <v>68423</v>
      </c>
      <c r="G19" s="119">
        <f t="shared" si="16"/>
        <v>82196.550890466038</v>
      </c>
      <c r="H19" s="119">
        <f t="shared" si="11"/>
        <v>94803.562744413008</v>
      </c>
      <c r="I19" s="119">
        <f t="shared" si="12"/>
        <v>124804.60989639908</v>
      </c>
      <c r="J19" s="119">
        <f t="shared" si="13"/>
        <v>140063.78482878627</v>
      </c>
      <c r="K19" s="119">
        <f t="shared" si="13"/>
        <v>138691.406170517</v>
      </c>
      <c r="L19" s="119">
        <f t="shared" si="13"/>
        <v>146964.09869640038</v>
      </c>
      <c r="M19" s="119">
        <f t="shared" si="13"/>
        <v>150062.6821115934</v>
      </c>
      <c r="N19" s="119">
        <f t="shared" si="13"/>
        <v>152500.27828118042</v>
      </c>
      <c r="O19" s="119">
        <f t="shared" si="13"/>
        <v>155145.46323297312</v>
      </c>
      <c r="P19" s="119">
        <f t="shared" si="13"/>
        <v>157658.14888983415</v>
      </c>
      <c r="Q19" s="119">
        <f t="shared" si="13"/>
        <v>160097.63855374235</v>
      </c>
      <c r="R19" s="119">
        <f t="shared" si="13"/>
        <v>161369.31459827846</v>
      </c>
      <c r="AJ19" s="182" t="s">
        <v>217</v>
      </c>
      <c r="AK19" s="180">
        <f>SUM(AK15:AK18)</f>
        <v>457375</v>
      </c>
      <c r="AL19" s="180">
        <f t="shared" ref="AL19:AZ19" si="18">SUM(AL15:AL18)</f>
        <v>416900</v>
      </c>
      <c r="AM19" s="180">
        <f t="shared" si="18"/>
        <v>382753</v>
      </c>
      <c r="AN19" s="180">
        <f t="shared" si="18"/>
        <v>540662</v>
      </c>
      <c r="AO19" s="183">
        <f t="shared" si="18"/>
        <v>1120929</v>
      </c>
      <c r="AP19" s="183">
        <f t="shared" si="18"/>
        <v>1230454.1499591272</v>
      </c>
      <c r="AQ19" s="183">
        <f t="shared" si="18"/>
        <v>1503640.7362714885</v>
      </c>
      <c r="AR19" s="183">
        <f t="shared" si="18"/>
        <v>1960388.9182910924</v>
      </c>
      <c r="AS19" s="183">
        <f t="shared" si="18"/>
        <v>2178651.0223740954</v>
      </c>
      <c r="AT19" s="183">
        <f t="shared" si="18"/>
        <v>2175847.4671234321</v>
      </c>
      <c r="AU19" s="183">
        <f t="shared" si="18"/>
        <v>2299688.2598194033</v>
      </c>
      <c r="AV19" s="183">
        <f t="shared" si="18"/>
        <v>2345548.1934766574</v>
      </c>
      <c r="AW19" s="183">
        <f t="shared" si="18"/>
        <v>2387362.3528470257</v>
      </c>
      <c r="AX19" s="183">
        <f t="shared" si="18"/>
        <v>2427163.787918455</v>
      </c>
      <c r="AY19" s="183">
        <f t="shared" si="18"/>
        <v>2466295.1503231358</v>
      </c>
      <c r="AZ19" s="183">
        <f t="shared" si="18"/>
        <v>2505120.4588533728</v>
      </c>
      <c r="BA19" s="187">
        <f>(AZ19/AQ19)^(1/10)-1</f>
        <v>5.236998535637194E-2</v>
      </c>
    </row>
    <row r="20" spans="1:53">
      <c r="A20" s="113" t="s">
        <v>133</v>
      </c>
      <c r="B20" s="13">
        <f>'VO RD Feedstock'!B18+'Other RD Feedstock'!B19</f>
        <v>38158</v>
      </c>
      <c r="C20" s="13">
        <f>'VO RD Feedstock'!C18+'Other RD Feedstock'!C19</f>
        <v>27467</v>
      </c>
      <c r="D20" s="13">
        <f>'VO RD Feedstock'!D18+'Other RD Feedstock'!D19</f>
        <v>25395</v>
      </c>
      <c r="E20" s="13">
        <f>'VO RD Feedstock'!E18+'Other RD Feedstock'!E19</f>
        <v>41550</v>
      </c>
      <c r="F20" s="13">
        <f>'VO RD Feedstock'!F18+'Other RD Feedstock'!F19</f>
        <v>96808</v>
      </c>
      <c r="G20" s="119">
        <f t="shared" si="16"/>
        <v>96702.965343994772</v>
      </c>
      <c r="H20" s="119">
        <f t="shared" si="11"/>
        <v>122213.59787675735</v>
      </c>
      <c r="I20" s="119">
        <f t="shared" si="12"/>
        <v>160554.88973259021</v>
      </c>
      <c r="J20" s="119">
        <f t="shared" si="13"/>
        <v>176107.93931002048</v>
      </c>
      <c r="K20" s="119">
        <f t="shared" si="13"/>
        <v>176945.17347332826</v>
      </c>
      <c r="L20" s="119">
        <f t="shared" si="13"/>
        <v>187040.27756352612</v>
      </c>
      <c r="M20" s="119">
        <f t="shared" si="13"/>
        <v>190378.64787411288</v>
      </c>
      <c r="N20" s="119">
        <f t="shared" si="13"/>
        <v>194026.05142389392</v>
      </c>
      <c r="O20" s="119">
        <f t="shared" si="13"/>
        <v>197223.04554251742</v>
      </c>
      <c r="P20" s="119">
        <f t="shared" si="13"/>
        <v>200342.28967895196</v>
      </c>
      <c r="Q20" s="119">
        <f t="shared" si="13"/>
        <v>203549.52095591792</v>
      </c>
      <c r="R20" s="119">
        <f t="shared" si="13"/>
        <v>205119.9741963335</v>
      </c>
      <c r="AJ20" s="174"/>
      <c r="AK20" s="174"/>
      <c r="AL20" s="174"/>
      <c r="AM20" s="174"/>
      <c r="AN20" s="174"/>
      <c r="AO20" s="174"/>
      <c r="AP20" s="174"/>
      <c r="AQ20" s="174"/>
      <c r="AR20" s="174"/>
      <c r="AS20" s="174"/>
      <c r="AT20" s="174"/>
      <c r="AU20" s="174"/>
      <c r="AV20" s="174"/>
      <c r="AW20" s="174"/>
      <c r="AX20" s="174"/>
      <c r="AY20" s="174"/>
      <c r="AZ20" s="174"/>
    </row>
    <row r="21" spans="1:53">
      <c r="A21" s="113" t="s">
        <v>134</v>
      </c>
      <c r="B21" s="13">
        <f>'VO RD Feedstock'!B19+'Other RD Feedstock'!B20</f>
        <v>38674</v>
      </c>
      <c r="C21" s="13">
        <f>'VO RD Feedstock'!C19+'Other RD Feedstock'!C20</f>
        <v>39559</v>
      </c>
      <c r="D21" s="13">
        <f>'VO RD Feedstock'!D19+'Other RD Feedstock'!D20</f>
        <v>27306</v>
      </c>
      <c r="E21" s="13">
        <f>'VO RD Feedstock'!E19+'Other RD Feedstock'!E20</f>
        <v>46552</v>
      </c>
      <c r="F21" s="13">
        <f>'VO RD Feedstock'!F19+'Other RD Feedstock'!F20</f>
        <v>139921</v>
      </c>
      <c r="G21" s="119">
        <f t="shared" si="16"/>
        <v>123108.69532400928</v>
      </c>
      <c r="H21" s="119">
        <f t="shared" si="11"/>
        <v>160958.63797276741</v>
      </c>
      <c r="I21" s="119">
        <f t="shared" si="12"/>
        <v>215610.08559467798</v>
      </c>
      <c r="J21" s="119">
        <f t="shared" si="13"/>
        <v>231894.01963141511</v>
      </c>
      <c r="K21" s="119">
        <f t="shared" si="13"/>
        <v>234626.44697217789</v>
      </c>
      <c r="L21" s="119">
        <f t="shared" si="13"/>
        <v>248411.02006343167</v>
      </c>
      <c r="M21" s="119">
        <f t="shared" si="13"/>
        <v>252007.69383028804</v>
      </c>
      <c r="N21" s="119">
        <f t="shared" si="13"/>
        <v>257263.97229044931</v>
      </c>
      <c r="O21" s="119">
        <f t="shared" si="13"/>
        <v>261499.34459969253</v>
      </c>
      <c r="P21" s="119">
        <f t="shared" si="13"/>
        <v>265492.88694649638</v>
      </c>
      <c r="Q21" s="119">
        <f t="shared" si="13"/>
        <v>269839.92363862722</v>
      </c>
      <c r="R21" s="119">
        <f t="shared" si="13"/>
        <v>271905.09339547215</v>
      </c>
      <c r="AJ21" s="188" t="s">
        <v>218</v>
      </c>
      <c r="AK21" s="189"/>
      <c r="AL21" s="189">
        <f t="shared" ref="AL21:AZ21" si="19">AL17/AL16-1</f>
        <v>7.0047496536710829E-2</v>
      </c>
      <c r="AM21" s="189">
        <f t="shared" si="19"/>
        <v>0.14905518533148143</v>
      </c>
      <c r="AN21" s="189">
        <f t="shared" si="19"/>
        <v>0.22508846307918273</v>
      </c>
      <c r="AO21" s="189">
        <f t="shared" si="19"/>
        <v>6.6674968540268553E-2</v>
      </c>
      <c r="AP21" s="189">
        <f t="shared" si="19"/>
        <v>0.11149158452675256</v>
      </c>
      <c r="AQ21" s="190">
        <f t="shared" si="19"/>
        <v>0.11140320898183731</v>
      </c>
      <c r="AR21" s="190">
        <f t="shared" si="19"/>
        <v>9.7575451447268424E-2</v>
      </c>
      <c r="AS21" s="190">
        <f t="shared" si="19"/>
        <v>0.105559968533254</v>
      </c>
      <c r="AT21" s="190">
        <f t="shared" si="19"/>
        <v>0.10430461971135929</v>
      </c>
      <c r="AU21" s="190">
        <f t="shared" si="19"/>
        <v>0.10262694966374908</v>
      </c>
      <c r="AV21" s="190">
        <f t="shared" si="19"/>
        <v>0.10413262019730962</v>
      </c>
      <c r="AW21" s="190">
        <f t="shared" si="19"/>
        <v>0.10367915762628033</v>
      </c>
      <c r="AX21" s="190">
        <f t="shared" si="19"/>
        <v>0.10348565820467504</v>
      </c>
      <c r="AY21" s="190">
        <f t="shared" si="19"/>
        <v>0.10376195404004829</v>
      </c>
      <c r="AZ21" s="190">
        <f t="shared" si="19"/>
        <v>0.10364268041953983</v>
      </c>
    </row>
    <row r="22" spans="1:53">
      <c r="A22" s="113" t="s">
        <v>135</v>
      </c>
      <c r="B22" s="13">
        <f>'VO RD Feedstock'!B20+'Other RD Feedstock'!B21</f>
        <v>50537</v>
      </c>
      <c r="C22" s="13">
        <f>'VO RD Feedstock'!C20+'Other RD Feedstock'!C21</f>
        <v>36711</v>
      </c>
      <c r="D22" s="13">
        <f>'VO RD Feedstock'!D20+'Other RD Feedstock'!D21</f>
        <v>26417</v>
      </c>
      <c r="E22" s="13">
        <f>'VO RD Feedstock'!E20+'Other RD Feedstock'!E21</f>
        <v>43490</v>
      </c>
      <c r="F22" s="13">
        <f>'VO RD Feedstock'!F20+'Other RD Feedstock'!F21</f>
        <v>97049</v>
      </c>
      <c r="G22" s="119">
        <f t="shared" si="16"/>
        <v>107169.30395375688</v>
      </c>
      <c r="H22" s="119">
        <f t="shared" si="11"/>
        <v>128789.23987160181</v>
      </c>
      <c r="I22" s="119">
        <f t="shared" si="12"/>
        <v>169343.77526280133</v>
      </c>
      <c r="J22" s="119">
        <f t="shared" si="13"/>
        <v>188095.72013040024</v>
      </c>
      <c r="K22" s="119">
        <f t="shared" si="13"/>
        <v>187492.36801450583</v>
      </c>
      <c r="L22" s="119">
        <f t="shared" si="13"/>
        <v>198447.46671723452</v>
      </c>
      <c r="M22" s="119">
        <f t="shared" si="13"/>
        <v>202342.99237791591</v>
      </c>
      <c r="N22" s="119">
        <f t="shared" si="13"/>
        <v>205897.52166275014</v>
      </c>
      <c r="O22" s="119">
        <f t="shared" si="13"/>
        <v>209386.47832074043</v>
      </c>
      <c r="P22" s="119">
        <f t="shared" si="13"/>
        <v>212742.26842657919</v>
      </c>
      <c r="Q22" s="119">
        <f t="shared" si="13"/>
        <v>216085.71214583004</v>
      </c>
      <c r="R22" s="119">
        <f t="shared" si="13"/>
        <v>217779.56740643003</v>
      </c>
      <c r="AJ22" s="188"/>
      <c r="AK22" s="191"/>
      <c r="AL22" s="191">
        <f t="shared" ref="AL22:AZ22" si="20">AL17-AL16</f>
        <v>7079</v>
      </c>
      <c r="AM22" s="191">
        <f t="shared" si="20"/>
        <v>11698</v>
      </c>
      <c r="AN22" s="191">
        <f t="shared" si="20"/>
        <v>26971</v>
      </c>
      <c r="AO22" s="191">
        <f t="shared" si="20"/>
        <v>20346</v>
      </c>
      <c r="AP22" s="191">
        <f t="shared" si="20"/>
        <v>33671.374046744546</v>
      </c>
      <c r="AQ22" s="192">
        <f t="shared" si="20"/>
        <v>42107.716880837281</v>
      </c>
      <c r="AR22" s="192">
        <f t="shared" si="20"/>
        <v>48882.33343955013</v>
      </c>
      <c r="AS22" s="192">
        <f t="shared" si="20"/>
        <v>57853.802666539093</v>
      </c>
      <c r="AT22" s="192">
        <f t="shared" si="20"/>
        <v>57394.975732405903</v>
      </c>
      <c r="AU22" s="192">
        <f t="shared" si="20"/>
        <v>59771.515561869717</v>
      </c>
      <c r="AV22" s="192">
        <f t="shared" si="20"/>
        <v>61693.269183297758</v>
      </c>
      <c r="AW22" s="192">
        <f t="shared" si="20"/>
        <v>62600.46989381325</v>
      </c>
      <c r="AX22" s="192">
        <f t="shared" si="20"/>
        <v>63526.518857221701</v>
      </c>
      <c r="AY22" s="192">
        <f t="shared" si="20"/>
        <v>64694.885786393657</v>
      </c>
      <c r="AZ22" s="192">
        <f t="shared" si="20"/>
        <v>65656.299308644375</v>
      </c>
    </row>
    <row r="23" spans="1:53">
      <c r="A23" s="113" t="s">
        <v>136</v>
      </c>
      <c r="B23" s="13">
        <f>'VO RD Feedstock'!B21+'Other RD Feedstock'!B22</f>
        <v>37625</v>
      </c>
      <c r="C23" s="13">
        <f>'VO RD Feedstock'!C21+'Other RD Feedstock'!C22</f>
        <v>35728</v>
      </c>
      <c r="D23" s="13">
        <f>'VO RD Feedstock'!D21+'Other RD Feedstock'!D22</f>
        <v>26630</v>
      </c>
      <c r="E23" s="13">
        <f>'VO RD Feedstock'!E21+'Other RD Feedstock'!E22</f>
        <v>38671</v>
      </c>
      <c r="F23" s="13">
        <f>'VO RD Feedstock'!F21+'Other RD Feedstock'!F22</f>
        <v>140592</v>
      </c>
      <c r="G23" s="119">
        <f t="shared" si="16"/>
        <v>117726.70552733551</v>
      </c>
      <c r="H23" s="119">
        <f t="shared" si="11"/>
        <v>154411.77309783237</v>
      </c>
      <c r="I23" s="119">
        <f t="shared" si="12"/>
        <v>209885.14738592072</v>
      </c>
      <c r="J23" s="119">
        <f t="shared" si="13"/>
        <v>223701.11589393832</v>
      </c>
      <c r="K23" s="119">
        <f t="shared" si="13"/>
        <v>226735.14795108247</v>
      </c>
      <c r="L23" s="119">
        <f t="shared" si="13"/>
        <v>240468.80000461396</v>
      </c>
      <c r="M23" s="119">
        <f t="shared" si="13"/>
        <v>243538.56983991904</v>
      </c>
      <c r="N23" s="119">
        <f t="shared" si="13"/>
        <v>248758.1078534227</v>
      </c>
      <c r="O23" s="119">
        <f t="shared" si="13"/>
        <v>252899.65794034224</v>
      </c>
      <c r="P23" s="119">
        <f t="shared" si="13"/>
        <v>256683.66316010564</v>
      </c>
      <c r="Q23" s="119">
        <f t="shared" si="13"/>
        <v>260923.39758340604</v>
      </c>
      <c r="R23" s="119">
        <f t="shared" si="13"/>
        <v>262921.99673716718</v>
      </c>
      <c r="AJ23" s="193" t="s">
        <v>219</v>
      </c>
      <c r="AK23" s="194"/>
      <c r="AL23" s="194">
        <f t="shared" ref="AL23:AZ23" si="21">AL17/AK17-1</f>
        <v>-0.13913036555852754</v>
      </c>
      <c r="AM23" s="194">
        <f t="shared" si="21"/>
        <v>-0.16608254191364813</v>
      </c>
      <c r="AN23" s="194">
        <f t="shared" si="21"/>
        <v>0.62781800640947449</v>
      </c>
      <c r="AO23" s="194">
        <f t="shared" si="21"/>
        <v>1.2173643516468546</v>
      </c>
      <c r="AP23" s="194">
        <f t="shared" si="21"/>
        <v>3.1280025085298924E-2</v>
      </c>
      <c r="AQ23" s="195">
        <f t="shared" si="21"/>
        <v>0.25144195086330345</v>
      </c>
      <c r="AR23" s="195">
        <f t="shared" si="21"/>
        <v>0.30891096272077956</v>
      </c>
      <c r="AS23" s="195">
        <f t="shared" si="21"/>
        <v>0.10196859530808489</v>
      </c>
      <c r="AT23" s="195">
        <f t="shared" si="21"/>
        <v>2.8691200372912284E-3</v>
      </c>
      <c r="AU23" s="195">
        <f t="shared" si="21"/>
        <v>5.6822932312837526E-2</v>
      </c>
      <c r="AV23" s="195">
        <f t="shared" si="21"/>
        <v>1.8616668905580003E-2</v>
      </c>
      <c r="AW23" s="195">
        <f t="shared" si="21"/>
        <v>1.8724487043766391E-2</v>
      </c>
      <c r="AX23" s="195">
        <f t="shared" si="21"/>
        <v>1.6512233973274837E-2</v>
      </c>
      <c r="AY23" s="195">
        <f t="shared" si="21"/>
        <v>1.5934350079850113E-2</v>
      </c>
      <c r="AZ23" s="195">
        <f t="shared" si="21"/>
        <v>1.5918859078586145E-2</v>
      </c>
    </row>
    <row r="24" spans="1:53">
      <c r="A24" s="113" t="s">
        <v>137</v>
      </c>
      <c r="B24" s="13">
        <f>'VO RD Feedstock'!B22+'Other RD Feedstock'!B23</f>
        <v>37454</v>
      </c>
      <c r="C24" s="13">
        <f>'VO RD Feedstock'!C22+'Other RD Feedstock'!C23</f>
        <v>35700</v>
      </c>
      <c r="D24" s="13">
        <f>'VO RD Feedstock'!D22+'Other RD Feedstock'!D23</f>
        <v>37132</v>
      </c>
      <c r="E24" s="13">
        <f>'VO RD Feedstock'!E22+'Other RD Feedstock'!E23</f>
        <v>64634</v>
      </c>
      <c r="F24" s="13">
        <f>'VO RD Feedstock'!F22+'Other RD Feedstock'!F23</f>
        <v>87857</v>
      </c>
      <c r="G24" s="119">
        <f t="shared" si="16"/>
        <v>110783.57612412225</v>
      </c>
      <c r="H24" s="119">
        <f t="shared" si="11"/>
        <v>136882.5025053409</v>
      </c>
      <c r="I24" s="119">
        <f t="shared" si="12"/>
        <v>170622.99601449526</v>
      </c>
      <c r="J24" s="119">
        <f t="shared" si="13"/>
        <v>194122.7104124224</v>
      </c>
      <c r="K24" s="119">
        <f t="shared" si="13"/>
        <v>193430.48638284075</v>
      </c>
      <c r="L24" s="119">
        <f t="shared" si="13"/>
        <v>203270.64516337941</v>
      </c>
      <c r="M24" s="119">
        <f t="shared" si="13"/>
        <v>208260.73078145707</v>
      </c>
      <c r="N24" s="119">
        <f t="shared" si="13"/>
        <v>211735.14237316413</v>
      </c>
      <c r="O24" s="119">
        <f t="shared" si="13"/>
        <v>215108.23597132208</v>
      </c>
      <c r="P24" s="119">
        <f t="shared" si="13"/>
        <v>218762.27971499143</v>
      </c>
      <c r="Q24" s="119">
        <f t="shared" si="13"/>
        <v>222134.27272769576</v>
      </c>
      <c r="R24" s="119">
        <f t="shared" si="13"/>
        <v>223850.20747589812</v>
      </c>
      <c r="AJ24" s="193"/>
      <c r="AK24" s="196"/>
      <c r="AL24" s="196">
        <f t="shared" ref="AL24:AZ24" si="22">AL17-AK17</f>
        <v>-17477</v>
      </c>
      <c r="AM24" s="196">
        <f t="shared" si="22"/>
        <v>-17960</v>
      </c>
      <c r="AN24" s="196">
        <f t="shared" si="22"/>
        <v>56616</v>
      </c>
      <c r="AO24" s="196">
        <f t="shared" si="22"/>
        <v>178703</v>
      </c>
      <c r="AP24" s="196">
        <f t="shared" si="22"/>
        <v>10181.585605214641</v>
      </c>
      <c r="AQ24" s="197">
        <f t="shared" si="22"/>
        <v>84403.929869560408</v>
      </c>
      <c r="AR24" s="197">
        <f t="shared" si="22"/>
        <v>129768.40318844229</v>
      </c>
      <c r="AS24" s="197">
        <f t="shared" si="22"/>
        <v>56067.627773543587</v>
      </c>
      <c r="AT24" s="197">
        <f t="shared" si="22"/>
        <v>1738.4559116681339</v>
      </c>
      <c r="AU24" s="197">
        <f t="shared" si="22"/>
        <v>34528.909536798834</v>
      </c>
      <c r="AV24" s="197">
        <f t="shared" si="22"/>
        <v>11955.381114064134</v>
      </c>
      <c r="AW24" s="197">
        <f t="shared" si="22"/>
        <v>12248.478890044848</v>
      </c>
      <c r="AX24" s="197">
        <f t="shared" si="22"/>
        <v>11003.600343067897</v>
      </c>
      <c r="AY24" s="197">
        <f t="shared" si="22"/>
        <v>10793.83906927146</v>
      </c>
      <c r="AZ24" s="197">
        <f t="shared" si="22"/>
        <v>10955.171155255637</v>
      </c>
    </row>
    <row r="25" spans="1:53">
      <c r="A25" s="113" t="s">
        <v>138</v>
      </c>
      <c r="B25" s="13">
        <f>'VO RD Feedstock'!B23+'Other RD Feedstock'!B24</f>
        <v>37762</v>
      </c>
      <c r="C25" s="13">
        <f>'VO RD Feedstock'!C23+'Other RD Feedstock'!C24</f>
        <v>34500</v>
      </c>
      <c r="D25" s="13">
        <f>'VO RD Feedstock'!D23+'Other RD Feedstock'!D24</f>
        <v>67087</v>
      </c>
      <c r="E25" s="13">
        <f>'VO RD Feedstock'!E23+'Other RD Feedstock'!E24</f>
        <v>40441</v>
      </c>
      <c r="F25" s="13">
        <f>'VO RD Feedstock'!F23+'Other RD Feedstock'!F24</f>
        <v>89600</v>
      </c>
      <c r="G25" s="119">
        <f t="shared" si="16"/>
        <v>113571.53621541191</v>
      </c>
      <c r="H25" s="119">
        <f t="shared" si="11"/>
        <v>126659.75609858082</v>
      </c>
      <c r="I25" s="119">
        <f t="shared" si="12"/>
        <v>167728.56133719441</v>
      </c>
      <c r="J25" s="119">
        <f t="shared" si="13"/>
        <v>189329.04857157133</v>
      </c>
      <c r="K25" s="119">
        <f t="shared" si="13"/>
        <v>186523.97076668998</v>
      </c>
      <c r="L25" s="119">
        <f t="shared" si="13"/>
        <v>197955.73517140109</v>
      </c>
      <c r="M25" s="119">
        <f t="shared" si="13"/>
        <v>202263.04704769354</v>
      </c>
      <c r="N25" s="119">
        <f t="shared" si="13"/>
        <v>205358.49956203697</v>
      </c>
      <c r="O25" s="119">
        <f t="shared" si="13"/>
        <v>209003.14231508956</v>
      </c>
      <c r="P25" s="119">
        <f t="shared" si="13"/>
        <v>212397.02395153465</v>
      </c>
      <c r="Q25" s="119">
        <f t="shared" si="13"/>
        <v>215649.56668456615</v>
      </c>
      <c r="R25" s="119">
        <f t="shared" si="13"/>
        <v>217382.12496642821</v>
      </c>
      <c r="AJ25" s="198" t="s">
        <v>219</v>
      </c>
      <c r="AK25" s="189"/>
      <c r="AL25" s="189">
        <f t="shared" ref="AL25:AZ25" si="23">AL19/AK19-1</f>
        <v>-8.8494124077616809E-2</v>
      </c>
      <c r="AM25" s="189">
        <f t="shared" si="23"/>
        <v>-8.190693211801392E-2</v>
      </c>
      <c r="AN25" s="189">
        <f t="shared" si="23"/>
        <v>0.41256110337476137</v>
      </c>
      <c r="AO25" s="189">
        <f t="shared" si="23"/>
        <v>1.0732527900980648</v>
      </c>
      <c r="AP25" s="190">
        <f t="shared" si="23"/>
        <v>9.7709266116879023E-2</v>
      </c>
      <c r="AQ25" s="190">
        <f t="shared" si="23"/>
        <v>0.22202093944047885</v>
      </c>
      <c r="AR25" s="190">
        <f t="shared" si="23"/>
        <v>0.3037615109791334</v>
      </c>
      <c r="AS25" s="190">
        <f t="shared" si="23"/>
        <v>0.11133612419787919</v>
      </c>
      <c r="AT25" s="190">
        <f t="shared" si="23"/>
        <v>-1.286830805792949E-3</v>
      </c>
      <c r="AU25" s="190">
        <f t="shared" si="23"/>
        <v>5.6916118692683204E-2</v>
      </c>
      <c r="AV25" s="190">
        <f t="shared" si="23"/>
        <v>1.9941804486515613E-2</v>
      </c>
      <c r="AW25" s="190">
        <f t="shared" si="23"/>
        <v>1.7827030579316228E-2</v>
      </c>
      <c r="AX25" s="190">
        <f t="shared" si="23"/>
        <v>1.6671719324033329E-2</v>
      </c>
      <c r="AY25" s="190">
        <f t="shared" si="23"/>
        <v>1.6122258662337741E-2</v>
      </c>
      <c r="AZ25" s="190">
        <f t="shared" si="23"/>
        <v>1.5742360976199521E-2</v>
      </c>
    </row>
    <row r="26" spans="1:53">
      <c r="A26" s="113" t="s">
        <v>139</v>
      </c>
      <c r="B26" s="13">
        <f>'VO RD Feedstock'!B24+'Other RD Feedstock'!B25</f>
        <v>42778</v>
      </c>
      <c r="C26" s="13">
        <f>'VO RD Feedstock'!C24+'Other RD Feedstock'!C25</f>
        <v>37410</v>
      </c>
      <c r="D26" s="13">
        <f>'VO RD Feedstock'!D24+'Other RD Feedstock'!D25</f>
        <v>41600</v>
      </c>
      <c r="E26" s="13">
        <f>'VO RD Feedstock'!E24+'Other RD Feedstock'!E25</f>
        <v>72303</v>
      </c>
      <c r="F26" s="13">
        <f>'VO RD Feedstock'!F24+'Other RD Feedstock'!F25</f>
        <v>88216</v>
      </c>
      <c r="G26" s="119">
        <f t="shared" si="16"/>
        <v>119017.18576919816</v>
      </c>
      <c r="H26" s="119">
        <f t="shared" si="11"/>
        <v>145337.28707190519</v>
      </c>
      <c r="I26" s="119">
        <f t="shared" si="12"/>
        <v>179292.07918609559</v>
      </c>
      <c r="J26" s="119">
        <f t="shared" si="13"/>
        <v>205890.79745377362</v>
      </c>
      <c r="K26" s="119">
        <f t="shared" si="13"/>
        <v>204571.37671962701</v>
      </c>
      <c r="L26" s="119">
        <f t="shared" si="13"/>
        <v>214770.40603394233</v>
      </c>
      <c r="M26" s="119">
        <f t="shared" si="13"/>
        <v>220389.53883562464</v>
      </c>
      <c r="N26" s="119">
        <f t="shared" si="13"/>
        <v>223904.36636134938</v>
      </c>
      <c r="O26" s="119">
        <f t="shared" si="13"/>
        <v>227463.1433164895</v>
      </c>
      <c r="P26" s="119">
        <f t="shared" si="13"/>
        <v>231387.4233149981</v>
      </c>
      <c r="Q26" s="119">
        <f t="shared" si="13"/>
        <v>234916.26598730675</v>
      </c>
      <c r="R26" s="119">
        <f t="shared" si="13"/>
        <v>236735.84730543607</v>
      </c>
      <c r="AJ26" s="198"/>
      <c r="AK26" s="191"/>
      <c r="AL26" s="191">
        <f t="shared" ref="AL26:AZ26" si="24">AL19-AK19</f>
        <v>-40475</v>
      </c>
      <c r="AM26" s="191">
        <f t="shared" si="24"/>
        <v>-34147</v>
      </c>
      <c r="AN26" s="191">
        <f t="shared" si="24"/>
        <v>157909</v>
      </c>
      <c r="AO26" s="191">
        <f t="shared" si="24"/>
        <v>580267</v>
      </c>
      <c r="AP26" s="192">
        <f t="shared" si="24"/>
        <v>109525.14995912719</v>
      </c>
      <c r="AQ26" s="192">
        <f t="shared" si="24"/>
        <v>273186.58631236129</v>
      </c>
      <c r="AR26" s="192">
        <f t="shared" si="24"/>
        <v>456748.1820196039</v>
      </c>
      <c r="AS26" s="192">
        <f t="shared" si="24"/>
        <v>218262.10408300301</v>
      </c>
      <c r="AT26" s="192">
        <f t="shared" si="24"/>
        <v>-2803.5552506633103</v>
      </c>
      <c r="AU26" s="192">
        <f t="shared" si="24"/>
        <v>123840.79269597121</v>
      </c>
      <c r="AV26" s="192">
        <f t="shared" si="24"/>
        <v>45859.933657254092</v>
      </c>
      <c r="AW26" s="192">
        <f t="shared" si="24"/>
        <v>41814.159370368347</v>
      </c>
      <c r="AX26" s="192">
        <f t="shared" si="24"/>
        <v>39801.435071429238</v>
      </c>
      <c r="AY26" s="192">
        <f t="shared" si="24"/>
        <v>39131.362404680811</v>
      </c>
      <c r="AZ26" s="192">
        <f t="shared" si="24"/>
        <v>38825.30853023706</v>
      </c>
    </row>
    <row r="27" spans="1:53">
      <c r="A27" s="113" t="s">
        <v>140</v>
      </c>
      <c r="B27" s="13">
        <f>'VO RD Feedstock'!B25+'Other RD Feedstock'!B26</f>
        <v>36655</v>
      </c>
      <c r="C27" s="13">
        <f>'VO RD Feedstock'!C25+'Other RD Feedstock'!C26</f>
        <v>41007</v>
      </c>
      <c r="D27" s="13">
        <f>'VO RD Feedstock'!D25+'Other RD Feedstock'!D26</f>
        <v>36861</v>
      </c>
      <c r="E27" s="13">
        <f>'VO RD Feedstock'!E25+'Other RD Feedstock'!E26</f>
        <v>46819</v>
      </c>
      <c r="F27" s="13">
        <f>'VO RD Feedstock'!F25+'Other RD Feedstock'!F26</f>
        <v>94660</v>
      </c>
      <c r="G27" s="119">
        <f t="shared" ref="G27:R27" si="25">G28-SUM(G16:G26)</f>
        <v>209172.15313680691</v>
      </c>
      <c r="H27" s="119">
        <f t="shared" si="25"/>
        <v>182311.5929170493</v>
      </c>
      <c r="I27" s="119">
        <f t="shared" si="25"/>
        <v>247217.87480086344</v>
      </c>
      <c r="J27" s="119">
        <f t="shared" si="25"/>
        <v>296413.40714112832</v>
      </c>
      <c r="K27" s="119">
        <f t="shared" si="25"/>
        <v>279927.40613418072</v>
      </c>
      <c r="L27" s="119">
        <f t="shared" si="25"/>
        <v>299914.80828385311</v>
      </c>
      <c r="M27" s="119">
        <f t="shared" si="25"/>
        <v>308873.17528063641</v>
      </c>
      <c r="N27" s="119">
        <f t="shared" si="25"/>
        <v>311048.16895903205</v>
      </c>
      <c r="O27" s="119">
        <f t="shared" si="25"/>
        <v>317463.43873236794</v>
      </c>
      <c r="P27" s="119">
        <f t="shared" si="25"/>
        <v>322883.17639028234</v>
      </c>
      <c r="Q27" s="119">
        <f t="shared" si="25"/>
        <v>327347.48495565029</v>
      </c>
      <c r="R27" s="119">
        <f t="shared" si="25"/>
        <v>330208.75594435539</v>
      </c>
    </row>
    <row r="28" spans="1:53" ht="12" thickBot="1">
      <c r="A28" s="113" t="s">
        <v>141</v>
      </c>
      <c r="B28" s="13">
        <f>SUM(B16:B27)</f>
        <v>457375</v>
      </c>
      <c r="C28" s="13">
        <f>SUM(C16:C27)</f>
        <v>416900</v>
      </c>
      <c r="D28" s="13">
        <f>'VO RD Feedstock'!D26+'Other RD Feedstock'!D27</f>
        <v>382753</v>
      </c>
      <c r="E28" s="13">
        <f>'VO RD Feedstock'!E26+'Other RD Feedstock'!E27</f>
        <v>540662</v>
      </c>
      <c r="F28" s="13">
        <f>'VO RD Feedstock'!F26+'Other RD Feedstock'!F27</f>
        <v>1120929</v>
      </c>
      <c r="G28" s="119">
        <f t="shared" ref="G28:R28" si="26">G5</f>
        <v>1230454.1499591272</v>
      </c>
      <c r="H28" s="119">
        <f t="shared" si="26"/>
        <v>1503640.7362714887</v>
      </c>
      <c r="I28" s="119">
        <f t="shared" si="26"/>
        <v>1960388.9182910924</v>
      </c>
      <c r="J28" s="119">
        <f t="shared" si="26"/>
        <v>2178651.0223740959</v>
      </c>
      <c r="K28" s="119">
        <f t="shared" si="26"/>
        <v>2175847.4671234321</v>
      </c>
      <c r="L28" s="119">
        <f t="shared" si="26"/>
        <v>2299688.2598194038</v>
      </c>
      <c r="M28" s="119">
        <f t="shared" si="26"/>
        <v>2345548.1934766574</v>
      </c>
      <c r="N28" s="119">
        <f t="shared" si="26"/>
        <v>2387362.3528470257</v>
      </c>
      <c r="O28" s="119">
        <f t="shared" si="26"/>
        <v>2427163.7879184545</v>
      </c>
      <c r="P28" s="119">
        <f t="shared" si="26"/>
        <v>2466295.1503231358</v>
      </c>
      <c r="Q28" s="119">
        <f t="shared" si="26"/>
        <v>2505120.4588533728</v>
      </c>
      <c r="R28" s="119">
        <f t="shared" si="26"/>
        <v>2524636.3476563375</v>
      </c>
    </row>
    <row r="29" spans="1:53" ht="12" thickBot="1">
      <c r="A29" s="199"/>
      <c r="B29" s="199"/>
      <c r="C29" s="199"/>
      <c r="D29" s="199"/>
      <c r="E29" s="199"/>
      <c r="F29" s="199"/>
      <c r="G29" s="199"/>
      <c r="H29" s="199"/>
      <c r="I29" s="199"/>
      <c r="J29" s="199"/>
      <c r="K29" s="199"/>
      <c r="L29" s="199"/>
      <c r="M29" s="199"/>
      <c r="N29" s="199"/>
      <c r="O29" s="199"/>
      <c r="P29" s="199"/>
      <c r="Q29" s="199"/>
      <c r="R29" s="199"/>
      <c r="S29" s="199"/>
      <c r="T29" s="199"/>
      <c r="U29" s="199"/>
      <c r="V29" s="199"/>
      <c r="W29" s="199"/>
      <c r="X29" s="199"/>
      <c r="Y29" s="199"/>
      <c r="Z29" s="199"/>
      <c r="AA29" s="199"/>
      <c r="AB29" s="199"/>
      <c r="AC29" s="199"/>
      <c r="AD29" s="199"/>
      <c r="AE29" s="199"/>
      <c r="AF29" s="199"/>
      <c r="AJ29" s="175" t="s">
        <v>65</v>
      </c>
      <c r="AK29" s="175"/>
      <c r="AL29" s="175"/>
      <c r="AM29" s="175"/>
      <c r="AN29" s="175"/>
      <c r="AO29" s="175"/>
      <c r="AP29" s="175"/>
      <c r="AQ29" s="175"/>
      <c r="AR29" s="175"/>
      <c r="AS29" s="175"/>
      <c r="AT29" s="175"/>
      <c r="AU29" s="174"/>
      <c r="AV29" s="174"/>
      <c r="AW29" s="174"/>
      <c r="AX29" s="174"/>
      <c r="AY29" s="174"/>
      <c r="AZ29" s="174"/>
      <c r="BA29" s="174"/>
    </row>
    <row r="30" spans="1:53" ht="12" thickBot="1">
      <c r="A30" s="138" t="s">
        <v>263</v>
      </c>
      <c r="AJ30" s="174"/>
      <c r="AK30" s="178">
        <v>2018</v>
      </c>
      <c r="AL30" s="178">
        <v>2019</v>
      </c>
      <c r="AM30" s="178">
        <v>2020</v>
      </c>
      <c r="AN30" s="178">
        <v>2021</v>
      </c>
      <c r="AO30" s="178">
        <v>2022</v>
      </c>
      <c r="AP30" s="178">
        <v>2023</v>
      </c>
      <c r="AQ30" s="201">
        <v>2024</v>
      </c>
      <c r="AR30" s="202">
        <v>2025</v>
      </c>
      <c r="AS30" s="202">
        <v>2026</v>
      </c>
      <c r="AT30" s="202">
        <v>2027</v>
      </c>
      <c r="AU30" s="202">
        <v>2028</v>
      </c>
      <c r="AV30" s="202">
        <v>2029</v>
      </c>
      <c r="AW30" s="202">
        <v>2030</v>
      </c>
      <c r="AX30" s="202">
        <v>2031</v>
      </c>
      <c r="AY30" s="202">
        <v>2032</v>
      </c>
      <c r="AZ30" s="203">
        <v>2033</v>
      </c>
    </row>
    <row r="31" spans="1:53" ht="12" thickBot="1">
      <c r="A31" s="176"/>
      <c r="B31" s="177">
        <f>B3</f>
        <v>2020</v>
      </c>
      <c r="C31" s="177">
        <f t="shared" ref="C31:AF31" si="27">C3</f>
        <v>2021</v>
      </c>
      <c r="D31" s="177">
        <f t="shared" si="27"/>
        <v>2022</v>
      </c>
      <c r="E31" s="177">
        <f t="shared" si="27"/>
        <v>2023</v>
      </c>
      <c r="F31" s="177">
        <f t="shared" si="27"/>
        <v>2024</v>
      </c>
      <c r="G31" s="177">
        <f t="shared" si="27"/>
        <v>2025</v>
      </c>
      <c r="H31" s="177">
        <f t="shared" si="27"/>
        <v>2026</v>
      </c>
      <c r="I31" s="177">
        <f t="shared" si="27"/>
        <v>2027</v>
      </c>
      <c r="J31" s="177">
        <f t="shared" si="27"/>
        <v>2028</v>
      </c>
      <c r="K31" s="177">
        <f t="shared" si="27"/>
        <v>2029</v>
      </c>
      <c r="L31" s="177">
        <f t="shared" si="27"/>
        <v>2030</v>
      </c>
      <c r="M31" s="177">
        <f t="shared" si="27"/>
        <v>2031</v>
      </c>
      <c r="N31" s="177">
        <f t="shared" si="27"/>
        <v>2032</v>
      </c>
      <c r="O31" s="177">
        <f t="shared" si="27"/>
        <v>2033</v>
      </c>
      <c r="P31" s="177">
        <f t="shared" si="27"/>
        <v>2034</v>
      </c>
      <c r="Q31" s="177">
        <f t="shared" si="27"/>
        <v>2035</v>
      </c>
      <c r="R31" s="177">
        <f t="shared" si="27"/>
        <v>2036</v>
      </c>
      <c r="S31" s="177">
        <f t="shared" si="27"/>
        <v>2037</v>
      </c>
      <c r="T31" s="177">
        <f t="shared" si="27"/>
        <v>2038</v>
      </c>
      <c r="U31" s="177">
        <f t="shared" si="27"/>
        <v>2039</v>
      </c>
      <c r="V31" s="177">
        <f t="shared" si="27"/>
        <v>2040</v>
      </c>
      <c r="W31" s="177">
        <f t="shared" si="27"/>
        <v>2041</v>
      </c>
      <c r="X31" s="177">
        <f t="shared" si="27"/>
        <v>2042</v>
      </c>
      <c r="Y31" s="177">
        <f t="shared" si="27"/>
        <v>2043</v>
      </c>
      <c r="Z31" s="177">
        <f t="shared" si="27"/>
        <v>2044</v>
      </c>
      <c r="AA31" s="177">
        <f t="shared" si="27"/>
        <v>2045</v>
      </c>
      <c r="AB31" s="177">
        <f t="shared" si="27"/>
        <v>2046</v>
      </c>
      <c r="AC31" s="177">
        <f t="shared" si="27"/>
        <v>2047</v>
      </c>
      <c r="AD31" s="177">
        <f t="shared" si="27"/>
        <v>2048</v>
      </c>
      <c r="AE31" s="177">
        <f t="shared" si="27"/>
        <v>2049</v>
      </c>
      <c r="AF31" s="177">
        <f t="shared" si="27"/>
        <v>2050</v>
      </c>
      <c r="AG31" s="248"/>
      <c r="AJ31" s="179" t="s">
        <v>213</v>
      </c>
      <c r="AK31" s="180">
        <f t="shared" ref="AK31:AZ31" si="28">SUM(A34:A36)</f>
        <v>0</v>
      </c>
      <c r="AL31" s="180">
        <f t="shared" si="28"/>
        <v>105568</v>
      </c>
      <c r="AM31" s="180">
        <f t="shared" si="28"/>
        <v>96848</v>
      </c>
      <c r="AN31" s="180">
        <f t="shared" si="28"/>
        <v>79689</v>
      </c>
      <c r="AO31" s="180">
        <f t="shared" si="28"/>
        <v>115645</v>
      </c>
      <c r="AP31" s="180">
        <f t="shared" si="28"/>
        <v>300619</v>
      </c>
      <c r="AQ31" s="204">
        <f t="shared" si="28"/>
        <v>285882.78974985692</v>
      </c>
      <c r="AR31" s="183">
        <f t="shared" si="28"/>
        <v>358088.49880786194</v>
      </c>
      <c r="AS31" s="183">
        <f t="shared" si="28"/>
        <v>471180.21319048235</v>
      </c>
      <c r="AT31" s="183">
        <f t="shared" si="28"/>
        <v>516720.87276112463</v>
      </c>
      <c r="AU31" s="183">
        <f t="shared" si="28"/>
        <v>518803.5400523257</v>
      </c>
      <c r="AV31" s="183">
        <f t="shared" si="28"/>
        <v>548138.74174406053</v>
      </c>
      <c r="AW31" s="183">
        <f t="shared" si="28"/>
        <v>558369.15430177958</v>
      </c>
      <c r="AX31" s="183">
        <f t="shared" si="28"/>
        <v>569097.63781712926</v>
      </c>
      <c r="AY31" s="183">
        <f t="shared" si="28"/>
        <v>578535.54878246912</v>
      </c>
      <c r="AZ31" s="205">
        <f t="shared" si="28"/>
        <v>587663.97206882294</v>
      </c>
    </row>
    <row r="32" spans="1:53">
      <c r="A32" s="113" t="s">
        <v>129</v>
      </c>
      <c r="B32" s="13">
        <f>'VO RD Feedstock'!B30+'Other RD Feedstock'!B31</f>
        <v>36790</v>
      </c>
      <c r="C32" s="13">
        <f>'VO RD Feedstock'!C30+'Other RD Feedstock'!C31</f>
        <v>29827</v>
      </c>
      <c r="D32" s="13">
        <f>'VO RD Feedstock'!D30+'Other RD Feedstock'!D31</f>
        <v>20790</v>
      </c>
      <c r="E32" s="13">
        <f>'VO RD Feedstock'!E30+'Other RD Feedstock'!E31</f>
        <v>36009</v>
      </c>
      <c r="F32" s="13">
        <f>'VO RD Feedstock'!F30+'Other RD Feedstock'!F31</f>
        <v>50094</v>
      </c>
      <c r="G32" s="13">
        <f>'VO RD Feedstock'!G30+'Other RD Feedstock'!G31</f>
        <v>39161</v>
      </c>
      <c r="H32" s="119">
        <f>'Renewable Fuel Ex Ethanol'!O22*(AVERAGE('Renewable Fuel Ex Ethanol'!J22:N22)/(AVERAGE('Total RD Feedstock'!C32:G32)))</f>
        <v>58709.117696312096</v>
      </c>
      <c r="I32" s="119">
        <f>'Renewable Fuel Ex Ethanol'!P22*(AVERAGE('Renewable Fuel Ex Ethanol'!K22:O22)/(AVERAGE('Total RD Feedstock'!D32:H32)))</f>
        <v>71112.483802619303</v>
      </c>
      <c r="J32" s="119">
        <f>'Renewable Fuel Ex Ethanol'!Q22*(AVERAGE('Renewable Fuel Ex Ethanol'!L22:P22)/(AVERAGE('Total RD Feedstock'!E32:I32)))</f>
        <v>78824.593674893214</v>
      </c>
      <c r="K32" s="119">
        <f>'Renewable Fuel Ex Ethanol'!R22*(AVERAGE('Renewable Fuel Ex Ethanol'!M22:Q22)/(AVERAGE('Total RD Feedstock'!F32:J32)))</f>
        <v>81439.665853847662</v>
      </c>
      <c r="L32" s="119">
        <f>'Renewable Fuel Ex Ethanol'!S22*(AVERAGE('Renewable Fuel Ex Ethanol'!N22:R22)/(AVERAGE('Total RD Feedstock'!G32:K32)))</f>
        <v>86070.257878455319</v>
      </c>
      <c r="M32" s="119">
        <f>'Renewable Fuel Ex Ethanol'!T22*(AVERAGE('Renewable Fuel Ex Ethanol'!O22:S22)/(AVERAGE('Total RD Feedstock'!H32:L32)))</f>
        <v>87709.666242026287</v>
      </c>
      <c r="N32" s="119">
        <f>'Renewable Fuel Ex Ethanol'!U22*(AVERAGE('Renewable Fuel Ex Ethanol'!P22:T22)/(AVERAGE('Total RD Feedstock'!I32:M32)))</f>
        <v>88971.839351375136</v>
      </c>
      <c r="O32" s="119">
        <f>'Renewable Fuel Ex Ethanol'!V22*(AVERAGE('Renewable Fuel Ex Ethanol'!Q22:U22)/(AVERAGE('Total RD Feedstock'!J32:N32)))</f>
        <v>89915.035163719964</v>
      </c>
      <c r="P32" s="119">
        <f>'Renewable Fuel Ex Ethanol'!W22*(AVERAGE('Renewable Fuel Ex Ethanol'!R22:V22)/(AVERAGE('Total RD Feedstock'!K32:O32)))</f>
        <v>91309.607192775729</v>
      </c>
      <c r="Q32" s="119">
        <f>'Renewable Fuel Ex Ethanol'!X22*(AVERAGE('Renewable Fuel Ex Ethanol'!S22:W22)/(AVERAGE('Total RD Feedstock'!L32:P32)))</f>
        <v>92754.927017645532</v>
      </c>
      <c r="R32" s="119">
        <f>'Renewable Fuel Ex Ethanol'!Y22*(AVERAGE('Renewable Fuel Ex Ethanol'!T22:X22)/(AVERAGE('Total RD Feedstock'!M32:Q32)))</f>
        <v>93693.366413521493</v>
      </c>
      <c r="S32" s="118"/>
      <c r="T32" s="118"/>
      <c r="U32" s="118"/>
      <c r="V32" s="118"/>
      <c r="W32" s="118"/>
      <c r="X32" s="118"/>
      <c r="Y32" s="118"/>
      <c r="Z32" s="118"/>
      <c r="AA32" s="118"/>
      <c r="AB32" s="118"/>
      <c r="AC32" s="118"/>
      <c r="AD32" s="118"/>
      <c r="AE32" s="118"/>
      <c r="AF32" s="118"/>
      <c r="AG32" s="118"/>
      <c r="AJ32" s="181" t="s">
        <v>214</v>
      </c>
      <c r="AK32" s="250">
        <f t="shared" ref="AK32:AZ32" si="29">SUM(A37:A39)</f>
        <v>0</v>
      </c>
      <c r="AL32" s="250">
        <f t="shared" si="29"/>
        <v>122214</v>
      </c>
      <c r="AM32" s="250">
        <f t="shared" si="29"/>
        <v>112502</v>
      </c>
      <c r="AN32" s="250">
        <f t="shared" si="29"/>
        <v>80056</v>
      </c>
      <c r="AO32" s="250">
        <f t="shared" si="29"/>
        <v>130568</v>
      </c>
      <c r="AP32" s="250">
        <f t="shared" si="29"/>
        <v>330035</v>
      </c>
      <c r="AQ32" s="206">
        <f t="shared" si="29"/>
        <v>314044.95511474391</v>
      </c>
      <c r="AR32" s="207">
        <f t="shared" si="29"/>
        <v>395837.003382002</v>
      </c>
      <c r="AS32" s="207">
        <f t="shared" si="29"/>
        <v>518906.10704870615</v>
      </c>
      <c r="AT32" s="207">
        <f t="shared" si="29"/>
        <v>569946.44204666768</v>
      </c>
      <c r="AU32" s="207">
        <f t="shared" si="29"/>
        <v>572016.82435692847</v>
      </c>
      <c r="AV32" s="207">
        <f t="shared" si="29"/>
        <v>604445.78210211149</v>
      </c>
      <c r="AW32" s="207">
        <f t="shared" si="29"/>
        <v>615442.23822047166</v>
      </c>
      <c r="AX32" s="207">
        <f t="shared" si="29"/>
        <v>627356.05472554732</v>
      </c>
      <c r="AY32" s="207">
        <f t="shared" si="29"/>
        <v>637772.08982895443</v>
      </c>
      <c r="AZ32" s="208">
        <f t="shared" si="29"/>
        <v>647888.31005492818</v>
      </c>
    </row>
    <row r="33" spans="1:53">
      <c r="A33" s="113" t="s">
        <v>130</v>
      </c>
      <c r="B33" s="13">
        <f>'VO RD Feedstock'!B31+'Other RD Feedstock'!B32</f>
        <v>34773</v>
      </c>
      <c r="C33" s="13">
        <f>'VO RD Feedstock'!C31+'Other RD Feedstock'!C32</f>
        <v>30819</v>
      </c>
      <c r="D33" s="13">
        <f>'VO RD Feedstock'!D31+'Other RD Feedstock'!D32</f>
        <v>21123</v>
      </c>
      <c r="E33" s="13">
        <f>'VO RD Feedstock'!E31+'Other RD Feedstock'!E32</f>
        <v>36521</v>
      </c>
      <c r="F33" s="13">
        <f>'VO RD Feedstock'!F31+'Other RD Feedstock'!F32</f>
        <v>64581</v>
      </c>
      <c r="G33" s="13">
        <f>'VO RD Feedstock'!G31+'Other RD Feedstock'!G32</f>
        <v>37530</v>
      </c>
      <c r="H33" s="119">
        <f>'Renewable Fuel Ex Ethanol'!O23*(AVERAGE('Renewable Fuel Ex Ethanol'!J23:N23)/(AVERAGE('Total RD Feedstock'!C33:G33)))</f>
        <v>71528.335512442849</v>
      </c>
      <c r="I33" s="119">
        <f>'Renewable Fuel Ex Ethanol'!P23*(AVERAGE('Renewable Fuel Ex Ethanol'!K23:O23)/(AVERAGE('Total RD Feedstock'!D33:H33)))</f>
        <v>87558.927589823012</v>
      </c>
      <c r="J33" s="119">
        <f>'Renewable Fuel Ex Ethanol'!Q23*(AVERAGE('Renewable Fuel Ex Ethanol'!L23:P23)/(AVERAGE('Total RD Feedstock'!E33:I33)))</f>
        <v>91963.400006246258</v>
      </c>
      <c r="K33" s="119">
        <f>'Renewable Fuel Ex Ethanol'!R23*(AVERAGE('Renewable Fuel Ex Ethanol'!M23:Q23)/(AVERAGE('Total RD Feedstock'!F33:J33)))</f>
        <v>96661.224399865139</v>
      </c>
      <c r="L33" s="119">
        <f>'Renewable Fuel Ex Ethanol'!S23*(AVERAGE('Renewable Fuel Ex Ethanol'!N23:R23)/(AVERAGE('Total RD Feedstock'!G33:K33)))</f>
        <v>100411.23589011667</v>
      </c>
      <c r="M33" s="119">
        <f>'Renewable Fuel Ex Ethanol'!T23*(AVERAGE('Renewable Fuel Ex Ethanol'!O23:S23)/(AVERAGE('Total RD Feedstock'!H33:L33)))</f>
        <v>101407.5262578157</v>
      </c>
      <c r="N33" s="119">
        <f>'Renewable Fuel Ex Ethanol'!U23*(AVERAGE('Renewable Fuel Ex Ethanol'!P23:T23)/(AVERAGE('Total RD Feedstock'!I33:M33)))</f>
        <v>104308.38544646103</v>
      </c>
      <c r="O33" s="119">
        <f>'Renewable Fuel Ex Ethanol'!V23*(AVERAGE('Renewable Fuel Ex Ethanol'!Q23:U23)/(AVERAGE('Total RD Feedstock'!J33:N33)))</f>
        <v>105712.97523390567</v>
      </c>
      <c r="P33" s="119">
        <f>'Renewable Fuel Ex Ethanol'!W23*(AVERAGE('Renewable Fuel Ex Ethanol'!R23:V23)/(AVERAGE('Total RD Feedstock'!K33:O33)))</f>
        <v>107456.98771538661</v>
      </c>
      <c r="Q33" s="119">
        <f>'Renewable Fuel Ex Ethanol'!X23*(AVERAGE('Renewable Fuel Ex Ethanol'!S23:W23)/(AVERAGE('Total RD Feedstock'!L33:P33)))</f>
        <v>109349.77994485892</v>
      </c>
      <c r="R33" s="119">
        <f>'Renewable Fuel Ex Ethanol'!Y23*(AVERAGE('Renewable Fuel Ex Ethanol'!T23:X23)/(AVERAGE('Total RD Feedstock'!M33:Q33)))</f>
        <v>110110.85115233657</v>
      </c>
      <c r="S33" s="118"/>
      <c r="T33" s="118"/>
      <c r="U33" s="118"/>
      <c r="V33" s="118"/>
      <c r="W33" s="118"/>
      <c r="X33" s="118"/>
      <c r="Y33" s="118"/>
      <c r="Z33" s="118"/>
      <c r="AA33" s="118"/>
      <c r="AB33" s="118"/>
      <c r="AC33" s="118"/>
      <c r="AD33" s="118"/>
      <c r="AE33" s="118"/>
      <c r="AF33" s="118"/>
      <c r="AG33" s="118"/>
      <c r="AJ33" s="179" t="s">
        <v>215</v>
      </c>
      <c r="AK33" s="180">
        <f t="shared" ref="AK33:AZ33" si="30">SUM(A40:A42)</f>
        <v>0</v>
      </c>
      <c r="AL33" s="180">
        <f t="shared" si="30"/>
        <v>117807</v>
      </c>
      <c r="AM33" s="180">
        <f t="shared" si="30"/>
        <v>108710</v>
      </c>
      <c r="AN33" s="180">
        <f t="shared" si="30"/>
        <v>119834</v>
      </c>
      <c r="AO33" s="180">
        <f t="shared" si="30"/>
        <v>126826</v>
      </c>
      <c r="AP33" s="180">
        <f t="shared" si="30"/>
        <v>267526</v>
      </c>
      <c r="AQ33" s="204">
        <f t="shared" si="30"/>
        <v>300565.84074710432</v>
      </c>
      <c r="AR33" s="183">
        <f t="shared" si="30"/>
        <v>356014.5103622718</v>
      </c>
      <c r="AS33" s="183">
        <f t="shared" si="30"/>
        <v>460852.13726123876</v>
      </c>
      <c r="AT33" s="183">
        <f t="shared" si="30"/>
        <v>518008.12956632278</v>
      </c>
      <c r="AU33" s="183">
        <f t="shared" si="30"/>
        <v>513786.16440565931</v>
      </c>
      <c r="AV33" s="183">
        <f t="shared" si="30"/>
        <v>542990.79787588806</v>
      </c>
      <c r="AW33" s="183">
        <f t="shared" si="30"/>
        <v>555036.99964777217</v>
      </c>
      <c r="AX33" s="183">
        <f t="shared" si="30"/>
        <v>564549.40312129562</v>
      </c>
      <c r="AY33" s="183">
        <f t="shared" si="30"/>
        <v>574152.88372041797</v>
      </c>
      <c r="AZ33" s="205">
        <f t="shared" si="30"/>
        <v>583576.97375550715</v>
      </c>
    </row>
    <row r="34" spans="1:53">
      <c r="A34" s="113" t="s">
        <v>131</v>
      </c>
      <c r="B34" s="13">
        <f>'VO RD Feedstock'!B32+'Other RD Feedstock'!B33</f>
        <v>30823</v>
      </c>
      <c r="C34" s="13">
        <f>'VO RD Feedstock'!C32+'Other RD Feedstock'!C33</f>
        <v>34721</v>
      </c>
      <c r="D34" s="13">
        <f>'VO RD Feedstock'!D32+'Other RD Feedstock'!D33</f>
        <v>26639</v>
      </c>
      <c r="E34" s="13">
        <f>'VO RD Feedstock'!E32+'Other RD Feedstock'!E33</f>
        <v>40999</v>
      </c>
      <c r="F34" s="13">
        <f>'VO RD Feedstock'!F32+'Other RD Feedstock'!F33</f>
        <v>110970</v>
      </c>
      <c r="G34" s="119">
        <f>'Renewable Fuel Ex Ethanol'!N24*(AVERAGE('Renewable Fuel Ex Ethanol'!I24:M24)/(AVERAGE('Total RD Feedstock'!B34:F34)))</f>
        <v>100256.7418386238</v>
      </c>
      <c r="H34" s="119">
        <f>'Renewable Fuel Ex Ethanol'!O24*(AVERAGE('Renewable Fuel Ex Ethanol'!J24:N24)/(AVERAGE('Total RD Feedstock'!C34:G34)))</f>
        <v>128151.86278440621</v>
      </c>
      <c r="I34" s="119">
        <f>'Renewable Fuel Ex Ethanol'!P24*(AVERAGE('Renewable Fuel Ex Ethanol'!K24:O24)/(AVERAGE('Total RD Feedstock'!D34:H34)))</f>
        <v>168946.12589851153</v>
      </c>
      <c r="J34" s="119">
        <f>'Renewable Fuel Ex Ethanol'!Q24*(AVERAGE('Renewable Fuel Ex Ethanol'!L24:P24)/(AVERAGE('Total RD Feedstock'!E34:I34)))</f>
        <v>184085.25138260314</v>
      </c>
      <c r="K34" s="119">
        <f>'Renewable Fuel Ex Ethanol'!R24*(AVERAGE('Renewable Fuel Ex Ethanol'!M24:Q24)/(AVERAGE('Total RD Feedstock'!F34:J34)))</f>
        <v>185462.20680085602</v>
      </c>
      <c r="L34" s="119">
        <f>'Renewable Fuel Ex Ethanol'!S24*(AVERAGE('Renewable Fuel Ex Ethanol'!N24:R24)/(AVERAGE('Total RD Feedstock'!G34:K34)))</f>
        <v>196087.71660162081</v>
      </c>
      <c r="M34" s="119">
        <f>'Renewable Fuel Ex Ethanol'!T24*(AVERAGE('Renewable Fuel Ex Ethanol'!O24:S24)/(AVERAGE('Total RD Feedstock'!H34:L34)))</f>
        <v>199568.99459647038</v>
      </c>
      <c r="N34" s="119">
        <f>'Renewable Fuel Ex Ethanol'!U24*(AVERAGE('Renewable Fuel Ex Ethanol'!P24:T24)/(AVERAGE('Total RD Feedstock'!I34:M34)))</f>
        <v>203479.68539514838</v>
      </c>
      <c r="O34" s="119">
        <f>'Renewable Fuel Ex Ethanol'!V24*(AVERAGE('Renewable Fuel Ex Ethanol'!Q24:U24)/(AVERAGE('Total RD Feedstock'!J34:N34)))</f>
        <v>206802.80276383736</v>
      </c>
      <c r="P34" s="119">
        <f>'Renewable Fuel Ex Ethanol'!W24*(AVERAGE('Renewable Fuel Ex Ethanol'!R24:V24)/(AVERAGE('Total RD Feedstock'!K34:O34)))</f>
        <v>210021.93340716086</v>
      </c>
      <c r="Q34" s="119">
        <f>'Renewable Fuel Ex Ethanol'!X24*(AVERAGE('Renewable Fuel Ex Ethanol'!S24:W24)/(AVERAGE('Total RD Feedstock'!L34:P34)))</f>
        <v>213378.87652641864</v>
      </c>
      <c r="R34" s="119">
        <f>'Renewable Fuel Ex Ethanol'!Y24*(AVERAGE('Renewable Fuel Ex Ethanol'!T24:X24)/(AVERAGE('Total RD Feedstock'!M34:Q34)))</f>
        <v>215003.4011994366</v>
      </c>
      <c r="S34" s="118"/>
      <c r="T34" s="118"/>
      <c r="U34" s="118"/>
      <c r="V34" s="118"/>
      <c r="W34" s="118"/>
      <c r="X34" s="118"/>
      <c r="Y34" s="118"/>
      <c r="Z34" s="118"/>
      <c r="AA34" s="118"/>
      <c r="AB34" s="118"/>
      <c r="AC34" s="118"/>
      <c r="AD34" s="118"/>
      <c r="AE34" s="118"/>
      <c r="AF34" s="118"/>
      <c r="AG34" s="118"/>
      <c r="AJ34" s="181" t="s">
        <v>216</v>
      </c>
      <c r="AK34" s="251">
        <f t="shared" ref="AK34:AZ34" si="31">SUM(B31:B33)</f>
        <v>73583</v>
      </c>
      <c r="AL34" s="251">
        <f t="shared" si="31"/>
        <v>62667</v>
      </c>
      <c r="AM34" s="251">
        <f t="shared" si="31"/>
        <v>43935</v>
      </c>
      <c r="AN34" s="251">
        <f t="shared" si="31"/>
        <v>74553</v>
      </c>
      <c r="AO34" s="251">
        <f t="shared" si="31"/>
        <v>116699</v>
      </c>
      <c r="AP34" s="210">
        <f t="shared" si="31"/>
        <v>78716</v>
      </c>
      <c r="AQ34" s="209">
        <f t="shared" si="31"/>
        <v>132263.45320875495</v>
      </c>
      <c r="AR34" s="210">
        <f t="shared" si="31"/>
        <v>160698.4113924423</v>
      </c>
      <c r="AS34" s="210">
        <f t="shared" si="31"/>
        <v>172815.99368113949</v>
      </c>
      <c r="AT34" s="210">
        <f t="shared" si="31"/>
        <v>180129.8902537128</v>
      </c>
      <c r="AU34" s="210">
        <f t="shared" si="31"/>
        <v>188511.49376857199</v>
      </c>
      <c r="AV34" s="210">
        <f t="shared" si="31"/>
        <v>191148.19249984197</v>
      </c>
      <c r="AW34" s="210">
        <f t="shared" si="31"/>
        <v>195312.22479783616</v>
      </c>
      <c r="AX34" s="210">
        <f t="shared" si="31"/>
        <v>197661.01039762562</v>
      </c>
      <c r="AY34" s="210">
        <f t="shared" si="31"/>
        <v>200800.59490816234</v>
      </c>
      <c r="AZ34" s="211">
        <f t="shared" si="31"/>
        <v>204139.70696250445</v>
      </c>
    </row>
    <row r="35" spans="1:53" ht="12" thickBot="1">
      <c r="A35" s="113" t="s">
        <v>132</v>
      </c>
      <c r="B35" s="13">
        <f>'VO RD Feedstock'!B33+'Other RD Feedstock'!B34</f>
        <v>35302</v>
      </c>
      <c r="C35" s="13">
        <f>'VO RD Feedstock'!C33+'Other RD Feedstock'!C34</f>
        <v>34027</v>
      </c>
      <c r="D35" s="13">
        <f>'VO RD Feedstock'!D33+'Other RD Feedstock'!D34</f>
        <v>26735</v>
      </c>
      <c r="E35" s="13">
        <f>'VO RD Feedstock'!E33+'Other RD Feedstock'!E34</f>
        <v>33036</v>
      </c>
      <c r="F35" s="13">
        <f>'VO RD Feedstock'!F33+'Other RD Feedstock'!F34</f>
        <v>91693</v>
      </c>
      <c r="G35" s="119">
        <f>'Renewable Fuel Ex Ethanol'!N25*(AVERAGE('Renewable Fuel Ex Ethanol'!I25:M25)/(AVERAGE('Total RD Feedstock'!B35:F35)))</f>
        <v>90223.091353624666</v>
      </c>
      <c r="H35" s="119">
        <f>'Renewable Fuel Ex Ethanol'!O25*(AVERAGE('Renewable Fuel Ex Ethanol'!J25:N25)/(AVERAGE('Total RD Feedstock'!C35:G35)))</f>
        <v>110177.00002622664</v>
      </c>
      <c r="I35" s="119">
        <f>'Renewable Fuel Ex Ethanol'!P25*(AVERAGE('Renewable Fuel Ex Ethanol'!K25:O25)/(AVERAGE('Total RD Feedstock'!D35:H35)))</f>
        <v>145727.37923946822</v>
      </c>
      <c r="J35" s="119">
        <f>'Renewable Fuel Ex Ethanol'!Q25*(AVERAGE('Renewable Fuel Ex Ethanol'!L25:P25)/(AVERAGE('Total RD Feedstock'!E35:I35)))</f>
        <v>160320.07939350713</v>
      </c>
      <c r="K35" s="119">
        <f>'Renewable Fuel Ex Ethanol'!R25*(AVERAGE('Renewable Fuel Ex Ethanol'!M25:Q25)/(AVERAGE('Total RD Feedstock'!F35:J35)))</f>
        <v>160276.11316840051</v>
      </c>
      <c r="L35" s="119">
        <f>'Renewable Fuel Ex Ethanol'!S25*(AVERAGE('Renewable Fuel Ex Ethanol'!N25:R25)/(AVERAGE('Total RD Feedstock'!G35:K35)))</f>
        <v>169547.38329416985</v>
      </c>
      <c r="M35" s="119">
        <f>'Renewable Fuel Ex Ethanol'!T25*(AVERAGE('Renewable Fuel Ex Ethanol'!O25:S25)/(AVERAGE('Total RD Feedstock'!H35:L35)))</f>
        <v>172762.45920087572</v>
      </c>
      <c r="N35" s="119">
        <f>'Renewable Fuel Ex Ethanol'!U25*(AVERAGE('Renewable Fuel Ex Ethanol'!P25:T25)/(AVERAGE('Total RD Feedstock'!I35:M35)))</f>
        <v>176051.63390079566</v>
      </c>
      <c r="O35" s="119">
        <f>'Renewable Fuel Ex Ethanol'!V25*(AVERAGE('Renewable Fuel Ex Ethanol'!Q25:U25)/(AVERAGE('Total RD Feedstock'!J35:N35)))</f>
        <v>179034.64052821128</v>
      </c>
      <c r="P35" s="119">
        <f>'Renewable Fuel Ex Ethanol'!W25*(AVERAGE('Renewable Fuel Ex Ethanol'!R25:V25)/(AVERAGE('Total RD Feedstock'!K35:O35)))</f>
        <v>181862.79872324949</v>
      </c>
      <c r="Q35" s="119">
        <f>'Renewable Fuel Ex Ethanol'!X25*(AVERAGE('Renewable Fuel Ex Ethanol'!S25:W25)/(AVERAGE('Total RD Feedstock'!L35:P35)))</f>
        <v>184739.31786627194</v>
      </c>
      <c r="R35" s="119">
        <f>'Renewable Fuel Ex Ethanol'!Y25*(AVERAGE('Renewable Fuel Ex Ethanol'!T25:X25)/(AVERAGE('Total RD Feedstock'!M35:Q35)))</f>
        <v>186125.68266130215</v>
      </c>
      <c r="S35" s="118"/>
      <c r="T35" s="118"/>
      <c r="U35" s="118"/>
      <c r="V35" s="118"/>
      <c r="W35" s="118"/>
      <c r="X35" s="118"/>
      <c r="Y35" s="118"/>
      <c r="Z35" s="118"/>
      <c r="AA35" s="118"/>
      <c r="AB35" s="118"/>
      <c r="AC35" s="118"/>
      <c r="AD35" s="118"/>
      <c r="AE35" s="118"/>
      <c r="AF35" s="118"/>
      <c r="AG35" s="118"/>
      <c r="AJ35" s="182" t="s">
        <v>217</v>
      </c>
      <c r="AK35" s="180">
        <f t="shared" ref="AK35:AZ35" si="32">SUM(AK31:AK33)</f>
        <v>0</v>
      </c>
      <c r="AL35" s="180">
        <f t="shared" si="32"/>
        <v>345589</v>
      </c>
      <c r="AM35" s="180">
        <f t="shared" si="32"/>
        <v>318060</v>
      </c>
      <c r="AN35" s="180">
        <f t="shared" si="32"/>
        <v>279579</v>
      </c>
      <c r="AO35" s="180">
        <f t="shared" si="32"/>
        <v>373039</v>
      </c>
      <c r="AP35" s="183">
        <f t="shared" si="32"/>
        <v>898180</v>
      </c>
      <c r="AQ35" s="184">
        <f t="shared" si="32"/>
        <v>900493.5856117052</v>
      </c>
      <c r="AR35" s="185">
        <f t="shared" si="32"/>
        <v>1109940.0125521356</v>
      </c>
      <c r="AS35" s="185">
        <f t="shared" si="32"/>
        <v>1450938.4575004273</v>
      </c>
      <c r="AT35" s="185">
        <f t="shared" si="32"/>
        <v>1604675.444374115</v>
      </c>
      <c r="AU35" s="185">
        <f t="shared" si="32"/>
        <v>1604606.5288149135</v>
      </c>
      <c r="AV35" s="185">
        <f t="shared" si="32"/>
        <v>1695575.32172206</v>
      </c>
      <c r="AW35" s="185">
        <f t="shared" si="32"/>
        <v>1728848.3921700234</v>
      </c>
      <c r="AX35" s="185">
        <f t="shared" si="32"/>
        <v>1761003.0956639722</v>
      </c>
      <c r="AY35" s="185">
        <f t="shared" si="32"/>
        <v>1790460.5223318415</v>
      </c>
      <c r="AZ35" s="186">
        <f t="shared" si="32"/>
        <v>1819129.2558792583</v>
      </c>
      <c r="BA35" s="187">
        <f>(AZ35/AQ35)^(1/10)-1</f>
        <v>7.2848240979257017E-2</v>
      </c>
    </row>
    <row r="36" spans="1:53">
      <c r="A36" s="113" t="s">
        <v>133</v>
      </c>
      <c r="B36" s="13">
        <f>'VO RD Feedstock'!B34+'Other RD Feedstock'!B35</f>
        <v>39443</v>
      </c>
      <c r="C36" s="13">
        <f>'VO RD Feedstock'!C34+'Other RD Feedstock'!C35</f>
        <v>28100</v>
      </c>
      <c r="D36" s="13">
        <f>'VO RD Feedstock'!D34+'Other RD Feedstock'!D35</f>
        <v>26315</v>
      </c>
      <c r="E36" s="13">
        <f>'VO RD Feedstock'!E34+'Other RD Feedstock'!E35</f>
        <v>41610</v>
      </c>
      <c r="F36" s="13">
        <f>'VO RD Feedstock'!F34+'Other RD Feedstock'!F35</f>
        <v>97956</v>
      </c>
      <c r="G36" s="119">
        <f>'Renewable Fuel Ex Ethanol'!N26*(AVERAGE('Renewable Fuel Ex Ethanol'!I26:M26)/(AVERAGE('Total RD Feedstock'!B36:F36)))</f>
        <v>95402.956557608457</v>
      </c>
      <c r="H36" s="119">
        <f>'Renewable Fuel Ex Ethanol'!O26*(AVERAGE('Renewable Fuel Ex Ethanol'!J26:N26)/(AVERAGE('Total RD Feedstock'!C36:G36)))</f>
        <v>119759.63599722911</v>
      </c>
      <c r="I36" s="119">
        <f>'Renewable Fuel Ex Ethanol'!P26*(AVERAGE('Renewable Fuel Ex Ethanol'!K26:O26)/(AVERAGE('Total RD Feedstock'!D36:H36)))</f>
        <v>156506.70805250262</v>
      </c>
      <c r="J36" s="119">
        <f>'Renewable Fuel Ex Ethanol'!Q26*(AVERAGE('Renewable Fuel Ex Ethanol'!L26:P26)/(AVERAGE('Total RD Feedstock'!E36:I36)))</f>
        <v>172315.54198501431</v>
      </c>
      <c r="K36" s="119">
        <f>'Renewable Fuel Ex Ethanol'!R26*(AVERAGE('Renewable Fuel Ex Ethanol'!M26:Q26)/(AVERAGE('Total RD Feedstock'!F36:J36)))</f>
        <v>173065.22008306917</v>
      </c>
      <c r="L36" s="119">
        <f>'Renewable Fuel Ex Ethanol'!S26*(AVERAGE('Renewable Fuel Ex Ethanol'!N26:R26)/(AVERAGE('Total RD Feedstock'!G36:K36)))</f>
        <v>182503.64184826979</v>
      </c>
      <c r="M36" s="119">
        <f>'Renewable Fuel Ex Ethanol'!T26*(AVERAGE('Renewable Fuel Ex Ethanol'!O26:S26)/(AVERAGE('Total RD Feedstock'!H36:L36)))</f>
        <v>186037.70050443342</v>
      </c>
      <c r="N36" s="119">
        <f>'Renewable Fuel Ex Ethanol'!U26*(AVERAGE('Renewable Fuel Ex Ethanol'!P26:T26)/(AVERAGE('Total RD Feedstock'!I36:M36)))</f>
        <v>189566.31852118525</v>
      </c>
      <c r="O36" s="119">
        <f>'Renewable Fuel Ex Ethanol'!V26*(AVERAGE('Renewable Fuel Ex Ethanol'!Q26:U26)/(AVERAGE('Total RD Feedstock'!J36:N36)))</f>
        <v>192698.10549042045</v>
      </c>
      <c r="P36" s="119">
        <f>'Renewable Fuel Ex Ethanol'!W26*(AVERAGE('Renewable Fuel Ex Ethanol'!R26:V26)/(AVERAGE('Total RD Feedstock'!K36:O36)))</f>
        <v>195779.23993841253</v>
      </c>
      <c r="Q36" s="119">
        <f>'Renewable Fuel Ex Ethanol'!X26*(AVERAGE('Renewable Fuel Ex Ethanol'!S26:W26)/(AVERAGE('Total RD Feedstock'!L36:P36)))</f>
        <v>198928.2895253865</v>
      </c>
      <c r="R36" s="119">
        <f>'Renewable Fuel Ex Ethanol'!Y26*(AVERAGE('Renewable Fuel Ex Ethanol'!T26:X26)/(AVERAGE('Total RD Feedstock'!M36:Q36)))</f>
        <v>200418.42391319328</v>
      </c>
      <c r="S36" s="118"/>
      <c r="T36" s="118"/>
      <c r="U36" s="118"/>
      <c r="V36" s="118"/>
      <c r="W36" s="118"/>
      <c r="X36" s="118"/>
      <c r="Y36" s="118"/>
      <c r="Z36" s="118"/>
      <c r="AA36" s="118"/>
      <c r="AB36" s="118"/>
      <c r="AC36" s="118"/>
      <c r="AD36" s="118"/>
      <c r="AE36" s="118"/>
      <c r="AF36" s="118"/>
      <c r="AG36" s="118"/>
      <c r="AJ36" s="174"/>
      <c r="AK36" s="174"/>
      <c r="AL36" s="174"/>
      <c r="AM36" s="174"/>
      <c r="AN36" s="174"/>
      <c r="AO36" s="174"/>
      <c r="AP36" s="174"/>
      <c r="AQ36" s="174"/>
      <c r="AR36" s="174"/>
      <c r="AS36" s="174"/>
      <c r="AT36" s="174"/>
      <c r="AU36" s="174"/>
      <c r="AV36" s="174"/>
      <c r="AW36" s="174"/>
      <c r="AX36" s="174"/>
      <c r="AY36" s="174"/>
      <c r="AZ36" s="174"/>
    </row>
    <row r="37" spans="1:53">
      <c r="A37" s="113" t="s">
        <v>134</v>
      </c>
      <c r="B37" s="13">
        <f>'VO RD Feedstock'!B35+'Other RD Feedstock'!B36</f>
        <v>37390</v>
      </c>
      <c r="C37" s="13">
        <f>'VO RD Feedstock'!C35+'Other RD Feedstock'!C36</f>
        <v>39504</v>
      </c>
      <c r="D37" s="13">
        <f>'VO RD Feedstock'!D35+'Other RD Feedstock'!D36</f>
        <v>27698</v>
      </c>
      <c r="E37" s="13">
        <f>'VO RD Feedstock'!E35+'Other RD Feedstock'!E36</f>
        <v>46913</v>
      </c>
      <c r="F37" s="13">
        <f>'VO RD Feedstock'!F35+'Other RD Feedstock'!F36</f>
        <v>132788</v>
      </c>
      <c r="G37" s="119">
        <f>'Renewable Fuel Ex Ethanol'!N27*(AVERAGE('Renewable Fuel Ex Ethanol'!I27:M27)/(AVERAGE('Total RD Feedstock'!B37:F37)))</f>
        <v>113260.3996122987</v>
      </c>
      <c r="H37" s="119">
        <f>'Renewable Fuel Ex Ethanol'!O27*(AVERAGE('Renewable Fuel Ex Ethanol'!J27:N27)/(AVERAGE('Total RD Feedstock'!C37:G37)))</f>
        <v>148397.65633599114</v>
      </c>
      <c r="I37" s="119">
        <f>'Renewable Fuel Ex Ethanol'!P27*(AVERAGE('Renewable Fuel Ex Ethanol'!K27:O27)/(AVERAGE('Total RD Feedstock'!D37:H37)))</f>
        <v>196725.12573025996</v>
      </c>
      <c r="J37" s="119">
        <f>'Renewable Fuel Ex Ethanol'!Q27*(AVERAGE('Renewable Fuel Ex Ethanol'!L27:P27)/(AVERAGE('Total RD Feedstock'!E37:I37)))</f>
        <v>213694.50562670219</v>
      </c>
      <c r="K37" s="119">
        <f>'Renewable Fuel Ex Ethanol'!R27*(AVERAGE('Renewable Fuel Ex Ethanol'!M27:Q27)/(AVERAGE('Total RD Feedstock'!F37:J37)))</f>
        <v>216081.43548165128</v>
      </c>
      <c r="L37" s="119">
        <f>'Renewable Fuel Ex Ethanol'!S27*(AVERAGE('Renewable Fuel Ex Ethanol'!N27:R27)/(AVERAGE('Total RD Feedstock'!G37:K37)))</f>
        <v>228520.0040603315</v>
      </c>
      <c r="M37" s="119">
        <f>'Renewable Fuel Ex Ethanol'!T27*(AVERAGE('Renewable Fuel Ex Ethanol'!O27:S27)/(AVERAGE('Total RD Feedstock'!H37:L37)))</f>
        <v>231775.47301137337</v>
      </c>
      <c r="N37" s="119">
        <f>'Renewable Fuel Ex Ethanol'!U27*(AVERAGE('Renewable Fuel Ex Ethanol'!P27:T27)/(AVERAGE('Total RD Feedstock'!I37:M37)))</f>
        <v>236394.20763312178</v>
      </c>
      <c r="O37" s="119">
        <f>'Renewable Fuel Ex Ethanol'!V27*(AVERAGE('Renewable Fuel Ex Ethanol'!Q27:U27)/(AVERAGE('Total RD Feedstock'!J37:N37)))</f>
        <v>240196.43090939676</v>
      </c>
      <c r="P37" s="119">
        <f>'Renewable Fuel Ex Ethanol'!W27*(AVERAGE('Renewable Fuel Ex Ethanol'!R27:V27)/(AVERAGE('Total RD Feedstock'!K37:O37)))</f>
        <v>243980.00533351605</v>
      </c>
      <c r="Q37" s="119">
        <f>'Renewable Fuel Ex Ethanol'!X27*(AVERAGE('Renewable Fuel Ex Ethanol'!S27:W27)/(AVERAGE('Total RD Feedstock'!L37:P37)))</f>
        <v>248033.96496001026</v>
      </c>
      <c r="R37" s="119">
        <f>'Renewable Fuel Ex Ethanol'!Y27*(AVERAGE('Renewable Fuel Ex Ethanol'!T27:X27)/(AVERAGE('Total RD Feedstock'!M37:Q37)))</f>
        <v>250012.89274193146</v>
      </c>
      <c r="S37" s="118"/>
      <c r="T37" s="118"/>
      <c r="U37" s="118"/>
      <c r="V37" s="118"/>
      <c r="W37" s="118"/>
      <c r="X37" s="118"/>
      <c r="Y37" s="118"/>
      <c r="Z37" s="118"/>
      <c r="AA37" s="118"/>
      <c r="AB37" s="118"/>
      <c r="AC37" s="118"/>
      <c r="AD37" s="118"/>
      <c r="AE37" s="118"/>
      <c r="AF37" s="118"/>
      <c r="AG37" s="118"/>
      <c r="AJ37" s="188" t="s">
        <v>218</v>
      </c>
      <c r="AK37" s="189"/>
      <c r="AL37" s="189">
        <f t="shared" ref="AL37:AZ37" si="33">AL33/AL32-1</f>
        <v>-3.6059698561539566E-2</v>
      </c>
      <c r="AM37" s="189">
        <f t="shared" si="33"/>
        <v>-3.370606744768978E-2</v>
      </c>
      <c r="AN37" s="189">
        <f t="shared" si="33"/>
        <v>0.49687718596982111</v>
      </c>
      <c r="AO37" s="189">
        <f t="shared" si="33"/>
        <v>-2.8659395870351045E-2</v>
      </c>
      <c r="AP37" s="189">
        <f t="shared" si="33"/>
        <v>-0.18940112412319909</v>
      </c>
      <c r="AQ37" s="190">
        <f t="shared" si="33"/>
        <v>-4.2920970861368146E-2</v>
      </c>
      <c r="AR37" s="190">
        <f t="shared" si="33"/>
        <v>-0.10060326012851195</v>
      </c>
      <c r="AS37" s="190">
        <f t="shared" si="33"/>
        <v>-0.11187759981791512</v>
      </c>
      <c r="AT37" s="190">
        <f t="shared" si="33"/>
        <v>-9.112840900249386E-2</v>
      </c>
      <c r="AU37" s="190">
        <f t="shared" si="33"/>
        <v>-0.10179885883030293</v>
      </c>
      <c r="AV37" s="190">
        <f t="shared" si="33"/>
        <v>-0.10167162390065543</v>
      </c>
      <c r="AW37" s="190">
        <f t="shared" si="33"/>
        <v>-9.8149322261921745E-2</v>
      </c>
      <c r="AX37" s="190">
        <f t="shared" si="33"/>
        <v>-0.10011324690526502</v>
      </c>
      <c r="AY37" s="190">
        <f t="shared" si="33"/>
        <v>-9.9752258092069557E-2</v>
      </c>
      <c r="AZ37" s="190">
        <f t="shared" si="33"/>
        <v>-9.9262998423244708E-2</v>
      </c>
    </row>
    <row r="38" spans="1:53">
      <c r="A38" s="113" t="s">
        <v>135</v>
      </c>
      <c r="B38" s="13">
        <f>'VO RD Feedstock'!B36+'Other RD Feedstock'!B37</f>
        <v>48973</v>
      </c>
      <c r="C38" s="13">
        <f>'VO RD Feedstock'!C36+'Other RD Feedstock'!C37</f>
        <v>37174</v>
      </c>
      <c r="D38" s="13">
        <f>'VO RD Feedstock'!D36+'Other RD Feedstock'!D37</f>
        <v>26733</v>
      </c>
      <c r="E38" s="13">
        <f>'VO RD Feedstock'!E36+'Other RD Feedstock'!E37</f>
        <v>43836</v>
      </c>
      <c r="F38" s="13">
        <f>'VO RD Feedstock'!F36+'Other RD Feedstock'!F37</f>
        <v>105183</v>
      </c>
      <c r="G38" s="119">
        <f>'Renewable Fuel Ex Ethanol'!N28*(AVERAGE('Renewable Fuel Ex Ethanol'!I28:M28)/(AVERAGE('Total RD Feedstock'!B38:F38)))</f>
        <v>105038.03116154899</v>
      </c>
      <c r="H38" s="119">
        <f>'Renewable Fuel Ex Ethanol'!O28*(AVERAGE('Renewable Fuel Ex Ethanol'!J28:N28)/(AVERAGE('Total RD Feedstock'!C38:G38)))</f>
        <v>131929.49255609891</v>
      </c>
      <c r="I38" s="119">
        <f>'Renewable Fuel Ex Ethanol'!P28*(AVERAGE('Renewable Fuel Ex Ethanol'!K28:O28)/(AVERAGE('Total RD Feedstock'!D38:H38)))</f>
        <v>172047.77039456222</v>
      </c>
      <c r="J38" s="119">
        <f>'Renewable Fuel Ex Ethanol'!Q28*(AVERAGE('Renewable Fuel Ex Ethanol'!L28:P28)/(AVERAGE('Total RD Feedstock'!E38:I38)))</f>
        <v>189968.13741759586</v>
      </c>
      <c r="K38" s="119">
        <f>'Renewable Fuel Ex Ethanol'!R28*(AVERAGE('Renewable Fuel Ex Ethanol'!M28:Q28)/(AVERAGE('Total RD Feedstock'!F38:J38)))</f>
        <v>189730.23169745688</v>
      </c>
      <c r="L38" s="119">
        <f>'Renewable Fuel Ex Ethanol'!S28*(AVERAGE('Renewable Fuel Ex Ethanol'!N28:R28)/(AVERAGE('Total RD Feedstock'!G38:K38)))</f>
        <v>199998.89273064592</v>
      </c>
      <c r="M38" s="119">
        <f>'Renewable Fuel Ex Ethanol'!T28*(AVERAGE('Renewable Fuel Ex Ethanol'!O28:S28)/(AVERAGE('Total RD Feedstock'!H38:L38)))</f>
        <v>203819.05810456633</v>
      </c>
      <c r="N38" s="119">
        <f>'Renewable Fuel Ex Ethanol'!U28*(AVERAGE('Renewable Fuel Ex Ethanol'!P28:T28)/(AVERAGE('Total RD Feedstock'!I38:M38)))</f>
        <v>207896.18451124715</v>
      </c>
      <c r="O38" s="119">
        <f>'Renewable Fuel Ex Ethanol'!V28*(AVERAGE('Renewable Fuel Ex Ethanol'!Q28:U28)/(AVERAGE('Total RD Feedstock'!J38:N38)))</f>
        <v>211510.33098694851</v>
      </c>
      <c r="P38" s="119">
        <f>'Renewable Fuel Ex Ethanol'!W28*(AVERAGE('Renewable Fuel Ex Ethanol'!R28:V28)/(AVERAGE('Total RD Feedstock'!K38:O38)))</f>
        <v>215008.09873299315</v>
      </c>
      <c r="Q38" s="119">
        <f>'Renewable Fuel Ex Ethanol'!X28*(AVERAGE('Renewable Fuel Ex Ethanol'!S28:W28)/(AVERAGE('Total RD Feedstock'!L38:P38)))</f>
        <v>218398.54485710873</v>
      </c>
      <c r="R38" s="119">
        <f>'Renewable Fuel Ex Ethanol'!Y28*(AVERAGE('Renewable Fuel Ex Ethanol'!T28:X28)/(AVERAGE('Total RD Feedstock'!M38:Q38)))</f>
        <v>219967.07032456016</v>
      </c>
      <c r="S38" s="118"/>
      <c r="T38" s="118"/>
      <c r="U38" s="118"/>
      <c r="V38" s="118"/>
      <c r="W38" s="118"/>
      <c r="X38" s="118"/>
      <c r="Y38" s="118"/>
      <c r="Z38" s="118"/>
      <c r="AA38" s="118"/>
      <c r="AB38" s="118"/>
      <c r="AC38" s="118"/>
      <c r="AD38" s="118"/>
      <c r="AE38" s="118"/>
      <c r="AF38" s="118"/>
      <c r="AG38" s="118"/>
      <c r="AJ38" s="188"/>
      <c r="AK38" s="191"/>
      <c r="AL38" s="191">
        <f t="shared" ref="AL38:AZ38" si="34">AL33-AL32</f>
        <v>-4407</v>
      </c>
      <c r="AM38" s="191">
        <f t="shared" si="34"/>
        <v>-3792</v>
      </c>
      <c r="AN38" s="191">
        <f t="shared" si="34"/>
        <v>39778</v>
      </c>
      <c r="AO38" s="191">
        <f t="shared" si="34"/>
        <v>-3742</v>
      </c>
      <c r="AP38" s="191">
        <f t="shared" si="34"/>
        <v>-62509</v>
      </c>
      <c r="AQ38" s="192">
        <f t="shared" si="34"/>
        <v>-13479.114367639588</v>
      </c>
      <c r="AR38" s="192">
        <f t="shared" si="34"/>
        <v>-39822.493019730202</v>
      </c>
      <c r="AS38" s="192">
        <f t="shared" si="34"/>
        <v>-58053.969787467388</v>
      </c>
      <c r="AT38" s="192">
        <f t="shared" si="34"/>
        <v>-51938.312480344903</v>
      </c>
      <c r="AU38" s="192">
        <f t="shared" si="34"/>
        <v>-58230.659951269161</v>
      </c>
      <c r="AV38" s="192">
        <f t="shared" si="34"/>
        <v>-61454.984226223431</v>
      </c>
      <c r="AW38" s="192">
        <f t="shared" si="34"/>
        <v>-60405.238572699483</v>
      </c>
      <c r="AX38" s="192">
        <f t="shared" si="34"/>
        <v>-62806.651604251703</v>
      </c>
      <c r="AY38" s="192">
        <f t="shared" si="34"/>
        <v>-63619.206108536455</v>
      </c>
      <c r="AZ38" s="192">
        <f t="shared" si="34"/>
        <v>-64311.336299421033</v>
      </c>
    </row>
    <row r="39" spans="1:53">
      <c r="A39" s="113" t="s">
        <v>136</v>
      </c>
      <c r="B39" s="13">
        <f>'VO RD Feedstock'!B37+'Other RD Feedstock'!B38</f>
        <v>35851</v>
      </c>
      <c r="C39" s="13">
        <f>'VO RD Feedstock'!C37+'Other RD Feedstock'!C38</f>
        <v>35824</v>
      </c>
      <c r="D39" s="13">
        <f>'VO RD Feedstock'!D37+'Other RD Feedstock'!D38</f>
        <v>25625</v>
      </c>
      <c r="E39" s="13">
        <f>'VO RD Feedstock'!E37+'Other RD Feedstock'!E38</f>
        <v>39819</v>
      </c>
      <c r="F39" s="13">
        <f>'VO RD Feedstock'!F37+'Other RD Feedstock'!F38</f>
        <v>92064</v>
      </c>
      <c r="G39" s="119">
        <f>'Renewable Fuel Ex Ethanol'!N29*(AVERAGE('Renewable Fuel Ex Ethanol'!I29:M29)/(AVERAGE('Total RD Feedstock'!B39:F39)))</f>
        <v>95746.524340896256</v>
      </c>
      <c r="H39" s="119">
        <f>'Renewable Fuel Ex Ethanol'!O29*(AVERAGE('Renewable Fuel Ex Ethanol'!J29:N29)/(AVERAGE('Total RD Feedstock'!C39:G39)))</f>
        <v>115509.85448991192</v>
      </c>
      <c r="I39" s="119">
        <f>'Renewable Fuel Ex Ethanol'!P29*(AVERAGE('Renewable Fuel Ex Ethanol'!K29:O29)/(AVERAGE('Total RD Feedstock'!D39:H39)))</f>
        <v>150133.21092388392</v>
      </c>
      <c r="J39" s="119">
        <f>'Renewable Fuel Ex Ethanol'!Q29*(AVERAGE('Renewable Fuel Ex Ethanol'!L29:P29)/(AVERAGE('Total RD Feedstock'!E39:I39)))</f>
        <v>166283.79900236957</v>
      </c>
      <c r="K39" s="119">
        <f>'Renewable Fuel Ex Ethanol'!R29*(AVERAGE('Renewable Fuel Ex Ethanol'!M29:Q29)/(AVERAGE('Total RD Feedstock'!F39:J39)))</f>
        <v>166205.15717782031</v>
      </c>
      <c r="L39" s="119">
        <f>'Renewable Fuel Ex Ethanol'!S29*(AVERAGE('Renewable Fuel Ex Ethanol'!N29:R29)/(AVERAGE('Total RD Feedstock'!G39:K39)))</f>
        <v>175926.88531113401</v>
      </c>
      <c r="M39" s="119">
        <f>'Renewable Fuel Ex Ethanol'!T29*(AVERAGE('Renewable Fuel Ex Ethanol'!O29:S29)/(AVERAGE('Total RD Feedstock'!H39:L39)))</f>
        <v>179847.70710453199</v>
      </c>
      <c r="N39" s="119">
        <f>'Renewable Fuel Ex Ethanol'!U29*(AVERAGE('Renewable Fuel Ex Ethanol'!P29:T29)/(AVERAGE('Total RD Feedstock'!I39:M39)))</f>
        <v>183065.6625811783</v>
      </c>
      <c r="O39" s="119">
        <f>'Renewable Fuel Ex Ethanol'!V29*(AVERAGE('Renewable Fuel Ex Ethanol'!Q29:U29)/(AVERAGE('Total RD Feedstock'!J39:N39)))</f>
        <v>186065.3279326091</v>
      </c>
      <c r="P39" s="119">
        <f>'Renewable Fuel Ex Ethanol'!W29*(AVERAGE('Renewable Fuel Ex Ethanol'!R29:V29)/(AVERAGE('Total RD Feedstock'!K39:O39)))</f>
        <v>188900.20598841898</v>
      </c>
      <c r="Q39" s="119">
        <f>'Renewable Fuel Ex Ethanol'!X29*(AVERAGE('Renewable Fuel Ex Ethanol'!S29:W29)/(AVERAGE('Total RD Feedstock'!L39:P39)))</f>
        <v>191779.01085708188</v>
      </c>
      <c r="R39" s="119">
        <f>'Renewable Fuel Ex Ethanol'!Y29*(AVERAGE('Renewable Fuel Ex Ethanol'!T29:X29)/(AVERAGE('Total RD Feedstock'!M39:Q39)))</f>
        <v>193250.91139926351</v>
      </c>
      <c r="S39" s="118"/>
      <c r="T39" s="118"/>
      <c r="U39" s="118"/>
      <c r="V39" s="118"/>
      <c r="W39" s="118"/>
      <c r="X39" s="118"/>
      <c r="Y39" s="118"/>
      <c r="Z39" s="118"/>
      <c r="AA39" s="118"/>
      <c r="AB39" s="118"/>
      <c r="AC39" s="118"/>
      <c r="AD39" s="118"/>
      <c r="AE39" s="118"/>
      <c r="AF39" s="118"/>
      <c r="AG39" s="118"/>
      <c r="AJ39" s="193" t="s">
        <v>219</v>
      </c>
      <c r="AK39" s="194"/>
      <c r="AL39" s="194" t="e">
        <f t="shared" ref="AL39:AZ39" si="35">AL33/AK33-1</f>
        <v>#DIV/0!</v>
      </c>
      <c r="AM39" s="194">
        <f t="shared" si="35"/>
        <v>-7.7219520062475011E-2</v>
      </c>
      <c r="AN39" s="194">
        <f t="shared" si="35"/>
        <v>0.10232729279735064</v>
      </c>
      <c r="AO39" s="194">
        <f t="shared" si="35"/>
        <v>5.8347380543084526E-2</v>
      </c>
      <c r="AP39" s="194">
        <f t="shared" si="35"/>
        <v>1.1093939728446847</v>
      </c>
      <c r="AQ39" s="195">
        <f t="shared" si="35"/>
        <v>0.12350141947737536</v>
      </c>
      <c r="AR39" s="195">
        <f t="shared" si="35"/>
        <v>0.18448094260259573</v>
      </c>
      <c r="AS39" s="195">
        <f t="shared" si="35"/>
        <v>0.29447571334181499</v>
      </c>
      <c r="AT39" s="195">
        <f t="shared" si="35"/>
        <v>0.12402240910664264</v>
      </c>
      <c r="AU39" s="195">
        <f t="shared" si="35"/>
        <v>-8.1503839798771072E-3</v>
      </c>
      <c r="AV39" s="195">
        <f t="shared" si="35"/>
        <v>5.6842000609363064E-2</v>
      </c>
      <c r="AW39" s="195">
        <f t="shared" si="35"/>
        <v>2.2184909613583326E-2</v>
      </c>
      <c r="AX39" s="195">
        <f t="shared" si="35"/>
        <v>1.7138323174058723E-2</v>
      </c>
      <c r="AY39" s="195">
        <f t="shared" si="35"/>
        <v>1.701087725188688E-2</v>
      </c>
      <c r="AZ39" s="195">
        <f t="shared" si="35"/>
        <v>1.6413903512985328E-2</v>
      </c>
    </row>
    <row r="40" spans="1:53">
      <c r="A40" s="113" t="s">
        <v>137</v>
      </c>
      <c r="B40" s="13">
        <f>'VO RD Feedstock'!B38+'Other RD Feedstock'!B39</f>
        <v>37614</v>
      </c>
      <c r="C40" s="13">
        <f>'VO RD Feedstock'!C38+'Other RD Feedstock'!C39</f>
        <v>36355</v>
      </c>
      <c r="D40" s="13">
        <f>'VO RD Feedstock'!D38+'Other RD Feedstock'!D39</f>
        <v>37166</v>
      </c>
      <c r="E40" s="13">
        <f>'VO RD Feedstock'!E38+'Other RD Feedstock'!E39</f>
        <v>36655</v>
      </c>
      <c r="F40" s="13">
        <f>'VO RD Feedstock'!F38+'Other RD Feedstock'!F39</f>
        <v>104885</v>
      </c>
      <c r="G40" s="119">
        <f>'Renewable Fuel Ex Ethanol'!N30*(AVERAGE('Renewable Fuel Ex Ethanol'!I30:M30)/(AVERAGE('Total RD Feedstock'!B40:F40)))</f>
        <v>100501.79875320553</v>
      </c>
      <c r="H40" s="119">
        <f>'Renewable Fuel Ex Ethanol'!O30*(AVERAGE('Renewable Fuel Ex Ethanol'!J30:N30)/(AVERAGE('Total RD Feedstock'!C40:G40)))</f>
        <v>124795.52508261254</v>
      </c>
      <c r="I40" s="119">
        <f>'Renewable Fuel Ex Ethanol'!P30*(AVERAGE('Renewable Fuel Ex Ethanol'!K30:O30)/(AVERAGE('Total RD Feedstock'!D40:H40)))</f>
        <v>165689.96199897019</v>
      </c>
      <c r="J40" s="119">
        <f>'Renewable Fuel Ex Ethanol'!Q30*(AVERAGE('Renewable Fuel Ex Ethanol'!L30:P30)/(AVERAGE('Total RD Feedstock'!E40:I40)))</f>
        <v>182241.71687033746</v>
      </c>
      <c r="K40" s="119">
        <f>'Renewable Fuel Ex Ethanol'!R30*(AVERAGE('Renewable Fuel Ex Ethanol'!M30:Q30)/(AVERAGE('Total RD Feedstock'!F40:J40)))</f>
        <v>182101.77159239209</v>
      </c>
      <c r="L40" s="119">
        <f>'Renewable Fuel Ex Ethanol'!S30*(AVERAGE('Renewable Fuel Ex Ethanol'!N30:R30)/(AVERAGE('Total RD Feedstock'!G40:K40)))</f>
        <v>192510.32829324109</v>
      </c>
      <c r="M40" s="119">
        <f>'Renewable Fuel Ex Ethanol'!T30*(AVERAGE('Renewable Fuel Ex Ethanol'!O30:S30)/(AVERAGE('Total RD Feedstock'!H40:L40)))</f>
        <v>195716.89394869417</v>
      </c>
      <c r="N40" s="119">
        <f>'Renewable Fuel Ex Ethanol'!U30*(AVERAGE('Renewable Fuel Ex Ethanol'!P30:T30)/(AVERAGE('Total RD Feedstock'!I40:M40)))</f>
        <v>199533.97980163683</v>
      </c>
      <c r="O40" s="119">
        <f>'Renewable Fuel Ex Ethanol'!V30*(AVERAGE('Renewable Fuel Ex Ethanol'!Q30:U30)/(AVERAGE('Total RD Feedstock'!J40:N40)))</f>
        <v>202984.1433236296</v>
      </c>
      <c r="P40" s="119">
        <f>'Renewable Fuel Ex Ethanol'!W30*(AVERAGE('Renewable Fuel Ex Ethanol'!R30:V30)/(AVERAGE('Total RD Feedstock'!K40:O40)))</f>
        <v>206314.85130904117</v>
      </c>
      <c r="Q40" s="119">
        <f>'Renewable Fuel Ex Ethanol'!X30*(AVERAGE('Renewable Fuel Ex Ethanol'!S30:W30)/(AVERAGE('Total RD Feedstock'!L40:P40)))</f>
        <v>209641.95154215116</v>
      </c>
      <c r="R40" s="119">
        <f>'Renewable Fuel Ex Ethanol'!Y30*(AVERAGE('Renewable Fuel Ex Ethanol'!T30:X30)/(AVERAGE('Total RD Feedstock'!M40:Q40)))</f>
        <v>211224.32700547768</v>
      </c>
      <c r="S40" s="118"/>
      <c r="T40" s="118"/>
      <c r="U40" s="118"/>
      <c r="V40" s="118"/>
      <c r="W40" s="118"/>
      <c r="X40" s="118"/>
      <c r="Y40" s="118"/>
      <c r="Z40" s="118"/>
      <c r="AA40" s="118"/>
      <c r="AB40" s="118"/>
      <c r="AC40" s="118"/>
      <c r="AD40" s="118"/>
      <c r="AE40" s="118"/>
      <c r="AF40" s="118"/>
      <c r="AG40" s="118"/>
      <c r="AJ40" s="193"/>
      <c r="AK40" s="196"/>
      <c r="AL40" s="196">
        <f t="shared" ref="AL40:AZ40" si="36">AL33-AK33</f>
        <v>117807</v>
      </c>
      <c r="AM40" s="196">
        <f t="shared" si="36"/>
        <v>-9097</v>
      </c>
      <c r="AN40" s="196">
        <f t="shared" si="36"/>
        <v>11124</v>
      </c>
      <c r="AO40" s="196">
        <f t="shared" si="36"/>
        <v>6992</v>
      </c>
      <c r="AP40" s="196">
        <f t="shared" si="36"/>
        <v>140700</v>
      </c>
      <c r="AQ40" s="197">
        <f t="shared" si="36"/>
        <v>33039.840747104317</v>
      </c>
      <c r="AR40" s="197">
        <f t="shared" si="36"/>
        <v>55448.669615167484</v>
      </c>
      <c r="AS40" s="197">
        <f t="shared" si="36"/>
        <v>104837.62689896696</v>
      </c>
      <c r="AT40" s="197">
        <f t="shared" si="36"/>
        <v>57155.992305084015</v>
      </c>
      <c r="AU40" s="197">
        <f t="shared" si="36"/>
        <v>-4221.9651606634725</v>
      </c>
      <c r="AV40" s="197">
        <f t="shared" si="36"/>
        <v>29204.633470228757</v>
      </c>
      <c r="AW40" s="197">
        <f t="shared" si="36"/>
        <v>12046.201771884109</v>
      </c>
      <c r="AX40" s="197">
        <f t="shared" si="36"/>
        <v>9512.4034735234454</v>
      </c>
      <c r="AY40" s="197">
        <f t="shared" si="36"/>
        <v>9603.4805991223548</v>
      </c>
      <c r="AZ40" s="197">
        <f t="shared" si="36"/>
        <v>9424.0900350891752</v>
      </c>
    </row>
    <row r="41" spans="1:53">
      <c r="A41" s="113" t="s">
        <v>138</v>
      </c>
      <c r="B41" s="13">
        <f>'VO RD Feedstock'!B39+'Other RD Feedstock'!B40</f>
        <v>37498</v>
      </c>
      <c r="C41" s="13">
        <f>'VO RD Feedstock'!C39+'Other RD Feedstock'!C40</f>
        <v>34622</v>
      </c>
      <c r="D41" s="13">
        <f>'VO RD Feedstock'!D39+'Other RD Feedstock'!D40</f>
        <v>40496</v>
      </c>
      <c r="E41" s="13">
        <f>'VO RD Feedstock'!E39+'Other RD Feedstock'!E40</f>
        <v>40729</v>
      </c>
      <c r="F41" s="13">
        <f>'VO RD Feedstock'!F39+'Other RD Feedstock'!F40</f>
        <v>68110</v>
      </c>
      <c r="G41" s="119">
        <f>'Renewable Fuel Ex Ethanol'!N31*(AVERAGE('Renewable Fuel Ex Ethanol'!I31:M31)/(AVERAGE('Total RD Feedstock'!B41:F41)))</f>
        <v>88607.990062155717</v>
      </c>
      <c r="H41" s="119">
        <f>'Renewable Fuel Ex Ethanol'!O31*(AVERAGE('Renewable Fuel Ex Ethanol'!J31:N31)/(AVERAGE('Total RD Feedstock'!C41:G41)))</f>
        <v>100273.74699361146</v>
      </c>
      <c r="I41" s="119">
        <f>'Renewable Fuel Ex Ethanol'!P31*(AVERAGE('Renewable Fuel Ex Ethanol'!K31:O31)/(AVERAGE('Total RD Feedstock'!D41:H41)))</f>
        <v>128452.69348088726</v>
      </c>
      <c r="J41" s="119">
        <f>'Renewable Fuel Ex Ethanol'!Q31*(AVERAGE('Renewable Fuel Ex Ethanol'!L31:P31)/(AVERAGE('Total RD Feedstock'!E41:I41)))</f>
        <v>147276.60433775868</v>
      </c>
      <c r="K41" s="119">
        <f>'Renewable Fuel Ex Ethanol'!R31*(AVERAGE('Renewable Fuel Ex Ethanol'!M31:Q31)/(AVERAGE('Total RD Feedstock'!F41:J41)))</f>
        <v>145250.76009904989</v>
      </c>
      <c r="L41" s="119">
        <f>'Renewable Fuel Ex Ethanol'!S31*(AVERAGE('Renewable Fuel Ex Ethanol'!N31:R31)/(AVERAGE('Total RD Feedstock'!G41:K41)))</f>
        <v>153390.43778992016</v>
      </c>
      <c r="M41" s="119">
        <f>'Renewable Fuel Ex Ethanol'!T31*(AVERAGE('Renewable Fuel Ex Ethanol'!O31:S31)/(AVERAGE('Total RD Feedstock'!H41:L41)))</f>
        <v>157102.43703079116</v>
      </c>
      <c r="N41" s="119">
        <f>'Renewable Fuel Ex Ethanol'!U31*(AVERAGE('Renewable Fuel Ex Ethanol'!P31:T31)/(AVERAGE('Total RD Feedstock'!I41:M41)))</f>
        <v>159390.74019596202</v>
      </c>
      <c r="O41" s="119">
        <f>'Renewable Fuel Ex Ethanol'!V31*(AVERAGE('Renewable Fuel Ex Ethanol'!Q31:U31)/(AVERAGE('Total RD Feedstock'!J41:N41)))</f>
        <v>162147.43262748123</v>
      </c>
      <c r="P41" s="119">
        <f>'Renewable Fuel Ex Ethanol'!W31*(AVERAGE('Renewable Fuel Ex Ethanol'!R31:V31)/(AVERAGE('Total RD Feedstock'!K41:O41)))</f>
        <v>164843.89619416738</v>
      </c>
      <c r="Q41" s="119">
        <f>'Renewable Fuel Ex Ethanol'!X31*(AVERAGE('Renewable Fuel Ex Ethanol'!S31:W31)/(AVERAGE('Total RD Feedstock'!L41:P41)))</f>
        <v>167384.13778034586</v>
      </c>
      <c r="R41" s="119">
        <f>'Renewable Fuel Ex Ethanol'!Y31*(AVERAGE('Renewable Fuel Ex Ethanol'!T31:X31)/(AVERAGE('Total RD Feedstock'!M41:Q41)))</f>
        <v>168740.91900058812</v>
      </c>
      <c r="S41" s="118"/>
      <c r="T41" s="118"/>
      <c r="U41" s="118"/>
      <c r="V41" s="118"/>
      <c r="W41" s="118"/>
      <c r="X41" s="118"/>
      <c r="Y41" s="118"/>
      <c r="Z41" s="118"/>
      <c r="AA41" s="118"/>
      <c r="AB41" s="118"/>
      <c r="AC41" s="118"/>
      <c r="AD41" s="118"/>
      <c r="AE41" s="118"/>
      <c r="AF41" s="118"/>
      <c r="AG41" s="118"/>
      <c r="AJ41" s="198" t="s">
        <v>219</v>
      </c>
      <c r="AK41" s="189"/>
      <c r="AL41" s="189" t="e">
        <f t="shared" ref="AL41:AZ41" si="37">AL35/AK35-1</f>
        <v>#DIV/0!</v>
      </c>
      <c r="AM41" s="189">
        <f t="shared" si="37"/>
        <v>-7.9658206713755342E-2</v>
      </c>
      <c r="AN41" s="189">
        <f t="shared" si="37"/>
        <v>-0.12098660630069802</v>
      </c>
      <c r="AO41" s="189">
        <f t="shared" si="37"/>
        <v>0.33428834068367075</v>
      </c>
      <c r="AP41" s="190">
        <f t="shared" si="37"/>
        <v>1.4077375287838536</v>
      </c>
      <c r="AQ41" s="190">
        <f t="shared" si="37"/>
        <v>2.5758596402782885E-3</v>
      </c>
      <c r="AR41" s="190">
        <f t="shared" si="37"/>
        <v>0.23259069280116362</v>
      </c>
      <c r="AS41" s="190">
        <f t="shared" si="37"/>
        <v>0.30722240940230483</v>
      </c>
      <c r="AT41" s="190">
        <f t="shared" si="37"/>
        <v>0.10595693158380737</v>
      </c>
      <c r="AU41" s="190">
        <f t="shared" si="37"/>
        <v>-4.2946727603410118E-5</v>
      </c>
      <c r="AV41" s="190">
        <f t="shared" si="37"/>
        <v>5.6692273946019389E-2</v>
      </c>
      <c r="AW41" s="190">
        <f t="shared" si="37"/>
        <v>1.9623469403984073E-2</v>
      </c>
      <c r="AX41" s="190">
        <f t="shared" si="37"/>
        <v>1.8598914537317324E-2</v>
      </c>
      <c r="AY41" s="190">
        <f t="shared" si="37"/>
        <v>1.6727640479679451E-2</v>
      </c>
      <c r="AZ41" s="190">
        <f t="shared" si="37"/>
        <v>1.6011932790386041E-2</v>
      </c>
    </row>
    <row r="42" spans="1:53">
      <c r="A42" s="113" t="s">
        <v>139</v>
      </c>
      <c r="B42" s="13">
        <f>'VO RD Feedstock'!B40+'Other RD Feedstock'!B41</f>
        <v>42695</v>
      </c>
      <c r="C42" s="13">
        <f>'VO RD Feedstock'!C40+'Other RD Feedstock'!C41</f>
        <v>37733</v>
      </c>
      <c r="D42" s="13">
        <f>'VO RD Feedstock'!D40+'Other RD Feedstock'!D41</f>
        <v>42172</v>
      </c>
      <c r="E42" s="13">
        <f>'VO RD Feedstock'!E40+'Other RD Feedstock'!E41</f>
        <v>49442</v>
      </c>
      <c r="F42" s="13">
        <f>'VO RD Feedstock'!F40+'Other RD Feedstock'!F41</f>
        <v>94531</v>
      </c>
      <c r="G42" s="119">
        <f>'Renewable Fuel Ex Ethanol'!N32*(AVERAGE('Renewable Fuel Ex Ethanol'!I32:M32)/(AVERAGE('Total RD Feedstock'!B42:F42)))</f>
        <v>111456.05193174309</v>
      </c>
      <c r="H42" s="119">
        <f>'Renewable Fuel Ex Ethanol'!O32*(AVERAGE('Renewable Fuel Ex Ethanol'!J32:N32)/(AVERAGE('Total RD Feedstock'!C42:G42)))</f>
        <v>130945.2382860478</v>
      </c>
      <c r="I42" s="119">
        <f>'Renewable Fuel Ex Ethanol'!P32*(AVERAGE('Renewable Fuel Ex Ethanol'!K32:O32)/(AVERAGE('Total RD Feedstock'!D42:H42)))</f>
        <v>166709.4817813813</v>
      </c>
      <c r="J42" s="119">
        <f>'Renewable Fuel Ex Ethanol'!Q32*(AVERAGE('Renewable Fuel Ex Ethanol'!L32:P32)/(AVERAGE('Total RD Feedstock'!E42:I42)))</f>
        <v>188489.80835822664</v>
      </c>
      <c r="K42" s="119">
        <f>'Renewable Fuel Ex Ethanol'!R32*(AVERAGE('Renewable Fuel Ex Ethanol'!M32:Q32)/(AVERAGE('Total RD Feedstock'!F42:J42)))</f>
        <v>186433.6327142173</v>
      </c>
      <c r="L42" s="119">
        <f>'Renewable Fuel Ex Ethanol'!S32*(AVERAGE('Renewable Fuel Ex Ethanol'!N32:R32)/(AVERAGE('Total RD Feedstock'!G42:K42)))</f>
        <v>197090.0317927268</v>
      </c>
      <c r="M42" s="119">
        <f>'Renewable Fuel Ex Ethanol'!T32*(AVERAGE('Renewable Fuel Ex Ethanol'!O32:S32)/(AVERAGE('Total RD Feedstock'!H42:L42)))</f>
        <v>202217.66866828687</v>
      </c>
      <c r="N42" s="119">
        <f>'Renewable Fuel Ex Ethanol'!U32*(AVERAGE('Renewable Fuel Ex Ethanol'!P32:T32)/(AVERAGE('Total RD Feedstock'!I42:M42)))</f>
        <v>205624.68312369671</v>
      </c>
      <c r="O42" s="119">
        <f>'Renewable Fuel Ex Ethanol'!V32*(AVERAGE('Renewable Fuel Ex Ethanol'!Q32:U32)/(AVERAGE('Total RD Feedstock'!J42:N42)))</f>
        <v>209021.30776930717</v>
      </c>
      <c r="P42" s="119">
        <f>'Renewable Fuel Ex Ethanol'!W32*(AVERAGE('Renewable Fuel Ex Ethanol'!R32:V32)/(AVERAGE('Total RD Feedstock'!K42:O42)))</f>
        <v>212418.22625229854</v>
      </c>
      <c r="Q42" s="119">
        <f>'Renewable Fuel Ex Ethanol'!X32*(AVERAGE('Renewable Fuel Ex Ethanol'!S32:W32)/(AVERAGE('Total RD Feedstock'!L42:P42)))</f>
        <v>215499.04899643789</v>
      </c>
      <c r="R42" s="119">
        <f>'Renewable Fuel Ex Ethanol'!Y32*(AVERAGE('Renewable Fuel Ex Ethanol'!T32:X32)/(AVERAGE('Total RD Feedstock'!M42:Q42)))</f>
        <v>217111.64208370831</v>
      </c>
      <c r="S42" s="118"/>
      <c r="T42" s="118"/>
      <c r="U42" s="118"/>
      <c r="V42" s="118"/>
      <c r="W42" s="118"/>
      <c r="X42" s="118"/>
      <c r="Y42" s="118"/>
      <c r="Z42" s="118"/>
      <c r="AA42" s="118"/>
      <c r="AB42" s="118"/>
      <c r="AC42" s="118"/>
      <c r="AD42" s="118"/>
      <c r="AE42" s="118"/>
      <c r="AF42" s="118"/>
      <c r="AG42" s="118"/>
      <c r="AJ42" s="198"/>
      <c r="AK42" s="191"/>
      <c r="AL42" s="191">
        <f t="shared" ref="AL42:AZ42" si="38">AL35-AK35</f>
        <v>345589</v>
      </c>
      <c r="AM42" s="191">
        <f t="shared" si="38"/>
        <v>-27529</v>
      </c>
      <c r="AN42" s="191">
        <f t="shared" si="38"/>
        <v>-38481</v>
      </c>
      <c r="AO42" s="191">
        <f t="shared" si="38"/>
        <v>93460</v>
      </c>
      <c r="AP42" s="192">
        <f t="shared" si="38"/>
        <v>525141</v>
      </c>
      <c r="AQ42" s="192">
        <f t="shared" si="38"/>
        <v>2313.5856117052026</v>
      </c>
      <c r="AR42" s="192">
        <f t="shared" si="38"/>
        <v>209446.42694043042</v>
      </c>
      <c r="AS42" s="192">
        <f t="shared" si="38"/>
        <v>340998.44494829164</v>
      </c>
      <c r="AT42" s="192">
        <f t="shared" si="38"/>
        <v>153736.98687368771</v>
      </c>
      <c r="AU42" s="192">
        <f t="shared" si="38"/>
        <v>-68.91555920150131</v>
      </c>
      <c r="AV42" s="192">
        <f t="shared" si="38"/>
        <v>90968.792907146504</v>
      </c>
      <c r="AW42" s="192">
        <f t="shared" si="38"/>
        <v>33273.07044796343</v>
      </c>
      <c r="AX42" s="192">
        <f t="shared" si="38"/>
        <v>32154.703493948793</v>
      </c>
      <c r="AY42" s="192">
        <f t="shared" si="38"/>
        <v>29457.426667869324</v>
      </c>
      <c r="AZ42" s="192">
        <f t="shared" si="38"/>
        <v>28668.733547416748</v>
      </c>
    </row>
    <row r="43" spans="1:53">
      <c r="A43" s="113" t="s">
        <v>140</v>
      </c>
      <c r="B43" s="13">
        <f>'VO RD Feedstock'!B41+'Other RD Feedstock'!B42</f>
        <v>37280</v>
      </c>
      <c r="C43" s="13">
        <f>'VO RD Feedstock'!C41+'Other RD Feedstock'!C42</f>
        <v>41177</v>
      </c>
      <c r="D43" s="13">
        <f>'VO RD Feedstock'!D41+'Other RD Feedstock'!D42</f>
        <v>36997</v>
      </c>
      <c r="E43" s="13">
        <f>'VO RD Feedstock'!E41+'Other RD Feedstock'!E42</f>
        <v>46703</v>
      </c>
      <c r="F43" s="13">
        <f>'VO RD Feedstock'!F41+'Other RD Feedstock'!F42</f>
        <v>109224</v>
      </c>
      <c r="G43" s="119">
        <f>'Renewable Fuel Ex Ethanol'!N33*(AVERAGE('Renewable Fuel Ex Ethanol'!I33:M33)/(AVERAGE('Total RD Feedstock'!B43:F43)))</f>
        <v>175266.93734094984</v>
      </c>
      <c r="H43" s="119">
        <f>'Renewable Fuel Ex Ethanol'!O33*(AVERAGE('Renewable Fuel Ex Ethanol'!J33:N33)/(AVERAGE('Total RD Feedstock'!C43:G43)))</f>
        <v>168142.42697732383</v>
      </c>
      <c r="I43" s="119">
        <f>'Renewable Fuel Ex Ethanol'!P33*(AVERAGE('Renewable Fuel Ex Ethanol'!K33:O33)/(AVERAGE('Total RD Feedstock'!D43:H43)))</f>
        <v>226503.40240547576</v>
      </c>
      <c r="J43" s="119">
        <f>'Renewable Fuel Ex Ethanol'!Q33*(AVERAGE('Renewable Fuel Ex Ethanol'!L33:P33)/(AVERAGE('Total RD Feedstock'!E43:I43)))</f>
        <v>265075.5684577378</v>
      </c>
      <c r="K43" s="119">
        <f>'Renewable Fuel Ex Ethanol'!R33*(AVERAGE('Renewable Fuel Ex Ethanol'!M33:Q33)/(AVERAGE('Total RD Feedstock'!F43:J43)))</f>
        <v>255205.75899036226</v>
      </c>
      <c r="L43" s="119">
        <f>'Renewable Fuel Ex Ethanol'!S33*(AVERAGE('Renewable Fuel Ex Ethanol'!N33:R33)/(AVERAGE('Total RD Feedstock'!G43:K43)))</f>
        <v>271846.47089614579</v>
      </c>
      <c r="M43" s="119">
        <f>'Renewable Fuel Ex Ethanol'!T33*(AVERAGE('Renewable Fuel Ex Ethanol'!O33:S33)/(AVERAGE('Total RD Feedstock'!H43:L43)))</f>
        <v>278890.41993690096</v>
      </c>
      <c r="N43" s="119">
        <f>'Renewable Fuel Ex Ethanol'!U33*(AVERAGE('Renewable Fuel Ex Ethanol'!P33:T33)/(AVERAGE('Total RD Feedstock'!I43:M43)))</f>
        <v>281736.10331743746</v>
      </c>
      <c r="O43" s="119">
        <f>'Renewable Fuel Ex Ethanol'!V33*(AVERAGE('Renewable Fuel Ex Ethanol'!Q33:U33)/(AVERAGE('Total RD Feedstock'!J43:N43)))</f>
        <v>287209.17928611225</v>
      </c>
      <c r="P43" s="119">
        <f>'Renewable Fuel Ex Ethanol'!W33*(AVERAGE('Renewable Fuel Ex Ethanol'!R33:V33)/(AVERAGE('Total RD Feedstock'!K43:O43)))</f>
        <v>292052.55495777441</v>
      </c>
      <c r="Q43" s="119">
        <f>'Renewable Fuel Ex Ethanol'!X33*(AVERAGE('Renewable Fuel Ex Ethanol'!S33:W33)/(AVERAGE('Total RD Feedstock'!L43:P43)))</f>
        <v>296424.59751111531</v>
      </c>
      <c r="R43" s="119">
        <f>'Renewable Fuel Ex Ethanol'!Y33*(AVERAGE('Renewable Fuel Ex Ethanol'!T33:X33)/(AVERAGE('Total RD Feedstock'!M43:Q43)))</f>
        <v>298931.67046261136</v>
      </c>
      <c r="S43" s="118"/>
      <c r="T43" s="118"/>
      <c r="U43" s="118"/>
      <c r="V43" s="118"/>
      <c r="W43" s="118"/>
      <c r="X43" s="118"/>
      <c r="Y43" s="118"/>
      <c r="Z43" s="118"/>
      <c r="AA43" s="118"/>
      <c r="AB43" s="118"/>
      <c r="AC43" s="118"/>
      <c r="AD43" s="118"/>
      <c r="AE43" s="118"/>
      <c r="AF43" s="118"/>
      <c r="AG43" s="118"/>
    </row>
    <row r="44" spans="1:53" ht="12" thickBot="1">
      <c r="A44" s="113" t="s">
        <v>141</v>
      </c>
      <c r="B44" s="13">
        <f>SUM(B32:B43)</f>
        <v>454432</v>
      </c>
      <c r="C44" s="13">
        <f>SUM(C32:C43)</f>
        <v>419883</v>
      </c>
      <c r="D44" s="13">
        <f>SUM(D32:D43)</f>
        <v>358489</v>
      </c>
      <c r="E44" s="118">
        <f>SUM(E32:E43)</f>
        <v>492272</v>
      </c>
      <c r="F44" s="118">
        <f t="shared" ref="F44:R44" si="39">SUM(F32:F43)</f>
        <v>1122079</v>
      </c>
      <c r="G44" s="119">
        <f t="shared" si="39"/>
        <v>1152451.5229526551</v>
      </c>
      <c r="H44" s="119">
        <f t="shared" si="39"/>
        <v>1408319.8927382145</v>
      </c>
      <c r="I44" s="119">
        <f t="shared" si="39"/>
        <v>1836113.2712983452</v>
      </c>
      <c r="J44" s="119">
        <f t="shared" si="39"/>
        <v>2040539.0065129923</v>
      </c>
      <c r="K44" s="119">
        <f t="shared" si="39"/>
        <v>2037913.1780589886</v>
      </c>
      <c r="L44" s="119">
        <f t="shared" si="39"/>
        <v>2153903.2863867776</v>
      </c>
      <c r="M44" s="119">
        <f t="shared" si="39"/>
        <v>2196856.0046067662</v>
      </c>
      <c r="N44" s="119">
        <f t="shared" si="39"/>
        <v>2236019.4237792455</v>
      </c>
      <c r="O44" s="119">
        <f t="shared" si="39"/>
        <v>2273297.712015579</v>
      </c>
      <c r="P44" s="119">
        <f t="shared" si="39"/>
        <v>2309948.4057451952</v>
      </c>
      <c r="Q44" s="119">
        <f t="shared" si="39"/>
        <v>2346312.4473848329</v>
      </c>
      <c r="R44" s="119">
        <f t="shared" si="39"/>
        <v>2364591.1583579304</v>
      </c>
      <c r="S44" s="118"/>
      <c r="T44" s="118"/>
      <c r="U44" s="118"/>
      <c r="V44" s="118"/>
      <c r="W44" s="118"/>
      <c r="X44" s="118"/>
      <c r="Y44" s="118"/>
      <c r="Z44" s="118"/>
      <c r="AA44" s="118"/>
      <c r="AB44" s="118"/>
      <c r="AC44" s="118"/>
      <c r="AD44" s="118"/>
      <c r="AE44" s="118"/>
      <c r="AF44" s="118"/>
      <c r="AG44" s="118"/>
    </row>
    <row r="45" spans="1:53">
      <c r="A45" s="199"/>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c r="AA45" s="199"/>
      <c r="AB45" s="199"/>
      <c r="AC45" s="199"/>
      <c r="AD45" s="199"/>
      <c r="AE45" s="199"/>
      <c r="AF45" s="199"/>
    </row>
    <row r="46" spans="1:53" ht="12" thickBot="1">
      <c r="A46" s="138" t="s">
        <v>145</v>
      </c>
    </row>
    <row r="47" spans="1:53" ht="12" thickBot="1">
      <c r="A47" s="176"/>
      <c r="B47" s="177">
        <f>B3</f>
        <v>2020</v>
      </c>
      <c r="C47" s="177">
        <f t="shared" ref="C47:AF47" si="40">C3</f>
        <v>2021</v>
      </c>
      <c r="D47" s="177">
        <f t="shared" si="40"/>
        <v>2022</v>
      </c>
      <c r="E47" s="177">
        <f t="shared" si="40"/>
        <v>2023</v>
      </c>
      <c r="F47" s="177">
        <f t="shared" si="40"/>
        <v>2024</v>
      </c>
      <c r="G47" s="177">
        <f t="shared" si="40"/>
        <v>2025</v>
      </c>
      <c r="H47" s="177">
        <f t="shared" si="40"/>
        <v>2026</v>
      </c>
      <c r="I47" s="177">
        <f t="shared" si="40"/>
        <v>2027</v>
      </c>
      <c r="J47" s="177">
        <f t="shared" si="40"/>
        <v>2028</v>
      </c>
      <c r="K47" s="177">
        <f t="shared" si="40"/>
        <v>2029</v>
      </c>
      <c r="L47" s="177">
        <f t="shared" si="40"/>
        <v>2030</v>
      </c>
      <c r="M47" s="177">
        <f t="shared" si="40"/>
        <v>2031</v>
      </c>
      <c r="N47" s="177">
        <f t="shared" si="40"/>
        <v>2032</v>
      </c>
      <c r="O47" s="177">
        <f t="shared" si="40"/>
        <v>2033</v>
      </c>
      <c r="P47" s="177">
        <f t="shared" si="40"/>
        <v>2034</v>
      </c>
      <c r="Q47" s="177">
        <f t="shared" si="40"/>
        <v>2035</v>
      </c>
      <c r="R47" s="177">
        <f t="shared" si="40"/>
        <v>2036</v>
      </c>
      <c r="S47" s="177">
        <f t="shared" si="40"/>
        <v>2037</v>
      </c>
      <c r="T47" s="177">
        <f t="shared" si="40"/>
        <v>2038</v>
      </c>
      <c r="U47" s="177">
        <f t="shared" si="40"/>
        <v>2039</v>
      </c>
      <c r="V47" s="177">
        <f t="shared" si="40"/>
        <v>2040</v>
      </c>
      <c r="W47" s="177">
        <f t="shared" si="40"/>
        <v>2041</v>
      </c>
      <c r="X47" s="177">
        <f t="shared" si="40"/>
        <v>2042</v>
      </c>
      <c r="Y47" s="177">
        <f t="shared" si="40"/>
        <v>2043</v>
      </c>
      <c r="Z47" s="177">
        <f t="shared" si="40"/>
        <v>2044</v>
      </c>
      <c r="AA47" s="177">
        <f t="shared" si="40"/>
        <v>2045</v>
      </c>
      <c r="AB47" s="177">
        <f t="shared" si="40"/>
        <v>2046</v>
      </c>
      <c r="AC47" s="177">
        <f t="shared" si="40"/>
        <v>2047</v>
      </c>
      <c r="AD47" s="177">
        <f t="shared" si="40"/>
        <v>2048</v>
      </c>
      <c r="AE47" s="177">
        <f t="shared" si="40"/>
        <v>2049</v>
      </c>
      <c r="AF47" s="177">
        <f t="shared" si="40"/>
        <v>2050</v>
      </c>
      <c r="AG47" s="248"/>
    </row>
    <row r="48" spans="1:53">
      <c r="A48" s="113" t="s">
        <v>129</v>
      </c>
      <c r="B48" s="13">
        <f>'VO RD Feedstock'!B46+'Other RD Feedstock'!B47</f>
        <v>8</v>
      </c>
      <c r="C48" s="13">
        <f>'VO RD Feedstock'!C46+'Other RD Feedstock'!C47</f>
        <v>432</v>
      </c>
      <c r="D48" s="13">
        <f>'VO RD Feedstock'!D46+'Other RD Feedstock'!D47</f>
        <v>11</v>
      </c>
      <c r="E48" s="13">
        <f>'VO RD Feedstock'!E46+'Other RD Feedstock'!E47</f>
        <v>41</v>
      </c>
      <c r="F48" s="13">
        <f>'VO RD Feedstock'!F46+'Other RD Feedstock'!F47</f>
        <v>70</v>
      </c>
      <c r="G48" s="13">
        <f>'VO RD Feedstock'!G46+'Other RD Feedstock'!G47</f>
        <v>-34</v>
      </c>
      <c r="H48" s="119">
        <f t="shared" ref="H48:R58" si="41">(SUM(C48:G48)/SUM(C$60:G$60))*H$60</f>
        <v>45.375218150087257</v>
      </c>
      <c r="I48" s="119">
        <f t="shared" si="41"/>
        <v>18.65387666434787</v>
      </c>
      <c r="J48" s="119">
        <f t="shared" si="41"/>
        <v>19.506098867833352</v>
      </c>
      <c r="K48" s="119">
        <f t="shared" si="41"/>
        <v>10.27817658488981</v>
      </c>
      <c r="L48" s="119">
        <f t="shared" si="41"/>
        <v>11.962674053431659</v>
      </c>
      <c r="M48" s="119">
        <f t="shared" si="41"/>
        <v>21.155208864117984</v>
      </c>
      <c r="N48" s="119">
        <f t="shared" si="41"/>
        <v>16.311207006924132</v>
      </c>
      <c r="O48" s="119">
        <f t="shared" si="41"/>
        <v>15.842673075439388</v>
      </c>
      <c r="P48" s="119">
        <f t="shared" si="41"/>
        <v>15.109987916960597</v>
      </c>
      <c r="Q48" s="119">
        <f t="shared" si="41"/>
        <v>16.076350183374753</v>
      </c>
      <c r="R48" s="119">
        <f t="shared" si="41"/>
        <v>16.899085409363369</v>
      </c>
    </row>
    <row r="49" spans="1:33">
      <c r="A49" s="113" t="s">
        <v>130</v>
      </c>
      <c r="B49" s="13">
        <f>'VO RD Feedstock'!B47+'Other RD Feedstock'!B48</f>
        <v>16</v>
      </c>
      <c r="C49" s="13">
        <f>'VO RD Feedstock'!C47+'Other RD Feedstock'!C48</f>
        <v>133</v>
      </c>
      <c r="D49" s="13">
        <f>'VO RD Feedstock'!D47+'Other RD Feedstock'!D48</f>
        <v>42</v>
      </c>
      <c r="E49" s="13">
        <f>'VO RD Feedstock'!E47+'Other RD Feedstock'!E48</f>
        <v>-78</v>
      </c>
      <c r="F49" s="13">
        <f>'VO RD Feedstock'!F47+'Other RD Feedstock'!F48</f>
        <v>147</v>
      </c>
      <c r="G49" s="13">
        <f>'VO RD Feedstock'!G47+'Other RD Feedstock'!G48</f>
        <v>-18</v>
      </c>
      <c r="H49" s="119">
        <f t="shared" si="41"/>
        <v>19.720767888307154</v>
      </c>
      <c r="I49" s="119">
        <f t="shared" si="41"/>
        <v>15.765142362001001</v>
      </c>
      <c r="J49" s="119">
        <f t="shared" si="41"/>
        <v>11.962089937801958</v>
      </c>
      <c r="K49" s="119">
        <f t="shared" si="41"/>
        <v>15.171797092700784</v>
      </c>
      <c r="L49" s="119">
        <f t="shared" si="41"/>
        <v>8.92395945616218</v>
      </c>
      <c r="M49" s="119">
        <f t="shared" si="41"/>
        <v>14.308751347394615</v>
      </c>
      <c r="N49" s="119">
        <f t="shared" si="41"/>
        <v>13.226348039212107</v>
      </c>
      <c r="O49" s="119">
        <f t="shared" si="41"/>
        <v>12.718589174654326</v>
      </c>
      <c r="P49" s="119">
        <f t="shared" si="41"/>
        <v>12.869889022024802</v>
      </c>
      <c r="Q49" s="119">
        <f t="shared" si="41"/>
        <v>12.409507407889606</v>
      </c>
      <c r="R49" s="119">
        <f t="shared" si="41"/>
        <v>13.10661699823509</v>
      </c>
    </row>
    <row r="50" spans="1:33">
      <c r="A50" s="113" t="s">
        <v>131</v>
      </c>
      <c r="B50" s="13">
        <f>'VO RD Feedstock'!B48+'Other RD Feedstock'!B49</f>
        <v>-165</v>
      </c>
      <c r="C50" s="13">
        <f>'VO RD Feedstock'!C48+'Other RD Feedstock'!C49</f>
        <v>-18</v>
      </c>
      <c r="D50" s="13">
        <f>'VO RD Feedstock'!D48+'Other RD Feedstock'!D49</f>
        <v>-24</v>
      </c>
      <c r="E50" s="13">
        <f>'VO RD Feedstock'!E48+'Other RD Feedstock'!E49</f>
        <v>77</v>
      </c>
      <c r="F50" s="13">
        <f>'VO RD Feedstock'!F48+'Other RD Feedstock'!F49</f>
        <v>-10</v>
      </c>
      <c r="G50" s="119">
        <f t="shared" ref="G50:G58" si="42">(SUM(B50:F50)/SUM(B$60:F$60))*G$60</f>
        <v>-3.1042128603104215</v>
      </c>
      <c r="H50" s="119">
        <f t="shared" si="41"/>
        <v>1.9106271500601724</v>
      </c>
      <c r="I50" s="119">
        <f t="shared" si="41"/>
        <v>5.8470509496153502</v>
      </c>
      <c r="J50" s="119">
        <f t="shared" si="41"/>
        <v>9.9105761050297509</v>
      </c>
      <c r="K50" s="119">
        <f t="shared" si="41"/>
        <v>0.39243691697290206</v>
      </c>
      <c r="L50" s="119">
        <f t="shared" si="41"/>
        <v>2.9912956522735503</v>
      </c>
      <c r="M50" s="119">
        <f t="shared" si="41"/>
        <v>4.210397354790345</v>
      </c>
      <c r="N50" s="119">
        <f t="shared" si="41"/>
        <v>4.6703513957363798</v>
      </c>
      <c r="O50" s="119">
        <f t="shared" si="41"/>
        <v>4.4350114849605857</v>
      </c>
      <c r="P50" s="119">
        <f t="shared" si="41"/>
        <v>3.3398985609467533</v>
      </c>
      <c r="Q50" s="119">
        <f t="shared" si="41"/>
        <v>3.9293908897415228</v>
      </c>
      <c r="R50" s="119">
        <f t="shared" si="41"/>
        <v>4.1170099372351174</v>
      </c>
    </row>
    <row r="51" spans="1:33">
      <c r="A51" s="113" t="s">
        <v>132</v>
      </c>
      <c r="B51" s="13">
        <f>'VO RD Feedstock'!B49+'Other RD Feedstock'!B50</f>
        <v>-146</v>
      </c>
      <c r="C51" s="13">
        <f>'VO RD Feedstock'!C49+'Other RD Feedstock'!C50</f>
        <v>-137</v>
      </c>
      <c r="D51" s="13">
        <f>'VO RD Feedstock'!D49+'Other RD Feedstock'!D50</f>
        <v>-15</v>
      </c>
      <c r="E51" s="13">
        <f>'VO RD Feedstock'!E49+'Other RD Feedstock'!E50</f>
        <v>-8</v>
      </c>
      <c r="F51" s="13">
        <f>'VO RD Feedstock'!F49+'Other RD Feedstock'!F50</f>
        <v>-5</v>
      </c>
      <c r="G51" s="119">
        <f t="shared" si="42"/>
        <v>-6.8957871396895785</v>
      </c>
      <c r="H51" s="119">
        <f t="shared" si="41"/>
        <v>-14.999632385662268</v>
      </c>
      <c r="I51" s="119">
        <f t="shared" si="41"/>
        <v>-6.9783803531960622</v>
      </c>
      <c r="J51" s="119">
        <f t="shared" si="41"/>
        <v>-5.7916735654976366</v>
      </c>
      <c r="K51" s="119">
        <f t="shared" si="41"/>
        <v>-3.4106168051629879</v>
      </c>
      <c r="L51" s="119">
        <f t="shared" si="41"/>
        <v>-7.6152180498417072</v>
      </c>
      <c r="M51" s="119">
        <f t="shared" si="41"/>
        <v>-7.7591042318721328</v>
      </c>
      <c r="N51" s="119">
        <f t="shared" si="41"/>
        <v>-6.3109986011141057</v>
      </c>
      <c r="O51" s="119">
        <f t="shared" si="41"/>
        <v>-6.1775222506977148</v>
      </c>
      <c r="P51" s="119">
        <f t="shared" si="41"/>
        <v>-6.2546919877377292</v>
      </c>
      <c r="Q51" s="119">
        <f t="shared" si="41"/>
        <v>-6.8235070242526774</v>
      </c>
      <c r="R51" s="119">
        <f t="shared" si="41"/>
        <v>-6.6651648191348727</v>
      </c>
    </row>
    <row r="52" spans="1:33">
      <c r="A52" s="113" t="s">
        <v>133</v>
      </c>
      <c r="B52" s="13">
        <f>'VO RD Feedstock'!B50+'Other RD Feedstock'!B51</f>
        <v>-327</v>
      </c>
      <c r="C52" s="13">
        <f>'VO RD Feedstock'!C50+'Other RD Feedstock'!C51</f>
        <v>-66</v>
      </c>
      <c r="D52" s="13">
        <f>'VO RD Feedstock'!D50+'Other RD Feedstock'!D51</f>
        <v>103</v>
      </c>
      <c r="E52" s="13">
        <f>'VO RD Feedstock'!E50+'Other RD Feedstock'!E51</f>
        <v>-101</v>
      </c>
      <c r="F52" s="13">
        <f>'VO RD Feedstock'!F50+'Other RD Feedstock'!F51</f>
        <v>-70</v>
      </c>
      <c r="G52" s="119">
        <f t="shared" si="42"/>
        <v>-10.221729490022174</v>
      </c>
      <c r="H52" s="119">
        <f t="shared" si="41"/>
        <v>-12.584793149216594</v>
      </c>
      <c r="I52" s="119">
        <f t="shared" si="41"/>
        <v>-12.700212956536891</v>
      </c>
      <c r="J52" s="119">
        <f t="shared" si="41"/>
        <v>-28.562480718641169</v>
      </c>
      <c r="K52" s="119">
        <f t="shared" si="41"/>
        <v>-11.527877585074533</v>
      </c>
      <c r="L52" s="119">
        <f t="shared" si="41"/>
        <v>-15.119418779898272</v>
      </c>
      <c r="M52" s="119">
        <f t="shared" si="41"/>
        <v>-16.098956637873492</v>
      </c>
      <c r="N52" s="119">
        <f t="shared" si="41"/>
        <v>-16.801789335604873</v>
      </c>
      <c r="O52" s="119">
        <f t="shared" si="41"/>
        <v>-17.622104611418468</v>
      </c>
      <c r="P52" s="119">
        <f t="shared" si="41"/>
        <v>-15.434029389973928</v>
      </c>
      <c r="Q52" s="119">
        <f t="shared" si="41"/>
        <v>-16.215259750953805</v>
      </c>
      <c r="R52" s="119">
        <f t="shared" si="41"/>
        <v>-16.434427945164913</v>
      </c>
    </row>
    <row r="53" spans="1:33">
      <c r="A53" s="113" t="s">
        <v>134</v>
      </c>
      <c r="B53" s="13">
        <f>'VO RD Feedstock'!B51+'Other RD Feedstock'!B52</f>
        <v>20</v>
      </c>
      <c r="C53" s="13">
        <f>'VO RD Feedstock'!C51+'Other RD Feedstock'!C52</f>
        <v>-66</v>
      </c>
      <c r="D53" s="13">
        <f>'VO RD Feedstock'!D51+'Other RD Feedstock'!D52</f>
        <v>-1</v>
      </c>
      <c r="E53" s="13">
        <f>'VO RD Feedstock'!E51+'Other RD Feedstock'!E52</f>
        <v>-3</v>
      </c>
      <c r="F53" s="13">
        <f>'VO RD Feedstock'!F51+'Other RD Feedstock'!F52</f>
        <v>69</v>
      </c>
      <c r="G53" s="119">
        <f t="shared" si="42"/>
        <v>0.42128603104212864</v>
      </c>
      <c r="H53" s="119">
        <f t="shared" si="41"/>
        <v>-5.0498601130704299E-2</v>
      </c>
      <c r="I53" s="119">
        <f t="shared" si="41"/>
        <v>9.1427674727148851</v>
      </c>
      <c r="J53" s="119">
        <f t="shared" si="41"/>
        <v>10.444475090266433</v>
      </c>
      <c r="K53" s="119">
        <f t="shared" si="41"/>
        <v>7.6490137569125318</v>
      </c>
      <c r="L53" s="119">
        <f t="shared" si="41"/>
        <v>5.5214087499610542</v>
      </c>
      <c r="M53" s="119">
        <f t="shared" si="41"/>
        <v>6.5414332937448387</v>
      </c>
      <c r="N53" s="119">
        <f t="shared" si="41"/>
        <v>7.8598196727199472</v>
      </c>
      <c r="O53" s="119">
        <f t="shared" si="41"/>
        <v>7.6032301127209596</v>
      </c>
      <c r="P53" s="119">
        <f t="shared" si="41"/>
        <v>7.0349811172118661</v>
      </c>
      <c r="Q53" s="119">
        <f t="shared" si="41"/>
        <v>6.912174589271733</v>
      </c>
      <c r="R53" s="119">
        <f t="shared" si="41"/>
        <v>7.1903277571338684</v>
      </c>
    </row>
    <row r="54" spans="1:33">
      <c r="A54" s="113" t="s">
        <v>135</v>
      </c>
      <c r="B54" s="13">
        <f>'VO RD Feedstock'!B52+'Other RD Feedstock'!B53</f>
        <v>1570</v>
      </c>
      <c r="C54" s="13">
        <f>'VO RD Feedstock'!C52+'Other RD Feedstock'!C53</f>
        <v>-43</v>
      </c>
      <c r="D54" s="13">
        <f>'VO RD Feedstock'!D52+'Other RD Feedstock'!D53</f>
        <v>-37</v>
      </c>
      <c r="E54" s="13">
        <f>'VO RD Feedstock'!E52+'Other RD Feedstock'!E53</f>
        <v>-78</v>
      </c>
      <c r="F54" s="13">
        <f>'VO RD Feedstock'!F52+'Other RD Feedstock'!F53</f>
        <v>6</v>
      </c>
      <c r="G54" s="119">
        <f t="shared" si="42"/>
        <v>31.441241685144121</v>
      </c>
      <c r="H54" s="119">
        <f t="shared" si="41"/>
        <v>-10.519961458538909</v>
      </c>
      <c r="I54" s="119">
        <f t="shared" si="41"/>
        <v>-12.318702066209063</v>
      </c>
      <c r="J54" s="119">
        <f t="shared" si="41"/>
        <v>-8.7686613886035758</v>
      </c>
      <c r="K54" s="119">
        <f t="shared" si="41"/>
        <v>0.50162654959523412</v>
      </c>
      <c r="L54" s="119">
        <f t="shared" si="41"/>
        <v>6.7108664277561486E-2</v>
      </c>
      <c r="M54" s="119">
        <f t="shared" si="41"/>
        <v>-6.2077179398957503</v>
      </c>
      <c r="N54" s="119">
        <f t="shared" si="41"/>
        <v>-5.3452692361671188</v>
      </c>
      <c r="O54" s="119">
        <f t="shared" si="41"/>
        <v>-3.9505826701587301</v>
      </c>
      <c r="P54" s="119">
        <f t="shared" si="41"/>
        <v>-2.9869669264697607</v>
      </c>
      <c r="Q54" s="119">
        <f t="shared" si="41"/>
        <v>-3.6846856216827604</v>
      </c>
      <c r="R54" s="119">
        <f t="shared" si="41"/>
        <v>-4.4350444788748247</v>
      </c>
    </row>
    <row r="55" spans="1:33">
      <c r="A55" s="113" t="s">
        <v>136</v>
      </c>
      <c r="B55" s="13">
        <f>'VO RD Feedstock'!B53+'Other RD Feedstock'!B54</f>
        <v>789</v>
      </c>
      <c r="C55" s="13">
        <f>'VO RD Feedstock'!C53+'Other RD Feedstock'!C54</f>
        <v>-8</v>
      </c>
      <c r="D55" s="13">
        <f>'VO RD Feedstock'!D53+'Other RD Feedstock'!D54</f>
        <v>-2</v>
      </c>
      <c r="E55" s="13">
        <f>'VO RD Feedstock'!E53+'Other RD Feedstock'!E54</f>
        <v>102</v>
      </c>
      <c r="F55" s="13">
        <f>'VO RD Feedstock'!F53+'Other RD Feedstock'!F54</f>
        <v>40</v>
      </c>
      <c r="G55" s="119">
        <f t="shared" si="42"/>
        <v>20.421286031042129</v>
      </c>
      <c r="H55" s="119">
        <f t="shared" si="41"/>
        <v>13.300286739183434</v>
      </c>
      <c r="I55" s="119">
        <f t="shared" si="41"/>
        <v>24.296723464367215</v>
      </c>
      <c r="J55" s="119">
        <f t="shared" si="41"/>
        <v>27.665047888602047</v>
      </c>
      <c r="K55" s="119">
        <f t="shared" si="41"/>
        <v>10.806822366568774</v>
      </c>
      <c r="L55" s="119">
        <f t="shared" si="41"/>
        <v>19.298033297952717</v>
      </c>
      <c r="M55" s="119">
        <f t="shared" si="41"/>
        <v>19.07338275133484</v>
      </c>
      <c r="N55" s="119">
        <f t="shared" si="41"/>
        <v>20.228001953765119</v>
      </c>
      <c r="O55" s="119">
        <f t="shared" si="41"/>
        <v>19.4142576516447</v>
      </c>
      <c r="P55" s="119">
        <f t="shared" si="41"/>
        <v>17.764099604253232</v>
      </c>
      <c r="Q55" s="119">
        <f t="shared" si="41"/>
        <v>19.15555505179012</v>
      </c>
      <c r="R55" s="119">
        <f t="shared" si="41"/>
        <v>19.127059402557602</v>
      </c>
    </row>
    <row r="56" spans="1:33">
      <c r="A56" s="113" t="s">
        <v>137</v>
      </c>
      <c r="B56" s="13">
        <f>'VO RD Feedstock'!B54+'Other RD Feedstock'!B55</f>
        <v>841</v>
      </c>
      <c r="C56" s="13">
        <f>'VO RD Feedstock'!C54+'Other RD Feedstock'!C55</f>
        <v>168</v>
      </c>
      <c r="D56" s="13">
        <f>'VO RD Feedstock'!D54+'Other RD Feedstock'!D55</f>
        <v>4</v>
      </c>
      <c r="E56" s="13">
        <f>'VO RD Feedstock'!E54+'Other RD Feedstock'!E55</f>
        <v>-231</v>
      </c>
      <c r="F56" s="13">
        <f>'VO RD Feedstock'!F54+'Other RD Feedstock'!F55</f>
        <v>19</v>
      </c>
      <c r="G56" s="119">
        <f t="shared" si="42"/>
        <v>17.760532150776054</v>
      </c>
      <c r="H56" s="119">
        <f t="shared" si="41"/>
        <v>-1.9406167407699779</v>
      </c>
      <c r="I56" s="119">
        <f t="shared" si="41"/>
        <v>-26.878333509090059</v>
      </c>
      <c r="J56" s="119">
        <f t="shared" si="41"/>
        <v>-30.851786735696262</v>
      </c>
      <c r="K56" s="119">
        <f t="shared" si="41"/>
        <v>-1.9699230296457642</v>
      </c>
      <c r="L56" s="119">
        <f t="shared" si="41"/>
        <v>-8.7760255728852012</v>
      </c>
      <c r="M56" s="119">
        <f t="shared" si="41"/>
        <v>-14.083337117617454</v>
      </c>
      <c r="N56" s="119">
        <f t="shared" si="41"/>
        <v>-16.511881192986948</v>
      </c>
      <c r="O56" s="119">
        <f t="shared" si="41"/>
        <v>-14.438590729766327</v>
      </c>
      <c r="P56" s="119">
        <f t="shared" si="41"/>
        <v>-11.155951528580339</v>
      </c>
      <c r="Q56" s="119">
        <f t="shared" si="41"/>
        <v>-12.993157228367256</v>
      </c>
      <c r="R56" s="119">
        <f t="shared" si="41"/>
        <v>-13.836583559463664</v>
      </c>
    </row>
    <row r="57" spans="1:33">
      <c r="A57" s="113" t="s">
        <v>138</v>
      </c>
      <c r="B57" s="13">
        <f>'VO RD Feedstock'!B55+'Other RD Feedstock'!B56</f>
        <v>884</v>
      </c>
      <c r="C57" s="13">
        <f>'VO RD Feedstock'!C55+'Other RD Feedstock'!C56</f>
        <v>36</v>
      </c>
      <c r="D57" s="13">
        <f>'VO RD Feedstock'!D55+'Other RD Feedstock'!D56</f>
        <v>-7</v>
      </c>
      <c r="E57" s="13">
        <f>'VO RD Feedstock'!E55+'Other RD Feedstock'!E56</f>
        <v>-324</v>
      </c>
      <c r="F57" s="13">
        <f>'VO RD Feedstock'!F55+'Other RD Feedstock'!F56</f>
        <v>427</v>
      </c>
      <c r="G57" s="119">
        <f t="shared" si="42"/>
        <v>22.527716186252771</v>
      </c>
      <c r="H57" s="119">
        <f t="shared" si="41"/>
        <v>13.48409390804998</v>
      </c>
      <c r="I57" s="119">
        <f t="shared" si="41"/>
        <v>18.463190222979406</v>
      </c>
      <c r="J57" s="119">
        <f t="shared" si="41"/>
        <v>21.780774594368207</v>
      </c>
      <c r="K57" s="119">
        <f t="shared" si="41"/>
        <v>43.272207645025823</v>
      </c>
      <c r="L57" s="119">
        <f t="shared" si="41"/>
        <v>23.90559651133524</v>
      </c>
      <c r="M57" s="119">
        <f t="shared" si="41"/>
        <v>24.181172576351731</v>
      </c>
      <c r="N57" s="119">
        <f t="shared" si="41"/>
        <v>26.320588310012084</v>
      </c>
      <c r="O57" s="119">
        <f t="shared" si="41"/>
        <v>27.892067927418612</v>
      </c>
      <c r="P57" s="119">
        <f t="shared" si="41"/>
        <v>29.1143265940287</v>
      </c>
      <c r="Q57" s="119">
        <f t="shared" si="41"/>
        <v>26.282750383829274</v>
      </c>
      <c r="R57" s="119">
        <f t="shared" si="41"/>
        <v>26.758181158328082</v>
      </c>
    </row>
    <row r="58" spans="1:33">
      <c r="A58" s="113" t="s">
        <v>139</v>
      </c>
      <c r="B58" s="13">
        <f>'VO RD Feedstock'!B56+'Other RD Feedstock'!B57</f>
        <v>601</v>
      </c>
      <c r="C58" s="13">
        <f>'VO RD Feedstock'!C56+'Other RD Feedstock'!C57</f>
        <v>-8</v>
      </c>
      <c r="D58" s="13">
        <f>'VO RD Feedstock'!D56+'Other RD Feedstock'!D57</f>
        <v>18</v>
      </c>
      <c r="E58" s="13">
        <f>'VO RD Feedstock'!E56+'Other RD Feedstock'!E57</f>
        <v>60</v>
      </c>
      <c r="F58" s="13">
        <f>'VO RD Feedstock'!F56+'Other RD Feedstock'!F57</f>
        <v>73</v>
      </c>
      <c r="G58" s="119">
        <f t="shared" si="42"/>
        <v>16.496674057649667</v>
      </c>
      <c r="H58" s="119">
        <f t="shared" si="41"/>
        <v>13.917685345344649</v>
      </c>
      <c r="I58" s="119">
        <f t="shared" si="41"/>
        <v>25.37263767874046</v>
      </c>
      <c r="J58" s="119">
        <f t="shared" si="41"/>
        <v>26.111617853628598</v>
      </c>
      <c r="K58" s="119">
        <f t="shared" si="41"/>
        <v>13.318883485413876</v>
      </c>
      <c r="L58" s="119">
        <f t="shared" si="41"/>
        <v>19.043499684155449</v>
      </c>
      <c r="M58" s="119">
        <f t="shared" si="41"/>
        <v>19.552864809456608</v>
      </c>
      <c r="N58" s="119">
        <f t="shared" si="41"/>
        <v>20.679900702278999</v>
      </c>
      <c r="O58" s="119">
        <f t="shared" si="41"/>
        <v>19.741353306986703</v>
      </c>
      <c r="P58" s="119">
        <f t="shared" si="41"/>
        <v>18.467300397658327</v>
      </c>
      <c r="Q58" s="119">
        <f t="shared" si="41"/>
        <v>19.496983780107218</v>
      </c>
      <c r="R58" s="119">
        <f t="shared" si="41"/>
        <v>19.58768059929757</v>
      </c>
    </row>
    <row r="59" spans="1:33">
      <c r="A59" s="113" t="s">
        <v>140</v>
      </c>
      <c r="B59" s="13">
        <f>'VO RD Feedstock'!B57+'Other RD Feedstock'!B58</f>
        <v>-627</v>
      </c>
      <c r="C59" s="13">
        <f>'VO RD Feedstock'!C57+'Other RD Feedstock'!C58</f>
        <v>108</v>
      </c>
      <c r="D59" s="13">
        <f>'VO RD Feedstock'!D57+'Other RD Feedstock'!D58</f>
        <v>0</v>
      </c>
      <c r="E59" s="13">
        <f>'VO RD Feedstock'!E57+'Other RD Feedstock'!E58</f>
        <v>203</v>
      </c>
      <c r="F59" s="13">
        <f>'VO RD Feedstock'!F57+'Other RD Feedstock'!F58</f>
        <v>-3</v>
      </c>
      <c r="G59" s="119">
        <f>G60-SUM(G48:G58)</f>
        <v>63.152993348115302</v>
      </c>
      <c r="H59" s="119">
        <f t="shared" ref="H59:R59" si="43">H60-SUM(H48:H58)</f>
        <v>32.386823154285793</v>
      </c>
      <c r="I59" s="119">
        <f t="shared" si="43"/>
        <v>41.334240070265892</v>
      </c>
      <c r="J59" s="119">
        <f t="shared" si="43"/>
        <v>46.593922070908306</v>
      </c>
      <c r="K59" s="119">
        <f t="shared" si="43"/>
        <v>15.517453021803547</v>
      </c>
      <c r="L59" s="119">
        <f t="shared" si="43"/>
        <v>39.797086333075768</v>
      </c>
      <c r="M59" s="119">
        <f t="shared" si="43"/>
        <v>35.125904930067861</v>
      </c>
      <c r="N59" s="119">
        <f t="shared" si="43"/>
        <v>35.673721285224275</v>
      </c>
      <c r="O59" s="119">
        <f t="shared" si="43"/>
        <v>34.541617528215966</v>
      </c>
      <c r="P59" s="119">
        <f t="shared" si="43"/>
        <v>32.131156619677483</v>
      </c>
      <c r="Q59" s="119">
        <f t="shared" si="43"/>
        <v>35.453897339252279</v>
      </c>
      <c r="R59" s="119">
        <f t="shared" si="43"/>
        <v>34.58525954048757</v>
      </c>
    </row>
    <row r="60" spans="1:33" ht="12" thickBot="1">
      <c r="A60" s="113" t="s">
        <v>141</v>
      </c>
      <c r="B60" s="13">
        <f>SUM(B48:B59)</f>
        <v>3464</v>
      </c>
      <c r="C60" s="13">
        <f>SUM(C48:C59)</f>
        <v>531</v>
      </c>
      <c r="D60" s="13">
        <f>SUM(D48:D59)</f>
        <v>92</v>
      </c>
      <c r="E60" s="13">
        <f>SUM(E48:E59)</f>
        <v>-340</v>
      </c>
      <c r="F60" s="13">
        <f>SUM(F48:F59)</f>
        <v>763</v>
      </c>
      <c r="G60" s="119">
        <v>100</v>
      </c>
      <c r="H60" s="119">
        <v>100</v>
      </c>
      <c r="I60" s="119">
        <v>100</v>
      </c>
      <c r="J60" s="119">
        <v>100</v>
      </c>
      <c r="K60" s="119">
        <v>100</v>
      </c>
      <c r="L60" s="119">
        <v>100</v>
      </c>
      <c r="M60" s="119">
        <v>100</v>
      </c>
      <c r="N60" s="119">
        <v>100</v>
      </c>
      <c r="O60" s="119">
        <v>100</v>
      </c>
      <c r="P60" s="119">
        <v>100</v>
      </c>
      <c r="Q60" s="119">
        <v>100</v>
      </c>
      <c r="R60" s="119">
        <v>100</v>
      </c>
    </row>
    <row r="61" spans="1:33">
      <c r="A61" s="199"/>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199"/>
      <c r="AF61" s="199"/>
    </row>
    <row r="62" spans="1:33" ht="12" thickBot="1">
      <c r="A62" s="138" t="s">
        <v>146</v>
      </c>
    </row>
    <row r="63" spans="1:33" ht="12" thickBot="1">
      <c r="A63" s="176"/>
      <c r="B63" s="177">
        <f>B3</f>
        <v>2020</v>
      </c>
      <c r="C63" s="177">
        <f t="shared" ref="C63:AF63" si="44">C3</f>
        <v>2021</v>
      </c>
      <c r="D63" s="177">
        <f t="shared" si="44"/>
        <v>2022</v>
      </c>
      <c r="E63" s="177">
        <f t="shared" si="44"/>
        <v>2023</v>
      </c>
      <c r="F63" s="177">
        <f t="shared" si="44"/>
        <v>2024</v>
      </c>
      <c r="G63" s="177">
        <f t="shared" si="44"/>
        <v>2025</v>
      </c>
      <c r="H63" s="177">
        <f t="shared" si="44"/>
        <v>2026</v>
      </c>
      <c r="I63" s="177">
        <f t="shared" si="44"/>
        <v>2027</v>
      </c>
      <c r="J63" s="177">
        <f t="shared" si="44"/>
        <v>2028</v>
      </c>
      <c r="K63" s="177">
        <f t="shared" si="44"/>
        <v>2029</v>
      </c>
      <c r="L63" s="177">
        <f t="shared" si="44"/>
        <v>2030</v>
      </c>
      <c r="M63" s="177">
        <f t="shared" si="44"/>
        <v>2031</v>
      </c>
      <c r="N63" s="177">
        <f t="shared" si="44"/>
        <v>2032</v>
      </c>
      <c r="O63" s="177">
        <f t="shared" si="44"/>
        <v>2033</v>
      </c>
      <c r="P63" s="177">
        <f t="shared" si="44"/>
        <v>2034</v>
      </c>
      <c r="Q63" s="177">
        <f t="shared" si="44"/>
        <v>2035</v>
      </c>
      <c r="R63" s="177">
        <f t="shared" si="44"/>
        <v>2036</v>
      </c>
      <c r="S63" s="177">
        <f t="shared" si="44"/>
        <v>2037</v>
      </c>
      <c r="T63" s="177">
        <f t="shared" si="44"/>
        <v>2038</v>
      </c>
      <c r="U63" s="177">
        <f t="shared" si="44"/>
        <v>2039</v>
      </c>
      <c r="V63" s="177">
        <f t="shared" si="44"/>
        <v>2040</v>
      </c>
      <c r="W63" s="177">
        <f t="shared" si="44"/>
        <v>2041</v>
      </c>
      <c r="X63" s="177">
        <f t="shared" si="44"/>
        <v>2042</v>
      </c>
      <c r="Y63" s="177">
        <f t="shared" si="44"/>
        <v>2043</v>
      </c>
      <c r="Z63" s="177">
        <f t="shared" si="44"/>
        <v>2044</v>
      </c>
      <c r="AA63" s="177">
        <f t="shared" si="44"/>
        <v>2045</v>
      </c>
      <c r="AB63" s="177">
        <f t="shared" si="44"/>
        <v>2046</v>
      </c>
      <c r="AC63" s="177">
        <f t="shared" si="44"/>
        <v>2047</v>
      </c>
      <c r="AD63" s="177">
        <f t="shared" si="44"/>
        <v>2048</v>
      </c>
      <c r="AE63" s="177">
        <f t="shared" si="44"/>
        <v>2049</v>
      </c>
      <c r="AF63" s="177">
        <f t="shared" si="44"/>
        <v>2050</v>
      </c>
      <c r="AG63" s="248"/>
    </row>
    <row r="64" spans="1:33">
      <c r="A64" s="113" t="s">
        <v>129</v>
      </c>
      <c r="B64" s="13">
        <f>((B4+B16)-B80)-(B32+B48)</f>
        <v>-890</v>
      </c>
      <c r="C64" s="13">
        <f>((B91+C16)-C80)-(C32+C48)</f>
        <v>445</v>
      </c>
      <c r="D64" s="13">
        <f>((C91+D16)-D80)-(D32+D48)</f>
        <v>74</v>
      </c>
      <c r="E64" s="13">
        <f>((D91+E16)-E80)-(E32+E48)</f>
        <v>-230</v>
      </c>
      <c r="F64" s="13">
        <f>((E91+F16)-F80)-(F32+F48)</f>
        <v>-11608</v>
      </c>
      <c r="G64" s="13">
        <f>((F91+G16)-G80)-(G32+G48)</f>
        <v>-15601.916666666657</v>
      </c>
      <c r="H64" s="118">
        <f t="shared" ref="H64:R74" si="45">H$76*(SUM(C64:G64)/SUM(C$76:G$76))</f>
        <v>-4930.1644858329728</v>
      </c>
      <c r="I64" s="118">
        <f t="shared" si="45"/>
        <v>-5039.6874628413916</v>
      </c>
      <c r="J64" s="118">
        <f t="shared" si="45"/>
        <v>-5134.5432431602167</v>
      </c>
      <c r="K64" s="118">
        <f t="shared" si="45"/>
        <v>-9938.3028063276506</v>
      </c>
      <c r="L64" s="118">
        <f t="shared" si="45"/>
        <v>-8128.9229329657783</v>
      </c>
      <c r="M64" s="118">
        <f t="shared" si="45"/>
        <v>-6634.3241862256018</v>
      </c>
      <c r="N64" s="118">
        <f t="shared" si="45"/>
        <v>-6975.1561263041285</v>
      </c>
      <c r="O64" s="118">
        <f t="shared" si="45"/>
        <v>-7362.2498589966754</v>
      </c>
      <c r="P64" s="118">
        <f t="shared" si="45"/>
        <v>-7807.7911821639682</v>
      </c>
      <c r="Q64" s="118">
        <f t="shared" si="45"/>
        <v>-7381.6888573312299</v>
      </c>
      <c r="R64" s="118">
        <f t="shared" si="45"/>
        <v>-7232.2420422043197</v>
      </c>
      <c r="S64" s="118">
        <f t="shared" ref="S64:S74" si="46">S$76*(SUM(N64:R64)/SUM(N$76:R$76))</f>
        <v>-7351.8256134000649</v>
      </c>
      <c r="T64" s="118">
        <f t="shared" ref="T64:AF74" si="47">T$76*(SUM(O64:S64)/SUM(O$76:S$76))</f>
        <v>-7427.1595108192514</v>
      </c>
      <c r="U64" s="118">
        <f t="shared" si="47"/>
        <v>-7440.1414411837677</v>
      </c>
      <c r="V64" s="118">
        <f t="shared" si="47"/>
        <v>-7366.6114929877267</v>
      </c>
      <c r="W64" s="118">
        <f t="shared" si="47"/>
        <v>-7363.5960201190264</v>
      </c>
      <c r="X64" s="118">
        <f t="shared" si="47"/>
        <v>-7389.8668157019665</v>
      </c>
      <c r="Y64" s="118">
        <f t="shared" si="47"/>
        <v>-7397.4750561623468</v>
      </c>
      <c r="Z64" s="118">
        <f t="shared" si="47"/>
        <v>-7391.5381652309679</v>
      </c>
      <c r="AA64" s="118">
        <f t="shared" si="47"/>
        <v>-7381.8175100404069</v>
      </c>
      <c r="AB64" s="118">
        <f t="shared" si="47"/>
        <v>-7384.8587134509426</v>
      </c>
      <c r="AC64" s="118">
        <f t="shared" si="47"/>
        <v>-7389.1112521173263</v>
      </c>
      <c r="AD64" s="118">
        <f t="shared" si="47"/>
        <v>-7388.9601394003994</v>
      </c>
      <c r="AE64" s="118">
        <f t="shared" si="47"/>
        <v>-7387.2571560480092</v>
      </c>
      <c r="AF64" s="118">
        <f t="shared" si="47"/>
        <v>-7386.4009542114163</v>
      </c>
    </row>
    <row r="65" spans="1:33">
      <c r="A65" s="113" t="s">
        <v>130</v>
      </c>
      <c r="B65" s="13">
        <f t="shared" ref="B65:G75" si="48">((B80+B17)-B81)-(B33+B49)</f>
        <v>-172</v>
      </c>
      <c r="C65" s="13">
        <f t="shared" si="48"/>
        <v>-201</v>
      </c>
      <c r="D65" s="13">
        <f t="shared" si="48"/>
        <v>-188</v>
      </c>
      <c r="E65" s="13">
        <f t="shared" si="48"/>
        <v>-273</v>
      </c>
      <c r="F65" s="13">
        <f t="shared" si="48"/>
        <v>6117</v>
      </c>
      <c r="G65" s="13">
        <f t="shared" si="48"/>
        <v>-4524.916666666657</v>
      </c>
      <c r="H65" s="118">
        <f t="shared" si="45"/>
        <v>170.33089458439193</v>
      </c>
      <c r="I65" s="118">
        <f t="shared" si="45"/>
        <v>203.08101584928022</v>
      </c>
      <c r="J65" s="118">
        <f t="shared" si="45"/>
        <v>232.29734744740048</v>
      </c>
      <c r="K65" s="118">
        <f t="shared" si="45"/>
        <v>516.19244926002671</v>
      </c>
      <c r="L65" s="118">
        <f t="shared" si="45"/>
        <v>-680.60299190511137</v>
      </c>
      <c r="M65" s="118">
        <f t="shared" si="45"/>
        <v>88.259743047197617</v>
      </c>
      <c r="N65" s="118">
        <f t="shared" si="45"/>
        <v>71.845512739758746</v>
      </c>
      <c r="O65" s="118">
        <f t="shared" si="45"/>
        <v>45.598412117854444</v>
      </c>
      <c r="P65" s="118">
        <f t="shared" si="45"/>
        <v>8.2586250519452289</v>
      </c>
      <c r="Q65" s="118">
        <f t="shared" si="45"/>
        <v>-93.32813978967107</v>
      </c>
      <c r="R65" s="118">
        <f t="shared" si="45"/>
        <v>24.126830633416997</v>
      </c>
      <c r="S65" s="118">
        <f t="shared" si="46"/>
        <v>11.30024815066087</v>
      </c>
      <c r="T65" s="118">
        <f t="shared" si="47"/>
        <v>-0.80880476715870553</v>
      </c>
      <c r="U65" s="118">
        <f t="shared" si="47"/>
        <v>-10.090248144161336</v>
      </c>
      <c r="V65" s="118">
        <f t="shared" si="47"/>
        <v>-13.760022783382647</v>
      </c>
      <c r="W65" s="118">
        <f t="shared" si="47"/>
        <v>2.1536006178750351</v>
      </c>
      <c r="X65" s="118">
        <f t="shared" si="47"/>
        <v>-2.2410453852333565</v>
      </c>
      <c r="Y65" s="118">
        <f t="shared" si="47"/>
        <v>-4.9493040924122012</v>
      </c>
      <c r="Z65" s="118">
        <f t="shared" si="47"/>
        <v>-5.7774039574629015</v>
      </c>
      <c r="AA65" s="118">
        <f t="shared" si="47"/>
        <v>-4.9148351201232137</v>
      </c>
      <c r="AB65" s="118">
        <f t="shared" si="47"/>
        <v>-3.1457975874713275</v>
      </c>
      <c r="AC65" s="118">
        <f t="shared" si="47"/>
        <v>-4.2056772285406003</v>
      </c>
      <c r="AD65" s="118">
        <f t="shared" si="47"/>
        <v>-4.5986035972020494</v>
      </c>
      <c r="AE65" s="118">
        <f t="shared" si="47"/>
        <v>-4.5284634981600194</v>
      </c>
      <c r="AF65" s="118">
        <f t="shared" si="47"/>
        <v>-4.2786754062994419</v>
      </c>
    </row>
    <row r="66" spans="1:33">
      <c r="A66" s="113" t="s">
        <v>131</v>
      </c>
      <c r="B66" s="13">
        <f t="shared" si="48"/>
        <v>-210</v>
      </c>
      <c r="C66" s="13">
        <f t="shared" si="48"/>
        <v>-131</v>
      </c>
      <c r="D66" s="13">
        <f t="shared" si="48"/>
        <v>-163</v>
      </c>
      <c r="E66" s="13">
        <f t="shared" si="48"/>
        <v>3451</v>
      </c>
      <c r="F66" s="13">
        <f t="shared" si="48"/>
        <v>25503</v>
      </c>
      <c r="G66" s="119">
        <f t="shared" ref="G66:G74" si="49">G$76*(SUM(B66:F66)/SUM(B$76:F$76))</f>
        <v>6197.446956824816</v>
      </c>
      <c r="H66" s="118">
        <f t="shared" si="45"/>
        <v>6383.6216716250165</v>
      </c>
      <c r="I66" s="118">
        <f t="shared" si="45"/>
        <v>6455.9627093479339</v>
      </c>
      <c r="J66" s="118">
        <f t="shared" si="45"/>
        <v>6586.8364015149491</v>
      </c>
      <c r="K66" s="118">
        <f t="shared" si="45"/>
        <v>12008.095389368138</v>
      </c>
      <c r="L66" s="118">
        <f t="shared" si="45"/>
        <v>7526.39262573617</v>
      </c>
      <c r="M66" s="118">
        <f t="shared" si="45"/>
        <v>7792.1817595184402</v>
      </c>
      <c r="N66" s="118">
        <f t="shared" si="45"/>
        <v>8073.8937770971279</v>
      </c>
      <c r="O66" s="118">
        <f t="shared" si="45"/>
        <v>8397.4799906469652</v>
      </c>
      <c r="P66" s="118">
        <f t="shared" si="45"/>
        <v>8759.6087084733681</v>
      </c>
      <c r="Q66" s="118">
        <f t="shared" si="45"/>
        <v>8109.9113722944139</v>
      </c>
      <c r="R66" s="118">
        <f t="shared" si="45"/>
        <v>8226.6151216060643</v>
      </c>
      <c r="S66" s="118">
        <f t="shared" si="46"/>
        <v>8313.5017940235884</v>
      </c>
      <c r="T66" s="118">
        <f t="shared" si="47"/>
        <v>8361.4233974088802</v>
      </c>
      <c r="U66" s="118">
        <f t="shared" si="47"/>
        <v>8354.2120787612621</v>
      </c>
      <c r="V66" s="118">
        <f t="shared" si="47"/>
        <v>8273.1327528188413</v>
      </c>
      <c r="W66" s="118">
        <f t="shared" si="47"/>
        <v>8305.7770289237269</v>
      </c>
      <c r="X66" s="118">
        <f t="shared" si="47"/>
        <v>8321.6094103872601</v>
      </c>
      <c r="Y66" s="118">
        <f t="shared" si="47"/>
        <v>8323.2309336599956</v>
      </c>
      <c r="Z66" s="118">
        <f t="shared" si="47"/>
        <v>8315.5924409102172</v>
      </c>
      <c r="AA66" s="118">
        <f t="shared" si="47"/>
        <v>8307.8685133400086</v>
      </c>
      <c r="AB66" s="118">
        <f t="shared" si="47"/>
        <v>8314.8156654442409</v>
      </c>
      <c r="AC66" s="118">
        <f t="shared" si="47"/>
        <v>8316.6233927483427</v>
      </c>
      <c r="AD66" s="118">
        <f t="shared" si="47"/>
        <v>8315.6261892205621</v>
      </c>
      <c r="AE66" s="118">
        <f t="shared" si="47"/>
        <v>8314.1052403326739</v>
      </c>
      <c r="AF66" s="118">
        <f t="shared" si="47"/>
        <v>8313.8078002171642</v>
      </c>
    </row>
    <row r="67" spans="1:33">
      <c r="A67" s="113" t="s">
        <v>132</v>
      </c>
      <c r="B67" s="13">
        <f t="shared" si="48"/>
        <v>-216</v>
      </c>
      <c r="C67" s="13">
        <f t="shared" si="48"/>
        <v>-203</v>
      </c>
      <c r="D67" s="13">
        <f t="shared" si="48"/>
        <v>-227</v>
      </c>
      <c r="E67" s="13">
        <f t="shared" si="48"/>
        <v>-1066</v>
      </c>
      <c r="F67" s="13">
        <f t="shared" si="48"/>
        <v>-11194</v>
      </c>
      <c r="G67" s="119">
        <f t="shared" si="49"/>
        <v>-2811.3972029800029</v>
      </c>
      <c r="H67" s="118">
        <f t="shared" si="45"/>
        <v>-2838.8497656749905</v>
      </c>
      <c r="I67" s="118">
        <f t="shared" si="45"/>
        <v>-2830.2522441275823</v>
      </c>
      <c r="J67" s="118">
        <f t="shared" si="45"/>
        <v>-2846.66262407974</v>
      </c>
      <c r="K67" s="118">
        <f t="shared" si="45"/>
        <v>-5289.513548832073</v>
      </c>
      <c r="L67" s="118">
        <f t="shared" si="45"/>
        <v>-3323.3350771388778</v>
      </c>
      <c r="M67" s="118">
        <f t="shared" si="45"/>
        <v>-3425.7226519706528</v>
      </c>
      <c r="N67" s="118">
        <f t="shared" si="45"/>
        <v>-3543.0972292297852</v>
      </c>
      <c r="O67" s="118">
        <f t="shared" si="45"/>
        <v>-3685.6662262502259</v>
      </c>
      <c r="P67" s="118">
        <f t="shared" si="45"/>
        <v>-3853.4669466843225</v>
      </c>
      <c r="Q67" s="118">
        <f t="shared" si="45"/>
        <v>-3566.2576262547727</v>
      </c>
      <c r="R67" s="118">
        <f t="shared" si="45"/>
        <v>-3614.8421360779516</v>
      </c>
      <c r="S67" s="118">
        <f t="shared" si="46"/>
        <v>-3652.6660328994117</v>
      </c>
      <c r="T67" s="118">
        <f t="shared" si="47"/>
        <v>-3674.5797936333374</v>
      </c>
      <c r="U67" s="118">
        <f t="shared" si="47"/>
        <v>-3672.3625071099586</v>
      </c>
      <c r="V67" s="118">
        <f t="shared" si="47"/>
        <v>-3636.1416191950862</v>
      </c>
      <c r="W67" s="118">
        <f t="shared" si="47"/>
        <v>-3650.1184177831492</v>
      </c>
      <c r="X67" s="118">
        <f t="shared" si="47"/>
        <v>-3657.1736741241884</v>
      </c>
      <c r="Y67" s="118">
        <f t="shared" si="47"/>
        <v>-3658.0752023691443</v>
      </c>
      <c r="Z67" s="118">
        <f t="shared" si="47"/>
        <v>-3654.7742841163054</v>
      </c>
      <c r="AA67" s="118">
        <f t="shared" si="47"/>
        <v>-3651.2566395175745</v>
      </c>
      <c r="AB67" s="118">
        <f t="shared" si="47"/>
        <v>-3654.2796435820724</v>
      </c>
      <c r="AC67" s="118">
        <f t="shared" si="47"/>
        <v>-3655.1118887418565</v>
      </c>
      <c r="AD67" s="118">
        <f t="shared" si="47"/>
        <v>-3654.6995316653906</v>
      </c>
      <c r="AE67" s="118">
        <f t="shared" si="47"/>
        <v>-3654.0243975246399</v>
      </c>
      <c r="AF67" s="118">
        <f t="shared" si="47"/>
        <v>-3653.8744202063067</v>
      </c>
    </row>
    <row r="68" spans="1:33">
      <c r="A68" s="113" t="s">
        <v>133</v>
      </c>
      <c r="B68" s="13">
        <f t="shared" si="48"/>
        <v>-14</v>
      </c>
      <c r="C68" s="13">
        <f t="shared" si="48"/>
        <v>-101</v>
      </c>
      <c r="D68" s="13">
        <f t="shared" si="48"/>
        <v>-253</v>
      </c>
      <c r="E68" s="13">
        <f t="shared" si="48"/>
        <v>-1720</v>
      </c>
      <c r="F68" s="13">
        <f t="shared" si="48"/>
        <v>-5887</v>
      </c>
      <c r="G68" s="119">
        <f t="shared" si="49"/>
        <v>-1737.2456759464994</v>
      </c>
      <c r="H68" s="118">
        <f t="shared" si="45"/>
        <v>-1776.0890908160497</v>
      </c>
      <c r="I68" s="118">
        <f t="shared" si="45"/>
        <v>-1774.7680396299434</v>
      </c>
      <c r="J68" s="118">
        <f t="shared" si="45"/>
        <v>-1769.8709571079057</v>
      </c>
      <c r="K68" s="118">
        <f t="shared" si="45"/>
        <v>-3040.3677486672141</v>
      </c>
      <c r="L68" s="118">
        <f t="shared" si="45"/>
        <v>-2019.6683024335225</v>
      </c>
      <c r="M68" s="118">
        <f t="shared" si="45"/>
        <v>-2076.1528277309267</v>
      </c>
      <c r="N68" s="118">
        <f t="shared" si="45"/>
        <v>-2136.1655751139024</v>
      </c>
      <c r="O68" s="118">
        <f t="shared" si="45"/>
        <v>-2208.4450822106942</v>
      </c>
      <c r="P68" s="118">
        <f t="shared" si="45"/>
        <v>-2296.159907231252</v>
      </c>
      <c r="Q68" s="118">
        <f t="shared" si="45"/>
        <v>-2147.3183389440596</v>
      </c>
      <c r="R68" s="118">
        <f t="shared" si="45"/>
        <v>-2172.8483462461672</v>
      </c>
      <c r="S68" s="118">
        <f t="shared" si="46"/>
        <v>-2192.1874499492151</v>
      </c>
      <c r="T68" s="118">
        <f t="shared" si="47"/>
        <v>-2203.391824916278</v>
      </c>
      <c r="U68" s="118">
        <f t="shared" si="47"/>
        <v>-2202.3811734573947</v>
      </c>
      <c r="V68" s="118">
        <f t="shared" si="47"/>
        <v>-2183.6254267026225</v>
      </c>
      <c r="W68" s="118">
        <f t="shared" si="47"/>
        <v>-2190.8868442543353</v>
      </c>
      <c r="X68" s="118">
        <f t="shared" si="47"/>
        <v>-2194.4945438559689</v>
      </c>
      <c r="Y68" s="118">
        <f t="shared" si="47"/>
        <v>-2194.9559626373198</v>
      </c>
      <c r="Z68" s="118">
        <f t="shared" si="47"/>
        <v>-2193.2687901815284</v>
      </c>
      <c r="AA68" s="118">
        <f t="shared" si="47"/>
        <v>-2191.446313526355</v>
      </c>
      <c r="AB68" s="118">
        <f t="shared" si="47"/>
        <v>-2193.0104908911017</v>
      </c>
      <c r="AC68" s="118">
        <f t="shared" si="47"/>
        <v>-2193.435220218455</v>
      </c>
      <c r="AD68" s="118">
        <f t="shared" si="47"/>
        <v>-2193.2233554909521</v>
      </c>
      <c r="AE68" s="118">
        <f t="shared" si="47"/>
        <v>-2192.8768340616784</v>
      </c>
      <c r="AF68" s="118">
        <f t="shared" si="47"/>
        <v>-2192.7984428377085</v>
      </c>
    </row>
    <row r="69" spans="1:33">
      <c r="A69" s="113" t="s">
        <v>134</v>
      </c>
      <c r="B69" s="13">
        <f t="shared" si="48"/>
        <v>95</v>
      </c>
      <c r="C69" s="13">
        <f t="shared" si="48"/>
        <v>-239</v>
      </c>
      <c r="D69" s="13">
        <f t="shared" si="48"/>
        <v>-268</v>
      </c>
      <c r="E69" s="13">
        <f t="shared" si="48"/>
        <v>1408</v>
      </c>
      <c r="F69" s="13">
        <f t="shared" si="48"/>
        <v>11701</v>
      </c>
      <c r="G69" s="119">
        <f t="shared" si="49"/>
        <v>2765.8693852655424</v>
      </c>
      <c r="H69" s="118">
        <f t="shared" si="45"/>
        <v>2814.3961368139148</v>
      </c>
      <c r="I69" s="118">
        <f t="shared" si="45"/>
        <v>2874.5723192521405</v>
      </c>
      <c r="J69" s="118">
        <f t="shared" si="45"/>
        <v>2959.6670063179008</v>
      </c>
      <c r="K69" s="118">
        <f t="shared" si="45"/>
        <v>5429.1060543602161</v>
      </c>
      <c r="L69" s="118">
        <f t="shared" si="45"/>
        <v>3368.7221804019428</v>
      </c>
      <c r="M69" s="118">
        <f t="shared" si="45"/>
        <v>3489.2927394292228</v>
      </c>
      <c r="N69" s="118">
        <f t="shared" si="45"/>
        <v>3624.2720599522845</v>
      </c>
      <c r="O69" s="118">
        <f t="shared" si="45"/>
        <v>3774.2120080923132</v>
      </c>
      <c r="P69" s="118">
        <f t="shared" si="45"/>
        <v>3937.1210084471954</v>
      </c>
      <c r="Q69" s="118">
        <f t="shared" si="45"/>
        <v>3638.7239992645918</v>
      </c>
      <c r="R69" s="118">
        <f t="shared" si="45"/>
        <v>3692.7243630371213</v>
      </c>
      <c r="S69" s="118">
        <f t="shared" si="46"/>
        <v>3733.410687758701</v>
      </c>
      <c r="T69" s="118">
        <f t="shared" si="47"/>
        <v>3755.2384133199853</v>
      </c>
      <c r="U69" s="118">
        <f t="shared" si="47"/>
        <v>3751.4436943655187</v>
      </c>
      <c r="V69" s="118">
        <f t="shared" si="47"/>
        <v>3714.3082315491838</v>
      </c>
      <c r="W69" s="118">
        <f t="shared" si="47"/>
        <v>3729.4250780061016</v>
      </c>
      <c r="X69" s="118">
        <f t="shared" si="47"/>
        <v>3736.7652209998982</v>
      </c>
      <c r="Y69" s="118">
        <f t="shared" si="47"/>
        <v>3737.4361276481372</v>
      </c>
      <c r="Z69" s="118">
        <f t="shared" si="47"/>
        <v>3733.8756705137675</v>
      </c>
      <c r="AA69" s="118">
        <f t="shared" si="47"/>
        <v>3730.3620657434176</v>
      </c>
      <c r="AB69" s="118">
        <f t="shared" si="47"/>
        <v>3733.5728325822647</v>
      </c>
      <c r="AC69" s="118">
        <f t="shared" si="47"/>
        <v>3734.4023834974969</v>
      </c>
      <c r="AD69" s="118">
        <f t="shared" si="47"/>
        <v>3733.9298159970167</v>
      </c>
      <c r="AE69" s="118">
        <f t="shared" si="47"/>
        <v>3733.2285536667932</v>
      </c>
      <c r="AF69" s="118">
        <f t="shared" si="47"/>
        <v>3733.099130297398</v>
      </c>
    </row>
    <row r="70" spans="1:33">
      <c r="A70" s="113" t="s">
        <v>135</v>
      </c>
      <c r="B70" s="13">
        <f t="shared" si="48"/>
        <v>89</v>
      </c>
      <c r="C70" s="13">
        <f t="shared" si="48"/>
        <v>-228</v>
      </c>
      <c r="D70" s="13">
        <f t="shared" si="48"/>
        <v>-229</v>
      </c>
      <c r="E70" s="13">
        <f t="shared" si="48"/>
        <v>-1544</v>
      </c>
      <c r="F70" s="13">
        <f t="shared" si="48"/>
        <v>-11519</v>
      </c>
      <c r="G70" s="119">
        <f t="shared" si="49"/>
        <v>-2925.7613383871389</v>
      </c>
      <c r="H70" s="118">
        <f t="shared" si="45"/>
        <v>-3011.7959762267101</v>
      </c>
      <c r="I70" s="118">
        <f t="shared" si="45"/>
        <v>-3000.7033502561267</v>
      </c>
      <c r="J70" s="118">
        <f t="shared" si="45"/>
        <v>-3019.7039027258097</v>
      </c>
      <c r="K70" s="118">
        <f t="shared" si="45"/>
        <v>-5514.0015894956869</v>
      </c>
      <c r="L70" s="118">
        <f t="shared" si="45"/>
        <v>-3494.3932314182935</v>
      </c>
      <c r="M70" s="118">
        <f t="shared" si="45"/>
        <v>-3608.1196100245261</v>
      </c>
      <c r="N70" s="118">
        <f t="shared" si="45"/>
        <v>-3727.3843367840886</v>
      </c>
      <c r="O70" s="118">
        <f t="shared" si="45"/>
        <v>-3872.7205340896803</v>
      </c>
      <c r="P70" s="118">
        <f t="shared" si="45"/>
        <v>-4043.323860362455</v>
      </c>
      <c r="Q70" s="118">
        <f t="shared" si="45"/>
        <v>-3749.1883145358083</v>
      </c>
      <c r="R70" s="118">
        <f t="shared" si="45"/>
        <v>-3800.1473311593113</v>
      </c>
      <c r="S70" s="118">
        <f t="shared" si="46"/>
        <v>-3838.5528753862686</v>
      </c>
      <c r="T70" s="118">
        <f t="shared" si="47"/>
        <v>-3860.7865831067047</v>
      </c>
      <c r="U70" s="118">
        <f t="shared" si="47"/>
        <v>-3858.3997929101101</v>
      </c>
      <c r="V70" s="118">
        <f t="shared" si="47"/>
        <v>-3821.4149794196405</v>
      </c>
      <c r="W70" s="118">
        <f t="shared" si="47"/>
        <v>-3835.8603123964076</v>
      </c>
      <c r="X70" s="118">
        <f t="shared" si="47"/>
        <v>-3843.0029086438262</v>
      </c>
      <c r="Y70" s="118">
        <f t="shared" si="47"/>
        <v>-3843.8929152953383</v>
      </c>
      <c r="Z70" s="118">
        <f t="shared" si="47"/>
        <v>-3840.5141817330646</v>
      </c>
      <c r="AA70" s="118">
        <f t="shared" si="47"/>
        <v>-3836.9370594976558</v>
      </c>
      <c r="AB70" s="118">
        <f t="shared" si="47"/>
        <v>-3840.0414755132588</v>
      </c>
      <c r="AC70" s="118">
        <f t="shared" si="47"/>
        <v>-3840.8777081366284</v>
      </c>
      <c r="AD70" s="118">
        <f t="shared" si="47"/>
        <v>-3840.4526680351892</v>
      </c>
      <c r="AE70" s="118">
        <f t="shared" si="47"/>
        <v>-3839.7646185831591</v>
      </c>
      <c r="AF70" s="118">
        <f t="shared" si="47"/>
        <v>-3839.6147059531781</v>
      </c>
    </row>
    <row r="71" spans="1:33">
      <c r="A71" s="113" t="s">
        <v>136</v>
      </c>
      <c r="B71" s="13">
        <f t="shared" si="48"/>
        <v>30</v>
      </c>
      <c r="C71" s="13">
        <f t="shared" si="48"/>
        <v>-137</v>
      </c>
      <c r="D71" s="13">
        <f t="shared" si="48"/>
        <v>-106</v>
      </c>
      <c r="E71" s="13">
        <f t="shared" si="48"/>
        <v>546</v>
      </c>
      <c r="F71" s="13">
        <f t="shared" si="48"/>
        <v>1052</v>
      </c>
      <c r="G71" s="119">
        <f t="shared" si="49"/>
        <v>301.70348102644533</v>
      </c>
      <c r="H71" s="118">
        <f t="shared" si="45"/>
        <v>303.40054043649246</v>
      </c>
      <c r="I71" s="118">
        <f t="shared" si="45"/>
        <v>327.24555017484033</v>
      </c>
      <c r="J71" s="118">
        <f t="shared" si="45"/>
        <v>347.29402978873969</v>
      </c>
      <c r="K71" s="118">
        <f t="shared" si="45"/>
        <v>547.62984743559161</v>
      </c>
      <c r="L71" s="118">
        <f t="shared" si="45"/>
        <v>365.45468977242189</v>
      </c>
      <c r="M71" s="118">
        <f t="shared" si="45"/>
        <v>378.20493152161725</v>
      </c>
      <c r="N71" s="118">
        <f t="shared" si="45"/>
        <v>393.16580973864217</v>
      </c>
      <c r="O71" s="118">
        <f t="shared" si="45"/>
        <v>406.34986165140253</v>
      </c>
      <c r="P71" s="118">
        <f t="shared" si="45"/>
        <v>418.16102802393505</v>
      </c>
      <c r="Q71" s="118">
        <f t="shared" si="45"/>
        <v>392.26726414160379</v>
      </c>
      <c r="R71" s="118">
        <f t="shared" si="45"/>
        <v>397.62977901544019</v>
      </c>
      <c r="S71" s="118">
        <f t="shared" si="46"/>
        <v>401.51474851420477</v>
      </c>
      <c r="T71" s="118">
        <f t="shared" si="47"/>
        <v>403.18453626931728</v>
      </c>
      <c r="U71" s="118">
        <f t="shared" si="47"/>
        <v>402.55147119290018</v>
      </c>
      <c r="V71" s="118">
        <f t="shared" si="47"/>
        <v>399.42955982669321</v>
      </c>
      <c r="W71" s="118">
        <f t="shared" si="47"/>
        <v>400.86201896371114</v>
      </c>
      <c r="X71" s="118">
        <f t="shared" si="47"/>
        <v>401.50846695336526</v>
      </c>
      <c r="Y71" s="118">
        <f t="shared" si="47"/>
        <v>401.50721064119739</v>
      </c>
      <c r="Z71" s="118">
        <f t="shared" si="47"/>
        <v>401.17174551557349</v>
      </c>
      <c r="AA71" s="118">
        <f t="shared" si="47"/>
        <v>400.89580038010814</v>
      </c>
      <c r="AB71" s="118">
        <f t="shared" si="47"/>
        <v>401.18904849079109</v>
      </c>
      <c r="AC71" s="118">
        <f t="shared" si="47"/>
        <v>401.25445439620711</v>
      </c>
      <c r="AD71" s="118">
        <f t="shared" si="47"/>
        <v>401.20365188477547</v>
      </c>
      <c r="AE71" s="118">
        <f t="shared" si="47"/>
        <v>401.14294013349109</v>
      </c>
      <c r="AF71" s="118">
        <f t="shared" si="47"/>
        <v>401.1371790570746</v>
      </c>
    </row>
    <row r="72" spans="1:33">
      <c r="A72" s="113" t="s">
        <v>137</v>
      </c>
      <c r="B72" s="13">
        <f t="shared" si="48"/>
        <v>-116</v>
      </c>
      <c r="C72" s="13">
        <f t="shared" si="48"/>
        <v>-37</v>
      </c>
      <c r="D72" s="13">
        <f>((D87+D24)-D88)-(D40+D56)</f>
        <v>-291</v>
      </c>
      <c r="E72" s="13">
        <f t="shared" si="48"/>
        <v>68</v>
      </c>
      <c r="F72" s="13">
        <f t="shared" si="48"/>
        <v>-2375</v>
      </c>
      <c r="G72" s="119">
        <f t="shared" si="49"/>
        <v>-599.2680695333944</v>
      </c>
      <c r="H72" s="118">
        <f t="shared" si="45"/>
        <v>-592.30797270067376</v>
      </c>
      <c r="I72" s="118">
        <f t="shared" si="45"/>
        <v>-591.34972999821605</v>
      </c>
      <c r="J72" s="118">
        <f t="shared" si="45"/>
        <v>-561.34805202271298</v>
      </c>
      <c r="K72" s="118">
        <f t="shared" si="45"/>
        <v>-1108.4091937560179</v>
      </c>
      <c r="L72" s="118">
        <f t="shared" si="45"/>
        <v>-690.53660360220306</v>
      </c>
      <c r="M72" s="118">
        <f t="shared" si="45"/>
        <v>-708.79031041596488</v>
      </c>
      <c r="N72" s="118">
        <f t="shared" si="45"/>
        <v>-732.08677795902292</v>
      </c>
      <c r="O72" s="118">
        <f t="shared" si="45"/>
        <v>-760.2341875511845</v>
      </c>
      <c r="P72" s="118">
        <f t="shared" si="45"/>
        <v>-800.01141465687874</v>
      </c>
      <c r="Q72" s="118">
        <f t="shared" si="45"/>
        <v>-738.33185883705073</v>
      </c>
      <c r="R72" s="118">
        <f t="shared" si="45"/>
        <v>-747.89090988402029</v>
      </c>
      <c r="S72" s="118">
        <f t="shared" si="46"/>
        <v>-755.71102977763132</v>
      </c>
      <c r="T72" s="118">
        <f t="shared" si="47"/>
        <v>-760.4358801413531</v>
      </c>
      <c r="U72" s="118">
        <f t="shared" si="47"/>
        <v>-760.47621865938675</v>
      </c>
      <c r="V72" s="118">
        <f t="shared" si="47"/>
        <v>-752.56917945988846</v>
      </c>
      <c r="W72" s="118">
        <f t="shared" si="47"/>
        <v>-755.41664358445598</v>
      </c>
      <c r="X72" s="118">
        <f t="shared" si="47"/>
        <v>-756.92179032454305</v>
      </c>
      <c r="Y72" s="118">
        <f t="shared" si="47"/>
        <v>-757.16394243392551</v>
      </c>
      <c r="Z72" s="118">
        <f t="shared" si="47"/>
        <v>-756.50955489243995</v>
      </c>
      <c r="AA72" s="118">
        <f t="shared" si="47"/>
        <v>-755.71622213905061</v>
      </c>
      <c r="AB72" s="118">
        <f t="shared" si="47"/>
        <v>-756.34563067488307</v>
      </c>
      <c r="AC72" s="118">
        <f t="shared" si="47"/>
        <v>-756.53142809296844</v>
      </c>
      <c r="AD72" s="118">
        <f t="shared" si="47"/>
        <v>-756.45335564665345</v>
      </c>
      <c r="AE72" s="118">
        <f t="shared" si="47"/>
        <v>-756.31123828919908</v>
      </c>
      <c r="AF72" s="118">
        <f t="shared" si="47"/>
        <v>-756.27157496855102</v>
      </c>
    </row>
    <row r="73" spans="1:33">
      <c r="A73" s="113" t="s">
        <v>138</v>
      </c>
      <c r="B73" s="13">
        <f t="shared" si="48"/>
        <v>-194</v>
      </c>
      <c r="C73" s="13">
        <f t="shared" si="48"/>
        <v>10</v>
      </c>
      <c r="D73" s="13">
        <f>((D88+D25)-D89)-(D41+D57)</f>
        <v>-183</v>
      </c>
      <c r="E73" s="13">
        <f t="shared" si="48"/>
        <v>-69626</v>
      </c>
      <c r="F73" s="13">
        <f t="shared" si="48"/>
        <v>-10263</v>
      </c>
      <c r="G73" s="119">
        <f t="shared" si="49"/>
        <v>-17482.682002352634</v>
      </c>
      <c r="H73" s="118">
        <f t="shared" si="45"/>
        <v>-17863.854078391458</v>
      </c>
      <c r="I73" s="118">
        <f t="shared" si="45"/>
        <v>-18010.647995309882</v>
      </c>
      <c r="J73" s="118">
        <f t="shared" si="45"/>
        <v>-18288.225761546819</v>
      </c>
      <c r="K73" s="118">
        <f t="shared" si="45"/>
        <v>-19237.71281151814</v>
      </c>
      <c r="L73" s="118">
        <f t="shared" si="45"/>
        <v>-18176.624529823785</v>
      </c>
      <c r="M73" s="118">
        <f t="shared" si="45"/>
        <v>-18315.413035318019</v>
      </c>
      <c r="N73" s="118">
        <f t="shared" si="45"/>
        <v>-18405.724826703332</v>
      </c>
      <c r="O73" s="118">
        <f t="shared" si="45"/>
        <v>-18484.740192982019</v>
      </c>
      <c r="P73" s="118">
        <f t="shared" si="45"/>
        <v>-18524.043079269057</v>
      </c>
      <c r="Q73" s="118">
        <f t="shared" si="45"/>
        <v>-18381.309132819242</v>
      </c>
      <c r="R73" s="118">
        <f t="shared" si="45"/>
        <v>-18422.246053418334</v>
      </c>
      <c r="S73" s="118">
        <f t="shared" si="46"/>
        <v>-18443.612657038397</v>
      </c>
      <c r="T73" s="118">
        <f t="shared" si="47"/>
        <v>-18451.190223105408</v>
      </c>
      <c r="U73" s="118">
        <f t="shared" si="47"/>
        <v>-18444.480229130088</v>
      </c>
      <c r="V73" s="118">
        <f t="shared" si="47"/>
        <v>-18428.567659102293</v>
      </c>
      <c r="W73" s="118">
        <f t="shared" si="47"/>
        <v>-18438.019364358905</v>
      </c>
      <c r="X73" s="118">
        <f t="shared" si="47"/>
        <v>-18441.174026547018</v>
      </c>
      <c r="Y73" s="118">
        <f t="shared" si="47"/>
        <v>-18440.686300448742</v>
      </c>
      <c r="Z73" s="118">
        <f t="shared" si="47"/>
        <v>-18438.585515917406</v>
      </c>
      <c r="AA73" s="118">
        <f t="shared" si="47"/>
        <v>-18437.406573274871</v>
      </c>
      <c r="AB73" s="118">
        <f t="shared" si="47"/>
        <v>-18439.17435610939</v>
      </c>
      <c r="AC73" s="118">
        <f t="shared" si="47"/>
        <v>-18439.405354459483</v>
      </c>
      <c r="AD73" s="118">
        <f t="shared" si="47"/>
        <v>-18439.051620041977</v>
      </c>
      <c r="AE73" s="118">
        <f t="shared" si="47"/>
        <v>-18438.724683960627</v>
      </c>
      <c r="AF73" s="118">
        <f t="shared" si="47"/>
        <v>-18438.752517569268</v>
      </c>
    </row>
    <row r="74" spans="1:33">
      <c r="A74" s="113" t="s">
        <v>139</v>
      </c>
      <c r="B74" s="13">
        <f t="shared" si="48"/>
        <v>-920</v>
      </c>
      <c r="C74" s="13">
        <f t="shared" si="48"/>
        <v>-9</v>
      </c>
      <c r="D74" s="13">
        <f>((D89+D26)-D90)-(D42+D58)</f>
        <v>-338</v>
      </c>
      <c r="E74" s="13">
        <f t="shared" si="48"/>
        <v>-45810</v>
      </c>
      <c r="F74" s="13">
        <f t="shared" si="48"/>
        <v>-17723</v>
      </c>
      <c r="G74" s="119">
        <f t="shared" si="49"/>
        <v>-14115.801855966542</v>
      </c>
      <c r="H74" s="118">
        <f t="shared" si="45"/>
        <v>-14283.768161226004</v>
      </c>
      <c r="I74" s="118">
        <f t="shared" si="45"/>
        <v>-14398.491033915523</v>
      </c>
      <c r="J74" s="118">
        <f t="shared" si="45"/>
        <v>-14594.087353807774</v>
      </c>
      <c r="K74" s="118">
        <f t="shared" si="45"/>
        <v>-17642.18907037035</v>
      </c>
      <c r="L74" s="118">
        <f t="shared" si="45"/>
        <v>-15006.867495057237</v>
      </c>
      <c r="M74" s="118">
        <f t="shared" si="45"/>
        <v>-15185.080622875375</v>
      </c>
      <c r="N74" s="118">
        <f t="shared" si="45"/>
        <v>-15365.343115205251</v>
      </c>
      <c r="O74" s="118">
        <f t="shared" si="45"/>
        <v>-15558.713531463198</v>
      </c>
      <c r="P74" s="118">
        <f t="shared" si="45"/>
        <v>-15751.638766994283</v>
      </c>
      <c r="Q74" s="118">
        <f t="shared" si="45"/>
        <v>-15373.528706319068</v>
      </c>
      <c r="R74" s="118">
        <f t="shared" si="45"/>
        <v>-15446.860948571435</v>
      </c>
      <c r="S74" s="118">
        <f t="shared" si="46"/>
        <v>-15499.217013710646</v>
      </c>
      <c r="T74" s="118">
        <f t="shared" si="47"/>
        <v>-15525.991793411726</v>
      </c>
      <c r="U74" s="118">
        <f t="shared" si="47"/>
        <v>-15519.44744580143</v>
      </c>
      <c r="V74" s="118">
        <f t="shared" si="47"/>
        <v>-15473.00918156286</v>
      </c>
      <c r="W74" s="118">
        <f t="shared" si="47"/>
        <v>-15492.90527661162</v>
      </c>
      <c r="X74" s="118">
        <f t="shared" si="47"/>
        <v>-15502.114142219656</v>
      </c>
      <c r="Y74" s="118">
        <f t="shared" si="47"/>
        <v>-15502.69356792146</v>
      </c>
      <c r="Z74" s="118">
        <f t="shared" si="47"/>
        <v>-15498.033922823408</v>
      </c>
      <c r="AA74" s="118">
        <f t="shared" si="47"/>
        <v>-15493.751218227801</v>
      </c>
      <c r="AB74" s="118">
        <f t="shared" si="47"/>
        <v>-15497.899625560787</v>
      </c>
      <c r="AC74" s="118">
        <f t="shared" si="47"/>
        <v>-15498.898495350624</v>
      </c>
      <c r="AD74" s="118">
        <f t="shared" si="47"/>
        <v>-15498.255365976816</v>
      </c>
      <c r="AE74" s="118">
        <f t="shared" si="47"/>
        <v>-15497.367725587887</v>
      </c>
      <c r="AF74" s="118">
        <f t="shared" si="47"/>
        <v>-15497.234486140784</v>
      </c>
    </row>
    <row r="75" spans="1:33">
      <c r="A75" s="113" t="s">
        <v>140</v>
      </c>
      <c r="B75" s="13">
        <f t="shared" si="48"/>
        <v>-85</v>
      </c>
      <c r="C75" s="13">
        <f t="shared" si="48"/>
        <v>-211</v>
      </c>
      <c r="D75" s="13">
        <f>((D90+D27)-D91)-(D43+D59)</f>
        <v>-277</v>
      </c>
      <c r="E75" s="13">
        <f t="shared" si="48"/>
        <v>34232</v>
      </c>
      <c r="F75" s="13">
        <f t="shared" si="48"/>
        <v>21042</v>
      </c>
      <c r="G75" s="119">
        <f t="shared" ref="G75:R75" si="50">G76-SUM(G64:G74)</f>
        <v>30533.969655382723</v>
      </c>
      <c r="H75" s="118">
        <f t="shared" si="50"/>
        <v>15625.080287409044</v>
      </c>
      <c r="I75" s="118">
        <f t="shared" si="50"/>
        <v>15785.038261454472</v>
      </c>
      <c r="J75" s="118">
        <f t="shared" si="50"/>
        <v>16088.34710938199</v>
      </c>
      <c r="K75" s="118">
        <f t="shared" si="50"/>
        <v>23269.473028543158</v>
      </c>
      <c r="L75" s="118">
        <f t="shared" si="50"/>
        <v>20260.381668434275</v>
      </c>
      <c r="M75" s="118">
        <f t="shared" si="50"/>
        <v>18205.664071044594</v>
      </c>
      <c r="N75" s="118">
        <f t="shared" si="50"/>
        <v>18721.780827771698</v>
      </c>
      <c r="O75" s="118">
        <f t="shared" si="50"/>
        <v>19309.129341035143</v>
      </c>
      <c r="P75" s="118">
        <f t="shared" si="50"/>
        <v>19953.28578736577</v>
      </c>
      <c r="Q75" s="118">
        <f t="shared" si="50"/>
        <v>19290.048339130291</v>
      </c>
      <c r="R75" s="118">
        <f t="shared" si="50"/>
        <v>19095.981673269496</v>
      </c>
      <c r="S75" s="118">
        <f t="shared" ref="S75:AF75" si="51">S76-SUM(S64:S74)</f>
        <v>19274.045193714475</v>
      </c>
      <c r="T75" s="118">
        <f t="shared" si="51"/>
        <v>19384.498066903034</v>
      </c>
      <c r="U75" s="118">
        <f t="shared" si="51"/>
        <v>19399.571812076618</v>
      </c>
      <c r="V75" s="118">
        <f t="shared" si="51"/>
        <v>19288.829017018783</v>
      </c>
      <c r="W75" s="118">
        <f t="shared" si="51"/>
        <v>19288.585152596483</v>
      </c>
      <c r="X75" s="118">
        <f t="shared" si="51"/>
        <v>19327.105848461877</v>
      </c>
      <c r="Y75" s="118">
        <f t="shared" si="51"/>
        <v>19337.717979411362</v>
      </c>
      <c r="Z75" s="118">
        <f t="shared" si="51"/>
        <v>19328.361961913026</v>
      </c>
      <c r="AA75" s="118">
        <f t="shared" si="51"/>
        <v>19314.119991880303</v>
      </c>
      <c r="AB75" s="118">
        <f t="shared" si="51"/>
        <v>19319.178186852609</v>
      </c>
      <c r="AC75" s="118">
        <f t="shared" si="51"/>
        <v>19325.296793703834</v>
      </c>
      <c r="AD75" s="118">
        <f t="shared" si="51"/>
        <v>19324.934982752224</v>
      </c>
      <c r="AE75" s="118">
        <f t="shared" si="51"/>
        <v>19322.3783834204</v>
      </c>
      <c r="AF75" s="118">
        <f t="shared" si="51"/>
        <v>19321.181667721874</v>
      </c>
    </row>
    <row r="76" spans="1:33" ht="12" thickBot="1">
      <c r="A76" s="113" t="s">
        <v>141</v>
      </c>
      <c r="B76" s="13">
        <f>SUM(B64:B75)</f>
        <v>-2603</v>
      </c>
      <c r="C76" s="13">
        <f>SUM(C64:C75)</f>
        <v>-1042</v>
      </c>
      <c r="D76" s="13">
        <f>SUM(D64:D75)</f>
        <v>-2449</v>
      </c>
      <c r="E76" s="13">
        <f>SUM(E64:E75)</f>
        <v>-80564</v>
      </c>
      <c r="F76" s="13">
        <f>SUM(F64:F75)</f>
        <v>-5154</v>
      </c>
      <c r="G76" s="119">
        <v>-20000</v>
      </c>
      <c r="H76" s="118">
        <v>-20000</v>
      </c>
      <c r="I76" s="119">
        <v>-20000</v>
      </c>
      <c r="J76" s="118">
        <v>-20000</v>
      </c>
      <c r="K76" s="119">
        <v>-20000</v>
      </c>
      <c r="L76" s="118">
        <v>-20000</v>
      </c>
      <c r="M76" s="119">
        <v>-20000</v>
      </c>
      <c r="N76" s="118">
        <v>-20000</v>
      </c>
      <c r="O76" s="119">
        <v>-20000</v>
      </c>
      <c r="P76" s="118">
        <v>-20000</v>
      </c>
      <c r="Q76" s="119">
        <v>-20000</v>
      </c>
      <c r="R76" s="118">
        <v>-20000</v>
      </c>
      <c r="S76" s="119">
        <v>-20000</v>
      </c>
      <c r="T76" s="118">
        <v>-20000</v>
      </c>
      <c r="U76" s="119">
        <v>-20000</v>
      </c>
      <c r="V76" s="118">
        <v>-20000</v>
      </c>
      <c r="W76" s="119">
        <v>-20000</v>
      </c>
      <c r="X76" s="118">
        <v>-20000</v>
      </c>
      <c r="Y76" s="119">
        <v>-20000</v>
      </c>
      <c r="Z76" s="118">
        <v>-20000</v>
      </c>
      <c r="AA76" s="119">
        <v>-20000</v>
      </c>
      <c r="AB76" s="118">
        <v>-20000</v>
      </c>
      <c r="AC76" s="119">
        <v>-20000</v>
      </c>
      <c r="AD76" s="118">
        <v>-20000</v>
      </c>
      <c r="AE76" s="119">
        <v>-20000</v>
      </c>
      <c r="AF76" s="118">
        <v>-20000</v>
      </c>
    </row>
    <row r="77" spans="1:33">
      <c r="A77" s="199"/>
      <c r="B77" s="199"/>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199"/>
      <c r="AF77" s="199"/>
    </row>
    <row r="78" spans="1:33" ht="12" thickBot="1">
      <c r="A78" s="138" t="s">
        <v>147</v>
      </c>
    </row>
    <row r="79" spans="1:33" ht="12" thickBot="1">
      <c r="A79" s="176"/>
      <c r="B79" s="177">
        <f>B3</f>
        <v>2020</v>
      </c>
      <c r="C79" s="177">
        <f t="shared" ref="C79:AF79" si="52">C3</f>
        <v>2021</v>
      </c>
      <c r="D79" s="177">
        <f t="shared" si="52"/>
        <v>2022</v>
      </c>
      <c r="E79" s="177">
        <f t="shared" si="52"/>
        <v>2023</v>
      </c>
      <c r="F79" s="177">
        <f t="shared" si="52"/>
        <v>2024</v>
      </c>
      <c r="G79" s="177">
        <f t="shared" si="52"/>
        <v>2025</v>
      </c>
      <c r="H79" s="177">
        <f t="shared" si="52"/>
        <v>2026</v>
      </c>
      <c r="I79" s="177">
        <f t="shared" si="52"/>
        <v>2027</v>
      </c>
      <c r="J79" s="177">
        <f t="shared" si="52"/>
        <v>2028</v>
      </c>
      <c r="K79" s="177">
        <f t="shared" si="52"/>
        <v>2029</v>
      </c>
      <c r="L79" s="177">
        <f t="shared" si="52"/>
        <v>2030</v>
      </c>
      <c r="M79" s="177">
        <f t="shared" si="52"/>
        <v>2031</v>
      </c>
      <c r="N79" s="177">
        <f t="shared" si="52"/>
        <v>2032</v>
      </c>
      <c r="O79" s="177">
        <f t="shared" si="52"/>
        <v>2033</v>
      </c>
      <c r="P79" s="177">
        <f t="shared" si="52"/>
        <v>2034</v>
      </c>
      <c r="Q79" s="177">
        <f t="shared" si="52"/>
        <v>2035</v>
      </c>
      <c r="R79" s="177">
        <f t="shared" si="52"/>
        <v>2036</v>
      </c>
      <c r="S79" s="177">
        <f t="shared" si="52"/>
        <v>2037</v>
      </c>
      <c r="T79" s="177">
        <f t="shared" si="52"/>
        <v>2038</v>
      </c>
      <c r="U79" s="177">
        <f t="shared" si="52"/>
        <v>2039</v>
      </c>
      <c r="V79" s="177">
        <f t="shared" si="52"/>
        <v>2040</v>
      </c>
      <c r="W79" s="177">
        <f t="shared" si="52"/>
        <v>2041</v>
      </c>
      <c r="X79" s="177">
        <f t="shared" si="52"/>
        <v>2042</v>
      </c>
      <c r="Y79" s="177">
        <f t="shared" si="52"/>
        <v>2043</v>
      </c>
      <c r="Z79" s="177">
        <f t="shared" si="52"/>
        <v>2044</v>
      </c>
      <c r="AA79" s="177">
        <f t="shared" si="52"/>
        <v>2045</v>
      </c>
      <c r="AB79" s="177">
        <f t="shared" si="52"/>
        <v>2046</v>
      </c>
      <c r="AC79" s="177">
        <f t="shared" si="52"/>
        <v>2047</v>
      </c>
      <c r="AD79" s="177">
        <f t="shared" si="52"/>
        <v>2048</v>
      </c>
      <c r="AE79" s="177">
        <f t="shared" si="52"/>
        <v>2049</v>
      </c>
      <c r="AF79" s="177">
        <f t="shared" si="52"/>
        <v>2050</v>
      </c>
      <c r="AG79" s="248"/>
    </row>
    <row r="80" spans="1:33">
      <c r="A80" s="113" t="s">
        <v>129</v>
      </c>
      <c r="B80" s="13">
        <f>'Total Feedstock'!B78-'Total Ethanol Feedstock'!B79</f>
        <v>4303</v>
      </c>
      <c r="C80" s="13">
        <f>'Total Feedstock'!C78-'Total Ethanol Feedstock'!C79</f>
        <v>2874</v>
      </c>
      <c r="D80" s="13">
        <f>'Total Feedstock'!D78-'Total Ethanol Feedstock'!D79</f>
        <v>1864</v>
      </c>
      <c r="E80" s="13">
        <f>'Total Feedstock'!E78-'Total Ethanol Feedstock'!E79</f>
        <v>31193</v>
      </c>
      <c r="F80" s="13">
        <f>'Total Feedstock'!F78-'Total Ethanol Feedstock'!F79</f>
        <v>198667</v>
      </c>
      <c r="G80" s="13">
        <f>'Total Feedstock'!G78-'Total Ethanol Feedstock'!G79</f>
        <v>161491.91666666666</v>
      </c>
      <c r="H80" s="119">
        <f t="shared" ref="H80:AF80" si="53">G91+H16-H32-H48-H64</f>
        <v>278495.89574642654</v>
      </c>
      <c r="I80" s="119">
        <f t="shared" si="53"/>
        <v>397589.47544511966</v>
      </c>
      <c r="J80" s="119">
        <f t="shared" si="53"/>
        <v>531071.32198467874</v>
      </c>
      <c r="K80" s="119">
        <f t="shared" si="53"/>
        <v>700871.86303727387</v>
      </c>
      <c r="L80" s="119">
        <f t="shared" si="53"/>
        <v>855216.32564891025</v>
      </c>
      <c r="M80" s="119">
        <f t="shared" si="53"/>
        <v>1017944.2366429792</v>
      </c>
      <c r="N80" s="119">
        <f t="shared" si="53"/>
        <v>1189378.1800998487</v>
      </c>
      <c r="O80" s="119">
        <f t="shared" si="53"/>
        <v>1361024.2803402282</v>
      </c>
      <c r="P80" s="119">
        <f t="shared" si="53"/>
        <v>1535327.8939329698</v>
      </c>
      <c r="Q80" s="119">
        <f t="shared" si="53"/>
        <v>1711721.0596494039</v>
      </c>
      <c r="R80" s="119">
        <f t="shared" si="53"/>
        <v>1889983.4187330243</v>
      </c>
      <c r="S80" s="119">
        <f t="shared" si="53"/>
        <v>2056445.3606895006</v>
      </c>
      <c r="T80" s="119">
        <f t="shared" si="53"/>
        <v>2076520.6945869199</v>
      </c>
      <c r="U80" s="119">
        <f t="shared" si="53"/>
        <v>2096533.6765172847</v>
      </c>
      <c r="V80" s="119">
        <f t="shared" si="53"/>
        <v>2116460.146569089</v>
      </c>
      <c r="W80" s="119">
        <f t="shared" si="53"/>
        <v>2136457.1310962196</v>
      </c>
      <c r="X80" s="119">
        <f t="shared" si="53"/>
        <v>2156483.4018918024</v>
      </c>
      <c r="Y80" s="119">
        <f t="shared" si="53"/>
        <v>2176491.0101322629</v>
      </c>
      <c r="Z80" s="119">
        <f t="shared" si="53"/>
        <v>2196485.0732413311</v>
      </c>
      <c r="AA80" s="119">
        <f t="shared" si="53"/>
        <v>2216475.3525861418</v>
      </c>
      <c r="AB80" s="119">
        <f t="shared" si="53"/>
        <v>2236478.3937895517</v>
      </c>
      <c r="AC80" s="119">
        <f t="shared" si="53"/>
        <v>2256482.6463282187</v>
      </c>
      <c r="AD80" s="119">
        <f t="shared" si="53"/>
        <v>2276482.4952155016</v>
      </c>
      <c r="AE80" s="119">
        <f t="shared" si="53"/>
        <v>2296480.7922321497</v>
      </c>
      <c r="AF80" s="119">
        <f t="shared" si="53"/>
        <v>2316479.9360303129</v>
      </c>
    </row>
    <row r="81" spans="1:38">
      <c r="A81" s="113" t="s">
        <v>130</v>
      </c>
      <c r="B81" s="13">
        <f>'Total Feedstock'!B79-'Total Ethanol Feedstock'!B80</f>
        <v>3840</v>
      </c>
      <c r="C81" s="13">
        <f>'Total Feedstock'!C79-'Total Ethanol Feedstock'!C80</f>
        <v>4277</v>
      </c>
      <c r="D81" s="13">
        <f>'Total Feedstock'!D79-'Total Ethanol Feedstock'!D80</f>
        <v>1859</v>
      </c>
      <c r="E81" s="13">
        <f>'Total Feedstock'!E79-'Total Ethanol Feedstock'!E80</f>
        <v>30514</v>
      </c>
      <c r="F81" s="13">
        <f>'Total Feedstock'!F79-'Total Ethanol Feedstock'!F80</f>
        <v>175631</v>
      </c>
      <c r="G81" s="13">
        <f>'Total Feedstock'!G79-'Total Ethanol Feedstock'!G80</f>
        <v>161221.83333333331</v>
      </c>
      <c r="H81" s="119">
        <f t="shared" ref="H81:AF89" si="54">H80+H17-H33-H49-H65</f>
        <v>267097.41308699705</v>
      </c>
      <c r="I81" s="119">
        <f t="shared" si="54"/>
        <v>381435.83647483983</v>
      </c>
      <c r="J81" s="119">
        <f t="shared" si="54"/>
        <v>515280.78453769011</v>
      </c>
      <c r="K81" s="119">
        <f t="shared" si="54"/>
        <v>684024.43850649439</v>
      </c>
      <c r="L81" s="119">
        <f t="shared" si="54"/>
        <v>838648.09662437823</v>
      </c>
      <c r="M81" s="119">
        <f t="shared" si="54"/>
        <v>1001008.8428940584</v>
      </c>
      <c r="N81" s="119">
        <f t="shared" si="54"/>
        <v>1171816.0213129413</v>
      </c>
      <c r="O81" s="119">
        <f t="shared" si="54"/>
        <v>1343115.3683172553</v>
      </c>
      <c r="P81" s="119">
        <f t="shared" si="54"/>
        <v>1517155.0443425234</v>
      </c>
      <c r="Q81" s="119">
        <f t="shared" si="54"/>
        <v>1693286.6155990975</v>
      </c>
      <c r="R81" s="119">
        <f t="shared" si="54"/>
        <v>1871286.3703378318</v>
      </c>
      <c r="S81" s="119">
        <f t="shared" si="54"/>
        <v>2056434.0604413499</v>
      </c>
      <c r="T81" s="119">
        <f t="shared" si="54"/>
        <v>2076521.5033916871</v>
      </c>
      <c r="U81" s="119">
        <f t="shared" si="54"/>
        <v>2096543.7667654289</v>
      </c>
      <c r="V81" s="119">
        <f t="shared" si="54"/>
        <v>2116473.9065918722</v>
      </c>
      <c r="W81" s="119">
        <f t="shared" si="54"/>
        <v>2136454.9774956019</v>
      </c>
      <c r="X81" s="119">
        <f t="shared" si="54"/>
        <v>2156485.6429371876</v>
      </c>
      <c r="Y81" s="119">
        <f t="shared" si="54"/>
        <v>2176495.9594363552</v>
      </c>
      <c r="Z81" s="119">
        <f t="shared" si="54"/>
        <v>2196490.8506452888</v>
      </c>
      <c r="AA81" s="119">
        <f t="shared" si="54"/>
        <v>2216480.2674212619</v>
      </c>
      <c r="AB81" s="119">
        <f t="shared" si="54"/>
        <v>2236481.5395871392</v>
      </c>
      <c r="AC81" s="119">
        <f t="shared" si="54"/>
        <v>2256486.8520054473</v>
      </c>
      <c r="AD81" s="119">
        <f t="shared" si="54"/>
        <v>2276487.093819099</v>
      </c>
      <c r="AE81" s="119">
        <f t="shared" si="54"/>
        <v>2296485.320695648</v>
      </c>
      <c r="AF81" s="119">
        <f t="shared" si="54"/>
        <v>2316484.2147057191</v>
      </c>
    </row>
    <row r="82" spans="1:38">
      <c r="A82" s="113" t="s">
        <v>131</v>
      </c>
      <c r="B82" s="13">
        <f>'Total Feedstock'!B80-'Total Ethanol Feedstock'!B81</f>
        <v>4745</v>
      </c>
      <c r="C82" s="13">
        <f>'Total Feedstock'!C80-'Total Ethanol Feedstock'!C81</f>
        <v>3835</v>
      </c>
      <c r="D82" s="13">
        <f>'Total Feedstock'!D80-'Total Ethanol Feedstock'!D81</f>
        <v>2847</v>
      </c>
      <c r="E82" s="13">
        <f>'Total Feedstock'!E80-'Total Ethanol Feedstock'!E81</f>
        <v>27190</v>
      </c>
      <c r="F82" s="13">
        <f>'Total Feedstock'!F80-'Total Ethanol Feedstock'!F81</f>
        <v>130460</v>
      </c>
      <c r="G82" s="119">
        <f t="shared" ref="G82:G89" si="55">G81+G18-G34-G50-G66</f>
        <v>149804.22642477049</v>
      </c>
      <c r="H82" s="119">
        <f t="shared" si="54"/>
        <v>250857.30243498649</v>
      </c>
      <c r="I82" s="119">
        <f t="shared" si="54"/>
        <v>360937.2099965149</v>
      </c>
      <c r="J82" s="119">
        <f t="shared" si="54"/>
        <v>495494.38219867769</v>
      </c>
      <c r="K82" s="119">
        <f t="shared" si="54"/>
        <v>657801.89343461557</v>
      </c>
      <c r="L82" s="119">
        <f t="shared" si="54"/>
        <v>816042.46957944182</v>
      </c>
      <c r="M82" s="119">
        <f t="shared" si="54"/>
        <v>978051.53261786478</v>
      </c>
      <c r="N82" s="119">
        <f t="shared" si="54"/>
        <v>1148090.1275773458</v>
      </c>
      <c r="O82" s="119">
        <f t="shared" si="54"/>
        <v>1318854.7137962915</v>
      </c>
      <c r="P82" s="119">
        <f t="shared" si="54"/>
        <v>1492359.6553383905</v>
      </c>
      <c r="Q82" s="119">
        <f t="shared" si="54"/>
        <v>1668866.1168172061</v>
      </c>
      <c r="R82" s="119">
        <f t="shared" si="54"/>
        <v>1846651.5700205571</v>
      </c>
      <c r="S82" s="119">
        <f t="shared" si="54"/>
        <v>2048120.5586473262</v>
      </c>
      <c r="T82" s="119">
        <f t="shared" si="54"/>
        <v>2068160.0799942783</v>
      </c>
      <c r="U82" s="119">
        <f t="shared" si="54"/>
        <v>2088189.5546866676</v>
      </c>
      <c r="V82" s="119">
        <f t="shared" si="54"/>
        <v>2108200.7738390532</v>
      </c>
      <c r="W82" s="119">
        <f t="shared" si="54"/>
        <v>2128149.200466678</v>
      </c>
      <c r="X82" s="119">
        <f t="shared" si="54"/>
        <v>2148164.0335268001</v>
      </c>
      <c r="Y82" s="119">
        <f t="shared" si="54"/>
        <v>2168172.728502695</v>
      </c>
      <c r="Z82" s="119">
        <f t="shared" si="54"/>
        <v>2188175.2582043787</v>
      </c>
      <c r="AA82" s="119">
        <f t="shared" si="54"/>
        <v>2208172.3989079217</v>
      </c>
      <c r="AB82" s="119">
        <f t="shared" si="54"/>
        <v>2228166.7239216948</v>
      </c>
      <c r="AC82" s="119">
        <f t="shared" si="54"/>
        <v>2248170.2286126991</v>
      </c>
      <c r="AD82" s="119">
        <f t="shared" si="54"/>
        <v>2268171.4676298783</v>
      </c>
      <c r="AE82" s="119">
        <f t="shared" si="54"/>
        <v>2288171.2154553151</v>
      </c>
      <c r="AF82" s="119">
        <f t="shared" si="54"/>
        <v>2308170.4069055021</v>
      </c>
    </row>
    <row r="83" spans="1:38">
      <c r="A83" s="113" t="s">
        <v>132</v>
      </c>
      <c r="B83" s="13">
        <f>'Total Feedstock'!B81-'Total Ethanol Feedstock'!B82</f>
        <v>4815</v>
      </c>
      <c r="C83" s="13">
        <f>'Total Feedstock'!C81-'Total Ethanol Feedstock'!C82</f>
        <v>4182</v>
      </c>
      <c r="D83" s="13">
        <f>'Total Feedstock'!D81-'Total Ethanol Feedstock'!D82</f>
        <v>2134</v>
      </c>
      <c r="E83" s="13">
        <f>'Total Feedstock'!E81-'Total Ethanol Feedstock'!E82</f>
        <v>26950</v>
      </c>
      <c r="F83" s="13">
        <f>'Total Feedstock'!F81-'Total Ethanol Feedstock'!F82</f>
        <v>118389</v>
      </c>
      <c r="G83" s="119">
        <f t="shared" si="55"/>
        <v>144595.97895173155</v>
      </c>
      <c r="H83" s="119">
        <f t="shared" si="54"/>
        <v>238337.71455123354</v>
      </c>
      <c r="I83" s="119">
        <f t="shared" si="54"/>
        <v>342851.67127792654</v>
      </c>
      <c r="J83" s="119">
        <f t="shared" si="54"/>
        <v>478090.54193160206</v>
      </c>
      <c r="K83" s="119">
        <f t="shared" si="54"/>
        <v>641510.1106023693</v>
      </c>
      <c r="L83" s="119">
        <f t="shared" si="54"/>
        <v>796790.13527686102</v>
      </c>
      <c r="M83" s="119">
        <f t="shared" si="54"/>
        <v>958785.2372847849</v>
      </c>
      <c r="N83" s="119">
        <f t="shared" si="54"/>
        <v>1128088.1801855615</v>
      </c>
      <c r="O83" s="119">
        <f t="shared" si="54"/>
        <v>1298657.3802495541</v>
      </c>
      <c r="P83" s="119">
        <f t="shared" si="54"/>
        <v>1472014.7271436471</v>
      </c>
      <c r="Q83" s="119">
        <f t="shared" si="54"/>
        <v>1647797.5186379557</v>
      </c>
      <c r="R83" s="119">
        <f t="shared" si="54"/>
        <v>1825516.7092584306</v>
      </c>
      <c r="S83" s="119">
        <f t="shared" si="54"/>
        <v>2051773.2246802256</v>
      </c>
      <c r="T83" s="119">
        <f t="shared" si="54"/>
        <v>2071834.6597879117</v>
      </c>
      <c r="U83" s="119">
        <f t="shared" si="54"/>
        <v>2091861.9171937776</v>
      </c>
      <c r="V83" s="119">
        <f t="shared" si="54"/>
        <v>2111836.9154582485</v>
      </c>
      <c r="W83" s="119">
        <f t="shared" si="54"/>
        <v>2131799.3188844612</v>
      </c>
      <c r="X83" s="119">
        <f t="shared" si="54"/>
        <v>2151821.2072009244</v>
      </c>
      <c r="Y83" s="119">
        <f t="shared" si="54"/>
        <v>2171830.8037050641</v>
      </c>
      <c r="Z83" s="119">
        <f t="shared" si="54"/>
        <v>2191830.0324884951</v>
      </c>
      <c r="AA83" s="119">
        <f t="shared" si="54"/>
        <v>2211823.6555474391</v>
      </c>
      <c r="AB83" s="119">
        <f t="shared" si="54"/>
        <v>2231821.003565277</v>
      </c>
      <c r="AC83" s="119">
        <f t="shared" si="54"/>
        <v>2251825.3405014412</v>
      </c>
      <c r="AD83" s="119">
        <f t="shared" si="54"/>
        <v>2271826.1671615439</v>
      </c>
      <c r="AE83" s="119">
        <f t="shared" si="54"/>
        <v>2291825.2398528396</v>
      </c>
      <c r="AF83" s="119">
        <f t="shared" si="54"/>
        <v>2311824.2813257086</v>
      </c>
    </row>
    <row r="84" spans="1:38">
      <c r="A84" s="113" t="s">
        <v>133</v>
      </c>
      <c r="B84" s="13">
        <f>'Total Feedstock'!B82-'Total Ethanol Feedstock'!B83</f>
        <v>3871</v>
      </c>
      <c r="C84" s="13">
        <f>'Total Feedstock'!C82-'Total Ethanol Feedstock'!C83</f>
        <v>3716</v>
      </c>
      <c r="D84" s="13">
        <f>'Total Feedstock'!D82-'Total Ethanol Feedstock'!D83</f>
        <v>1364</v>
      </c>
      <c r="E84" s="13">
        <f>'Total Feedstock'!E82-'Total Ethanol Feedstock'!E83</f>
        <v>28711</v>
      </c>
      <c r="F84" s="13">
        <f>'Total Feedstock'!F82-'Total Ethanol Feedstock'!F83</f>
        <v>123198</v>
      </c>
      <c r="G84" s="119">
        <f t="shared" si="55"/>
        <v>147643.4551435544</v>
      </c>
      <c r="H84" s="119">
        <f t="shared" si="54"/>
        <v>242580.35031472702</v>
      </c>
      <c r="I84" s="119">
        <f t="shared" si="54"/>
        <v>348687.32121060061</v>
      </c>
      <c r="J84" s="119">
        <f t="shared" si="54"/>
        <v>483681.37269443471</v>
      </c>
      <c r="K84" s="119">
        <f t="shared" si="54"/>
        <v>648441.95961888065</v>
      </c>
      <c r="L84" s="119">
        <f t="shared" si="54"/>
        <v>803361.55871333065</v>
      </c>
      <c r="M84" s="119">
        <f t="shared" si="54"/>
        <v>965218.43643883336</v>
      </c>
      <c r="N84" s="119">
        <f t="shared" si="54"/>
        <v>1134700.8804527197</v>
      </c>
      <c r="O84" s="119">
        <f t="shared" si="54"/>
        <v>1305408.3874884732</v>
      </c>
      <c r="P84" s="119">
        <f t="shared" si="54"/>
        <v>1478889.3708208078</v>
      </c>
      <c r="Q84" s="119">
        <f t="shared" si="54"/>
        <v>1654582.2836671821</v>
      </c>
      <c r="R84" s="119">
        <f t="shared" si="54"/>
        <v>1832407.542315762</v>
      </c>
      <c r="S84" s="119">
        <f t="shared" si="54"/>
        <v>2053965.4121301749</v>
      </c>
      <c r="T84" s="119">
        <f t="shared" si="54"/>
        <v>2074038.0516128279</v>
      </c>
      <c r="U84" s="119">
        <f t="shared" si="54"/>
        <v>2094064.2983672351</v>
      </c>
      <c r="V84" s="119">
        <f t="shared" si="54"/>
        <v>2114020.5408849511</v>
      </c>
      <c r="W84" s="119">
        <f t="shared" si="54"/>
        <v>2133990.2057287158</v>
      </c>
      <c r="X84" s="119">
        <f t="shared" si="54"/>
        <v>2154015.7017447804</v>
      </c>
      <c r="Y84" s="119">
        <f t="shared" si="54"/>
        <v>2174025.7596677016</v>
      </c>
      <c r="Z84" s="119">
        <f t="shared" si="54"/>
        <v>2194023.3012786768</v>
      </c>
      <c r="AA84" s="119">
        <f t="shared" si="54"/>
        <v>2214015.1018609656</v>
      </c>
      <c r="AB84" s="119">
        <f t="shared" si="54"/>
        <v>2234014.014056168</v>
      </c>
      <c r="AC84" s="119">
        <f t="shared" si="54"/>
        <v>2254018.7757216594</v>
      </c>
      <c r="AD84" s="119">
        <f t="shared" si="54"/>
        <v>2274019.390517035</v>
      </c>
      <c r="AE84" s="119">
        <f t="shared" si="54"/>
        <v>2294018.1166869011</v>
      </c>
      <c r="AF84" s="119">
        <f t="shared" si="54"/>
        <v>2314017.0797685464</v>
      </c>
    </row>
    <row r="85" spans="1:38">
      <c r="A85" s="113" t="s">
        <v>134</v>
      </c>
      <c r="B85" s="13">
        <f>'Total Feedstock'!B83-'Total Ethanol Feedstock'!B84</f>
        <v>5040</v>
      </c>
      <c r="C85" s="13">
        <f>'Total Feedstock'!C83-'Total Ethanol Feedstock'!C84</f>
        <v>4076</v>
      </c>
      <c r="D85" s="13">
        <f>'Total Feedstock'!D83-'Total Ethanol Feedstock'!D84</f>
        <v>1241</v>
      </c>
      <c r="E85" s="13">
        <f>'Total Feedstock'!E83-'Total Ethanol Feedstock'!E84</f>
        <v>26945</v>
      </c>
      <c r="F85" s="13">
        <f>'Total Feedstock'!F83-'Total Ethanol Feedstock'!F84</f>
        <v>118561</v>
      </c>
      <c r="G85" s="119">
        <f t="shared" si="55"/>
        <v>154725.46018396836</v>
      </c>
      <c r="H85" s="119">
        <f t="shared" si="54"/>
        <v>252326.98631329049</v>
      </c>
      <c r="I85" s="119">
        <f t="shared" si="54"/>
        <v>364688.56598829385</v>
      </c>
      <c r="J85" s="119">
        <f t="shared" si="54"/>
        <v>498910.77521773952</v>
      </c>
      <c r="K85" s="119">
        <f t="shared" si="54"/>
        <v>661550.2160412902</v>
      </c>
      <c r="L85" s="119">
        <f t="shared" si="54"/>
        <v>819878.33112727897</v>
      </c>
      <c r="M85" s="119">
        <f t="shared" si="54"/>
        <v>981954.82308502507</v>
      </c>
      <c r="N85" s="119">
        <f t="shared" si="54"/>
        <v>1151938.513230422</v>
      </c>
      <c r="O85" s="119">
        <f t="shared" si="54"/>
        <v>1322929.485940564</v>
      </c>
      <c r="P85" s="119">
        <f t="shared" si="54"/>
        <v>1496458.0964442238</v>
      </c>
      <c r="Q85" s="119">
        <f t="shared" si="54"/>
        <v>1672742.6061719451</v>
      </c>
      <c r="R85" s="119">
        <f t="shared" si="54"/>
        <v>1850599.8282785085</v>
      </c>
      <c r="S85" s="119">
        <f t="shared" si="54"/>
        <v>2050232.0014424163</v>
      </c>
      <c r="T85" s="119">
        <f t="shared" si="54"/>
        <v>2070282.813199508</v>
      </c>
      <c r="U85" s="119">
        <f t="shared" si="54"/>
        <v>2090312.8546728697</v>
      </c>
      <c r="V85" s="119">
        <f t="shared" si="54"/>
        <v>2110306.2326534018</v>
      </c>
      <c r="W85" s="119">
        <f t="shared" si="54"/>
        <v>2130260.7806507098</v>
      </c>
      <c r="X85" s="119">
        <f t="shared" si="54"/>
        <v>2150278.9365237807</v>
      </c>
      <c r="Y85" s="119">
        <f t="shared" si="54"/>
        <v>2170288.3235400533</v>
      </c>
      <c r="Z85" s="119">
        <f t="shared" si="54"/>
        <v>2190289.4256081632</v>
      </c>
      <c r="AA85" s="119">
        <f t="shared" si="54"/>
        <v>2210284.7397952224</v>
      </c>
      <c r="AB85" s="119">
        <f t="shared" si="54"/>
        <v>2230280.441223586</v>
      </c>
      <c r="AC85" s="119">
        <f t="shared" si="54"/>
        <v>2250284.373338162</v>
      </c>
      <c r="AD85" s="119">
        <f t="shared" si="54"/>
        <v>2270285.4607010381</v>
      </c>
      <c r="AE85" s="119">
        <f t="shared" si="54"/>
        <v>2290284.8881332343</v>
      </c>
      <c r="AF85" s="119">
        <f t="shared" si="54"/>
        <v>2310283.9806382488</v>
      </c>
    </row>
    <row r="86" spans="1:38">
      <c r="A86" s="113" t="s">
        <v>135</v>
      </c>
      <c r="B86" s="13">
        <f>'Total Feedstock'!B84-'Total Ethanol Feedstock'!B85</f>
        <v>4945</v>
      </c>
      <c r="C86" s="13">
        <f>'Total Feedstock'!C84-'Total Ethanol Feedstock'!C85</f>
        <v>3884</v>
      </c>
      <c r="D86" s="13">
        <f>'Total Feedstock'!D84-'Total Ethanol Feedstock'!D85</f>
        <v>1191</v>
      </c>
      <c r="E86" s="13">
        <f>'Total Feedstock'!E84-'Total Ethanol Feedstock'!E85</f>
        <v>28221</v>
      </c>
      <c r="F86" s="13">
        <f>'Total Feedstock'!F84-'Total Ethanol Feedstock'!F85</f>
        <v>121940</v>
      </c>
      <c r="G86" s="119">
        <f t="shared" si="55"/>
        <v>159751.05307287825</v>
      </c>
      <c r="H86" s="119">
        <f t="shared" si="54"/>
        <v>252209.04956647864</v>
      </c>
      <c r="I86" s="119">
        <f t="shared" si="54"/>
        <v>364997.59290885529</v>
      </c>
      <c r="J86" s="119">
        <f t="shared" si="54"/>
        <v>500066.83049465838</v>
      </c>
      <c r="K86" s="119">
        <f t="shared" si="54"/>
        <v>664825.85232128517</v>
      </c>
      <c r="L86" s="119">
        <f t="shared" si="54"/>
        <v>821821.23123662162</v>
      </c>
      <c r="M86" s="119">
        <f t="shared" si="54"/>
        <v>984093.08468633913</v>
      </c>
      <c r="N86" s="119">
        <f t="shared" si="54"/>
        <v>1153672.5799879453</v>
      </c>
      <c r="O86" s="119">
        <f t="shared" si="54"/>
        <v>1324682.3043911157</v>
      </c>
      <c r="P86" s="119">
        <f t="shared" si="54"/>
        <v>1498238.5769650985</v>
      </c>
      <c r="Q86" s="119">
        <f t="shared" si="54"/>
        <v>1674182.6464608239</v>
      </c>
      <c r="R86" s="119">
        <f t="shared" si="54"/>
        <v>1852216.9077360164</v>
      </c>
      <c r="S86" s="119">
        <f t="shared" si="54"/>
        <v>2054070.5543178027</v>
      </c>
      <c r="T86" s="119">
        <f t="shared" si="54"/>
        <v>2074143.5997826147</v>
      </c>
      <c r="U86" s="119">
        <f t="shared" si="54"/>
        <v>2094171.2544657798</v>
      </c>
      <c r="V86" s="119">
        <f t="shared" si="54"/>
        <v>2114127.6476328215</v>
      </c>
      <c r="W86" s="119">
        <f t="shared" si="54"/>
        <v>2134096.640963106</v>
      </c>
      <c r="X86" s="119">
        <f t="shared" si="54"/>
        <v>2154121.9394324245</v>
      </c>
      <c r="Y86" s="119">
        <f t="shared" si="54"/>
        <v>2174132.2164553488</v>
      </c>
      <c r="Z86" s="119">
        <f t="shared" si="54"/>
        <v>2194129.9397898964</v>
      </c>
      <c r="AA86" s="119">
        <f t="shared" si="54"/>
        <v>2214121.6768547199</v>
      </c>
      <c r="AB86" s="119">
        <f t="shared" si="54"/>
        <v>2234120.4826990995</v>
      </c>
      <c r="AC86" s="119">
        <f t="shared" si="54"/>
        <v>2254125.2510462985</v>
      </c>
      <c r="AD86" s="119">
        <f t="shared" si="54"/>
        <v>2274125.9133690735</v>
      </c>
      <c r="AE86" s="119">
        <f t="shared" si="54"/>
        <v>2294124.6527518174</v>
      </c>
      <c r="AF86" s="119">
        <f t="shared" si="54"/>
        <v>2314123.5953442021</v>
      </c>
    </row>
    <row r="87" spans="1:38">
      <c r="A87" s="113" t="s">
        <v>136</v>
      </c>
      <c r="B87" s="13">
        <f>'Total Feedstock'!B85-'Total Ethanol Feedstock'!B86</f>
        <v>5900</v>
      </c>
      <c r="C87" s="13">
        <f>'Total Feedstock'!C85-'Total Ethanol Feedstock'!C86</f>
        <v>3933</v>
      </c>
      <c r="D87" s="13">
        <f>'Total Feedstock'!D85-'Total Ethanol Feedstock'!D86</f>
        <v>2304</v>
      </c>
      <c r="E87" s="13">
        <f>'Total Feedstock'!E85-'Total Ethanol Feedstock'!E86</f>
        <v>26425</v>
      </c>
      <c r="F87" s="13">
        <f>'Total Feedstock'!F85-'Total Ethanol Feedstock'!F86</f>
        <v>169376</v>
      </c>
      <c r="G87" s="119">
        <f t="shared" si="55"/>
        <v>181409.10949225997</v>
      </c>
      <c r="H87" s="119">
        <f t="shared" si="54"/>
        <v>290794.26734722342</v>
      </c>
      <c r="I87" s="119">
        <f t="shared" si="54"/>
        <v>424397.98709725286</v>
      </c>
      <c r="J87" s="119">
        <f t="shared" si="54"/>
        <v>557109.1883085497</v>
      </c>
      <c r="K87" s="119">
        <f t="shared" si="54"/>
        <v>724797.4064247451</v>
      </c>
      <c r="L87" s="119">
        <f t="shared" si="54"/>
        <v>885978.39320703107</v>
      </c>
      <c r="M87" s="119">
        <f t="shared" si="54"/>
        <v>1047386.6691074531</v>
      </c>
      <c r="N87" s="119">
        <f t="shared" si="54"/>
        <v>1218951.6314484971</v>
      </c>
      <c r="O87" s="119">
        <f t="shared" si="54"/>
        <v>1391090.8702795459</v>
      </c>
      <c r="P87" s="119">
        <f t="shared" si="54"/>
        <v>1565586.1090091569</v>
      </c>
      <c r="Q87" s="119">
        <f t="shared" si="54"/>
        <v>1742915.6103679545</v>
      </c>
      <c r="R87" s="119">
        <f t="shared" si="54"/>
        <v>1921471.2362355022</v>
      </c>
      <c r="S87" s="119">
        <f t="shared" si="54"/>
        <v>2053669.0395692885</v>
      </c>
      <c r="T87" s="119">
        <f t="shared" si="54"/>
        <v>2073740.4152463453</v>
      </c>
      <c r="U87" s="119">
        <f t="shared" si="54"/>
        <v>2093768.7029945869</v>
      </c>
      <c r="V87" s="119">
        <f t="shared" si="54"/>
        <v>2113728.2180729946</v>
      </c>
      <c r="W87" s="119">
        <f t="shared" si="54"/>
        <v>2133695.7789441422</v>
      </c>
      <c r="X87" s="119">
        <f t="shared" si="54"/>
        <v>2153720.4309654711</v>
      </c>
      <c r="Y87" s="119">
        <f t="shared" si="54"/>
        <v>2173730.7092447076</v>
      </c>
      <c r="Z87" s="119">
        <f t="shared" si="54"/>
        <v>2193728.7680443809</v>
      </c>
      <c r="AA87" s="119">
        <f t="shared" si="54"/>
        <v>2213720.7810543398</v>
      </c>
      <c r="AB87" s="119">
        <f t="shared" si="54"/>
        <v>2233719.2936506085</v>
      </c>
      <c r="AC87" s="119">
        <f t="shared" si="54"/>
        <v>2253723.9965919023</v>
      </c>
      <c r="AD87" s="119">
        <f t="shared" si="54"/>
        <v>2273724.709717189</v>
      </c>
      <c r="AE87" s="119">
        <f t="shared" si="54"/>
        <v>2293723.509811684</v>
      </c>
      <c r="AF87" s="119">
        <f t="shared" si="54"/>
        <v>2313722.458165145</v>
      </c>
    </row>
    <row r="88" spans="1:38">
      <c r="A88" s="113" t="s">
        <v>137</v>
      </c>
      <c r="B88" s="13">
        <f>'Total Feedstock'!B86-'Total Ethanol Feedstock'!B87</f>
        <v>5015</v>
      </c>
      <c r="C88" s="13">
        <f>'Total Feedstock'!C86-'Total Ethanol Feedstock'!C87</f>
        <v>3147</v>
      </c>
      <c r="D88" s="13">
        <f>'Total Feedstock'!D86-'Total Ethanol Feedstock'!D87</f>
        <v>2557</v>
      </c>
      <c r="E88" s="13">
        <f>'Total Feedstock'!E86-'Total Ethanol Feedstock'!E87</f>
        <v>54567</v>
      </c>
      <c r="F88" s="13">
        <f>'Total Feedstock'!F86-'Total Ethanol Feedstock'!F87</f>
        <v>154704</v>
      </c>
      <c r="G88" s="119">
        <f t="shared" si="55"/>
        <v>192272.39440055934</v>
      </c>
      <c r="H88" s="119">
        <f t="shared" si="54"/>
        <v>303475.49335939327</v>
      </c>
      <c r="I88" s="119">
        <f t="shared" si="54"/>
        <v>429949.24917628523</v>
      </c>
      <c r="J88" s="119">
        <f t="shared" si="54"/>
        <v>569582.38168939308</v>
      </c>
      <c r="K88" s="119">
        <f t="shared" si="54"/>
        <v>737236.50033197948</v>
      </c>
      <c r="L88" s="119">
        <f t="shared" si="54"/>
        <v>897438.02270634449</v>
      </c>
      <c r="M88" s="119">
        <f t="shared" si="54"/>
        <v>1060653.3795877495</v>
      </c>
      <c r="N88" s="119">
        <f t="shared" si="54"/>
        <v>1231901.3926791763</v>
      </c>
      <c r="O88" s="119">
        <f t="shared" si="54"/>
        <v>1403989.6357055192</v>
      </c>
      <c r="P88" s="119">
        <f t="shared" si="54"/>
        <v>1578844.7047812925</v>
      </c>
      <c r="Q88" s="119">
        <f t="shared" si="54"/>
        <v>1756159.2565695646</v>
      </c>
      <c r="R88" s="119">
        <f t="shared" si="54"/>
        <v>1934858.8441993664</v>
      </c>
      <c r="S88" s="119">
        <f t="shared" si="54"/>
        <v>2054424.750599066</v>
      </c>
      <c r="T88" s="119">
        <f t="shared" si="54"/>
        <v>2074500.8511264867</v>
      </c>
      <c r="U88" s="119">
        <f t="shared" si="54"/>
        <v>2094529.1792132463</v>
      </c>
      <c r="V88" s="119">
        <f t="shared" si="54"/>
        <v>2114480.7872524546</v>
      </c>
      <c r="W88" s="119">
        <f t="shared" si="54"/>
        <v>2134451.1955877268</v>
      </c>
      <c r="X88" s="119">
        <f t="shared" si="54"/>
        <v>2154477.3527557957</v>
      </c>
      <c r="Y88" s="119">
        <f t="shared" si="54"/>
        <v>2174487.8731871415</v>
      </c>
      <c r="Z88" s="119">
        <f t="shared" si="54"/>
        <v>2194485.2775992732</v>
      </c>
      <c r="AA88" s="119">
        <f t="shared" si="54"/>
        <v>2214476.4972764789</v>
      </c>
      <c r="AB88" s="119">
        <f t="shared" si="54"/>
        <v>2234475.6392812836</v>
      </c>
      <c r="AC88" s="119">
        <f t="shared" si="54"/>
        <v>2254480.5280199954</v>
      </c>
      <c r="AD88" s="119">
        <f t="shared" si="54"/>
        <v>2274481.1630728357</v>
      </c>
      <c r="AE88" s="119">
        <f t="shared" si="54"/>
        <v>2294479.8210499734</v>
      </c>
      <c r="AF88" s="119">
        <f t="shared" si="54"/>
        <v>2314478.7297401135</v>
      </c>
    </row>
    <row r="89" spans="1:38">
      <c r="A89" s="113" t="s">
        <v>138</v>
      </c>
      <c r="B89" s="13">
        <f>'Total Feedstock'!B87-'Total Ethanol Feedstock'!B88</f>
        <v>4589</v>
      </c>
      <c r="C89" s="13">
        <f>'Total Feedstock'!C87-'Total Ethanol Feedstock'!C88</f>
        <v>2979</v>
      </c>
      <c r="D89" s="13">
        <f>'Total Feedstock'!D87-'Total Ethanol Feedstock'!D88</f>
        <v>29338</v>
      </c>
      <c r="E89" s="13">
        <f>'Total Feedstock'!E87-'Total Ethanol Feedstock'!E88</f>
        <v>124229</v>
      </c>
      <c r="F89" s="13">
        <f>'Total Feedstock'!F87-'Total Ethanol Feedstock'!F88</f>
        <v>186030</v>
      </c>
      <c r="G89" s="119">
        <f t="shared" si="55"/>
        <v>234696.0948399819</v>
      </c>
      <c r="H89" s="119">
        <f t="shared" si="54"/>
        <v>347711.87244884606</v>
      </c>
      <c r="I89" s="119">
        <f t="shared" si="54"/>
        <v>487217.30183767929</v>
      </c>
      <c r="J89" s="119">
        <f t="shared" si="54"/>
        <v>629901.27091015829</v>
      </c>
      <c r="K89" s="119">
        <f t="shared" si="54"/>
        <v>797704.15160349268</v>
      </c>
      <c r="L89" s="119">
        <f t="shared" si="54"/>
        <v>960156.03902113799</v>
      </c>
      <c r="M89" s="119">
        <f t="shared" si="54"/>
        <v>1124105.2214673937</v>
      </c>
      <c r="N89" s="119">
        <f t="shared" si="54"/>
        <v>1296248.5562836446</v>
      </c>
      <c r="O89" s="119">
        <f t="shared" si="54"/>
        <v>1469302.1935181823</v>
      </c>
      <c r="P89" s="119">
        <f t="shared" si="54"/>
        <v>1644892.7612913349</v>
      </c>
      <c r="Q89" s="119">
        <f t="shared" si="54"/>
        <v>1822779.7118562204</v>
      </c>
      <c r="R89" s="119">
        <f t="shared" si="54"/>
        <v>2001895.5380374666</v>
      </c>
      <c r="S89" s="119">
        <f t="shared" si="54"/>
        <v>2072868.3632561045</v>
      </c>
      <c r="T89" s="119">
        <f t="shared" si="54"/>
        <v>2092952.0413495922</v>
      </c>
      <c r="U89" s="119">
        <f t="shared" si="54"/>
        <v>2112973.6594423763</v>
      </c>
      <c r="V89" s="119">
        <f t="shared" si="54"/>
        <v>2132909.3549115569</v>
      </c>
      <c r="W89" s="119">
        <f t="shared" si="54"/>
        <v>2152889.2149520856</v>
      </c>
      <c r="X89" s="119">
        <f t="shared" si="54"/>
        <v>2172918.5267823427</v>
      </c>
      <c r="Y89" s="119">
        <f t="shared" si="54"/>
        <v>2192928.5594875901</v>
      </c>
      <c r="Z89" s="119">
        <f t="shared" si="54"/>
        <v>2212923.8631151905</v>
      </c>
      <c r="AA89" s="119">
        <f t="shared" si="54"/>
        <v>2232913.9038497536</v>
      </c>
      <c r="AB89" s="119">
        <f t="shared" si="54"/>
        <v>2252914.8136373931</v>
      </c>
      <c r="AC89" s="119">
        <f t="shared" si="54"/>
        <v>2272919.9333744547</v>
      </c>
      <c r="AD89" s="119">
        <f t="shared" si="54"/>
        <v>2292920.2146928776</v>
      </c>
      <c r="AE89" s="119">
        <f t="shared" si="54"/>
        <v>2312918.5457339338</v>
      </c>
      <c r="AF89" s="119">
        <f t="shared" si="54"/>
        <v>2332917.4822576828</v>
      </c>
    </row>
    <row r="90" spans="1:38">
      <c r="A90" s="113" t="s">
        <v>139</v>
      </c>
      <c r="B90" s="13">
        <f>'Total Feedstock'!B88-'Total Ethanol Feedstock'!B89</f>
        <v>4991</v>
      </c>
      <c r="C90" s="13">
        <f>'Total Feedstock'!C88-'Total Ethanol Feedstock'!C89</f>
        <v>2673</v>
      </c>
      <c r="D90" s="13">
        <f>'Total Feedstock'!D88-'Total Ethanol Feedstock'!D89</f>
        <v>29086</v>
      </c>
      <c r="E90" s="13">
        <f>'Total Feedstock'!E88-'Total Ethanol Feedstock'!E89</f>
        <v>192840</v>
      </c>
      <c r="F90" s="13">
        <f>'Total Feedstock'!F88-'Total Ethanol Feedstock'!F89</f>
        <v>197365</v>
      </c>
      <c r="G90" s="119">
        <f t="shared" ref="G90:AF91" si="56">G89+G26-G42-G122</f>
        <v>256356.53385934583</v>
      </c>
      <c r="H90" s="119">
        <f t="shared" si="56"/>
        <v>376373.77171058406</v>
      </c>
      <c r="I90" s="119">
        <f t="shared" si="56"/>
        <v>514173.01763863035</v>
      </c>
      <c r="J90" s="119">
        <f t="shared" si="56"/>
        <v>661870.23574165942</v>
      </c>
      <c r="K90" s="119">
        <f t="shared" si="56"/>
        <v>833470.76579578733</v>
      </c>
      <c r="L90" s="119">
        <f t="shared" si="56"/>
        <v>992824.23725772661</v>
      </c>
      <c r="M90" s="119">
        <f t="shared" si="56"/>
        <v>1157442.6193927974</v>
      </c>
      <c r="N90" s="119">
        <f t="shared" si="56"/>
        <v>1329872.9027358</v>
      </c>
      <c r="O90" s="119">
        <f t="shared" si="56"/>
        <v>1503283.0012435208</v>
      </c>
      <c r="P90" s="119">
        <f t="shared" si="56"/>
        <v>1679595.1298206311</v>
      </c>
      <c r="Q90" s="119">
        <f t="shared" si="56"/>
        <v>1857550.9605696283</v>
      </c>
      <c r="R90" s="119">
        <f t="shared" si="56"/>
        <v>2036947.0165271664</v>
      </c>
      <c r="S90" s="119">
        <f t="shared" si="56"/>
        <v>2088367.5802698152</v>
      </c>
      <c r="T90" s="119">
        <f t="shared" si="56"/>
        <v>2108478.0331430039</v>
      </c>
      <c r="U90" s="119">
        <f t="shared" si="56"/>
        <v>2128493.1068881778</v>
      </c>
      <c r="V90" s="119">
        <f t="shared" si="56"/>
        <v>2148382.3640931197</v>
      </c>
      <c r="W90" s="119">
        <f t="shared" si="56"/>
        <v>2168382.1202286971</v>
      </c>
      <c r="X90" s="119">
        <f t="shared" si="56"/>
        <v>2188420.6409245622</v>
      </c>
      <c r="Y90" s="119">
        <f t="shared" si="56"/>
        <v>2208431.2530555115</v>
      </c>
      <c r="Z90" s="119">
        <f t="shared" si="56"/>
        <v>2228421.8970380141</v>
      </c>
      <c r="AA90" s="119">
        <f t="shared" si="56"/>
        <v>2248407.6550679812</v>
      </c>
      <c r="AB90" s="119">
        <f t="shared" si="56"/>
        <v>2268412.7132629538</v>
      </c>
      <c r="AC90" s="119">
        <f t="shared" si="56"/>
        <v>2288418.8318698052</v>
      </c>
      <c r="AD90" s="119">
        <f t="shared" si="56"/>
        <v>2308418.4700588542</v>
      </c>
      <c r="AE90" s="119">
        <f t="shared" si="56"/>
        <v>2328415.9134595217</v>
      </c>
      <c r="AF90" s="119">
        <f t="shared" si="56"/>
        <v>2348414.7167438236</v>
      </c>
    </row>
    <row r="91" spans="1:38" ht="12" thickBot="1">
      <c r="A91" s="113" t="s">
        <v>140</v>
      </c>
      <c r="B91" s="13">
        <f>'Total Feedstock'!B89-'Total Ethanol Feedstock'!B90</f>
        <v>5078</v>
      </c>
      <c r="C91" s="13">
        <f>'Total Feedstock'!C89-'Total Ethanol Feedstock'!C90</f>
        <v>2606</v>
      </c>
      <c r="D91" s="13">
        <f>'Total Feedstock'!D89-'Total Ethanol Feedstock'!D90</f>
        <v>29227</v>
      </c>
      <c r="E91" s="13">
        <f>'Total Feedstock'!E89-'Total Ethanol Feedstock'!E90</f>
        <v>158521</v>
      </c>
      <c r="F91" s="13">
        <f>'Total Feedstock'!F89-'Total Ethanol Feedstock'!F90</f>
        <v>161762</v>
      </c>
      <c r="G91" s="119">
        <f t="shared" si="56"/>
        <v>259664.62700647206</v>
      </c>
      <c r="H91" s="119">
        <f t="shared" si="56"/>
        <v>374885.47053974622</v>
      </c>
      <c r="I91" s="119">
        <f t="shared" si="56"/>
        <v>519061.11753249331</v>
      </c>
      <c r="J91" s="119">
        <f t="shared" si="56"/>
        <v>677073.13339359709</v>
      </c>
      <c r="K91" s="119">
        <f t="shared" si="56"/>
        <v>834907.42245804076</v>
      </c>
      <c r="L91" s="119">
        <f t="shared" si="56"/>
        <v>1000592.3958906666</v>
      </c>
      <c r="M91" s="119">
        <f t="shared" si="56"/>
        <v>1169184.5847605581</v>
      </c>
      <c r="N91" s="119">
        <f t="shared" si="56"/>
        <v>1340427.5138283377</v>
      </c>
      <c r="O91" s="119">
        <f t="shared" si="56"/>
        <v>1514193.5897312129</v>
      </c>
      <c r="P91" s="119">
        <f t="shared" si="56"/>
        <v>1690440.3343091535</v>
      </c>
      <c r="Q91" s="119">
        <f t="shared" si="56"/>
        <v>1869148.3457776934</v>
      </c>
      <c r="R91" s="119">
        <f t="shared" si="56"/>
        <v>2049093.5350761006</v>
      </c>
      <c r="S91" s="119">
        <f t="shared" si="56"/>
        <v>2069093.5350761006</v>
      </c>
      <c r="T91" s="119">
        <f t="shared" si="56"/>
        <v>2089093.5350761008</v>
      </c>
      <c r="U91" s="119">
        <f t="shared" si="56"/>
        <v>2109093.5350761013</v>
      </c>
      <c r="V91" s="119">
        <f t="shared" si="56"/>
        <v>2129093.5350761008</v>
      </c>
      <c r="W91" s="119">
        <f t="shared" si="56"/>
        <v>2149093.5350761004</v>
      </c>
      <c r="X91" s="119">
        <f t="shared" si="56"/>
        <v>2169093.5350761004</v>
      </c>
      <c r="Y91" s="119">
        <f t="shared" si="56"/>
        <v>2189093.5350761004</v>
      </c>
      <c r="Z91" s="119">
        <f t="shared" si="56"/>
        <v>2209093.5350761013</v>
      </c>
      <c r="AA91" s="119">
        <f t="shared" si="56"/>
        <v>2229093.5350761008</v>
      </c>
      <c r="AB91" s="119">
        <f t="shared" si="56"/>
        <v>2249093.5350761013</v>
      </c>
      <c r="AC91" s="119">
        <f t="shared" si="56"/>
        <v>2269093.5350761013</v>
      </c>
      <c r="AD91" s="119">
        <f t="shared" si="56"/>
        <v>2289093.5350761018</v>
      </c>
      <c r="AE91" s="119">
        <f t="shared" si="56"/>
        <v>2309093.5350761013</v>
      </c>
      <c r="AF91" s="119">
        <f t="shared" si="56"/>
        <v>2329093.5350761018</v>
      </c>
    </row>
    <row r="92" spans="1:38">
      <c r="A92" s="199"/>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c r="AA92" s="199"/>
      <c r="AB92" s="199"/>
      <c r="AC92" s="199"/>
      <c r="AD92" s="199"/>
      <c r="AE92" s="199"/>
      <c r="AF92" s="199"/>
    </row>
    <row r="94" spans="1:38" ht="12" thickBot="1">
      <c r="A94" s="138" t="s">
        <v>272</v>
      </c>
    </row>
    <row r="95" spans="1:38" ht="12" thickBot="1">
      <c r="A95" s="176"/>
      <c r="B95" s="177">
        <f>B3</f>
        <v>2020</v>
      </c>
      <c r="C95" s="177">
        <f t="shared" ref="C95:AF95" si="57">C3</f>
        <v>2021</v>
      </c>
      <c r="D95" s="177">
        <f t="shared" si="57"/>
        <v>2022</v>
      </c>
      <c r="E95" s="177">
        <f t="shared" si="57"/>
        <v>2023</v>
      </c>
      <c r="F95" s="177">
        <f t="shared" si="57"/>
        <v>2024</v>
      </c>
      <c r="G95" s="177">
        <f t="shared" si="57"/>
        <v>2025</v>
      </c>
      <c r="H95" s="177">
        <f t="shared" si="57"/>
        <v>2026</v>
      </c>
      <c r="I95" s="177">
        <f t="shared" si="57"/>
        <v>2027</v>
      </c>
      <c r="J95" s="177">
        <f t="shared" si="57"/>
        <v>2028</v>
      </c>
      <c r="K95" s="177">
        <f t="shared" si="57"/>
        <v>2029</v>
      </c>
      <c r="L95" s="177">
        <f t="shared" si="57"/>
        <v>2030</v>
      </c>
      <c r="M95" s="177">
        <f t="shared" si="57"/>
        <v>2031</v>
      </c>
      <c r="N95" s="177">
        <f t="shared" si="57"/>
        <v>2032</v>
      </c>
      <c r="O95" s="177">
        <f t="shared" si="57"/>
        <v>2033</v>
      </c>
      <c r="P95" s="177">
        <f t="shared" si="57"/>
        <v>2034</v>
      </c>
      <c r="Q95" s="177">
        <f t="shared" si="57"/>
        <v>2035</v>
      </c>
      <c r="R95" s="177">
        <f t="shared" si="57"/>
        <v>2036</v>
      </c>
      <c r="S95" s="177">
        <f t="shared" si="57"/>
        <v>2037</v>
      </c>
      <c r="T95" s="177">
        <f t="shared" si="57"/>
        <v>2038</v>
      </c>
      <c r="U95" s="177">
        <f t="shared" si="57"/>
        <v>2039</v>
      </c>
      <c r="V95" s="177">
        <f t="shared" si="57"/>
        <v>2040</v>
      </c>
      <c r="W95" s="177">
        <f t="shared" si="57"/>
        <v>2041</v>
      </c>
      <c r="X95" s="177">
        <f t="shared" si="57"/>
        <v>2042</v>
      </c>
      <c r="Y95" s="177">
        <f t="shared" si="57"/>
        <v>2043</v>
      </c>
      <c r="Z95" s="177">
        <f t="shared" si="57"/>
        <v>2044</v>
      </c>
      <c r="AA95" s="177">
        <f t="shared" si="57"/>
        <v>2045</v>
      </c>
      <c r="AB95" s="177">
        <f t="shared" si="57"/>
        <v>2046</v>
      </c>
      <c r="AC95" s="177">
        <f t="shared" si="57"/>
        <v>2047</v>
      </c>
      <c r="AD95" s="177">
        <f t="shared" si="57"/>
        <v>2048</v>
      </c>
      <c r="AE95" s="177">
        <f t="shared" si="57"/>
        <v>2049</v>
      </c>
      <c r="AF95" s="177">
        <f t="shared" si="57"/>
        <v>2050</v>
      </c>
      <c r="AG95" s="248"/>
      <c r="AJ95" s="113" t="s">
        <v>273</v>
      </c>
      <c r="AK95" s="113" t="s">
        <v>274</v>
      </c>
      <c r="AL95" s="113" t="s">
        <v>275</v>
      </c>
    </row>
    <row r="96" spans="1:38">
      <c r="A96" s="113" t="s">
        <v>129</v>
      </c>
      <c r="B96" s="252">
        <f>(B32*2204.622)/('Renewable Fuel Ex Ethanol'!I22*'Renewable Fuel Ex Ethanol'!$I$122*'Renewable Fuel Ex Ethanol'!$I$124)</f>
        <v>7.951396882327141</v>
      </c>
      <c r="C96" s="252">
        <f>(C32*2204.622)/('Renewable Fuel Ex Ethanol'!J22*'Renewable Fuel Ex Ethanol'!$I$122*'Renewable Fuel Ex Ethanol'!$I$124)</f>
        <v>8.6328037555691957</v>
      </c>
      <c r="D96" s="252">
        <f>(D32*2204.622)/('Renewable Fuel Ex Ethanol'!K22*'Renewable Fuel Ex Ethanol'!$I$122*'Renewable Fuel Ex Ethanol'!$I$124)</f>
        <v>7.832643146085406</v>
      </c>
      <c r="E96" s="252">
        <f>(E32*2204.622)/('Renewable Fuel Ex Ethanol'!L22*'Renewable Fuel Ex Ethanol'!$I$122*'Renewable Fuel Ex Ethanol'!$I$124)</f>
        <v>8.1947459833150802</v>
      </c>
      <c r="F96" s="252">
        <f>(F32*2204.622)/('Renewable Fuel Ex Ethanol'!M22*'Renewable Fuel Ex Ethanol'!$I$122*'Renewable Fuel Ex Ethanol'!$I$124)</f>
        <v>9.3307404987695133</v>
      </c>
      <c r="G96" s="252">
        <f>(G32*2204.622)/('Renewable Fuel Ex Ethanol'!N22*'Renewable Fuel Ex Ethanol'!$I$122*'Renewable Fuel Ex Ethanol'!$I$124)</f>
        <v>8.5911051923806987</v>
      </c>
      <c r="H96" s="253">
        <f>(H32*2204.622)/('Renewable Fuel Ex Ethanol'!O22*'Renewable Fuel Ex Ethanol'!$I$122*'Renewable Fuel Ex Ethanol'!$I$124)</f>
        <v>8.0901242687438089</v>
      </c>
      <c r="I96" s="253">
        <f>(I32*2204.622)/('Renewable Fuel Ex Ethanol'!P22*'Renewable Fuel Ex Ethanol'!$I$122*'Renewable Fuel Ex Ethanol'!$I$124)</f>
        <v>8.242104049382009</v>
      </c>
      <c r="J96" s="253">
        <f>(J32*2204.622)/('Renewable Fuel Ex Ethanol'!Q22*'Renewable Fuel Ex Ethanol'!$I$122*'Renewable Fuel Ex Ethanol'!$I$124)</f>
        <v>8.2471132854549314</v>
      </c>
      <c r="K96" s="253">
        <f>(K32*2204.622)/('Renewable Fuel Ex Ethanol'!R22*'Renewable Fuel Ex Ethanol'!$I$122*'Renewable Fuel Ex Ethanol'!$I$124)</f>
        <v>8.2690110285087641</v>
      </c>
      <c r="L96" s="253">
        <f>(L32*2204.622)/('Renewable Fuel Ex Ethanol'!S22*'Renewable Fuel Ex Ethanol'!$I$122*'Renewable Fuel Ex Ethanol'!$I$124)</f>
        <v>8.4294385647755039</v>
      </c>
      <c r="M96" s="253">
        <f>(M32*2204.622)/('Renewable Fuel Ex Ethanol'!T22*'Renewable Fuel Ex Ethanol'!$I$122*'Renewable Fuel Ex Ethanol'!$I$124)</f>
        <v>8.4247693108083119</v>
      </c>
      <c r="N96" s="253">
        <f>(N32*2204.622)/('Renewable Fuel Ex Ethanol'!U22*'Renewable Fuel Ex Ethanol'!$I$122*'Renewable Fuel Ex Ethanol'!$I$124)</f>
        <v>8.3639101182312725</v>
      </c>
      <c r="O96" s="253">
        <f>(O32*2204.622)/('Renewable Fuel Ex Ethanol'!V22*'Renewable Fuel Ex Ethanol'!$I$122*'Renewable Fuel Ex Ethanol'!$I$124)</f>
        <v>8.3416615856034788</v>
      </c>
      <c r="P96" s="253">
        <f>(P32*2204.622)/('Renewable Fuel Ex Ethanol'!W22*'Renewable Fuel Ex Ethanol'!$I$122*'Renewable Fuel Ex Ethanol'!$I$124)</f>
        <v>8.324472303050042</v>
      </c>
      <c r="Q96" s="253">
        <f>(Q32*2204.622)/('Renewable Fuel Ex Ethanol'!X22*'Renewable Fuel Ex Ethanol'!$I$122*'Renewable Fuel Ex Ethanol'!$I$124)</f>
        <v>8.3151107861239453</v>
      </c>
      <c r="R96" s="253">
        <f>(R32*2204.622)/('Renewable Fuel Ex Ethanol'!Y22*'Renewable Fuel Ex Ethanol'!$I$122*'Renewable Fuel Ex Ethanol'!$I$124)</f>
        <v>8.3377071436691406</v>
      </c>
      <c r="S96" s="253">
        <f>(S32*2204.622)/('Renewable Fuel Ex Ethanol'!Z22*'Renewable Fuel Ex Ethanol'!$I$122*'Renewable Fuel Ex Ethanol'!$I$124)</f>
        <v>0</v>
      </c>
      <c r="T96" s="253">
        <f>(T32*2204.622)/('Renewable Fuel Ex Ethanol'!AA22*'Renewable Fuel Ex Ethanol'!$I$122*'Renewable Fuel Ex Ethanol'!$I$124)</f>
        <v>0</v>
      </c>
      <c r="U96" s="253">
        <f>(U32*2204.622)/('Renewable Fuel Ex Ethanol'!AB22*'Renewable Fuel Ex Ethanol'!$I$122*'Renewable Fuel Ex Ethanol'!$I$124)</f>
        <v>0</v>
      </c>
      <c r="V96" s="253">
        <f>(V32*2204.622)/('Renewable Fuel Ex Ethanol'!AC22*'Renewable Fuel Ex Ethanol'!$I$122*'Renewable Fuel Ex Ethanol'!$I$124)</f>
        <v>0</v>
      </c>
      <c r="W96" s="253">
        <f>(W32*2204.622)/('Renewable Fuel Ex Ethanol'!AD22*'Renewable Fuel Ex Ethanol'!$I$122*'Renewable Fuel Ex Ethanol'!$I$124)</f>
        <v>0</v>
      </c>
      <c r="X96" s="253">
        <f>(X32*2204.622)/('Renewable Fuel Ex Ethanol'!AE22*'Renewable Fuel Ex Ethanol'!$I$122*'Renewable Fuel Ex Ethanol'!$I$124)</f>
        <v>0</v>
      </c>
      <c r="Y96" s="253">
        <f>(Y32*2204.622)/('Renewable Fuel Ex Ethanol'!AF22*'Renewable Fuel Ex Ethanol'!$I$122*'Renewable Fuel Ex Ethanol'!$I$124)</f>
        <v>0</v>
      </c>
      <c r="Z96" s="253">
        <f>(Z32*2204.622)/('Renewable Fuel Ex Ethanol'!AG22*'Renewable Fuel Ex Ethanol'!$I$122*'Renewable Fuel Ex Ethanol'!$I$124)</f>
        <v>0</v>
      </c>
      <c r="AA96" s="253">
        <f>(AA32*2204.622)/('Renewable Fuel Ex Ethanol'!AH22*'Renewable Fuel Ex Ethanol'!$I$122*'Renewable Fuel Ex Ethanol'!$I$124)</f>
        <v>0</v>
      </c>
      <c r="AB96" s="253">
        <f>(AB32*2204.622)/('Renewable Fuel Ex Ethanol'!AI22*'Renewable Fuel Ex Ethanol'!$I$122*'Renewable Fuel Ex Ethanol'!$I$124)</f>
        <v>0</v>
      </c>
      <c r="AC96" s="253">
        <f>(AC32*2204.622)/('Renewable Fuel Ex Ethanol'!AJ22*'Renewable Fuel Ex Ethanol'!$I$122*'Renewable Fuel Ex Ethanol'!$I$124)</f>
        <v>0</v>
      </c>
      <c r="AD96" s="253">
        <f>(AD32*2204.622)/('Renewable Fuel Ex Ethanol'!AK22*'Renewable Fuel Ex Ethanol'!$I$122*'Renewable Fuel Ex Ethanol'!$I$124)</f>
        <v>0</v>
      </c>
      <c r="AE96" s="253">
        <f>(AE32*2204.622)/('Renewable Fuel Ex Ethanol'!AL22*'Renewable Fuel Ex Ethanol'!$I$122*'Renewable Fuel Ex Ethanol'!$I$124)</f>
        <v>0</v>
      </c>
      <c r="AF96" s="253">
        <f>(AF32*2204.622)/('Renewable Fuel Ex Ethanol'!AM22*'Renewable Fuel Ex Ethanol'!$I$122*'Renewable Fuel Ex Ethanol'!$I$124)</f>
        <v>0</v>
      </c>
      <c r="AG96" s="254"/>
      <c r="AI96" s="113" t="s">
        <v>276</v>
      </c>
      <c r="AJ96" s="252">
        <f>AVERAGE(B96:D96)</f>
        <v>8.1389479279939145</v>
      </c>
      <c r="AK96" s="252">
        <f>MIN(B96:D96)</f>
        <v>7.832643146085406</v>
      </c>
      <c r="AL96" s="252">
        <f>MAX(B96:D96)</f>
        <v>8.6328037555691957</v>
      </c>
    </row>
    <row r="97" spans="1:38">
      <c r="A97" s="113" t="s">
        <v>130</v>
      </c>
      <c r="B97" s="252">
        <f>(B33*2204.622)/('Renewable Fuel Ex Ethanol'!I23*'Renewable Fuel Ex Ethanol'!$I$122*'Renewable Fuel Ex Ethanol'!$I$124)</f>
        <v>8.0640975607506107</v>
      </c>
      <c r="C97" s="252">
        <f>(C33*2204.622)/('Renewable Fuel Ex Ethanol'!J23*'Renewable Fuel Ex Ethanol'!$I$122*'Renewable Fuel Ex Ethanol'!$I$124)</f>
        <v>8.3149133866662517</v>
      </c>
      <c r="D97" s="252">
        <f>(D33*2204.622)/('Renewable Fuel Ex Ethanol'!K23*'Renewable Fuel Ex Ethanol'!$I$122*'Renewable Fuel Ex Ethanol'!$I$124)</f>
        <v>8.2799387847071078</v>
      </c>
      <c r="E97" s="252">
        <f>(E33*2204.622)/('Renewable Fuel Ex Ethanol'!L23*'Renewable Fuel Ex Ethanol'!$I$122*'Renewable Fuel Ex Ethanol'!$I$124)</f>
        <v>8.1959387704782536</v>
      </c>
      <c r="F97" s="252">
        <f>(F33*2204.622)/('Renewable Fuel Ex Ethanol'!M23*'Renewable Fuel Ex Ethanol'!$I$122*'Renewable Fuel Ex Ethanol'!$I$124)</f>
        <v>8.3573061405508877</v>
      </c>
      <c r="G97" s="252">
        <f>(G33*2204.622)/('Renewable Fuel Ex Ethanol'!N23*'Renewable Fuel Ex Ethanol'!$I$122*'Renewable Fuel Ex Ethanol'!$I$124)</f>
        <v>8.1789022890305159</v>
      </c>
      <c r="H97" s="253">
        <f>(H33*2204.622)/('Renewable Fuel Ex Ethanol'!O23*'Renewable Fuel Ex Ethanol'!$I$122*'Renewable Fuel Ex Ethanol'!$I$124)</f>
        <v>8.4162542150250346</v>
      </c>
      <c r="I97" s="253">
        <f>(I33*2204.622)/('Renewable Fuel Ex Ethanol'!P23*'Renewable Fuel Ex Ethanol'!$I$122*'Renewable Fuel Ex Ethanol'!$I$124)</f>
        <v>8.3779773127074204</v>
      </c>
      <c r="J97" s="253">
        <f>(J33*2204.622)/('Renewable Fuel Ex Ethanol'!Q23*'Renewable Fuel Ex Ethanol'!$I$122*'Renewable Fuel Ex Ethanol'!$I$124)</f>
        <v>8.3564831106582105</v>
      </c>
      <c r="K97" s="253">
        <f>(K33*2204.622)/('Renewable Fuel Ex Ethanol'!R23*'Renewable Fuel Ex Ethanol'!$I$122*'Renewable Fuel Ex Ethanol'!$I$124)</f>
        <v>8.336123277580155</v>
      </c>
      <c r="L97" s="253">
        <f>(L33*2204.622)/('Renewable Fuel Ex Ethanol'!S23*'Renewable Fuel Ex Ethanol'!$I$122*'Renewable Fuel Ex Ethanol'!$I$124)</f>
        <v>8.3412191665643203</v>
      </c>
      <c r="M97" s="253">
        <f>(M33*2204.622)/('Renewable Fuel Ex Ethanol'!T23*'Renewable Fuel Ex Ethanol'!$I$122*'Renewable Fuel Ex Ethanol'!$I$124)</f>
        <v>8.3285153362589437</v>
      </c>
      <c r="N97" s="253">
        <f>(N33*2204.622)/('Renewable Fuel Ex Ethanol'!U23*'Renewable Fuel Ex Ethanol'!$I$122*'Renewable Fuel Ex Ethanol'!$I$124)</f>
        <v>8.343673540982433</v>
      </c>
      <c r="O97" s="253">
        <f>(O33*2204.622)/('Renewable Fuel Ex Ethanol'!V23*'Renewable Fuel Ex Ethanol'!$I$122*'Renewable Fuel Ex Ethanol'!$I$124)</f>
        <v>8.3498390610717284</v>
      </c>
      <c r="P97" s="253">
        <f>(P33*2204.622)/('Renewable Fuel Ex Ethanol'!W23*'Renewable Fuel Ex Ethanol'!$I$122*'Renewable Fuel Ex Ethanol'!$I$124)</f>
        <v>8.3507984548677889</v>
      </c>
      <c r="Q97" s="253">
        <f>(Q33*2204.622)/('Renewable Fuel Ex Ethanol'!X23*'Renewable Fuel Ex Ethanol'!$I$122*'Renewable Fuel Ex Ethanol'!$I$124)</f>
        <v>8.3478412041403569</v>
      </c>
      <c r="R97" s="253">
        <f>(R33*2204.622)/('Renewable Fuel Ex Ethanol'!Y23*'Renewable Fuel Ex Ethanol'!$I$122*'Renewable Fuel Ex Ethanol'!$I$124)</f>
        <v>8.3464995861707223</v>
      </c>
      <c r="S97" s="253">
        <f>(S33*2204.622)/('Renewable Fuel Ex Ethanol'!Z23*'Renewable Fuel Ex Ethanol'!$I$122*'Renewable Fuel Ex Ethanol'!$I$124)</f>
        <v>0</v>
      </c>
      <c r="T97" s="253">
        <f>(T33*2204.622)/('Renewable Fuel Ex Ethanol'!AA23*'Renewable Fuel Ex Ethanol'!$I$122*'Renewable Fuel Ex Ethanol'!$I$124)</f>
        <v>0</v>
      </c>
      <c r="U97" s="253">
        <f>(U33*2204.622)/('Renewable Fuel Ex Ethanol'!AB23*'Renewable Fuel Ex Ethanol'!$I$122*'Renewable Fuel Ex Ethanol'!$I$124)</f>
        <v>0</v>
      </c>
      <c r="V97" s="253">
        <f>(V33*2204.622)/('Renewable Fuel Ex Ethanol'!AC23*'Renewable Fuel Ex Ethanol'!$I$122*'Renewable Fuel Ex Ethanol'!$I$124)</f>
        <v>0</v>
      </c>
      <c r="W97" s="253">
        <f>(W33*2204.622)/('Renewable Fuel Ex Ethanol'!AD23*'Renewable Fuel Ex Ethanol'!$I$122*'Renewable Fuel Ex Ethanol'!$I$124)</f>
        <v>0</v>
      </c>
      <c r="X97" s="253">
        <f>(X33*2204.622)/('Renewable Fuel Ex Ethanol'!AE23*'Renewable Fuel Ex Ethanol'!$I$122*'Renewable Fuel Ex Ethanol'!$I$124)</f>
        <v>0</v>
      </c>
      <c r="Y97" s="253">
        <f>(Y33*2204.622)/('Renewable Fuel Ex Ethanol'!AF23*'Renewable Fuel Ex Ethanol'!$I$122*'Renewable Fuel Ex Ethanol'!$I$124)</f>
        <v>0</v>
      </c>
      <c r="Z97" s="253">
        <f>(Z33*2204.622)/('Renewable Fuel Ex Ethanol'!AG23*'Renewable Fuel Ex Ethanol'!$I$122*'Renewable Fuel Ex Ethanol'!$I$124)</f>
        <v>0</v>
      </c>
      <c r="AA97" s="253">
        <f>(AA33*2204.622)/('Renewable Fuel Ex Ethanol'!AH23*'Renewable Fuel Ex Ethanol'!$I$122*'Renewable Fuel Ex Ethanol'!$I$124)</f>
        <v>0</v>
      </c>
      <c r="AB97" s="253">
        <f>(AB33*2204.622)/('Renewable Fuel Ex Ethanol'!AI23*'Renewable Fuel Ex Ethanol'!$I$122*'Renewable Fuel Ex Ethanol'!$I$124)</f>
        <v>0</v>
      </c>
      <c r="AC97" s="253">
        <f>(AC33*2204.622)/('Renewable Fuel Ex Ethanol'!AJ23*'Renewable Fuel Ex Ethanol'!$I$122*'Renewable Fuel Ex Ethanol'!$I$124)</f>
        <v>0</v>
      </c>
      <c r="AD97" s="253">
        <f>(AD33*2204.622)/('Renewable Fuel Ex Ethanol'!AK23*'Renewable Fuel Ex Ethanol'!$I$122*'Renewable Fuel Ex Ethanol'!$I$124)</f>
        <v>0</v>
      </c>
      <c r="AE97" s="253">
        <f>(AE33*2204.622)/('Renewable Fuel Ex Ethanol'!AL23*'Renewable Fuel Ex Ethanol'!$I$122*'Renewable Fuel Ex Ethanol'!$I$124)</f>
        <v>0</v>
      </c>
      <c r="AF97" s="253">
        <f>(AF33*2204.622)/('Renewable Fuel Ex Ethanol'!AM23*'Renewable Fuel Ex Ethanol'!$I$122*'Renewable Fuel Ex Ethanol'!$I$124)</f>
        <v>0</v>
      </c>
      <c r="AG97" s="254"/>
      <c r="AI97" s="113" t="s">
        <v>277</v>
      </c>
      <c r="AJ97" s="252">
        <f t="shared" ref="AJ97:AJ108" si="58">AVERAGE(B97:D97)</f>
        <v>8.2196499107079912</v>
      </c>
      <c r="AK97" s="252">
        <f t="shared" ref="AK97:AK108" si="59">MIN(B97:D97)</f>
        <v>8.0640975607506107</v>
      </c>
      <c r="AL97" s="252">
        <f t="shared" ref="AL97:AL108" si="60">MAX(B97:D97)</f>
        <v>8.3149133866662517</v>
      </c>
    </row>
    <row r="98" spans="1:38">
      <c r="A98" s="113" t="s">
        <v>131</v>
      </c>
      <c r="B98" s="252">
        <f>(B34*2204.622)/('Renewable Fuel Ex Ethanol'!I24*'Renewable Fuel Ex Ethanol'!$I$122*'Renewable Fuel Ex Ethanol'!$I$124)</f>
        <v>7.9223346108205543</v>
      </c>
      <c r="C98" s="252">
        <f>(C34*2204.622)/('Renewable Fuel Ex Ethanol'!J24*'Renewable Fuel Ex Ethanol'!$I$122*'Renewable Fuel Ex Ethanol'!$I$124)</f>
        <v>8.1581354240197737</v>
      </c>
      <c r="D98" s="252">
        <f>(D34*2204.622)/('Renewable Fuel Ex Ethanol'!K24*'Renewable Fuel Ex Ethanol'!$I$122*'Renewable Fuel Ex Ethanol'!$I$124)</f>
        <v>7.975072693267558</v>
      </c>
      <c r="E98" s="252">
        <f>(E34*2204.622)/('Renewable Fuel Ex Ethanol'!L24*'Renewable Fuel Ex Ethanol'!$I$122*'Renewable Fuel Ex Ethanol'!$I$124)</f>
        <v>7.9882582861722442</v>
      </c>
      <c r="F98" s="252">
        <f>(F34*2204.622)/('Renewable Fuel Ex Ethanol'!M24*'Renewable Fuel Ex Ethanol'!$I$122*'Renewable Fuel Ex Ethanol'!$I$124)</f>
        <v>8.3639419078764057</v>
      </c>
      <c r="G98" s="253">
        <f>(G34*2204.622)/('Renewable Fuel Ex Ethanol'!N24*'Renewable Fuel Ex Ethanol'!$I$122*'Renewable Fuel Ex Ethanol'!$I$124)</f>
        <v>8.5254328062480731</v>
      </c>
      <c r="H98" s="253">
        <f>(H34*2204.622)/('Renewable Fuel Ex Ethanol'!O24*'Renewable Fuel Ex Ethanol'!$I$122*'Renewable Fuel Ex Ethanol'!$I$124)</f>
        <v>8.3854228332350029</v>
      </c>
      <c r="I98" s="253">
        <f>(I34*2204.622)/('Renewable Fuel Ex Ethanol'!P24*'Renewable Fuel Ex Ethanol'!$I$122*'Renewable Fuel Ex Ethanol'!$I$124)</f>
        <v>8.3473530305416972</v>
      </c>
      <c r="J98" s="253">
        <f>(J34*2204.622)/('Renewable Fuel Ex Ethanol'!Q24*'Renewable Fuel Ex Ethanol'!$I$122*'Renewable Fuel Ex Ethanol'!$I$124)</f>
        <v>8.3274542253384247</v>
      </c>
      <c r="K98" s="253">
        <f>(K34*2204.622)/('Renewable Fuel Ex Ethanol'!R24*'Renewable Fuel Ex Ethanol'!$I$122*'Renewable Fuel Ex Ethanol'!$I$124)</f>
        <v>8.3138517935728586</v>
      </c>
      <c r="L98" s="253">
        <f>(L34*2204.622)/('Renewable Fuel Ex Ethanol'!S24*'Renewable Fuel Ex Ethanol'!$I$122*'Renewable Fuel Ex Ethanol'!$I$124)</f>
        <v>8.3272517052227251</v>
      </c>
      <c r="M98" s="253">
        <f>(M34*2204.622)/('Renewable Fuel Ex Ethanol'!T24*'Renewable Fuel Ex Ethanol'!$I$122*'Renewable Fuel Ex Ethanol'!$I$124)</f>
        <v>8.3538810831167023</v>
      </c>
      <c r="N98" s="253">
        <f>(N34*2204.622)/('Renewable Fuel Ex Ethanol'!U24*'Renewable Fuel Ex Ethanol'!$I$122*'Renewable Fuel Ex Ethanol'!$I$124)</f>
        <v>8.3568870962510076</v>
      </c>
      <c r="O98" s="253">
        <f>(O34*2204.622)/('Renewable Fuel Ex Ethanol'!V24*'Renewable Fuel Ex Ethanol'!$I$122*'Renewable Fuel Ex Ethanol'!$I$124)</f>
        <v>8.3544085293530213</v>
      </c>
      <c r="P98" s="253">
        <f>(P34*2204.622)/('Renewable Fuel Ex Ethanol'!W24*'Renewable Fuel Ex Ethanol'!$I$122*'Renewable Fuel Ex Ethanol'!$I$124)</f>
        <v>8.3489856225569721</v>
      </c>
      <c r="Q98" s="253">
        <f>(Q34*2204.622)/('Renewable Fuel Ex Ethanol'!X24*'Renewable Fuel Ex Ethanol'!$I$122*'Renewable Fuel Ex Ethanol'!$I$124)</f>
        <v>8.3423771293884563</v>
      </c>
      <c r="R98" s="253">
        <f>(R34*2204.622)/('Renewable Fuel Ex Ethanol'!Y24*'Renewable Fuel Ex Ethanol'!$I$122*'Renewable Fuel Ex Ethanol'!$I$124)</f>
        <v>8.3396005820708314</v>
      </c>
      <c r="S98" s="253">
        <f>(S34*2204.622)/('Renewable Fuel Ex Ethanol'!Z24*'Renewable Fuel Ex Ethanol'!$I$122*'Renewable Fuel Ex Ethanol'!$I$124)</f>
        <v>0</v>
      </c>
      <c r="T98" s="253">
        <f>(T34*2204.622)/('Renewable Fuel Ex Ethanol'!AA24*'Renewable Fuel Ex Ethanol'!$I$122*'Renewable Fuel Ex Ethanol'!$I$124)</f>
        <v>0</v>
      </c>
      <c r="U98" s="253">
        <f>(U34*2204.622)/('Renewable Fuel Ex Ethanol'!AB24*'Renewable Fuel Ex Ethanol'!$I$122*'Renewable Fuel Ex Ethanol'!$I$124)</f>
        <v>0</v>
      </c>
      <c r="V98" s="253">
        <f>(V34*2204.622)/('Renewable Fuel Ex Ethanol'!AC24*'Renewable Fuel Ex Ethanol'!$I$122*'Renewable Fuel Ex Ethanol'!$I$124)</f>
        <v>0</v>
      </c>
      <c r="W98" s="253">
        <f>(W34*2204.622)/('Renewable Fuel Ex Ethanol'!AD24*'Renewable Fuel Ex Ethanol'!$I$122*'Renewable Fuel Ex Ethanol'!$I$124)</f>
        <v>0</v>
      </c>
      <c r="X98" s="253">
        <f>(X34*2204.622)/('Renewable Fuel Ex Ethanol'!AE24*'Renewable Fuel Ex Ethanol'!$I$122*'Renewable Fuel Ex Ethanol'!$I$124)</f>
        <v>0</v>
      </c>
      <c r="Y98" s="253">
        <f>(Y34*2204.622)/('Renewable Fuel Ex Ethanol'!AF24*'Renewable Fuel Ex Ethanol'!$I$122*'Renewable Fuel Ex Ethanol'!$I$124)</f>
        <v>0</v>
      </c>
      <c r="Z98" s="253">
        <f>(Z34*2204.622)/('Renewable Fuel Ex Ethanol'!AG24*'Renewable Fuel Ex Ethanol'!$I$122*'Renewable Fuel Ex Ethanol'!$I$124)</f>
        <v>0</v>
      </c>
      <c r="AA98" s="253">
        <f>(AA34*2204.622)/('Renewable Fuel Ex Ethanol'!AH24*'Renewable Fuel Ex Ethanol'!$I$122*'Renewable Fuel Ex Ethanol'!$I$124)</f>
        <v>0</v>
      </c>
      <c r="AB98" s="253">
        <f>(AB34*2204.622)/('Renewable Fuel Ex Ethanol'!AI24*'Renewable Fuel Ex Ethanol'!$I$122*'Renewable Fuel Ex Ethanol'!$I$124)</f>
        <v>0</v>
      </c>
      <c r="AC98" s="253">
        <f>(AC34*2204.622)/('Renewable Fuel Ex Ethanol'!AJ24*'Renewable Fuel Ex Ethanol'!$I$122*'Renewable Fuel Ex Ethanol'!$I$124)</f>
        <v>0</v>
      </c>
      <c r="AD98" s="253">
        <f>(AD34*2204.622)/('Renewable Fuel Ex Ethanol'!AK24*'Renewable Fuel Ex Ethanol'!$I$122*'Renewable Fuel Ex Ethanol'!$I$124)</f>
        <v>0</v>
      </c>
      <c r="AE98" s="253">
        <f>(AE34*2204.622)/('Renewable Fuel Ex Ethanol'!AL24*'Renewable Fuel Ex Ethanol'!$I$122*'Renewable Fuel Ex Ethanol'!$I$124)</f>
        <v>0</v>
      </c>
      <c r="AF98" s="253">
        <f>(AF34*2204.622)/('Renewable Fuel Ex Ethanol'!AM24*'Renewable Fuel Ex Ethanol'!$I$122*'Renewable Fuel Ex Ethanol'!$I$124)</f>
        <v>0</v>
      </c>
      <c r="AG98" s="254"/>
      <c r="AI98" s="113" t="s">
        <v>278</v>
      </c>
      <c r="AJ98" s="252">
        <f t="shared" si="58"/>
        <v>8.0185142427026292</v>
      </c>
      <c r="AK98" s="252">
        <f t="shared" si="59"/>
        <v>7.9223346108205543</v>
      </c>
      <c r="AL98" s="252">
        <f t="shared" si="60"/>
        <v>8.1581354240197737</v>
      </c>
    </row>
    <row r="99" spans="1:38">
      <c r="A99" s="113" t="s">
        <v>132</v>
      </c>
      <c r="B99" s="252">
        <f>(B35*2204.622)/('Renewable Fuel Ex Ethanol'!I25*'Renewable Fuel Ex Ethanol'!$I$122*'Renewable Fuel Ex Ethanol'!$I$124)</f>
        <v>8.3536828121155864</v>
      </c>
      <c r="C99" s="252">
        <f>(C35*2204.622)/('Renewable Fuel Ex Ethanol'!J25*'Renewable Fuel Ex Ethanol'!$I$122*'Renewable Fuel Ex Ethanol'!$I$124)</f>
        <v>8.0233081676822167</v>
      </c>
      <c r="D99" s="252">
        <f>(D35*2204.622)/('Renewable Fuel Ex Ethanol'!K25*'Renewable Fuel Ex Ethanol'!$I$122*'Renewable Fuel Ex Ethanol'!$I$124)</f>
        <v>8.1283210628604543</v>
      </c>
      <c r="E99" s="252">
        <f>(E35*2204.622)/('Renewable Fuel Ex Ethanol'!L25*'Renewable Fuel Ex Ethanol'!$I$122*'Renewable Fuel Ex Ethanol'!$I$124)</f>
        <v>7.9903389169687973</v>
      </c>
      <c r="F99" s="252">
        <f>(F35*2204.622)/('Renewable Fuel Ex Ethanol'!M25*'Renewable Fuel Ex Ethanol'!$I$122*'Renewable Fuel Ex Ethanol'!$I$124)</f>
        <v>8.2821730712934141</v>
      </c>
      <c r="G99" s="253">
        <f>(G35*2204.622)/('Renewable Fuel Ex Ethanol'!N25*'Renewable Fuel Ex Ethanol'!$I$122*'Renewable Fuel Ex Ethanol'!$I$124)</f>
        <v>8.5046410250036075</v>
      </c>
      <c r="H99" s="253">
        <f>(H35*2204.622)/('Renewable Fuel Ex Ethanol'!O25*'Renewable Fuel Ex Ethanol'!$I$122*'Renewable Fuel Ex Ethanol'!$I$124)</f>
        <v>8.4228471521150396</v>
      </c>
      <c r="I99" s="253">
        <f>(I35*2204.622)/('Renewable Fuel Ex Ethanol'!P25*'Renewable Fuel Ex Ethanol'!$I$122*'Renewable Fuel Ex Ethanol'!$I$124)</f>
        <v>8.3496605296840443</v>
      </c>
      <c r="J99" s="253">
        <f>(J35*2204.622)/('Renewable Fuel Ex Ethanol'!Q25*'Renewable Fuel Ex Ethanol'!$I$122*'Renewable Fuel Ex Ethanol'!$I$124)</f>
        <v>8.3346113817006007</v>
      </c>
      <c r="K99" s="253">
        <f>(K35*2204.622)/('Renewable Fuel Ex Ethanol'!R25*'Renewable Fuel Ex Ethanol'!$I$122*'Renewable Fuel Ex Ethanol'!$I$124)</f>
        <v>8.3193210174534968</v>
      </c>
      <c r="L99" s="253">
        <f>(L35*2204.622)/('Renewable Fuel Ex Ethanol'!S25*'Renewable Fuel Ex Ethanol'!$I$122*'Renewable Fuel Ex Ethanol'!$I$124)</f>
        <v>8.319530811134058</v>
      </c>
      <c r="M99" s="253">
        <f>(M35*2204.622)/('Renewable Fuel Ex Ethanol'!T25*'Renewable Fuel Ex Ethanol'!$I$122*'Renewable Fuel Ex Ethanol'!$I$124)</f>
        <v>8.3470760228287606</v>
      </c>
      <c r="N99" s="253">
        <f>(N35*2204.622)/('Renewable Fuel Ex Ethanol'!U25*'Renewable Fuel Ex Ethanol'!$I$122*'Renewable Fuel Ex Ethanol'!$I$124)</f>
        <v>8.3570436061055595</v>
      </c>
      <c r="O99" s="253">
        <f>(O35*2204.622)/('Renewable Fuel Ex Ethanol'!V25*'Renewable Fuel Ex Ethanol'!$I$122*'Renewable Fuel Ex Ethanol'!$I$124)</f>
        <v>8.3549225113035543</v>
      </c>
      <c r="P99" s="253">
        <f>(P35*2204.622)/('Renewable Fuel Ex Ethanol'!W25*'Renewable Fuel Ex Ethanol'!$I$122*'Renewable Fuel Ex Ethanol'!$I$124)</f>
        <v>8.3507099752065308</v>
      </c>
      <c r="Q99" s="253">
        <f>(Q35*2204.622)/('Renewable Fuel Ex Ethanol'!X25*'Renewable Fuel Ex Ethanol'!$I$122*'Renewable Fuel Ex Ethanol'!$I$124)</f>
        <v>8.3447133189295695</v>
      </c>
      <c r="R99" s="253">
        <f>(R35*2204.622)/('Renewable Fuel Ex Ethanol'!Y25*'Renewable Fuel Ex Ethanol'!$I$122*'Renewable Fuel Ex Ethanol'!$I$124)</f>
        <v>8.3399479652507775</v>
      </c>
      <c r="S99" s="253">
        <f>(S35*2204.622)/('Renewable Fuel Ex Ethanol'!Z25*'Renewable Fuel Ex Ethanol'!$I$122*'Renewable Fuel Ex Ethanol'!$I$124)</f>
        <v>0</v>
      </c>
      <c r="T99" s="253">
        <f>(T35*2204.622)/('Renewable Fuel Ex Ethanol'!AA25*'Renewable Fuel Ex Ethanol'!$I$122*'Renewable Fuel Ex Ethanol'!$I$124)</f>
        <v>0</v>
      </c>
      <c r="U99" s="253">
        <f>(U35*2204.622)/('Renewable Fuel Ex Ethanol'!AB25*'Renewable Fuel Ex Ethanol'!$I$122*'Renewable Fuel Ex Ethanol'!$I$124)</f>
        <v>0</v>
      </c>
      <c r="V99" s="253">
        <f>(V35*2204.622)/('Renewable Fuel Ex Ethanol'!AC25*'Renewable Fuel Ex Ethanol'!$I$122*'Renewable Fuel Ex Ethanol'!$I$124)</f>
        <v>0</v>
      </c>
      <c r="W99" s="253">
        <f>(W35*2204.622)/('Renewable Fuel Ex Ethanol'!AD25*'Renewable Fuel Ex Ethanol'!$I$122*'Renewable Fuel Ex Ethanol'!$I$124)</f>
        <v>0</v>
      </c>
      <c r="X99" s="253">
        <f>(X35*2204.622)/('Renewable Fuel Ex Ethanol'!AE25*'Renewable Fuel Ex Ethanol'!$I$122*'Renewable Fuel Ex Ethanol'!$I$124)</f>
        <v>0</v>
      </c>
      <c r="Y99" s="253">
        <f>(Y35*2204.622)/('Renewable Fuel Ex Ethanol'!AF25*'Renewable Fuel Ex Ethanol'!$I$122*'Renewable Fuel Ex Ethanol'!$I$124)</f>
        <v>0</v>
      </c>
      <c r="Z99" s="253">
        <f>(Z35*2204.622)/('Renewable Fuel Ex Ethanol'!AG25*'Renewable Fuel Ex Ethanol'!$I$122*'Renewable Fuel Ex Ethanol'!$I$124)</f>
        <v>0</v>
      </c>
      <c r="AA99" s="253">
        <f>(AA35*2204.622)/('Renewable Fuel Ex Ethanol'!AH25*'Renewable Fuel Ex Ethanol'!$I$122*'Renewable Fuel Ex Ethanol'!$I$124)</f>
        <v>0</v>
      </c>
      <c r="AB99" s="253">
        <f>(AB35*2204.622)/('Renewable Fuel Ex Ethanol'!AI25*'Renewable Fuel Ex Ethanol'!$I$122*'Renewable Fuel Ex Ethanol'!$I$124)</f>
        <v>0</v>
      </c>
      <c r="AC99" s="253">
        <f>(AC35*2204.622)/('Renewable Fuel Ex Ethanol'!AJ25*'Renewable Fuel Ex Ethanol'!$I$122*'Renewable Fuel Ex Ethanol'!$I$124)</f>
        <v>0</v>
      </c>
      <c r="AD99" s="253">
        <f>(AD35*2204.622)/('Renewable Fuel Ex Ethanol'!AK25*'Renewable Fuel Ex Ethanol'!$I$122*'Renewable Fuel Ex Ethanol'!$I$124)</f>
        <v>0</v>
      </c>
      <c r="AE99" s="253">
        <f>(AE35*2204.622)/('Renewable Fuel Ex Ethanol'!AL25*'Renewable Fuel Ex Ethanol'!$I$122*'Renewable Fuel Ex Ethanol'!$I$124)</f>
        <v>0</v>
      </c>
      <c r="AF99" s="253">
        <f>(AF35*2204.622)/('Renewable Fuel Ex Ethanol'!AM25*'Renewable Fuel Ex Ethanol'!$I$122*'Renewable Fuel Ex Ethanol'!$I$124)</f>
        <v>0</v>
      </c>
      <c r="AG99" s="254"/>
      <c r="AI99" s="113" t="s">
        <v>279</v>
      </c>
      <c r="AJ99" s="252">
        <f t="shared" si="58"/>
        <v>8.1684373475527519</v>
      </c>
      <c r="AK99" s="252">
        <f t="shared" si="59"/>
        <v>8.0233081676822167</v>
      </c>
      <c r="AL99" s="252">
        <f t="shared" si="60"/>
        <v>8.3536828121155864</v>
      </c>
    </row>
    <row r="100" spans="1:38">
      <c r="A100" s="113" t="s">
        <v>133</v>
      </c>
      <c r="B100" s="252">
        <f>(B36*2204.622)/('Renewable Fuel Ex Ethanol'!I26*'Renewable Fuel Ex Ethanol'!$I$122*'Renewable Fuel Ex Ethanol'!$I$124)</f>
        <v>8.1360333083836718</v>
      </c>
      <c r="C100" s="252">
        <f>(C36*2204.622)/('Renewable Fuel Ex Ethanol'!J26*'Renewable Fuel Ex Ethanol'!$I$122*'Renewable Fuel Ex Ethanol'!$I$124)</f>
        <v>8.1202865980100523</v>
      </c>
      <c r="D100" s="252">
        <f>(D36*2204.622)/('Renewable Fuel Ex Ethanol'!K26*'Renewable Fuel Ex Ethanol'!$I$122*'Renewable Fuel Ex Ethanol'!$I$124)</f>
        <v>8.0786203871905204</v>
      </c>
      <c r="E100" s="252">
        <f>(E36*2204.622)/('Renewable Fuel Ex Ethanol'!L26*'Renewable Fuel Ex Ethanol'!$I$122*'Renewable Fuel Ex Ethanol'!$I$124)</f>
        <v>8.1669869629028504</v>
      </c>
      <c r="F100" s="252">
        <f>(F36*2204.622)/('Renewable Fuel Ex Ethanol'!M26*'Renewable Fuel Ex Ethanol'!$I$122*'Renewable Fuel Ex Ethanol'!$I$124)</f>
        <v>8.2690045669183228</v>
      </c>
      <c r="G100" s="253">
        <f>(G36*2204.622)/('Renewable Fuel Ex Ethanol'!N26*'Renewable Fuel Ex Ethanol'!$I$122*'Renewable Fuel Ex Ethanol'!$I$124)</f>
        <v>8.5054627908040565</v>
      </c>
      <c r="H100" s="253">
        <f>(H36*2204.622)/('Renewable Fuel Ex Ethanol'!O26*'Renewable Fuel Ex Ethanol'!$I$122*'Renewable Fuel Ex Ethanol'!$I$124)</f>
        <v>8.3934638655086804</v>
      </c>
      <c r="I100" s="253">
        <f>(I36*2204.622)/('Renewable Fuel Ex Ethanol'!P26*'Renewable Fuel Ex Ethanol'!$I$122*'Renewable Fuel Ex Ethanol'!$I$124)</f>
        <v>8.3498215925397545</v>
      </c>
      <c r="J100" s="253">
        <f>(J36*2204.622)/('Renewable Fuel Ex Ethanol'!Q26*'Renewable Fuel Ex Ethanol'!$I$122*'Renewable Fuel Ex Ethanol'!$I$124)</f>
        <v>8.3331574844196954</v>
      </c>
      <c r="K100" s="253">
        <f>(K36*2204.622)/('Renewable Fuel Ex Ethanol'!R26*'Renewable Fuel Ex Ethanol'!$I$122*'Renewable Fuel Ex Ethanol'!$I$124)</f>
        <v>8.3271242967880177</v>
      </c>
      <c r="L100" s="253">
        <f>(L36*2204.622)/('Renewable Fuel Ex Ethanol'!S26*'Renewable Fuel Ex Ethanol'!$I$122*'Renewable Fuel Ex Ethanol'!$I$124)</f>
        <v>8.3229266319346991</v>
      </c>
      <c r="M100" s="253">
        <f>(M36*2204.622)/('Renewable Fuel Ex Ethanol'!T26*'Renewable Fuel Ex Ethanol'!$I$122*'Renewable Fuel Ex Ethanol'!$I$124)</f>
        <v>8.349107282001178</v>
      </c>
      <c r="N100" s="253">
        <f>(N36*2204.622)/('Renewable Fuel Ex Ethanol'!U26*'Renewable Fuel Ex Ethanol'!$I$122*'Renewable Fuel Ex Ethanol'!$I$124)</f>
        <v>8.3546081677390909</v>
      </c>
      <c r="O100" s="253">
        <f>(O36*2204.622)/('Renewable Fuel Ex Ethanol'!V26*'Renewable Fuel Ex Ethanol'!$I$122*'Renewable Fuel Ex Ethanol'!$I$124)</f>
        <v>8.3531069072222852</v>
      </c>
      <c r="P100" s="253">
        <f>(P36*2204.622)/('Renewable Fuel Ex Ethanol'!W26*'Renewable Fuel Ex Ethanol'!$I$122*'Renewable Fuel Ex Ethanol'!$I$124)</f>
        <v>8.3490441386378631</v>
      </c>
      <c r="Q100" s="253">
        <f>(Q36*2204.622)/('Renewable Fuel Ex Ethanol'!X26*'Renewable Fuel Ex Ethanol'!$I$122*'Renewable Fuel Ex Ethanol'!$I$124)</f>
        <v>8.344854644649228</v>
      </c>
      <c r="R100" s="253">
        <f>(R36*2204.622)/('Renewable Fuel Ex Ethanol'!Y26*'Renewable Fuel Ex Ethanol'!$I$122*'Renewable Fuel Ex Ethanol'!$I$124)</f>
        <v>8.3407061126819375</v>
      </c>
      <c r="S100" s="253">
        <f>(S36*2204.622)/('Renewable Fuel Ex Ethanol'!Z26*'Renewable Fuel Ex Ethanol'!$I$122*'Renewable Fuel Ex Ethanol'!$I$124)</f>
        <v>0</v>
      </c>
      <c r="T100" s="253">
        <f>(T36*2204.622)/('Renewable Fuel Ex Ethanol'!AA26*'Renewable Fuel Ex Ethanol'!$I$122*'Renewable Fuel Ex Ethanol'!$I$124)</f>
        <v>0</v>
      </c>
      <c r="U100" s="253">
        <f>(U36*2204.622)/('Renewable Fuel Ex Ethanol'!AB26*'Renewable Fuel Ex Ethanol'!$I$122*'Renewable Fuel Ex Ethanol'!$I$124)</f>
        <v>0</v>
      </c>
      <c r="V100" s="253">
        <f>(V36*2204.622)/('Renewable Fuel Ex Ethanol'!AC26*'Renewable Fuel Ex Ethanol'!$I$122*'Renewable Fuel Ex Ethanol'!$I$124)</f>
        <v>0</v>
      </c>
      <c r="W100" s="253">
        <f>(W36*2204.622)/('Renewable Fuel Ex Ethanol'!AD26*'Renewable Fuel Ex Ethanol'!$I$122*'Renewable Fuel Ex Ethanol'!$I$124)</f>
        <v>0</v>
      </c>
      <c r="X100" s="253">
        <f>(X36*2204.622)/('Renewable Fuel Ex Ethanol'!AE26*'Renewable Fuel Ex Ethanol'!$I$122*'Renewable Fuel Ex Ethanol'!$I$124)</f>
        <v>0</v>
      </c>
      <c r="Y100" s="253">
        <f>(Y36*2204.622)/('Renewable Fuel Ex Ethanol'!AF26*'Renewable Fuel Ex Ethanol'!$I$122*'Renewable Fuel Ex Ethanol'!$I$124)</f>
        <v>0</v>
      </c>
      <c r="Z100" s="253">
        <f>(Z36*2204.622)/('Renewable Fuel Ex Ethanol'!AG26*'Renewable Fuel Ex Ethanol'!$I$122*'Renewable Fuel Ex Ethanol'!$I$124)</f>
        <v>0</v>
      </c>
      <c r="AA100" s="253">
        <f>(AA36*2204.622)/('Renewable Fuel Ex Ethanol'!AH26*'Renewable Fuel Ex Ethanol'!$I$122*'Renewable Fuel Ex Ethanol'!$I$124)</f>
        <v>0</v>
      </c>
      <c r="AB100" s="253">
        <f>(AB36*2204.622)/('Renewable Fuel Ex Ethanol'!AI26*'Renewable Fuel Ex Ethanol'!$I$122*'Renewable Fuel Ex Ethanol'!$I$124)</f>
        <v>0</v>
      </c>
      <c r="AC100" s="253">
        <f>(AC36*2204.622)/('Renewable Fuel Ex Ethanol'!AJ26*'Renewable Fuel Ex Ethanol'!$I$122*'Renewable Fuel Ex Ethanol'!$I$124)</f>
        <v>0</v>
      </c>
      <c r="AD100" s="253">
        <f>(AD36*2204.622)/('Renewable Fuel Ex Ethanol'!AK26*'Renewable Fuel Ex Ethanol'!$I$122*'Renewable Fuel Ex Ethanol'!$I$124)</f>
        <v>0</v>
      </c>
      <c r="AE100" s="253">
        <f>(AE36*2204.622)/('Renewable Fuel Ex Ethanol'!AL26*'Renewable Fuel Ex Ethanol'!$I$122*'Renewable Fuel Ex Ethanol'!$I$124)</f>
        <v>0</v>
      </c>
      <c r="AF100" s="253">
        <f>(AF36*2204.622)/('Renewable Fuel Ex Ethanol'!AM26*'Renewable Fuel Ex Ethanol'!$I$122*'Renewable Fuel Ex Ethanol'!$I$124)</f>
        <v>0</v>
      </c>
      <c r="AG100" s="254"/>
      <c r="AI100" s="113" t="s">
        <v>133</v>
      </c>
      <c r="AJ100" s="252">
        <f t="shared" si="58"/>
        <v>8.1116467645280821</v>
      </c>
      <c r="AK100" s="252">
        <f t="shared" si="59"/>
        <v>8.0786203871905204</v>
      </c>
      <c r="AL100" s="252">
        <f t="shared" si="60"/>
        <v>8.1360333083836718</v>
      </c>
    </row>
    <row r="101" spans="1:38">
      <c r="A101" s="113" t="s">
        <v>134</v>
      </c>
      <c r="B101" s="252">
        <f>(B37*2204.622)/('Renewable Fuel Ex Ethanol'!I27*'Renewable Fuel Ex Ethanol'!$I$122*'Renewable Fuel Ex Ethanol'!$I$124)</f>
        <v>8.307849734367565</v>
      </c>
      <c r="C101" s="252">
        <f>(C37*2204.622)/('Renewable Fuel Ex Ethanol'!J27*'Renewable Fuel Ex Ethanol'!$I$122*'Renewable Fuel Ex Ethanol'!$I$124)</f>
        <v>8.0609493135791705</v>
      </c>
      <c r="D101" s="252">
        <f>(D37*2204.622)/('Renewable Fuel Ex Ethanol'!K27*'Renewable Fuel Ex Ethanol'!$I$122*'Renewable Fuel Ex Ethanol'!$I$124)</f>
        <v>8.243318912504451</v>
      </c>
      <c r="E101" s="252">
        <f>(E37*2204.622)/('Renewable Fuel Ex Ethanol'!L27*'Renewable Fuel Ex Ethanol'!$I$122*'Renewable Fuel Ex Ethanol'!$I$124)</f>
        <v>8.2211536269048899</v>
      </c>
      <c r="F101" s="252">
        <f>(F37*2204.622)/('Renewable Fuel Ex Ethanol'!M27*'Renewable Fuel Ex Ethanol'!$I$122*'Renewable Fuel Ex Ethanol'!$I$124)</f>
        <v>8.3987195721419692</v>
      </c>
      <c r="G101" s="253">
        <f>(G37*2204.622)/('Renewable Fuel Ex Ethanol'!N27*'Renewable Fuel Ex Ethanol'!$I$122*'Renewable Fuel Ex Ethanol'!$I$124)</f>
        <v>8.3974175257321928</v>
      </c>
      <c r="H101" s="253">
        <f>(H37*2204.622)/('Renewable Fuel Ex Ethanol'!O27*'Renewable Fuel Ex Ethanol'!$I$122*'Renewable Fuel Ex Ethanol'!$I$124)</f>
        <v>8.3662875365684961</v>
      </c>
      <c r="I101" s="253">
        <f>(I37*2204.622)/('Renewable Fuel Ex Ethanol'!P27*'Renewable Fuel Ex Ethanol'!$I$122*'Renewable Fuel Ex Ethanol'!$I$124)</f>
        <v>8.3300450814964524</v>
      </c>
      <c r="J101" s="253">
        <f>(J37*2204.622)/('Renewable Fuel Ex Ethanol'!Q27*'Renewable Fuel Ex Ethanol'!$I$122*'Renewable Fuel Ex Ethanol'!$I$124)</f>
        <v>8.3343696034406136</v>
      </c>
      <c r="K101" s="253">
        <f>(K37*2204.622)/('Renewable Fuel Ex Ethanol'!R27*'Renewable Fuel Ex Ethanol'!$I$122*'Renewable Fuel Ex Ethanol'!$I$124)</f>
        <v>8.3322366486290456</v>
      </c>
      <c r="L101" s="253">
        <f>(L37*2204.622)/('Renewable Fuel Ex Ethanol'!S27*'Renewable Fuel Ex Ethanol'!$I$122*'Renewable Fuel Ex Ethanol'!$I$124)</f>
        <v>8.3445999971769282</v>
      </c>
      <c r="M101" s="253">
        <f>(M37*2204.622)/('Renewable Fuel Ex Ethanol'!T27*'Renewable Fuel Ex Ethanol'!$I$122*'Renewable Fuel Ex Ethanol'!$I$124)</f>
        <v>8.3507093216975061</v>
      </c>
      <c r="N101" s="253">
        <f>(N37*2204.622)/('Renewable Fuel Ex Ethanol'!U27*'Renewable Fuel Ex Ethanol'!$I$122*'Renewable Fuel Ex Ethanol'!$I$124)</f>
        <v>8.3520155037171069</v>
      </c>
      <c r="O101" s="253">
        <f>(O37*2204.622)/('Renewable Fuel Ex Ethanol'!V27*'Renewable Fuel Ex Ethanol'!$I$122*'Renewable Fuel Ex Ethanol'!$I$124)</f>
        <v>8.3477088663246874</v>
      </c>
      <c r="P101" s="253">
        <f>(P37*2204.622)/('Renewable Fuel Ex Ethanol'!W27*'Renewable Fuel Ex Ethanol'!$I$122*'Renewable Fuel Ex Ethanol'!$I$124)</f>
        <v>8.3451278386015737</v>
      </c>
      <c r="Q101" s="253">
        <f>(Q37*2204.622)/('Renewable Fuel Ex Ethanol'!X27*'Renewable Fuel Ex Ethanol'!$I$122*'Renewable Fuel Ex Ethanol'!$I$124)</f>
        <v>8.3427780212594822</v>
      </c>
      <c r="R101" s="253">
        <f>(R37*2204.622)/('Renewable Fuel Ex Ethanol'!Y27*'Renewable Fuel Ex Ethanol'!$I$122*'Renewable Fuel Ex Ethanol'!$I$124)</f>
        <v>8.3432102996743698</v>
      </c>
      <c r="S101" s="253">
        <f>(S37*2204.622)/('Renewable Fuel Ex Ethanol'!Z27*'Renewable Fuel Ex Ethanol'!$I$122*'Renewable Fuel Ex Ethanol'!$I$124)</f>
        <v>0</v>
      </c>
      <c r="T101" s="253">
        <f>(T37*2204.622)/('Renewable Fuel Ex Ethanol'!AA27*'Renewable Fuel Ex Ethanol'!$I$122*'Renewable Fuel Ex Ethanol'!$I$124)</f>
        <v>0</v>
      </c>
      <c r="U101" s="253">
        <f>(U37*2204.622)/('Renewable Fuel Ex Ethanol'!AB27*'Renewable Fuel Ex Ethanol'!$I$122*'Renewable Fuel Ex Ethanol'!$I$124)</f>
        <v>0</v>
      </c>
      <c r="V101" s="253">
        <f>(V37*2204.622)/('Renewable Fuel Ex Ethanol'!AC27*'Renewable Fuel Ex Ethanol'!$I$122*'Renewable Fuel Ex Ethanol'!$I$124)</f>
        <v>0</v>
      </c>
      <c r="W101" s="253">
        <f>(W37*2204.622)/('Renewable Fuel Ex Ethanol'!AD27*'Renewable Fuel Ex Ethanol'!$I$122*'Renewable Fuel Ex Ethanol'!$I$124)</f>
        <v>0</v>
      </c>
      <c r="X101" s="253">
        <f>(X37*2204.622)/('Renewable Fuel Ex Ethanol'!AE27*'Renewable Fuel Ex Ethanol'!$I$122*'Renewable Fuel Ex Ethanol'!$I$124)</f>
        <v>0</v>
      </c>
      <c r="Y101" s="253">
        <f>(Y37*2204.622)/('Renewable Fuel Ex Ethanol'!AF27*'Renewable Fuel Ex Ethanol'!$I$122*'Renewable Fuel Ex Ethanol'!$I$124)</f>
        <v>0</v>
      </c>
      <c r="Z101" s="253">
        <f>(Z37*2204.622)/('Renewable Fuel Ex Ethanol'!AG27*'Renewable Fuel Ex Ethanol'!$I$122*'Renewable Fuel Ex Ethanol'!$I$124)</f>
        <v>0</v>
      </c>
      <c r="AA101" s="253">
        <f>(AA37*2204.622)/('Renewable Fuel Ex Ethanol'!AH27*'Renewable Fuel Ex Ethanol'!$I$122*'Renewable Fuel Ex Ethanol'!$I$124)</f>
        <v>0</v>
      </c>
      <c r="AB101" s="253">
        <f>(AB37*2204.622)/('Renewable Fuel Ex Ethanol'!AI27*'Renewable Fuel Ex Ethanol'!$I$122*'Renewable Fuel Ex Ethanol'!$I$124)</f>
        <v>0</v>
      </c>
      <c r="AC101" s="253">
        <f>(AC37*2204.622)/('Renewable Fuel Ex Ethanol'!AJ27*'Renewable Fuel Ex Ethanol'!$I$122*'Renewable Fuel Ex Ethanol'!$I$124)</f>
        <v>0</v>
      </c>
      <c r="AD101" s="253">
        <f>(AD37*2204.622)/('Renewable Fuel Ex Ethanol'!AK27*'Renewable Fuel Ex Ethanol'!$I$122*'Renewable Fuel Ex Ethanol'!$I$124)</f>
        <v>0</v>
      </c>
      <c r="AE101" s="253">
        <f>(AE37*2204.622)/('Renewable Fuel Ex Ethanol'!AL27*'Renewable Fuel Ex Ethanol'!$I$122*'Renewable Fuel Ex Ethanol'!$I$124)</f>
        <v>0</v>
      </c>
      <c r="AF101" s="253">
        <f>(AF37*2204.622)/('Renewable Fuel Ex Ethanol'!AM27*'Renewable Fuel Ex Ethanol'!$I$122*'Renewable Fuel Ex Ethanol'!$I$124)</f>
        <v>0</v>
      </c>
      <c r="AG101" s="254"/>
      <c r="AI101" s="113" t="s">
        <v>280</v>
      </c>
      <c r="AJ101" s="252">
        <f t="shared" si="58"/>
        <v>8.2040393201503949</v>
      </c>
      <c r="AK101" s="252">
        <f t="shared" si="59"/>
        <v>8.0609493135791705</v>
      </c>
      <c r="AL101" s="252">
        <f t="shared" si="60"/>
        <v>8.307849734367565</v>
      </c>
    </row>
    <row r="102" spans="1:38">
      <c r="A102" s="113" t="s">
        <v>135</v>
      </c>
      <c r="B102" s="252">
        <f>(B38*2204.622)/('Renewable Fuel Ex Ethanol'!I28*'Renewable Fuel Ex Ethanol'!$I$122*'Renewable Fuel Ex Ethanol'!$I$124)</f>
        <v>8.7816781960053927</v>
      </c>
      <c r="C102" s="252">
        <f>(C38*2204.622)/('Renewable Fuel Ex Ethanol'!J28*'Renewable Fuel Ex Ethanol'!$I$122*'Renewable Fuel Ex Ethanol'!$I$124)</f>
        <v>8.1885636289135437</v>
      </c>
      <c r="D102" s="252">
        <f>(D38*2204.622)/('Renewable Fuel Ex Ethanol'!K28*'Renewable Fuel Ex Ethanol'!$I$122*'Renewable Fuel Ex Ethanol'!$I$124)</f>
        <v>8.3053232839427658</v>
      </c>
      <c r="E102" s="252">
        <f>(E38*2204.622)/('Renewable Fuel Ex Ethanol'!L28*'Renewable Fuel Ex Ethanol'!$I$122*'Renewable Fuel Ex Ethanol'!$I$124)</f>
        <v>7.9262681543470652</v>
      </c>
      <c r="F102" s="252">
        <f>(F38*2204.622)/('Renewable Fuel Ex Ethanol'!M28*'Renewable Fuel Ex Ethanol'!$I$122*'Renewable Fuel Ex Ethanol'!$I$124)</f>
        <v>8.2059088030950988</v>
      </c>
      <c r="G102" s="253">
        <f>(G38*2204.622)/('Renewable Fuel Ex Ethanol'!N28*'Renewable Fuel Ex Ethanol'!$I$122*'Renewable Fuel Ex Ethanol'!$I$124)</f>
        <v>8.4255090970292343</v>
      </c>
      <c r="H102" s="253">
        <f>(H38*2204.622)/('Renewable Fuel Ex Ethanol'!O28*'Renewable Fuel Ex Ethanol'!$I$122*'Renewable Fuel Ex Ethanol'!$I$124)</f>
        <v>8.4490294856662178</v>
      </c>
      <c r="I102" s="253">
        <f>(I38*2204.622)/('Renewable Fuel Ex Ethanol'!P28*'Renewable Fuel Ex Ethanol'!$I$122*'Renewable Fuel Ex Ethanol'!$I$124)</f>
        <v>8.3781209108693577</v>
      </c>
      <c r="J102" s="253">
        <f>(J38*2204.622)/('Renewable Fuel Ex Ethanol'!Q28*'Renewable Fuel Ex Ethanol'!$I$122*'Renewable Fuel Ex Ethanol'!$I$124)</f>
        <v>8.3576225751066335</v>
      </c>
      <c r="K102" s="253">
        <f>(K38*2204.622)/('Renewable Fuel Ex Ethanol'!R28*'Renewable Fuel Ex Ethanol'!$I$122*'Renewable Fuel Ex Ethanol'!$I$124)</f>
        <v>8.32432213115246</v>
      </c>
      <c r="L102" s="253">
        <f>(L38*2204.622)/('Renewable Fuel Ex Ethanol'!S28*'Renewable Fuel Ex Ethanol'!$I$122*'Renewable Fuel Ex Ethanol'!$I$124)</f>
        <v>8.3127461904921116</v>
      </c>
      <c r="M102" s="253">
        <f>(M38*2204.622)/('Renewable Fuel Ex Ethanol'!T28*'Renewable Fuel Ex Ethanol'!$I$122*'Renewable Fuel Ex Ethanol'!$I$124)</f>
        <v>8.3331064306069944</v>
      </c>
      <c r="N102" s="253">
        <f>(N38*2204.622)/('Renewable Fuel Ex Ethanol'!U28*'Renewable Fuel Ex Ethanol'!$I$122*'Renewable Fuel Ex Ethanol'!$I$124)</f>
        <v>8.3507895194574591</v>
      </c>
      <c r="O102" s="253">
        <f>(O38*2204.622)/('Renewable Fuel Ex Ethanol'!V28*'Renewable Fuel Ex Ethanol'!$I$122*'Renewable Fuel Ex Ethanol'!$I$124)</f>
        <v>8.3551213928414167</v>
      </c>
      <c r="P102" s="253">
        <f>(P38*2204.622)/('Renewable Fuel Ex Ethanol'!W28*'Renewable Fuel Ex Ethanol'!$I$122*'Renewable Fuel Ex Ethanol'!$I$124)</f>
        <v>8.3551760122911638</v>
      </c>
      <c r="Q102" s="253">
        <f>(Q38*2204.622)/('Renewable Fuel Ex Ethanol'!X28*'Renewable Fuel Ex Ethanol'!$I$122*'Renewable Fuel Ex Ethanol'!$I$124)</f>
        <v>8.3490542768477756</v>
      </c>
      <c r="R102" s="253">
        <f>(R38*2204.622)/('Renewable Fuel Ex Ethanol'!Y28*'Renewable Fuel Ex Ethanol'!$I$122*'Renewable Fuel Ex Ethanol'!$I$124)</f>
        <v>8.3420307019014803</v>
      </c>
      <c r="S102" s="253">
        <f>(S38*2204.622)/('Renewable Fuel Ex Ethanol'!Z28*'Renewable Fuel Ex Ethanol'!$I$122*'Renewable Fuel Ex Ethanol'!$I$124)</f>
        <v>0</v>
      </c>
      <c r="T102" s="253">
        <f>(T38*2204.622)/('Renewable Fuel Ex Ethanol'!AA28*'Renewable Fuel Ex Ethanol'!$I$122*'Renewable Fuel Ex Ethanol'!$I$124)</f>
        <v>0</v>
      </c>
      <c r="U102" s="253">
        <f>(U38*2204.622)/('Renewable Fuel Ex Ethanol'!AB28*'Renewable Fuel Ex Ethanol'!$I$122*'Renewable Fuel Ex Ethanol'!$I$124)</f>
        <v>0</v>
      </c>
      <c r="V102" s="253">
        <f>(V38*2204.622)/('Renewable Fuel Ex Ethanol'!AC28*'Renewable Fuel Ex Ethanol'!$I$122*'Renewable Fuel Ex Ethanol'!$I$124)</f>
        <v>0</v>
      </c>
      <c r="W102" s="253">
        <f>(W38*2204.622)/('Renewable Fuel Ex Ethanol'!AD28*'Renewable Fuel Ex Ethanol'!$I$122*'Renewable Fuel Ex Ethanol'!$I$124)</f>
        <v>0</v>
      </c>
      <c r="X102" s="253">
        <f>(X38*2204.622)/('Renewable Fuel Ex Ethanol'!AE28*'Renewable Fuel Ex Ethanol'!$I$122*'Renewable Fuel Ex Ethanol'!$I$124)</f>
        <v>0</v>
      </c>
      <c r="Y102" s="253">
        <f>(Y38*2204.622)/('Renewable Fuel Ex Ethanol'!AF28*'Renewable Fuel Ex Ethanol'!$I$122*'Renewable Fuel Ex Ethanol'!$I$124)</f>
        <v>0</v>
      </c>
      <c r="Z102" s="253">
        <f>(Z38*2204.622)/('Renewable Fuel Ex Ethanol'!AG28*'Renewable Fuel Ex Ethanol'!$I$122*'Renewable Fuel Ex Ethanol'!$I$124)</f>
        <v>0</v>
      </c>
      <c r="AA102" s="253">
        <f>(AA38*2204.622)/('Renewable Fuel Ex Ethanol'!AH28*'Renewable Fuel Ex Ethanol'!$I$122*'Renewable Fuel Ex Ethanol'!$I$124)</f>
        <v>0</v>
      </c>
      <c r="AB102" s="253">
        <f>(AB38*2204.622)/('Renewable Fuel Ex Ethanol'!AI28*'Renewable Fuel Ex Ethanol'!$I$122*'Renewable Fuel Ex Ethanol'!$I$124)</f>
        <v>0</v>
      </c>
      <c r="AC102" s="253">
        <f>(AC38*2204.622)/('Renewable Fuel Ex Ethanol'!AJ28*'Renewable Fuel Ex Ethanol'!$I$122*'Renewable Fuel Ex Ethanol'!$I$124)</f>
        <v>0</v>
      </c>
      <c r="AD102" s="253">
        <f>(AD38*2204.622)/('Renewable Fuel Ex Ethanol'!AK28*'Renewable Fuel Ex Ethanol'!$I$122*'Renewable Fuel Ex Ethanol'!$I$124)</f>
        <v>0</v>
      </c>
      <c r="AE102" s="253">
        <f>(AE38*2204.622)/('Renewable Fuel Ex Ethanol'!AL28*'Renewable Fuel Ex Ethanol'!$I$122*'Renewable Fuel Ex Ethanol'!$I$124)</f>
        <v>0</v>
      </c>
      <c r="AF102" s="253">
        <f>(AF38*2204.622)/('Renewable Fuel Ex Ethanol'!AM28*'Renewable Fuel Ex Ethanol'!$I$122*'Renewable Fuel Ex Ethanol'!$I$124)</f>
        <v>0</v>
      </c>
      <c r="AG102" s="254"/>
      <c r="AI102" s="113" t="s">
        <v>281</v>
      </c>
      <c r="AJ102" s="252">
        <f t="shared" si="58"/>
        <v>8.4251883696205674</v>
      </c>
      <c r="AK102" s="252">
        <f t="shared" si="59"/>
        <v>8.1885636289135437</v>
      </c>
      <c r="AL102" s="252">
        <f t="shared" si="60"/>
        <v>8.7816781960053927</v>
      </c>
    </row>
    <row r="103" spans="1:38">
      <c r="A103" s="113" t="s">
        <v>136</v>
      </c>
      <c r="B103" s="252">
        <f>(B39*2204.622)/('Renewable Fuel Ex Ethanol'!I29*'Renewable Fuel Ex Ethanol'!$I$122*'Renewable Fuel Ex Ethanol'!$I$124)</f>
        <v>7.9728976352515524</v>
      </c>
      <c r="C103" s="252">
        <f>(C39*2204.622)/('Renewable Fuel Ex Ethanol'!J29*'Renewable Fuel Ex Ethanol'!$I$122*'Renewable Fuel Ex Ethanol'!$I$124)</f>
        <v>8.0267849123244961</v>
      </c>
      <c r="D103" s="252">
        <f>(D39*2204.622)/('Renewable Fuel Ex Ethanol'!K29*'Renewable Fuel Ex Ethanol'!$I$122*'Renewable Fuel Ex Ethanol'!$I$124)</f>
        <v>7.5621800698823023</v>
      </c>
      <c r="E103" s="252">
        <f>(E39*2204.622)/('Renewable Fuel Ex Ethanol'!L29*'Renewable Fuel Ex Ethanol'!$I$122*'Renewable Fuel Ex Ethanol'!$I$124)</f>
        <v>7.9886892375306635</v>
      </c>
      <c r="F103" s="252">
        <f>(F39*2204.622)/('Renewable Fuel Ex Ethanol'!M29*'Renewable Fuel Ex Ethanol'!$I$122*'Renewable Fuel Ex Ethanol'!$I$124)</f>
        <v>8.3962905186110603</v>
      </c>
      <c r="G103" s="253">
        <f>(G39*2204.622)/('Renewable Fuel Ex Ethanol'!N29*'Renewable Fuel Ex Ethanol'!$I$122*'Renewable Fuel Ex Ethanol'!$I$124)</f>
        <v>8.5992404831276144</v>
      </c>
      <c r="H103" s="253">
        <f>(H39*2204.622)/('Renewable Fuel Ex Ethanol'!O29*'Renewable Fuel Ex Ethanol'!$I$122*'Renewable Fuel Ex Ethanol'!$I$124)</f>
        <v>8.4166974475551957</v>
      </c>
      <c r="I103" s="253">
        <f>(I39*2204.622)/('Renewable Fuel Ex Ethanol'!P29*'Renewable Fuel Ex Ethanol'!$I$122*'Renewable Fuel Ex Ethanol'!$I$124)</f>
        <v>8.3469666402256237</v>
      </c>
      <c r="J103" s="253">
        <f>(J39*2204.622)/('Renewable Fuel Ex Ethanol'!Q29*'Renewable Fuel Ex Ethanol'!$I$122*'Renewable Fuel Ex Ethanol'!$I$124)</f>
        <v>8.3011932667171724</v>
      </c>
      <c r="K103" s="253">
        <f>(K39*2204.622)/('Renewable Fuel Ex Ethanol'!R29*'Renewable Fuel Ex Ethanol'!$I$122*'Renewable Fuel Ex Ethanol'!$I$124)</f>
        <v>8.2981962835716505</v>
      </c>
      <c r="L103" s="253">
        <f>(L39*2204.622)/('Renewable Fuel Ex Ethanol'!S29*'Renewable Fuel Ex Ethanol'!$I$122*'Renewable Fuel Ex Ethanol'!$I$124)</f>
        <v>8.3213224417958411</v>
      </c>
      <c r="M103" s="253">
        <f>(M39*2204.622)/('Renewable Fuel Ex Ethanol'!T29*'Renewable Fuel Ex Ethanol'!$I$122*'Renewable Fuel Ex Ethanol'!$I$124)</f>
        <v>8.3597764894632363</v>
      </c>
      <c r="N103" s="253">
        <f>(N39*2204.622)/('Renewable Fuel Ex Ethanol'!U29*'Renewable Fuel Ex Ethanol'!$I$122*'Renewable Fuel Ex Ethanol'!$I$124)</f>
        <v>8.3653344632607212</v>
      </c>
      <c r="O103" s="253">
        <f>(O39*2204.622)/('Renewable Fuel Ex Ethanol'!V29*'Renewable Fuel Ex Ethanol'!$I$122*'Renewable Fuel Ex Ethanol'!$I$124)</f>
        <v>8.3606727223250736</v>
      </c>
      <c r="P103" s="253">
        <f>(P39*2204.622)/('Renewable Fuel Ex Ethanol'!W29*'Renewable Fuel Ex Ethanol'!$I$122*'Renewable Fuel Ex Ethanol'!$I$124)</f>
        <v>8.3488575373197484</v>
      </c>
      <c r="Q103" s="253">
        <f>(Q39*2204.622)/('Renewable Fuel Ex Ethanol'!X29*'Renewable Fuel Ex Ethanol'!$I$122*'Renewable Fuel Ex Ethanol'!$I$124)</f>
        <v>8.3394228936475958</v>
      </c>
      <c r="R103" s="253">
        <f>(R39*2204.622)/('Renewable Fuel Ex Ethanol'!Y29*'Renewable Fuel Ex Ethanol'!$I$122*'Renewable Fuel Ex Ethanol'!$I$124)</f>
        <v>8.3361891526061918</v>
      </c>
      <c r="S103" s="253">
        <f>(S39*2204.622)/('Renewable Fuel Ex Ethanol'!Z29*'Renewable Fuel Ex Ethanol'!$I$122*'Renewable Fuel Ex Ethanol'!$I$124)</f>
        <v>0</v>
      </c>
      <c r="T103" s="253">
        <f>(T39*2204.622)/('Renewable Fuel Ex Ethanol'!AA29*'Renewable Fuel Ex Ethanol'!$I$122*'Renewable Fuel Ex Ethanol'!$I$124)</f>
        <v>0</v>
      </c>
      <c r="U103" s="253">
        <f>(U39*2204.622)/('Renewable Fuel Ex Ethanol'!AB29*'Renewable Fuel Ex Ethanol'!$I$122*'Renewable Fuel Ex Ethanol'!$I$124)</f>
        <v>0</v>
      </c>
      <c r="V103" s="253">
        <f>(V39*2204.622)/('Renewable Fuel Ex Ethanol'!AC29*'Renewable Fuel Ex Ethanol'!$I$122*'Renewable Fuel Ex Ethanol'!$I$124)</f>
        <v>0</v>
      </c>
      <c r="W103" s="253">
        <f>(W39*2204.622)/('Renewable Fuel Ex Ethanol'!AD29*'Renewable Fuel Ex Ethanol'!$I$122*'Renewable Fuel Ex Ethanol'!$I$124)</f>
        <v>0</v>
      </c>
      <c r="X103" s="253">
        <f>(X39*2204.622)/('Renewable Fuel Ex Ethanol'!AE29*'Renewable Fuel Ex Ethanol'!$I$122*'Renewable Fuel Ex Ethanol'!$I$124)</f>
        <v>0</v>
      </c>
      <c r="Y103" s="253">
        <f>(Y39*2204.622)/('Renewable Fuel Ex Ethanol'!AF29*'Renewable Fuel Ex Ethanol'!$I$122*'Renewable Fuel Ex Ethanol'!$I$124)</f>
        <v>0</v>
      </c>
      <c r="Z103" s="253">
        <f>(Z39*2204.622)/('Renewable Fuel Ex Ethanol'!AG29*'Renewable Fuel Ex Ethanol'!$I$122*'Renewable Fuel Ex Ethanol'!$I$124)</f>
        <v>0</v>
      </c>
      <c r="AA103" s="253">
        <f>(AA39*2204.622)/('Renewable Fuel Ex Ethanol'!AH29*'Renewable Fuel Ex Ethanol'!$I$122*'Renewable Fuel Ex Ethanol'!$I$124)</f>
        <v>0</v>
      </c>
      <c r="AB103" s="253">
        <f>(AB39*2204.622)/('Renewable Fuel Ex Ethanol'!AI29*'Renewable Fuel Ex Ethanol'!$I$122*'Renewable Fuel Ex Ethanol'!$I$124)</f>
        <v>0</v>
      </c>
      <c r="AC103" s="253">
        <f>(AC39*2204.622)/('Renewable Fuel Ex Ethanol'!AJ29*'Renewable Fuel Ex Ethanol'!$I$122*'Renewable Fuel Ex Ethanol'!$I$124)</f>
        <v>0</v>
      </c>
      <c r="AD103" s="253">
        <f>(AD39*2204.622)/('Renewable Fuel Ex Ethanol'!AK29*'Renewable Fuel Ex Ethanol'!$I$122*'Renewable Fuel Ex Ethanol'!$I$124)</f>
        <v>0</v>
      </c>
      <c r="AE103" s="253">
        <f>(AE39*2204.622)/('Renewable Fuel Ex Ethanol'!AL29*'Renewable Fuel Ex Ethanol'!$I$122*'Renewable Fuel Ex Ethanol'!$I$124)</f>
        <v>0</v>
      </c>
      <c r="AF103" s="253">
        <f>(AF39*2204.622)/('Renewable Fuel Ex Ethanol'!AM29*'Renewable Fuel Ex Ethanol'!$I$122*'Renewable Fuel Ex Ethanol'!$I$124)</f>
        <v>0</v>
      </c>
      <c r="AG103" s="254"/>
      <c r="AI103" s="113" t="s">
        <v>282</v>
      </c>
      <c r="AJ103" s="252">
        <f t="shared" si="58"/>
        <v>7.8539542058194511</v>
      </c>
      <c r="AK103" s="252">
        <f t="shared" si="59"/>
        <v>7.5621800698823023</v>
      </c>
      <c r="AL103" s="252">
        <f t="shared" si="60"/>
        <v>8.0267849123244961</v>
      </c>
    </row>
    <row r="104" spans="1:38">
      <c r="A104" s="113" t="s">
        <v>137</v>
      </c>
      <c r="B104" s="252">
        <f>(B40*2204.622)/('Renewable Fuel Ex Ethanol'!I30*'Renewable Fuel Ex Ethanol'!$I$122*'Renewable Fuel Ex Ethanol'!$I$124)</f>
        <v>8.7920874409979106</v>
      </c>
      <c r="C104" s="252">
        <f>(C40*2204.622)/('Renewable Fuel Ex Ethanol'!J30*'Renewable Fuel Ex Ethanol'!$I$122*'Renewable Fuel Ex Ethanol'!$I$124)</f>
        <v>8.0817516464487635</v>
      </c>
      <c r="D104" s="252">
        <f>(D40*2204.622)/('Renewable Fuel Ex Ethanol'!K30*'Renewable Fuel Ex Ethanol'!$I$122*'Renewable Fuel Ex Ethanol'!$I$124)</f>
        <v>8.4742263446428883</v>
      </c>
      <c r="E104" s="252">
        <f>(E40*2204.622)/('Renewable Fuel Ex Ethanol'!L30*'Renewable Fuel Ex Ethanol'!$I$122*'Renewable Fuel Ex Ethanol'!$I$124)</f>
        <v>7.9921791962701461</v>
      </c>
      <c r="F104" s="252">
        <f>(F40*2204.622)/('Renewable Fuel Ex Ethanol'!M30*'Renewable Fuel Ex Ethanol'!$I$122*'Renewable Fuel Ex Ethanol'!$I$124)</f>
        <v>8.2634632164188364</v>
      </c>
      <c r="G104" s="253">
        <f>(G40*2204.622)/('Renewable Fuel Ex Ethanol'!N30*'Renewable Fuel Ex Ethanol'!$I$122*'Renewable Fuel Ex Ethanol'!$I$124)</f>
        <v>8.3906492278792975</v>
      </c>
      <c r="H104" s="253">
        <f>(H40*2204.622)/('Renewable Fuel Ex Ethanol'!O30*'Renewable Fuel Ex Ethanol'!$I$122*'Renewable Fuel Ex Ethanol'!$I$124)</f>
        <v>8.4178369325547511</v>
      </c>
      <c r="I104" s="253">
        <f>(I40*2204.622)/('Renewable Fuel Ex Ethanol'!P30*'Renewable Fuel Ex Ethanol'!$I$122*'Renewable Fuel Ex Ethanol'!$I$124)</f>
        <v>8.3552980999716251</v>
      </c>
      <c r="J104" s="253">
        <f>(J40*2204.622)/('Renewable Fuel Ex Ethanol'!Q30*'Renewable Fuel Ex Ethanol'!$I$122*'Renewable Fuel Ex Ethanol'!$I$124)</f>
        <v>8.358687803442109</v>
      </c>
      <c r="K104" s="253">
        <f>(K40*2204.622)/('Renewable Fuel Ex Ethanol'!R30*'Renewable Fuel Ex Ethanol'!$I$122*'Renewable Fuel Ex Ethanol'!$I$124)</f>
        <v>8.3323329058741358</v>
      </c>
      <c r="L104" s="253">
        <f>(L40*2204.622)/('Renewable Fuel Ex Ethanol'!S30*'Renewable Fuel Ex Ethanol'!$I$122*'Renewable Fuel Ex Ethanol'!$I$124)</f>
        <v>8.325333600174579</v>
      </c>
      <c r="M104" s="253">
        <f>(M40*2204.622)/('Renewable Fuel Ex Ethanol'!T30*'Renewable Fuel Ex Ethanol'!$I$122*'Renewable Fuel Ex Ethanol'!$I$124)</f>
        <v>8.3374206054547155</v>
      </c>
      <c r="N104" s="253">
        <f>(N40*2204.622)/('Renewable Fuel Ex Ethanol'!U30*'Renewable Fuel Ex Ethanol'!$I$122*'Renewable Fuel Ex Ethanol'!$I$124)</f>
        <v>8.3494991017244526</v>
      </c>
      <c r="O104" s="253">
        <f>(O40*2204.622)/('Renewable Fuel Ex Ethanol'!V30*'Renewable Fuel Ex Ethanol'!$I$122*'Renewable Fuel Ex Ethanol'!$I$124)</f>
        <v>8.3502152778134491</v>
      </c>
      <c r="P104" s="253">
        <f>(P40*2204.622)/('Renewable Fuel Ex Ethanol'!W30*'Renewable Fuel Ex Ethanol'!$I$122*'Renewable Fuel Ex Ethanol'!$I$124)</f>
        <v>8.3515937321980402</v>
      </c>
      <c r="Q104" s="253">
        <f>(Q40*2204.622)/('Renewable Fuel Ex Ethanol'!X30*'Renewable Fuel Ex Ethanol'!$I$122*'Renewable Fuel Ex Ethanol'!$I$124)</f>
        <v>8.3477723730916118</v>
      </c>
      <c r="R104" s="253">
        <f>(R40*2204.622)/('Renewable Fuel Ex Ethanol'!Y30*'Renewable Fuel Ex Ethanol'!$I$122*'Renewable Fuel Ex Ethanol'!$I$124)</f>
        <v>8.3434239544690278</v>
      </c>
      <c r="S104" s="253">
        <f>(S40*2204.622)/('Renewable Fuel Ex Ethanol'!Z30*'Renewable Fuel Ex Ethanol'!$I$122*'Renewable Fuel Ex Ethanol'!$I$124)</f>
        <v>0</v>
      </c>
      <c r="T104" s="253">
        <f>(T40*2204.622)/('Renewable Fuel Ex Ethanol'!AA30*'Renewable Fuel Ex Ethanol'!$I$122*'Renewable Fuel Ex Ethanol'!$I$124)</f>
        <v>0</v>
      </c>
      <c r="U104" s="253">
        <f>(U40*2204.622)/('Renewable Fuel Ex Ethanol'!AB30*'Renewable Fuel Ex Ethanol'!$I$122*'Renewable Fuel Ex Ethanol'!$I$124)</f>
        <v>0</v>
      </c>
      <c r="V104" s="253">
        <f>(V40*2204.622)/('Renewable Fuel Ex Ethanol'!AC30*'Renewable Fuel Ex Ethanol'!$I$122*'Renewable Fuel Ex Ethanol'!$I$124)</f>
        <v>0</v>
      </c>
      <c r="W104" s="253">
        <f>(W40*2204.622)/('Renewable Fuel Ex Ethanol'!AD30*'Renewable Fuel Ex Ethanol'!$I$122*'Renewable Fuel Ex Ethanol'!$I$124)</f>
        <v>0</v>
      </c>
      <c r="X104" s="253">
        <f>(X40*2204.622)/('Renewable Fuel Ex Ethanol'!AE30*'Renewable Fuel Ex Ethanol'!$I$122*'Renewable Fuel Ex Ethanol'!$I$124)</f>
        <v>0</v>
      </c>
      <c r="Y104" s="253">
        <f>(Y40*2204.622)/('Renewable Fuel Ex Ethanol'!AF30*'Renewable Fuel Ex Ethanol'!$I$122*'Renewable Fuel Ex Ethanol'!$I$124)</f>
        <v>0</v>
      </c>
      <c r="Z104" s="253">
        <f>(Z40*2204.622)/('Renewable Fuel Ex Ethanol'!AG30*'Renewable Fuel Ex Ethanol'!$I$122*'Renewable Fuel Ex Ethanol'!$I$124)</f>
        <v>0</v>
      </c>
      <c r="AA104" s="253">
        <f>(AA40*2204.622)/('Renewable Fuel Ex Ethanol'!AH30*'Renewable Fuel Ex Ethanol'!$I$122*'Renewable Fuel Ex Ethanol'!$I$124)</f>
        <v>0</v>
      </c>
      <c r="AB104" s="253">
        <f>(AB40*2204.622)/('Renewable Fuel Ex Ethanol'!AI30*'Renewable Fuel Ex Ethanol'!$I$122*'Renewable Fuel Ex Ethanol'!$I$124)</f>
        <v>0</v>
      </c>
      <c r="AC104" s="253">
        <f>(AC40*2204.622)/('Renewable Fuel Ex Ethanol'!AJ30*'Renewable Fuel Ex Ethanol'!$I$122*'Renewable Fuel Ex Ethanol'!$I$124)</f>
        <v>0</v>
      </c>
      <c r="AD104" s="253">
        <f>(AD40*2204.622)/('Renewable Fuel Ex Ethanol'!AK30*'Renewable Fuel Ex Ethanol'!$I$122*'Renewable Fuel Ex Ethanol'!$I$124)</f>
        <v>0</v>
      </c>
      <c r="AE104" s="253">
        <f>(AE40*2204.622)/('Renewable Fuel Ex Ethanol'!AL30*'Renewable Fuel Ex Ethanol'!$I$122*'Renewable Fuel Ex Ethanol'!$I$124)</f>
        <v>0</v>
      </c>
      <c r="AF104" s="253">
        <f>(AF40*2204.622)/('Renewable Fuel Ex Ethanol'!AM30*'Renewable Fuel Ex Ethanol'!$I$122*'Renewable Fuel Ex Ethanol'!$I$124)</f>
        <v>0</v>
      </c>
      <c r="AG104" s="254"/>
      <c r="AI104" s="113" t="s">
        <v>283</v>
      </c>
      <c r="AJ104" s="252">
        <f t="shared" si="58"/>
        <v>8.4493551440298535</v>
      </c>
      <c r="AK104" s="252">
        <f t="shared" si="59"/>
        <v>8.0817516464487635</v>
      </c>
      <c r="AL104" s="252">
        <f t="shared" si="60"/>
        <v>8.7920874409979106</v>
      </c>
    </row>
    <row r="105" spans="1:38">
      <c r="A105" s="113" t="s">
        <v>138</v>
      </c>
      <c r="B105" s="252">
        <f>(B41*2204.622)/('Renewable Fuel Ex Ethanol'!I31*'Renewable Fuel Ex Ethanol'!$I$122*'Renewable Fuel Ex Ethanol'!$I$124)</f>
        <v>8.4431208568194958</v>
      </c>
      <c r="C105" s="252">
        <f>(C41*2204.622)/('Renewable Fuel Ex Ethanol'!J31*'Renewable Fuel Ex Ethanol'!$I$122*'Renewable Fuel Ex Ethanol'!$I$124)</f>
        <v>8.1442754272239775</v>
      </c>
      <c r="D105" s="252">
        <f>(D41*2204.622)/('Renewable Fuel Ex Ethanol'!K31*'Renewable Fuel Ex Ethanol'!$I$122*'Renewable Fuel Ex Ethanol'!$I$124)</f>
        <v>8.069033794499898</v>
      </c>
      <c r="E105" s="252">
        <f>(E41*2204.622)/('Renewable Fuel Ex Ethanol'!L31*'Renewable Fuel Ex Ethanol'!$I$122*'Renewable Fuel Ex Ethanol'!$I$124)</f>
        <v>8.3445810707095838</v>
      </c>
      <c r="F105" s="252">
        <f>(F41*2204.622)/('Renewable Fuel Ex Ethanol'!M31*'Renewable Fuel Ex Ethanol'!$I$122*'Renewable Fuel Ex Ethanol'!$I$124)</f>
        <v>8.3392786735733964</v>
      </c>
      <c r="G105" s="253">
        <f>(G41*2204.622)/('Renewable Fuel Ex Ethanol'!N31*'Renewable Fuel Ex Ethanol'!$I$122*'Renewable Fuel Ex Ethanol'!$I$124)</f>
        <v>8.4155689608814708</v>
      </c>
      <c r="H105" s="253">
        <f>(H41*2204.622)/('Renewable Fuel Ex Ethanol'!O31*'Renewable Fuel Ex Ethanol'!$I$122*'Renewable Fuel Ex Ethanol'!$I$124)</f>
        <v>8.3930787727154783</v>
      </c>
      <c r="I105" s="253">
        <f>(I41*2204.622)/('Renewable Fuel Ex Ethanol'!P31*'Renewable Fuel Ex Ethanol'!$I$122*'Renewable Fuel Ex Ethanol'!$I$124)</f>
        <v>8.3486717907098349</v>
      </c>
      <c r="J105" s="253">
        <f>(J41*2204.622)/('Renewable Fuel Ex Ethanol'!Q31*'Renewable Fuel Ex Ethanol'!$I$122*'Renewable Fuel Ex Ethanol'!$I$124)</f>
        <v>8.3198506043405516</v>
      </c>
      <c r="K105" s="253">
        <f>(K41*2204.622)/('Renewable Fuel Ex Ethanol'!R31*'Renewable Fuel Ex Ethanol'!$I$122*'Renewable Fuel Ex Ethanol'!$I$124)</f>
        <v>8.331983370692619</v>
      </c>
      <c r="L105" s="253">
        <f>(L41*2204.622)/('Renewable Fuel Ex Ethanol'!S31*'Renewable Fuel Ex Ethanol'!$I$122*'Renewable Fuel Ex Ethanol'!$I$124)</f>
        <v>8.3361970216674042</v>
      </c>
      <c r="M105" s="253">
        <f>(M41*2204.622)/('Renewable Fuel Ex Ethanol'!T31*'Renewable Fuel Ex Ethanol'!$I$122*'Renewable Fuel Ex Ethanol'!$I$124)</f>
        <v>8.3483147646491691</v>
      </c>
      <c r="N105" s="253">
        <f>(N41*2204.622)/('Renewable Fuel Ex Ethanol'!U31*'Renewable Fuel Ex Ethanol'!$I$122*'Renewable Fuel Ex Ethanol'!$I$124)</f>
        <v>8.3539615068148638</v>
      </c>
      <c r="O105" s="253">
        <f>(O41*2204.622)/('Renewable Fuel Ex Ethanol'!V31*'Renewable Fuel Ex Ethanol'!$I$122*'Renewable Fuel Ex Ethanol'!$I$124)</f>
        <v>8.3523771113597043</v>
      </c>
      <c r="P105" s="253">
        <f>(P41*2204.622)/('Renewable Fuel Ex Ethanol'!W31*'Renewable Fuel Ex Ethanol'!$I$122*'Renewable Fuel Ex Ethanol'!$I$124)</f>
        <v>8.3459335054807582</v>
      </c>
      <c r="Q105" s="253">
        <f>(Q41*2204.622)/('Renewable Fuel Ex Ethanol'!X31*'Renewable Fuel Ex Ethanol'!$I$122*'Renewable Fuel Ex Ethanol'!$I$124)</f>
        <v>8.3433606008532646</v>
      </c>
      <c r="R105" s="253">
        <f>(R41*2204.622)/('Renewable Fuel Ex Ethanol'!Y31*'Renewable Fuel Ex Ethanol'!$I$122*'Renewable Fuel Ex Ethanol'!$I$124)</f>
        <v>8.3420740723636051</v>
      </c>
      <c r="S105" s="253">
        <f>(S41*2204.622)/('Renewable Fuel Ex Ethanol'!Z31*'Renewable Fuel Ex Ethanol'!$I$122*'Renewable Fuel Ex Ethanol'!$I$124)</f>
        <v>0</v>
      </c>
      <c r="T105" s="253">
        <f>(T41*2204.622)/('Renewable Fuel Ex Ethanol'!AA31*'Renewable Fuel Ex Ethanol'!$I$122*'Renewable Fuel Ex Ethanol'!$I$124)</f>
        <v>0</v>
      </c>
      <c r="U105" s="253">
        <f>(U41*2204.622)/('Renewable Fuel Ex Ethanol'!AB31*'Renewable Fuel Ex Ethanol'!$I$122*'Renewable Fuel Ex Ethanol'!$I$124)</f>
        <v>0</v>
      </c>
      <c r="V105" s="253">
        <f>(V41*2204.622)/('Renewable Fuel Ex Ethanol'!AC31*'Renewable Fuel Ex Ethanol'!$I$122*'Renewable Fuel Ex Ethanol'!$I$124)</f>
        <v>0</v>
      </c>
      <c r="W105" s="253">
        <f>(W41*2204.622)/('Renewable Fuel Ex Ethanol'!AD31*'Renewable Fuel Ex Ethanol'!$I$122*'Renewable Fuel Ex Ethanol'!$I$124)</f>
        <v>0</v>
      </c>
      <c r="X105" s="253">
        <f>(X41*2204.622)/('Renewable Fuel Ex Ethanol'!AE31*'Renewable Fuel Ex Ethanol'!$I$122*'Renewable Fuel Ex Ethanol'!$I$124)</f>
        <v>0</v>
      </c>
      <c r="Y105" s="253">
        <f>(Y41*2204.622)/('Renewable Fuel Ex Ethanol'!AF31*'Renewable Fuel Ex Ethanol'!$I$122*'Renewable Fuel Ex Ethanol'!$I$124)</f>
        <v>0</v>
      </c>
      <c r="Z105" s="253">
        <f>(Z41*2204.622)/('Renewable Fuel Ex Ethanol'!AG31*'Renewable Fuel Ex Ethanol'!$I$122*'Renewable Fuel Ex Ethanol'!$I$124)</f>
        <v>0</v>
      </c>
      <c r="AA105" s="253">
        <f>(AA41*2204.622)/('Renewable Fuel Ex Ethanol'!AH31*'Renewable Fuel Ex Ethanol'!$I$122*'Renewable Fuel Ex Ethanol'!$I$124)</f>
        <v>0</v>
      </c>
      <c r="AB105" s="253">
        <f>(AB41*2204.622)/('Renewable Fuel Ex Ethanol'!AI31*'Renewable Fuel Ex Ethanol'!$I$122*'Renewable Fuel Ex Ethanol'!$I$124)</f>
        <v>0</v>
      </c>
      <c r="AC105" s="253">
        <f>(AC41*2204.622)/('Renewable Fuel Ex Ethanol'!AJ31*'Renewable Fuel Ex Ethanol'!$I$122*'Renewable Fuel Ex Ethanol'!$I$124)</f>
        <v>0</v>
      </c>
      <c r="AD105" s="253">
        <f>(AD41*2204.622)/('Renewable Fuel Ex Ethanol'!AK31*'Renewable Fuel Ex Ethanol'!$I$122*'Renewable Fuel Ex Ethanol'!$I$124)</f>
        <v>0</v>
      </c>
      <c r="AE105" s="253">
        <f>(AE41*2204.622)/('Renewable Fuel Ex Ethanol'!AL31*'Renewable Fuel Ex Ethanol'!$I$122*'Renewable Fuel Ex Ethanol'!$I$124)</f>
        <v>0</v>
      </c>
      <c r="AF105" s="253">
        <f>(AF41*2204.622)/('Renewable Fuel Ex Ethanol'!AM31*'Renewable Fuel Ex Ethanol'!$I$122*'Renewable Fuel Ex Ethanol'!$I$124)</f>
        <v>0</v>
      </c>
      <c r="AG105" s="254"/>
      <c r="AI105" s="113" t="s">
        <v>284</v>
      </c>
      <c r="AJ105" s="252">
        <f t="shared" si="58"/>
        <v>8.2188100261811226</v>
      </c>
      <c r="AK105" s="252">
        <f t="shared" si="59"/>
        <v>8.069033794499898</v>
      </c>
      <c r="AL105" s="252">
        <f t="shared" si="60"/>
        <v>8.4431208568194958</v>
      </c>
    </row>
    <row r="106" spans="1:38">
      <c r="A106" s="113" t="s">
        <v>139</v>
      </c>
      <c r="B106" s="252">
        <f>(B42*2204.622)/('Renewable Fuel Ex Ethanol'!I32*'Renewable Fuel Ex Ethanol'!$I$122*'Renewable Fuel Ex Ethanol'!$I$124)</f>
        <v>8.1196590474248147</v>
      </c>
      <c r="C106" s="252">
        <f>(C42*2204.622)/('Renewable Fuel Ex Ethanol'!J32*'Renewable Fuel Ex Ethanol'!$I$122*'Renewable Fuel Ex Ethanol'!$I$124)</f>
        <v>7.9515428659289453</v>
      </c>
      <c r="D106" s="252">
        <f>(D42*2204.622)/('Renewable Fuel Ex Ethanol'!K32*'Renewable Fuel Ex Ethanol'!$I$122*'Renewable Fuel Ex Ethanol'!$I$124)</f>
        <v>8.029161449340565</v>
      </c>
      <c r="E106" s="252">
        <f>(E42*2204.622)/('Renewable Fuel Ex Ethanol'!L32*'Renewable Fuel Ex Ethanol'!$I$122*'Renewable Fuel Ex Ethanol'!$I$124)</f>
        <v>7.7274195842426128</v>
      </c>
      <c r="F106" s="252">
        <f>(F42*2204.622)/('Renewable Fuel Ex Ethanol'!M32*'Renewable Fuel Ex Ethanol'!$I$122*'Renewable Fuel Ex Ethanol'!$I$124)</f>
        <v>8.3855849769235125</v>
      </c>
      <c r="G106" s="253">
        <f>(G42*2204.622)/('Renewable Fuel Ex Ethanol'!N32*'Renewable Fuel Ex Ethanol'!$I$122*'Renewable Fuel Ex Ethanol'!$I$124)</f>
        <v>8.6026753435540968</v>
      </c>
      <c r="H106" s="253">
        <f>(H42*2204.622)/('Renewable Fuel Ex Ethanol'!O32*'Renewable Fuel Ex Ethanol'!$I$122*'Renewable Fuel Ex Ethanol'!$I$124)</f>
        <v>8.4374259728272936</v>
      </c>
      <c r="I106" s="253">
        <f>(I42*2204.622)/('Renewable Fuel Ex Ethanol'!P32*'Renewable Fuel Ex Ethanol'!$I$122*'Renewable Fuel Ex Ethanol'!$I$124)</f>
        <v>8.3532009980474626</v>
      </c>
      <c r="J106" s="253">
        <f>(J42*2204.622)/('Renewable Fuel Ex Ethanol'!Q32*'Renewable Fuel Ex Ethanol'!$I$122*'Renewable Fuel Ex Ethanol'!$I$124)</f>
        <v>8.3240330109612906</v>
      </c>
      <c r="K106" s="253">
        <f>(K42*2204.622)/('Renewable Fuel Ex Ethanol'!R32*'Renewable Fuel Ex Ethanol'!$I$122*'Renewable Fuel Ex Ethanol'!$I$124)</f>
        <v>8.286484242627246</v>
      </c>
      <c r="L106" s="253">
        <f>(L42*2204.622)/('Renewable Fuel Ex Ethanol'!S32*'Renewable Fuel Ex Ethanol'!$I$122*'Renewable Fuel Ex Ethanol'!$I$124)</f>
        <v>8.3123212769091364</v>
      </c>
      <c r="M106" s="253">
        <f>(M42*2204.622)/('Renewable Fuel Ex Ethanol'!T32*'Renewable Fuel Ex Ethanol'!$I$122*'Renewable Fuel Ex Ethanol'!$I$124)</f>
        <v>8.3550910716857096</v>
      </c>
      <c r="N106" s="253">
        <f>(N42*2204.622)/('Renewable Fuel Ex Ethanol'!U32*'Renewable Fuel Ex Ethanol'!$I$122*'Renewable Fuel Ex Ethanol'!$I$124)</f>
        <v>8.3649438485054333</v>
      </c>
      <c r="O106" s="253">
        <f>(O42*2204.622)/('Renewable Fuel Ex Ethanol'!V32*'Renewable Fuel Ex Ethanol'!$I$122*'Renewable Fuel Ex Ethanol'!$I$124)</f>
        <v>8.3614019707080889</v>
      </c>
      <c r="P106" s="253">
        <f>(P42*2204.622)/('Renewable Fuel Ex Ethanol'!W32*'Renewable Fuel Ex Ethanol'!$I$122*'Renewable Fuel Ex Ethanol'!$I$124)</f>
        <v>8.3537002831502001</v>
      </c>
      <c r="Q106" s="253">
        <f>(Q42*2204.622)/('Renewable Fuel Ex Ethanol'!X32*'Renewable Fuel Ex Ethanol'!$I$122*'Renewable Fuel Ex Ethanol'!$I$124)</f>
        <v>8.3409963087324446</v>
      </c>
      <c r="R106" s="253">
        <f>(R42*2204.622)/('Renewable Fuel Ex Ethanol'!Y32*'Renewable Fuel Ex Ethanol'!$I$122*'Renewable Fuel Ex Ethanol'!$I$124)</f>
        <v>8.3357178339828373</v>
      </c>
      <c r="S106" s="253">
        <f>(S42*2204.622)/('Renewable Fuel Ex Ethanol'!Z32*'Renewable Fuel Ex Ethanol'!$I$122*'Renewable Fuel Ex Ethanol'!$I$124)</f>
        <v>0</v>
      </c>
      <c r="T106" s="253">
        <f>(T42*2204.622)/('Renewable Fuel Ex Ethanol'!AA32*'Renewable Fuel Ex Ethanol'!$I$122*'Renewable Fuel Ex Ethanol'!$I$124)</f>
        <v>0</v>
      </c>
      <c r="U106" s="253">
        <f>(U42*2204.622)/('Renewable Fuel Ex Ethanol'!AB32*'Renewable Fuel Ex Ethanol'!$I$122*'Renewable Fuel Ex Ethanol'!$I$124)</f>
        <v>0</v>
      </c>
      <c r="V106" s="253">
        <f>(V42*2204.622)/('Renewable Fuel Ex Ethanol'!AC32*'Renewable Fuel Ex Ethanol'!$I$122*'Renewable Fuel Ex Ethanol'!$I$124)</f>
        <v>0</v>
      </c>
      <c r="W106" s="253">
        <f>(W42*2204.622)/('Renewable Fuel Ex Ethanol'!AD32*'Renewable Fuel Ex Ethanol'!$I$122*'Renewable Fuel Ex Ethanol'!$I$124)</f>
        <v>0</v>
      </c>
      <c r="X106" s="253">
        <f>(X42*2204.622)/('Renewable Fuel Ex Ethanol'!AE32*'Renewable Fuel Ex Ethanol'!$I$122*'Renewable Fuel Ex Ethanol'!$I$124)</f>
        <v>0</v>
      </c>
      <c r="Y106" s="253">
        <f>(Y42*2204.622)/('Renewable Fuel Ex Ethanol'!AF32*'Renewable Fuel Ex Ethanol'!$I$122*'Renewable Fuel Ex Ethanol'!$I$124)</f>
        <v>0</v>
      </c>
      <c r="Z106" s="253">
        <f>(Z42*2204.622)/('Renewable Fuel Ex Ethanol'!AG32*'Renewable Fuel Ex Ethanol'!$I$122*'Renewable Fuel Ex Ethanol'!$I$124)</f>
        <v>0</v>
      </c>
      <c r="AA106" s="253">
        <f>(AA42*2204.622)/('Renewable Fuel Ex Ethanol'!AH32*'Renewable Fuel Ex Ethanol'!$I$122*'Renewable Fuel Ex Ethanol'!$I$124)</f>
        <v>0</v>
      </c>
      <c r="AB106" s="253">
        <f>(AB42*2204.622)/('Renewable Fuel Ex Ethanol'!AI32*'Renewable Fuel Ex Ethanol'!$I$122*'Renewable Fuel Ex Ethanol'!$I$124)</f>
        <v>0</v>
      </c>
      <c r="AC106" s="253">
        <f>(AC42*2204.622)/('Renewable Fuel Ex Ethanol'!AJ32*'Renewable Fuel Ex Ethanol'!$I$122*'Renewable Fuel Ex Ethanol'!$I$124)</f>
        <v>0</v>
      </c>
      <c r="AD106" s="253">
        <f>(AD42*2204.622)/('Renewable Fuel Ex Ethanol'!AK32*'Renewable Fuel Ex Ethanol'!$I$122*'Renewable Fuel Ex Ethanol'!$I$124)</f>
        <v>0</v>
      </c>
      <c r="AE106" s="253">
        <f>(AE42*2204.622)/('Renewable Fuel Ex Ethanol'!AL32*'Renewable Fuel Ex Ethanol'!$I$122*'Renewable Fuel Ex Ethanol'!$I$124)</f>
        <v>0</v>
      </c>
      <c r="AF106" s="253">
        <f>(AF42*2204.622)/('Renewable Fuel Ex Ethanol'!AM32*'Renewable Fuel Ex Ethanol'!$I$122*'Renewable Fuel Ex Ethanol'!$I$124)</f>
        <v>0</v>
      </c>
      <c r="AG106" s="254"/>
      <c r="AI106" s="113" t="s">
        <v>285</v>
      </c>
      <c r="AJ106" s="252">
        <f t="shared" si="58"/>
        <v>8.0334544542314408</v>
      </c>
      <c r="AK106" s="252">
        <f t="shared" si="59"/>
        <v>7.9515428659289453</v>
      </c>
      <c r="AL106" s="252">
        <f t="shared" si="60"/>
        <v>8.1196590474248147</v>
      </c>
    </row>
    <row r="107" spans="1:38">
      <c r="A107" s="113" t="s">
        <v>140</v>
      </c>
      <c r="B107" s="252">
        <f>(B43*2204.622)/('Renewable Fuel Ex Ethanol'!I33*'Renewable Fuel Ex Ethanol'!$I$122*'Renewable Fuel Ex Ethanol'!$I$124)</f>
        <v>8.4673688623106145</v>
      </c>
      <c r="C107" s="252">
        <f>(C43*2204.622)/('Renewable Fuel Ex Ethanol'!J33*'Renewable Fuel Ex Ethanol'!$I$122*'Renewable Fuel Ex Ethanol'!$I$124)</f>
        <v>8.0787699882190989</v>
      </c>
      <c r="D107" s="252">
        <f>(D43*2204.622)/('Renewable Fuel Ex Ethanol'!K33*'Renewable Fuel Ex Ethanol'!$I$122*'Renewable Fuel Ex Ethanol'!$I$124)</f>
        <v>8.1804516265281908</v>
      </c>
      <c r="E107" s="252">
        <f>(E43*2204.622)/('Renewable Fuel Ex Ethanol'!L33*'Renewable Fuel Ex Ethanol'!$I$122*'Renewable Fuel Ex Ethanol'!$I$124)</f>
        <v>8.3609757142596948</v>
      </c>
      <c r="F107" s="252">
        <f>(F43*2204.622)/('Renewable Fuel Ex Ethanol'!M33*'Renewable Fuel Ex Ethanol'!$I$122*'Renewable Fuel Ex Ethanol'!$I$124)</f>
        <v>8.2529157103097361</v>
      </c>
      <c r="G107" s="253">
        <f>(G43*2204.622)/('Renewable Fuel Ex Ethanol'!N33*'Renewable Fuel Ex Ethanol'!$I$122*'Renewable Fuel Ex Ethanol'!$I$124)</f>
        <v>8.4285836773361655</v>
      </c>
      <c r="H107" s="253">
        <f>(H43*2204.622)/('Renewable Fuel Ex Ethanol'!O33*'Renewable Fuel Ex Ethanol'!$I$122*'Renewable Fuel Ex Ethanol'!$I$124)</f>
        <v>8.3762296544027528</v>
      </c>
      <c r="I107" s="253">
        <f>(I43*2204.622)/('Renewable Fuel Ex Ethanol'!P33*'Renewable Fuel Ex Ethanol'!$I$122*'Renewable Fuel Ex Ethanol'!$I$124)</f>
        <v>8.3381559111245025</v>
      </c>
      <c r="J107" s="253">
        <f>(J43*2204.622)/('Renewable Fuel Ex Ethanol'!Q33*'Renewable Fuel Ex Ethanol'!$I$122*'Renewable Fuel Ex Ethanol'!$I$124)</f>
        <v>8.3337329178726396</v>
      </c>
      <c r="K107" s="253">
        <f>(K43*2204.622)/('Renewable Fuel Ex Ethanol'!R33*'Renewable Fuel Ex Ethanol'!$I$122*'Renewable Fuel Ex Ethanol'!$I$124)</f>
        <v>8.3404804422758581</v>
      </c>
      <c r="L107" s="253">
        <f>(L43*2204.622)/('Renewable Fuel Ex Ethanol'!S33*'Renewable Fuel Ex Ethanol'!$I$122*'Renewable Fuel Ex Ethanol'!$I$124)</f>
        <v>8.3329220390703114</v>
      </c>
      <c r="M107" s="253">
        <f>(M43*2204.622)/('Renewable Fuel Ex Ethanol'!T33*'Renewable Fuel Ex Ethanol'!$I$122*'Renewable Fuel Ex Ethanol'!$I$124)</f>
        <v>8.3489637362240821</v>
      </c>
      <c r="N107" s="253">
        <f>(N43*2204.622)/('Renewable Fuel Ex Ethanol'!U33*'Renewable Fuel Ex Ethanol'!$I$122*'Renewable Fuel Ex Ethanol'!$I$124)</f>
        <v>8.3518744246121308</v>
      </c>
      <c r="O107" s="253">
        <f>(O43*2204.622)/('Renewable Fuel Ex Ethanol'!V33*'Renewable Fuel Ex Ethanol'!$I$122*'Renewable Fuel Ex Ethanol'!$I$124)</f>
        <v>8.3490487553096688</v>
      </c>
      <c r="P107" s="253">
        <f>(P43*2204.622)/('Renewable Fuel Ex Ethanol'!W33*'Renewable Fuel Ex Ethanol'!$I$122*'Renewable Fuel Ex Ethanol'!$I$124)</f>
        <v>8.3459756171310229</v>
      </c>
      <c r="Q107" s="253">
        <f>(Q43*2204.622)/('Renewable Fuel Ex Ethanol'!X33*'Renewable Fuel Ex Ethanol'!$I$122*'Renewable Fuel Ex Ethanol'!$I$124)</f>
        <v>8.3449516960035677</v>
      </c>
      <c r="R107" s="253">
        <f>(R43*2204.622)/('Renewable Fuel Ex Ethanol'!Y33*'Renewable Fuel Ex Ethanol'!$I$122*'Renewable Fuel Ex Ethanol'!$I$124)</f>
        <v>8.3426867114526058</v>
      </c>
      <c r="S107" s="253">
        <f>(S43*2204.622)/('Renewable Fuel Ex Ethanol'!Z33*'Renewable Fuel Ex Ethanol'!$I$122*'Renewable Fuel Ex Ethanol'!$I$124)</f>
        <v>0</v>
      </c>
      <c r="T107" s="253">
        <f>(T43*2204.622)/('Renewable Fuel Ex Ethanol'!AA33*'Renewable Fuel Ex Ethanol'!$I$122*'Renewable Fuel Ex Ethanol'!$I$124)</f>
        <v>0</v>
      </c>
      <c r="U107" s="253">
        <f>(U43*2204.622)/('Renewable Fuel Ex Ethanol'!AB33*'Renewable Fuel Ex Ethanol'!$I$122*'Renewable Fuel Ex Ethanol'!$I$124)</f>
        <v>0</v>
      </c>
      <c r="V107" s="253">
        <f>(V43*2204.622)/('Renewable Fuel Ex Ethanol'!AC33*'Renewable Fuel Ex Ethanol'!$I$122*'Renewable Fuel Ex Ethanol'!$I$124)</f>
        <v>0</v>
      </c>
      <c r="W107" s="253">
        <f>(W43*2204.622)/('Renewable Fuel Ex Ethanol'!AD33*'Renewable Fuel Ex Ethanol'!$I$122*'Renewable Fuel Ex Ethanol'!$I$124)</f>
        <v>0</v>
      </c>
      <c r="X107" s="253">
        <f>(X43*2204.622)/('Renewable Fuel Ex Ethanol'!AE33*'Renewable Fuel Ex Ethanol'!$I$122*'Renewable Fuel Ex Ethanol'!$I$124)</f>
        <v>0</v>
      </c>
      <c r="Y107" s="253">
        <f>(Y43*2204.622)/('Renewable Fuel Ex Ethanol'!AF33*'Renewable Fuel Ex Ethanol'!$I$122*'Renewable Fuel Ex Ethanol'!$I$124)</f>
        <v>0</v>
      </c>
      <c r="Z107" s="253">
        <f>(Z43*2204.622)/('Renewable Fuel Ex Ethanol'!AG33*'Renewable Fuel Ex Ethanol'!$I$122*'Renewable Fuel Ex Ethanol'!$I$124)</f>
        <v>0</v>
      </c>
      <c r="AA107" s="253">
        <f>(AA43*2204.622)/('Renewable Fuel Ex Ethanol'!AH33*'Renewable Fuel Ex Ethanol'!$I$122*'Renewable Fuel Ex Ethanol'!$I$124)</f>
        <v>0</v>
      </c>
      <c r="AB107" s="253">
        <f>(AB43*2204.622)/('Renewable Fuel Ex Ethanol'!AI33*'Renewable Fuel Ex Ethanol'!$I$122*'Renewable Fuel Ex Ethanol'!$I$124)</f>
        <v>0</v>
      </c>
      <c r="AC107" s="253">
        <f>(AC43*2204.622)/('Renewable Fuel Ex Ethanol'!AJ33*'Renewable Fuel Ex Ethanol'!$I$122*'Renewable Fuel Ex Ethanol'!$I$124)</f>
        <v>0</v>
      </c>
      <c r="AD107" s="253">
        <f>(AD43*2204.622)/('Renewable Fuel Ex Ethanol'!AK33*'Renewable Fuel Ex Ethanol'!$I$122*'Renewable Fuel Ex Ethanol'!$I$124)</f>
        <v>0</v>
      </c>
      <c r="AE107" s="253">
        <f>(AE43*2204.622)/('Renewable Fuel Ex Ethanol'!AL33*'Renewable Fuel Ex Ethanol'!$I$122*'Renewable Fuel Ex Ethanol'!$I$124)</f>
        <v>0</v>
      </c>
      <c r="AF107" s="253">
        <f>(AF43*2204.622)/('Renewable Fuel Ex Ethanol'!AM33*'Renewable Fuel Ex Ethanol'!$I$122*'Renewable Fuel Ex Ethanol'!$I$124)</f>
        <v>0</v>
      </c>
      <c r="AG107" s="254"/>
      <c r="AI107" s="113" t="s">
        <v>286</v>
      </c>
      <c r="AJ107" s="252">
        <f t="shared" si="58"/>
        <v>8.2421968256859675</v>
      </c>
      <c r="AK107" s="252">
        <f t="shared" si="59"/>
        <v>8.0787699882190989</v>
      </c>
      <c r="AL107" s="252">
        <f t="shared" si="60"/>
        <v>8.4673688623106145</v>
      </c>
    </row>
    <row r="108" spans="1:38" ht="12" thickBot="1">
      <c r="A108" s="113" t="s">
        <v>287</v>
      </c>
      <c r="B108" s="252">
        <f t="shared" ref="B108:AF108" si="61">AVERAGE(B96:B107)</f>
        <v>8.2760172456312429</v>
      </c>
      <c r="C108" s="252">
        <f t="shared" si="61"/>
        <v>8.1485070928821237</v>
      </c>
      <c r="D108" s="252">
        <f t="shared" si="61"/>
        <v>8.0965242962876758</v>
      </c>
      <c r="E108" s="254">
        <f t="shared" si="61"/>
        <v>8.0914612920084892</v>
      </c>
      <c r="F108" s="254">
        <f t="shared" si="61"/>
        <v>8.4037773047068463</v>
      </c>
      <c r="G108" s="253">
        <f t="shared" si="61"/>
        <v>8.4637657015839185</v>
      </c>
      <c r="H108" s="253">
        <f t="shared" si="61"/>
        <v>8.3803915114098135</v>
      </c>
      <c r="I108" s="253">
        <f t="shared" si="61"/>
        <v>8.3431146622749814</v>
      </c>
      <c r="J108" s="253">
        <f>AVERAGE(J96:J107)</f>
        <v>8.3273591057877372</v>
      </c>
      <c r="K108" s="253">
        <f t="shared" si="61"/>
        <v>8.3176222865605265</v>
      </c>
      <c r="L108" s="253">
        <f t="shared" si="61"/>
        <v>8.3354841205764671</v>
      </c>
      <c r="M108" s="253">
        <f t="shared" si="61"/>
        <v>8.353060954566276</v>
      </c>
      <c r="N108" s="253">
        <f t="shared" si="61"/>
        <v>8.3553784081167937</v>
      </c>
      <c r="O108" s="253">
        <f t="shared" si="61"/>
        <v>8.3525403909363458</v>
      </c>
      <c r="P108" s="253">
        <f t="shared" si="61"/>
        <v>8.3475312517076414</v>
      </c>
      <c r="Q108" s="253">
        <f t="shared" si="61"/>
        <v>8.3419361044722731</v>
      </c>
      <c r="R108" s="253">
        <f t="shared" si="61"/>
        <v>8.3408161763577926</v>
      </c>
      <c r="S108" s="253">
        <f t="shared" si="61"/>
        <v>0</v>
      </c>
      <c r="T108" s="253">
        <f t="shared" si="61"/>
        <v>0</v>
      </c>
      <c r="U108" s="253">
        <f t="shared" si="61"/>
        <v>0</v>
      </c>
      <c r="V108" s="253">
        <f t="shared" si="61"/>
        <v>0</v>
      </c>
      <c r="W108" s="253">
        <f t="shared" si="61"/>
        <v>0</v>
      </c>
      <c r="X108" s="253">
        <f t="shared" si="61"/>
        <v>0</v>
      </c>
      <c r="Y108" s="253">
        <f t="shared" si="61"/>
        <v>0</v>
      </c>
      <c r="Z108" s="253">
        <f t="shared" si="61"/>
        <v>0</v>
      </c>
      <c r="AA108" s="253">
        <f t="shared" si="61"/>
        <v>0</v>
      </c>
      <c r="AB108" s="253">
        <f t="shared" si="61"/>
        <v>0</v>
      </c>
      <c r="AC108" s="253">
        <f t="shared" si="61"/>
        <v>0</v>
      </c>
      <c r="AD108" s="253">
        <f t="shared" si="61"/>
        <v>0</v>
      </c>
      <c r="AE108" s="253">
        <f t="shared" si="61"/>
        <v>0</v>
      </c>
      <c r="AF108" s="253">
        <f t="shared" si="61"/>
        <v>0</v>
      </c>
      <c r="AG108" s="254"/>
      <c r="AI108" s="113" t="s">
        <v>288</v>
      </c>
      <c r="AJ108" s="252">
        <f t="shared" si="58"/>
        <v>8.1736828782670141</v>
      </c>
      <c r="AK108" s="252">
        <f t="shared" si="59"/>
        <v>8.0965242962876758</v>
      </c>
      <c r="AL108" s="252">
        <f t="shared" si="60"/>
        <v>8.2760172456312429</v>
      </c>
    </row>
    <row r="109" spans="1:38">
      <c r="A109" s="199"/>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row>
    <row r="110" spans="1:38" ht="12" thickBot="1">
      <c r="A110" s="138" t="s">
        <v>289</v>
      </c>
    </row>
    <row r="111" spans="1:38" ht="12" thickBot="1">
      <c r="A111" s="176"/>
      <c r="B111" s="177">
        <f>B3</f>
        <v>2020</v>
      </c>
      <c r="C111" s="177">
        <f>C3</f>
        <v>2021</v>
      </c>
      <c r="D111" s="177">
        <f>D3</f>
        <v>2022</v>
      </c>
      <c r="E111" s="177">
        <f>E3</f>
        <v>2023</v>
      </c>
      <c r="F111" s="177">
        <f>F3</f>
        <v>2024</v>
      </c>
      <c r="G111" s="177">
        <f t="shared" ref="G111:AF111" si="62">G3</f>
        <v>2025</v>
      </c>
      <c r="H111" s="177">
        <f t="shared" si="62"/>
        <v>2026</v>
      </c>
      <c r="I111" s="177">
        <f t="shared" si="62"/>
        <v>2027</v>
      </c>
      <c r="J111" s="177">
        <f t="shared" si="62"/>
        <v>2028</v>
      </c>
      <c r="K111" s="177">
        <f t="shared" si="62"/>
        <v>2029</v>
      </c>
      <c r="L111" s="177">
        <f t="shared" si="62"/>
        <v>2030</v>
      </c>
      <c r="M111" s="177">
        <f t="shared" si="62"/>
        <v>2031</v>
      </c>
      <c r="N111" s="177">
        <f t="shared" si="62"/>
        <v>2032</v>
      </c>
      <c r="O111" s="177">
        <f t="shared" si="62"/>
        <v>2033</v>
      </c>
      <c r="P111" s="177">
        <f t="shared" si="62"/>
        <v>2034</v>
      </c>
      <c r="Q111" s="177">
        <f t="shared" si="62"/>
        <v>2035</v>
      </c>
      <c r="R111" s="177">
        <f t="shared" si="62"/>
        <v>2036</v>
      </c>
      <c r="S111" s="177">
        <f t="shared" si="62"/>
        <v>2037</v>
      </c>
      <c r="T111" s="177">
        <f t="shared" si="62"/>
        <v>2038</v>
      </c>
      <c r="U111" s="177">
        <f t="shared" si="62"/>
        <v>2039</v>
      </c>
      <c r="V111" s="177">
        <f t="shared" si="62"/>
        <v>2040</v>
      </c>
      <c r="W111" s="177">
        <f t="shared" si="62"/>
        <v>2041</v>
      </c>
      <c r="X111" s="177">
        <f t="shared" si="62"/>
        <v>2042</v>
      </c>
      <c r="Y111" s="177">
        <f t="shared" si="62"/>
        <v>2043</v>
      </c>
      <c r="Z111" s="177">
        <f t="shared" si="62"/>
        <v>2044</v>
      </c>
      <c r="AA111" s="177">
        <f t="shared" si="62"/>
        <v>2045</v>
      </c>
      <c r="AB111" s="177">
        <f t="shared" si="62"/>
        <v>2046</v>
      </c>
      <c r="AC111" s="177">
        <f t="shared" si="62"/>
        <v>2047</v>
      </c>
      <c r="AD111" s="177">
        <f t="shared" si="62"/>
        <v>2048</v>
      </c>
      <c r="AE111" s="177">
        <f t="shared" si="62"/>
        <v>2049</v>
      </c>
      <c r="AF111" s="177">
        <f t="shared" si="62"/>
        <v>2050</v>
      </c>
      <c r="AG111" s="248"/>
    </row>
    <row r="112" spans="1:38">
      <c r="A112" s="113" t="s">
        <v>129</v>
      </c>
      <c r="B112" s="13">
        <f>B64+B48</f>
        <v>-882</v>
      </c>
      <c r="C112" s="13">
        <f>C64+C48</f>
        <v>877</v>
      </c>
      <c r="D112" s="13">
        <f>D64+D48</f>
        <v>85</v>
      </c>
      <c r="E112" s="13">
        <f>E64+E48</f>
        <v>-189</v>
      </c>
      <c r="F112" s="118">
        <f>F64+F48</f>
        <v>-11538</v>
      </c>
      <c r="G112" s="118">
        <f t="shared" ref="G112:AF121" si="63">G64+G48</f>
        <v>-15635.916666666657</v>
      </c>
      <c r="H112" s="118">
        <f t="shared" si="63"/>
        <v>-4884.7892676828851</v>
      </c>
      <c r="I112" s="118">
        <f t="shared" si="63"/>
        <v>-5021.0335861770436</v>
      </c>
      <c r="J112" s="118">
        <f t="shared" si="63"/>
        <v>-5115.0371442923833</v>
      </c>
      <c r="K112" s="118">
        <f t="shared" si="63"/>
        <v>-9928.0246297427602</v>
      </c>
      <c r="L112" s="118">
        <f t="shared" si="63"/>
        <v>-8116.9602589123469</v>
      </c>
      <c r="M112" s="118">
        <f t="shared" si="63"/>
        <v>-6613.1689773614835</v>
      </c>
      <c r="N112" s="118">
        <f t="shared" si="63"/>
        <v>-6958.8449192972048</v>
      </c>
      <c r="O112" s="118">
        <f t="shared" si="63"/>
        <v>-7346.4071859212363</v>
      </c>
      <c r="P112" s="118">
        <f t="shared" si="63"/>
        <v>-7792.6811942470076</v>
      </c>
      <c r="Q112" s="118">
        <f t="shared" si="63"/>
        <v>-7365.6125071478555</v>
      </c>
      <c r="R112" s="118">
        <f t="shared" si="63"/>
        <v>-7215.3429567949561</v>
      </c>
      <c r="S112" s="118">
        <f t="shared" si="63"/>
        <v>-7351.8256134000649</v>
      </c>
      <c r="T112" s="118">
        <f t="shared" si="63"/>
        <v>-7427.1595108192514</v>
      </c>
      <c r="U112" s="118">
        <f t="shared" si="63"/>
        <v>-7440.1414411837677</v>
      </c>
      <c r="V112" s="118">
        <f t="shared" si="63"/>
        <v>-7366.6114929877267</v>
      </c>
      <c r="W112" s="118">
        <f t="shared" si="63"/>
        <v>-7363.5960201190264</v>
      </c>
      <c r="X112" s="118">
        <f t="shared" si="63"/>
        <v>-7389.8668157019665</v>
      </c>
      <c r="Y112" s="118">
        <f t="shared" si="63"/>
        <v>-7397.4750561623468</v>
      </c>
      <c r="Z112" s="118">
        <f t="shared" si="63"/>
        <v>-7391.5381652309679</v>
      </c>
      <c r="AA112" s="118">
        <f t="shared" si="63"/>
        <v>-7381.8175100404069</v>
      </c>
      <c r="AB112" s="118">
        <f t="shared" si="63"/>
        <v>-7384.8587134509426</v>
      </c>
      <c r="AC112" s="118">
        <f t="shared" si="63"/>
        <v>-7389.1112521173263</v>
      </c>
      <c r="AD112" s="118">
        <f t="shared" si="63"/>
        <v>-7388.9601394003994</v>
      </c>
      <c r="AE112" s="118">
        <f t="shared" si="63"/>
        <v>-7387.2571560480092</v>
      </c>
      <c r="AF112" s="118">
        <f t="shared" si="63"/>
        <v>-7386.4009542114163</v>
      </c>
      <c r="AG112" s="118"/>
    </row>
    <row r="113" spans="1:33">
      <c r="A113" s="113" t="s">
        <v>130</v>
      </c>
      <c r="B113" s="13">
        <f t="shared" ref="B113:Q123" si="64">B65+B49</f>
        <v>-156</v>
      </c>
      <c r="C113" s="13">
        <f t="shared" si="64"/>
        <v>-68</v>
      </c>
      <c r="D113" s="13">
        <f t="shared" si="64"/>
        <v>-146</v>
      </c>
      <c r="E113" s="13">
        <f t="shared" si="64"/>
        <v>-351</v>
      </c>
      <c r="F113" s="118">
        <f t="shared" si="64"/>
        <v>6264</v>
      </c>
      <c r="G113" s="118">
        <f t="shared" si="63"/>
        <v>-4542.916666666657</v>
      </c>
      <c r="H113" s="118">
        <f t="shared" si="63"/>
        <v>190.05166247269909</v>
      </c>
      <c r="I113" s="118">
        <f t="shared" si="63"/>
        <v>218.84615821128122</v>
      </c>
      <c r="J113" s="118">
        <f t="shared" si="63"/>
        <v>244.25943738520243</v>
      </c>
      <c r="K113" s="118">
        <f t="shared" si="63"/>
        <v>531.36424635272749</v>
      </c>
      <c r="L113" s="118">
        <f t="shared" si="63"/>
        <v>-671.67903244894921</v>
      </c>
      <c r="M113" s="118">
        <f t="shared" si="63"/>
        <v>102.56849439459224</v>
      </c>
      <c r="N113" s="118">
        <f t="shared" si="63"/>
        <v>85.071860778970859</v>
      </c>
      <c r="O113" s="118">
        <f t="shared" si="63"/>
        <v>58.31700129250877</v>
      </c>
      <c r="P113" s="118">
        <f t="shared" si="63"/>
        <v>21.128514073970031</v>
      </c>
      <c r="Q113" s="118">
        <f t="shared" si="63"/>
        <v>-80.918632381781464</v>
      </c>
      <c r="R113" s="118">
        <f t="shared" si="63"/>
        <v>37.233447631652083</v>
      </c>
      <c r="S113" s="118">
        <f t="shared" si="63"/>
        <v>11.30024815066087</v>
      </c>
      <c r="T113" s="118">
        <f t="shared" si="63"/>
        <v>-0.80880476715870553</v>
      </c>
      <c r="U113" s="118">
        <f t="shared" si="63"/>
        <v>-10.090248144161336</v>
      </c>
      <c r="V113" s="118">
        <f t="shared" si="63"/>
        <v>-13.760022783382647</v>
      </c>
      <c r="W113" s="118">
        <f t="shared" si="63"/>
        <v>2.1536006178750351</v>
      </c>
      <c r="X113" s="118">
        <f t="shared" si="63"/>
        <v>-2.2410453852333565</v>
      </c>
      <c r="Y113" s="118">
        <f t="shared" si="63"/>
        <v>-4.9493040924122012</v>
      </c>
      <c r="Z113" s="118">
        <f t="shared" si="63"/>
        <v>-5.7774039574629015</v>
      </c>
      <c r="AA113" s="118">
        <f t="shared" si="63"/>
        <v>-4.9148351201232137</v>
      </c>
      <c r="AB113" s="118">
        <f t="shared" si="63"/>
        <v>-3.1457975874713275</v>
      </c>
      <c r="AC113" s="118">
        <f t="shared" si="63"/>
        <v>-4.2056772285406003</v>
      </c>
      <c r="AD113" s="118">
        <f t="shared" si="63"/>
        <v>-4.5986035972020494</v>
      </c>
      <c r="AE113" s="118">
        <f t="shared" si="63"/>
        <v>-4.5284634981600194</v>
      </c>
      <c r="AF113" s="118">
        <f t="shared" si="63"/>
        <v>-4.2786754062994419</v>
      </c>
      <c r="AG113" s="118"/>
    </row>
    <row r="114" spans="1:33">
      <c r="A114" s="113" t="s">
        <v>131</v>
      </c>
      <c r="B114" s="13">
        <f t="shared" si="64"/>
        <v>-375</v>
      </c>
      <c r="C114" s="13">
        <f t="shared" si="64"/>
        <v>-149</v>
      </c>
      <c r="D114" s="13">
        <f t="shared" si="64"/>
        <v>-187</v>
      </c>
      <c r="E114" s="13">
        <f t="shared" si="64"/>
        <v>3528</v>
      </c>
      <c r="F114" s="118">
        <f t="shared" si="64"/>
        <v>25493</v>
      </c>
      <c r="G114" s="118">
        <f t="shared" si="63"/>
        <v>6194.3427439645056</v>
      </c>
      <c r="H114" s="118">
        <f t="shared" si="63"/>
        <v>6385.5322987750769</v>
      </c>
      <c r="I114" s="118">
        <f t="shared" si="63"/>
        <v>6461.8097602975495</v>
      </c>
      <c r="J114" s="118">
        <f t="shared" si="63"/>
        <v>6596.7469776199787</v>
      </c>
      <c r="K114" s="118">
        <f t="shared" si="63"/>
        <v>12008.487826285111</v>
      </c>
      <c r="L114" s="118">
        <f t="shared" si="63"/>
        <v>7529.3839213884439</v>
      </c>
      <c r="M114" s="118">
        <f t="shared" si="63"/>
        <v>7796.3921568732303</v>
      </c>
      <c r="N114" s="118">
        <f t="shared" si="63"/>
        <v>8078.5641284928643</v>
      </c>
      <c r="O114" s="118">
        <f t="shared" si="63"/>
        <v>8401.9150021319256</v>
      </c>
      <c r="P114" s="118">
        <f t="shared" si="63"/>
        <v>8762.9486070343155</v>
      </c>
      <c r="Q114" s="118">
        <f t="shared" si="63"/>
        <v>8113.8407631841555</v>
      </c>
      <c r="R114" s="118">
        <f t="shared" si="63"/>
        <v>8230.7321315433001</v>
      </c>
      <c r="S114" s="118">
        <f t="shared" si="63"/>
        <v>8313.5017940235884</v>
      </c>
      <c r="T114" s="118">
        <f t="shared" si="63"/>
        <v>8361.4233974088802</v>
      </c>
      <c r="U114" s="118">
        <f t="shared" si="63"/>
        <v>8354.2120787612621</v>
      </c>
      <c r="V114" s="118">
        <f t="shared" si="63"/>
        <v>8273.1327528188413</v>
      </c>
      <c r="W114" s="118">
        <f t="shared" si="63"/>
        <v>8305.7770289237269</v>
      </c>
      <c r="X114" s="118">
        <f t="shared" si="63"/>
        <v>8321.6094103872601</v>
      </c>
      <c r="Y114" s="118">
        <f t="shared" si="63"/>
        <v>8323.2309336599956</v>
      </c>
      <c r="Z114" s="118">
        <f t="shared" si="63"/>
        <v>8315.5924409102172</v>
      </c>
      <c r="AA114" s="118">
        <f t="shared" si="63"/>
        <v>8307.8685133400086</v>
      </c>
      <c r="AB114" s="118">
        <f t="shared" si="63"/>
        <v>8314.8156654442409</v>
      </c>
      <c r="AC114" s="118">
        <f t="shared" si="63"/>
        <v>8316.6233927483427</v>
      </c>
      <c r="AD114" s="118">
        <f t="shared" si="63"/>
        <v>8315.6261892205621</v>
      </c>
      <c r="AE114" s="118">
        <f t="shared" si="63"/>
        <v>8314.1052403326739</v>
      </c>
      <c r="AF114" s="118">
        <f t="shared" si="63"/>
        <v>8313.8078002171642</v>
      </c>
      <c r="AG114" s="118"/>
    </row>
    <row r="115" spans="1:33">
      <c r="A115" s="113" t="s">
        <v>132</v>
      </c>
      <c r="B115" s="13">
        <f t="shared" si="64"/>
        <v>-362</v>
      </c>
      <c r="C115" s="13">
        <f t="shared" si="64"/>
        <v>-340</v>
      </c>
      <c r="D115" s="13">
        <f t="shared" si="64"/>
        <v>-242</v>
      </c>
      <c r="E115" s="13">
        <f t="shared" si="64"/>
        <v>-1074</v>
      </c>
      <c r="F115" s="118">
        <f t="shared" si="64"/>
        <v>-11199</v>
      </c>
      <c r="G115" s="118">
        <f t="shared" si="63"/>
        <v>-2818.2929901196926</v>
      </c>
      <c r="H115" s="118">
        <f t="shared" si="63"/>
        <v>-2853.8493980606527</v>
      </c>
      <c r="I115" s="118">
        <f t="shared" si="63"/>
        <v>-2837.2306244807783</v>
      </c>
      <c r="J115" s="118">
        <f t="shared" si="63"/>
        <v>-2852.4542976452376</v>
      </c>
      <c r="K115" s="118">
        <f t="shared" si="63"/>
        <v>-5292.924165637236</v>
      </c>
      <c r="L115" s="118">
        <f t="shared" si="63"/>
        <v>-3330.9502951887193</v>
      </c>
      <c r="M115" s="118">
        <f t="shared" si="63"/>
        <v>-3433.481756202525</v>
      </c>
      <c r="N115" s="118">
        <f t="shared" si="63"/>
        <v>-3549.4082278308992</v>
      </c>
      <c r="O115" s="118">
        <f t="shared" si="63"/>
        <v>-3691.8437485009235</v>
      </c>
      <c r="P115" s="118">
        <f t="shared" si="63"/>
        <v>-3859.7216386720602</v>
      </c>
      <c r="Q115" s="118">
        <f t="shared" si="63"/>
        <v>-3573.0811332790254</v>
      </c>
      <c r="R115" s="118">
        <f t="shared" si="63"/>
        <v>-3621.5073008970867</v>
      </c>
      <c r="S115" s="118">
        <f t="shared" si="63"/>
        <v>-3652.6660328994117</v>
      </c>
      <c r="T115" s="118">
        <f t="shared" si="63"/>
        <v>-3674.5797936333374</v>
      </c>
      <c r="U115" s="118">
        <f t="shared" si="63"/>
        <v>-3672.3625071099586</v>
      </c>
      <c r="V115" s="118">
        <f t="shared" si="63"/>
        <v>-3636.1416191950862</v>
      </c>
      <c r="W115" s="118">
        <f t="shared" si="63"/>
        <v>-3650.1184177831492</v>
      </c>
      <c r="X115" s="118">
        <f t="shared" si="63"/>
        <v>-3657.1736741241884</v>
      </c>
      <c r="Y115" s="118">
        <f t="shared" si="63"/>
        <v>-3658.0752023691443</v>
      </c>
      <c r="Z115" s="118">
        <f t="shared" si="63"/>
        <v>-3654.7742841163054</v>
      </c>
      <c r="AA115" s="118">
        <f t="shared" si="63"/>
        <v>-3651.2566395175745</v>
      </c>
      <c r="AB115" s="118">
        <f t="shared" si="63"/>
        <v>-3654.2796435820724</v>
      </c>
      <c r="AC115" s="118">
        <f t="shared" si="63"/>
        <v>-3655.1118887418565</v>
      </c>
      <c r="AD115" s="118">
        <f t="shared" si="63"/>
        <v>-3654.6995316653906</v>
      </c>
      <c r="AE115" s="118">
        <f t="shared" si="63"/>
        <v>-3654.0243975246399</v>
      </c>
      <c r="AF115" s="118">
        <f t="shared" si="63"/>
        <v>-3653.8744202063067</v>
      </c>
      <c r="AG115" s="118"/>
    </row>
    <row r="116" spans="1:33">
      <c r="A116" s="113" t="s">
        <v>133</v>
      </c>
      <c r="B116" s="13">
        <f t="shared" si="64"/>
        <v>-341</v>
      </c>
      <c r="C116" s="13">
        <f t="shared" si="64"/>
        <v>-167</v>
      </c>
      <c r="D116" s="13">
        <f t="shared" si="64"/>
        <v>-150</v>
      </c>
      <c r="E116" s="13">
        <f t="shared" si="64"/>
        <v>-1821</v>
      </c>
      <c r="F116" s="118">
        <f t="shared" si="64"/>
        <v>-5957</v>
      </c>
      <c r="G116" s="118">
        <f t="shared" si="63"/>
        <v>-1747.4674054365216</v>
      </c>
      <c r="H116" s="118">
        <f t="shared" si="63"/>
        <v>-1788.6738839652664</v>
      </c>
      <c r="I116" s="118">
        <f t="shared" si="63"/>
        <v>-1787.4682525864803</v>
      </c>
      <c r="J116" s="118">
        <f t="shared" si="63"/>
        <v>-1798.4334378265469</v>
      </c>
      <c r="K116" s="118">
        <f t="shared" si="63"/>
        <v>-3051.8956262522888</v>
      </c>
      <c r="L116" s="118">
        <f t="shared" si="63"/>
        <v>-2034.7877212134208</v>
      </c>
      <c r="M116" s="118">
        <f t="shared" si="63"/>
        <v>-2092.2517843688001</v>
      </c>
      <c r="N116" s="118">
        <f t="shared" si="63"/>
        <v>-2152.9673644495074</v>
      </c>
      <c r="O116" s="118">
        <f t="shared" si="63"/>
        <v>-2226.0671868221125</v>
      </c>
      <c r="P116" s="118">
        <f t="shared" si="63"/>
        <v>-2311.593936621226</v>
      </c>
      <c r="Q116" s="118">
        <f t="shared" si="63"/>
        <v>-2163.5335986950136</v>
      </c>
      <c r="R116" s="118">
        <f t="shared" si="63"/>
        <v>-2189.282774191332</v>
      </c>
      <c r="S116" s="118">
        <f t="shared" si="63"/>
        <v>-2192.1874499492151</v>
      </c>
      <c r="T116" s="118">
        <f t="shared" si="63"/>
        <v>-2203.391824916278</v>
      </c>
      <c r="U116" s="118">
        <f t="shared" si="63"/>
        <v>-2202.3811734573947</v>
      </c>
      <c r="V116" s="118">
        <f t="shared" si="63"/>
        <v>-2183.6254267026225</v>
      </c>
      <c r="W116" s="118">
        <f t="shared" si="63"/>
        <v>-2190.8868442543353</v>
      </c>
      <c r="X116" s="118">
        <f t="shared" si="63"/>
        <v>-2194.4945438559689</v>
      </c>
      <c r="Y116" s="118">
        <f t="shared" si="63"/>
        <v>-2194.9559626373198</v>
      </c>
      <c r="Z116" s="118">
        <f t="shared" si="63"/>
        <v>-2193.2687901815284</v>
      </c>
      <c r="AA116" s="118">
        <f t="shared" si="63"/>
        <v>-2191.446313526355</v>
      </c>
      <c r="AB116" s="118">
        <f t="shared" si="63"/>
        <v>-2193.0104908911017</v>
      </c>
      <c r="AC116" s="118">
        <f t="shared" si="63"/>
        <v>-2193.435220218455</v>
      </c>
      <c r="AD116" s="118">
        <f t="shared" si="63"/>
        <v>-2193.2233554909521</v>
      </c>
      <c r="AE116" s="118">
        <f t="shared" si="63"/>
        <v>-2192.8768340616784</v>
      </c>
      <c r="AF116" s="118">
        <f t="shared" si="63"/>
        <v>-2192.7984428377085</v>
      </c>
      <c r="AG116" s="118"/>
    </row>
    <row r="117" spans="1:33">
      <c r="A117" s="113" t="s">
        <v>134</v>
      </c>
      <c r="B117" s="13">
        <f t="shared" si="64"/>
        <v>115</v>
      </c>
      <c r="C117" s="13">
        <f t="shared" si="64"/>
        <v>-305</v>
      </c>
      <c r="D117" s="13">
        <f t="shared" si="64"/>
        <v>-269</v>
      </c>
      <c r="E117" s="13">
        <f t="shared" si="64"/>
        <v>1405</v>
      </c>
      <c r="F117" s="118">
        <f t="shared" si="64"/>
        <v>11770</v>
      </c>
      <c r="G117" s="118">
        <f t="shared" si="63"/>
        <v>2766.2906712965846</v>
      </c>
      <c r="H117" s="118">
        <f t="shared" si="63"/>
        <v>2814.3456382127843</v>
      </c>
      <c r="I117" s="118">
        <f t="shared" si="63"/>
        <v>2883.7150867248552</v>
      </c>
      <c r="J117" s="118">
        <f t="shared" si="63"/>
        <v>2970.111481408167</v>
      </c>
      <c r="K117" s="118">
        <f t="shared" si="63"/>
        <v>5436.7550681171288</v>
      </c>
      <c r="L117" s="118">
        <f t="shared" si="63"/>
        <v>3374.243589151904</v>
      </c>
      <c r="M117" s="118">
        <f t="shared" si="63"/>
        <v>3495.8341727229677</v>
      </c>
      <c r="N117" s="118">
        <f t="shared" si="63"/>
        <v>3632.1318796250043</v>
      </c>
      <c r="O117" s="118">
        <f t="shared" si="63"/>
        <v>3781.8152382050343</v>
      </c>
      <c r="P117" s="118">
        <f t="shared" si="63"/>
        <v>3944.1559895644073</v>
      </c>
      <c r="Q117" s="118">
        <f t="shared" si="63"/>
        <v>3645.6361738538635</v>
      </c>
      <c r="R117" s="118">
        <f t="shared" si="63"/>
        <v>3699.914690794255</v>
      </c>
      <c r="S117" s="118">
        <f t="shared" si="63"/>
        <v>3733.410687758701</v>
      </c>
      <c r="T117" s="118">
        <f t="shared" si="63"/>
        <v>3755.2384133199853</v>
      </c>
      <c r="U117" s="118">
        <f t="shared" si="63"/>
        <v>3751.4436943655187</v>
      </c>
      <c r="V117" s="118">
        <f t="shared" si="63"/>
        <v>3714.3082315491838</v>
      </c>
      <c r="W117" s="118">
        <f t="shared" si="63"/>
        <v>3729.4250780061016</v>
      </c>
      <c r="X117" s="118">
        <f t="shared" si="63"/>
        <v>3736.7652209998982</v>
      </c>
      <c r="Y117" s="118">
        <f t="shared" si="63"/>
        <v>3737.4361276481372</v>
      </c>
      <c r="Z117" s="118">
        <f t="shared" si="63"/>
        <v>3733.8756705137675</v>
      </c>
      <c r="AA117" s="118">
        <f t="shared" si="63"/>
        <v>3730.3620657434176</v>
      </c>
      <c r="AB117" s="118">
        <f t="shared" si="63"/>
        <v>3733.5728325822647</v>
      </c>
      <c r="AC117" s="118">
        <f t="shared" si="63"/>
        <v>3734.4023834974969</v>
      </c>
      <c r="AD117" s="118">
        <f t="shared" si="63"/>
        <v>3733.9298159970167</v>
      </c>
      <c r="AE117" s="118">
        <f t="shared" si="63"/>
        <v>3733.2285536667932</v>
      </c>
      <c r="AF117" s="118">
        <f t="shared" si="63"/>
        <v>3733.099130297398</v>
      </c>
      <c r="AG117" s="118"/>
    </row>
    <row r="118" spans="1:33">
      <c r="A118" s="113" t="s">
        <v>135</v>
      </c>
      <c r="B118" s="13">
        <f t="shared" si="64"/>
        <v>1659</v>
      </c>
      <c r="C118" s="13">
        <f t="shared" si="64"/>
        <v>-271</v>
      </c>
      <c r="D118" s="13">
        <f t="shared" si="64"/>
        <v>-266</v>
      </c>
      <c r="E118" s="13">
        <f t="shared" si="64"/>
        <v>-1622</v>
      </c>
      <c r="F118" s="118">
        <f t="shared" si="64"/>
        <v>-11513</v>
      </c>
      <c r="G118" s="118">
        <f t="shared" si="63"/>
        <v>-2894.3200967019948</v>
      </c>
      <c r="H118" s="118">
        <f t="shared" si="63"/>
        <v>-3022.3159376852491</v>
      </c>
      <c r="I118" s="118">
        <f t="shared" si="63"/>
        <v>-3013.0220523223356</v>
      </c>
      <c r="J118" s="118">
        <f t="shared" si="63"/>
        <v>-3028.4725641144132</v>
      </c>
      <c r="K118" s="118">
        <f t="shared" si="63"/>
        <v>-5513.4999629460917</v>
      </c>
      <c r="L118" s="118">
        <f t="shared" si="63"/>
        <v>-3494.3261227540161</v>
      </c>
      <c r="M118" s="118">
        <f t="shared" si="63"/>
        <v>-3614.3273279644218</v>
      </c>
      <c r="N118" s="118">
        <f t="shared" si="63"/>
        <v>-3732.7296060202557</v>
      </c>
      <c r="O118" s="118">
        <f t="shared" si="63"/>
        <v>-3876.6711167598392</v>
      </c>
      <c r="P118" s="118">
        <f t="shared" si="63"/>
        <v>-4046.3108272889249</v>
      </c>
      <c r="Q118" s="118">
        <f t="shared" si="63"/>
        <v>-3752.8730001574909</v>
      </c>
      <c r="R118" s="118">
        <f t="shared" si="63"/>
        <v>-3804.582375638186</v>
      </c>
      <c r="S118" s="118">
        <f t="shared" si="63"/>
        <v>-3838.5528753862686</v>
      </c>
      <c r="T118" s="118">
        <f t="shared" si="63"/>
        <v>-3860.7865831067047</v>
      </c>
      <c r="U118" s="118">
        <f t="shared" si="63"/>
        <v>-3858.3997929101101</v>
      </c>
      <c r="V118" s="118">
        <f t="shared" si="63"/>
        <v>-3821.4149794196405</v>
      </c>
      <c r="W118" s="118">
        <f t="shared" si="63"/>
        <v>-3835.8603123964076</v>
      </c>
      <c r="X118" s="118">
        <f t="shared" si="63"/>
        <v>-3843.0029086438262</v>
      </c>
      <c r="Y118" s="118">
        <f t="shared" si="63"/>
        <v>-3843.8929152953383</v>
      </c>
      <c r="Z118" s="118">
        <f t="shared" si="63"/>
        <v>-3840.5141817330646</v>
      </c>
      <c r="AA118" s="118">
        <f t="shared" si="63"/>
        <v>-3836.9370594976558</v>
      </c>
      <c r="AB118" s="118">
        <f t="shared" si="63"/>
        <v>-3840.0414755132588</v>
      </c>
      <c r="AC118" s="118">
        <f t="shared" si="63"/>
        <v>-3840.8777081366284</v>
      </c>
      <c r="AD118" s="118">
        <f t="shared" si="63"/>
        <v>-3840.4526680351892</v>
      </c>
      <c r="AE118" s="118">
        <f t="shared" si="63"/>
        <v>-3839.7646185831591</v>
      </c>
      <c r="AF118" s="118">
        <f t="shared" si="63"/>
        <v>-3839.6147059531781</v>
      </c>
      <c r="AG118" s="118"/>
    </row>
    <row r="119" spans="1:33">
      <c r="A119" s="113" t="s">
        <v>136</v>
      </c>
      <c r="B119" s="13">
        <f t="shared" si="64"/>
        <v>819</v>
      </c>
      <c r="C119" s="13">
        <f t="shared" si="64"/>
        <v>-145</v>
      </c>
      <c r="D119" s="13">
        <f t="shared" si="64"/>
        <v>-108</v>
      </c>
      <c r="E119" s="118">
        <f t="shared" si="64"/>
        <v>648</v>
      </c>
      <c r="F119" s="118">
        <f t="shared" si="64"/>
        <v>1092</v>
      </c>
      <c r="G119" s="118">
        <f t="shared" si="63"/>
        <v>322.12476705748747</v>
      </c>
      <c r="H119" s="118">
        <f t="shared" si="63"/>
        <v>316.7008271756759</v>
      </c>
      <c r="I119" s="118">
        <f t="shared" si="63"/>
        <v>351.54227363920756</v>
      </c>
      <c r="J119" s="118">
        <f t="shared" si="63"/>
        <v>374.95907767734172</v>
      </c>
      <c r="K119" s="118">
        <f t="shared" si="63"/>
        <v>558.4366698021604</v>
      </c>
      <c r="L119" s="118">
        <f t="shared" si="63"/>
        <v>384.7527230703746</v>
      </c>
      <c r="M119" s="118">
        <f t="shared" si="63"/>
        <v>397.27831427295212</v>
      </c>
      <c r="N119" s="118">
        <f t="shared" si="63"/>
        <v>413.39381169240727</v>
      </c>
      <c r="O119" s="118">
        <f t="shared" si="63"/>
        <v>425.76411930304721</v>
      </c>
      <c r="P119" s="118">
        <f t="shared" si="63"/>
        <v>435.92512762818831</v>
      </c>
      <c r="Q119" s="118">
        <f t="shared" si="63"/>
        <v>411.42281919339393</v>
      </c>
      <c r="R119" s="118">
        <f t="shared" si="63"/>
        <v>416.75683841799781</v>
      </c>
      <c r="S119" s="118">
        <f t="shared" si="63"/>
        <v>401.51474851420477</v>
      </c>
      <c r="T119" s="118">
        <f t="shared" si="63"/>
        <v>403.18453626931728</v>
      </c>
      <c r="U119" s="118">
        <f t="shared" si="63"/>
        <v>402.55147119290018</v>
      </c>
      <c r="V119" s="118">
        <f t="shared" si="63"/>
        <v>399.42955982669321</v>
      </c>
      <c r="W119" s="118">
        <f t="shared" si="63"/>
        <v>400.86201896371114</v>
      </c>
      <c r="X119" s="118">
        <f t="shared" si="63"/>
        <v>401.50846695336526</v>
      </c>
      <c r="Y119" s="118">
        <f t="shared" si="63"/>
        <v>401.50721064119739</v>
      </c>
      <c r="Z119" s="118">
        <f t="shared" si="63"/>
        <v>401.17174551557349</v>
      </c>
      <c r="AA119" s="118">
        <f t="shared" si="63"/>
        <v>400.89580038010814</v>
      </c>
      <c r="AB119" s="118">
        <f t="shared" si="63"/>
        <v>401.18904849079109</v>
      </c>
      <c r="AC119" s="118">
        <f t="shared" si="63"/>
        <v>401.25445439620711</v>
      </c>
      <c r="AD119" s="118">
        <f t="shared" si="63"/>
        <v>401.20365188477547</v>
      </c>
      <c r="AE119" s="118">
        <f t="shared" si="63"/>
        <v>401.14294013349109</v>
      </c>
      <c r="AF119" s="118">
        <f t="shared" si="63"/>
        <v>401.1371790570746</v>
      </c>
      <c r="AG119" s="118"/>
    </row>
    <row r="120" spans="1:33">
      <c r="A120" s="113" t="s">
        <v>137</v>
      </c>
      <c r="B120" s="13">
        <f t="shared" si="64"/>
        <v>725</v>
      </c>
      <c r="C120" s="13">
        <f t="shared" si="64"/>
        <v>131</v>
      </c>
      <c r="D120" s="13">
        <f t="shared" si="64"/>
        <v>-287</v>
      </c>
      <c r="E120" s="118">
        <f t="shared" si="64"/>
        <v>-163</v>
      </c>
      <c r="F120" s="118">
        <f t="shared" si="64"/>
        <v>-2356</v>
      </c>
      <c r="G120" s="118">
        <f t="shared" si="63"/>
        <v>-581.50753738261835</v>
      </c>
      <c r="H120" s="118">
        <f t="shared" si="63"/>
        <v>-594.24858944144376</v>
      </c>
      <c r="I120" s="118">
        <f t="shared" si="63"/>
        <v>-618.22806350730616</v>
      </c>
      <c r="J120" s="118">
        <f t="shared" si="63"/>
        <v>-592.19983875840921</v>
      </c>
      <c r="K120" s="118">
        <f t="shared" si="63"/>
        <v>-1110.3791167856637</v>
      </c>
      <c r="L120" s="118">
        <f t="shared" si="63"/>
        <v>-699.3126291750882</v>
      </c>
      <c r="M120" s="118">
        <f t="shared" si="63"/>
        <v>-722.87364753358236</v>
      </c>
      <c r="N120" s="118">
        <f t="shared" si="63"/>
        <v>-748.59865915200987</v>
      </c>
      <c r="O120" s="118">
        <f t="shared" si="63"/>
        <v>-774.67277828095087</v>
      </c>
      <c r="P120" s="118">
        <f t="shared" si="63"/>
        <v>-811.16736618545906</v>
      </c>
      <c r="Q120" s="118">
        <f t="shared" si="63"/>
        <v>-751.32501606541803</v>
      </c>
      <c r="R120" s="118">
        <f t="shared" si="63"/>
        <v>-761.72749344348392</v>
      </c>
      <c r="S120" s="118">
        <f t="shared" si="63"/>
        <v>-755.71102977763132</v>
      </c>
      <c r="T120" s="118">
        <f t="shared" si="63"/>
        <v>-760.4358801413531</v>
      </c>
      <c r="U120" s="118">
        <f t="shared" si="63"/>
        <v>-760.47621865938675</v>
      </c>
      <c r="V120" s="118">
        <f t="shared" si="63"/>
        <v>-752.56917945988846</v>
      </c>
      <c r="W120" s="118">
        <f t="shared" si="63"/>
        <v>-755.41664358445598</v>
      </c>
      <c r="X120" s="118">
        <f t="shared" si="63"/>
        <v>-756.92179032454305</v>
      </c>
      <c r="Y120" s="118">
        <f t="shared" si="63"/>
        <v>-757.16394243392551</v>
      </c>
      <c r="Z120" s="118">
        <f t="shared" si="63"/>
        <v>-756.50955489243995</v>
      </c>
      <c r="AA120" s="118">
        <f t="shared" si="63"/>
        <v>-755.71622213905061</v>
      </c>
      <c r="AB120" s="118">
        <f t="shared" si="63"/>
        <v>-756.34563067488307</v>
      </c>
      <c r="AC120" s="118">
        <f t="shared" si="63"/>
        <v>-756.53142809296844</v>
      </c>
      <c r="AD120" s="118">
        <f t="shared" si="63"/>
        <v>-756.45335564665345</v>
      </c>
      <c r="AE120" s="118">
        <f t="shared" si="63"/>
        <v>-756.31123828919908</v>
      </c>
      <c r="AF120" s="118">
        <f t="shared" si="63"/>
        <v>-756.27157496855102</v>
      </c>
      <c r="AG120" s="118"/>
    </row>
    <row r="121" spans="1:33">
      <c r="A121" s="113" t="s">
        <v>138</v>
      </c>
      <c r="B121" s="13">
        <f t="shared" si="64"/>
        <v>690</v>
      </c>
      <c r="C121" s="13">
        <f t="shared" si="64"/>
        <v>46</v>
      </c>
      <c r="D121" s="13">
        <f t="shared" si="64"/>
        <v>-190</v>
      </c>
      <c r="E121" s="118">
        <f t="shared" si="64"/>
        <v>-69950</v>
      </c>
      <c r="F121" s="118">
        <f t="shared" si="64"/>
        <v>-9836</v>
      </c>
      <c r="G121" s="118">
        <f t="shared" si="63"/>
        <v>-17460.15428616638</v>
      </c>
      <c r="H121" s="118">
        <f t="shared" si="63"/>
        <v>-17850.369984483408</v>
      </c>
      <c r="I121" s="118">
        <f t="shared" si="63"/>
        <v>-17992.184805086901</v>
      </c>
      <c r="J121" s="118">
        <f t="shared" si="63"/>
        <v>-18266.444986952451</v>
      </c>
      <c r="K121" s="118">
        <f t="shared" si="63"/>
        <v>-19194.440603873114</v>
      </c>
      <c r="L121" s="118">
        <f t="shared" si="63"/>
        <v>-18152.718933312448</v>
      </c>
      <c r="M121" s="118">
        <f t="shared" si="63"/>
        <v>-18291.231862741668</v>
      </c>
      <c r="N121" s="118">
        <f t="shared" si="63"/>
        <v>-18379.404238393319</v>
      </c>
      <c r="O121" s="118">
        <f t="shared" si="63"/>
        <v>-18456.848125054599</v>
      </c>
      <c r="P121" s="118">
        <f t="shared" si="63"/>
        <v>-18494.928752675027</v>
      </c>
      <c r="Q121" s="118">
        <f t="shared" si="63"/>
        <v>-18355.026382435412</v>
      </c>
      <c r="R121" s="118">
        <f t="shared" si="63"/>
        <v>-18395.487872260004</v>
      </c>
      <c r="S121" s="118">
        <f t="shared" si="63"/>
        <v>-18443.612657038397</v>
      </c>
      <c r="T121" s="118">
        <f t="shared" si="63"/>
        <v>-18451.190223105408</v>
      </c>
      <c r="U121" s="118">
        <f t="shared" si="63"/>
        <v>-18444.480229130088</v>
      </c>
      <c r="V121" s="118">
        <f t="shared" si="63"/>
        <v>-18428.567659102293</v>
      </c>
      <c r="W121" s="118">
        <f t="shared" si="63"/>
        <v>-18438.019364358905</v>
      </c>
      <c r="X121" s="118">
        <f t="shared" si="63"/>
        <v>-18441.174026547018</v>
      </c>
      <c r="Y121" s="118">
        <f t="shared" si="63"/>
        <v>-18440.686300448742</v>
      </c>
      <c r="Z121" s="118">
        <f t="shared" si="63"/>
        <v>-18438.585515917406</v>
      </c>
      <c r="AA121" s="118">
        <f t="shared" si="63"/>
        <v>-18437.406573274871</v>
      </c>
      <c r="AB121" s="118">
        <f t="shared" ref="AB121:AI121" si="65">AB73+AB57</f>
        <v>-18439.17435610939</v>
      </c>
      <c r="AC121" s="118">
        <f t="shared" si="65"/>
        <v>-18439.405354459483</v>
      </c>
      <c r="AD121" s="118">
        <f t="shared" si="65"/>
        <v>-18439.051620041977</v>
      </c>
      <c r="AE121" s="118">
        <f t="shared" si="65"/>
        <v>-18438.724683960627</v>
      </c>
      <c r="AF121" s="118">
        <f t="shared" si="65"/>
        <v>-18438.752517569268</v>
      </c>
      <c r="AG121" s="118"/>
    </row>
    <row r="122" spans="1:33">
      <c r="A122" s="113" t="s">
        <v>139</v>
      </c>
      <c r="B122" s="13">
        <f t="shared" si="64"/>
        <v>-319</v>
      </c>
      <c r="C122" s="13">
        <f t="shared" si="64"/>
        <v>-17</v>
      </c>
      <c r="D122" s="13">
        <f t="shared" si="64"/>
        <v>-320</v>
      </c>
      <c r="E122" s="118">
        <f t="shared" si="64"/>
        <v>-45750</v>
      </c>
      <c r="F122" s="118">
        <f t="shared" si="64"/>
        <v>-17650</v>
      </c>
      <c r="G122" s="118">
        <f t="shared" si="64"/>
        <v>-14099.305181908892</v>
      </c>
      <c r="H122" s="118">
        <f t="shared" si="64"/>
        <v>-14269.850475880659</v>
      </c>
      <c r="I122" s="118">
        <f t="shared" si="64"/>
        <v>-14373.118396236783</v>
      </c>
      <c r="J122" s="118">
        <f t="shared" si="64"/>
        <v>-14567.975735954145</v>
      </c>
      <c r="K122" s="118">
        <f t="shared" si="64"/>
        <v>-17628.870186884935</v>
      </c>
      <c r="L122" s="118">
        <f t="shared" si="64"/>
        <v>-14987.823995373081</v>
      </c>
      <c r="M122" s="118">
        <f t="shared" si="64"/>
        <v>-15165.527758065919</v>
      </c>
      <c r="N122" s="118">
        <f t="shared" si="64"/>
        <v>-15344.663214502973</v>
      </c>
      <c r="O122" s="118">
        <f t="shared" si="64"/>
        <v>-15538.972178156211</v>
      </c>
      <c r="P122" s="118">
        <f t="shared" si="64"/>
        <v>-15733.171466596625</v>
      </c>
      <c r="Q122" s="118">
        <f t="shared" si="64"/>
        <v>-15354.031722538961</v>
      </c>
      <c r="R122" s="118">
        <f t="shared" ref="R122:AI123" si="66">R74+R58</f>
        <v>-15427.273267972138</v>
      </c>
      <c r="S122" s="118">
        <f t="shared" si="66"/>
        <v>-15499.217013710646</v>
      </c>
      <c r="T122" s="118">
        <f t="shared" si="66"/>
        <v>-15525.991793411726</v>
      </c>
      <c r="U122" s="118">
        <f t="shared" si="66"/>
        <v>-15519.44744580143</v>
      </c>
      <c r="V122" s="118">
        <f t="shared" si="66"/>
        <v>-15473.00918156286</v>
      </c>
      <c r="W122" s="118">
        <f t="shared" si="66"/>
        <v>-15492.90527661162</v>
      </c>
      <c r="X122" s="118">
        <f t="shared" si="66"/>
        <v>-15502.114142219656</v>
      </c>
      <c r="Y122" s="118">
        <f t="shared" si="66"/>
        <v>-15502.69356792146</v>
      </c>
      <c r="Z122" s="118">
        <f t="shared" si="66"/>
        <v>-15498.033922823408</v>
      </c>
      <c r="AA122" s="118">
        <f t="shared" si="66"/>
        <v>-15493.751218227801</v>
      </c>
      <c r="AB122" s="118">
        <f t="shared" si="66"/>
        <v>-15497.899625560787</v>
      </c>
      <c r="AC122" s="118">
        <f t="shared" si="66"/>
        <v>-15498.898495350624</v>
      </c>
      <c r="AD122" s="118">
        <f t="shared" si="66"/>
        <v>-15498.255365976816</v>
      </c>
      <c r="AE122" s="118">
        <f t="shared" si="66"/>
        <v>-15497.367725587887</v>
      </c>
      <c r="AF122" s="118">
        <f t="shared" si="66"/>
        <v>-15497.234486140784</v>
      </c>
      <c r="AG122" s="118"/>
    </row>
    <row r="123" spans="1:33">
      <c r="A123" s="113" t="s">
        <v>140</v>
      </c>
      <c r="B123" s="13">
        <f t="shared" si="64"/>
        <v>-712</v>
      </c>
      <c r="C123" s="13">
        <f t="shared" si="64"/>
        <v>-103</v>
      </c>
      <c r="D123" s="13">
        <f t="shared" si="64"/>
        <v>-277</v>
      </c>
      <c r="E123" s="118">
        <f t="shared" si="64"/>
        <v>34435</v>
      </c>
      <c r="F123" s="118">
        <f t="shared" si="64"/>
        <v>21039</v>
      </c>
      <c r="G123" s="118">
        <f t="shared" si="64"/>
        <v>30597.122648730838</v>
      </c>
      <c r="H123" s="118">
        <f t="shared" si="64"/>
        <v>15657.46711056333</v>
      </c>
      <c r="I123" s="118">
        <f t="shared" si="64"/>
        <v>15826.372501524738</v>
      </c>
      <c r="J123" s="118">
        <f t="shared" si="64"/>
        <v>16134.941031452898</v>
      </c>
      <c r="K123" s="118">
        <f t="shared" si="64"/>
        <v>23284.990481564961</v>
      </c>
      <c r="L123" s="118">
        <f t="shared" si="64"/>
        <v>20300.178754767352</v>
      </c>
      <c r="M123" s="118">
        <f t="shared" si="64"/>
        <v>18240.789975974662</v>
      </c>
      <c r="N123" s="118">
        <f t="shared" si="64"/>
        <v>18757.454549056922</v>
      </c>
      <c r="O123" s="118">
        <f t="shared" si="64"/>
        <v>19343.670958563358</v>
      </c>
      <c r="P123" s="118">
        <f t="shared" si="64"/>
        <v>19985.416943985449</v>
      </c>
      <c r="Q123" s="118">
        <f t="shared" si="64"/>
        <v>19325.502236469543</v>
      </c>
      <c r="R123" s="118">
        <f t="shared" si="66"/>
        <v>19130.566932809983</v>
      </c>
      <c r="S123" s="118">
        <f t="shared" si="66"/>
        <v>19274.045193714475</v>
      </c>
      <c r="T123" s="118">
        <f t="shared" si="66"/>
        <v>19384.498066903034</v>
      </c>
      <c r="U123" s="118">
        <f t="shared" si="66"/>
        <v>19399.571812076618</v>
      </c>
      <c r="V123" s="118">
        <f t="shared" si="66"/>
        <v>19288.829017018783</v>
      </c>
      <c r="W123" s="118">
        <f t="shared" si="66"/>
        <v>19288.585152596483</v>
      </c>
      <c r="X123" s="118">
        <f t="shared" si="66"/>
        <v>19327.105848461877</v>
      </c>
      <c r="Y123" s="118">
        <f t="shared" si="66"/>
        <v>19337.717979411362</v>
      </c>
      <c r="Z123" s="118">
        <f t="shared" si="66"/>
        <v>19328.361961913026</v>
      </c>
      <c r="AA123" s="118">
        <f t="shared" si="66"/>
        <v>19314.119991880303</v>
      </c>
      <c r="AB123" s="118">
        <f t="shared" si="66"/>
        <v>19319.178186852609</v>
      </c>
      <c r="AC123" s="118">
        <f t="shared" si="66"/>
        <v>19325.296793703834</v>
      </c>
      <c r="AD123" s="118">
        <f t="shared" si="66"/>
        <v>19324.934982752224</v>
      </c>
      <c r="AE123" s="118">
        <f t="shared" si="66"/>
        <v>19322.3783834204</v>
      </c>
      <c r="AF123" s="118">
        <f t="shared" si="66"/>
        <v>19321.181667721874</v>
      </c>
      <c r="AG123" s="118"/>
    </row>
    <row r="124" spans="1:33" ht="12" thickBot="1">
      <c r="A124" s="113" t="s">
        <v>287</v>
      </c>
      <c r="B124" s="13">
        <f t="shared" ref="B124:AF124" si="67">SUM(B112:B123)</f>
        <v>861</v>
      </c>
      <c r="C124" s="13">
        <f t="shared" si="67"/>
        <v>-511</v>
      </c>
      <c r="D124" s="13">
        <f t="shared" si="67"/>
        <v>-2357</v>
      </c>
      <c r="E124" s="118">
        <f t="shared" si="67"/>
        <v>-80904</v>
      </c>
      <c r="F124" s="118">
        <f t="shared" si="67"/>
        <v>-4391</v>
      </c>
      <c r="G124" s="118">
        <f t="shared" si="67"/>
        <v>-19900</v>
      </c>
      <c r="H124" s="118">
        <f t="shared" si="67"/>
        <v>-19900</v>
      </c>
      <c r="I124" s="118">
        <f t="shared" si="67"/>
        <v>-19899.999999999993</v>
      </c>
      <c r="J124" s="118">
        <f t="shared" si="67"/>
        <v>-19899.999999999996</v>
      </c>
      <c r="K124" s="118">
        <f t="shared" si="67"/>
        <v>-19900.000000000004</v>
      </c>
      <c r="L124" s="118">
        <f t="shared" si="67"/>
        <v>-19899.999999999993</v>
      </c>
      <c r="M124" s="118">
        <f t="shared" si="67"/>
        <v>-19899.999999999996</v>
      </c>
      <c r="N124" s="118">
        <f t="shared" si="67"/>
        <v>-19900</v>
      </c>
      <c r="O124" s="118">
        <f t="shared" si="67"/>
        <v>-19900</v>
      </c>
      <c r="P124" s="118">
        <f t="shared" si="67"/>
        <v>-19899.999999999996</v>
      </c>
      <c r="Q124" s="118">
        <f t="shared" si="67"/>
        <v>-19900.000000000004</v>
      </c>
      <c r="R124" s="118">
        <f t="shared" si="67"/>
        <v>-19900</v>
      </c>
      <c r="S124" s="118">
        <f t="shared" si="67"/>
        <v>-20000</v>
      </c>
      <c r="T124" s="118">
        <f t="shared" si="67"/>
        <v>-20000</v>
      </c>
      <c r="U124" s="118">
        <f t="shared" si="67"/>
        <v>-20000</v>
      </c>
      <c r="V124" s="118">
        <f t="shared" si="67"/>
        <v>-20000</v>
      </c>
      <c r="W124" s="118">
        <f t="shared" si="67"/>
        <v>-20000</v>
      </c>
      <c r="X124" s="118">
        <f t="shared" si="67"/>
        <v>-20000</v>
      </c>
      <c r="Y124" s="118">
        <f t="shared" si="67"/>
        <v>-20000</v>
      </c>
      <c r="Z124" s="118">
        <f t="shared" si="67"/>
        <v>-20000</v>
      </c>
      <c r="AA124" s="118">
        <f t="shared" si="67"/>
        <v>-20000</v>
      </c>
      <c r="AB124" s="118">
        <f t="shared" si="67"/>
        <v>-20000</v>
      </c>
      <c r="AC124" s="118">
        <f t="shared" si="67"/>
        <v>-20000</v>
      </c>
      <c r="AD124" s="118">
        <f t="shared" si="67"/>
        <v>-20000</v>
      </c>
      <c r="AE124" s="118">
        <f t="shared" si="67"/>
        <v>-20000</v>
      </c>
      <c r="AF124" s="118">
        <f t="shared" si="67"/>
        <v>-20000</v>
      </c>
      <c r="AG124" s="118"/>
    </row>
    <row r="125" spans="1:33">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row>
  </sheetData>
  <mergeCells count="6">
    <mergeCell ref="AJ21:AJ22"/>
    <mergeCell ref="AJ23:AJ24"/>
    <mergeCell ref="AJ25:AJ26"/>
    <mergeCell ref="AJ37:AJ38"/>
    <mergeCell ref="AJ39:AJ40"/>
    <mergeCell ref="AJ41:AJ4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392F-4E95-4439-AC17-680AB7EC7110}">
  <dimension ref="A1:AZ90"/>
  <sheetViews>
    <sheetView zoomScaleNormal="100" workbookViewId="0">
      <pane xSplit="1" ySplit="3" topLeftCell="B4"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33" width="15.5" style="113" bestFit="1" customWidth="1"/>
    <col min="34" max="34" width="9.33203125" style="113"/>
    <col min="35" max="35" width="13.33203125" style="113" bestFit="1" customWidth="1"/>
    <col min="36" max="40" width="15.5" style="113" bestFit="1" customWidth="1"/>
    <col min="41" max="41" width="16.5" style="113" bestFit="1" customWidth="1"/>
    <col min="42" max="42" width="14.5" style="113" bestFit="1" customWidth="1"/>
    <col min="43" max="52" width="12.83203125" style="113" bestFit="1" customWidth="1"/>
    <col min="53" max="16384" width="9.33203125" style="113"/>
  </cols>
  <sheetData>
    <row r="1" spans="1:52">
      <c r="A1" s="111" t="s">
        <v>264</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row>
    <row r="2" spans="1:52" ht="12" thickBot="1">
      <c r="A2" s="111" t="s">
        <v>265</v>
      </c>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row>
    <row r="3" spans="1:52" ht="12" thickBot="1">
      <c r="A3" s="255" t="s">
        <v>198</v>
      </c>
      <c r="B3" s="177">
        <v>2020</v>
      </c>
      <c r="C3" s="177">
        <v>2021</v>
      </c>
      <c r="D3" s="177">
        <v>2022</v>
      </c>
      <c r="E3" s="177">
        <v>2023</v>
      </c>
      <c r="F3" s="177">
        <v>2024</v>
      </c>
      <c r="G3" s="177">
        <v>2025</v>
      </c>
      <c r="H3" s="177">
        <v>2026</v>
      </c>
      <c r="I3" s="177">
        <v>2027</v>
      </c>
      <c r="J3" s="177">
        <v>2028</v>
      </c>
      <c r="K3" s="177">
        <v>2029</v>
      </c>
      <c r="L3" s="177">
        <v>2030</v>
      </c>
      <c r="M3" s="177">
        <v>2031</v>
      </c>
      <c r="N3" s="177">
        <v>2032</v>
      </c>
      <c r="O3" s="177">
        <v>2033</v>
      </c>
      <c r="P3" s="177">
        <v>2034</v>
      </c>
      <c r="Q3" s="177">
        <v>2035</v>
      </c>
      <c r="R3" s="177">
        <v>2036</v>
      </c>
      <c r="S3" s="177">
        <v>2037</v>
      </c>
      <c r="T3" s="177">
        <v>2038</v>
      </c>
      <c r="U3" s="177">
        <v>2039</v>
      </c>
      <c r="V3" s="177">
        <v>2040</v>
      </c>
      <c r="W3" s="177">
        <v>2041</v>
      </c>
      <c r="X3" s="177">
        <v>2042</v>
      </c>
      <c r="Y3" s="177">
        <v>2043</v>
      </c>
      <c r="Z3" s="177">
        <v>2044</v>
      </c>
      <c r="AA3" s="177">
        <v>2045</v>
      </c>
      <c r="AB3" s="177">
        <v>2046</v>
      </c>
      <c r="AC3" s="177">
        <v>2047</v>
      </c>
      <c r="AD3" s="177">
        <v>2048</v>
      </c>
      <c r="AE3" s="177">
        <v>2049</v>
      </c>
      <c r="AF3" s="177">
        <v>2050</v>
      </c>
    </row>
    <row r="4" spans="1:52">
      <c r="A4" s="249" t="s">
        <v>120</v>
      </c>
      <c r="B4" s="212"/>
      <c r="C4" s="212">
        <f>B10</f>
        <v>1070</v>
      </c>
      <c r="D4" s="212">
        <f>C10</f>
        <v>986</v>
      </c>
      <c r="E4" s="212">
        <f>D10</f>
        <v>28042</v>
      </c>
      <c r="F4" s="212">
        <f>E10</f>
        <v>85166</v>
      </c>
      <c r="G4" s="212">
        <f t="shared" ref="G4:AF4" si="0">F10</f>
        <v>86552</v>
      </c>
      <c r="H4" s="212">
        <f t="shared" si="0"/>
        <v>0</v>
      </c>
      <c r="I4" s="212">
        <f t="shared" si="0"/>
        <v>0</v>
      </c>
      <c r="J4" s="212">
        <f t="shared" si="0"/>
        <v>0</v>
      </c>
      <c r="K4" s="212">
        <f t="shared" si="0"/>
        <v>0</v>
      </c>
      <c r="L4" s="212">
        <f t="shared" si="0"/>
        <v>0</v>
      </c>
      <c r="M4" s="212">
        <f t="shared" si="0"/>
        <v>0</v>
      </c>
      <c r="N4" s="212">
        <f t="shared" si="0"/>
        <v>0</v>
      </c>
      <c r="O4" s="212">
        <f t="shared" si="0"/>
        <v>0</v>
      </c>
      <c r="P4" s="212">
        <f t="shared" si="0"/>
        <v>0</v>
      </c>
      <c r="Q4" s="212">
        <f t="shared" si="0"/>
        <v>0</v>
      </c>
      <c r="R4" s="212">
        <f t="shared" si="0"/>
        <v>0</v>
      </c>
      <c r="S4" s="212">
        <f t="shared" si="0"/>
        <v>0</v>
      </c>
      <c r="T4" s="212">
        <f t="shared" si="0"/>
        <v>0</v>
      </c>
      <c r="U4" s="212">
        <f t="shared" si="0"/>
        <v>0</v>
      </c>
      <c r="V4" s="212">
        <f t="shared" si="0"/>
        <v>0</v>
      </c>
      <c r="W4" s="212">
        <f t="shared" si="0"/>
        <v>0</v>
      </c>
      <c r="X4" s="212">
        <f t="shared" si="0"/>
        <v>0</v>
      </c>
      <c r="Y4" s="212">
        <f t="shared" si="0"/>
        <v>0</v>
      </c>
      <c r="Z4" s="212">
        <f t="shared" si="0"/>
        <v>0</v>
      </c>
      <c r="AA4" s="212">
        <f t="shared" si="0"/>
        <v>0</v>
      </c>
      <c r="AB4" s="212">
        <f t="shared" si="0"/>
        <v>0</v>
      </c>
      <c r="AC4" s="212">
        <f t="shared" si="0"/>
        <v>0</v>
      </c>
      <c r="AD4" s="212">
        <f t="shared" si="0"/>
        <v>0</v>
      </c>
      <c r="AE4" s="212">
        <f t="shared" si="0"/>
        <v>0</v>
      </c>
      <c r="AF4" s="212">
        <f t="shared" si="0"/>
        <v>0</v>
      </c>
    </row>
    <row r="5" spans="1:52">
      <c r="A5" s="116" t="s">
        <v>260</v>
      </c>
      <c r="B5" s="13">
        <f>B26</f>
        <v>329862</v>
      </c>
      <c r="C5" s="13">
        <f>C26</f>
        <v>338149</v>
      </c>
      <c r="D5" s="13">
        <f>D26</f>
        <v>342139</v>
      </c>
      <c r="E5" s="13">
        <f>E26</f>
        <v>481294</v>
      </c>
      <c r="F5" s="13">
        <f>F26</f>
        <v>1058849</v>
      </c>
    </row>
    <row r="6" spans="1:52">
      <c r="A6" s="116" t="s">
        <v>122</v>
      </c>
      <c r="B6" s="13">
        <f>SUM(B4:B5)</f>
        <v>329862</v>
      </c>
      <c r="C6" s="13">
        <f>SUM(C4:C5)</f>
        <v>339219</v>
      </c>
      <c r="D6" s="13">
        <f>SUM(D4:D5)</f>
        <v>343125</v>
      </c>
      <c r="E6" s="13">
        <f>SUM(E4:E5)</f>
        <v>509336</v>
      </c>
      <c r="F6" s="13">
        <f>SUM(F4:F5)</f>
        <v>1144015</v>
      </c>
    </row>
    <row r="7" spans="1:52">
      <c r="A7" s="116" t="s">
        <v>290</v>
      </c>
      <c r="B7" s="13">
        <f>B42</f>
        <v>329369</v>
      </c>
      <c r="C7" s="13">
        <f>C42</f>
        <v>338218</v>
      </c>
      <c r="D7" s="13">
        <f>D42</f>
        <v>314987</v>
      </c>
      <c r="E7" s="13">
        <f>E42</f>
        <v>428807</v>
      </c>
      <c r="F7" s="13">
        <f>F42</f>
        <v>1056605</v>
      </c>
    </row>
    <row r="8" spans="1:52">
      <c r="A8" s="116" t="s">
        <v>291</v>
      </c>
      <c r="B8" s="13">
        <f>B9-B7</f>
        <v>-577</v>
      </c>
      <c r="C8" s="13">
        <f>C58</f>
        <v>5</v>
      </c>
      <c r="D8" s="13">
        <f>D58</f>
        <v>98</v>
      </c>
      <c r="E8" s="13">
        <f>E58</f>
        <v>231</v>
      </c>
      <c r="F8" s="13">
        <f>F58</f>
        <v>839</v>
      </c>
    </row>
    <row r="9" spans="1:52">
      <c r="A9" s="116" t="s">
        <v>126</v>
      </c>
      <c r="B9" s="13">
        <f>B6-B10</f>
        <v>328792</v>
      </c>
      <c r="C9" s="13">
        <f>SUM(C7:C8)</f>
        <v>338223</v>
      </c>
      <c r="D9" s="13">
        <f>SUM(D7:D8)</f>
        <v>315085</v>
      </c>
      <c r="E9" s="13">
        <f>SUM(E7:E8)</f>
        <v>429038</v>
      </c>
      <c r="F9" s="13">
        <f>SUM(F7:F8)</f>
        <v>1057444</v>
      </c>
    </row>
    <row r="10" spans="1:52">
      <c r="A10" s="116" t="s">
        <v>127</v>
      </c>
      <c r="B10" s="13">
        <f>B89</f>
        <v>1070</v>
      </c>
      <c r="C10" s="13">
        <f>C89</f>
        <v>986</v>
      </c>
      <c r="D10" s="13">
        <f>D89</f>
        <v>28042</v>
      </c>
      <c r="E10" s="13">
        <f>E89</f>
        <v>85166</v>
      </c>
      <c r="F10" s="13">
        <f>F89</f>
        <v>86552</v>
      </c>
    </row>
    <row r="11" spans="1:52">
      <c r="A11" s="116"/>
      <c r="B11" s="13"/>
      <c r="C11" s="13"/>
      <c r="D11" s="13"/>
    </row>
    <row r="12" spans="1:52" ht="12" thickBot="1">
      <c r="A12" s="138" t="s">
        <v>262</v>
      </c>
      <c r="AI12" s="175" t="s">
        <v>65</v>
      </c>
      <c r="AJ12" s="175"/>
      <c r="AK12" s="175"/>
      <c r="AL12" s="175"/>
      <c r="AM12" s="175"/>
      <c r="AN12" s="175"/>
      <c r="AO12" s="175"/>
      <c r="AP12" s="175"/>
      <c r="AQ12" s="175"/>
      <c r="AR12" s="175"/>
      <c r="AS12" s="175"/>
      <c r="AT12" s="174"/>
      <c r="AU12" s="174"/>
      <c r="AV12" s="174"/>
      <c r="AW12" s="174"/>
      <c r="AX12" s="174"/>
      <c r="AY12" s="174"/>
      <c r="AZ12" s="174"/>
    </row>
    <row r="13" spans="1:52" ht="12" thickBot="1">
      <c r="A13" s="176"/>
      <c r="B13" s="177">
        <f t="shared" ref="B13:AF13" si="1">B3</f>
        <v>2020</v>
      </c>
      <c r="C13" s="177">
        <f t="shared" si="1"/>
        <v>2021</v>
      </c>
      <c r="D13" s="177">
        <f t="shared" si="1"/>
        <v>2022</v>
      </c>
      <c r="E13" s="177">
        <f t="shared" si="1"/>
        <v>2023</v>
      </c>
      <c r="F13" s="177">
        <f t="shared" si="1"/>
        <v>2024</v>
      </c>
      <c r="G13" s="177">
        <f t="shared" si="1"/>
        <v>2025</v>
      </c>
      <c r="H13" s="177">
        <f t="shared" si="1"/>
        <v>2026</v>
      </c>
      <c r="I13" s="177">
        <f t="shared" si="1"/>
        <v>2027</v>
      </c>
      <c r="J13" s="177">
        <f t="shared" si="1"/>
        <v>2028</v>
      </c>
      <c r="K13" s="177">
        <f t="shared" si="1"/>
        <v>2029</v>
      </c>
      <c r="L13" s="177">
        <f t="shared" si="1"/>
        <v>2030</v>
      </c>
      <c r="M13" s="177">
        <f t="shared" si="1"/>
        <v>2031</v>
      </c>
      <c r="N13" s="177">
        <f t="shared" si="1"/>
        <v>2032</v>
      </c>
      <c r="O13" s="177">
        <f t="shared" si="1"/>
        <v>2033</v>
      </c>
      <c r="P13" s="177">
        <f t="shared" si="1"/>
        <v>2034</v>
      </c>
      <c r="Q13" s="177">
        <f t="shared" si="1"/>
        <v>2035</v>
      </c>
      <c r="R13" s="177">
        <f t="shared" si="1"/>
        <v>2036</v>
      </c>
      <c r="S13" s="177">
        <f t="shared" si="1"/>
        <v>2037</v>
      </c>
      <c r="T13" s="177">
        <f t="shared" si="1"/>
        <v>2038</v>
      </c>
      <c r="U13" s="177">
        <f t="shared" si="1"/>
        <v>2039</v>
      </c>
      <c r="V13" s="177">
        <f t="shared" si="1"/>
        <v>2040</v>
      </c>
      <c r="W13" s="177">
        <f t="shared" si="1"/>
        <v>2041</v>
      </c>
      <c r="X13" s="177">
        <f t="shared" si="1"/>
        <v>2042</v>
      </c>
      <c r="Y13" s="177">
        <f t="shared" si="1"/>
        <v>2043</v>
      </c>
      <c r="Z13" s="177">
        <f t="shared" si="1"/>
        <v>2044</v>
      </c>
      <c r="AA13" s="177">
        <f t="shared" si="1"/>
        <v>2045</v>
      </c>
      <c r="AB13" s="177">
        <f t="shared" si="1"/>
        <v>2046</v>
      </c>
      <c r="AC13" s="177">
        <f t="shared" si="1"/>
        <v>2047</v>
      </c>
      <c r="AD13" s="177">
        <f t="shared" si="1"/>
        <v>2048</v>
      </c>
      <c r="AE13" s="177">
        <f t="shared" si="1"/>
        <v>2049</v>
      </c>
      <c r="AF13" s="177">
        <f t="shared" si="1"/>
        <v>2050</v>
      </c>
      <c r="AI13" s="174"/>
      <c r="AJ13" s="178">
        <v>2020</v>
      </c>
      <c r="AK13" s="178">
        <v>2021</v>
      </c>
      <c r="AL13" s="178">
        <v>2022</v>
      </c>
      <c r="AM13" s="178">
        <v>2023</v>
      </c>
      <c r="AN13" s="178">
        <v>2024</v>
      </c>
      <c r="AO13" s="178">
        <v>2025</v>
      </c>
      <c r="AP13" s="178">
        <v>2026</v>
      </c>
      <c r="AQ13" s="178">
        <v>2027</v>
      </c>
      <c r="AR13" s="178">
        <v>2028</v>
      </c>
      <c r="AS13" s="178">
        <v>2029</v>
      </c>
      <c r="AT13" s="178">
        <v>2030</v>
      </c>
      <c r="AU13" s="178">
        <v>2031</v>
      </c>
      <c r="AV13" s="178">
        <v>2032</v>
      </c>
      <c r="AW13" s="178">
        <v>2033</v>
      </c>
      <c r="AX13" s="178">
        <v>2034</v>
      </c>
      <c r="AY13" s="178">
        <v>2035</v>
      </c>
    </row>
    <row r="14" spans="1:52" ht="11.25" customHeight="1">
      <c r="A14" s="113" t="s">
        <v>129</v>
      </c>
      <c r="B14" s="13">
        <f>Data!$S3</f>
        <v>27984</v>
      </c>
      <c r="C14" s="13">
        <f>Data!$S15</f>
        <v>22450</v>
      </c>
      <c r="D14" s="13">
        <f>Data!$S27</f>
        <v>15817</v>
      </c>
      <c r="E14" s="13">
        <f>Data!$S39</f>
        <v>33555</v>
      </c>
      <c r="F14" s="13">
        <f>Data!$S51</f>
        <v>73487</v>
      </c>
      <c r="G14" s="13">
        <f>Data!$S63</f>
        <v>21446</v>
      </c>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I14" s="179" t="s">
        <v>213</v>
      </c>
      <c r="AJ14" s="180">
        <f t="shared" ref="AJ14:AY14" si="2">SUM(B14:B16)</f>
        <v>74932</v>
      </c>
      <c r="AK14" s="180">
        <f t="shared" si="2"/>
        <v>75833</v>
      </c>
      <c r="AL14" s="180">
        <f t="shared" si="2"/>
        <v>58144</v>
      </c>
      <c r="AM14" s="180">
        <f t="shared" si="2"/>
        <v>102657</v>
      </c>
      <c r="AN14" s="180">
        <f t="shared" si="2"/>
        <v>203211</v>
      </c>
      <c r="AO14" s="180">
        <f t="shared" si="2"/>
        <v>50919</v>
      </c>
      <c r="AP14" s="180">
        <f t="shared" si="2"/>
        <v>0</v>
      </c>
      <c r="AQ14" s="180">
        <f t="shared" si="2"/>
        <v>0</v>
      </c>
      <c r="AR14" s="180">
        <f t="shared" si="2"/>
        <v>0</v>
      </c>
      <c r="AS14" s="180">
        <f t="shared" si="2"/>
        <v>0</v>
      </c>
      <c r="AT14" s="180">
        <f t="shared" si="2"/>
        <v>0</v>
      </c>
      <c r="AU14" s="180">
        <f t="shared" si="2"/>
        <v>0</v>
      </c>
      <c r="AV14" s="180">
        <f t="shared" si="2"/>
        <v>0</v>
      </c>
      <c r="AW14" s="180">
        <f t="shared" si="2"/>
        <v>0</v>
      </c>
      <c r="AX14" s="180">
        <f t="shared" si="2"/>
        <v>0</v>
      </c>
      <c r="AY14" s="180">
        <f t="shared" si="2"/>
        <v>0</v>
      </c>
    </row>
    <row r="15" spans="1:52" ht="11.25" customHeight="1">
      <c r="A15" s="113" t="s">
        <v>130</v>
      </c>
      <c r="B15" s="13">
        <f>Data!$S4</f>
        <v>26051</v>
      </c>
      <c r="C15" s="13">
        <f>Data!$S16</f>
        <v>25305</v>
      </c>
      <c r="D15" s="13">
        <f>Data!$S28</f>
        <v>18562</v>
      </c>
      <c r="E15" s="13">
        <f>Data!$S40</f>
        <v>32133</v>
      </c>
      <c r="F15" s="13">
        <f>Data!$S52</f>
        <v>42938</v>
      </c>
      <c r="G15" s="13">
        <f>Data!$S64</f>
        <v>29473</v>
      </c>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I15" s="181" t="s">
        <v>214</v>
      </c>
      <c r="AJ15" s="250">
        <f t="shared" ref="AJ15:AY15" si="3">SUM(B17:B19)</f>
        <v>85683</v>
      </c>
      <c r="AK15" s="250">
        <f t="shared" si="3"/>
        <v>77969</v>
      </c>
      <c r="AL15" s="250">
        <f t="shared" si="3"/>
        <v>69931</v>
      </c>
      <c r="AM15" s="250">
        <f t="shared" si="3"/>
        <v>104645</v>
      </c>
      <c r="AN15" s="250">
        <f t="shared" si="3"/>
        <v>287166</v>
      </c>
      <c r="AO15" s="250">
        <f t="shared" si="3"/>
        <v>0</v>
      </c>
      <c r="AP15" s="250">
        <f t="shared" si="3"/>
        <v>0</v>
      </c>
      <c r="AQ15" s="250">
        <f t="shared" si="3"/>
        <v>0</v>
      </c>
      <c r="AR15" s="250">
        <f t="shared" si="3"/>
        <v>0</v>
      </c>
      <c r="AS15" s="250">
        <f t="shared" si="3"/>
        <v>0</v>
      </c>
      <c r="AT15" s="250">
        <f t="shared" si="3"/>
        <v>0</v>
      </c>
      <c r="AU15" s="250">
        <f t="shared" si="3"/>
        <v>0</v>
      </c>
      <c r="AV15" s="250">
        <f t="shared" si="3"/>
        <v>0</v>
      </c>
      <c r="AW15" s="250">
        <f t="shared" si="3"/>
        <v>0</v>
      </c>
      <c r="AX15" s="250">
        <f t="shared" si="3"/>
        <v>0</v>
      </c>
      <c r="AY15" s="250">
        <f t="shared" si="3"/>
        <v>0</v>
      </c>
    </row>
    <row r="16" spans="1:52" ht="11.25" customHeight="1">
      <c r="A16" s="113" t="s">
        <v>131</v>
      </c>
      <c r="B16" s="13">
        <f>Data!$S5</f>
        <v>20897</v>
      </c>
      <c r="C16" s="13">
        <f>Data!$S17</f>
        <v>28078</v>
      </c>
      <c r="D16" s="13">
        <f>Data!$S29</f>
        <v>23765</v>
      </c>
      <c r="E16" s="13">
        <f>Data!$S41</f>
        <v>36969</v>
      </c>
      <c r="F16" s="13">
        <f>Data!$S53</f>
        <v>86786</v>
      </c>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I16" s="179" t="s">
        <v>215</v>
      </c>
      <c r="AJ16" s="180">
        <f t="shared" ref="AJ16:AY16" si="4">SUM(B20:B22)</f>
        <v>85226</v>
      </c>
      <c r="AK16" s="180">
        <f t="shared" si="4"/>
        <v>88555</v>
      </c>
      <c r="AL16" s="180">
        <f t="shared" si="4"/>
        <v>80018</v>
      </c>
      <c r="AM16" s="180">
        <f t="shared" si="4"/>
        <v>128809</v>
      </c>
      <c r="AN16" s="180">
        <f t="shared" si="4"/>
        <v>308074</v>
      </c>
      <c r="AO16" s="180">
        <f t="shared" si="4"/>
        <v>0</v>
      </c>
      <c r="AP16" s="180">
        <f t="shared" si="4"/>
        <v>0</v>
      </c>
      <c r="AQ16" s="180">
        <f t="shared" si="4"/>
        <v>0</v>
      </c>
      <c r="AR16" s="180">
        <f t="shared" si="4"/>
        <v>0</v>
      </c>
      <c r="AS16" s="180">
        <f t="shared" si="4"/>
        <v>0</v>
      </c>
      <c r="AT16" s="180">
        <f t="shared" si="4"/>
        <v>0</v>
      </c>
      <c r="AU16" s="180">
        <f t="shared" si="4"/>
        <v>0</v>
      </c>
      <c r="AV16" s="180">
        <f t="shared" si="4"/>
        <v>0</v>
      </c>
      <c r="AW16" s="180">
        <f t="shared" si="4"/>
        <v>0</v>
      </c>
      <c r="AX16" s="180">
        <f t="shared" si="4"/>
        <v>0</v>
      </c>
      <c r="AY16" s="180">
        <f t="shared" si="4"/>
        <v>0</v>
      </c>
    </row>
    <row r="17" spans="1:52" ht="11.25" customHeight="1">
      <c r="A17" s="113" t="s">
        <v>132</v>
      </c>
      <c r="B17" s="13">
        <f>Data!$S6</f>
        <v>27453</v>
      </c>
      <c r="C17" s="13">
        <f>Data!$S18</f>
        <v>26142</v>
      </c>
      <c r="D17" s="13">
        <f>Data!$S30</f>
        <v>22385</v>
      </c>
      <c r="E17" s="13">
        <f>Data!$S42</f>
        <v>28271</v>
      </c>
      <c r="F17" s="13">
        <f>Data!$S54</f>
        <v>62480</v>
      </c>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I17" s="181" t="s">
        <v>216</v>
      </c>
      <c r="AJ17" s="251">
        <f t="shared" ref="AJ17:AY17" si="5">SUM(B23:B25)</f>
        <v>84021</v>
      </c>
      <c r="AK17" s="251">
        <f t="shared" si="5"/>
        <v>95792</v>
      </c>
      <c r="AL17" s="251">
        <f t="shared" si="5"/>
        <v>134046</v>
      </c>
      <c r="AM17" s="251">
        <f t="shared" si="5"/>
        <v>145183</v>
      </c>
      <c r="AN17" s="251">
        <f t="shared" si="5"/>
        <v>260398</v>
      </c>
      <c r="AO17" s="251">
        <f t="shared" si="5"/>
        <v>0</v>
      </c>
      <c r="AP17" s="251">
        <f t="shared" si="5"/>
        <v>0</v>
      </c>
      <c r="AQ17" s="251">
        <f t="shared" si="5"/>
        <v>0</v>
      </c>
      <c r="AR17" s="251">
        <f t="shared" si="5"/>
        <v>0</v>
      </c>
      <c r="AS17" s="251">
        <f t="shared" si="5"/>
        <v>0</v>
      </c>
      <c r="AT17" s="251">
        <f t="shared" si="5"/>
        <v>0</v>
      </c>
      <c r="AU17" s="251">
        <f t="shared" si="5"/>
        <v>0</v>
      </c>
      <c r="AV17" s="251">
        <f t="shared" si="5"/>
        <v>0</v>
      </c>
      <c r="AW17" s="251">
        <f t="shared" si="5"/>
        <v>0</v>
      </c>
      <c r="AX17" s="251">
        <f t="shared" si="5"/>
        <v>0</v>
      </c>
      <c r="AY17" s="251">
        <f t="shared" si="5"/>
        <v>0</v>
      </c>
    </row>
    <row r="18" spans="1:52" ht="11.25" customHeight="1">
      <c r="A18" s="113" t="s">
        <v>133</v>
      </c>
      <c r="B18" s="13">
        <f>Data!$S7</f>
        <v>30366</v>
      </c>
      <c r="C18" s="13">
        <f>Data!$S19</f>
        <v>20756</v>
      </c>
      <c r="D18" s="13">
        <f>Data!$S31</f>
        <v>22962</v>
      </c>
      <c r="E18" s="13">
        <f>Data!$S43</f>
        <v>36077</v>
      </c>
      <c r="F18" s="13">
        <f>Data!$S55</f>
        <v>90524</v>
      </c>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I18" s="182" t="s">
        <v>217</v>
      </c>
      <c r="AJ18" s="180">
        <f>SUM(AJ14:AJ16)</f>
        <v>245841</v>
      </c>
      <c r="AK18" s="180">
        <f t="shared" ref="AK18:AY18" si="6">SUM(AK14:AK16)</f>
        <v>242357</v>
      </c>
      <c r="AL18" s="180">
        <f t="shared" si="6"/>
        <v>208093</v>
      </c>
      <c r="AM18" s="180">
        <f t="shared" si="6"/>
        <v>336111</v>
      </c>
      <c r="AN18" s="180">
        <f t="shared" si="6"/>
        <v>798451</v>
      </c>
      <c r="AO18" s="180">
        <f t="shared" si="6"/>
        <v>50919</v>
      </c>
      <c r="AP18" s="180">
        <f t="shared" si="6"/>
        <v>0</v>
      </c>
      <c r="AQ18" s="180">
        <f t="shared" si="6"/>
        <v>0</v>
      </c>
      <c r="AR18" s="180">
        <f t="shared" si="6"/>
        <v>0</v>
      </c>
      <c r="AS18" s="180">
        <f t="shared" si="6"/>
        <v>0</v>
      </c>
      <c r="AT18" s="180">
        <f t="shared" si="6"/>
        <v>0</v>
      </c>
      <c r="AU18" s="180">
        <f t="shared" si="6"/>
        <v>0</v>
      </c>
      <c r="AV18" s="180">
        <f t="shared" si="6"/>
        <v>0</v>
      </c>
      <c r="AW18" s="180">
        <f t="shared" si="6"/>
        <v>0</v>
      </c>
      <c r="AX18" s="180">
        <f t="shared" si="6"/>
        <v>0</v>
      </c>
      <c r="AY18" s="180">
        <f t="shared" si="6"/>
        <v>0</v>
      </c>
      <c r="AZ18" s="187" t="e">
        <f>(AY18/AP18)^(1/10)-1</f>
        <v>#DIV/0!</v>
      </c>
    </row>
    <row r="19" spans="1:52" ht="11.25" customHeight="1">
      <c r="A19" s="113" t="s">
        <v>134</v>
      </c>
      <c r="B19" s="13">
        <f>Data!$S8</f>
        <v>27864</v>
      </c>
      <c r="C19" s="13">
        <f>Data!$S20</f>
        <v>31071</v>
      </c>
      <c r="D19" s="13">
        <f>Data!$S32</f>
        <v>24584</v>
      </c>
      <c r="E19" s="13">
        <f>Data!$S44</f>
        <v>40297</v>
      </c>
      <c r="F19" s="13">
        <f>Data!$S56</f>
        <v>134162</v>
      </c>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I19" s="174"/>
      <c r="AJ19" s="174"/>
      <c r="AK19" s="174"/>
      <c r="AL19" s="174"/>
      <c r="AM19" s="174"/>
      <c r="AN19" s="174"/>
      <c r="AO19" s="174"/>
      <c r="AP19" s="174"/>
      <c r="AQ19" s="174"/>
      <c r="AR19" s="174"/>
      <c r="AS19" s="174"/>
      <c r="AT19" s="174"/>
      <c r="AU19" s="174"/>
      <c r="AV19" s="174"/>
      <c r="AW19" s="174"/>
      <c r="AX19" s="174"/>
      <c r="AY19" s="174"/>
    </row>
    <row r="20" spans="1:52" ht="11.25" customHeight="1">
      <c r="A20" s="113" t="s">
        <v>135</v>
      </c>
      <c r="B20" s="13">
        <f>Data!$S9</f>
        <v>35225</v>
      </c>
      <c r="C20" s="13">
        <f>Data!$S21</f>
        <v>29020</v>
      </c>
      <c r="D20" s="13">
        <f>Data!$S33</f>
        <v>23788</v>
      </c>
      <c r="E20" s="13">
        <f>Data!$S45</f>
        <v>37345</v>
      </c>
      <c r="F20" s="13">
        <f>Data!$S57</f>
        <v>90339</v>
      </c>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I20" s="188" t="s">
        <v>218</v>
      </c>
      <c r="AJ20" s="189"/>
      <c r="AK20" s="189">
        <f t="shared" ref="AK20:AY20" si="7">AK16/AK15-1</f>
        <v>0.13577190934858718</v>
      </c>
      <c r="AL20" s="189">
        <f t="shared" si="7"/>
        <v>0.14424218157898494</v>
      </c>
      <c r="AM20" s="189">
        <f t="shared" si="7"/>
        <v>0.23091404271584892</v>
      </c>
      <c r="AN20" s="189">
        <f t="shared" si="7"/>
        <v>7.2808062235780069E-2</v>
      </c>
      <c r="AO20" s="189" t="e">
        <f t="shared" si="7"/>
        <v>#DIV/0!</v>
      </c>
      <c r="AP20" s="190" t="e">
        <f t="shared" si="7"/>
        <v>#DIV/0!</v>
      </c>
      <c r="AQ20" s="190" t="e">
        <f t="shared" si="7"/>
        <v>#DIV/0!</v>
      </c>
      <c r="AR20" s="190" t="e">
        <f t="shared" si="7"/>
        <v>#DIV/0!</v>
      </c>
      <c r="AS20" s="190" t="e">
        <f t="shared" si="7"/>
        <v>#DIV/0!</v>
      </c>
      <c r="AT20" s="190" t="e">
        <f t="shared" si="7"/>
        <v>#DIV/0!</v>
      </c>
      <c r="AU20" s="190" t="e">
        <f t="shared" si="7"/>
        <v>#DIV/0!</v>
      </c>
      <c r="AV20" s="190" t="e">
        <f t="shared" si="7"/>
        <v>#DIV/0!</v>
      </c>
      <c r="AW20" s="190" t="e">
        <f t="shared" si="7"/>
        <v>#DIV/0!</v>
      </c>
      <c r="AX20" s="190" t="e">
        <f t="shared" si="7"/>
        <v>#DIV/0!</v>
      </c>
      <c r="AY20" s="190" t="e">
        <f t="shared" si="7"/>
        <v>#DIV/0!</v>
      </c>
    </row>
    <row r="21" spans="1:52" ht="11.25" customHeight="1">
      <c r="A21" s="113" t="s">
        <v>136</v>
      </c>
      <c r="B21" s="13">
        <f>Data!$S10</f>
        <v>23611</v>
      </c>
      <c r="C21" s="13">
        <f>Data!$S22</f>
        <v>29208</v>
      </c>
      <c r="D21" s="13">
        <f>Data!$S34</f>
        <v>23682</v>
      </c>
      <c r="E21" s="13">
        <f>Data!$S46</f>
        <v>32487</v>
      </c>
      <c r="F21" s="13">
        <f>Data!$S58</f>
        <v>135219</v>
      </c>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I21" s="188"/>
      <c r="AJ21" s="191"/>
      <c r="AK21" s="191">
        <f t="shared" ref="AK21:AY21" si="8">AK16-AK15</f>
        <v>10586</v>
      </c>
      <c r="AL21" s="191">
        <f t="shared" si="8"/>
        <v>10087</v>
      </c>
      <c r="AM21" s="191">
        <f t="shared" si="8"/>
        <v>24164</v>
      </c>
      <c r="AN21" s="191">
        <f t="shared" si="8"/>
        <v>20908</v>
      </c>
      <c r="AO21" s="191">
        <f t="shared" si="8"/>
        <v>0</v>
      </c>
      <c r="AP21" s="192">
        <f t="shared" si="8"/>
        <v>0</v>
      </c>
      <c r="AQ21" s="192">
        <f t="shared" si="8"/>
        <v>0</v>
      </c>
      <c r="AR21" s="192">
        <f t="shared" si="8"/>
        <v>0</v>
      </c>
      <c r="AS21" s="192">
        <f t="shared" si="8"/>
        <v>0</v>
      </c>
      <c r="AT21" s="192">
        <f t="shared" si="8"/>
        <v>0</v>
      </c>
      <c r="AU21" s="192">
        <f t="shared" si="8"/>
        <v>0</v>
      </c>
      <c r="AV21" s="192">
        <f t="shared" si="8"/>
        <v>0</v>
      </c>
      <c r="AW21" s="192">
        <f t="shared" si="8"/>
        <v>0</v>
      </c>
      <c r="AX21" s="192">
        <f t="shared" si="8"/>
        <v>0</v>
      </c>
      <c r="AY21" s="192">
        <f t="shared" si="8"/>
        <v>0</v>
      </c>
    </row>
    <row r="22" spans="1:52" ht="11.25" customHeight="1">
      <c r="A22" s="113" t="s">
        <v>137</v>
      </c>
      <c r="B22" s="13">
        <f>Data!$S11</f>
        <v>26390</v>
      </c>
      <c r="C22" s="13">
        <f>Data!$S23</f>
        <v>30327</v>
      </c>
      <c r="D22" s="13">
        <f>Data!$S35</f>
        <v>32548</v>
      </c>
      <c r="E22" s="13">
        <f>Data!$S47</f>
        <v>58977</v>
      </c>
      <c r="F22" s="13">
        <f>Data!$S59</f>
        <v>82516</v>
      </c>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I22" s="193" t="s">
        <v>219</v>
      </c>
      <c r="AJ22" s="194"/>
      <c r="AK22" s="194">
        <f t="shared" ref="AK22:AY22" si="9">AK16/AJ16-1</f>
        <v>3.9060849975359524E-2</v>
      </c>
      <c r="AL22" s="194">
        <f t="shared" si="9"/>
        <v>-9.6403365140308228E-2</v>
      </c>
      <c r="AM22" s="194">
        <f t="shared" si="9"/>
        <v>0.60975030618110915</v>
      </c>
      <c r="AN22" s="194">
        <f t="shared" si="9"/>
        <v>1.3917117592714794</v>
      </c>
      <c r="AO22" s="194">
        <f t="shared" si="9"/>
        <v>-1</v>
      </c>
      <c r="AP22" s="195" t="e">
        <f t="shared" si="9"/>
        <v>#DIV/0!</v>
      </c>
      <c r="AQ22" s="195" t="e">
        <f t="shared" si="9"/>
        <v>#DIV/0!</v>
      </c>
      <c r="AR22" s="195" t="e">
        <f t="shared" si="9"/>
        <v>#DIV/0!</v>
      </c>
      <c r="AS22" s="195" t="e">
        <f t="shared" si="9"/>
        <v>#DIV/0!</v>
      </c>
      <c r="AT22" s="195" t="e">
        <f t="shared" si="9"/>
        <v>#DIV/0!</v>
      </c>
      <c r="AU22" s="195" t="e">
        <f t="shared" si="9"/>
        <v>#DIV/0!</v>
      </c>
      <c r="AV22" s="195" t="e">
        <f t="shared" si="9"/>
        <v>#DIV/0!</v>
      </c>
      <c r="AW22" s="195" t="e">
        <f t="shared" si="9"/>
        <v>#DIV/0!</v>
      </c>
      <c r="AX22" s="195" t="e">
        <f t="shared" si="9"/>
        <v>#DIV/0!</v>
      </c>
      <c r="AY22" s="195" t="e">
        <f t="shared" si="9"/>
        <v>#DIV/0!</v>
      </c>
    </row>
    <row r="23" spans="1:52" ht="11.25" customHeight="1">
      <c r="A23" s="113" t="s">
        <v>138</v>
      </c>
      <c r="B23" s="13">
        <f>Data!$S12</f>
        <v>26908</v>
      </c>
      <c r="C23" s="13">
        <f>Data!$S24</f>
        <v>29496</v>
      </c>
      <c r="D23" s="13">
        <f>Data!$S36</f>
        <v>63255</v>
      </c>
      <c r="E23" s="13">
        <f>Data!$S48</f>
        <v>36039</v>
      </c>
      <c r="F23" s="13">
        <f>Data!$S60</f>
        <v>84384</v>
      </c>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I23" s="193"/>
      <c r="AJ23" s="196"/>
      <c r="AK23" s="196">
        <f t="shared" ref="AK23:AY23" si="10">AK16-AJ16</f>
        <v>3329</v>
      </c>
      <c r="AL23" s="196">
        <f t="shared" si="10"/>
        <v>-8537</v>
      </c>
      <c r="AM23" s="196">
        <f t="shared" si="10"/>
        <v>48791</v>
      </c>
      <c r="AN23" s="196">
        <f t="shared" si="10"/>
        <v>179265</v>
      </c>
      <c r="AO23" s="196">
        <f t="shared" si="10"/>
        <v>-308074</v>
      </c>
      <c r="AP23" s="197">
        <f t="shared" si="10"/>
        <v>0</v>
      </c>
      <c r="AQ23" s="197">
        <f t="shared" si="10"/>
        <v>0</v>
      </c>
      <c r="AR23" s="197">
        <f t="shared" si="10"/>
        <v>0</v>
      </c>
      <c r="AS23" s="197">
        <f t="shared" si="10"/>
        <v>0</v>
      </c>
      <c r="AT23" s="197">
        <f t="shared" si="10"/>
        <v>0</v>
      </c>
      <c r="AU23" s="197">
        <f t="shared" si="10"/>
        <v>0</v>
      </c>
      <c r="AV23" s="197">
        <f t="shared" si="10"/>
        <v>0</v>
      </c>
      <c r="AW23" s="197">
        <f t="shared" si="10"/>
        <v>0</v>
      </c>
      <c r="AX23" s="197">
        <f t="shared" si="10"/>
        <v>0</v>
      </c>
      <c r="AY23" s="197">
        <f t="shared" si="10"/>
        <v>0</v>
      </c>
    </row>
    <row r="24" spans="1:52" ht="11.25" customHeight="1">
      <c r="A24" s="113" t="s">
        <v>139</v>
      </c>
      <c r="B24" s="13">
        <f>Data!$S13</f>
        <v>29732</v>
      </c>
      <c r="C24" s="13">
        <f>Data!$S25</f>
        <v>31355</v>
      </c>
      <c r="D24" s="13">
        <f>Data!$S37</f>
        <v>37566</v>
      </c>
      <c r="E24" s="13">
        <f>Data!$S49</f>
        <v>67675</v>
      </c>
      <c r="F24" s="13">
        <f>Data!$S61</f>
        <v>83549</v>
      </c>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I24" s="198" t="s">
        <v>219</v>
      </c>
      <c r="AJ24" s="189"/>
      <c r="AK24" s="189">
        <f t="shared" ref="AK24:AY24" si="11">AK18/AJ18-1</f>
        <v>-1.4171761423033558E-2</v>
      </c>
      <c r="AL24" s="189">
        <f t="shared" si="11"/>
        <v>-0.14137821478232526</v>
      </c>
      <c r="AM24" s="189">
        <f t="shared" si="11"/>
        <v>0.61519609020966581</v>
      </c>
      <c r="AN24" s="189">
        <f t="shared" si="11"/>
        <v>1.3755574795231338</v>
      </c>
      <c r="AO24" s="190">
        <f t="shared" si="11"/>
        <v>-0.93622777102164068</v>
      </c>
      <c r="AP24" s="190">
        <f t="shared" si="11"/>
        <v>-1</v>
      </c>
      <c r="AQ24" s="190" t="e">
        <f t="shared" si="11"/>
        <v>#DIV/0!</v>
      </c>
      <c r="AR24" s="190" t="e">
        <f t="shared" si="11"/>
        <v>#DIV/0!</v>
      </c>
      <c r="AS24" s="190" t="e">
        <f t="shared" si="11"/>
        <v>#DIV/0!</v>
      </c>
      <c r="AT24" s="190" t="e">
        <f t="shared" si="11"/>
        <v>#DIV/0!</v>
      </c>
      <c r="AU24" s="190" t="e">
        <f t="shared" si="11"/>
        <v>#DIV/0!</v>
      </c>
      <c r="AV24" s="190" t="e">
        <f t="shared" si="11"/>
        <v>#DIV/0!</v>
      </c>
      <c r="AW24" s="190" t="e">
        <f t="shared" si="11"/>
        <v>#DIV/0!</v>
      </c>
      <c r="AX24" s="190" t="e">
        <f t="shared" si="11"/>
        <v>#DIV/0!</v>
      </c>
      <c r="AY24" s="190" t="e">
        <f t="shared" si="11"/>
        <v>#DIV/0!</v>
      </c>
    </row>
    <row r="25" spans="1:52" ht="11.25" customHeight="1">
      <c r="A25" s="113" t="s">
        <v>140</v>
      </c>
      <c r="B25" s="13">
        <f>Data!$S14</f>
        <v>27381</v>
      </c>
      <c r="C25" s="13">
        <f>Data!$S26</f>
        <v>34941</v>
      </c>
      <c r="D25" s="13">
        <f>Data!$S38</f>
        <v>33225</v>
      </c>
      <c r="E25" s="13">
        <f>Data!$S50</f>
        <v>41469</v>
      </c>
      <c r="F25" s="13">
        <f>Data!$S62</f>
        <v>92465</v>
      </c>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I25" s="198"/>
      <c r="AJ25" s="191"/>
      <c r="AK25" s="191">
        <f t="shared" ref="AK25:AY25" si="12">AK18-AJ18</f>
        <v>-3484</v>
      </c>
      <c r="AL25" s="191">
        <f t="shared" si="12"/>
        <v>-34264</v>
      </c>
      <c r="AM25" s="191">
        <f t="shared" si="12"/>
        <v>128018</v>
      </c>
      <c r="AN25" s="191">
        <f t="shared" si="12"/>
        <v>462340</v>
      </c>
      <c r="AO25" s="192">
        <f t="shared" si="12"/>
        <v>-747532</v>
      </c>
      <c r="AP25" s="192">
        <f t="shared" si="12"/>
        <v>-50919</v>
      </c>
      <c r="AQ25" s="192">
        <f t="shared" si="12"/>
        <v>0</v>
      </c>
      <c r="AR25" s="192">
        <f t="shared" si="12"/>
        <v>0</v>
      </c>
      <c r="AS25" s="192">
        <f t="shared" si="12"/>
        <v>0</v>
      </c>
      <c r="AT25" s="192">
        <f t="shared" si="12"/>
        <v>0</v>
      </c>
      <c r="AU25" s="192">
        <f t="shared" si="12"/>
        <v>0</v>
      </c>
      <c r="AV25" s="192">
        <f t="shared" si="12"/>
        <v>0</v>
      </c>
      <c r="AW25" s="192">
        <f t="shared" si="12"/>
        <v>0</v>
      </c>
      <c r="AX25" s="192">
        <f t="shared" si="12"/>
        <v>0</v>
      </c>
      <c r="AY25" s="192">
        <f t="shared" si="12"/>
        <v>0</v>
      </c>
    </row>
    <row r="26" spans="1:52" ht="11.25" customHeight="1" thickBot="1">
      <c r="A26" s="113" t="s">
        <v>141</v>
      </c>
      <c r="B26" s="13">
        <f>SUM(B14:B25)</f>
        <v>329862</v>
      </c>
      <c r="C26" s="13">
        <f>SUM(C14:C25)</f>
        <v>338149</v>
      </c>
      <c r="D26" s="13">
        <f>SUM(D14:D25)</f>
        <v>342139</v>
      </c>
      <c r="E26" s="13">
        <f>SUM(E14:E25)</f>
        <v>481294</v>
      </c>
      <c r="F26" s="235">
        <f>SUM(F14:F25)</f>
        <v>1058849</v>
      </c>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52">
      <c r="A27" s="199"/>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row>
    <row r="28" spans="1:52" ht="12" thickBot="1">
      <c r="A28" s="138" t="s">
        <v>263</v>
      </c>
    </row>
    <row r="29" spans="1:52" ht="12" thickBot="1">
      <c r="A29" s="176"/>
      <c r="B29" s="177">
        <f t="shared" ref="B29:AF29" si="13">B3</f>
        <v>2020</v>
      </c>
      <c r="C29" s="177">
        <f t="shared" si="13"/>
        <v>2021</v>
      </c>
      <c r="D29" s="177">
        <f t="shared" si="13"/>
        <v>2022</v>
      </c>
      <c r="E29" s="177">
        <f t="shared" si="13"/>
        <v>2023</v>
      </c>
      <c r="F29" s="177">
        <f t="shared" si="13"/>
        <v>2024</v>
      </c>
      <c r="G29" s="177">
        <f t="shared" si="13"/>
        <v>2025</v>
      </c>
      <c r="H29" s="177">
        <f t="shared" si="13"/>
        <v>2026</v>
      </c>
      <c r="I29" s="177">
        <f t="shared" si="13"/>
        <v>2027</v>
      </c>
      <c r="J29" s="177">
        <f t="shared" si="13"/>
        <v>2028</v>
      </c>
      <c r="K29" s="177">
        <f t="shared" si="13"/>
        <v>2029</v>
      </c>
      <c r="L29" s="177">
        <f t="shared" si="13"/>
        <v>2030</v>
      </c>
      <c r="M29" s="177">
        <f t="shared" si="13"/>
        <v>2031</v>
      </c>
      <c r="N29" s="177">
        <f t="shared" si="13"/>
        <v>2032</v>
      </c>
      <c r="O29" s="177">
        <f t="shared" si="13"/>
        <v>2033</v>
      </c>
      <c r="P29" s="177">
        <f t="shared" si="13"/>
        <v>2034</v>
      </c>
      <c r="Q29" s="177">
        <f t="shared" si="13"/>
        <v>2035</v>
      </c>
      <c r="R29" s="177">
        <f t="shared" si="13"/>
        <v>2036</v>
      </c>
      <c r="S29" s="177">
        <f t="shared" si="13"/>
        <v>2037</v>
      </c>
      <c r="T29" s="177">
        <f t="shared" si="13"/>
        <v>2038</v>
      </c>
      <c r="U29" s="177">
        <f t="shared" si="13"/>
        <v>2039</v>
      </c>
      <c r="V29" s="177">
        <f t="shared" si="13"/>
        <v>2040</v>
      </c>
      <c r="W29" s="177">
        <f t="shared" si="13"/>
        <v>2041</v>
      </c>
      <c r="X29" s="177">
        <f t="shared" si="13"/>
        <v>2042</v>
      </c>
      <c r="Y29" s="177">
        <f t="shared" si="13"/>
        <v>2043</v>
      </c>
      <c r="Z29" s="177">
        <f t="shared" si="13"/>
        <v>2044</v>
      </c>
      <c r="AA29" s="177">
        <f t="shared" si="13"/>
        <v>2045</v>
      </c>
      <c r="AB29" s="177">
        <f t="shared" si="13"/>
        <v>2046</v>
      </c>
      <c r="AC29" s="177">
        <f t="shared" si="13"/>
        <v>2047</v>
      </c>
      <c r="AD29" s="177">
        <f t="shared" si="13"/>
        <v>2048</v>
      </c>
      <c r="AE29" s="177">
        <f t="shared" si="13"/>
        <v>2049</v>
      </c>
      <c r="AF29" s="177">
        <f t="shared" si="13"/>
        <v>2050</v>
      </c>
      <c r="AI29" s="113" t="s">
        <v>273</v>
      </c>
    </row>
    <row r="30" spans="1:52">
      <c r="A30" s="113" t="s">
        <v>129</v>
      </c>
      <c r="B30" s="13">
        <f>Data!$V3</f>
        <v>27402</v>
      </c>
      <c r="C30" s="13">
        <f>Data!$V15</f>
        <v>22686</v>
      </c>
      <c r="D30" s="13">
        <f>Data!$V27</f>
        <v>16557</v>
      </c>
      <c r="E30" s="13">
        <f>Data!$V39</f>
        <v>32092</v>
      </c>
      <c r="F30" s="13">
        <f>Data!$V51</f>
        <v>45376</v>
      </c>
      <c r="G30" s="13">
        <f>Data!$V63</f>
        <v>37180</v>
      </c>
      <c r="H30" s="119">
        <f>'Total RD Feedstock'!H32*(AVERAGE('VO RD Feedstock'!F30:G30)/AVERAGE('Total RD Feedstock'!F32:G32))</f>
        <v>54302.727248184885</v>
      </c>
      <c r="I30" s="119">
        <f>'Total RD Feedstock'!I32*(AVERAGE('VO RD Feedstock'!G30:H30)/AVERAGE('Total RD Feedstock'!G32:H32))</f>
        <v>66471.40222966265</v>
      </c>
      <c r="J30" s="119">
        <f>'Total RD Feedstock'!J32*(AVERAGE('VO RD Feedstock'!H30:I30)/AVERAGE('Total RD Feedstock'!H32:I32))</f>
        <v>73331.18350576378</v>
      </c>
      <c r="K30" s="119">
        <f>'Total RD Feedstock'!K32*(AVERAGE('VO RD Feedstock'!I30:J30)/AVERAGE('Total RD Feedstock'!I32:J32))</f>
        <v>75935.025941162588</v>
      </c>
      <c r="L30" s="119">
        <f>'Total RD Feedstock'!L32*(AVERAGE('VO RD Feedstock'!J30:K30)/AVERAGE('Total RD Feedstock'!J32:K32))</f>
        <v>80163.731935082498</v>
      </c>
      <c r="M30" s="119">
        <f>'Total RD Feedstock'!M32*(AVERAGE('VO RD Feedstock'!K30:L30)/AVERAGE('Total RD Feedstock'!K32:L32))</f>
        <v>81734.679647997807</v>
      </c>
      <c r="N30" s="119">
        <f>'Total RD Feedstock'!N32*(AVERAGE('VO RD Feedstock'!L30:M30)/AVERAGE('Total RD Feedstock'!L32:M32))</f>
        <v>82888.74298636512</v>
      </c>
      <c r="O30" s="119">
        <f>'Total RD Feedstock'!O32*(AVERAGE('VO RD Feedstock'!M30:N30)/AVERAGE('Total RD Feedstock'!M32:N32))</f>
        <v>83778.552742271262</v>
      </c>
      <c r="P30" s="119">
        <f>'Total RD Feedstock'!P32*(AVERAGE('VO RD Feedstock'!N30:O30)/AVERAGE('Total RD Feedstock'!N32:O32))</f>
        <v>85072.341646730507</v>
      </c>
      <c r="Q30" s="119">
        <f>'Total RD Feedstock'!Q32*(AVERAGE('VO RD Feedstock'!O30:P30)/AVERAGE('Total RD Feedstock'!O32:P32))</f>
        <v>86421.759106617785</v>
      </c>
      <c r="R30" s="119">
        <f>'Total RD Feedstock'!R32*(AVERAGE('VO RD Feedstock'!P30:Q30)/AVERAGE('Total RD Feedstock'!P32:Q32))</f>
        <v>87294.707199118391</v>
      </c>
      <c r="S30" s="118"/>
      <c r="T30" s="118"/>
      <c r="U30" s="118"/>
      <c r="V30" s="13"/>
      <c r="W30" s="13"/>
      <c r="X30" s="13"/>
      <c r="Y30" s="13"/>
      <c r="Z30" s="13"/>
      <c r="AA30" s="13"/>
      <c r="AB30" s="13"/>
      <c r="AC30" s="13"/>
      <c r="AD30" s="13"/>
      <c r="AE30" s="13"/>
      <c r="AF30" s="13"/>
      <c r="AH30" s="113" t="s">
        <v>276</v>
      </c>
      <c r="AI30" s="13">
        <f t="shared" ref="AI30:AI41" si="14">AVERAGE(B30:D30)</f>
        <v>22215</v>
      </c>
    </row>
    <row r="31" spans="1:52">
      <c r="A31" s="113" t="s">
        <v>130</v>
      </c>
      <c r="B31" s="13">
        <f>Data!$V4</f>
        <v>26020</v>
      </c>
      <c r="C31" s="13">
        <f>Data!$V16</f>
        <v>24930</v>
      </c>
      <c r="D31" s="13">
        <f>Data!$V28</f>
        <v>18037</v>
      </c>
      <c r="E31" s="13">
        <f>Data!$V40</f>
        <v>32696</v>
      </c>
      <c r="F31" s="13">
        <f>Data!$V52</f>
        <v>60472</v>
      </c>
      <c r="G31" s="13">
        <f>Data!$V64</f>
        <v>34305</v>
      </c>
      <c r="H31" s="119">
        <f>'Total RD Feedstock'!H33*(AVERAGE('VO RD Feedstock'!F31:G31)/AVERAGE('Total RD Feedstock'!F33:G33))</f>
        <v>66390.898677544988</v>
      </c>
      <c r="I31" s="119">
        <f>'Total RD Feedstock'!I33*(AVERAGE('VO RD Feedstock'!G31:H31)/AVERAGE('Total RD Feedstock'!G33:H33))</f>
        <v>80845.034535607541</v>
      </c>
      <c r="J31" s="119">
        <f>'Total RD Feedstock'!J33*(AVERAGE('VO RD Feedstock'!H31:I31)/AVERAGE('Total RD Feedstock'!H33:I33))</f>
        <v>85112.514712570031</v>
      </c>
      <c r="K31" s="119">
        <f>'Total RD Feedstock'!K33*(AVERAGE('VO RD Feedstock'!I31:J31)/AVERAGE('Total RD Feedstock'!I33:J33))</f>
        <v>89357.463907353012</v>
      </c>
      <c r="L31" s="119">
        <f>'Total RD Feedstock'!L33*(AVERAGE('VO RD Feedstock'!J31:K31)/AVERAGE('Total RD Feedstock'!J33:K33))</f>
        <v>92876.241551742511</v>
      </c>
      <c r="M31" s="119">
        <f>'Total RD Feedstock'!M33*(AVERAGE('VO RD Feedstock'!K31:L31)/AVERAGE('Total RD Feedstock'!K33:L33))</f>
        <v>93771.95192169481</v>
      </c>
      <c r="N31" s="119">
        <f>'Total RD Feedstock'!N33*(AVERAGE('VO RD Feedstock'!L31:M31)/AVERAGE('Total RD Feedstock'!L33:M33))</f>
        <v>96467.600437675137</v>
      </c>
      <c r="O31" s="119">
        <f>'Total RD Feedstock'!O33*(AVERAGE('VO RD Feedstock'!M31:N31)/AVERAGE('Total RD Feedstock'!M33:N33))</f>
        <v>97760.007577757438</v>
      </c>
      <c r="P31" s="119">
        <f>'Total RD Feedstock'!P33*(AVERAGE('VO RD Feedstock'!N31:O31)/AVERAGE('Total RD Feedstock'!N33:O33))</f>
        <v>99376.147363730255</v>
      </c>
      <c r="Q31" s="119">
        <f>'Total RD Feedstock'!Q33*(AVERAGE('VO RD Feedstock'!O31:P31)/AVERAGE('Total RD Feedstock'!O33:P33))</f>
        <v>101124.91865073462</v>
      </c>
      <c r="R31" s="119">
        <f>'Total RD Feedstock'!R33*(AVERAGE('VO RD Feedstock'!P31:Q31)/AVERAGE('Total RD Feedstock'!P33:Q33))</f>
        <v>101829.58435319975</v>
      </c>
      <c r="S31" s="118"/>
      <c r="T31" s="118"/>
      <c r="U31" s="118"/>
      <c r="V31" s="13"/>
      <c r="W31" s="13"/>
      <c r="X31" s="13"/>
      <c r="Y31" s="13"/>
      <c r="Z31" s="13"/>
      <c r="AA31" s="13"/>
      <c r="AB31" s="13"/>
      <c r="AC31" s="13"/>
      <c r="AD31" s="13"/>
      <c r="AE31" s="13"/>
      <c r="AF31" s="13"/>
      <c r="AH31" s="113" t="s">
        <v>277</v>
      </c>
      <c r="AI31" s="13">
        <f t="shared" si="14"/>
        <v>22995.666666666668</v>
      </c>
    </row>
    <row r="32" spans="1:52">
      <c r="A32" s="113" t="s">
        <v>131</v>
      </c>
      <c r="B32" s="13">
        <f>Data!$V5</f>
        <v>20715</v>
      </c>
      <c r="C32" s="13">
        <f>Data!$V17</f>
        <v>28507</v>
      </c>
      <c r="D32" s="13">
        <f>Data!$V29</f>
        <v>23614</v>
      </c>
      <c r="E32" s="13">
        <f>Data!$V41</f>
        <v>36640</v>
      </c>
      <c r="F32" s="13">
        <f>Data!$V53</f>
        <v>105602</v>
      </c>
      <c r="G32" s="119">
        <f>'Total RD Feedstock'!G34*(AVERAGE('VO RD Feedstock'!E32:F32)/AVERAGE('Total RD Feedstock'!E34:F34))</f>
        <v>93839.661198070171</v>
      </c>
      <c r="H32" s="119">
        <f>'Total RD Feedstock'!H34*(AVERAGE('VO RD Feedstock'!F32:G32)/AVERAGE('Total RD Feedstock'!F34:G34))</f>
        <v>121001.82096675967</v>
      </c>
      <c r="I32" s="119">
        <f>'Total RD Feedstock'!I34*(AVERAGE('VO RD Feedstock'!G32:H32)/AVERAGE('Total RD Feedstock'!G34:H34))</f>
        <v>158910.98390950216</v>
      </c>
      <c r="J32" s="119">
        <f>'Total RD Feedstock'!J34*(AVERAGE('VO RD Feedstock'!H32:I32)/AVERAGE('Total RD Feedstock'!H34:I34))</f>
        <v>173437.11843788359</v>
      </c>
      <c r="K32" s="119">
        <f>'Total RD Feedstock'!K34*(AVERAGE('VO RD Feedstock'!I32:J32)/AVERAGE('Total RD Feedstock'!I34:J34))</f>
        <v>174596.41395654556</v>
      </c>
      <c r="L32" s="119">
        <f>'Total RD Feedstock'!L34*(AVERAGE('VO RD Feedstock'!J32:K32)/AVERAGE('Total RD Feedstock'!J34:K34))</f>
        <v>184672.08786520743</v>
      </c>
      <c r="M32" s="119">
        <f>'Total RD Feedstock'!M34*(AVERAGE('VO RD Feedstock'!K32:L32)/AVERAGE('Total RD Feedstock'!K34:L34))</f>
        <v>187914.73749849532</v>
      </c>
      <c r="N32" s="119">
        <f>'Total RD Feedstock'!N34*(AVERAGE('VO RD Feedstock'!L32:M32)/AVERAGE('Total RD Feedstock'!L34:M34))</f>
        <v>191615.22567836853</v>
      </c>
      <c r="O32" s="119">
        <f>'Total RD Feedstock'!O34*(AVERAGE('VO RD Feedstock'!M32:N32)/AVERAGE('Total RD Feedstock'!M34:N34))</f>
        <v>194735.43523195153</v>
      </c>
      <c r="P32" s="119">
        <f>'Total RD Feedstock'!P34*(AVERAGE('VO RD Feedstock'!N32:O32)/AVERAGE('Total RD Feedstock'!N34:O34))</f>
        <v>197771.328582947</v>
      </c>
      <c r="Q32" s="119">
        <f>'Total RD Feedstock'!Q34*(AVERAGE('VO RD Feedstock'!O32:P32)/AVERAGE('Total RD Feedstock'!O34:P34))</f>
        <v>200930.13927437528</v>
      </c>
      <c r="R32" s="119">
        <f>'Total RD Feedstock'!R34*(AVERAGE('VO RD Feedstock'!P32:Q32)/AVERAGE('Total RD Feedstock'!P34:Q34))</f>
        <v>202461.04788032811</v>
      </c>
      <c r="S32" s="118"/>
      <c r="T32" s="118"/>
      <c r="U32" s="118"/>
      <c r="V32" s="13"/>
      <c r="W32" s="13"/>
      <c r="X32" s="13"/>
      <c r="Y32" s="13"/>
      <c r="Z32" s="13"/>
      <c r="AA32" s="13"/>
      <c r="AB32" s="13"/>
      <c r="AC32" s="13"/>
      <c r="AD32" s="13"/>
      <c r="AE32" s="13"/>
      <c r="AF32" s="13"/>
      <c r="AH32" s="113" t="s">
        <v>278</v>
      </c>
      <c r="AI32" s="13">
        <f t="shared" si="14"/>
        <v>24278.666666666668</v>
      </c>
    </row>
    <row r="33" spans="1:35">
      <c r="A33" s="113" t="s">
        <v>132</v>
      </c>
      <c r="B33" s="13">
        <f>Data!$V6</f>
        <v>27255</v>
      </c>
      <c r="C33" s="13">
        <f>Data!$V18</f>
        <v>26132</v>
      </c>
      <c r="D33" s="13">
        <f>Data!$V30</f>
        <v>22418</v>
      </c>
      <c r="E33" s="13">
        <f>Data!$V42</f>
        <v>28823</v>
      </c>
      <c r="F33" s="13">
        <f>Data!$V54</f>
        <v>85286</v>
      </c>
      <c r="G33" s="119">
        <f>'Total RD Feedstock'!G35*(AVERAGE('VO RD Feedstock'!E33:F33)/AVERAGE('Total RD Feedstock'!E35:F35))</f>
        <v>82541.08291793213</v>
      </c>
      <c r="H33" s="119">
        <f>'Total RD Feedstock'!H35*(AVERAGE('VO RD Feedstock'!F33:G33)/AVERAGE('Total RD Feedstock'!F35:G35))</f>
        <v>101644.02929648876</v>
      </c>
      <c r="I33" s="119">
        <f>'Total RD Feedstock'!I35*(AVERAGE('VO RD Feedstock'!G33:H33)/AVERAGE('Total RD Feedstock'!G35:H35))</f>
        <v>133936.13502430549</v>
      </c>
      <c r="J33" s="119">
        <f>'Total RD Feedstock'!J35*(AVERAGE('VO RD Feedstock'!H33:I33)/AVERAGE('Total RD Feedstock'!H35:I35))</f>
        <v>147587.27754413302</v>
      </c>
      <c r="K33" s="119">
        <f>'Total RD Feedstock'!K35*(AVERAGE('VO RD Feedstock'!I33:J33)/AVERAGE('Total RD Feedstock'!I35:J35))</f>
        <v>147432.94564156103</v>
      </c>
      <c r="L33" s="119">
        <f>'Total RD Feedstock'!L35*(AVERAGE('VO RD Feedstock'!J33:K33)/AVERAGE('Total RD Feedstock'!J35:K35))</f>
        <v>156021.52496036736</v>
      </c>
      <c r="M33" s="119">
        <f>'Total RD Feedstock'!M35*(AVERAGE('VO RD Feedstock'!K33:L33)/AVERAGE('Total RD Feedstock'!K35:L35))</f>
        <v>158950.2905613592</v>
      </c>
      <c r="N33" s="119">
        <f>'Total RD Feedstock'!N35*(AVERAGE('VO RD Feedstock'!L33:M33)/AVERAGE('Total RD Feedstock'!L35:M35))</f>
        <v>161991.55230572293</v>
      </c>
      <c r="O33" s="119">
        <f>'Total RD Feedstock'!O35*(AVERAGE('VO RD Feedstock'!M33:N33)/AVERAGE('Total RD Feedstock'!M35:N35))</f>
        <v>164728.74406316353</v>
      </c>
      <c r="P33" s="119">
        <f>'Total RD Feedstock'!P35*(AVERAGE('VO RD Feedstock'!N33:O33)/AVERAGE('Total RD Feedstock'!N35:O35))</f>
        <v>167334.73461592451</v>
      </c>
      <c r="Q33" s="119">
        <f>'Total RD Feedstock'!Q35*(AVERAGE('VO RD Feedstock'!O33:P33)/AVERAGE('Total RD Feedstock'!O35:P35))</f>
        <v>169979.53952433806</v>
      </c>
      <c r="R33" s="119">
        <f>'Total RD Feedstock'!R35*(AVERAGE('VO RD Feedstock'!P33:Q33)/AVERAGE('Total RD Feedstock'!P35:Q35))</f>
        <v>171256.10220099997</v>
      </c>
      <c r="S33" s="118"/>
      <c r="T33" s="118"/>
      <c r="U33" s="118"/>
      <c r="V33" s="13"/>
      <c r="W33" s="13"/>
      <c r="X33" s="13"/>
      <c r="Y33" s="13"/>
      <c r="Z33" s="13"/>
      <c r="AA33" s="13"/>
      <c r="AB33" s="13"/>
      <c r="AC33" s="13"/>
      <c r="AD33" s="13"/>
      <c r="AE33" s="13"/>
      <c r="AF33" s="13"/>
      <c r="AH33" s="113" t="s">
        <v>279</v>
      </c>
      <c r="AI33" s="13">
        <f t="shared" si="14"/>
        <v>25268.333333333332</v>
      </c>
    </row>
    <row r="34" spans="1:35">
      <c r="A34" s="113" t="s">
        <v>133</v>
      </c>
      <c r="B34" s="13">
        <f>Data!$V7</f>
        <v>30777</v>
      </c>
      <c r="C34" s="13">
        <f>Data!$V19</f>
        <v>20622</v>
      </c>
      <c r="D34" s="13">
        <f>Data!$V31</f>
        <v>23515</v>
      </c>
      <c r="E34" s="13">
        <f>Data!$V43</f>
        <v>36199</v>
      </c>
      <c r="F34" s="13">
        <f>Data!$V55</f>
        <v>91367</v>
      </c>
      <c r="G34" s="119">
        <f>'Total RD Feedstock'!G36*(AVERAGE('VO RD Feedstock'!E34:F34)/AVERAGE('Total RD Feedstock'!E36:F36))</f>
        <v>87200.131523636708</v>
      </c>
      <c r="H34" s="119">
        <f>'Total RD Feedstock'!H36*(AVERAGE('VO RD Feedstock'!F34:G34)/AVERAGE('Total RD Feedstock'!F36:G36))</f>
        <v>110598.10754599662</v>
      </c>
      <c r="I34" s="119">
        <f>'Total RD Feedstock'!I36*(AVERAGE('VO RD Feedstock'!G34:H34)/AVERAGE('Total RD Feedstock'!G36:H36))</f>
        <v>143876.08407107479</v>
      </c>
      <c r="J34" s="119">
        <f>'Total RD Feedstock'!J36*(AVERAGE('VO RD Feedstock'!H34:I34)/AVERAGE('Total RD Feedstock'!H36:I36))</f>
        <v>158723.12785881897</v>
      </c>
      <c r="K34" s="119">
        <f>'Total RD Feedstock'!K36*(AVERAGE('VO RD Feedstock'!I34:J34)/AVERAGE('Total RD Feedstock'!I36:J36))</f>
        <v>159263.5510633337</v>
      </c>
      <c r="L34" s="119">
        <f>'Total RD Feedstock'!L36*(AVERAGE('VO RD Feedstock'!J34:K34)/AVERAGE('Total RD Feedstock'!J36:K36))</f>
        <v>168028.25558387459</v>
      </c>
      <c r="M34" s="119">
        <f>'Total RD Feedstock'!M36*(AVERAGE('VO RD Feedstock'!K34:L34)/AVERAGE('Total RD Feedstock'!K36:L36))</f>
        <v>171242.82135353566</v>
      </c>
      <c r="N34" s="119">
        <f>'Total RD Feedstock'!N36*(AVERAGE('VO RD Feedstock'!L34:M34)/AVERAGE('Total RD Feedstock'!L36:M36))</f>
        <v>174510.59527045468</v>
      </c>
      <c r="O34" s="119">
        <f>'Total RD Feedstock'!O36*(AVERAGE('VO RD Feedstock'!M34:N34)/AVERAGE('Total RD Feedstock'!M36:N36))</f>
        <v>177383.69393150354</v>
      </c>
      <c r="P34" s="119">
        <f>'Total RD Feedstock'!P36*(AVERAGE('VO RD Feedstock'!N34:O34)/AVERAGE('Total RD Feedstock'!N36:O36))</f>
        <v>180224.97556962213</v>
      </c>
      <c r="Q34" s="119">
        <f>'Total RD Feedstock'!Q36*(AVERAGE('VO RD Feedstock'!O34:P34)/AVERAGE('Total RD Feedstock'!O36:P36))</f>
        <v>183121.31139791364</v>
      </c>
      <c r="R34" s="119">
        <f>'Total RD Feedstock'!R36*(AVERAGE('VO RD Feedstock'!P34:Q34)/AVERAGE('Total RD Feedstock'!P36:Q36))</f>
        <v>184494.30206631825</v>
      </c>
      <c r="S34" s="118"/>
      <c r="T34" s="118"/>
      <c r="U34" s="118"/>
      <c r="V34" s="13"/>
      <c r="W34" s="13"/>
      <c r="X34" s="13"/>
      <c r="Y34" s="13"/>
      <c r="Z34" s="13"/>
      <c r="AA34" s="13"/>
      <c r="AB34" s="13"/>
      <c r="AC34" s="13"/>
      <c r="AD34" s="13"/>
      <c r="AE34" s="13"/>
      <c r="AF34" s="13"/>
      <c r="AH34" s="113" t="s">
        <v>133</v>
      </c>
      <c r="AI34" s="13">
        <f t="shared" si="14"/>
        <v>24971.333333333332</v>
      </c>
    </row>
    <row r="35" spans="1:35">
      <c r="A35" s="113" t="s">
        <v>134</v>
      </c>
      <c r="B35" s="13">
        <f>Data!$V8</f>
        <v>28136</v>
      </c>
      <c r="C35" s="13">
        <f>Data!$V20</f>
        <v>31139</v>
      </c>
      <c r="D35" s="13">
        <f>Data!$V32</f>
        <v>24636</v>
      </c>
      <c r="E35" s="13">
        <f>Data!$V44</f>
        <v>40330</v>
      </c>
      <c r="F35" s="13">
        <f>Data!$V56</f>
        <v>126445</v>
      </c>
      <c r="G35" s="119">
        <f>'Total RD Feedstock'!G37*(AVERAGE('VO RD Feedstock'!E35:F35)/AVERAGE('Total RD Feedstock'!E37:F37))</f>
        <v>105113.511585028</v>
      </c>
      <c r="H35" s="119">
        <f>'Total RD Feedstock'!H37*(AVERAGE('VO RD Feedstock'!F35:G35)/AVERAGE('Total RD Feedstock'!F37:G37))</f>
        <v>139658.45938447223</v>
      </c>
      <c r="I35" s="119">
        <f>'Total RD Feedstock'!I37*(AVERAGE('VO RD Feedstock'!G35:H35)/AVERAGE('Total RD Feedstock'!G37:H37))</f>
        <v>184029.48302013933</v>
      </c>
      <c r="J35" s="119">
        <f>'Total RD Feedstock'!J37*(AVERAGE('VO RD Feedstock'!H35:I35)/AVERAGE('Total RD Feedstock'!H37:I37))</f>
        <v>200422.39580752948</v>
      </c>
      <c r="K35" s="119">
        <f>'Total RD Feedstock'!K37*(AVERAGE('VO RD Feedstock'!I35:J35)/AVERAGE('Total RD Feedstock'!I37:J37))</f>
        <v>202409.69852255422</v>
      </c>
      <c r="L35" s="119">
        <f>'Total RD Feedstock'!L37*(AVERAGE('VO RD Feedstock'!J35:K35)/AVERAGE('Total RD Feedstock'!J37:K37))</f>
        <v>214193.45064905335</v>
      </c>
      <c r="M35" s="119">
        <f>'Total RD Feedstock'!M37*(AVERAGE('VO RD Feedstock'!K35:L35)/AVERAGE('Total RD Feedstock'!K37:L37))</f>
        <v>217179.6655826151</v>
      </c>
      <c r="N35" s="119">
        <f>'Total RD Feedstock'!N37*(AVERAGE('VO RD Feedstock'!L35:M35)/AVERAGE('Total RD Feedstock'!L37:M37))</f>
        <v>221540.53447266496</v>
      </c>
      <c r="O35" s="119">
        <f>'Total RD Feedstock'!O37*(AVERAGE('VO RD Feedstock'!M35:N35)/AVERAGE('Total RD Feedstock'!M37:N37))</f>
        <v>225087.2505798905</v>
      </c>
      <c r="P35" s="119">
        <f>'Total RD Feedstock'!P37*(AVERAGE('VO RD Feedstock'!N35:O35)/AVERAGE('Total RD Feedstock'!N37:O37))</f>
        <v>228641.18714639306</v>
      </c>
      <c r="Q35" s="119">
        <f>'Total RD Feedstock'!Q37*(AVERAGE('VO RD Feedstock'!O35:P35)/AVERAGE('Total RD Feedstock'!O37:P37))</f>
        <v>232436.06049407064</v>
      </c>
      <c r="R35" s="119">
        <f>'Total RD Feedstock'!R37*(AVERAGE('VO RD Feedstock'!P35:Q35)/AVERAGE('Total RD Feedstock'!P37:Q37))</f>
        <v>234292.64903049229</v>
      </c>
      <c r="S35" s="118"/>
      <c r="T35" s="118"/>
      <c r="U35" s="118"/>
      <c r="V35" s="13"/>
      <c r="W35" s="13"/>
      <c r="X35" s="13"/>
      <c r="Y35" s="13"/>
      <c r="Z35" s="13"/>
      <c r="AA35" s="13"/>
      <c r="AB35" s="13"/>
      <c r="AC35" s="13"/>
      <c r="AD35" s="13"/>
      <c r="AE35" s="13"/>
      <c r="AF35" s="13"/>
      <c r="AH35" s="113" t="s">
        <v>280</v>
      </c>
      <c r="AI35" s="13">
        <f t="shared" si="14"/>
        <v>27970.333333333332</v>
      </c>
    </row>
    <row r="36" spans="1:35">
      <c r="A36" s="113" t="s">
        <v>135</v>
      </c>
      <c r="B36" s="13">
        <f>Data!$V9</f>
        <v>35169</v>
      </c>
      <c r="C36" s="13">
        <f>Data!$V21</f>
        <v>29199</v>
      </c>
      <c r="D36" s="13">
        <f>Data!$V33</f>
        <v>23772</v>
      </c>
      <c r="E36" s="13">
        <f>Data!$V45</f>
        <v>37418</v>
      </c>
      <c r="F36" s="13">
        <f>Data!$V57</f>
        <v>99216</v>
      </c>
      <c r="G36" s="119">
        <f>'Total RD Feedstock'!G38*(AVERAGE('VO RD Feedstock'!E36:F36)/AVERAGE('Total RD Feedstock'!E38:F38))</f>
        <v>96308.298604386582</v>
      </c>
      <c r="H36" s="119">
        <f>'Total RD Feedstock'!H38*(AVERAGE('VO RD Feedstock'!F36:G36)/AVERAGE('Total RD Feedstock'!F38:G38))</f>
        <v>122706.18859937385</v>
      </c>
      <c r="I36" s="119">
        <f>'Total RD Feedstock'!I38*(AVERAGE('VO RD Feedstock'!G36:H36)/AVERAGE('Total RD Feedstock'!G38:H38))</f>
        <v>159013.1576528312</v>
      </c>
      <c r="J36" s="119">
        <f>'Total RD Feedstock'!J38*(AVERAGE('VO RD Feedstock'!H36:I36)/AVERAGE('Total RD Feedstock'!H38:I38))</f>
        <v>176058.23199586043</v>
      </c>
      <c r="K36" s="119">
        <f>'Total RD Feedstock'!K38*(AVERAGE('VO RD Feedstock'!I36:J36)/AVERAGE('Total RD Feedstock'!I38:J38))</f>
        <v>175608.78133074142</v>
      </c>
      <c r="L36" s="119">
        <f>'Total RD Feedstock'!L38*(AVERAGE('VO RD Feedstock'!J36:K36)/AVERAGE('Total RD Feedstock'!J38:K38))</f>
        <v>185233.90932422466</v>
      </c>
      <c r="M36" s="119">
        <f>'Total RD Feedstock'!M38*(AVERAGE('VO RD Feedstock'!K36:L36)/AVERAGE('Total RD Feedstock'!K38:L38))</f>
        <v>188712.14062109555</v>
      </c>
      <c r="N36" s="119">
        <f>'Total RD Feedstock'!N38*(AVERAGE('VO RD Feedstock'!L36:M36)/AVERAGE('Total RD Feedstock'!L38:M38))</f>
        <v>192517.33816164313</v>
      </c>
      <c r="O36" s="119">
        <f>'Total RD Feedstock'!O38*(AVERAGE('VO RD Feedstock'!M36:N36)/AVERAGE('Total RD Feedstock'!M38:N38))</f>
        <v>195848.88994396891</v>
      </c>
      <c r="P36" s="119">
        <f>'Total RD Feedstock'!P38*(AVERAGE('VO RD Feedstock'!N36:O36)/AVERAGE('Total RD Feedstock'!N38:O38))</f>
        <v>199095.34361406651</v>
      </c>
      <c r="Q36" s="119">
        <f>'Total RD Feedstock'!Q38*(AVERAGE('VO RD Feedstock'!O36:P36)/AVERAGE('Total RD Feedstock'!O38:P38))</f>
        <v>202230.99378241992</v>
      </c>
      <c r="R36" s="119">
        <f>'Total RD Feedstock'!R38*(AVERAGE('VO RD Feedstock'!P36:Q36)/AVERAGE('Total RD Feedstock'!P38:Q38))</f>
        <v>203685.33797714769</v>
      </c>
      <c r="S36" s="118"/>
      <c r="T36" s="118"/>
      <c r="U36" s="118"/>
      <c r="V36" s="13"/>
      <c r="W36" s="13"/>
      <c r="X36" s="13"/>
      <c r="Y36" s="13"/>
      <c r="Z36" s="13"/>
      <c r="AA36" s="13"/>
      <c r="AB36" s="13"/>
      <c r="AC36" s="13"/>
      <c r="AD36" s="13"/>
      <c r="AE36" s="13"/>
      <c r="AF36" s="13"/>
      <c r="AH36" s="113" t="s">
        <v>281</v>
      </c>
      <c r="AI36" s="13">
        <f t="shared" si="14"/>
        <v>29380</v>
      </c>
    </row>
    <row r="37" spans="1:35">
      <c r="A37" s="113" t="s">
        <v>136</v>
      </c>
      <c r="B37" s="13">
        <f>Data!$V10</f>
        <v>23555</v>
      </c>
      <c r="C37" s="13">
        <f>Data!$V22</f>
        <v>29104</v>
      </c>
      <c r="D37" s="13">
        <f>Data!$V34</f>
        <v>22812</v>
      </c>
      <c r="E37" s="13">
        <f>Data!$V46</f>
        <v>33076</v>
      </c>
      <c r="F37" s="13">
        <f>Data!$V58</f>
        <v>85292</v>
      </c>
      <c r="G37" s="119">
        <f>'Total RD Feedstock'!G39*(AVERAGE('VO RD Feedstock'!E37:F37)/AVERAGE('Total RD Feedstock'!E39:F39))</f>
        <v>85934.689028784662</v>
      </c>
      <c r="H37" s="119">
        <f>'Total RD Feedstock'!H39*(AVERAGE('VO RD Feedstock'!F37:G37)/AVERAGE('Total RD Feedstock'!F39:G39))</f>
        <v>105310.23223493295</v>
      </c>
      <c r="I37" s="119">
        <f>'Total RD Feedstock'!I39*(AVERAGE('VO RD Feedstock'!G37:H37)/AVERAGE('Total RD Feedstock'!G39:H39))</f>
        <v>135911.70245894653</v>
      </c>
      <c r="J37" s="119">
        <f>'Total RD Feedstock'!J39*(AVERAGE('VO RD Feedstock'!H37:I37)/AVERAGE('Total RD Feedstock'!H39:I39))</f>
        <v>150996.97649218832</v>
      </c>
      <c r="K37" s="119">
        <f>'Total RD Feedstock'!K39*(AVERAGE('VO RD Feedstock'!I37:J37)/AVERAGE('Total RD Feedstock'!I39:J39))</f>
        <v>150705.24208501983</v>
      </c>
      <c r="L37" s="119">
        <f>'Total RD Feedstock'!L39*(AVERAGE('VO RD Feedstock'!J37:K37)/AVERAGE('Total RD Feedstock'!J39:K39))</f>
        <v>159636.97626390398</v>
      </c>
      <c r="M37" s="119">
        <f>'Total RD Feedstock'!M39*(AVERAGE('VO RD Feedstock'!K37:L37)/AVERAGE('Total RD Feedstock'!K39:L39))</f>
        <v>163136.82864004158</v>
      </c>
      <c r="N37" s="119">
        <f>'Total RD Feedstock'!N39*(AVERAGE('VO RD Feedstock'!L37:M37)/AVERAGE('Total RD Feedstock'!L39:M39))</f>
        <v>166084.93613156307</v>
      </c>
      <c r="O37" s="119">
        <f>'Total RD Feedstock'!O39*(AVERAGE('VO RD Feedstock'!M37:N37)/AVERAGE('Total RD Feedstock'!M39:N39))</f>
        <v>168791.67520841243</v>
      </c>
      <c r="P37" s="119">
        <f>'Total RD Feedstock'!P39*(AVERAGE('VO RD Feedstock'!N37:O37)/AVERAGE('Total RD Feedstock'!N39:O39))</f>
        <v>171370.76671556881</v>
      </c>
      <c r="Q37" s="119">
        <f>'Total RD Feedstock'!Q39*(AVERAGE('VO RD Feedstock'!O37:P37)/AVERAGE('Total RD Feedstock'!O39:P39))</f>
        <v>173978.70135085567</v>
      </c>
      <c r="R37" s="119">
        <f>'Total RD Feedstock'!R39*(AVERAGE('VO RD Feedstock'!P37:Q37)/AVERAGE('Total RD Feedstock'!P39:Q39))</f>
        <v>175315.84731134278</v>
      </c>
      <c r="S37" s="118"/>
      <c r="T37" s="118"/>
      <c r="U37" s="118"/>
      <c r="V37" s="13"/>
      <c r="W37" s="13"/>
      <c r="X37" s="13"/>
      <c r="Y37" s="13"/>
      <c r="Z37" s="13"/>
      <c r="AA37" s="13"/>
      <c r="AB37" s="13"/>
      <c r="AC37" s="13"/>
      <c r="AD37" s="13"/>
      <c r="AE37" s="13"/>
      <c r="AF37" s="13"/>
      <c r="AH37" s="113" t="s">
        <v>282</v>
      </c>
      <c r="AI37" s="13">
        <f t="shared" si="14"/>
        <v>25157</v>
      </c>
    </row>
    <row r="38" spans="1:35">
      <c r="A38" s="113" t="s">
        <v>137</v>
      </c>
      <c r="B38" s="13">
        <f>Data!$V11</f>
        <v>26715</v>
      </c>
      <c r="C38" s="13">
        <f>Data!$V23</f>
        <v>30370</v>
      </c>
      <c r="D38" s="13">
        <f>Data!$V35</f>
        <v>32909</v>
      </c>
      <c r="E38" s="13">
        <f>Data!$V47</f>
        <v>30719</v>
      </c>
      <c r="F38" s="13">
        <f>Data!$V59</f>
        <v>98746</v>
      </c>
      <c r="G38" s="119">
        <f>'Total RD Feedstock'!G40*(AVERAGE('VO RD Feedstock'!E38:F38)/AVERAGE('Total RD Feedstock'!E40:F40))</f>
        <v>91927.832242360833</v>
      </c>
      <c r="H38" s="119">
        <f>'Total RD Feedstock'!H40*(AVERAGE('VO RD Feedstock'!F38:G38)/AVERAGE('Total RD Feedstock'!F40:G40))</f>
        <v>115855.74710082491</v>
      </c>
      <c r="I38" s="119">
        <f>'Total RD Feedstock'!I40*(AVERAGE('VO RD Feedstock'!G38:H38)/AVERAGE('Total RD Feedstock'!G40:H40))</f>
        <v>152809.86378014446</v>
      </c>
      <c r="J38" s="119">
        <f>'Total RD Feedstock'!J40*(AVERAGE('VO RD Feedstock'!H38:I38)/AVERAGE('Total RD Feedstock'!H40:I40))</f>
        <v>168552.59339415777</v>
      </c>
      <c r="K38" s="119">
        <f>'Total RD Feedstock'!K40*(AVERAGE('VO RD Feedstock'!I38:J38)/AVERAGE('Total RD Feedstock'!I40:J40))</f>
        <v>168195.87387070488</v>
      </c>
      <c r="L38" s="119">
        <f>'Total RD Feedstock'!L40*(AVERAGE('VO RD Feedstock'!J38:K38)/AVERAGE('Total RD Feedstock'!J40:K40))</f>
        <v>177929.78340008395</v>
      </c>
      <c r="M38" s="119">
        <f>'Total RD Feedstock'!M40*(AVERAGE('VO RD Feedstock'!K38:L38)/AVERAGE('Total RD Feedstock'!K40:L40))</f>
        <v>180834.09099084215</v>
      </c>
      <c r="N38" s="119">
        <f>'Total RD Feedstock'!N40*(AVERAGE('VO RD Feedstock'!L38:M38)/AVERAGE('Total RD Feedstock'!L40:M40))</f>
        <v>184390.94315149635</v>
      </c>
      <c r="O38" s="119">
        <f>'Total RD Feedstock'!O40*(AVERAGE('VO RD Feedstock'!M38:N38)/AVERAGE('Total RD Feedstock'!M40:N40))</f>
        <v>187564.14115495389</v>
      </c>
      <c r="P38" s="119">
        <f>'Total RD Feedstock'!P40*(AVERAGE('VO RD Feedstock'!N38:O38)/AVERAGE('Total RD Feedstock'!N40:O40))</f>
        <v>190649.44782236594</v>
      </c>
      <c r="Q38" s="119">
        <f>'Total RD Feedstock'!Q40*(AVERAGE('VO RD Feedstock'!O38:P38)/AVERAGE('Total RD Feedstock'!O40:P40))</f>
        <v>193720.08222039588</v>
      </c>
      <c r="R38" s="119">
        <f>'Total RD Feedstock'!R40*(AVERAGE('VO RD Feedstock'!P38:Q38)/AVERAGE('Total RD Feedstock'!P40:Q40))</f>
        <v>195184.19881147853</v>
      </c>
      <c r="S38" s="118"/>
      <c r="T38" s="118"/>
      <c r="U38" s="118"/>
      <c r="V38" s="13"/>
      <c r="W38" s="13"/>
      <c r="X38" s="13"/>
      <c r="Y38" s="13"/>
      <c r="Z38" s="13"/>
      <c r="AA38" s="13"/>
      <c r="AB38" s="13"/>
      <c r="AC38" s="13"/>
      <c r="AD38" s="13"/>
      <c r="AE38" s="13"/>
      <c r="AF38" s="13"/>
      <c r="AH38" s="113" t="s">
        <v>283</v>
      </c>
      <c r="AI38" s="13">
        <f t="shared" si="14"/>
        <v>29998</v>
      </c>
    </row>
    <row r="39" spans="1:35">
      <c r="A39" s="113" t="s">
        <v>138</v>
      </c>
      <c r="B39" s="13">
        <f>Data!$V12</f>
        <v>26569</v>
      </c>
      <c r="C39" s="13">
        <f>Data!$V24</f>
        <v>28965</v>
      </c>
      <c r="D39" s="13">
        <f>Data!$V36</f>
        <v>35736</v>
      </c>
      <c r="E39" s="13">
        <f>Data!$V48</f>
        <v>35754</v>
      </c>
      <c r="F39" s="13">
        <f>Data!$V60</f>
        <v>62994</v>
      </c>
      <c r="G39" s="119">
        <f>'Total RD Feedstock'!G41*(AVERAGE('VO RD Feedstock'!E39:F39)/AVERAGE('Total RD Feedstock'!E41:F41))</f>
        <v>80392.70668287795</v>
      </c>
      <c r="H39" s="119">
        <f>'Total RD Feedstock'!H41*(AVERAGE('VO RD Feedstock'!F39:G39)/AVERAGE('Total RD Feedstock'!F41:G41))</f>
        <v>91743.917481736935</v>
      </c>
      <c r="I39" s="119">
        <f>'Total RD Feedstock'!I41*(AVERAGE('VO RD Feedstock'!G39:H39)/AVERAGE('Total RD Feedstock'!G41:H41))</f>
        <v>117064.85425916848</v>
      </c>
      <c r="J39" s="119">
        <f>'Total RD Feedstock'!J41*(AVERAGE('VO RD Feedstock'!H39:I39)/AVERAGE('Total RD Feedstock'!H41:I41))</f>
        <v>134451.64797800183</v>
      </c>
      <c r="K39" s="119">
        <f>'Total RD Feedstock'!K41*(AVERAGE('VO RD Feedstock'!I39:J39)/AVERAGE('Total RD Feedstock'!I41:J41))</f>
        <v>132495.76093807779</v>
      </c>
      <c r="L39" s="119">
        <f>'Total RD Feedstock'!L41*(AVERAGE('VO RD Feedstock'!J39:K39)/AVERAGE('Total RD Feedstock'!J41:K41))</f>
        <v>139977.26332152303</v>
      </c>
      <c r="M39" s="119">
        <f>'Total RD Feedstock'!M41*(AVERAGE('VO RD Feedstock'!K39:L39)/AVERAGE('Total RD Feedstock'!K41:L41))</f>
        <v>143336.4734635434</v>
      </c>
      <c r="N39" s="119">
        <f>'Total RD Feedstock'!N41*(AVERAGE('VO RD Feedstock'!L39:M39)/AVERAGE('Total RD Feedstock'!L41:M41))</f>
        <v>145438.39770858234</v>
      </c>
      <c r="O39" s="119">
        <f>'Total RD Feedstock'!O41*(AVERAGE('VO RD Feedstock'!M39:N39)/AVERAGE('Total RD Feedstock'!M41:N41))</f>
        <v>147946.64573241165</v>
      </c>
      <c r="P39" s="119">
        <f>'Total RD Feedstock'!P41*(AVERAGE('VO RD Feedstock'!N39:O39)/AVERAGE('Total RD Feedstock'!N41:O41))</f>
        <v>150410.5507014388</v>
      </c>
      <c r="Q39" s="119">
        <f>'Total RD Feedstock'!Q41*(AVERAGE('VO RD Feedstock'!O39:P39)/AVERAGE('Total RD Feedstock'!O41:P41))</f>
        <v>152726.56389882538</v>
      </c>
      <c r="R39" s="119">
        <f>'Total RD Feedstock'!R41*(AVERAGE('VO RD Feedstock'!P39:Q39)/AVERAGE('Total RD Feedstock'!P41:Q41))</f>
        <v>153965.43960754154</v>
      </c>
      <c r="S39" s="118"/>
      <c r="T39" s="118"/>
      <c r="U39" s="118"/>
      <c r="V39" s="13"/>
      <c r="W39" s="13"/>
      <c r="X39" s="13"/>
      <c r="Y39" s="13"/>
      <c r="Z39" s="13"/>
      <c r="AA39" s="13"/>
      <c r="AB39" s="13"/>
      <c r="AC39" s="13"/>
      <c r="AD39" s="13"/>
      <c r="AE39" s="13"/>
      <c r="AF39" s="13"/>
      <c r="AH39" s="113" t="s">
        <v>284</v>
      </c>
      <c r="AI39" s="13">
        <f t="shared" si="14"/>
        <v>30423.333333333332</v>
      </c>
    </row>
    <row r="40" spans="1:35">
      <c r="A40" s="113" t="s">
        <v>139</v>
      </c>
      <c r="B40" s="13">
        <f>Data!$V13</f>
        <v>30094</v>
      </c>
      <c r="C40" s="13">
        <f>Data!$V25</f>
        <v>31711</v>
      </c>
      <c r="D40" s="13">
        <f>Data!$V37</f>
        <v>37856</v>
      </c>
      <c r="E40" s="13">
        <f>Data!$V49</f>
        <v>43658</v>
      </c>
      <c r="F40" s="13">
        <f>Data!$V61</f>
        <v>88945</v>
      </c>
      <c r="G40" s="119">
        <f>'Total RD Feedstock'!G42*(AVERAGE('VO RD Feedstock'!E40:F40)/AVERAGE('Total RD Feedstock'!E42:F42))</f>
        <v>102654.01744983385</v>
      </c>
      <c r="H40" s="119">
        <f>'Total RD Feedstock'!H42*(AVERAGE('VO RD Feedstock'!F40:G40)/AVERAGE('Total RD Feedstock'!F42:G42))</f>
        <v>121798.81579961994</v>
      </c>
      <c r="I40" s="119">
        <f>'Total RD Feedstock'!I42*(AVERAGE('VO RD Feedstock'!G40:H40)/AVERAGE('Total RD Feedstock'!G42:H42))</f>
        <v>154365.57900232222</v>
      </c>
      <c r="J40" s="119">
        <f>'Total RD Feedstock'!J42*(AVERAGE('VO RD Feedstock'!H40:I40)/AVERAGE('Total RD Feedstock'!H42:I42))</f>
        <v>174881.06299739389</v>
      </c>
      <c r="K40" s="119">
        <f>'Total RD Feedstock'!K42*(AVERAGE('VO RD Feedstock'!I40:J40)/AVERAGE('Total RD Feedstock'!I42:J42))</f>
        <v>172811.8530384409</v>
      </c>
      <c r="L40" s="119">
        <f>'Total RD Feedstock'!L42*(AVERAGE('VO RD Feedstock'!J40:K40)/AVERAGE('Total RD Feedstock'!J42:K42))</f>
        <v>182775.46925204818</v>
      </c>
      <c r="M40" s="119">
        <f>'Total RD Feedstock'!M42*(AVERAGE('VO RD Feedstock'!K40:L40)/AVERAGE('Total RD Feedstock'!K42:L42))</f>
        <v>187487.88139063978</v>
      </c>
      <c r="N40" s="119">
        <f>'Total RD Feedstock'!N42*(AVERAGE('VO RD Feedstock'!L40:M40)/AVERAGE('Total RD Feedstock'!L42:M42))</f>
        <v>190668.20915379358</v>
      </c>
      <c r="O40" s="119">
        <f>'Total RD Feedstock'!O42*(AVERAGE('VO RD Feedstock'!M40:N40)/AVERAGE('Total RD Feedstock'!M42:N42))</f>
        <v>193806.94584372398</v>
      </c>
      <c r="P40" s="119">
        <f>'Total RD Feedstock'!P42*(AVERAGE('VO RD Feedstock'!N40:O40)/AVERAGE('Total RD Feedstock'!N42:O42))</f>
        <v>196962.06464401682</v>
      </c>
      <c r="Q40" s="119">
        <f>'Total RD Feedstock'!Q42*(AVERAGE('VO RD Feedstock'!O40:P40)/AVERAGE('Total RD Feedstock'!O42:P42))</f>
        <v>199815.9720181117</v>
      </c>
      <c r="R40" s="119">
        <f>'Total RD Feedstock'!R42*(AVERAGE('VO RD Feedstock'!P40:Q40)/AVERAGE('Total RD Feedstock'!P42:Q42))</f>
        <v>201312.58087767259</v>
      </c>
      <c r="S40" s="118"/>
      <c r="T40" s="118"/>
      <c r="U40" s="118"/>
      <c r="V40" s="13"/>
      <c r="W40" s="13"/>
      <c r="X40" s="13"/>
      <c r="Y40" s="13"/>
      <c r="Z40" s="13"/>
      <c r="AA40" s="13"/>
      <c r="AB40" s="13"/>
      <c r="AC40" s="13"/>
      <c r="AD40" s="13"/>
      <c r="AE40" s="13"/>
      <c r="AF40" s="13"/>
      <c r="AH40" s="113" t="s">
        <v>285</v>
      </c>
      <c r="AI40" s="13">
        <f t="shared" si="14"/>
        <v>33220.333333333336</v>
      </c>
    </row>
    <row r="41" spans="1:35">
      <c r="A41" s="113" t="s">
        <v>140</v>
      </c>
      <c r="B41" s="13">
        <f>Data!$V14</f>
        <v>26962</v>
      </c>
      <c r="C41" s="13">
        <f>Data!$V26</f>
        <v>34853</v>
      </c>
      <c r="D41" s="13">
        <f>Data!$V38</f>
        <v>33125</v>
      </c>
      <c r="E41" s="13">
        <f>Data!$V50</f>
        <v>41402</v>
      </c>
      <c r="F41" s="13">
        <f>Data!$V62</f>
        <v>106864</v>
      </c>
      <c r="G41" s="119">
        <f>'Total RD Feedstock'!G43*(AVERAGE('VO RD Feedstock'!E41:F41)/AVERAGE('Total RD Feedstock'!E43:F43))</f>
        <v>166655.72820482191</v>
      </c>
      <c r="H41" s="119">
        <f>'Total RD Feedstock'!H43*(AVERAGE('VO RD Feedstock'!F41:G41)/AVERAGE('Total RD Feedstock'!F43:G43))</f>
        <v>161658.12294899017</v>
      </c>
      <c r="I41" s="119">
        <f>'Total RD Feedstock'!I43*(AVERAGE('VO RD Feedstock'!G41:H41)/AVERAGE('Total RD Feedstock'!G43:H43))</f>
        <v>216546.81575387157</v>
      </c>
      <c r="J41" s="119">
        <f>'Total RD Feedstock'!J43*(AVERAGE('VO RD Feedstock'!H41:I41)/AVERAGE('Total RD Feedstock'!H43:I43))</f>
        <v>254032.55693079025</v>
      </c>
      <c r="K41" s="119">
        <f>'Total RD Feedstock'!K43*(AVERAGE('VO RD Feedstock'!I41:J41)/AVERAGE('Total RD Feedstock'!I43:J43))</f>
        <v>244303.70925003444</v>
      </c>
      <c r="L41" s="119">
        <f>'Total RD Feedstock'!L43*(AVERAGE('VO RD Feedstock'!J41:K41)/AVERAGE('Total RD Feedstock'!J43:K43))</f>
        <v>260380.19843088303</v>
      </c>
      <c r="M41" s="119">
        <f>'Total RD Feedstock'!M43*(AVERAGE('VO RD Feedstock'!K41:L41)/AVERAGE('Total RD Feedstock'!K43:L43))</f>
        <v>267054.19115451939</v>
      </c>
      <c r="N41" s="119">
        <f>'Total RD Feedstock'!N43*(AVERAGE('VO RD Feedstock'!L41:M41)/AVERAGE('Total RD Feedstock'!L43:M43))</f>
        <v>269815.42756766058</v>
      </c>
      <c r="O41" s="119">
        <f>'Total RD Feedstock'!O43*(AVERAGE('VO RD Feedstock'!M41:N41)/AVERAGE('Total RD Feedstock'!M43:N43))</f>
        <v>275038.50813510735</v>
      </c>
      <c r="P41" s="119">
        <f>'Total RD Feedstock'!P43*(AVERAGE('VO RD Feedstock'!N41:O41)/AVERAGE('Total RD Feedstock'!N43:O43))</f>
        <v>279685.91860471381</v>
      </c>
      <c r="Q41" s="119">
        <f>'Total RD Feedstock'!Q43*(AVERAGE('VO RD Feedstock'!O41:P41)/AVERAGE('Total RD Feedstock'!O43:P43))</f>
        <v>283868.16391483578</v>
      </c>
      <c r="R41" s="119">
        <f>'Total RD Feedstock'!R43*(AVERAGE('VO RD Feedstock'!P41:Q41)/AVERAGE('Total RD Feedstock'!P43:Q43))</f>
        <v>286271.37447362376</v>
      </c>
      <c r="S41" s="118"/>
      <c r="T41" s="118"/>
      <c r="U41" s="118"/>
      <c r="V41" s="13"/>
      <c r="W41" s="13"/>
      <c r="X41" s="13"/>
      <c r="Y41" s="13"/>
      <c r="Z41" s="13"/>
      <c r="AA41" s="13"/>
      <c r="AB41" s="13"/>
      <c r="AC41" s="13"/>
      <c r="AD41" s="13"/>
      <c r="AE41" s="13"/>
      <c r="AF41" s="13"/>
      <c r="AH41" s="113" t="s">
        <v>286</v>
      </c>
      <c r="AI41" s="13">
        <f t="shared" si="14"/>
        <v>31646.666666666668</v>
      </c>
    </row>
    <row r="42" spans="1:35" ht="12" thickBot="1">
      <c r="A42" s="113" t="s">
        <v>141</v>
      </c>
      <c r="B42" s="13">
        <f>SUM(B30:B41)</f>
        <v>329369</v>
      </c>
      <c r="C42" s="13">
        <f>SUM(C30:C41)</f>
        <v>338218</v>
      </c>
      <c r="D42" s="13">
        <f>SUM(D30:D41)</f>
        <v>314987</v>
      </c>
      <c r="E42" s="13">
        <f>SUM(E30:E41)</f>
        <v>428807</v>
      </c>
      <c r="F42" s="13">
        <f>SUM(F30:F41)</f>
        <v>1056605</v>
      </c>
      <c r="G42" s="119">
        <f t="shared" ref="G42:R42" si="15">SUM(G30:G41)</f>
        <v>1064052.6594377328</v>
      </c>
      <c r="H42" s="119">
        <f t="shared" si="15"/>
        <v>1312669.0672849261</v>
      </c>
      <c r="I42" s="119">
        <f t="shared" si="15"/>
        <v>1703781.0956975762</v>
      </c>
      <c r="J42" s="119">
        <f t="shared" si="15"/>
        <v>1897586.6876550913</v>
      </c>
      <c r="K42" s="119">
        <f t="shared" si="15"/>
        <v>1893116.3195455293</v>
      </c>
      <c r="L42" s="119">
        <f t="shared" si="15"/>
        <v>2001888.8925379945</v>
      </c>
      <c r="M42" s="119">
        <f t="shared" si="15"/>
        <v>2041355.7528263798</v>
      </c>
      <c r="N42" s="119">
        <f t="shared" si="15"/>
        <v>2077929.50302599</v>
      </c>
      <c r="O42" s="119">
        <f t="shared" si="15"/>
        <v>2112470.4901451161</v>
      </c>
      <c r="P42" s="119">
        <f t="shared" si="15"/>
        <v>2146594.8070275178</v>
      </c>
      <c r="Q42" s="119">
        <f t="shared" si="15"/>
        <v>2180354.2056334941</v>
      </c>
      <c r="R42" s="119">
        <f t="shared" si="15"/>
        <v>2197363.1717892638</v>
      </c>
      <c r="S42" s="118"/>
      <c r="T42" s="118"/>
      <c r="U42" s="118"/>
      <c r="V42" s="13"/>
      <c r="W42" s="13"/>
      <c r="X42" s="13"/>
      <c r="Y42" s="13"/>
      <c r="Z42" s="13"/>
      <c r="AA42" s="13"/>
      <c r="AB42" s="13"/>
      <c r="AC42" s="13"/>
      <c r="AD42" s="13"/>
      <c r="AE42" s="13"/>
      <c r="AF42" s="13"/>
    </row>
    <row r="43" spans="1:35">
      <c r="A43" s="199"/>
      <c r="B43" s="199">
        <f>(B42/1000)/SUM('[3]Canada Rapeseed'!AB$294:AB$300,'[3]Canada Rapeseed'!AC$289:AC$293)</f>
        <v>0.29739990877577505</v>
      </c>
      <c r="C43" s="199">
        <f>(C42/1000)/SUM('[3]Canada Rapeseed'!AC$294:AC$300,'[3]Canada Rapeseed'!AD$289:AD$293)</f>
        <v>0.3110617807283651</v>
      </c>
      <c r="D43" s="199">
        <f>(D42/1000)/SUM('[3]Canada Rapeseed'!AD$294:AD$300,'[3]Canada Rapeseed'!AE$289:AE$293)</f>
        <v>0.29446810034563858</v>
      </c>
      <c r="E43" s="199"/>
      <c r="F43" s="199"/>
      <c r="G43" s="199"/>
      <c r="H43" s="199"/>
      <c r="I43" s="199"/>
      <c r="J43" s="199"/>
      <c r="K43" s="199"/>
      <c r="L43" s="199"/>
      <c r="M43" s="199"/>
      <c r="N43" s="199"/>
      <c r="O43" s="199"/>
      <c r="P43" s="199"/>
      <c r="Q43" s="199"/>
      <c r="R43" s="199"/>
      <c r="S43" s="199"/>
      <c r="T43" s="199"/>
      <c r="U43" s="199"/>
      <c r="V43" s="199"/>
      <c r="W43" s="199"/>
      <c r="X43" s="199"/>
      <c r="Y43" s="199"/>
      <c r="Z43" s="199"/>
      <c r="AA43" s="199"/>
      <c r="AB43" s="199"/>
      <c r="AC43" s="199"/>
      <c r="AD43" s="199"/>
      <c r="AE43" s="199"/>
      <c r="AF43" s="199"/>
    </row>
    <row r="44" spans="1:35" ht="12" thickBot="1">
      <c r="A44" s="138" t="s">
        <v>145</v>
      </c>
    </row>
    <row r="45" spans="1:35" ht="12" thickBot="1">
      <c r="A45" s="176"/>
      <c r="B45" s="177">
        <f t="shared" ref="B45:AF45" si="16">B3</f>
        <v>2020</v>
      </c>
      <c r="C45" s="177">
        <f t="shared" si="16"/>
        <v>2021</v>
      </c>
      <c r="D45" s="177">
        <f t="shared" si="16"/>
        <v>2022</v>
      </c>
      <c r="E45" s="177">
        <f t="shared" si="16"/>
        <v>2023</v>
      </c>
      <c r="F45" s="177">
        <f t="shared" si="16"/>
        <v>2024</v>
      </c>
      <c r="G45" s="177">
        <f t="shared" si="16"/>
        <v>2025</v>
      </c>
      <c r="H45" s="177">
        <f t="shared" si="16"/>
        <v>2026</v>
      </c>
      <c r="I45" s="177">
        <f t="shared" si="16"/>
        <v>2027</v>
      </c>
      <c r="J45" s="177">
        <f t="shared" si="16"/>
        <v>2028</v>
      </c>
      <c r="K45" s="177">
        <f t="shared" si="16"/>
        <v>2029</v>
      </c>
      <c r="L45" s="177">
        <f t="shared" si="16"/>
        <v>2030</v>
      </c>
      <c r="M45" s="177">
        <f t="shared" si="16"/>
        <v>2031</v>
      </c>
      <c r="N45" s="177">
        <f t="shared" si="16"/>
        <v>2032</v>
      </c>
      <c r="O45" s="177">
        <f t="shared" si="16"/>
        <v>2033</v>
      </c>
      <c r="P45" s="177">
        <f t="shared" si="16"/>
        <v>2034</v>
      </c>
      <c r="Q45" s="177">
        <f t="shared" si="16"/>
        <v>2035</v>
      </c>
      <c r="R45" s="177">
        <f t="shared" si="16"/>
        <v>2036</v>
      </c>
      <c r="S45" s="177">
        <f t="shared" si="16"/>
        <v>2037</v>
      </c>
      <c r="T45" s="177">
        <f t="shared" si="16"/>
        <v>2038</v>
      </c>
      <c r="U45" s="177">
        <f t="shared" si="16"/>
        <v>2039</v>
      </c>
      <c r="V45" s="177">
        <f t="shared" si="16"/>
        <v>2040</v>
      </c>
      <c r="W45" s="177">
        <f t="shared" si="16"/>
        <v>2041</v>
      </c>
      <c r="X45" s="177">
        <f t="shared" si="16"/>
        <v>2042</v>
      </c>
      <c r="Y45" s="177">
        <f t="shared" si="16"/>
        <v>2043</v>
      </c>
      <c r="Z45" s="177">
        <f t="shared" si="16"/>
        <v>2044</v>
      </c>
      <c r="AA45" s="177">
        <f t="shared" si="16"/>
        <v>2045</v>
      </c>
      <c r="AB45" s="177">
        <f t="shared" si="16"/>
        <v>2046</v>
      </c>
      <c r="AC45" s="177">
        <f t="shared" si="16"/>
        <v>2047</v>
      </c>
      <c r="AD45" s="177">
        <f t="shared" si="16"/>
        <v>2048</v>
      </c>
      <c r="AE45" s="177">
        <f t="shared" si="16"/>
        <v>2049</v>
      </c>
      <c r="AF45" s="177">
        <f t="shared" si="16"/>
        <v>2050</v>
      </c>
    </row>
    <row r="46" spans="1:35">
      <c r="A46" s="113" t="s">
        <v>129</v>
      </c>
      <c r="B46" s="13">
        <f>Data!$AO3</f>
        <v>25</v>
      </c>
      <c r="C46" s="13">
        <f>Data!$AO15</f>
        <v>2</v>
      </c>
      <c r="D46" s="13">
        <f>Data!$AO27</f>
        <v>2</v>
      </c>
      <c r="E46" s="13">
        <f>Data!$AO39</f>
        <v>25</v>
      </c>
      <c r="F46" s="13">
        <f>Data!$AO51</f>
        <v>277</v>
      </c>
      <c r="G46" s="13">
        <f>Data!$AO63</f>
        <v>0</v>
      </c>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5">
      <c r="A47" s="113" t="s">
        <v>130</v>
      </c>
      <c r="B47" s="13">
        <f>Data!$AO4</f>
        <v>0</v>
      </c>
      <c r="C47" s="13">
        <f>Data!$AO16</f>
        <v>7</v>
      </c>
      <c r="D47" s="13">
        <f>Data!$AO28</f>
        <v>0</v>
      </c>
      <c r="E47" s="13">
        <f>Data!$AO40</f>
        <v>-87</v>
      </c>
      <c r="F47" s="13">
        <f>Data!$AO52</f>
        <v>-2</v>
      </c>
      <c r="G47" s="13">
        <f>Data!$AO64</f>
        <v>-18</v>
      </c>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5">
      <c r="A48" s="113" t="s">
        <v>131</v>
      </c>
      <c r="B48" s="13">
        <f>Data!$AO5</f>
        <v>0</v>
      </c>
      <c r="C48" s="13">
        <f>Data!$AO17</f>
        <v>-3</v>
      </c>
      <c r="D48" s="13">
        <f>Data!$AO29</f>
        <v>0</v>
      </c>
      <c r="E48" s="13">
        <f>Data!$AO41</f>
        <v>72</v>
      </c>
      <c r="F48" s="13">
        <f>Data!$AO53</f>
        <v>-22</v>
      </c>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c r="A49" s="113" t="s">
        <v>132</v>
      </c>
      <c r="B49" s="13">
        <f>Data!$AO6</f>
        <v>0</v>
      </c>
      <c r="C49" s="13">
        <f>Data!$AO18</f>
        <v>0</v>
      </c>
      <c r="D49" s="13">
        <f>Data!$AO30</f>
        <v>1</v>
      </c>
      <c r="E49" s="13">
        <f>Data!$AO42</f>
        <v>-17</v>
      </c>
      <c r="F49" s="13">
        <f>Data!$AO54</f>
        <v>55</v>
      </c>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c r="A50" s="113" t="s">
        <v>133</v>
      </c>
      <c r="B50" s="13">
        <f>Data!$AO7</f>
        <v>0</v>
      </c>
      <c r="C50" s="13">
        <f>Data!$AO19</f>
        <v>0</v>
      </c>
      <c r="D50" s="13">
        <f>Data!$AO31</f>
        <v>100</v>
      </c>
      <c r="E50" s="13">
        <f>Data!$AO43</f>
        <v>-336</v>
      </c>
      <c r="F50" s="13">
        <f>Data!$AO55</f>
        <v>-22</v>
      </c>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c r="A51" s="113" t="s">
        <v>134</v>
      </c>
      <c r="B51" s="13">
        <f>Data!$AO8</f>
        <v>0</v>
      </c>
      <c r="C51" s="13">
        <f>Data!$AO20</f>
        <v>0</v>
      </c>
      <c r="D51" s="13">
        <f>Data!$AO32</f>
        <v>0</v>
      </c>
      <c r="E51" s="13">
        <f>Data!$AO44</f>
        <v>180</v>
      </c>
      <c r="F51" s="13">
        <f>Data!$AO56</f>
        <v>8</v>
      </c>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c r="A52" s="113" t="s">
        <v>135</v>
      </c>
      <c r="B52" s="13">
        <f>Data!$AO9</f>
        <v>0</v>
      </c>
      <c r="C52" s="13">
        <f>Data!$AO21</f>
        <v>-1</v>
      </c>
      <c r="D52" s="13">
        <f>Data!$AO33</f>
        <v>-35</v>
      </c>
      <c r="E52" s="13">
        <f>Data!$AO45</f>
        <v>-26</v>
      </c>
      <c r="F52" s="13">
        <f>Data!$AO57</f>
        <v>15</v>
      </c>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c r="A53" s="113" t="s">
        <v>136</v>
      </c>
      <c r="B53" s="13">
        <f>Data!$AO10</f>
        <v>0</v>
      </c>
      <c r="C53" s="13">
        <f>Data!$AO22</f>
        <v>1</v>
      </c>
      <c r="D53" s="13">
        <f>Data!$AO34</f>
        <v>6</v>
      </c>
      <c r="E53" s="13">
        <f>Data!$AO46</f>
        <v>166</v>
      </c>
      <c r="F53" s="13">
        <f>Data!$AO58</f>
        <v>9</v>
      </c>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c r="A54" s="113" t="s">
        <v>137</v>
      </c>
      <c r="B54" s="13">
        <f>Data!$AO11</f>
        <v>0</v>
      </c>
      <c r="C54" s="13">
        <f>Data!$AO23</f>
        <v>-2</v>
      </c>
      <c r="D54" s="13">
        <f>Data!$AO35</f>
        <v>7</v>
      </c>
      <c r="E54" s="13">
        <f>Data!$AO47</f>
        <v>170</v>
      </c>
      <c r="F54" s="13">
        <f>Data!$AO59</f>
        <v>2</v>
      </c>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c r="A55" s="113" t="s">
        <v>138</v>
      </c>
      <c r="B55" s="13">
        <f>Data!$AO12</f>
        <v>0</v>
      </c>
      <c r="C55" s="13">
        <f>Data!$AO24</f>
        <v>1</v>
      </c>
      <c r="D55" s="13">
        <f>Data!$AO36</f>
        <v>4</v>
      </c>
      <c r="E55" s="13">
        <f>Data!$AO48</f>
        <v>8</v>
      </c>
      <c r="F55" s="13">
        <f>Data!$AO60</f>
        <v>515</v>
      </c>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c r="A56" s="113" t="s">
        <v>139</v>
      </c>
      <c r="B56" s="13">
        <f>Data!$AO13</f>
        <v>0</v>
      </c>
      <c r="C56" s="13">
        <f>Data!$AO25</f>
        <v>0</v>
      </c>
      <c r="D56" s="13">
        <f>Data!$AO37</f>
        <v>17</v>
      </c>
      <c r="E56" s="13">
        <f>Data!$AO49</f>
        <v>0</v>
      </c>
      <c r="F56" s="13">
        <f>Data!$AO61</f>
        <v>3</v>
      </c>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c r="A57" s="113" t="s">
        <v>140</v>
      </c>
      <c r="B57" s="13">
        <f>Data!$AO14</f>
        <v>-26</v>
      </c>
      <c r="C57" s="13">
        <f>Data!$AO26</f>
        <v>0</v>
      </c>
      <c r="D57" s="13">
        <f>Data!$AO38</f>
        <v>-4</v>
      </c>
      <c r="E57" s="13">
        <f>Data!$AO50</f>
        <v>76</v>
      </c>
      <c r="F57" s="13">
        <f>Data!$AO62</f>
        <v>1</v>
      </c>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ht="12" thickBot="1">
      <c r="A58" s="113" t="s">
        <v>141</v>
      </c>
      <c r="B58" s="13">
        <f>SUM(B46:B57)</f>
        <v>-1</v>
      </c>
      <c r="C58" s="13">
        <f>SUM(C46:C57)</f>
        <v>5</v>
      </c>
      <c r="D58" s="13">
        <f>SUM(D46:D57)</f>
        <v>98</v>
      </c>
      <c r="E58" s="13">
        <f>SUM(E46:E57)</f>
        <v>231</v>
      </c>
      <c r="F58" s="13">
        <f>SUM(F46:F57)</f>
        <v>839</v>
      </c>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row>
    <row r="60" spans="1:32" ht="12" thickBot="1">
      <c r="A60" s="138" t="s">
        <v>146</v>
      </c>
    </row>
    <row r="61" spans="1:32" ht="12" thickBot="1">
      <c r="A61" s="176"/>
      <c r="B61" s="177">
        <f t="shared" ref="B61:AF61" si="17">B3</f>
        <v>2020</v>
      </c>
      <c r="C61" s="177">
        <f t="shared" si="17"/>
        <v>2021</v>
      </c>
      <c r="D61" s="177">
        <f t="shared" si="17"/>
        <v>2022</v>
      </c>
      <c r="E61" s="177">
        <f t="shared" si="17"/>
        <v>2023</v>
      </c>
      <c r="F61" s="177">
        <f t="shared" si="17"/>
        <v>2024</v>
      </c>
      <c r="G61" s="177">
        <f t="shared" si="17"/>
        <v>2025</v>
      </c>
      <c r="H61" s="177">
        <f t="shared" si="17"/>
        <v>2026</v>
      </c>
      <c r="I61" s="177">
        <f t="shared" si="17"/>
        <v>2027</v>
      </c>
      <c r="J61" s="177">
        <f t="shared" si="17"/>
        <v>2028</v>
      </c>
      <c r="K61" s="177">
        <f t="shared" si="17"/>
        <v>2029</v>
      </c>
      <c r="L61" s="177">
        <f t="shared" si="17"/>
        <v>2030</v>
      </c>
      <c r="M61" s="177">
        <f t="shared" si="17"/>
        <v>2031</v>
      </c>
      <c r="N61" s="177">
        <f t="shared" si="17"/>
        <v>2032</v>
      </c>
      <c r="O61" s="177">
        <f t="shared" si="17"/>
        <v>2033</v>
      </c>
      <c r="P61" s="177">
        <f t="shared" si="17"/>
        <v>2034</v>
      </c>
      <c r="Q61" s="177">
        <f t="shared" si="17"/>
        <v>2035</v>
      </c>
      <c r="R61" s="177">
        <f t="shared" si="17"/>
        <v>2036</v>
      </c>
      <c r="S61" s="177">
        <f t="shared" si="17"/>
        <v>2037</v>
      </c>
      <c r="T61" s="177">
        <f t="shared" si="17"/>
        <v>2038</v>
      </c>
      <c r="U61" s="177">
        <f t="shared" si="17"/>
        <v>2039</v>
      </c>
      <c r="V61" s="177">
        <f t="shared" si="17"/>
        <v>2040</v>
      </c>
      <c r="W61" s="177">
        <f t="shared" si="17"/>
        <v>2041</v>
      </c>
      <c r="X61" s="177">
        <f t="shared" si="17"/>
        <v>2042</v>
      </c>
      <c r="Y61" s="177">
        <f t="shared" si="17"/>
        <v>2043</v>
      </c>
      <c r="Z61" s="177">
        <f t="shared" si="17"/>
        <v>2044</v>
      </c>
      <c r="AA61" s="177">
        <f t="shared" si="17"/>
        <v>2045</v>
      </c>
      <c r="AB61" s="177">
        <f t="shared" si="17"/>
        <v>2046</v>
      </c>
      <c r="AC61" s="177">
        <f t="shared" si="17"/>
        <v>2047</v>
      </c>
      <c r="AD61" s="177">
        <f t="shared" si="17"/>
        <v>2048</v>
      </c>
      <c r="AE61" s="177">
        <f t="shared" si="17"/>
        <v>2049</v>
      </c>
      <c r="AF61" s="177">
        <f t="shared" si="17"/>
        <v>2050</v>
      </c>
    </row>
    <row r="62" spans="1:32">
      <c r="A62" s="113" t="s">
        <v>129</v>
      </c>
      <c r="B62" s="13">
        <f>B4+B14-B30-B46-B78</f>
        <v>-601</v>
      </c>
      <c r="C62" s="13">
        <f>B89+C14-C30-C46-C78</f>
        <v>0</v>
      </c>
      <c r="D62" s="13">
        <f>C89+D14-D30-D46-D78</f>
        <v>0</v>
      </c>
      <c r="E62" s="13">
        <f>D89+E14-E30-E46-E78</f>
        <v>0</v>
      </c>
      <c r="F62" s="13">
        <f>E89+F14-F30-F46-F78</f>
        <v>0</v>
      </c>
      <c r="G62" s="13">
        <f>F89+G14-G30-G46-G78</f>
        <v>231</v>
      </c>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c r="A63" s="113" t="s">
        <v>130</v>
      </c>
      <c r="B63" s="13">
        <f t="shared" ref="B63:G73" si="18">B78+B15-B31-B47-B79</f>
        <v>0</v>
      </c>
      <c r="C63" s="13">
        <f t="shared" si="18"/>
        <v>0</v>
      </c>
      <c r="D63" s="13">
        <f t="shared" si="18"/>
        <v>0</v>
      </c>
      <c r="E63" s="13">
        <f t="shared" si="18"/>
        <v>0</v>
      </c>
      <c r="F63" s="13">
        <f t="shared" si="18"/>
        <v>0</v>
      </c>
      <c r="G63" s="13">
        <f t="shared" si="18"/>
        <v>64005</v>
      </c>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c r="A64" s="113" t="s">
        <v>131</v>
      </c>
      <c r="B64" s="13">
        <f t="shared" si="18"/>
        <v>0</v>
      </c>
      <c r="C64" s="13">
        <f t="shared" si="18"/>
        <v>10</v>
      </c>
      <c r="D64" s="13">
        <f t="shared" si="18"/>
        <v>0</v>
      </c>
      <c r="E64" s="13">
        <f t="shared" si="18"/>
        <v>0</v>
      </c>
      <c r="F64" s="13">
        <f t="shared" si="18"/>
        <v>0</v>
      </c>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c r="A65" s="113" t="s">
        <v>132</v>
      </c>
      <c r="B65" s="13">
        <f t="shared" si="18"/>
        <v>0</v>
      </c>
      <c r="C65" s="13">
        <f t="shared" si="18"/>
        <v>0</v>
      </c>
      <c r="D65" s="13">
        <f t="shared" si="18"/>
        <v>0</v>
      </c>
      <c r="E65" s="13">
        <f t="shared" si="18"/>
        <v>0</v>
      </c>
      <c r="F65" s="13">
        <f t="shared" si="18"/>
        <v>0</v>
      </c>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c r="A66" s="113" t="s">
        <v>133</v>
      </c>
      <c r="B66" s="13">
        <f t="shared" si="18"/>
        <v>0</v>
      </c>
      <c r="C66" s="13">
        <f t="shared" si="18"/>
        <v>0</v>
      </c>
      <c r="D66" s="13">
        <f t="shared" si="18"/>
        <v>0</v>
      </c>
      <c r="E66" s="13">
        <f t="shared" si="18"/>
        <v>0</v>
      </c>
      <c r="F66" s="13">
        <f t="shared" si="18"/>
        <v>0</v>
      </c>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c r="A67" s="113" t="s">
        <v>134</v>
      </c>
      <c r="B67" s="13">
        <f t="shared" si="18"/>
        <v>0</v>
      </c>
      <c r="C67" s="13">
        <f t="shared" si="18"/>
        <v>0</v>
      </c>
      <c r="D67" s="13">
        <f t="shared" si="18"/>
        <v>0</v>
      </c>
      <c r="E67" s="13">
        <f t="shared" si="18"/>
        <v>0</v>
      </c>
      <c r="F67" s="13">
        <f t="shared" si="18"/>
        <v>0</v>
      </c>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c r="A68" s="113" t="s">
        <v>135</v>
      </c>
      <c r="B68" s="13">
        <f t="shared" si="18"/>
        <v>0</v>
      </c>
      <c r="C68" s="13">
        <f t="shared" si="18"/>
        <v>0</v>
      </c>
      <c r="D68" s="13">
        <f t="shared" si="18"/>
        <v>0</v>
      </c>
      <c r="E68" s="13">
        <f t="shared" si="18"/>
        <v>0</v>
      </c>
      <c r="F68" s="13">
        <f t="shared" si="18"/>
        <v>10</v>
      </c>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c r="A69" s="113" t="s">
        <v>136</v>
      </c>
      <c r="B69" s="13">
        <f t="shared" si="18"/>
        <v>0</v>
      </c>
      <c r="C69" s="13">
        <f t="shared" si="18"/>
        <v>0</v>
      </c>
      <c r="D69" s="13">
        <f t="shared" si="18"/>
        <v>34</v>
      </c>
      <c r="E69" s="13">
        <f t="shared" si="18"/>
        <v>0</v>
      </c>
      <c r="F69" s="13">
        <f t="shared" si="18"/>
        <v>-8</v>
      </c>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c r="A70" s="113" t="s">
        <v>137</v>
      </c>
      <c r="B70" s="13">
        <f t="shared" si="18"/>
        <v>0</v>
      </c>
      <c r="C70" s="13">
        <f t="shared" si="18"/>
        <v>0</v>
      </c>
      <c r="D70" s="13">
        <f t="shared" si="18"/>
        <v>0</v>
      </c>
      <c r="E70" s="13">
        <f t="shared" si="18"/>
        <v>0</v>
      </c>
      <c r="F70" s="13">
        <f t="shared" si="18"/>
        <v>7</v>
      </c>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c r="A71" s="113" t="s">
        <v>138</v>
      </c>
      <c r="B71" s="13">
        <f t="shared" si="18"/>
        <v>0</v>
      </c>
      <c r="C71" s="13">
        <f t="shared" si="18"/>
        <v>0</v>
      </c>
      <c r="D71" s="13">
        <f t="shared" si="18"/>
        <v>0</v>
      </c>
      <c r="E71" s="13">
        <f t="shared" si="18"/>
        <v>0</v>
      </c>
      <c r="F71" s="13">
        <f t="shared" si="18"/>
        <v>0</v>
      </c>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c r="A72" s="113" t="s">
        <v>139</v>
      </c>
      <c r="B72" s="13">
        <f t="shared" si="18"/>
        <v>0</v>
      </c>
      <c r="C72" s="13">
        <f t="shared" si="18"/>
        <v>0</v>
      </c>
      <c r="D72" s="13">
        <f t="shared" si="18"/>
        <v>-36</v>
      </c>
      <c r="E72" s="13">
        <f t="shared" si="18"/>
        <v>-4868</v>
      </c>
      <c r="F72" s="13">
        <f t="shared" si="18"/>
        <v>6</v>
      </c>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c r="A73" s="113" t="s">
        <v>140</v>
      </c>
      <c r="B73" s="13">
        <f t="shared" si="18"/>
        <v>25</v>
      </c>
      <c r="C73" s="13">
        <f t="shared" si="18"/>
        <v>0</v>
      </c>
      <c r="D73" s="13">
        <f t="shared" si="18"/>
        <v>0</v>
      </c>
      <c r="E73" s="13">
        <f t="shared" si="18"/>
        <v>0</v>
      </c>
      <c r="F73" s="13">
        <f t="shared" si="18"/>
        <v>4</v>
      </c>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ht="12" thickBot="1">
      <c r="A74" s="113" t="s">
        <v>141</v>
      </c>
      <c r="B74" s="13">
        <f>SUM(B62:B73)</f>
        <v>-576</v>
      </c>
      <c r="C74" s="13">
        <f>SUM(C62:C73)</f>
        <v>10</v>
      </c>
      <c r="D74" s="13">
        <f>SUM(D62:D73)</f>
        <v>-2</v>
      </c>
      <c r="E74" s="13">
        <f>SUM(E62:E73)</f>
        <v>-4868</v>
      </c>
      <c r="F74" s="13">
        <f>SUM(F62:F73)</f>
        <v>19</v>
      </c>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c r="A75" s="199"/>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c r="AA75" s="199"/>
      <c r="AB75" s="199"/>
      <c r="AC75" s="199"/>
      <c r="AD75" s="199"/>
      <c r="AE75" s="199"/>
      <c r="AF75" s="199"/>
    </row>
    <row r="76" spans="1:32" ht="12" thickBot="1">
      <c r="A76" s="138" t="s">
        <v>147</v>
      </c>
    </row>
    <row r="77" spans="1:32" ht="12" thickBot="1">
      <c r="A77" s="176"/>
      <c r="B77" s="177">
        <f t="shared" ref="B77:AF77" si="19">B3</f>
        <v>2020</v>
      </c>
      <c r="C77" s="177">
        <f t="shared" si="19"/>
        <v>2021</v>
      </c>
      <c r="D77" s="177">
        <f t="shared" si="19"/>
        <v>2022</v>
      </c>
      <c r="E77" s="177">
        <f t="shared" si="19"/>
        <v>2023</v>
      </c>
      <c r="F77" s="177">
        <f t="shared" si="19"/>
        <v>2024</v>
      </c>
      <c r="G77" s="177">
        <f t="shared" si="19"/>
        <v>2025</v>
      </c>
      <c r="H77" s="177">
        <f t="shared" si="19"/>
        <v>2026</v>
      </c>
      <c r="I77" s="177">
        <f t="shared" si="19"/>
        <v>2027</v>
      </c>
      <c r="J77" s="177">
        <f t="shared" si="19"/>
        <v>2028</v>
      </c>
      <c r="K77" s="177">
        <f t="shared" si="19"/>
        <v>2029</v>
      </c>
      <c r="L77" s="177">
        <f t="shared" si="19"/>
        <v>2030</v>
      </c>
      <c r="M77" s="177">
        <f t="shared" si="19"/>
        <v>2031</v>
      </c>
      <c r="N77" s="177">
        <f t="shared" si="19"/>
        <v>2032</v>
      </c>
      <c r="O77" s="177">
        <f t="shared" si="19"/>
        <v>2033</v>
      </c>
      <c r="P77" s="177">
        <f t="shared" si="19"/>
        <v>2034</v>
      </c>
      <c r="Q77" s="177">
        <f t="shared" si="19"/>
        <v>2035</v>
      </c>
      <c r="R77" s="177">
        <f t="shared" si="19"/>
        <v>2036</v>
      </c>
      <c r="S77" s="177">
        <f t="shared" si="19"/>
        <v>2037</v>
      </c>
      <c r="T77" s="177">
        <f t="shared" si="19"/>
        <v>2038</v>
      </c>
      <c r="U77" s="177">
        <f t="shared" si="19"/>
        <v>2039</v>
      </c>
      <c r="V77" s="177">
        <f t="shared" si="19"/>
        <v>2040</v>
      </c>
      <c r="W77" s="177">
        <f t="shared" si="19"/>
        <v>2041</v>
      </c>
      <c r="X77" s="177">
        <f t="shared" si="19"/>
        <v>2042</v>
      </c>
      <c r="Y77" s="177">
        <f t="shared" si="19"/>
        <v>2043</v>
      </c>
      <c r="Z77" s="177">
        <f t="shared" si="19"/>
        <v>2044</v>
      </c>
      <c r="AA77" s="177">
        <f t="shared" si="19"/>
        <v>2045</v>
      </c>
      <c r="AB77" s="177">
        <f t="shared" si="19"/>
        <v>2046</v>
      </c>
      <c r="AC77" s="177">
        <f t="shared" si="19"/>
        <v>2047</v>
      </c>
      <c r="AD77" s="177">
        <f t="shared" si="19"/>
        <v>2048</v>
      </c>
      <c r="AE77" s="177">
        <f t="shared" si="19"/>
        <v>2049</v>
      </c>
      <c r="AF77" s="177">
        <f t="shared" si="19"/>
        <v>2050</v>
      </c>
    </row>
    <row r="78" spans="1:32">
      <c r="A78" s="113" t="s">
        <v>129</v>
      </c>
      <c r="B78" s="13">
        <f>Data!$AF3</f>
        <v>1158</v>
      </c>
      <c r="C78" s="13">
        <f>Data!$AF15</f>
        <v>832</v>
      </c>
      <c r="D78" s="13">
        <f>Data!$AF27</f>
        <v>244</v>
      </c>
      <c r="E78" s="13">
        <f>Data!$AF39</f>
        <v>29480</v>
      </c>
      <c r="F78" s="13">
        <f>Data!$AF51</f>
        <v>113000</v>
      </c>
      <c r="G78" s="13">
        <f>Data!$AF63</f>
        <v>70587</v>
      </c>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c r="A79" s="113" t="s">
        <v>130</v>
      </c>
      <c r="B79" s="13">
        <f>Data!$AF4</f>
        <v>1189</v>
      </c>
      <c r="C79" s="13">
        <f>Data!$AF16</f>
        <v>1200</v>
      </c>
      <c r="D79" s="13">
        <f>Data!$AF28</f>
        <v>769</v>
      </c>
      <c r="E79" s="13">
        <f>Data!$AF40</f>
        <v>29004</v>
      </c>
      <c r="F79" s="13">
        <f>Data!$AF52</f>
        <v>95468</v>
      </c>
      <c r="G79" s="13">
        <f>Data!$AF64</f>
        <v>1768</v>
      </c>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c r="A80" s="113" t="s">
        <v>131</v>
      </c>
      <c r="B80" s="13">
        <f>Data!$AF5</f>
        <v>1371</v>
      </c>
      <c r="C80" s="13">
        <f>Data!$AF17</f>
        <v>764</v>
      </c>
      <c r="D80" s="13">
        <f>Data!$AF29</f>
        <v>920</v>
      </c>
      <c r="E80" s="13">
        <f>Data!$AF41</f>
        <v>29261</v>
      </c>
      <c r="F80" s="13">
        <f>Data!$AF53</f>
        <v>76674</v>
      </c>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c r="A81" s="113" t="s">
        <v>132</v>
      </c>
      <c r="B81" s="13">
        <f>Data!$AF6</f>
        <v>1569</v>
      </c>
      <c r="C81" s="13">
        <f>Data!$AF18</f>
        <v>774</v>
      </c>
      <c r="D81" s="13">
        <f>Data!$AF30</f>
        <v>886</v>
      </c>
      <c r="E81" s="13">
        <f>Data!$AF42</f>
        <v>28726</v>
      </c>
      <c r="F81" s="13">
        <f>Data!$AF54</f>
        <v>53813</v>
      </c>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c r="A82" s="113" t="s">
        <v>133</v>
      </c>
      <c r="B82" s="13">
        <f>Data!$AF7</f>
        <v>1158</v>
      </c>
      <c r="C82" s="13">
        <f>Data!$AF19</f>
        <v>908</v>
      </c>
      <c r="D82" s="13">
        <f>Data!$AF31</f>
        <v>233</v>
      </c>
      <c r="E82" s="13">
        <f>Data!$AF43</f>
        <v>28940</v>
      </c>
      <c r="F82" s="13">
        <f>Data!$AF55</f>
        <v>52992</v>
      </c>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c r="A83" s="113" t="s">
        <v>134</v>
      </c>
      <c r="B83" s="13">
        <f>Data!$AF8</f>
        <v>886</v>
      </c>
      <c r="C83" s="13">
        <f>Data!$AF20</f>
        <v>840</v>
      </c>
      <c r="D83" s="13">
        <f>Data!$AF32</f>
        <v>181</v>
      </c>
      <c r="E83" s="13">
        <f>Data!$AF44</f>
        <v>28727</v>
      </c>
      <c r="F83" s="13">
        <f>Data!$AF56</f>
        <v>60701</v>
      </c>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c r="A84" s="113" t="s">
        <v>135</v>
      </c>
      <c r="B84" s="13">
        <f>Data!$AF9</f>
        <v>942</v>
      </c>
      <c r="C84" s="13">
        <f>Data!$AF21</f>
        <v>662</v>
      </c>
      <c r="D84" s="13">
        <f>Data!$AF33</f>
        <v>232</v>
      </c>
      <c r="E84" s="13">
        <f>Data!$AF45</f>
        <v>28680</v>
      </c>
      <c r="F84" s="13">
        <f>Data!$AF57</f>
        <v>51799</v>
      </c>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c r="A85" s="113" t="s">
        <v>136</v>
      </c>
      <c r="B85" s="13">
        <f>Data!$AF10</f>
        <v>998</v>
      </c>
      <c r="C85" s="13">
        <f>Data!$AF22</f>
        <v>765</v>
      </c>
      <c r="D85" s="13">
        <f>Data!$AF34</f>
        <v>1062</v>
      </c>
      <c r="E85" s="13">
        <f>Data!$AF46</f>
        <v>27925</v>
      </c>
      <c r="F85" s="13">
        <f>Data!$AF58</f>
        <v>101725</v>
      </c>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c r="A86" s="113" t="s">
        <v>137</v>
      </c>
      <c r="B86" s="13">
        <f>Data!$AF11</f>
        <v>673</v>
      </c>
      <c r="C86" s="13">
        <f>Data!$AF23</f>
        <v>724</v>
      </c>
      <c r="D86" s="13">
        <f>Data!$AF35</f>
        <v>694</v>
      </c>
      <c r="E86" s="13">
        <f>Data!$AF47</f>
        <v>56013</v>
      </c>
      <c r="F86" s="13">
        <f>Data!$AF59</f>
        <v>85486</v>
      </c>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c r="A87" s="113" t="s">
        <v>138</v>
      </c>
      <c r="B87" s="13">
        <f>Data!$AF12</f>
        <v>1012</v>
      </c>
      <c r="C87" s="13">
        <f>Data!$AF24</f>
        <v>1254</v>
      </c>
      <c r="D87" s="13">
        <f>Data!$AF36</f>
        <v>28209</v>
      </c>
      <c r="E87" s="13">
        <f>Data!$AF48</f>
        <v>56290</v>
      </c>
      <c r="F87" s="13">
        <f>Data!$AF60</f>
        <v>106361</v>
      </c>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c r="A88" s="113" t="s">
        <v>139</v>
      </c>
      <c r="B88" s="13">
        <f>Data!$AF13</f>
        <v>650</v>
      </c>
      <c r="C88" s="13">
        <f>Data!$AF25</f>
        <v>898</v>
      </c>
      <c r="D88" s="13">
        <f>Data!$AF37</f>
        <v>27938</v>
      </c>
      <c r="E88" s="13">
        <f>Data!$AF49</f>
        <v>85175</v>
      </c>
      <c r="F88" s="13">
        <f>Data!$AF61</f>
        <v>100956</v>
      </c>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ht="12" thickBot="1">
      <c r="A89" s="113" t="s">
        <v>140</v>
      </c>
      <c r="B89" s="13">
        <f>Data!$AF14</f>
        <v>1070</v>
      </c>
      <c r="C89" s="13">
        <f>Data!$AF26</f>
        <v>986</v>
      </c>
      <c r="D89" s="13">
        <f>Data!$AF38</f>
        <v>28042</v>
      </c>
      <c r="E89" s="13">
        <f>Data!$AF50</f>
        <v>85166</v>
      </c>
      <c r="F89" s="13">
        <f>Data!$AF62</f>
        <v>86552</v>
      </c>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row>
  </sheetData>
  <mergeCells count="3">
    <mergeCell ref="AI20:AI21"/>
    <mergeCell ref="AI22:AI23"/>
    <mergeCell ref="AI24:AI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C518-2927-4A39-86D3-EB3057799A49}">
  <dimension ref="A1:AF91"/>
  <sheetViews>
    <sheetView workbookViewId="0">
      <pane xSplit="1" ySplit="3" topLeftCell="B7"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26.1640625" style="113" customWidth="1"/>
    <col min="2" max="2" width="15.5" style="113" bestFit="1" customWidth="1"/>
    <col min="3" max="4" width="13.33203125" style="113" bestFit="1" customWidth="1"/>
    <col min="5" max="5" width="14.5" style="113" bestFit="1" customWidth="1"/>
    <col min="6" max="8" width="13.33203125" style="113" bestFit="1" customWidth="1"/>
    <col min="9" max="18" width="15.5" style="113" bestFit="1" customWidth="1"/>
    <col min="19" max="25" width="9.6640625" style="113" bestFit="1" customWidth="1"/>
    <col min="26" max="27" width="14.6640625" style="113" bestFit="1" customWidth="1"/>
    <col min="28" max="28" width="13.33203125" style="113" bestFit="1" customWidth="1"/>
    <col min="29" max="32" width="15.5" style="113" bestFit="1" customWidth="1"/>
    <col min="33" max="16384" width="9.33203125" style="113"/>
  </cols>
  <sheetData>
    <row r="1" spans="1:32">
      <c r="A1" s="111" t="s">
        <v>264</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row>
    <row r="2" spans="1:32">
      <c r="A2" s="111" t="s">
        <v>292</v>
      </c>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row>
    <row r="3" spans="1:32" ht="12" thickBot="1">
      <c r="A3" s="168" t="s">
        <v>198</v>
      </c>
      <c r="B3" s="169">
        <v>2020</v>
      </c>
      <c r="C3" s="169">
        <v>2021</v>
      </c>
      <c r="D3" s="169">
        <v>2022</v>
      </c>
      <c r="E3" s="169">
        <v>2023</v>
      </c>
      <c r="F3" s="169">
        <v>2024</v>
      </c>
      <c r="G3" s="169">
        <v>2025</v>
      </c>
      <c r="H3" s="169">
        <v>2026</v>
      </c>
      <c r="I3" s="169">
        <v>2027</v>
      </c>
      <c r="J3" s="169">
        <v>2028</v>
      </c>
      <c r="K3" s="169">
        <v>2029</v>
      </c>
      <c r="L3" s="169">
        <v>2030</v>
      </c>
      <c r="M3" s="169">
        <v>2031</v>
      </c>
      <c r="N3" s="169">
        <v>2032</v>
      </c>
      <c r="O3" s="169">
        <v>2033</v>
      </c>
      <c r="P3" s="169">
        <v>2034</v>
      </c>
      <c r="Q3" s="169">
        <v>2035</v>
      </c>
      <c r="R3" s="169">
        <v>2036</v>
      </c>
      <c r="S3" s="169">
        <v>2037</v>
      </c>
      <c r="T3" s="169">
        <v>2038</v>
      </c>
      <c r="U3" s="169">
        <v>2039</v>
      </c>
      <c r="V3" s="169">
        <v>2040</v>
      </c>
      <c r="W3" s="169">
        <v>2041</v>
      </c>
      <c r="X3" s="169">
        <v>2042</v>
      </c>
      <c r="Y3" s="169">
        <v>2043</v>
      </c>
      <c r="Z3" s="169">
        <v>2044</v>
      </c>
      <c r="AA3" s="169">
        <v>2045</v>
      </c>
      <c r="AB3" s="169">
        <v>2046</v>
      </c>
      <c r="AC3" s="169">
        <v>2047</v>
      </c>
      <c r="AD3" s="169">
        <v>2048</v>
      </c>
      <c r="AE3" s="169">
        <v>2049</v>
      </c>
      <c r="AF3" s="169">
        <v>2050</v>
      </c>
    </row>
    <row r="4" spans="1:32" ht="12" thickTop="1">
      <c r="A4" s="116" t="s">
        <v>120</v>
      </c>
      <c r="B4" s="123">
        <v>1000</v>
      </c>
      <c r="C4" s="13">
        <f>B11</f>
        <v>4008</v>
      </c>
      <c r="D4" s="13">
        <f>C11</f>
        <v>1620</v>
      </c>
      <c r="E4" s="13">
        <f>D11</f>
        <v>1185</v>
      </c>
      <c r="F4" s="13">
        <f>E11</f>
        <v>2146</v>
      </c>
    </row>
    <row r="5" spans="1:32">
      <c r="A5" s="116" t="s">
        <v>260</v>
      </c>
      <c r="B5" s="13">
        <f>B27</f>
        <v>127513</v>
      </c>
      <c r="C5" s="13">
        <f>C27</f>
        <v>78751</v>
      </c>
      <c r="D5" s="13">
        <f>D27</f>
        <v>40614</v>
      </c>
      <c r="E5" s="13">
        <f>E27</f>
        <v>59368</v>
      </c>
      <c r="F5" s="13">
        <f>F27</f>
        <v>62080</v>
      </c>
    </row>
    <row r="6" spans="1:32">
      <c r="A6" s="116" t="s">
        <v>122</v>
      </c>
      <c r="B6" s="13">
        <f>SUM(B4:B5)</f>
        <v>128513</v>
      </c>
      <c r="C6" s="13">
        <f>SUM(C4:C5)</f>
        <v>82759</v>
      </c>
      <c r="D6" s="13">
        <f>SUM(D4:D5)</f>
        <v>42234</v>
      </c>
      <c r="E6" s="13">
        <f>SUM(E4:E5)</f>
        <v>60553</v>
      </c>
      <c r="F6" s="13">
        <f>SUM(F4:F5)</f>
        <v>64226</v>
      </c>
    </row>
    <row r="7" spans="1:32">
      <c r="A7" s="116" t="s">
        <v>261</v>
      </c>
      <c r="B7" s="13">
        <f>B43</f>
        <v>125063</v>
      </c>
      <c r="C7" s="13">
        <f>C43</f>
        <v>81665</v>
      </c>
      <c r="D7" s="13">
        <f>D43</f>
        <v>43502</v>
      </c>
      <c r="E7" s="13">
        <f>E43</f>
        <v>63465</v>
      </c>
      <c r="F7" s="13">
        <f>F43</f>
        <v>65474</v>
      </c>
    </row>
    <row r="8" spans="1:32">
      <c r="A8" s="116" t="s">
        <v>124</v>
      </c>
      <c r="B8" s="13">
        <f>B59</f>
        <v>3465</v>
      </c>
      <c r="C8" s="13">
        <f>C59</f>
        <v>526</v>
      </c>
      <c r="D8" s="13">
        <f>D59</f>
        <v>-6</v>
      </c>
      <c r="E8" s="13">
        <f>E59</f>
        <v>-571</v>
      </c>
      <c r="F8" s="13">
        <f>F59</f>
        <v>-76</v>
      </c>
    </row>
    <row r="9" spans="1:32">
      <c r="A9" s="116" t="s">
        <v>125</v>
      </c>
      <c r="B9" s="13">
        <v>-5240</v>
      </c>
      <c r="C9" s="13">
        <v>-1052</v>
      </c>
      <c r="D9" s="13">
        <v>-2447</v>
      </c>
      <c r="E9" s="13">
        <v>-2447</v>
      </c>
      <c r="F9" s="13">
        <v>0</v>
      </c>
    </row>
    <row r="10" spans="1:32">
      <c r="A10" s="116" t="s">
        <v>126</v>
      </c>
      <c r="B10" s="13">
        <f>SUM(B7:B9)</f>
        <v>123288</v>
      </c>
      <c r="C10" s="13">
        <f>SUM(C7:C9)</f>
        <v>81139</v>
      </c>
      <c r="D10" s="13">
        <f>SUM(D7:D9)</f>
        <v>41049</v>
      </c>
      <c r="E10" s="13">
        <f>SUM(E7:E9)</f>
        <v>60447</v>
      </c>
      <c r="F10" s="13">
        <f>SUM(F7:F9)</f>
        <v>65398</v>
      </c>
    </row>
    <row r="11" spans="1:32">
      <c r="A11" s="116" t="s">
        <v>127</v>
      </c>
      <c r="B11" s="13">
        <f>B90</f>
        <v>4008</v>
      </c>
      <c r="C11" s="13">
        <f>C90</f>
        <v>1620</v>
      </c>
      <c r="D11" s="13">
        <f>D90</f>
        <v>1185</v>
      </c>
      <c r="E11" s="13">
        <f>E90</f>
        <v>2146</v>
      </c>
      <c r="F11" s="13">
        <f>F90</f>
        <v>1022</v>
      </c>
    </row>
    <row r="12" spans="1:32">
      <c r="A12" s="116"/>
      <c r="B12" s="13"/>
      <c r="C12" s="13"/>
      <c r="D12" s="13"/>
    </row>
    <row r="13" spans="1:32" ht="12" thickBot="1">
      <c r="A13" s="138" t="s">
        <v>262</v>
      </c>
    </row>
    <row r="14" spans="1:32" ht="12" thickBot="1">
      <c r="A14" s="176"/>
      <c r="B14" s="177">
        <f t="shared" ref="B14:AF14" si="0">B3</f>
        <v>2020</v>
      </c>
      <c r="C14" s="177">
        <f t="shared" si="0"/>
        <v>2021</v>
      </c>
      <c r="D14" s="177">
        <f t="shared" si="0"/>
        <v>2022</v>
      </c>
      <c r="E14" s="177">
        <f t="shared" si="0"/>
        <v>2023</v>
      </c>
      <c r="F14" s="177">
        <f t="shared" si="0"/>
        <v>2024</v>
      </c>
      <c r="G14" s="177">
        <f t="shared" si="0"/>
        <v>2025</v>
      </c>
      <c r="H14" s="177">
        <f t="shared" si="0"/>
        <v>2026</v>
      </c>
      <c r="I14" s="177">
        <f t="shared" si="0"/>
        <v>2027</v>
      </c>
      <c r="J14" s="177">
        <f t="shared" si="0"/>
        <v>2028</v>
      </c>
      <c r="K14" s="177">
        <f t="shared" si="0"/>
        <v>2029</v>
      </c>
      <c r="L14" s="177">
        <f t="shared" si="0"/>
        <v>2030</v>
      </c>
      <c r="M14" s="177">
        <f t="shared" si="0"/>
        <v>2031</v>
      </c>
      <c r="N14" s="177">
        <f t="shared" si="0"/>
        <v>2032</v>
      </c>
      <c r="O14" s="177">
        <f t="shared" si="0"/>
        <v>2033</v>
      </c>
      <c r="P14" s="177">
        <f t="shared" si="0"/>
        <v>2034</v>
      </c>
      <c r="Q14" s="177">
        <f t="shared" si="0"/>
        <v>2035</v>
      </c>
      <c r="R14" s="177">
        <f t="shared" si="0"/>
        <v>2036</v>
      </c>
      <c r="S14" s="177">
        <f t="shared" si="0"/>
        <v>2037</v>
      </c>
      <c r="T14" s="177">
        <f t="shared" si="0"/>
        <v>2038</v>
      </c>
      <c r="U14" s="177">
        <f t="shared" si="0"/>
        <v>2039</v>
      </c>
      <c r="V14" s="177">
        <f t="shared" si="0"/>
        <v>2040</v>
      </c>
      <c r="W14" s="177">
        <f t="shared" si="0"/>
        <v>2041</v>
      </c>
      <c r="X14" s="177">
        <f t="shared" si="0"/>
        <v>2042</v>
      </c>
      <c r="Y14" s="177">
        <f t="shared" si="0"/>
        <v>2043</v>
      </c>
      <c r="Z14" s="177">
        <f t="shared" si="0"/>
        <v>2044</v>
      </c>
      <c r="AA14" s="177">
        <f t="shared" si="0"/>
        <v>2045</v>
      </c>
      <c r="AB14" s="177">
        <f t="shared" si="0"/>
        <v>2046</v>
      </c>
      <c r="AC14" s="177">
        <f t="shared" si="0"/>
        <v>2047</v>
      </c>
      <c r="AD14" s="177">
        <f t="shared" si="0"/>
        <v>2048</v>
      </c>
      <c r="AE14" s="177">
        <f t="shared" si="0"/>
        <v>2049</v>
      </c>
      <c r="AF14" s="177">
        <f t="shared" si="0"/>
        <v>2050</v>
      </c>
    </row>
    <row r="15" spans="1:32">
      <c r="A15" s="113" t="s">
        <v>129</v>
      </c>
      <c r="B15" s="13">
        <f>Data!$T3</f>
        <v>9231</v>
      </c>
      <c r="C15" s="13">
        <f>Data!$T15</f>
        <v>6050</v>
      </c>
      <c r="D15" s="13">
        <f>Data!$T27</f>
        <v>4316</v>
      </c>
      <c r="E15" s="13">
        <f>Data!$T39</f>
        <v>4231</v>
      </c>
      <c r="F15" s="13">
        <f>Data!$T51</f>
        <v>5215</v>
      </c>
      <c r="G15" s="13">
        <f>Data!$T63</f>
        <v>1809</v>
      </c>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c r="A16" s="113" t="s">
        <v>130</v>
      </c>
      <c r="B16" s="13">
        <f>Data!$T4</f>
        <v>8103</v>
      </c>
      <c r="C16" s="13">
        <f>Data!$T16</f>
        <v>6849</v>
      </c>
      <c r="D16" s="13">
        <f>Data!$T28</f>
        <v>2410</v>
      </c>
      <c r="E16" s="13">
        <f>Data!$T40</f>
        <v>3358</v>
      </c>
      <c r="F16" s="13">
        <f>Data!$T52</f>
        <v>4871</v>
      </c>
      <c r="G16" s="13">
        <f>Data!$T64</f>
        <v>3244</v>
      </c>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c r="A17" s="113" t="s">
        <v>131</v>
      </c>
      <c r="B17" s="13">
        <f>Data!$T5</f>
        <v>10456</v>
      </c>
      <c r="C17" s="13">
        <f>Data!$T17</f>
        <v>6052</v>
      </c>
      <c r="D17" s="13">
        <f>Data!$T29</f>
        <v>3675</v>
      </c>
      <c r="E17" s="13">
        <f>Data!$T41</f>
        <v>4234</v>
      </c>
      <c r="F17" s="13">
        <f>Data!$T53</f>
        <v>4506</v>
      </c>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c r="A18" s="113" t="s">
        <v>132</v>
      </c>
      <c r="B18" s="13">
        <f>Data!$T6</f>
        <v>7557</v>
      </c>
      <c r="C18" s="13">
        <f>Data!$T18</f>
        <v>7892</v>
      </c>
      <c r="D18" s="13">
        <f>Data!$T30</f>
        <v>3395</v>
      </c>
      <c r="E18" s="13">
        <f>Data!$T42</f>
        <v>3451</v>
      </c>
      <c r="F18" s="13">
        <f>Data!$T54</f>
        <v>5943</v>
      </c>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c r="A19" s="113" t="s">
        <v>133</v>
      </c>
      <c r="B19" s="13">
        <f>Data!$T7</f>
        <v>7792</v>
      </c>
      <c r="C19" s="13">
        <f>Data!$T19</f>
        <v>6711</v>
      </c>
      <c r="D19" s="13">
        <f>Data!$T31</f>
        <v>2433</v>
      </c>
      <c r="E19" s="13">
        <f>Data!$T43</f>
        <v>5473</v>
      </c>
      <c r="F19" s="13">
        <f>Data!$T55</f>
        <v>6284</v>
      </c>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c r="A20" s="113" t="s">
        <v>134</v>
      </c>
      <c r="B20" s="13">
        <f>Data!$T8</f>
        <v>10810</v>
      </c>
      <c r="C20" s="13">
        <f>Data!$T20</f>
        <v>8488</v>
      </c>
      <c r="D20" s="13">
        <f>Data!$T32</f>
        <v>2722</v>
      </c>
      <c r="E20" s="13">
        <f>Data!$T44</f>
        <v>6255</v>
      </c>
      <c r="F20" s="13">
        <f>Data!$T56</f>
        <v>5759</v>
      </c>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c r="A21" s="113" t="s">
        <v>135</v>
      </c>
      <c r="B21" s="13">
        <f>Data!$T9</f>
        <v>15312</v>
      </c>
      <c r="C21" s="13">
        <f>Data!$T21</f>
        <v>7691</v>
      </c>
      <c r="D21" s="13">
        <f>Data!$T33</f>
        <v>2629</v>
      </c>
      <c r="E21" s="13">
        <f>Data!$T45</f>
        <v>6145</v>
      </c>
      <c r="F21" s="13">
        <f>Data!$T57</f>
        <v>6710</v>
      </c>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c r="A22" s="113" t="s">
        <v>136</v>
      </c>
      <c r="B22" s="13">
        <f>Data!$T10</f>
        <v>14014</v>
      </c>
      <c r="C22" s="13">
        <f>Data!$T22</f>
        <v>6520</v>
      </c>
      <c r="D22" s="13">
        <f>Data!$T34</f>
        <v>2948</v>
      </c>
      <c r="E22" s="13">
        <f>Data!$T46</f>
        <v>6184</v>
      </c>
      <c r="F22" s="13">
        <f>Data!$T58</f>
        <v>5373</v>
      </c>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c r="A23" s="113" t="s">
        <v>137</v>
      </c>
      <c r="B23" s="13">
        <f>Data!$T11</f>
        <v>11064</v>
      </c>
      <c r="C23" s="13">
        <f>Data!$T23</f>
        <v>5373</v>
      </c>
      <c r="D23" s="13">
        <f>Data!$T35</f>
        <v>4584</v>
      </c>
      <c r="E23" s="13">
        <f>Data!$T47</f>
        <v>5657</v>
      </c>
      <c r="F23" s="13">
        <f>Data!$T59</f>
        <v>5341</v>
      </c>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c r="A24" s="113" t="s">
        <v>138</v>
      </c>
      <c r="B24" s="13">
        <f>Data!$T12</f>
        <v>10854</v>
      </c>
      <c r="C24" s="13">
        <f>Data!$T24</f>
        <v>5004</v>
      </c>
      <c r="D24" s="13">
        <f>Data!$T36</f>
        <v>3832</v>
      </c>
      <c r="E24" s="13">
        <f>Data!$T48</f>
        <v>4402</v>
      </c>
      <c r="F24" s="13">
        <f>Data!$T60</f>
        <v>5216</v>
      </c>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c r="A25" s="113" t="s">
        <v>139</v>
      </c>
      <c r="B25" s="13">
        <f>Data!$T13</f>
        <v>13046</v>
      </c>
      <c r="C25" s="13">
        <f>Data!$T25</f>
        <v>6055</v>
      </c>
      <c r="D25" s="13">
        <f>Data!$T37</f>
        <v>4034</v>
      </c>
      <c r="E25" s="13">
        <f>Data!$T49</f>
        <v>4628</v>
      </c>
      <c r="F25" s="13">
        <f>Data!$T61</f>
        <v>4667</v>
      </c>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c r="A26" s="113" t="s">
        <v>140</v>
      </c>
      <c r="B26" s="13">
        <f>Data!$T14</f>
        <v>9274</v>
      </c>
      <c r="C26" s="13">
        <f>Data!$T26</f>
        <v>6066</v>
      </c>
      <c r="D26" s="13">
        <f>Data!$T38</f>
        <v>3636</v>
      </c>
      <c r="E26" s="13">
        <f>Data!$T50</f>
        <v>5350</v>
      </c>
      <c r="F26" s="13">
        <f>Data!$T62</f>
        <v>2195</v>
      </c>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ht="12" thickBot="1">
      <c r="A27" s="113" t="s">
        <v>141</v>
      </c>
      <c r="B27" s="13">
        <f>SUM(B15:B26)</f>
        <v>127513</v>
      </c>
      <c r="C27" s="13">
        <f>SUM(C15:C26)</f>
        <v>78751</v>
      </c>
      <c r="D27" s="13">
        <f>SUM(D15:D26)</f>
        <v>40614</v>
      </c>
      <c r="E27" s="13">
        <f>SUM(E15:E26)</f>
        <v>59368</v>
      </c>
      <c r="F27" s="13">
        <f>SUM(F15:F26)</f>
        <v>62080</v>
      </c>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c r="A28" s="199"/>
      <c r="B28" s="199"/>
      <c r="C28" s="199"/>
      <c r="D28" s="199"/>
      <c r="E28" s="199"/>
      <c r="F28" s="199"/>
      <c r="G28" s="199"/>
      <c r="H28" s="199"/>
      <c r="I28" s="199"/>
      <c r="J28" s="199"/>
      <c r="K28" s="199"/>
      <c r="L28" s="199"/>
      <c r="M28" s="199"/>
      <c r="N28" s="199"/>
      <c r="O28" s="199"/>
      <c r="P28" s="199"/>
      <c r="Q28" s="199"/>
      <c r="R28" s="199"/>
      <c r="S28" s="199"/>
      <c r="T28" s="199"/>
      <c r="U28" s="199"/>
      <c r="V28" s="199"/>
      <c r="W28" s="199"/>
      <c r="X28" s="199"/>
      <c r="Y28" s="199"/>
      <c r="Z28" s="199"/>
      <c r="AA28" s="199"/>
      <c r="AB28" s="199"/>
      <c r="AC28" s="199"/>
      <c r="AD28" s="199"/>
      <c r="AE28" s="199"/>
      <c r="AF28" s="199"/>
    </row>
    <row r="29" spans="1:32" ht="12" thickBot="1">
      <c r="A29" s="138" t="s">
        <v>263</v>
      </c>
    </row>
    <row r="30" spans="1:32" ht="12" thickBot="1">
      <c r="A30" s="176"/>
      <c r="B30" s="177">
        <f t="shared" ref="B30:AF30" si="1">B3</f>
        <v>2020</v>
      </c>
      <c r="C30" s="177">
        <f t="shared" si="1"/>
        <v>2021</v>
      </c>
      <c r="D30" s="177">
        <f t="shared" si="1"/>
        <v>2022</v>
      </c>
      <c r="E30" s="177">
        <f t="shared" si="1"/>
        <v>2023</v>
      </c>
      <c r="F30" s="177">
        <f t="shared" si="1"/>
        <v>2024</v>
      </c>
      <c r="G30" s="177">
        <f t="shared" si="1"/>
        <v>2025</v>
      </c>
      <c r="H30" s="177">
        <f t="shared" si="1"/>
        <v>2026</v>
      </c>
      <c r="I30" s="177">
        <f t="shared" si="1"/>
        <v>2027</v>
      </c>
      <c r="J30" s="177">
        <f t="shared" si="1"/>
        <v>2028</v>
      </c>
      <c r="K30" s="177">
        <f t="shared" si="1"/>
        <v>2029</v>
      </c>
      <c r="L30" s="177">
        <f t="shared" si="1"/>
        <v>2030</v>
      </c>
      <c r="M30" s="177">
        <f t="shared" si="1"/>
        <v>2031</v>
      </c>
      <c r="N30" s="177">
        <f t="shared" si="1"/>
        <v>2032</v>
      </c>
      <c r="O30" s="177">
        <f t="shared" si="1"/>
        <v>2033</v>
      </c>
      <c r="P30" s="177">
        <f t="shared" si="1"/>
        <v>2034</v>
      </c>
      <c r="Q30" s="177">
        <f t="shared" si="1"/>
        <v>2035</v>
      </c>
      <c r="R30" s="177">
        <f t="shared" si="1"/>
        <v>2036</v>
      </c>
      <c r="S30" s="177">
        <f t="shared" si="1"/>
        <v>2037</v>
      </c>
      <c r="T30" s="177">
        <f t="shared" si="1"/>
        <v>2038</v>
      </c>
      <c r="U30" s="177">
        <f t="shared" si="1"/>
        <v>2039</v>
      </c>
      <c r="V30" s="177">
        <f t="shared" si="1"/>
        <v>2040</v>
      </c>
      <c r="W30" s="177">
        <f t="shared" si="1"/>
        <v>2041</v>
      </c>
      <c r="X30" s="177">
        <f t="shared" si="1"/>
        <v>2042</v>
      </c>
      <c r="Y30" s="177">
        <f t="shared" si="1"/>
        <v>2043</v>
      </c>
      <c r="Z30" s="177">
        <f t="shared" si="1"/>
        <v>2044</v>
      </c>
      <c r="AA30" s="177">
        <f t="shared" si="1"/>
        <v>2045</v>
      </c>
      <c r="AB30" s="177">
        <f t="shared" si="1"/>
        <v>2046</v>
      </c>
      <c r="AC30" s="177">
        <f t="shared" si="1"/>
        <v>2047</v>
      </c>
      <c r="AD30" s="177">
        <f t="shared" si="1"/>
        <v>2048</v>
      </c>
      <c r="AE30" s="177">
        <f t="shared" si="1"/>
        <v>2049</v>
      </c>
      <c r="AF30" s="177">
        <f t="shared" si="1"/>
        <v>2050</v>
      </c>
    </row>
    <row r="31" spans="1:32">
      <c r="A31" s="113" t="s">
        <v>129</v>
      </c>
      <c r="B31" s="13">
        <f>Data!$W3</f>
        <v>9388</v>
      </c>
      <c r="C31" s="13">
        <f>Data!$W15</f>
        <v>7141</v>
      </c>
      <c r="D31" s="13">
        <f>Data!$W27</f>
        <v>4233</v>
      </c>
      <c r="E31" s="13">
        <f>Data!$W39</f>
        <v>3917</v>
      </c>
      <c r="F31" s="13">
        <f>Data!$W51</f>
        <v>4718</v>
      </c>
      <c r="G31" s="13">
        <f>Data!$W63</f>
        <v>1981</v>
      </c>
      <c r="H31" s="119">
        <f>'Total RD Feedstock'!H32-'VO RD Feedstock'!H30</f>
        <v>4406.3904481272111</v>
      </c>
      <c r="I31" s="119">
        <f>'Total RD Feedstock'!I32-'VO RD Feedstock'!I30</f>
        <v>4641.081572956653</v>
      </c>
      <c r="J31" s="119">
        <f>'Total RD Feedstock'!J32-'VO RD Feedstock'!J30</f>
        <v>5493.4101691294345</v>
      </c>
      <c r="K31" s="119">
        <f>'Total RD Feedstock'!K32-'VO RD Feedstock'!K30</f>
        <v>5504.6399126850738</v>
      </c>
      <c r="L31" s="119">
        <f>'Total RD Feedstock'!L32-'VO RD Feedstock'!L30</f>
        <v>5906.5259433728206</v>
      </c>
      <c r="M31" s="119">
        <f>'Total RD Feedstock'!M32-'VO RD Feedstock'!M30</f>
        <v>5974.9865940284799</v>
      </c>
      <c r="N31" s="119">
        <f>'Total RD Feedstock'!N32-'VO RD Feedstock'!N30</f>
        <v>6083.0963650100166</v>
      </c>
      <c r="O31" s="119">
        <f>'Total RD Feedstock'!O32-'VO RD Feedstock'!O30</f>
        <v>6136.4824214487016</v>
      </c>
      <c r="P31" s="119">
        <f>'Total RD Feedstock'!P32-'VO RD Feedstock'!P30</f>
        <v>6237.2655460452224</v>
      </c>
      <c r="Q31" s="119">
        <f>'Total RD Feedstock'!Q32-'VO RD Feedstock'!Q30</f>
        <v>6333.1679110277473</v>
      </c>
      <c r="R31" s="119">
        <f>'Total RD Feedstock'!R32-'VO RD Feedstock'!R30</f>
        <v>6398.6592144031019</v>
      </c>
      <c r="S31" s="118">
        <f>'Total RD Feedstock'!S32-'VO RD Feedstock'!S30</f>
        <v>0</v>
      </c>
      <c r="T31" s="118">
        <f>'Total RD Feedstock'!T32-'VO RD Feedstock'!T30</f>
        <v>0</v>
      </c>
      <c r="U31" s="118">
        <f>'Total RD Feedstock'!U32-'VO RD Feedstock'!U30</f>
        <v>0</v>
      </c>
      <c r="V31" s="118">
        <f>'Total RD Feedstock'!V32-'VO RD Feedstock'!V30</f>
        <v>0</v>
      </c>
      <c r="W31" s="118">
        <f>'Total RD Feedstock'!W32-'VO RD Feedstock'!W30</f>
        <v>0</v>
      </c>
      <c r="X31" s="118">
        <f>'Total RD Feedstock'!X32-'VO RD Feedstock'!X30</f>
        <v>0</v>
      </c>
      <c r="Y31" s="118">
        <f>'Total RD Feedstock'!AH32-'VO RD Feedstock'!AG30</f>
        <v>0</v>
      </c>
      <c r="Z31" s="118" t="e">
        <f>'Total RD Feedstock'!AI32-'VO RD Feedstock'!AH30</f>
        <v>#VALUE!</v>
      </c>
      <c r="AA31" s="118" t="e">
        <f>'Total RD Feedstock'!AJ32-'VO RD Feedstock'!AI30</f>
        <v>#VALUE!</v>
      </c>
      <c r="AB31" s="118">
        <f>'Total RD Feedstock'!AK32-'VO RD Feedstock'!AJ30</f>
        <v>0</v>
      </c>
      <c r="AC31" s="118">
        <f>'Total RD Feedstock'!AL32-'VO RD Feedstock'!AK30</f>
        <v>122214</v>
      </c>
      <c r="AD31" s="118">
        <f>'Total RD Feedstock'!AM32-'VO RD Feedstock'!AL30</f>
        <v>112502</v>
      </c>
      <c r="AE31" s="118">
        <f>'Total RD Feedstock'!AN32-'VO RD Feedstock'!AM30</f>
        <v>80056</v>
      </c>
      <c r="AF31" s="118">
        <f>'Total RD Feedstock'!AO32-'VO RD Feedstock'!AN30</f>
        <v>130568</v>
      </c>
    </row>
    <row r="32" spans="1:32">
      <c r="A32" s="113" t="s">
        <v>130</v>
      </c>
      <c r="B32" s="13">
        <f>Data!$W4</f>
        <v>8753</v>
      </c>
      <c r="C32" s="13">
        <f>Data!$W16</f>
        <v>5889</v>
      </c>
      <c r="D32" s="13">
        <f>Data!$W28</f>
        <v>3086</v>
      </c>
      <c r="E32" s="13">
        <f>Data!$W40</f>
        <v>3825</v>
      </c>
      <c r="F32" s="13">
        <f>Data!$W52</f>
        <v>4109</v>
      </c>
      <c r="G32" s="13">
        <f>Data!$W64</f>
        <v>3225</v>
      </c>
      <c r="H32" s="119">
        <f>'Total RD Feedstock'!H33-'VO RD Feedstock'!H31</f>
        <v>5137.4368348978605</v>
      </c>
      <c r="I32" s="119">
        <f>'Total RD Feedstock'!I33-'VO RD Feedstock'!I31</f>
        <v>6713.8930542154703</v>
      </c>
      <c r="J32" s="119">
        <f>'Total RD Feedstock'!J33-'VO RD Feedstock'!J31</f>
        <v>6850.8852936762269</v>
      </c>
      <c r="K32" s="119">
        <f>'Total RD Feedstock'!K33-'VO RD Feedstock'!K31</f>
        <v>7303.7604925121268</v>
      </c>
      <c r="L32" s="119">
        <f>'Total RD Feedstock'!L33-'VO RD Feedstock'!L31</f>
        <v>7534.9943383741629</v>
      </c>
      <c r="M32" s="119">
        <f>'Total RD Feedstock'!M33-'VO RD Feedstock'!M31</f>
        <v>7635.5743361208879</v>
      </c>
      <c r="N32" s="119">
        <f>'Total RD Feedstock'!N33-'VO RD Feedstock'!N31</f>
        <v>7840.7850087858969</v>
      </c>
      <c r="O32" s="119">
        <f>'Total RD Feedstock'!O33-'VO RD Feedstock'!O31</f>
        <v>7952.9676561482338</v>
      </c>
      <c r="P32" s="119">
        <f>'Total RD Feedstock'!P33-'VO RD Feedstock'!P31</f>
        <v>8080.8403516563558</v>
      </c>
      <c r="Q32" s="119">
        <f>'Total RD Feedstock'!Q33-'VO RD Feedstock'!Q31</f>
        <v>8224.8612941243045</v>
      </c>
      <c r="R32" s="119">
        <f>'Total RD Feedstock'!R33-'VO RD Feedstock'!R31</f>
        <v>8281.2667991368216</v>
      </c>
      <c r="S32" s="118">
        <f>'Total RD Feedstock'!S33-'VO RD Feedstock'!S31</f>
        <v>0</v>
      </c>
      <c r="T32" s="118">
        <f>'Total RD Feedstock'!T33-'VO RD Feedstock'!T31</f>
        <v>0</v>
      </c>
      <c r="U32" s="118">
        <f>'Total RD Feedstock'!U33-'VO RD Feedstock'!U31</f>
        <v>0</v>
      </c>
      <c r="V32" s="118">
        <f>'Total RD Feedstock'!V33-'VO RD Feedstock'!V31</f>
        <v>0</v>
      </c>
      <c r="W32" s="118">
        <f>'Total RD Feedstock'!W33-'VO RD Feedstock'!W31</f>
        <v>0</v>
      </c>
      <c r="X32" s="118">
        <f>'Total RD Feedstock'!X33-'VO RD Feedstock'!X31</f>
        <v>0</v>
      </c>
      <c r="Y32" s="118">
        <f>'Total RD Feedstock'!AH33-'VO RD Feedstock'!AG31</f>
        <v>0</v>
      </c>
      <c r="Z32" s="118" t="e">
        <f>'Total RD Feedstock'!AI33-'VO RD Feedstock'!AH31</f>
        <v>#VALUE!</v>
      </c>
      <c r="AA32" s="118" t="e">
        <f>'Total RD Feedstock'!AJ33-'VO RD Feedstock'!AI31</f>
        <v>#VALUE!</v>
      </c>
      <c r="AB32" s="118">
        <f>'Total RD Feedstock'!AK33-'VO RD Feedstock'!AJ31</f>
        <v>0</v>
      </c>
      <c r="AC32" s="118">
        <f>'Total RD Feedstock'!AL33-'VO RD Feedstock'!AK31</f>
        <v>117807</v>
      </c>
      <c r="AD32" s="118">
        <f>'Total RD Feedstock'!AM33-'VO RD Feedstock'!AL31</f>
        <v>108710</v>
      </c>
      <c r="AE32" s="118">
        <f>'Total RD Feedstock'!AN33-'VO RD Feedstock'!AM31</f>
        <v>119834</v>
      </c>
      <c r="AF32" s="118">
        <f>'Total RD Feedstock'!AO33-'VO RD Feedstock'!AN31</f>
        <v>126826</v>
      </c>
    </row>
    <row r="33" spans="1:32">
      <c r="A33" s="113" t="s">
        <v>131</v>
      </c>
      <c r="B33" s="13">
        <f>Data!$W5</f>
        <v>10108</v>
      </c>
      <c r="C33" s="13">
        <f>Data!$W17</f>
        <v>6214</v>
      </c>
      <c r="D33" s="13">
        <f>Data!$W29</f>
        <v>3025</v>
      </c>
      <c r="E33" s="13">
        <f>Data!$W41</f>
        <v>4359</v>
      </c>
      <c r="F33" s="13">
        <f>Data!$W53</f>
        <v>5368</v>
      </c>
      <c r="G33" s="119">
        <f>'Total RD Feedstock'!G34-'VO RD Feedstock'!G32</f>
        <v>6417.0806405536277</v>
      </c>
      <c r="H33" s="119">
        <f>'Total RD Feedstock'!H34-'VO RD Feedstock'!H32</f>
        <v>7150.0418176465464</v>
      </c>
      <c r="I33" s="119">
        <f>'Total RD Feedstock'!I34-'VO RD Feedstock'!I32</f>
        <v>10035.141989009368</v>
      </c>
      <c r="J33" s="119">
        <f>'Total RD Feedstock'!J34-'VO RD Feedstock'!J32</f>
        <v>10648.132944719546</v>
      </c>
      <c r="K33" s="119">
        <f>'Total RD Feedstock'!K34-'VO RD Feedstock'!K32</f>
        <v>10865.792844310461</v>
      </c>
      <c r="L33" s="119">
        <f>'Total RD Feedstock'!L34-'VO RD Feedstock'!L32</f>
        <v>11415.628736413375</v>
      </c>
      <c r="M33" s="119">
        <f>'Total RD Feedstock'!M34-'VO RD Feedstock'!M32</f>
        <v>11654.25709797506</v>
      </c>
      <c r="N33" s="119">
        <f>'Total RD Feedstock'!N34-'VO RD Feedstock'!N32</f>
        <v>11864.459716779849</v>
      </c>
      <c r="O33" s="119">
        <f>'Total RD Feedstock'!O34-'VO RD Feedstock'!O32</f>
        <v>12067.36753188583</v>
      </c>
      <c r="P33" s="119">
        <f>'Total RD Feedstock'!P34-'VO RD Feedstock'!P32</f>
        <v>12250.604824213864</v>
      </c>
      <c r="Q33" s="119">
        <f>'Total RD Feedstock'!Q34-'VO RD Feedstock'!Q32</f>
        <v>12448.737252043356</v>
      </c>
      <c r="R33" s="119">
        <f>'Total RD Feedstock'!R34-'VO RD Feedstock'!R32</f>
        <v>12542.353319108486</v>
      </c>
      <c r="S33" s="118">
        <f>'Total RD Feedstock'!S34-'VO RD Feedstock'!S32</f>
        <v>0</v>
      </c>
      <c r="T33" s="118">
        <f>'Total RD Feedstock'!T34-'VO RD Feedstock'!T32</f>
        <v>0</v>
      </c>
      <c r="U33" s="118">
        <f>'Total RD Feedstock'!U34-'VO RD Feedstock'!U32</f>
        <v>0</v>
      </c>
      <c r="V33" s="118">
        <f>'Total RD Feedstock'!V34-'VO RD Feedstock'!V32</f>
        <v>0</v>
      </c>
      <c r="W33" s="118">
        <f>'Total RD Feedstock'!W34-'VO RD Feedstock'!W32</f>
        <v>0</v>
      </c>
      <c r="X33" s="118">
        <f>'Total RD Feedstock'!X34-'VO RD Feedstock'!X32</f>
        <v>0</v>
      </c>
      <c r="Y33" s="118">
        <f>'Total RD Feedstock'!AH34-'VO RD Feedstock'!AG32</f>
        <v>0</v>
      </c>
      <c r="Z33" s="118" t="e">
        <f>'Total RD Feedstock'!AI34-'VO RD Feedstock'!AH32</f>
        <v>#VALUE!</v>
      </c>
      <c r="AA33" s="118" t="e">
        <f>'Total RD Feedstock'!AJ34-'VO RD Feedstock'!AI32</f>
        <v>#VALUE!</v>
      </c>
      <c r="AB33" s="118">
        <f>'Total RD Feedstock'!AK34-'VO RD Feedstock'!AJ32</f>
        <v>73583</v>
      </c>
      <c r="AC33" s="118">
        <f>'Total RD Feedstock'!AL34-'VO RD Feedstock'!AK32</f>
        <v>62667</v>
      </c>
      <c r="AD33" s="118">
        <f>'Total RD Feedstock'!AM34-'VO RD Feedstock'!AL32</f>
        <v>43935</v>
      </c>
      <c r="AE33" s="118">
        <f>'Total RD Feedstock'!AN34-'VO RD Feedstock'!AM32</f>
        <v>74553</v>
      </c>
      <c r="AF33" s="118">
        <f>'Total RD Feedstock'!AO34-'VO RD Feedstock'!AN32</f>
        <v>116699</v>
      </c>
    </row>
    <row r="34" spans="1:32">
      <c r="A34" s="113" t="s">
        <v>132</v>
      </c>
      <c r="B34" s="13">
        <f>Data!$W6</f>
        <v>8047</v>
      </c>
      <c r="C34" s="13">
        <f>Data!$W18</f>
        <v>7895</v>
      </c>
      <c r="D34" s="13">
        <f>Data!$W30</f>
        <v>4317</v>
      </c>
      <c r="E34" s="13">
        <f>Data!$W42</f>
        <v>4213</v>
      </c>
      <c r="F34" s="13">
        <f>Data!$W54</f>
        <v>6407</v>
      </c>
      <c r="G34" s="119">
        <f>'Total RD Feedstock'!G35-'VO RD Feedstock'!G33</f>
        <v>7682.0084356925363</v>
      </c>
      <c r="H34" s="119">
        <f>'Total RD Feedstock'!H35-'VO RD Feedstock'!H33</f>
        <v>8532.9707297378773</v>
      </c>
      <c r="I34" s="119">
        <f>'Total RD Feedstock'!I35-'VO RD Feedstock'!I33</f>
        <v>11791.244215162733</v>
      </c>
      <c r="J34" s="119">
        <f>'Total RD Feedstock'!J35-'VO RD Feedstock'!J33</f>
        <v>12732.801849374111</v>
      </c>
      <c r="K34" s="119">
        <f>'Total RD Feedstock'!K35-'VO RD Feedstock'!K33</f>
        <v>12843.167526839476</v>
      </c>
      <c r="L34" s="119">
        <f>'Total RD Feedstock'!L35-'VO RD Feedstock'!L33</f>
        <v>13525.858333802491</v>
      </c>
      <c r="M34" s="119">
        <f>'Total RD Feedstock'!M35-'VO RD Feedstock'!M33</f>
        <v>13812.168639516516</v>
      </c>
      <c r="N34" s="119">
        <f>'Total RD Feedstock'!N35-'VO RD Feedstock'!N33</f>
        <v>14060.081595072726</v>
      </c>
      <c r="O34" s="119">
        <f>'Total RD Feedstock'!O35-'VO RD Feedstock'!O33</f>
        <v>14305.896465047757</v>
      </c>
      <c r="P34" s="119">
        <f>'Total RD Feedstock'!P35-'VO RD Feedstock'!P33</f>
        <v>14528.064107324986</v>
      </c>
      <c r="Q34" s="119">
        <f>'Total RD Feedstock'!Q35-'VO RD Feedstock'!Q33</f>
        <v>14759.778341933881</v>
      </c>
      <c r="R34" s="119">
        <f>'Total RD Feedstock'!R35-'VO RD Feedstock'!R33</f>
        <v>14869.580460302182</v>
      </c>
      <c r="S34" s="118">
        <f>'Total RD Feedstock'!S35-'VO RD Feedstock'!S33</f>
        <v>0</v>
      </c>
      <c r="T34" s="118">
        <f>'Total RD Feedstock'!T35-'VO RD Feedstock'!T33</f>
        <v>0</v>
      </c>
      <c r="U34" s="118">
        <f>'Total RD Feedstock'!U35-'VO RD Feedstock'!U33</f>
        <v>0</v>
      </c>
      <c r="V34" s="118">
        <f>'Total RD Feedstock'!V35-'VO RD Feedstock'!V33</f>
        <v>0</v>
      </c>
      <c r="W34" s="118">
        <f>'Total RD Feedstock'!W35-'VO RD Feedstock'!W33</f>
        <v>0</v>
      </c>
      <c r="X34" s="118">
        <f>'Total RD Feedstock'!X35-'VO RD Feedstock'!X33</f>
        <v>0</v>
      </c>
      <c r="Y34" s="118">
        <f>'Total RD Feedstock'!AH35-'VO RD Feedstock'!AG33</f>
        <v>0</v>
      </c>
      <c r="Z34" s="118" t="e">
        <f>'Total RD Feedstock'!AI35-'VO RD Feedstock'!AH33</f>
        <v>#VALUE!</v>
      </c>
      <c r="AA34" s="118" t="e">
        <f>'Total RD Feedstock'!AJ35-'VO RD Feedstock'!AI33</f>
        <v>#VALUE!</v>
      </c>
      <c r="AB34" s="118">
        <f>'Total RD Feedstock'!AK35-'VO RD Feedstock'!AJ33</f>
        <v>0</v>
      </c>
      <c r="AC34" s="118">
        <f>'Total RD Feedstock'!AL35-'VO RD Feedstock'!AK33</f>
        <v>345589</v>
      </c>
      <c r="AD34" s="118">
        <f>'Total RD Feedstock'!AM35-'VO RD Feedstock'!AL33</f>
        <v>318060</v>
      </c>
      <c r="AE34" s="118">
        <f>'Total RD Feedstock'!AN35-'VO RD Feedstock'!AM33</f>
        <v>279579</v>
      </c>
      <c r="AF34" s="118">
        <f>'Total RD Feedstock'!AO35-'VO RD Feedstock'!AN33</f>
        <v>373039</v>
      </c>
    </row>
    <row r="35" spans="1:32">
      <c r="A35" s="113" t="s">
        <v>133</v>
      </c>
      <c r="B35" s="13">
        <f>Data!$W7</f>
        <v>8666</v>
      </c>
      <c r="C35" s="13">
        <f>Data!$W19</f>
        <v>7478</v>
      </c>
      <c r="D35" s="13">
        <f>Data!$W31</f>
        <v>2800</v>
      </c>
      <c r="E35" s="13">
        <f>Data!$W43</f>
        <v>5411</v>
      </c>
      <c r="F35" s="13">
        <f>Data!$W55</f>
        <v>6589</v>
      </c>
      <c r="G35" s="119">
        <f>'Total RD Feedstock'!G36-'VO RD Feedstock'!G34</f>
        <v>8202.8250339717488</v>
      </c>
      <c r="H35" s="119">
        <f>'Total RD Feedstock'!H36-'VO RD Feedstock'!H34</f>
        <v>9161.528451232487</v>
      </c>
      <c r="I35" s="119">
        <f>'Total RD Feedstock'!I36-'VO RD Feedstock'!I34</f>
        <v>12630.623981427838</v>
      </c>
      <c r="J35" s="119">
        <f>'Total RD Feedstock'!J36-'VO RD Feedstock'!J34</f>
        <v>13592.414126195334</v>
      </c>
      <c r="K35" s="119">
        <f>'Total RD Feedstock'!K36-'VO RD Feedstock'!K34</f>
        <v>13801.669019735476</v>
      </c>
      <c r="L35" s="119">
        <f>'Total RD Feedstock'!L36-'VO RD Feedstock'!L34</f>
        <v>14475.386264395202</v>
      </c>
      <c r="M35" s="119">
        <f>'Total RD Feedstock'!M36-'VO RD Feedstock'!M34</f>
        <v>14794.879150897759</v>
      </c>
      <c r="N35" s="119">
        <f>'Total RD Feedstock'!N36-'VO RD Feedstock'!N34</f>
        <v>15055.723250730574</v>
      </c>
      <c r="O35" s="119">
        <f>'Total RD Feedstock'!O36-'VO RD Feedstock'!O34</f>
        <v>15314.411558916909</v>
      </c>
      <c r="P35" s="119">
        <f>'Total RD Feedstock'!P36-'VO RD Feedstock'!P34</f>
        <v>15554.264368790406</v>
      </c>
      <c r="Q35" s="119">
        <f>'Total RD Feedstock'!Q36-'VO RD Feedstock'!Q34</f>
        <v>15806.978127472859</v>
      </c>
      <c r="R35" s="119">
        <f>'Total RD Feedstock'!R36-'VO RD Feedstock'!R34</f>
        <v>15924.12184687503</v>
      </c>
      <c r="S35" s="118">
        <f>'Total RD Feedstock'!S36-'VO RD Feedstock'!S34</f>
        <v>0</v>
      </c>
      <c r="T35" s="118">
        <f>'Total RD Feedstock'!T36-'VO RD Feedstock'!T34</f>
        <v>0</v>
      </c>
      <c r="U35" s="118">
        <f>'Total RD Feedstock'!U36-'VO RD Feedstock'!U34</f>
        <v>0</v>
      </c>
      <c r="V35" s="118">
        <f>'Total RD Feedstock'!V36-'VO RD Feedstock'!V34</f>
        <v>0</v>
      </c>
      <c r="W35" s="118">
        <f>'Total RD Feedstock'!W36-'VO RD Feedstock'!W34</f>
        <v>0</v>
      </c>
      <c r="X35" s="118">
        <f>'Total RD Feedstock'!X36-'VO RD Feedstock'!X34</f>
        <v>0</v>
      </c>
      <c r="Y35" s="118">
        <f>'Total RD Feedstock'!AH36-'VO RD Feedstock'!AG34</f>
        <v>0</v>
      </c>
      <c r="Z35" s="118" t="e">
        <f>'Total RD Feedstock'!AI36-'VO RD Feedstock'!AH34</f>
        <v>#VALUE!</v>
      </c>
      <c r="AA35" s="118">
        <f>'Total RD Feedstock'!AJ36-'VO RD Feedstock'!AI34</f>
        <v>-24971.333333333332</v>
      </c>
      <c r="AB35" s="118">
        <f>'Total RD Feedstock'!AK36-'VO RD Feedstock'!AJ34</f>
        <v>0</v>
      </c>
      <c r="AC35" s="118">
        <f>'Total RD Feedstock'!AL36-'VO RD Feedstock'!AK34</f>
        <v>0</v>
      </c>
      <c r="AD35" s="118">
        <f>'Total RD Feedstock'!AM36-'VO RD Feedstock'!AL34</f>
        <v>0</v>
      </c>
      <c r="AE35" s="118">
        <f>'Total RD Feedstock'!AN36-'VO RD Feedstock'!AM34</f>
        <v>0</v>
      </c>
      <c r="AF35" s="118">
        <f>'Total RD Feedstock'!AO36-'VO RD Feedstock'!AN34</f>
        <v>0</v>
      </c>
    </row>
    <row r="36" spans="1:32">
      <c r="A36" s="113" t="s">
        <v>134</v>
      </c>
      <c r="B36" s="13">
        <f>Data!$W8</f>
        <v>9254</v>
      </c>
      <c r="C36" s="13">
        <f>Data!$W20</f>
        <v>8365</v>
      </c>
      <c r="D36" s="13">
        <f>Data!$W32</f>
        <v>3062</v>
      </c>
      <c r="E36" s="13">
        <f>Data!$W44</f>
        <v>6583</v>
      </c>
      <c r="F36" s="13">
        <f>Data!$W56</f>
        <v>6343</v>
      </c>
      <c r="G36" s="119">
        <f>'Total RD Feedstock'!G37-'VO RD Feedstock'!G35</f>
        <v>8146.8880272707029</v>
      </c>
      <c r="H36" s="119">
        <f>'Total RD Feedstock'!H37-'VO RD Feedstock'!H35</f>
        <v>8739.1969515189121</v>
      </c>
      <c r="I36" s="119">
        <f>'Total RD Feedstock'!I37-'VO RD Feedstock'!I35</f>
        <v>12695.642710120621</v>
      </c>
      <c r="J36" s="119">
        <f>'Total RD Feedstock'!J37-'VO RD Feedstock'!J35</f>
        <v>13272.109819172707</v>
      </c>
      <c r="K36" s="119">
        <f>'Total RD Feedstock'!K37-'VO RD Feedstock'!K35</f>
        <v>13671.736959097063</v>
      </c>
      <c r="L36" s="119">
        <f>'Total RD Feedstock'!L37-'VO RD Feedstock'!L35</f>
        <v>14326.553411278146</v>
      </c>
      <c r="M36" s="119">
        <f>'Total RD Feedstock'!M37-'VO RD Feedstock'!M35</f>
        <v>14595.807428758271</v>
      </c>
      <c r="N36" s="119">
        <f>'Total RD Feedstock'!N37-'VO RD Feedstock'!N35</f>
        <v>14853.673160456819</v>
      </c>
      <c r="O36" s="119">
        <f>'Total RD Feedstock'!O37-'VO RD Feedstock'!O35</f>
        <v>15109.180329506256</v>
      </c>
      <c r="P36" s="119">
        <f>'Total RD Feedstock'!P37-'VO RD Feedstock'!P35</f>
        <v>15338.81818712299</v>
      </c>
      <c r="Q36" s="119">
        <f>'Total RD Feedstock'!Q37-'VO RD Feedstock'!Q35</f>
        <v>15597.904465939617</v>
      </c>
      <c r="R36" s="119">
        <f>'Total RD Feedstock'!R37-'VO RD Feedstock'!R35</f>
        <v>15720.243711439165</v>
      </c>
      <c r="S36" s="118">
        <f>'Total RD Feedstock'!S37-'VO RD Feedstock'!S35</f>
        <v>0</v>
      </c>
      <c r="T36" s="118">
        <f>'Total RD Feedstock'!T37-'VO RD Feedstock'!T35</f>
        <v>0</v>
      </c>
      <c r="U36" s="118">
        <f>'Total RD Feedstock'!U37-'VO RD Feedstock'!U35</f>
        <v>0</v>
      </c>
      <c r="V36" s="118">
        <f>'Total RD Feedstock'!V37-'VO RD Feedstock'!V35</f>
        <v>0</v>
      </c>
      <c r="W36" s="118">
        <f>'Total RD Feedstock'!W37-'VO RD Feedstock'!W35</f>
        <v>0</v>
      </c>
      <c r="X36" s="118">
        <f>'Total RD Feedstock'!X37-'VO RD Feedstock'!X35</f>
        <v>0</v>
      </c>
      <c r="Y36" s="118">
        <f>'Total RD Feedstock'!AH37-'VO RD Feedstock'!AG35</f>
        <v>0</v>
      </c>
      <c r="Z36" s="118" t="e">
        <f>'Total RD Feedstock'!AI37-'VO RD Feedstock'!AH35</f>
        <v>#VALUE!</v>
      </c>
      <c r="AA36" s="118" t="e">
        <f>'Total RD Feedstock'!AJ37-'VO RD Feedstock'!AI35</f>
        <v>#VALUE!</v>
      </c>
      <c r="AB36" s="118">
        <f>'Total RD Feedstock'!AK37-'VO RD Feedstock'!AJ35</f>
        <v>0</v>
      </c>
      <c r="AC36" s="118">
        <f>'Total RD Feedstock'!AL37-'VO RD Feedstock'!AK35</f>
        <v>-3.6059698561539566E-2</v>
      </c>
      <c r="AD36" s="118">
        <f>'Total RD Feedstock'!AM37-'VO RD Feedstock'!AL35</f>
        <v>-3.370606744768978E-2</v>
      </c>
      <c r="AE36" s="118">
        <f>'Total RD Feedstock'!AN37-'VO RD Feedstock'!AM35</f>
        <v>0.49687718596982111</v>
      </c>
      <c r="AF36" s="118">
        <f>'Total RD Feedstock'!AO37-'VO RD Feedstock'!AN35</f>
        <v>-2.8659395870351045E-2</v>
      </c>
    </row>
    <row r="37" spans="1:32">
      <c r="A37" s="113" t="s">
        <v>135</v>
      </c>
      <c r="B37" s="13">
        <f>Data!$W9</f>
        <v>13804</v>
      </c>
      <c r="C37" s="13">
        <f>Data!$W21</f>
        <v>7975</v>
      </c>
      <c r="D37" s="13">
        <f>Data!$W33</f>
        <v>2961</v>
      </c>
      <c r="E37" s="13">
        <f>Data!$W45</f>
        <v>6418</v>
      </c>
      <c r="F37" s="13">
        <f>Data!$W57</f>
        <v>5967</v>
      </c>
      <c r="G37" s="119">
        <f>'Total RD Feedstock'!G38-'VO RD Feedstock'!G36</f>
        <v>8729.7325571624096</v>
      </c>
      <c r="H37" s="119">
        <f>'Total RD Feedstock'!H38-'VO RD Feedstock'!H36</f>
        <v>9223.3039567250526</v>
      </c>
      <c r="I37" s="119">
        <f>'Total RD Feedstock'!I38-'VO RD Feedstock'!I36</f>
        <v>13034.61274173102</v>
      </c>
      <c r="J37" s="119">
        <f>'Total RD Feedstock'!J38-'VO RD Feedstock'!J36</f>
        <v>13909.905421735428</v>
      </c>
      <c r="K37" s="119">
        <f>'Total RD Feedstock'!K38-'VO RD Feedstock'!K36</f>
        <v>14121.450366715464</v>
      </c>
      <c r="L37" s="119">
        <f>'Total RD Feedstock'!L38-'VO RD Feedstock'!L36</f>
        <v>14764.983406421263</v>
      </c>
      <c r="M37" s="119">
        <f>'Total RD Feedstock'!M38-'VO RD Feedstock'!M36</f>
        <v>15106.917483470781</v>
      </c>
      <c r="N37" s="119">
        <f>'Total RD Feedstock'!N38-'VO RD Feedstock'!N36</f>
        <v>15378.84634960402</v>
      </c>
      <c r="O37" s="119">
        <f>'Total RD Feedstock'!O38-'VO RD Feedstock'!O36</f>
        <v>15661.441042979597</v>
      </c>
      <c r="P37" s="119">
        <f>'Total RD Feedstock'!P38-'VO RD Feedstock'!P36</f>
        <v>15912.755118926638</v>
      </c>
      <c r="Q37" s="119">
        <f>'Total RD Feedstock'!Q38-'VO RD Feedstock'!Q36</f>
        <v>16167.551074688818</v>
      </c>
      <c r="R37" s="119">
        <f>'Total RD Feedstock'!R38-'VO RD Feedstock'!R36</f>
        <v>16281.732347412471</v>
      </c>
      <c r="S37" s="118">
        <f>'Total RD Feedstock'!S38-'VO RD Feedstock'!S36</f>
        <v>0</v>
      </c>
      <c r="T37" s="118">
        <f>'Total RD Feedstock'!T38-'VO RD Feedstock'!T36</f>
        <v>0</v>
      </c>
      <c r="U37" s="118">
        <f>'Total RD Feedstock'!U38-'VO RD Feedstock'!U36</f>
        <v>0</v>
      </c>
      <c r="V37" s="118">
        <f>'Total RD Feedstock'!V38-'VO RD Feedstock'!V36</f>
        <v>0</v>
      </c>
      <c r="W37" s="118">
        <f>'Total RD Feedstock'!W38-'VO RD Feedstock'!W36</f>
        <v>0</v>
      </c>
      <c r="X37" s="118">
        <f>'Total RD Feedstock'!X38-'VO RD Feedstock'!X36</f>
        <v>0</v>
      </c>
      <c r="Y37" s="118">
        <f>'Total RD Feedstock'!AH38-'VO RD Feedstock'!AG36</f>
        <v>0</v>
      </c>
      <c r="Z37" s="118" t="e">
        <f>'Total RD Feedstock'!AI38-'VO RD Feedstock'!AH36</f>
        <v>#VALUE!</v>
      </c>
      <c r="AA37" s="118">
        <f>'Total RD Feedstock'!AJ38-'VO RD Feedstock'!AI36</f>
        <v>-29380</v>
      </c>
      <c r="AB37" s="118">
        <f>'Total RD Feedstock'!AK38-'VO RD Feedstock'!AJ36</f>
        <v>0</v>
      </c>
      <c r="AC37" s="118">
        <f>'Total RD Feedstock'!AL38-'VO RD Feedstock'!AK36</f>
        <v>-4407</v>
      </c>
      <c r="AD37" s="118">
        <f>'Total RD Feedstock'!AM38-'VO RD Feedstock'!AL36</f>
        <v>-3792</v>
      </c>
      <c r="AE37" s="118">
        <f>'Total RD Feedstock'!AN38-'VO RD Feedstock'!AM36</f>
        <v>39778</v>
      </c>
      <c r="AF37" s="118">
        <f>'Total RD Feedstock'!AO38-'VO RD Feedstock'!AN36</f>
        <v>-3742</v>
      </c>
    </row>
    <row r="38" spans="1:32">
      <c r="A38" s="113" t="s">
        <v>136</v>
      </c>
      <c r="B38" s="13">
        <f>Data!$W10</f>
        <v>12296</v>
      </c>
      <c r="C38" s="13">
        <f>Data!$W22</f>
        <v>6720</v>
      </c>
      <c r="D38" s="13">
        <f>Data!$W34</f>
        <v>2813</v>
      </c>
      <c r="E38" s="13">
        <f>Data!$W46</f>
        <v>6743</v>
      </c>
      <c r="F38" s="13">
        <f>Data!$W58</f>
        <v>6772</v>
      </c>
      <c r="G38" s="119">
        <f>'Total RD Feedstock'!G39-'VO RD Feedstock'!G37</f>
        <v>9811.8353121115942</v>
      </c>
      <c r="H38" s="119">
        <f>'Total RD Feedstock'!H39-'VO RD Feedstock'!H37</f>
        <v>10199.622254978967</v>
      </c>
      <c r="I38" s="119">
        <f>'Total RD Feedstock'!I39-'VO RD Feedstock'!I37</f>
        <v>14221.508464937389</v>
      </c>
      <c r="J38" s="119">
        <f>'Total RD Feedstock'!J39-'VO RD Feedstock'!J37</f>
        <v>15286.822510181257</v>
      </c>
      <c r="K38" s="119">
        <f>'Total RD Feedstock'!K39-'VO RD Feedstock'!K37</f>
        <v>15499.915092800482</v>
      </c>
      <c r="L38" s="119">
        <f>'Total RD Feedstock'!L39-'VO RD Feedstock'!L37</f>
        <v>16289.90904723003</v>
      </c>
      <c r="M38" s="119">
        <f>'Total RD Feedstock'!M39-'VO RD Feedstock'!M37</f>
        <v>16710.878464490408</v>
      </c>
      <c r="N38" s="119">
        <f>'Total RD Feedstock'!N39-'VO RD Feedstock'!N37</f>
        <v>16980.726449615235</v>
      </c>
      <c r="O38" s="119">
        <f>'Total RD Feedstock'!O39-'VO RD Feedstock'!O37</f>
        <v>17273.652724196669</v>
      </c>
      <c r="P38" s="119">
        <f>'Total RD Feedstock'!P39-'VO RD Feedstock'!P37</f>
        <v>17529.43927285017</v>
      </c>
      <c r="Q38" s="119">
        <f>'Total RD Feedstock'!Q39-'VO RD Feedstock'!Q37</f>
        <v>17800.309506226215</v>
      </c>
      <c r="R38" s="119">
        <f>'Total RD Feedstock'!R39-'VO RD Feedstock'!R37</f>
        <v>17935.064087920735</v>
      </c>
      <c r="S38" s="118">
        <f>'Total RD Feedstock'!S39-'VO RD Feedstock'!S37</f>
        <v>0</v>
      </c>
      <c r="T38" s="118">
        <f>'Total RD Feedstock'!T39-'VO RD Feedstock'!T37</f>
        <v>0</v>
      </c>
      <c r="U38" s="118">
        <f>'Total RD Feedstock'!U39-'VO RD Feedstock'!U37</f>
        <v>0</v>
      </c>
      <c r="V38" s="118">
        <f>'Total RD Feedstock'!V39-'VO RD Feedstock'!V37</f>
        <v>0</v>
      </c>
      <c r="W38" s="118">
        <f>'Total RD Feedstock'!W39-'VO RD Feedstock'!W37</f>
        <v>0</v>
      </c>
      <c r="X38" s="118">
        <f>'Total RD Feedstock'!X39-'VO RD Feedstock'!X37</f>
        <v>0</v>
      </c>
      <c r="Y38" s="118">
        <f>'Total RD Feedstock'!AH39-'VO RD Feedstock'!AG37</f>
        <v>0</v>
      </c>
      <c r="Z38" s="118" t="e">
        <f>'Total RD Feedstock'!AI39-'VO RD Feedstock'!AH37</f>
        <v>#VALUE!</v>
      </c>
      <c r="AA38" s="118" t="e">
        <f>'Total RD Feedstock'!AJ39-'VO RD Feedstock'!AI37</f>
        <v>#VALUE!</v>
      </c>
      <c r="AB38" s="118">
        <f>'Total RD Feedstock'!AK39-'VO RD Feedstock'!AJ37</f>
        <v>0</v>
      </c>
      <c r="AC38" s="118" t="e">
        <f>'Total RD Feedstock'!AL39-'VO RD Feedstock'!AK37</f>
        <v>#DIV/0!</v>
      </c>
      <c r="AD38" s="118">
        <f>'Total RD Feedstock'!AM39-'VO RD Feedstock'!AL37</f>
        <v>-7.7219520062475011E-2</v>
      </c>
      <c r="AE38" s="118">
        <f>'Total RD Feedstock'!AN39-'VO RD Feedstock'!AM37</f>
        <v>0.10232729279735064</v>
      </c>
      <c r="AF38" s="118">
        <f>'Total RD Feedstock'!AO39-'VO RD Feedstock'!AN37</f>
        <v>5.8347380543084526E-2</v>
      </c>
    </row>
    <row r="39" spans="1:32">
      <c r="A39" s="113" t="s">
        <v>137</v>
      </c>
      <c r="B39" s="13">
        <f>Data!$W11</f>
        <v>10899</v>
      </c>
      <c r="C39" s="13">
        <f>Data!$W23</f>
        <v>5985</v>
      </c>
      <c r="D39" s="13">
        <f>Data!$W35</f>
        <v>4257</v>
      </c>
      <c r="E39" s="13">
        <f>Data!$W47</f>
        <v>5936</v>
      </c>
      <c r="F39" s="13">
        <f>Data!$W59</f>
        <v>6139</v>
      </c>
      <c r="G39" s="119">
        <f>'Total RD Feedstock'!G40-'VO RD Feedstock'!G38</f>
        <v>8573.9665108446934</v>
      </c>
      <c r="H39" s="119">
        <f>'Total RD Feedstock'!H40-'VO RD Feedstock'!H38</f>
        <v>8939.777981787629</v>
      </c>
      <c r="I39" s="119">
        <f>'Total RD Feedstock'!I40-'VO RD Feedstock'!I38</f>
        <v>12880.098218825733</v>
      </c>
      <c r="J39" s="119">
        <f>'Total RD Feedstock'!J40-'VO RD Feedstock'!J38</f>
        <v>13689.123476179695</v>
      </c>
      <c r="K39" s="119">
        <f>'Total RD Feedstock'!K40-'VO RD Feedstock'!K38</f>
        <v>13905.897721687215</v>
      </c>
      <c r="L39" s="119">
        <f>'Total RD Feedstock'!L40-'VO RD Feedstock'!L38</f>
        <v>14580.544893157145</v>
      </c>
      <c r="M39" s="119">
        <f>'Total RD Feedstock'!M40-'VO RD Feedstock'!M38</f>
        <v>14882.802957852022</v>
      </c>
      <c r="N39" s="119">
        <f>'Total RD Feedstock'!N40-'VO RD Feedstock'!N38</f>
        <v>15143.036650140479</v>
      </c>
      <c r="O39" s="119">
        <f>'Total RD Feedstock'!O40-'VO RD Feedstock'!O38</f>
        <v>15420.00216867571</v>
      </c>
      <c r="P39" s="119">
        <f>'Total RD Feedstock'!P40-'VO RD Feedstock'!P38</f>
        <v>15665.403486675234</v>
      </c>
      <c r="Q39" s="119">
        <f>'Total RD Feedstock'!Q40-'VO RD Feedstock'!Q38</f>
        <v>15921.869321755279</v>
      </c>
      <c r="R39" s="119">
        <f>'Total RD Feedstock'!R40-'VO RD Feedstock'!R38</f>
        <v>16040.128193999146</v>
      </c>
      <c r="S39" s="118">
        <f>'Total RD Feedstock'!S40-'VO RD Feedstock'!S38</f>
        <v>0</v>
      </c>
      <c r="T39" s="118">
        <f>'Total RD Feedstock'!T40-'VO RD Feedstock'!T38</f>
        <v>0</v>
      </c>
      <c r="U39" s="118">
        <f>'Total RD Feedstock'!U40-'VO RD Feedstock'!U38</f>
        <v>0</v>
      </c>
      <c r="V39" s="118">
        <f>'Total RD Feedstock'!V40-'VO RD Feedstock'!V38</f>
        <v>0</v>
      </c>
      <c r="W39" s="118">
        <f>'Total RD Feedstock'!W40-'VO RD Feedstock'!W38</f>
        <v>0</v>
      </c>
      <c r="X39" s="118">
        <f>'Total RD Feedstock'!X40-'VO RD Feedstock'!X38</f>
        <v>0</v>
      </c>
      <c r="Y39" s="118">
        <f>'Total RD Feedstock'!AH40-'VO RD Feedstock'!AG38</f>
        <v>0</v>
      </c>
      <c r="Z39" s="118" t="e">
        <f>'Total RD Feedstock'!AI40-'VO RD Feedstock'!AH38</f>
        <v>#VALUE!</v>
      </c>
      <c r="AA39" s="118">
        <f>'Total RD Feedstock'!AJ40-'VO RD Feedstock'!AI38</f>
        <v>-29998</v>
      </c>
      <c r="AB39" s="118">
        <f>'Total RD Feedstock'!AK40-'VO RD Feedstock'!AJ38</f>
        <v>0</v>
      </c>
      <c r="AC39" s="118">
        <f>'Total RD Feedstock'!AL40-'VO RD Feedstock'!AK38</f>
        <v>117807</v>
      </c>
      <c r="AD39" s="118">
        <f>'Total RD Feedstock'!AM40-'VO RD Feedstock'!AL38</f>
        <v>-9097</v>
      </c>
      <c r="AE39" s="118">
        <f>'Total RD Feedstock'!AN40-'VO RD Feedstock'!AM38</f>
        <v>11124</v>
      </c>
      <c r="AF39" s="118">
        <f>'Total RD Feedstock'!AO40-'VO RD Feedstock'!AN38</f>
        <v>6992</v>
      </c>
    </row>
    <row r="40" spans="1:32">
      <c r="A40" s="113" t="s">
        <v>138</v>
      </c>
      <c r="B40" s="13">
        <f>Data!$W12</f>
        <v>10929</v>
      </c>
      <c r="C40" s="13">
        <f>Data!$W24</f>
        <v>5657</v>
      </c>
      <c r="D40" s="13">
        <f>Data!$W36</f>
        <v>4760</v>
      </c>
      <c r="E40" s="13">
        <f>Data!$W48</f>
        <v>4975</v>
      </c>
      <c r="F40" s="13">
        <f>Data!$W60</f>
        <v>5116</v>
      </c>
      <c r="G40" s="119">
        <f>'Total RD Feedstock'!G41-'VO RD Feedstock'!G39</f>
        <v>8215.2833792777674</v>
      </c>
      <c r="H40" s="119">
        <f>'Total RD Feedstock'!H41-'VO RD Feedstock'!H39</f>
        <v>8529.82951187453</v>
      </c>
      <c r="I40" s="119">
        <f>'Total RD Feedstock'!I41-'VO RD Feedstock'!I39</f>
        <v>11387.839221718779</v>
      </c>
      <c r="J40" s="119">
        <f>'Total RD Feedstock'!J41-'VO RD Feedstock'!J39</f>
        <v>12824.956359756849</v>
      </c>
      <c r="K40" s="119">
        <f>'Total RD Feedstock'!K41-'VO RD Feedstock'!K39</f>
        <v>12754.999160972104</v>
      </c>
      <c r="L40" s="119">
        <f>'Total RD Feedstock'!L41-'VO RD Feedstock'!L39</f>
        <v>13413.174468397134</v>
      </c>
      <c r="M40" s="119">
        <f>'Total RD Feedstock'!M41-'VO RD Feedstock'!M39</f>
        <v>13765.96356724776</v>
      </c>
      <c r="N40" s="119">
        <f>'Total RD Feedstock'!N41-'VO RD Feedstock'!N39</f>
        <v>13952.342487379676</v>
      </c>
      <c r="O40" s="119">
        <f>'Total RD Feedstock'!O41-'VO RD Feedstock'!O39</f>
        <v>14200.786895069585</v>
      </c>
      <c r="P40" s="119">
        <f>'Total RD Feedstock'!P41-'VO RD Feedstock'!P39</f>
        <v>14433.345492728578</v>
      </c>
      <c r="Q40" s="119">
        <f>'Total RD Feedstock'!Q41-'VO RD Feedstock'!Q39</f>
        <v>14657.573881520482</v>
      </c>
      <c r="R40" s="119">
        <f>'Total RD Feedstock'!R41-'VO RD Feedstock'!R39</f>
        <v>14775.479393046582</v>
      </c>
      <c r="S40" s="118">
        <f>'Total RD Feedstock'!S41-'VO RD Feedstock'!S39</f>
        <v>0</v>
      </c>
      <c r="T40" s="118">
        <f>'Total RD Feedstock'!T41-'VO RD Feedstock'!T39</f>
        <v>0</v>
      </c>
      <c r="U40" s="118">
        <f>'Total RD Feedstock'!U41-'VO RD Feedstock'!U39</f>
        <v>0</v>
      </c>
      <c r="V40" s="118">
        <f>'Total RD Feedstock'!V41-'VO RD Feedstock'!V39</f>
        <v>0</v>
      </c>
      <c r="W40" s="118">
        <f>'Total RD Feedstock'!W41-'VO RD Feedstock'!W39</f>
        <v>0</v>
      </c>
      <c r="X40" s="118">
        <f>'Total RD Feedstock'!X41-'VO RD Feedstock'!X39</f>
        <v>0</v>
      </c>
      <c r="Y40" s="118">
        <f>'Total RD Feedstock'!AH41-'VO RD Feedstock'!AG39</f>
        <v>0</v>
      </c>
      <c r="Z40" s="118" t="e">
        <f>'Total RD Feedstock'!AI41-'VO RD Feedstock'!AH39</f>
        <v>#VALUE!</v>
      </c>
      <c r="AA40" s="118" t="e">
        <f>'Total RD Feedstock'!AJ41-'VO RD Feedstock'!AI39</f>
        <v>#VALUE!</v>
      </c>
      <c r="AB40" s="118">
        <f>'Total RD Feedstock'!AK41-'VO RD Feedstock'!AJ39</f>
        <v>0</v>
      </c>
      <c r="AC40" s="118" t="e">
        <f>'Total RD Feedstock'!AL41-'VO RD Feedstock'!AK39</f>
        <v>#DIV/0!</v>
      </c>
      <c r="AD40" s="118">
        <f>'Total RD Feedstock'!AM41-'VO RD Feedstock'!AL39</f>
        <v>-7.9658206713755342E-2</v>
      </c>
      <c r="AE40" s="118">
        <f>'Total RD Feedstock'!AN41-'VO RD Feedstock'!AM39</f>
        <v>-0.12098660630069802</v>
      </c>
      <c r="AF40" s="118">
        <f>'Total RD Feedstock'!AO41-'VO RD Feedstock'!AN39</f>
        <v>0.33428834068367075</v>
      </c>
    </row>
    <row r="41" spans="1:32">
      <c r="A41" s="113" t="s">
        <v>139</v>
      </c>
      <c r="B41" s="13">
        <f>Data!$W13</f>
        <v>12601</v>
      </c>
      <c r="C41" s="13">
        <f>Data!$W25</f>
        <v>6022</v>
      </c>
      <c r="D41" s="13">
        <f>Data!$W37</f>
        <v>4316</v>
      </c>
      <c r="E41" s="13">
        <f>Data!$W49</f>
        <v>5784</v>
      </c>
      <c r="F41" s="13">
        <f>Data!$W61</f>
        <v>5586</v>
      </c>
      <c r="G41" s="119">
        <f>'Total RD Feedstock'!G42-'VO RD Feedstock'!G40</f>
        <v>8802.0344819092425</v>
      </c>
      <c r="H41" s="119">
        <f>'Total RD Feedstock'!H42-'VO RD Feedstock'!H40</f>
        <v>9146.4224864278513</v>
      </c>
      <c r="I41" s="119">
        <f>'Total RD Feedstock'!I42-'VO RD Feedstock'!I40</f>
        <v>12343.902779059077</v>
      </c>
      <c r="J41" s="119">
        <f>'Total RD Feedstock'!J42-'VO RD Feedstock'!J40</f>
        <v>13608.745360832749</v>
      </c>
      <c r="K41" s="119">
        <f>'Total RD Feedstock'!K42-'VO RD Feedstock'!K40</f>
        <v>13621.779675776401</v>
      </c>
      <c r="L41" s="119">
        <f>'Total RD Feedstock'!L42-'VO RD Feedstock'!L40</f>
        <v>14314.562540678628</v>
      </c>
      <c r="M41" s="119">
        <f>'Total RD Feedstock'!M42-'VO RD Feedstock'!M40</f>
        <v>14729.78727764709</v>
      </c>
      <c r="N41" s="119">
        <f>'Total RD Feedstock'!N42-'VO RD Feedstock'!N40</f>
        <v>14956.473969903134</v>
      </c>
      <c r="O41" s="119">
        <f>'Total RD Feedstock'!O42-'VO RD Feedstock'!O40</f>
        <v>15214.361925583187</v>
      </c>
      <c r="P41" s="119">
        <f>'Total RD Feedstock'!P42-'VO RD Feedstock'!P40</f>
        <v>15456.16160828172</v>
      </c>
      <c r="Q41" s="119">
        <f>'Total RD Feedstock'!Q42-'VO RD Feedstock'!Q40</f>
        <v>15683.076978326193</v>
      </c>
      <c r="R41" s="119">
        <f>'Total RD Feedstock'!R42-'VO RD Feedstock'!R40</f>
        <v>15799.061206035723</v>
      </c>
      <c r="S41" s="118">
        <f>'Total RD Feedstock'!S42-'VO RD Feedstock'!S40</f>
        <v>0</v>
      </c>
      <c r="T41" s="118">
        <f>'Total RD Feedstock'!T42-'VO RD Feedstock'!T40</f>
        <v>0</v>
      </c>
      <c r="U41" s="118">
        <f>'Total RD Feedstock'!U42-'VO RD Feedstock'!U40</f>
        <v>0</v>
      </c>
      <c r="V41" s="118">
        <f>'Total RD Feedstock'!V42-'VO RD Feedstock'!V40</f>
        <v>0</v>
      </c>
      <c r="W41" s="118">
        <f>'Total RD Feedstock'!W42-'VO RD Feedstock'!W40</f>
        <v>0</v>
      </c>
      <c r="X41" s="118">
        <f>'Total RD Feedstock'!X42-'VO RD Feedstock'!X40</f>
        <v>0</v>
      </c>
      <c r="Y41" s="118">
        <f>'Total RD Feedstock'!AH42-'VO RD Feedstock'!AG40</f>
        <v>0</v>
      </c>
      <c r="Z41" s="118" t="e">
        <f>'Total RD Feedstock'!AI42-'VO RD Feedstock'!AH40</f>
        <v>#VALUE!</v>
      </c>
      <c r="AA41" s="118">
        <f>'Total RD Feedstock'!AJ42-'VO RD Feedstock'!AI40</f>
        <v>-33220.333333333336</v>
      </c>
      <c r="AB41" s="118">
        <f>'Total RD Feedstock'!AK42-'VO RD Feedstock'!AJ40</f>
        <v>0</v>
      </c>
      <c r="AC41" s="118">
        <f>'Total RD Feedstock'!AL42-'VO RD Feedstock'!AK40</f>
        <v>345589</v>
      </c>
      <c r="AD41" s="118">
        <f>'Total RD Feedstock'!AM42-'VO RD Feedstock'!AL40</f>
        <v>-27529</v>
      </c>
      <c r="AE41" s="118">
        <f>'Total RD Feedstock'!AN42-'VO RD Feedstock'!AM40</f>
        <v>-38481</v>
      </c>
      <c r="AF41" s="118">
        <f>'Total RD Feedstock'!AO42-'VO RD Feedstock'!AN40</f>
        <v>93460</v>
      </c>
    </row>
    <row r="42" spans="1:32">
      <c r="A42" s="113" t="s">
        <v>140</v>
      </c>
      <c r="B42" s="13">
        <f>Data!$W14</f>
        <v>10318</v>
      </c>
      <c r="C42" s="13">
        <f>Data!$W26</f>
        <v>6324</v>
      </c>
      <c r="D42" s="13">
        <f>Data!$W38</f>
        <v>3872</v>
      </c>
      <c r="E42" s="13">
        <f>Data!$W50</f>
        <v>5301</v>
      </c>
      <c r="F42" s="13">
        <f>Data!$W62</f>
        <v>2360</v>
      </c>
      <c r="G42" s="119">
        <f>'Total RD Feedstock'!G43-'VO RD Feedstock'!G41</f>
        <v>8611.2091361279308</v>
      </c>
      <c r="H42" s="119">
        <f>'Total RD Feedstock'!H43-'VO RD Feedstock'!H41</f>
        <v>6484.3040283336595</v>
      </c>
      <c r="I42" s="119">
        <f>'Total RD Feedstock'!I43-'VO RD Feedstock'!I41</f>
        <v>9956.586651604186</v>
      </c>
      <c r="J42" s="119">
        <f>'Total RD Feedstock'!J43-'VO RD Feedstock'!J41</f>
        <v>11043.01152694755</v>
      </c>
      <c r="K42" s="119">
        <f>'Total RD Feedstock'!K43-'VO RD Feedstock'!K41</f>
        <v>10902.049740327813</v>
      </c>
      <c r="L42" s="119">
        <f>'Total RD Feedstock'!L43-'VO RD Feedstock'!L41</f>
        <v>11466.272465262766</v>
      </c>
      <c r="M42" s="119">
        <f>'Total RD Feedstock'!M43-'VO RD Feedstock'!M41</f>
        <v>11836.228782381571</v>
      </c>
      <c r="N42" s="119">
        <f>'Total RD Feedstock'!N43-'VO RD Feedstock'!N41</f>
        <v>11920.675749776885</v>
      </c>
      <c r="O42" s="119">
        <f>'Total RD Feedstock'!O43-'VO RD Feedstock'!O41</f>
        <v>12170.671151004906</v>
      </c>
      <c r="P42" s="119">
        <f>'Total RD Feedstock'!P43-'VO RD Feedstock'!P41</f>
        <v>12366.636353060603</v>
      </c>
      <c r="Q42" s="119">
        <f>'Total RD Feedstock'!Q43-'VO RD Feedstock'!Q41</f>
        <v>12556.43359627953</v>
      </c>
      <c r="R42" s="119">
        <f>'Total RD Feedstock'!R43-'VO RD Feedstock'!R41</f>
        <v>12660.295988987607</v>
      </c>
      <c r="S42" s="118">
        <f>'Total RD Feedstock'!S43-'VO RD Feedstock'!S41</f>
        <v>0</v>
      </c>
      <c r="T42" s="118">
        <f>'Total RD Feedstock'!T43-'VO RD Feedstock'!T41</f>
        <v>0</v>
      </c>
      <c r="U42" s="118">
        <f>'Total RD Feedstock'!U43-'VO RD Feedstock'!U41</f>
        <v>0</v>
      </c>
      <c r="V42" s="118">
        <f>'Total RD Feedstock'!V43-'VO RD Feedstock'!V41</f>
        <v>0</v>
      </c>
      <c r="W42" s="118">
        <f>'Total RD Feedstock'!W43-'VO RD Feedstock'!W41</f>
        <v>0</v>
      </c>
      <c r="X42" s="118">
        <f>'Total RD Feedstock'!X43-'VO RD Feedstock'!X41</f>
        <v>0</v>
      </c>
      <c r="Y42" s="118">
        <f>'Total RD Feedstock'!AH43-'VO RD Feedstock'!AG41</f>
        <v>0</v>
      </c>
      <c r="Z42" s="118" t="e">
        <f>'Total RD Feedstock'!AI43-'VO RD Feedstock'!AH41</f>
        <v>#VALUE!</v>
      </c>
      <c r="AA42" s="118">
        <f>'Total RD Feedstock'!AJ43-'VO RD Feedstock'!AI41</f>
        <v>-31646.666666666668</v>
      </c>
      <c r="AB42" s="118">
        <f>'Total RD Feedstock'!AK43-'VO RD Feedstock'!AJ41</f>
        <v>0</v>
      </c>
      <c r="AC42" s="118">
        <f>'Total RD Feedstock'!AL43-'VO RD Feedstock'!AK41</f>
        <v>0</v>
      </c>
      <c r="AD42" s="118">
        <f>'Total RD Feedstock'!AM43-'VO RD Feedstock'!AL41</f>
        <v>0</v>
      </c>
      <c r="AE42" s="118">
        <f>'Total RD Feedstock'!AN43-'VO RD Feedstock'!AM41</f>
        <v>0</v>
      </c>
      <c r="AF42" s="118">
        <f>'Total RD Feedstock'!AO43-'VO RD Feedstock'!AN41</f>
        <v>0</v>
      </c>
    </row>
    <row r="43" spans="1:32" ht="12" thickBot="1">
      <c r="A43" s="113" t="s">
        <v>141</v>
      </c>
      <c r="B43" s="13">
        <f t="shared" ref="B43:H43" si="2">SUM(B31:B42)</f>
        <v>125063</v>
      </c>
      <c r="C43" s="13">
        <f>SUM(C31:C42)</f>
        <v>81665</v>
      </c>
      <c r="D43" s="13">
        <f>SUM(D31:D42)</f>
        <v>43502</v>
      </c>
      <c r="E43" s="13">
        <f>SUM(E31:E42)</f>
        <v>63465</v>
      </c>
      <c r="F43" s="13">
        <f>SUM(F31:F42)</f>
        <v>65474</v>
      </c>
      <c r="G43" s="119">
        <f t="shared" si="2"/>
        <v>88398.863514922254</v>
      </c>
      <c r="H43" s="119">
        <f t="shared" si="2"/>
        <v>95650.825453288591</v>
      </c>
      <c r="I43" s="119">
        <f t="shared" ref="I43:AF43" si="3">SUM(I31:I42)</f>
        <v>132332.17560076888</v>
      </c>
      <c r="J43" s="119">
        <f t="shared" si="3"/>
        <v>142952.31885790089</v>
      </c>
      <c r="K43" s="119">
        <f t="shared" si="3"/>
        <v>144796.85851345916</v>
      </c>
      <c r="L43" s="119">
        <f t="shared" si="3"/>
        <v>152014.39384878316</v>
      </c>
      <c r="M43" s="119">
        <f t="shared" si="3"/>
        <v>155500.25178038661</v>
      </c>
      <c r="N43" s="119">
        <f t="shared" si="3"/>
        <v>158089.92075325531</v>
      </c>
      <c r="O43" s="119">
        <f t="shared" si="3"/>
        <v>160827.22187046334</v>
      </c>
      <c r="P43" s="119">
        <f t="shared" si="3"/>
        <v>163353.59871767677</v>
      </c>
      <c r="Q43" s="119">
        <f t="shared" si="3"/>
        <v>165958.2417513383</v>
      </c>
      <c r="R43" s="119">
        <f t="shared" si="3"/>
        <v>167227.98656866705</v>
      </c>
      <c r="S43" s="118">
        <f t="shared" si="3"/>
        <v>0</v>
      </c>
      <c r="T43" s="118">
        <f t="shared" si="3"/>
        <v>0</v>
      </c>
      <c r="U43" s="118">
        <f t="shared" si="3"/>
        <v>0</v>
      </c>
      <c r="V43" s="118">
        <f t="shared" si="3"/>
        <v>0</v>
      </c>
      <c r="W43" s="118">
        <f t="shared" si="3"/>
        <v>0</v>
      </c>
      <c r="X43" s="118">
        <f t="shared" si="3"/>
        <v>0</v>
      </c>
      <c r="Y43" s="118">
        <f t="shared" si="3"/>
        <v>0</v>
      </c>
      <c r="Z43" s="118" t="e">
        <f t="shared" si="3"/>
        <v>#VALUE!</v>
      </c>
      <c r="AA43" s="118" t="e">
        <f t="shared" si="3"/>
        <v>#VALUE!</v>
      </c>
      <c r="AB43" s="118">
        <f t="shared" si="3"/>
        <v>73583</v>
      </c>
      <c r="AC43" s="118" t="e">
        <f t="shared" si="3"/>
        <v>#DIV/0!</v>
      </c>
      <c r="AD43" s="118">
        <f t="shared" si="3"/>
        <v>542788.80941620574</v>
      </c>
      <c r="AE43" s="118">
        <f t="shared" si="3"/>
        <v>566443.47821787244</v>
      </c>
      <c r="AF43" s="118">
        <f t="shared" si="3"/>
        <v>843842.36397632526</v>
      </c>
    </row>
    <row r="44" spans="1:32">
      <c r="A44" s="199"/>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199"/>
      <c r="AF44" s="199"/>
    </row>
    <row r="45" spans="1:32" ht="12" thickBot="1">
      <c r="A45" s="138" t="s">
        <v>145</v>
      </c>
    </row>
    <row r="46" spans="1:32" ht="12" thickBot="1">
      <c r="A46" s="176"/>
      <c r="B46" s="177">
        <f t="shared" ref="B46:AF46" si="4">B3</f>
        <v>2020</v>
      </c>
      <c r="C46" s="177">
        <f t="shared" si="4"/>
        <v>2021</v>
      </c>
      <c r="D46" s="177">
        <f t="shared" si="4"/>
        <v>2022</v>
      </c>
      <c r="E46" s="177">
        <f t="shared" si="4"/>
        <v>2023</v>
      </c>
      <c r="F46" s="177">
        <f t="shared" si="4"/>
        <v>2024</v>
      </c>
      <c r="G46" s="177">
        <f t="shared" si="4"/>
        <v>2025</v>
      </c>
      <c r="H46" s="177">
        <f t="shared" si="4"/>
        <v>2026</v>
      </c>
      <c r="I46" s="177">
        <f t="shared" si="4"/>
        <v>2027</v>
      </c>
      <c r="J46" s="177">
        <f t="shared" si="4"/>
        <v>2028</v>
      </c>
      <c r="K46" s="177">
        <f t="shared" si="4"/>
        <v>2029</v>
      </c>
      <c r="L46" s="177">
        <f t="shared" si="4"/>
        <v>2030</v>
      </c>
      <c r="M46" s="177">
        <f t="shared" si="4"/>
        <v>2031</v>
      </c>
      <c r="N46" s="177">
        <f t="shared" si="4"/>
        <v>2032</v>
      </c>
      <c r="O46" s="177">
        <f t="shared" si="4"/>
        <v>2033</v>
      </c>
      <c r="P46" s="177">
        <f t="shared" si="4"/>
        <v>2034</v>
      </c>
      <c r="Q46" s="177">
        <f t="shared" si="4"/>
        <v>2035</v>
      </c>
      <c r="R46" s="177">
        <f t="shared" si="4"/>
        <v>2036</v>
      </c>
      <c r="S46" s="177">
        <f t="shared" si="4"/>
        <v>2037</v>
      </c>
      <c r="T46" s="177">
        <f t="shared" si="4"/>
        <v>2038</v>
      </c>
      <c r="U46" s="177">
        <f t="shared" si="4"/>
        <v>2039</v>
      </c>
      <c r="V46" s="177">
        <f t="shared" si="4"/>
        <v>2040</v>
      </c>
      <c r="W46" s="177">
        <f t="shared" si="4"/>
        <v>2041</v>
      </c>
      <c r="X46" s="177">
        <f t="shared" si="4"/>
        <v>2042</v>
      </c>
      <c r="Y46" s="177">
        <f t="shared" si="4"/>
        <v>2043</v>
      </c>
      <c r="Z46" s="177">
        <f t="shared" si="4"/>
        <v>2044</v>
      </c>
      <c r="AA46" s="177">
        <f t="shared" si="4"/>
        <v>2045</v>
      </c>
      <c r="AB46" s="177">
        <f t="shared" si="4"/>
        <v>2046</v>
      </c>
      <c r="AC46" s="177">
        <f t="shared" si="4"/>
        <v>2047</v>
      </c>
      <c r="AD46" s="177">
        <f t="shared" si="4"/>
        <v>2048</v>
      </c>
      <c r="AE46" s="177">
        <f t="shared" si="4"/>
        <v>2049</v>
      </c>
      <c r="AF46" s="177">
        <f t="shared" si="4"/>
        <v>2050</v>
      </c>
    </row>
    <row r="47" spans="1:32">
      <c r="A47" s="113" t="s">
        <v>129</v>
      </c>
      <c r="B47" s="13">
        <f>Data!$AP3</f>
        <v>-17</v>
      </c>
      <c r="C47" s="13">
        <f>Data!$AP15</f>
        <v>430</v>
      </c>
      <c r="D47" s="13">
        <f>Data!$AP27</f>
        <v>9</v>
      </c>
      <c r="E47" s="13">
        <f>Data!$AP39</f>
        <v>16</v>
      </c>
      <c r="F47" s="13">
        <f>Data!$AP51</f>
        <v>-207</v>
      </c>
      <c r="G47" s="13">
        <f>Data!$AP63</f>
        <v>-34</v>
      </c>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c r="A48" s="113" t="s">
        <v>130</v>
      </c>
      <c r="B48" s="13">
        <f>Data!$AP4</f>
        <v>16</v>
      </c>
      <c r="C48" s="13">
        <f>Data!$AP16</f>
        <v>126</v>
      </c>
      <c r="D48" s="13">
        <f>Data!$AP28</f>
        <v>42</v>
      </c>
      <c r="E48" s="13">
        <f>Data!$AP40</f>
        <v>9</v>
      </c>
      <c r="F48" s="13">
        <f>Data!$AP52</f>
        <v>149</v>
      </c>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c r="A49" s="113" t="s">
        <v>131</v>
      </c>
      <c r="B49" s="13">
        <f>Data!$AP5</f>
        <v>-165</v>
      </c>
      <c r="C49" s="13">
        <f>Data!$AP17</f>
        <v>-15</v>
      </c>
      <c r="D49" s="13">
        <f>Data!$AP29</f>
        <v>-24</v>
      </c>
      <c r="E49" s="13">
        <f>Data!$AP41</f>
        <v>5</v>
      </c>
      <c r="F49" s="13">
        <f>Data!$AP53</f>
        <v>12</v>
      </c>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c r="A50" s="113" t="s">
        <v>132</v>
      </c>
      <c r="B50" s="13">
        <f>Data!$AP6</f>
        <v>-146</v>
      </c>
      <c r="C50" s="13">
        <f>Data!$AP18</f>
        <v>-137</v>
      </c>
      <c r="D50" s="13">
        <f>Data!$AP30</f>
        <v>-16</v>
      </c>
      <c r="E50" s="13">
        <f>Data!$AP42</f>
        <v>9</v>
      </c>
      <c r="F50" s="13">
        <f>Data!$AP54</f>
        <v>-60</v>
      </c>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c r="A51" s="113" t="s">
        <v>133</v>
      </c>
      <c r="B51" s="13">
        <f>Data!$AP7</f>
        <v>-327</v>
      </c>
      <c r="C51" s="13">
        <f>Data!$AP19</f>
        <v>-66</v>
      </c>
      <c r="D51" s="13">
        <f>Data!$AP31</f>
        <v>3</v>
      </c>
      <c r="E51" s="13">
        <f>Data!$AP43</f>
        <v>235</v>
      </c>
      <c r="F51" s="13">
        <f>Data!$AP55</f>
        <v>-48</v>
      </c>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c r="A52" s="113" t="s">
        <v>134</v>
      </c>
      <c r="B52" s="13">
        <f>Data!$AP8</f>
        <v>20</v>
      </c>
      <c r="C52" s="13">
        <f>Data!$AP20</f>
        <v>-66</v>
      </c>
      <c r="D52" s="13">
        <f>Data!$AP32</f>
        <v>-1</v>
      </c>
      <c r="E52" s="13">
        <f>Data!$AP44</f>
        <v>-183</v>
      </c>
      <c r="F52" s="13">
        <f>Data!$AP56</f>
        <v>61</v>
      </c>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c r="A53" s="113" t="s">
        <v>135</v>
      </c>
      <c r="B53" s="13">
        <f>Data!$AP9</f>
        <v>1570</v>
      </c>
      <c r="C53" s="13">
        <f>Data!$AP21</f>
        <v>-42</v>
      </c>
      <c r="D53" s="13">
        <f>Data!$AP33</f>
        <v>-2</v>
      </c>
      <c r="E53" s="13">
        <f>Data!$AP45</f>
        <v>-52</v>
      </c>
      <c r="F53" s="13">
        <f>Data!$AP57</f>
        <v>-9</v>
      </c>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c r="A54" s="113" t="s">
        <v>136</v>
      </c>
      <c r="B54" s="13">
        <f>Data!$AP10</f>
        <v>789</v>
      </c>
      <c r="C54" s="13">
        <f>Data!$AP22</f>
        <v>-9</v>
      </c>
      <c r="D54" s="13">
        <f>Data!$AP34</f>
        <v>-8</v>
      </c>
      <c r="E54" s="13">
        <f>Data!$AP46</f>
        <v>-64</v>
      </c>
      <c r="F54" s="13">
        <f>Data!$AP58</f>
        <v>31</v>
      </c>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c r="A55" s="113" t="s">
        <v>137</v>
      </c>
      <c r="B55" s="13">
        <f>Data!$AP11</f>
        <v>841</v>
      </c>
      <c r="C55" s="13">
        <f>Data!$AP23</f>
        <v>170</v>
      </c>
      <c r="D55" s="13">
        <f>Data!$AP35</f>
        <v>-3</v>
      </c>
      <c r="E55" s="13">
        <f>Data!$AP47</f>
        <v>-401</v>
      </c>
      <c r="F55" s="13">
        <f>Data!$AP59</f>
        <v>17</v>
      </c>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c r="A56" s="113" t="s">
        <v>138</v>
      </c>
      <c r="B56" s="13">
        <f>Data!$AP12</f>
        <v>884</v>
      </c>
      <c r="C56" s="13">
        <f>Data!$AP24</f>
        <v>35</v>
      </c>
      <c r="D56" s="13">
        <f>Data!$AP36</f>
        <v>-11</v>
      </c>
      <c r="E56" s="13">
        <f>Data!$AP48</f>
        <v>-332</v>
      </c>
      <c r="F56" s="13">
        <f>Data!$AP60</f>
        <v>-88</v>
      </c>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c r="A57" s="113" t="s">
        <v>139</v>
      </c>
      <c r="B57" s="13">
        <f>Data!$AP13</f>
        <v>601</v>
      </c>
      <c r="C57" s="13">
        <f>Data!$AP25</f>
        <v>-8</v>
      </c>
      <c r="D57" s="13">
        <f>Data!$AP37</f>
        <v>1</v>
      </c>
      <c r="E57" s="13">
        <f>Data!$AP49</f>
        <v>60</v>
      </c>
      <c r="F57" s="13">
        <f>Data!$AP61</f>
        <v>70</v>
      </c>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c r="A58" s="113" t="s">
        <v>140</v>
      </c>
      <c r="B58" s="13">
        <f>Data!$AP14</f>
        <v>-601</v>
      </c>
      <c r="C58" s="13">
        <f>Data!$AP26</f>
        <v>108</v>
      </c>
      <c r="D58" s="13">
        <f>Data!$AP38</f>
        <v>4</v>
      </c>
      <c r="E58" s="13">
        <f>Data!$AP50</f>
        <v>127</v>
      </c>
      <c r="F58" s="13">
        <f>Data!$AP62</f>
        <v>-4</v>
      </c>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ht="12" thickBot="1">
      <c r="A59" s="113" t="s">
        <v>141</v>
      </c>
      <c r="B59" s="13">
        <f>SUM(B47:B58)</f>
        <v>3465</v>
      </c>
      <c r="C59" s="13">
        <f>SUM(C47:C58)</f>
        <v>526</v>
      </c>
      <c r="D59" s="13">
        <f>SUM(D47:D58)</f>
        <v>-6</v>
      </c>
      <c r="E59" s="13">
        <f>SUM(E47:E58)</f>
        <v>-571</v>
      </c>
      <c r="F59" s="13">
        <f>SUM(F47:F58)</f>
        <v>-76</v>
      </c>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row>
    <row r="61" spans="1:32" ht="12" thickBot="1">
      <c r="A61" s="138" t="s">
        <v>146</v>
      </c>
    </row>
    <row r="62" spans="1:32" ht="12" thickBot="1">
      <c r="A62" s="176"/>
      <c r="B62" s="177">
        <f t="shared" ref="B62:AF62" si="5">B3</f>
        <v>2020</v>
      </c>
      <c r="C62" s="177">
        <f t="shared" si="5"/>
        <v>2021</v>
      </c>
      <c r="D62" s="177">
        <f t="shared" si="5"/>
        <v>2022</v>
      </c>
      <c r="E62" s="177">
        <f t="shared" si="5"/>
        <v>2023</v>
      </c>
      <c r="F62" s="177">
        <f t="shared" si="5"/>
        <v>2024</v>
      </c>
      <c r="G62" s="177">
        <f t="shared" si="5"/>
        <v>2025</v>
      </c>
      <c r="H62" s="177">
        <f t="shared" si="5"/>
        <v>2026</v>
      </c>
      <c r="I62" s="177">
        <f t="shared" si="5"/>
        <v>2027</v>
      </c>
      <c r="J62" s="177">
        <f t="shared" si="5"/>
        <v>2028</v>
      </c>
      <c r="K62" s="177">
        <f t="shared" si="5"/>
        <v>2029</v>
      </c>
      <c r="L62" s="177">
        <f t="shared" si="5"/>
        <v>2030</v>
      </c>
      <c r="M62" s="177">
        <f t="shared" si="5"/>
        <v>2031</v>
      </c>
      <c r="N62" s="177">
        <f t="shared" si="5"/>
        <v>2032</v>
      </c>
      <c r="O62" s="177">
        <f t="shared" si="5"/>
        <v>2033</v>
      </c>
      <c r="P62" s="177">
        <f t="shared" si="5"/>
        <v>2034</v>
      </c>
      <c r="Q62" s="177">
        <f t="shared" si="5"/>
        <v>2035</v>
      </c>
      <c r="R62" s="177">
        <f t="shared" si="5"/>
        <v>2036</v>
      </c>
      <c r="S62" s="177">
        <f t="shared" si="5"/>
        <v>2037</v>
      </c>
      <c r="T62" s="177">
        <f t="shared" si="5"/>
        <v>2038</v>
      </c>
      <c r="U62" s="177">
        <f t="shared" si="5"/>
        <v>2039</v>
      </c>
      <c r="V62" s="177">
        <f t="shared" si="5"/>
        <v>2040</v>
      </c>
      <c r="W62" s="177">
        <f t="shared" si="5"/>
        <v>2041</v>
      </c>
      <c r="X62" s="177">
        <f t="shared" si="5"/>
        <v>2042</v>
      </c>
      <c r="Y62" s="177">
        <f t="shared" si="5"/>
        <v>2043</v>
      </c>
      <c r="Z62" s="177">
        <f t="shared" si="5"/>
        <v>2044</v>
      </c>
      <c r="AA62" s="177">
        <f t="shared" si="5"/>
        <v>2045</v>
      </c>
      <c r="AB62" s="177">
        <f t="shared" si="5"/>
        <v>2046</v>
      </c>
      <c r="AC62" s="177">
        <f t="shared" si="5"/>
        <v>2047</v>
      </c>
      <c r="AD62" s="177">
        <f t="shared" si="5"/>
        <v>2048</v>
      </c>
      <c r="AE62" s="177">
        <f t="shared" si="5"/>
        <v>2049</v>
      </c>
      <c r="AF62" s="177">
        <f t="shared" si="5"/>
        <v>2050</v>
      </c>
    </row>
    <row r="63" spans="1:32">
      <c r="A63" s="113" t="s">
        <v>129</v>
      </c>
      <c r="B63" s="13">
        <f>B4+B15-B31-B47-B79</f>
        <v>-2285</v>
      </c>
      <c r="C63" s="13">
        <f>B90+C15-C31-C47-C79</f>
        <v>445</v>
      </c>
      <c r="D63" s="13">
        <f>C90+D15-D31-D47-D79</f>
        <v>74</v>
      </c>
      <c r="E63" s="13">
        <f>D90+E15-E31-E47-E79</f>
        <v>-230</v>
      </c>
      <c r="F63" s="13">
        <f>E90+F15-F31-F47-F79</f>
        <v>983</v>
      </c>
      <c r="G63" s="13">
        <f>F90+G15-G31-G47-G79</f>
        <v>-140</v>
      </c>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c r="A64" s="113" t="s">
        <v>130</v>
      </c>
      <c r="B64" s="13">
        <f t="shared" ref="B64:G74" si="6">B79+B16-B32-B48-B80</f>
        <v>-172</v>
      </c>
      <c r="C64" s="13">
        <f t="shared" si="6"/>
        <v>-201</v>
      </c>
      <c r="D64" s="13">
        <f t="shared" si="6"/>
        <v>-188</v>
      </c>
      <c r="E64" s="13">
        <f t="shared" si="6"/>
        <v>-273</v>
      </c>
      <c r="F64" s="13">
        <f t="shared" si="6"/>
        <v>-265</v>
      </c>
      <c r="G64" s="13">
        <f t="shared" si="6"/>
        <v>-227</v>
      </c>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c r="A65" s="113" t="s">
        <v>131</v>
      </c>
      <c r="B65" s="13">
        <f t="shared" si="6"/>
        <v>-210</v>
      </c>
      <c r="C65" s="13">
        <f t="shared" si="6"/>
        <v>-141</v>
      </c>
      <c r="D65" s="13">
        <f t="shared" si="6"/>
        <v>-163</v>
      </c>
      <c r="E65" s="13">
        <f t="shared" si="6"/>
        <v>-294</v>
      </c>
      <c r="F65" s="13">
        <f t="shared" si="6"/>
        <v>-260</v>
      </c>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c r="A66" s="113" t="s">
        <v>132</v>
      </c>
      <c r="B66" s="13">
        <f t="shared" si="6"/>
        <v>-216</v>
      </c>
      <c r="C66" s="13">
        <f t="shared" si="6"/>
        <v>-203</v>
      </c>
      <c r="D66" s="13">
        <f t="shared" si="6"/>
        <v>-227</v>
      </c>
      <c r="E66" s="13">
        <f t="shared" si="6"/>
        <v>-276</v>
      </c>
      <c r="F66" s="13">
        <f t="shared" si="6"/>
        <v>-326</v>
      </c>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c r="A67" s="113" t="s">
        <v>133</v>
      </c>
      <c r="B67" s="13">
        <f t="shared" si="6"/>
        <v>4</v>
      </c>
      <c r="C67" s="13">
        <f t="shared" si="6"/>
        <v>-101</v>
      </c>
      <c r="D67" s="13">
        <f t="shared" si="6"/>
        <v>-253</v>
      </c>
      <c r="E67" s="13">
        <f t="shared" si="6"/>
        <v>-246</v>
      </c>
      <c r="F67" s="13">
        <f t="shared" si="6"/>
        <v>-265</v>
      </c>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c r="A68" s="113" t="s">
        <v>134</v>
      </c>
      <c r="B68" s="13">
        <f t="shared" si="6"/>
        <v>160</v>
      </c>
      <c r="C68" s="13">
        <f t="shared" si="6"/>
        <v>-239</v>
      </c>
      <c r="D68" s="13">
        <f t="shared" si="6"/>
        <v>-268</v>
      </c>
      <c r="E68" s="13">
        <f t="shared" si="6"/>
        <v>-329</v>
      </c>
      <c r="F68" s="13">
        <f t="shared" si="6"/>
        <v>-297</v>
      </c>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c r="A69" s="113" t="s">
        <v>135</v>
      </c>
      <c r="B69" s="13">
        <f t="shared" si="6"/>
        <v>6</v>
      </c>
      <c r="C69" s="13">
        <f t="shared" si="6"/>
        <v>-228</v>
      </c>
      <c r="D69" s="13">
        <f t="shared" si="6"/>
        <v>-229</v>
      </c>
      <c r="E69" s="13">
        <f t="shared" si="6"/>
        <v>-280</v>
      </c>
      <c r="F69" s="13">
        <f t="shared" si="6"/>
        <v>-314</v>
      </c>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c r="A70" s="113" t="s">
        <v>136</v>
      </c>
      <c r="B70" s="13">
        <f t="shared" si="6"/>
        <v>30</v>
      </c>
      <c r="C70" s="13">
        <f t="shared" si="6"/>
        <v>-137</v>
      </c>
      <c r="D70" s="13">
        <f t="shared" si="6"/>
        <v>-140</v>
      </c>
      <c r="E70" s="13">
        <f t="shared" si="6"/>
        <v>-250</v>
      </c>
      <c r="F70" s="13">
        <f t="shared" si="6"/>
        <v>-257</v>
      </c>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c r="A71" s="113" t="s">
        <v>137</v>
      </c>
      <c r="B71" s="13">
        <f t="shared" si="6"/>
        <v>-116</v>
      </c>
      <c r="C71" s="13">
        <f t="shared" si="6"/>
        <v>-37</v>
      </c>
      <c r="D71" s="13">
        <f t="shared" si="6"/>
        <v>-291</v>
      </c>
      <c r="E71" s="13">
        <f t="shared" si="6"/>
        <v>-256</v>
      </c>
      <c r="F71" s="13">
        <f t="shared" si="6"/>
        <v>-328</v>
      </c>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c r="A72" s="113" t="s">
        <v>138</v>
      </c>
      <c r="B72" s="13">
        <f t="shared" si="6"/>
        <v>-194</v>
      </c>
      <c r="C72" s="13">
        <f t="shared" si="6"/>
        <v>10</v>
      </c>
      <c r="D72" s="13">
        <f t="shared" si="6"/>
        <v>-183</v>
      </c>
      <c r="E72" s="13">
        <f t="shared" si="6"/>
        <v>-1447</v>
      </c>
      <c r="F72" s="13">
        <f t="shared" si="6"/>
        <v>-368</v>
      </c>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c r="A73" s="113" t="s">
        <v>139</v>
      </c>
      <c r="B73" s="13">
        <f t="shared" si="6"/>
        <v>-920</v>
      </c>
      <c r="C73" s="13">
        <f t="shared" si="6"/>
        <v>-9</v>
      </c>
      <c r="D73" s="13">
        <f t="shared" si="6"/>
        <v>-302</v>
      </c>
      <c r="E73" s="13">
        <f t="shared" si="6"/>
        <v>-434</v>
      </c>
      <c r="F73" s="13">
        <f t="shared" si="6"/>
        <v>-308</v>
      </c>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c r="A74" s="113" t="s">
        <v>140</v>
      </c>
      <c r="B74" s="13">
        <f t="shared" si="6"/>
        <v>-110</v>
      </c>
      <c r="C74" s="13">
        <f t="shared" si="6"/>
        <v>-211</v>
      </c>
      <c r="D74" s="13">
        <f t="shared" si="6"/>
        <v>-277</v>
      </c>
      <c r="E74" s="13">
        <f t="shared" si="6"/>
        <v>-172</v>
      </c>
      <c r="F74" s="13">
        <f t="shared" si="6"/>
        <v>-189</v>
      </c>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ht="12" thickBot="1">
      <c r="A75" s="113" t="s">
        <v>141</v>
      </c>
      <c r="B75" s="13">
        <f>SUM(B63:B74)</f>
        <v>-4023</v>
      </c>
      <c r="C75" s="13">
        <f>SUM(C63:C74)</f>
        <v>-1052</v>
      </c>
      <c r="D75" s="13">
        <f>SUM(D63:D74)</f>
        <v>-2447</v>
      </c>
      <c r="E75" s="13">
        <f>SUM(E63:E74)</f>
        <v>-4487</v>
      </c>
      <c r="F75" s="13">
        <f>SUM(F63:F74)</f>
        <v>-2194</v>
      </c>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c r="A76" s="199"/>
      <c r="B76" s="199"/>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199"/>
      <c r="AF76" s="199"/>
    </row>
    <row r="77" spans="1:32" ht="12" thickBot="1">
      <c r="A77" s="138" t="s">
        <v>147</v>
      </c>
    </row>
    <row r="78" spans="1:32" ht="12" thickBot="1">
      <c r="A78" s="176"/>
      <c r="B78" s="177">
        <f t="shared" ref="B78:AF78" si="7">B3</f>
        <v>2020</v>
      </c>
      <c r="C78" s="177">
        <f t="shared" si="7"/>
        <v>2021</v>
      </c>
      <c r="D78" s="177">
        <f t="shared" si="7"/>
        <v>2022</v>
      </c>
      <c r="E78" s="177">
        <f t="shared" si="7"/>
        <v>2023</v>
      </c>
      <c r="F78" s="177">
        <f t="shared" si="7"/>
        <v>2024</v>
      </c>
      <c r="G78" s="177">
        <f t="shared" si="7"/>
        <v>2025</v>
      </c>
      <c r="H78" s="177">
        <f t="shared" si="7"/>
        <v>2026</v>
      </c>
      <c r="I78" s="177">
        <f t="shared" si="7"/>
        <v>2027</v>
      </c>
      <c r="J78" s="177">
        <f t="shared" si="7"/>
        <v>2028</v>
      </c>
      <c r="K78" s="177">
        <f t="shared" si="7"/>
        <v>2029</v>
      </c>
      <c r="L78" s="177">
        <f t="shared" si="7"/>
        <v>2030</v>
      </c>
      <c r="M78" s="177">
        <f t="shared" si="7"/>
        <v>2031</v>
      </c>
      <c r="N78" s="177">
        <f t="shared" si="7"/>
        <v>2032</v>
      </c>
      <c r="O78" s="177">
        <f t="shared" si="7"/>
        <v>2033</v>
      </c>
      <c r="P78" s="177">
        <f t="shared" si="7"/>
        <v>2034</v>
      </c>
      <c r="Q78" s="177">
        <f t="shared" si="7"/>
        <v>2035</v>
      </c>
      <c r="R78" s="177">
        <f t="shared" si="7"/>
        <v>2036</v>
      </c>
      <c r="S78" s="177">
        <f t="shared" si="7"/>
        <v>2037</v>
      </c>
      <c r="T78" s="177">
        <f t="shared" si="7"/>
        <v>2038</v>
      </c>
      <c r="U78" s="177">
        <f t="shared" si="7"/>
        <v>2039</v>
      </c>
      <c r="V78" s="177">
        <f t="shared" si="7"/>
        <v>2040</v>
      </c>
      <c r="W78" s="177">
        <f t="shared" si="7"/>
        <v>2041</v>
      </c>
      <c r="X78" s="177">
        <f t="shared" si="7"/>
        <v>2042</v>
      </c>
      <c r="Y78" s="177">
        <f t="shared" si="7"/>
        <v>2043</v>
      </c>
      <c r="Z78" s="177">
        <f t="shared" si="7"/>
        <v>2044</v>
      </c>
      <c r="AA78" s="177">
        <f t="shared" si="7"/>
        <v>2045</v>
      </c>
      <c r="AB78" s="177">
        <f t="shared" si="7"/>
        <v>2046</v>
      </c>
      <c r="AC78" s="177">
        <f t="shared" si="7"/>
        <v>2047</v>
      </c>
      <c r="AD78" s="177">
        <f t="shared" si="7"/>
        <v>2048</v>
      </c>
      <c r="AE78" s="177">
        <f t="shared" si="7"/>
        <v>2049</v>
      </c>
      <c r="AF78" s="177">
        <f t="shared" si="7"/>
        <v>2050</v>
      </c>
    </row>
    <row r="79" spans="1:32">
      <c r="A79" s="113" t="s">
        <v>129</v>
      </c>
      <c r="B79" s="13">
        <f>Data!$AG3</f>
        <v>3145</v>
      </c>
      <c r="C79" s="13">
        <f>Data!$AG15</f>
        <v>2042</v>
      </c>
      <c r="D79" s="13">
        <f>Data!$AG27</f>
        <v>1620</v>
      </c>
      <c r="E79" s="13">
        <f>Data!$AG39</f>
        <v>1713</v>
      </c>
      <c r="F79" s="13">
        <f>Data!$AG51</f>
        <v>1867</v>
      </c>
      <c r="G79" s="13">
        <f>Data!$AG63</f>
        <v>1024</v>
      </c>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c r="A80" s="113" t="s">
        <v>130</v>
      </c>
      <c r="B80" s="13">
        <f>Data!$AG4</f>
        <v>2651</v>
      </c>
      <c r="C80" s="13">
        <f>Data!$AG16</f>
        <v>3077</v>
      </c>
      <c r="D80" s="13">
        <f>Data!$AG28</f>
        <v>1090</v>
      </c>
      <c r="E80" s="13">
        <f>Data!$AG40</f>
        <v>1510</v>
      </c>
      <c r="F80" s="13">
        <f>Data!$AG52</f>
        <v>2745</v>
      </c>
      <c r="G80" s="13">
        <f>Data!$AG64</f>
        <v>1270</v>
      </c>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c r="A81" s="113" t="s">
        <v>131</v>
      </c>
      <c r="B81" s="13">
        <f>Data!$AG5</f>
        <v>3374</v>
      </c>
      <c r="C81" s="13">
        <f>Data!$AG17</f>
        <v>3071</v>
      </c>
      <c r="D81" s="13">
        <f>Data!$AG29</f>
        <v>1927</v>
      </c>
      <c r="E81" s="13">
        <f>Data!$AG41</f>
        <v>1674</v>
      </c>
      <c r="F81" s="13">
        <f>Data!$AG53</f>
        <v>2131</v>
      </c>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c r="A82" s="113" t="s">
        <v>132</v>
      </c>
      <c r="B82" s="13">
        <f>Data!$AG6</f>
        <v>3246</v>
      </c>
      <c r="C82" s="13">
        <f>Data!$AG18</f>
        <v>3408</v>
      </c>
      <c r="D82" s="13">
        <f>Data!$AG30</f>
        <v>1248</v>
      </c>
      <c r="E82" s="13">
        <f>Data!$AG42</f>
        <v>1179</v>
      </c>
      <c r="F82" s="13">
        <f>Data!$AG54</f>
        <v>2053</v>
      </c>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c r="A83" s="113" t="s">
        <v>133</v>
      </c>
      <c r="B83" s="13">
        <f>Data!$AG7</f>
        <v>2695</v>
      </c>
      <c r="C83" s="13">
        <f>Data!$AG19</f>
        <v>2808</v>
      </c>
      <c r="D83" s="13">
        <f>Data!$AG31</f>
        <v>1131</v>
      </c>
      <c r="E83" s="13">
        <f>Data!$AG43</f>
        <v>1252</v>
      </c>
      <c r="F83" s="13">
        <f>Data!$AG55</f>
        <v>2061</v>
      </c>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c r="A84" s="113" t="s">
        <v>134</v>
      </c>
      <c r="B84" s="13">
        <f>Data!$AG8</f>
        <v>4071</v>
      </c>
      <c r="C84" s="13">
        <f>Data!$AG20</f>
        <v>3236</v>
      </c>
      <c r="D84" s="13">
        <f>Data!$AG32</f>
        <v>1060</v>
      </c>
      <c r="E84" s="13">
        <f>Data!$AG44</f>
        <v>1436</v>
      </c>
      <c r="F84" s="13">
        <f>Data!$AG56</f>
        <v>1713</v>
      </c>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c r="A85" s="113" t="s">
        <v>135</v>
      </c>
      <c r="B85" s="13">
        <f>Data!$AG9</f>
        <v>4003</v>
      </c>
      <c r="C85" s="13">
        <f>Data!$AG21</f>
        <v>3222</v>
      </c>
      <c r="D85" s="13">
        <f>Data!$AG33</f>
        <v>959</v>
      </c>
      <c r="E85" s="13">
        <f>Data!$AG45</f>
        <v>1495</v>
      </c>
      <c r="F85" s="13">
        <f>Data!$AG57</f>
        <v>2779</v>
      </c>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c r="A86" s="113" t="s">
        <v>136</v>
      </c>
      <c r="B86" s="13">
        <f>Data!$AG10</f>
        <v>4902</v>
      </c>
      <c r="C86" s="13">
        <f>Data!$AG22</f>
        <v>3168</v>
      </c>
      <c r="D86" s="13">
        <f>Data!$AG34</f>
        <v>1242</v>
      </c>
      <c r="E86" s="13">
        <f>Data!$AG46</f>
        <v>1250</v>
      </c>
      <c r="F86" s="13">
        <f>Data!$AG58</f>
        <v>1606</v>
      </c>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c r="A87" s="113" t="s">
        <v>137</v>
      </c>
      <c r="B87" s="13">
        <f>Data!$AG11</f>
        <v>4342</v>
      </c>
      <c r="C87" s="13">
        <f>Data!$AG23</f>
        <v>2423</v>
      </c>
      <c r="D87" s="13">
        <f>Data!$AG35</f>
        <v>1863</v>
      </c>
      <c r="E87" s="13">
        <f>Data!$AG47</f>
        <v>1628</v>
      </c>
      <c r="F87" s="13">
        <f>Data!$AG59</f>
        <v>1119</v>
      </c>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c r="A88" s="113" t="s">
        <v>138</v>
      </c>
      <c r="B88" s="13">
        <f>Data!$AG12</f>
        <v>3577</v>
      </c>
      <c r="C88" s="13">
        <f>Data!$AG24</f>
        <v>1725</v>
      </c>
      <c r="D88" s="13">
        <f>Data!$AG36</f>
        <v>1129</v>
      </c>
      <c r="E88" s="13">
        <f>Data!$AG48</f>
        <v>2834</v>
      </c>
      <c r="F88" s="13">
        <f>Data!$AG60</f>
        <v>1675</v>
      </c>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c r="A89" s="113" t="s">
        <v>139</v>
      </c>
      <c r="B89" s="13">
        <f>Data!$AG13</f>
        <v>4341</v>
      </c>
      <c r="C89" s="13">
        <f>Data!$AG25</f>
        <v>1775</v>
      </c>
      <c r="D89" s="13">
        <f>Data!$AG37</f>
        <v>1148</v>
      </c>
      <c r="E89" s="13">
        <f>Data!$AG49</f>
        <v>2052</v>
      </c>
      <c r="F89" s="13">
        <f>Data!$AG61</f>
        <v>994</v>
      </c>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ht="12" thickBot="1">
      <c r="A90" s="113" t="s">
        <v>140</v>
      </c>
      <c r="B90" s="13">
        <f>Data!$AG14</f>
        <v>4008</v>
      </c>
      <c r="C90" s="13">
        <f>Data!$AG26</f>
        <v>1620</v>
      </c>
      <c r="D90" s="13">
        <f>Data!$AG38</f>
        <v>1185</v>
      </c>
      <c r="E90" s="13">
        <f>Data!$AG50</f>
        <v>2146</v>
      </c>
      <c r="F90" s="13">
        <f>Data!$AG62</f>
        <v>1022</v>
      </c>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199"/>
      <c r="AF91" s="19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ED0A8-497D-4B05-BC3B-9E27A782505F}">
  <sheetPr>
    <tabColor rgb="FFFF0000"/>
    <pageSetUpPr fitToPage="1"/>
  </sheetPr>
  <dimension ref="A1:CE509"/>
  <sheetViews>
    <sheetView zoomScaleNormal="100" workbookViewId="0">
      <pane xSplit="1" ySplit="5" topLeftCell="AW130"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14" style="113" bestFit="1" customWidth="1"/>
    <col min="2" max="15" width="25" style="113" customWidth="1"/>
    <col min="16" max="16" width="9.33203125" style="113"/>
    <col min="17" max="19" width="13.33203125" style="113" customWidth="1"/>
    <col min="20" max="20" width="11.1640625" style="113" customWidth="1"/>
    <col min="21" max="23" width="20.33203125" style="113" customWidth="1"/>
    <col min="24" max="24" width="9.33203125" style="113" customWidth="1"/>
    <col min="25" max="29" width="16.6640625" style="257" customWidth="1"/>
    <col min="30" max="33" width="16.6640625" style="113" customWidth="1"/>
    <col min="34" max="36" width="9.33203125" style="113" customWidth="1"/>
    <col min="37" max="43" width="16.6640625" style="113" customWidth="1"/>
    <col min="44" max="48" width="23.33203125" style="113" customWidth="1"/>
    <col min="49" max="49" width="9.33203125" style="113"/>
    <col min="50" max="61" width="16.6640625" style="113" customWidth="1"/>
    <col min="62" max="62" width="9.5" style="113" bestFit="1" customWidth="1"/>
    <col min="63" max="63" width="15.6640625" style="113" bestFit="1" customWidth="1"/>
    <col min="64" max="64" width="9.33203125" style="113"/>
    <col min="65" max="65" width="9.5" style="113" bestFit="1" customWidth="1"/>
    <col min="66" max="66" width="11.6640625" style="113" bestFit="1" customWidth="1"/>
    <col min="67" max="67" width="9.33203125" style="113"/>
    <col min="68" max="68" width="13.83203125" style="113" bestFit="1" customWidth="1"/>
    <col min="69" max="83" width="21.6640625" style="113" customWidth="1"/>
    <col min="84" max="16384" width="9.33203125" style="113"/>
  </cols>
  <sheetData>
    <row r="1" spans="1:83" ht="33.75">
      <c r="B1" s="256" t="s">
        <v>293</v>
      </c>
      <c r="C1" s="256" t="s">
        <v>294</v>
      </c>
      <c r="D1" s="256" t="s">
        <v>295</v>
      </c>
      <c r="E1" s="256" t="s">
        <v>296</v>
      </c>
      <c r="F1" s="256" t="s">
        <v>297</v>
      </c>
      <c r="G1" s="256" t="s">
        <v>298</v>
      </c>
      <c r="H1" s="256" t="s">
        <v>299</v>
      </c>
      <c r="I1" s="256" t="s">
        <v>300</v>
      </c>
      <c r="J1" s="256" t="s">
        <v>300</v>
      </c>
      <c r="K1" s="256" t="s">
        <v>301</v>
      </c>
      <c r="L1" s="256" t="s">
        <v>302</v>
      </c>
      <c r="M1" s="256" t="s">
        <v>303</v>
      </c>
      <c r="N1" s="256" t="s">
        <v>304</v>
      </c>
      <c r="O1" s="256" t="s">
        <v>305</v>
      </c>
      <c r="Q1" s="256" t="s">
        <v>306</v>
      </c>
      <c r="R1" s="256" t="s">
        <v>307</v>
      </c>
      <c r="S1" s="256" t="s">
        <v>169</v>
      </c>
      <c r="T1" s="256" t="s">
        <v>308</v>
      </c>
      <c r="U1" s="256" t="s">
        <v>309</v>
      </c>
      <c r="V1" s="256" t="s">
        <v>171</v>
      </c>
      <c r="W1" s="256" t="s">
        <v>310</v>
      </c>
      <c r="Y1" s="256" t="s">
        <v>311</v>
      </c>
      <c r="AB1" s="258" t="s">
        <v>312</v>
      </c>
      <c r="AC1" s="258"/>
      <c r="AD1" s="258"/>
      <c r="AE1" s="258"/>
      <c r="AF1" s="258"/>
      <c r="AG1" s="258"/>
      <c r="AK1" s="258" t="s">
        <v>244</v>
      </c>
      <c r="AL1" s="258"/>
      <c r="AM1" s="258"/>
      <c r="AN1" s="258"/>
      <c r="AO1" s="258"/>
      <c r="AP1" s="258"/>
      <c r="AQ1" s="256"/>
      <c r="AR1" s="258" t="s">
        <v>313</v>
      </c>
      <c r="AS1" s="258"/>
      <c r="AT1" s="258"/>
      <c r="AU1" s="258"/>
      <c r="AV1" s="258"/>
      <c r="AX1" s="258" t="s">
        <v>314</v>
      </c>
      <c r="AY1" s="258"/>
      <c r="AZ1" s="258"/>
      <c r="BA1" s="258"/>
      <c r="BB1" s="258"/>
      <c r="BC1" s="258"/>
      <c r="BD1" s="258"/>
      <c r="BE1" s="258"/>
      <c r="BF1" s="258"/>
      <c r="BG1" s="258" t="s">
        <v>315</v>
      </c>
      <c r="BH1" s="258"/>
      <c r="BJ1" s="258" t="s">
        <v>316</v>
      </c>
      <c r="BK1" s="258"/>
      <c r="BQ1" s="113" t="s">
        <v>317</v>
      </c>
      <c r="BR1" s="113" t="s">
        <v>63</v>
      </c>
    </row>
    <row r="2" spans="1:83" ht="22.5">
      <c r="A2" s="259" t="s">
        <v>318</v>
      </c>
      <c r="B2" s="260" t="s">
        <v>319</v>
      </c>
      <c r="C2" s="260" t="s">
        <v>320</v>
      </c>
      <c r="D2" s="260" t="s">
        <v>321</v>
      </c>
      <c r="E2" s="260" t="s">
        <v>322</v>
      </c>
      <c r="F2" s="260" t="s">
        <v>323</v>
      </c>
      <c r="G2" s="260" t="s">
        <v>324</v>
      </c>
      <c r="H2" s="260" t="s">
        <v>325</v>
      </c>
      <c r="I2" s="260" t="s">
        <v>326</v>
      </c>
      <c r="J2" s="260" t="s">
        <v>327</v>
      </c>
      <c r="K2" s="260" t="s">
        <v>328</v>
      </c>
      <c r="L2" s="260" t="s">
        <v>329</v>
      </c>
      <c r="M2" s="260" t="s">
        <v>330</v>
      </c>
      <c r="N2" s="260" t="s">
        <v>331</v>
      </c>
      <c r="O2" s="260" t="s">
        <v>332</v>
      </c>
      <c r="Q2" s="260" t="s">
        <v>333</v>
      </c>
      <c r="R2" s="260" t="s">
        <v>333</v>
      </c>
      <c r="S2" s="260" t="s">
        <v>333</v>
      </c>
      <c r="U2" s="260" t="s">
        <v>207</v>
      </c>
      <c r="W2" s="260" t="s">
        <v>207</v>
      </c>
      <c r="AB2" s="256" t="s">
        <v>334</v>
      </c>
      <c r="AC2" s="256" t="s">
        <v>335</v>
      </c>
      <c r="AD2" s="256" t="s">
        <v>336</v>
      </c>
      <c r="AE2" s="256" t="s">
        <v>337</v>
      </c>
      <c r="AF2" s="256" t="s">
        <v>338</v>
      </c>
      <c r="AG2" s="256" t="s">
        <v>339</v>
      </c>
      <c r="AK2" s="256" t="s">
        <v>334</v>
      </c>
      <c r="AL2" s="256" t="s">
        <v>335</v>
      </c>
      <c r="AM2" s="256" t="s">
        <v>336</v>
      </c>
      <c r="AN2" s="256" t="s">
        <v>337</v>
      </c>
      <c r="AO2" s="256" t="s">
        <v>338</v>
      </c>
      <c r="AP2" s="256" t="s">
        <v>339</v>
      </c>
      <c r="AQ2" s="256"/>
      <c r="AR2" s="258" t="s">
        <v>340</v>
      </c>
      <c r="AS2" s="258"/>
      <c r="AT2" s="258"/>
      <c r="AU2" s="258" t="s">
        <v>341</v>
      </c>
      <c r="AV2" s="258"/>
      <c r="AX2" s="256" t="s">
        <v>342</v>
      </c>
      <c r="AY2" s="256" t="s">
        <v>242</v>
      </c>
      <c r="AZ2" s="256" t="s">
        <v>343</v>
      </c>
      <c r="BA2" s="256" t="s">
        <v>240</v>
      </c>
      <c r="BB2" s="256" t="s">
        <v>241</v>
      </c>
      <c r="BC2" s="256" t="s">
        <v>339</v>
      </c>
      <c r="BD2" s="256" t="s">
        <v>344</v>
      </c>
      <c r="BE2" s="256" t="s">
        <v>340</v>
      </c>
      <c r="BF2" s="256" t="s">
        <v>341</v>
      </c>
      <c r="BG2" s="256" t="s">
        <v>340</v>
      </c>
      <c r="BH2" s="256" t="s">
        <v>341</v>
      </c>
      <c r="BI2" s="256" t="s">
        <v>344</v>
      </c>
      <c r="BJ2" s="258"/>
      <c r="BK2" s="258"/>
      <c r="BM2" s="261" t="s">
        <v>345</v>
      </c>
      <c r="BN2" s="261"/>
      <c r="BQ2" s="260" t="s">
        <v>57</v>
      </c>
      <c r="BR2" s="260" t="s">
        <v>44</v>
      </c>
      <c r="BS2" s="262" t="s">
        <v>45</v>
      </c>
      <c r="BT2" s="262"/>
      <c r="BU2" s="262"/>
      <c r="BV2" s="262"/>
      <c r="BW2" s="262" t="s">
        <v>58</v>
      </c>
      <c r="BX2" s="262"/>
      <c r="BY2" s="260" t="s">
        <v>59</v>
      </c>
      <c r="BZ2" s="262" t="s">
        <v>46</v>
      </c>
      <c r="CA2" s="262"/>
      <c r="CB2" s="262" t="s">
        <v>346</v>
      </c>
      <c r="CC2" s="262"/>
      <c r="CD2" s="262"/>
      <c r="CE2" s="262"/>
    </row>
    <row r="3" spans="1:83">
      <c r="A3" s="14" t="s">
        <v>347</v>
      </c>
      <c r="B3" s="263">
        <v>70</v>
      </c>
      <c r="C3" s="263">
        <v>13.2</v>
      </c>
      <c r="D3" s="263">
        <v>20</v>
      </c>
      <c r="E3" s="263">
        <v>3</v>
      </c>
      <c r="F3" s="263">
        <v>0.2</v>
      </c>
      <c r="G3" s="263">
        <v>1.32</v>
      </c>
      <c r="H3" s="263">
        <v>12</v>
      </c>
      <c r="I3" s="263">
        <v>5</v>
      </c>
      <c r="J3" s="263">
        <v>1.5</v>
      </c>
      <c r="K3" s="263">
        <v>1.32</v>
      </c>
      <c r="L3" s="263">
        <v>4</v>
      </c>
      <c r="M3" s="263">
        <v>1.5</v>
      </c>
      <c r="N3" s="263">
        <v>45</v>
      </c>
      <c r="O3" s="263">
        <v>17.699535849485258</v>
      </c>
      <c r="X3" s="257" t="s">
        <v>348</v>
      </c>
      <c r="AR3" s="256" t="s">
        <v>334</v>
      </c>
      <c r="AS3" s="256" t="s">
        <v>335</v>
      </c>
      <c r="AT3" s="256" t="s">
        <v>336</v>
      </c>
      <c r="AU3" s="256" t="s">
        <v>337</v>
      </c>
      <c r="AV3" s="256" t="s">
        <v>338</v>
      </c>
      <c r="BJ3" s="256" t="s">
        <v>340</v>
      </c>
      <c r="BK3" s="256" t="s">
        <v>341</v>
      </c>
      <c r="BM3" s="261"/>
      <c r="BN3" s="261"/>
      <c r="BP3" s="259" t="s">
        <v>60</v>
      </c>
      <c r="BQ3" s="245">
        <v>0.05</v>
      </c>
      <c r="BR3" s="245">
        <v>0.1</v>
      </c>
      <c r="BS3" s="245">
        <v>0.1</v>
      </c>
      <c r="BT3" s="245">
        <v>0.11</v>
      </c>
      <c r="BU3" s="245">
        <v>0.13</v>
      </c>
      <c r="BV3" s="245">
        <v>0.15</v>
      </c>
      <c r="BW3" s="245">
        <v>0.01</v>
      </c>
      <c r="BX3" s="245">
        <v>7.4999999999999997E-2</v>
      </c>
      <c r="BY3" s="245">
        <v>0.05</v>
      </c>
      <c r="BZ3" s="245">
        <v>0.1</v>
      </c>
      <c r="CA3" s="245">
        <v>0.15</v>
      </c>
      <c r="CB3" s="245">
        <v>0.1</v>
      </c>
      <c r="CC3" s="245">
        <v>0.12</v>
      </c>
      <c r="CD3" s="245">
        <v>0.14000000000000001</v>
      </c>
      <c r="CE3" s="245">
        <v>0.15</v>
      </c>
    </row>
    <row r="4" spans="1:83" ht="18" customHeight="1">
      <c r="A4" s="259" t="s">
        <v>349</v>
      </c>
      <c r="B4" s="264" t="s">
        <v>240</v>
      </c>
      <c r="C4" s="264" t="s">
        <v>350</v>
      </c>
      <c r="D4" s="264" t="s">
        <v>350</v>
      </c>
      <c r="E4" s="264" t="s">
        <v>351</v>
      </c>
      <c r="F4" s="264" t="s">
        <v>335</v>
      </c>
      <c r="G4" s="264" t="s">
        <v>343</v>
      </c>
      <c r="H4" s="264" t="s">
        <v>350</v>
      </c>
      <c r="I4" s="264" t="s">
        <v>335</v>
      </c>
      <c r="J4" s="264" t="s">
        <v>335</v>
      </c>
      <c r="K4" s="264" t="s">
        <v>335</v>
      </c>
      <c r="L4" s="264" t="s">
        <v>240</v>
      </c>
      <c r="M4" s="264" t="s">
        <v>240</v>
      </c>
      <c r="N4" s="264" t="s">
        <v>352</v>
      </c>
      <c r="O4" s="264" t="s">
        <v>351</v>
      </c>
      <c r="X4" s="257">
        <v>10</v>
      </c>
      <c r="AA4" s="265"/>
      <c r="BM4" s="261"/>
      <c r="BN4" s="261"/>
      <c r="BP4" s="259" t="s">
        <v>61</v>
      </c>
      <c r="BQ4" s="245">
        <v>0.02</v>
      </c>
      <c r="BR4" s="245">
        <v>0.05</v>
      </c>
      <c r="BS4" s="245">
        <v>0.04</v>
      </c>
      <c r="BT4" s="245">
        <v>0.04</v>
      </c>
      <c r="BU4" s="245">
        <v>0.04</v>
      </c>
      <c r="BV4" s="245">
        <v>0.04</v>
      </c>
      <c r="BW4" s="245">
        <v>0.02</v>
      </c>
      <c r="BX4" s="245">
        <v>0.02</v>
      </c>
      <c r="BY4" s="245">
        <v>0.04</v>
      </c>
      <c r="BZ4" s="245">
        <v>0.03</v>
      </c>
      <c r="CA4" s="245">
        <v>0.1</v>
      </c>
      <c r="CB4" s="245"/>
      <c r="CC4" s="245"/>
      <c r="CD4" s="245"/>
      <c r="CE4" s="245"/>
    </row>
    <row r="5" spans="1:83">
      <c r="A5" s="265" t="s">
        <v>62</v>
      </c>
      <c r="B5" s="257" t="s">
        <v>353</v>
      </c>
      <c r="C5" s="266">
        <v>42979</v>
      </c>
      <c r="D5" s="266">
        <v>44501</v>
      </c>
      <c r="E5" s="266">
        <v>39873</v>
      </c>
      <c r="F5" s="266">
        <v>2005</v>
      </c>
      <c r="G5" s="266">
        <v>42125</v>
      </c>
      <c r="H5" s="266">
        <v>2005</v>
      </c>
      <c r="I5" s="266">
        <v>43101</v>
      </c>
      <c r="J5" s="266">
        <v>41699</v>
      </c>
      <c r="K5" s="266">
        <v>41183</v>
      </c>
      <c r="L5" s="266">
        <v>40026</v>
      </c>
      <c r="M5" s="266">
        <v>40299</v>
      </c>
      <c r="N5" s="266">
        <v>41579</v>
      </c>
      <c r="X5" s="257">
        <f>X4/3.78541</f>
        <v>2.6417217685798895</v>
      </c>
      <c r="AA5" s="265" t="s">
        <v>354</v>
      </c>
      <c r="AB5" s="267">
        <f>'[4]Feedstock Conversion Rates'!$B$25</f>
        <v>7.75</v>
      </c>
      <c r="AC5" s="267">
        <f>'[4]Feedstock Conversion Rates'!$B$28</f>
        <v>8.23</v>
      </c>
      <c r="AD5" s="267">
        <f>'[4]Feedstock Conversion Rates'!$B$19</f>
        <v>8.1999999999999993</v>
      </c>
      <c r="AE5" s="267">
        <f>'[4]Feedstock Conversion Rates'!$B$18</f>
        <v>7.45</v>
      </c>
      <c r="AF5" s="267">
        <f>'[4]Feedstock Conversion Rates'!$B$22</f>
        <v>7.5</v>
      </c>
      <c r="BM5" s="261"/>
      <c r="BN5" s="261"/>
      <c r="BQ5" s="11"/>
      <c r="BR5" s="11"/>
      <c r="BS5" s="11">
        <v>43831</v>
      </c>
      <c r="BT5" s="11">
        <v>45658</v>
      </c>
      <c r="BU5" s="11">
        <v>46753</v>
      </c>
      <c r="BV5" s="11">
        <v>10959</v>
      </c>
      <c r="BW5" s="11">
        <v>38657</v>
      </c>
      <c r="BX5" s="11">
        <v>39097</v>
      </c>
      <c r="BY5" s="11"/>
      <c r="BZ5" s="11">
        <v>44927</v>
      </c>
      <c r="CA5" s="11">
        <v>10959</v>
      </c>
      <c r="CB5" s="11">
        <v>44927</v>
      </c>
      <c r="CC5" s="11">
        <v>45658</v>
      </c>
      <c r="CD5" s="11">
        <v>46753</v>
      </c>
      <c r="CE5" s="11">
        <v>10959</v>
      </c>
    </row>
    <row r="6" spans="1:83">
      <c r="A6" s="11">
        <v>39814</v>
      </c>
      <c r="B6" s="268"/>
      <c r="C6" s="268"/>
      <c r="D6" s="268"/>
      <c r="E6" s="268"/>
      <c r="F6" s="269">
        <v>0.2</v>
      </c>
      <c r="G6" s="269"/>
      <c r="H6" s="269">
        <v>12</v>
      </c>
      <c r="I6" s="269"/>
      <c r="J6" s="269"/>
      <c r="K6" s="269"/>
      <c r="L6" s="269"/>
      <c r="M6" s="269"/>
      <c r="N6" s="269"/>
      <c r="O6" s="269">
        <f>$O$3</f>
        <v>17.699535849485258</v>
      </c>
      <c r="Q6" s="251">
        <f>SUM(B6:O6)</f>
        <v>29.899535849485257</v>
      </c>
      <c r="R6" s="251">
        <v>0</v>
      </c>
      <c r="S6" s="251">
        <f t="shared" ref="S6:S37" si="0">SUM(B6:O6)</f>
        <v>29.899535849485257</v>
      </c>
      <c r="AB6" s="251">
        <f>SUM('BD Feedstock'!C4,'BD Feedstock'!E4,'BD Feedstock'!G4,'BD Feedstock'!K4,'BD Feedstock'!T4)</f>
        <v>14.385712677094421</v>
      </c>
      <c r="AC6" s="251">
        <f>SUM('BD Feedstock'!D4,'BD Feedstock'!F4,'BD Feedstock'!H4,'BD Feedstock'!I4,'BD Feedstock'!L4,'BD Feedstock'!M4,'BD Feedstock'!N4,'BD Feedstock'!O4,'BD Feedstock'!U4)</f>
        <v>5.2293995841929934</v>
      </c>
      <c r="AD6" s="251">
        <f>'BD Feedstock'!J4</f>
        <v>0</v>
      </c>
      <c r="AE6" s="251">
        <f>SUM('BD Feedstock'!B4,'BD Feedstock'!P4,'BD Feedstock'!Q4,'BD Feedstock'!R4)</f>
        <v>0</v>
      </c>
      <c r="AF6" s="251">
        <f>'BD Feedstock'!S4</f>
        <v>0</v>
      </c>
      <c r="AG6" s="251">
        <f>SUM(AB6:AF6)</f>
        <v>19.615112261287415</v>
      </c>
      <c r="AK6" s="237">
        <f>AB6/$AG6</f>
        <v>0.73339945677936347</v>
      </c>
      <c r="AL6" s="237">
        <f>AC6/$AG6</f>
        <v>0.26660054322063653</v>
      </c>
      <c r="AM6" s="237">
        <f>AD6/$AG6</f>
        <v>0</v>
      </c>
      <c r="AN6" s="237">
        <f>AE6/$AG6</f>
        <v>0</v>
      </c>
      <c r="AO6" s="237">
        <f>AF6/$AG6</f>
        <v>0</v>
      </c>
      <c r="AP6" s="237">
        <f>SUM(AK6:AO6)</f>
        <v>1</v>
      </c>
      <c r="AQ6" s="237"/>
      <c r="AR6" s="237">
        <f>AB6/SUM($AB6:$AD6)</f>
        <v>0.73339945677936347</v>
      </c>
      <c r="AS6" s="237">
        <f>AC6/SUM($AB6:$AD6)</f>
        <v>0.26660054322063653</v>
      </c>
      <c r="AT6" s="237">
        <f>AD6/SUM($AB6:$AD6)</f>
        <v>0</v>
      </c>
      <c r="AU6" s="237"/>
      <c r="AV6" s="237"/>
      <c r="AX6" s="251">
        <f t="shared" ref="AX6:AZ69" si="1">($U6/12*AK6*AB$5/2204.622*1000000)-($BJ6*AR6)</f>
        <v>0</v>
      </c>
      <c r="AY6" s="251">
        <f t="shared" si="1"/>
        <v>0</v>
      </c>
      <c r="AZ6" s="251">
        <f t="shared" si="1"/>
        <v>0</v>
      </c>
      <c r="BA6" s="251">
        <f t="shared" ref="BA6:BB69" si="2">($U6/12*AN6*AE$5/2204.622*1000000)-($BK6*AU6)</f>
        <v>0</v>
      </c>
      <c r="BB6" s="251">
        <f t="shared" si="2"/>
        <v>0</v>
      </c>
      <c r="BC6" s="251">
        <f t="shared" ref="BC6:BC69" si="3">SUM(AX6:BB6)</f>
        <v>0</v>
      </c>
      <c r="BD6" s="270" t="e">
        <f t="shared" ref="BD6:BD69" si="4">(BC6*2204.622/1000000)/(U6/12)</f>
        <v>#DIV/0!</v>
      </c>
      <c r="BE6" s="251">
        <f t="shared" ref="BE6:BE69" si="5">AX6+AY6+AZ6</f>
        <v>0</v>
      </c>
      <c r="BF6" s="251">
        <f t="shared" ref="BF6:BF69" si="6">BA6+BB6</f>
        <v>0</v>
      </c>
    </row>
    <row r="7" spans="1:83">
      <c r="A7" s="11">
        <v>39845</v>
      </c>
      <c r="B7" s="268"/>
      <c r="C7" s="268"/>
      <c r="D7" s="268"/>
      <c r="E7" s="268"/>
      <c r="F7" s="269">
        <v>0.2</v>
      </c>
      <c r="G7" s="269"/>
      <c r="H7" s="269">
        <v>12</v>
      </c>
      <c r="I7" s="269"/>
      <c r="J7" s="269"/>
      <c r="K7" s="269"/>
      <c r="L7" s="269"/>
      <c r="M7" s="269"/>
      <c r="N7" s="269"/>
      <c r="O7" s="269">
        <f t="shared" ref="O7:O50" si="7">$O$3</f>
        <v>17.699535849485258</v>
      </c>
      <c r="Q7" s="251">
        <f>SUM(B7:O7)</f>
        <v>29.899535849485257</v>
      </c>
      <c r="R7" s="251">
        <v>0</v>
      </c>
      <c r="S7" s="251">
        <f t="shared" si="0"/>
        <v>29.899535849485257</v>
      </c>
      <c r="AB7" s="251">
        <f>SUM('BD Feedstock'!C5,'BD Feedstock'!E5,'BD Feedstock'!G5,'BD Feedstock'!K5,'BD Feedstock'!T5)</f>
        <v>14.385712677094421</v>
      </c>
      <c r="AC7" s="251">
        <f>SUM('BD Feedstock'!D5,'BD Feedstock'!F5,'BD Feedstock'!H5,'BD Feedstock'!I5,'BD Feedstock'!L5,'BD Feedstock'!M5,'BD Feedstock'!N5,'BD Feedstock'!O5,'BD Feedstock'!U5)</f>
        <v>5.2293995841929934</v>
      </c>
      <c r="AD7" s="251">
        <f>'BD Feedstock'!J5</f>
        <v>0</v>
      </c>
      <c r="AE7" s="251">
        <f>SUM('BD Feedstock'!B5,'BD Feedstock'!P5,'BD Feedstock'!Q5,'BD Feedstock'!R5)</f>
        <v>0</v>
      </c>
      <c r="AF7" s="251">
        <f>'BD Feedstock'!S5</f>
        <v>0</v>
      </c>
      <c r="AG7" s="251">
        <f t="shared" ref="AG7:AG70" si="8">SUM(AB7:AF7)</f>
        <v>19.615112261287415</v>
      </c>
      <c r="AK7" s="237">
        <f t="shared" ref="AK7:AO70" si="9">AB7/$AG7</f>
        <v>0.73339945677936347</v>
      </c>
      <c r="AL7" s="237">
        <f t="shared" si="9"/>
        <v>0.26660054322063653</v>
      </c>
      <c r="AM7" s="237">
        <f t="shared" si="9"/>
        <v>0</v>
      </c>
      <c r="AN7" s="237">
        <f t="shared" si="9"/>
        <v>0</v>
      </c>
      <c r="AO7" s="237">
        <f t="shared" si="9"/>
        <v>0</v>
      </c>
      <c r="AP7" s="237">
        <f t="shared" ref="AP7:AP70" si="10">SUM(AK7:AO7)</f>
        <v>1</v>
      </c>
      <c r="AQ7" s="237"/>
      <c r="AR7" s="237">
        <f t="shared" ref="AR7:AR70" si="11">AB7/SUM($AB7:$AD7)</f>
        <v>0.73339945677936347</v>
      </c>
      <c r="AS7" s="237">
        <f t="shared" ref="AS7:AS70" si="12">AC7/SUM($AB7:$AD7)</f>
        <v>0.26660054322063653</v>
      </c>
      <c r="AT7" s="237">
        <f t="shared" ref="AT7:AT70" si="13">AD7/SUM($AB7:$AD7)</f>
        <v>0</v>
      </c>
      <c r="AU7" s="237"/>
      <c r="AV7" s="237"/>
      <c r="AX7" s="251">
        <f t="shared" si="1"/>
        <v>0</v>
      </c>
      <c r="AY7" s="251">
        <f t="shared" si="1"/>
        <v>0</v>
      </c>
      <c r="AZ7" s="251">
        <f t="shared" si="1"/>
        <v>0</v>
      </c>
      <c r="BA7" s="251">
        <f t="shared" si="2"/>
        <v>0</v>
      </c>
      <c r="BB7" s="251">
        <f t="shared" si="2"/>
        <v>0</v>
      </c>
      <c r="BC7" s="251">
        <f t="shared" si="3"/>
        <v>0</v>
      </c>
      <c r="BD7" s="270" t="e">
        <f t="shared" si="4"/>
        <v>#DIV/0!</v>
      </c>
      <c r="BE7" s="251">
        <f t="shared" si="5"/>
        <v>0</v>
      </c>
      <c r="BF7" s="251">
        <f t="shared" si="6"/>
        <v>0</v>
      </c>
    </row>
    <row r="8" spans="1:83">
      <c r="A8" s="11">
        <v>39873</v>
      </c>
      <c r="B8" s="268"/>
      <c r="C8" s="268"/>
      <c r="D8" s="268"/>
      <c r="E8" s="268">
        <v>1</v>
      </c>
      <c r="F8" s="269">
        <v>0.2</v>
      </c>
      <c r="G8" s="269"/>
      <c r="H8" s="269">
        <v>12</v>
      </c>
      <c r="I8" s="269"/>
      <c r="J8" s="269"/>
      <c r="K8" s="269"/>
      <c r="L8" s="269"/>
      <c r="M8" s="269"/>
      <c r="N8" s="269"/>
      <c r="O8" s="269">
        <f t="shared" si="7"/>
        <v>17.699535849485258</v>
      </c>
      <c r="Q8" s="251">
        <f t="shared" ref="Q8:Q71" si="14">SUM(B8:O8)</f>
        <v>30.899535849485257</v>
      </c>
      <c r="R8" s="251">
        <v>0</v>
      </c>
      <c r="S8" s="251">
        <f t="shared" si="0"/>
        <v>30.899535849485257</v>
      </c>
      <c r="AB8" s="251">
        <f>SUM('BD Feedstock'!C6,'BD Feedstock'!E6,'BD Feedstock'!G6,'BD Feedstock'!K6,'BD Feedstock'!T6)</f>
        <v>14.870087677094421</v>
      </c>
      <c r="AC8" s="251">
        <f>SUM('BD Feedstock'!D6,'BD Feedstock'!F6,'BD Feedstock'!H6,'BD Feedstock'!I6,'BD Feedstock'!L6,'BD Feedstock'!M6,'BD Feedstock'!N6,'BD Feedstock'!O6,'BD Feedstock'!U6)</f>
        <v>5.4008579175263272</v>
      </c>
      <c r="AD8" s="251">
        <f>'BD Feedstock'!J6</f>
        <v>0</v>
      </c>
      <c r="AE8" s="251">
        <f>SUM('BD Feedstock'!B6,'BD Feedstock'!P6,'BD Feedstock'!Q6,'BD Feedstock'!R6)</f>
        <v>0</v>
      </c>
      <c r="AF8" s="251">
        <f>'BD Feedstock'!S6</f>
        <v>0</v>
      </c>
      <c r="AG8" s="251">
        <f t="shared" si="8"/>
        <v>20.270945594620748</v>
      </c>
      <c r="AK8" s="237">
        <f t="shared" si="9"/>
        <v>0.73356655256577963</v>
      </c>
      <c r="AL8" s="237">
        <f t="shared" si="9"/>
        <v>0.26643344743422032</v>
      </c>
      <c r="AM8" s="237">
        <f t="shared" si="9"/>
        <v>0</v>
      </c>
      <c r="AN8" s="237">
        <f t="shared" si="9"/>
        <v>0</v>
      </c>
      <c r="AO8" s="237">
        <f t="shared" si="9"/>
        <v>0</v>
      </c>
      <c r="AP8" s="237">
        <f t="shared" si="10"/>
        <v>1</v>
      </c>
      <c r="AQ8" s="237"/>
      <c r="AR8" s="237">
        <f t="shared" si="11"/>
        <v>0.73356655256577963</v>
      </c>
      <c r="AS8" s="237">
        <f t="shared" si="12"/>
        <v>0.26643344743422032</v>
      </c>
      <c r="AT8" s="237">
        <f t="shared" si="13"/>
        <v>0</v>
      </c>
      <c r="AU8" s="237"/>
      <c r="AV8" s="237"/>
      <c r="AX8" s="251">
        <f t="shared" si="1"/>
        <v>0</v>
      </c>
      <c r="AY8" s="251">
        <f t="shared" si="1"/>
        <v>0</v>
      </c>
      <c r="AZ8" s="251">
        <f t="shared" si="1"/>
        <v>0</v>
      </c>
      <c r="BA8" s="251">
        <f t="shared" si="2"/>
        <v>0</v>
      </c>
      <c r="BB8" s="251">
        <f t="shared" si="2"/>
        <v>0</v>
      </c>
      <c r="BC8" s="251">
        <f t="shared" si="3"/>
        <v>0</v>
      </c>
      <c r="BD8" s="270" t="e">
        <f t="shared" si="4"/>
        <v>#DIV/0!</v>
      </c>
      <c r="BE8" s="251">
        <f t="shared" si="5"/>
        <v>0</v>
      </c>
      <c r="BF8" s="251">
        <f t="shared" si="6"/>
        <v>0</v>
      </c>
    </row>
    <row r="9" spans="1:83">
      <c r="A9" s="11">
        <v>39904</v>
      </c>
      <c r="B9" s="268"/>
      <c r="C9" s="268"/>
      <c r="D9" s="268"/>
      <c r="E9" s="268">
        <v>2</v>
      </c>
      <c r="F9" s="269">
        <v>0.2</v>
      </c>
      <c r="G9" s="269"/>
      <c r="H9" s="269">
        <v>12</v>
      </c>
      <c r="I9" s="269"/>
      <c r="J9" s="269"/>
      <c r="K9" s="269"/>
      <c r="L9" s="269"/>
      <c r="M9" s="269"/>
      <c r="N9" s="269"/>
      <c r="O9" s="269">
        <f t="shared" si="7"/>
        <v>17.699535849485258</v>
      </c>
      <c r="Q9" s="251">
        <f t="shared" si="14"/>
        <v>31.899535849485257</v>
      </c>
      <c r="R9" s="251">
        <v>0</v>
      </c>
      <c r="S9" s="251">
        <f t="shared" si="0"/>
        <v>31.899535849485257</v>
      </c>
      <c r="AB9" s="251">
        <f>SUM('BD Feedstock'!C7,'BD Feedstock'!E7,'BD Feedstock'!G7,'BD Feedstock'!K7,'BD Feedstock'!T7)</f>
        <v>15.354462677094421</v>
      </c>
      <c r="AC9" s="251">
        <f>SUM('BD Feedstock'!D7,'BD Feedstock'!F7,'BD Feedstock'!H7,'BD Feedstock'!I7,'BD Feedstock'!L7,'BD Feedstock'!M7,'BD Feedstock'!N7,'BD Feedstock'!O7,'BD Feedstock'!U7)</f>
        <v>5.5723162508596609</v>
      </c>
      <c r="AD9" s="251">
        <f>'BD Feedstock'!J7</f>
        <v>0</v>
      </c>
      <c r="AE9" s="251">
        <f>SUM('BD Feedstock'!B7,'BD Feedstock'!P7,'BD Feedstock'!Q7,'BD Feedstock'!R7)</f>
        <v>0</v>
      </c>
      <c r="AF9" s="251">
        <f>'BD Feedstock'!S7</f>
        <v>0</v>
      </c>
      <c r="AG9" s="251">
        <f t="shared" si="8"/>
        <v>20.926778927954082</v>
      </c>
      <c r="AK9" s="237">
        <f t="shared" si="9"/>
        <v>0.73372317497863293</v>
      </c>
      <c r="AL9" s="237">
        <f t="shared" si="9"/>
        <v>0.26627682502136707</v>
      </c>
      <c r="AM9" s="237">
        <f t="shared" si="9"/>
        <v>0</v>
      </c>
      <c r="AN9" s="237">
        <f t="shared" si="9"/>
        <v>0</v>
      </c>
      <c r="AO9" s="237">
        <f t="shared" si="9"/>
        <v>0</v>
      </c>
      <c r="AP9" s="237">
        <f t="shared" si="10"/>
        <v>1</v>
      </c>
      <c r="AQ9" s="237"/>
      <c r="AR9" s="237">
        <f t="shared" si="11"/>
        <v>0.73372317497863293</v>
      </c>
      <c r="AS9" s="237">
        <f t="shared" si="12"/>
        <v>0.26627682502136707</v>
      </c>
      <c r="AT9" s="237">
        <f t="shared" si="13"/>
        <v>0</v>
      </c>
      <c r="AU9" s="237"/>
      <c r="AV9" s="237"/>
      <c r="AX9" s="251">
        <f t="shared" si="1"/>
        <v>0</v>
      </c>
      <c r="AY9" s="251">
        <f t="shared" si="1"/>
        <v>0</v>
      </c>
      <c r="AZ9" s="251">
        <f t="shared" si="1"/>
        <v>0</v>
      </c>
      <c r="BA9" s="251">
        <f t="shared" si="2"/>
        <v>0</v>
      </c>
      <c r="BB9" s="251">
        <f t="shared" si="2"/>
        <v>0</v>
      </c>
      <c r="BC9" s="251">
        <f t="shared" si="3"/>
        <v>0</v>
      </c>
      <c r="BD9" s="270" t="e">
        <f t="shared" si="4"/>
        <v>#DIV/0!</v>
      </c>
      <c r="BE9" s="251">
        <f t="shared" si="5"/>
        <v>0</v>
      </c>
      <c r="BF9" s="251">
        <f t="shared" si="6"/>
        <v>0</v>
      </c>
    </row>
    <row r="10" spans="1:83">
      <c r="A10" s="11">
        <v>39934</v>
      </c>
      <c r="B10" s="268"/>
      <c r="C10" s="268"/>
      <c r="D10" s="268"/>
      <c r="E10" s="268">
        <v>3</v>
      </c>
      <c r="F10" s="269">
        <v>0.2</v>
      </c>
      <c r="G10" s="269"/>
      <c r="H10" s="269">
        <v>12</v>
      </c>
      <c r="I10" s="269"/>
      <c r="J10" s="269"/>
      <c r="K10" s="269"/>
      <c r="L10" s="269"/>
      <c r="M10" s="269"/>
      <c r="N10" s="269"/>
      <c r="O10" s="269">
        <f t="shared" si="7"/>
        <v>17.699535849485258</v>
      </c>
      <c r="Q10" s="251">
        <f t="shared" si="14"/>
        <v>32.899535849485261</v>
      </c>
      <c r="R10" s="251">
        <v>0</v>
      </c>
      <c r="S10" s="251">
        <f t="shared" si="0"/>
        <v>32.899535849485261</v>
      </c>
      <c r="AB10" s="251">
        <f>SUM('BD Feedstock'!C8,'BD Feedstock'!E8,'BD Feedstock'!G8,'BD Feedstock'!K8,'BD Feedstock'!T8)</f>
        <v>15.838837677094421</v>
      </c>
      <c r="AC10" s="251">
        <f>SUM('BD Feedstock'!D8,'BD Feedstock'!F8,'BD Feedstock'!H8,'BD Feedstock'!I8,'BD Feedstock'!L8,'BD Feedstock'!M8,'BD Feedstock'!N8,'BD Feedstock'!O8,'BD Feedstock'!U8)</f>
        <v>5.7437745841929937</v>
      </c>
      <c r="AD10" s="251">
        <f>'BD Feedstock'!J8</f>
        <v>0</v>
      </c>
      <c r="AE10" s="251">
        <f>SUM('BD Feedstock'!B8,'BD Feedstock'!P8,'BD Feedstock'!Q8,'BD Feedstock'!R8)</f>
        <v>0</v>
      </c>
      <c r="AF10" s="251">
        <f>'BD Feedstock'!S8</f>
        <v>0</v>
      </c>
      <c r="AG10" s="251">
        <f t="shared" si="8"/>
        <v>21.582612261287416</v>
      </c>
      <c r="AK10" s="237">
        <f t="shared" si="9"/>
        <v>0.73387027878476208</v>
      </c>
      <c r="AL10" s="237">
        <f t="shared" si="9"/>
        <v>0.26612972121523781</v>
      </c>
      <c r="AM10" s="237">
        <f t="shared" si="9"/>
        <v>0</v>
      </c>
      <c r="AN10" s="237">
        <f t="shared" si="9"/>
        <v>0</v>
      </c>
      <c r="AO10" s="237">
        <f t="shared" si="9"/>
        <v>0</v>
      </c>
      <c r="AP10" s="237">
        <f t="shared" si="10"/>
        <v>0.99999999999999989</v>
      </c>
      <c r="AQ10" s="237"/>
      <c r="AR10" s="237">
        <f t="shared" si="11"/>
        <v>0.73387027878476208</v>
      </c>
      <c r="AS10" s="237">
        <f t="shared" si="12"/>
        <v>0.26612972121523781</v>
      </c>
      <c r="AT10" s="237">
        <f t="shared" si="13"/>
        <v>0</v>
      </c>
      <c r="AU10" s="237"/>
      <c r="AV10" s="237"/>
      <c r="AX10" s="251">
        <f t="shared" si="1"/>
        <v>0</v>
      </c>
      <c r="AY10" s="251">
        <f t="shared" si="1"/>
        <v>0</v>
      </c>
      <c r="AZ10" s="251">
        <f t="shared" si="1"/>
        <v>0</v>
      </c>
      <c r="BA10" s="251">
        <f t="shared" si="2"/>
        <v>0</v>
      </c>
      <c r="BB10" s="251">
        <f t="shared" si="2"/>
        <v>0</v>
      </c>
      <c r="BC10" s="251">
        <f t="shared" si="3"/>
        <v>0</v>
      </c>
      <c r="BD10" s="270" t="e">
        <f t="shared" si="4"/>
        <v>#DIV/0!</v>
      </c>
      <c r="BE10" s="251">
        <f t="shared" si="5"/>
        <v>0</v>
      </c>
      <c r="BF10" s="251">
        <f t="shared" si="6"/>
        <v>0</v>
      </c>
    </row>
    <row r="11" spans="1:83">
      <c r="A11" s="11">
        <v>39965</v>
      </c>
      <c r="B11" s="268"/>
      <c r="C11" s="268"/>
      <c r="D11" s="268"/>
      <c r="E11" s="268">
        <v>3</v>
      </c>
      <c r="F11" s="269">
        <v>0.2</v>
      </c>
      <c r="G11" s="269"/>
      <c r="H11" s="269">
        <v>12</v>
      </c>
      <c r="I11" s="269"/>
      <c r="J11" s="269"/>
      <c r="K11" s="269"/>
      <c r="L11" s="269"/>
      <c r="M11" s="269"/>
      <c r="N11" s="269"/>
      <c r="O11" s="269">
        <f t="shared" si="7"/>
        <v>17.699535849485258</v>
      </c>
      <c r="Q11" s="251">
        <f t="shared" si="14"/>
        <v>32.899535849485261</v>
      </c>
      <c r="R11" s="251">
        <v>0</v>
      </c>
      <c r="S11" s="251">
        <f t="shared" si="0"/>
        <v>32.899535849485261</v>
      </c>
      <c r="AB11" s="251">
        <f>SUM('BD Feedstock'!C9,'BD Feedstock'!E9,'BD Feedstock'!G9,'BD Feedstock'!K9,'BD Feedstock'!T9)</f>
        <v>15.838837677094421</v>
      </c>
      <c r="AC11" s="251">
        <f>SUM('BD Feedstock'!D9,'BD Feedstock'!F9,'BD Feedstock'!H9,'BD Feedstock'!I9,'BD Feedstock'!L9,'BD Feedstock'!M9,'BD Feedstock'!N9,'BD Feedstock'!O9,'BD Feedstock'!U9)</f>
        <v>5.7437745841929937</v>
      </c>
      <c r="AD11" s="251">
        <f>'BD Feedstock'!J9</f>
        <v>0</v>
      </c>
      <c r="AE11" s="251">
        <f>SUM('BD Feedstock'!B9,'BD Feedstock'!P9,'BD Feedstock'!Q9,'BD Feedstock'!R9)</f>
        <v>0</v>
      </c>
      <c r="AF11" s="251">
        <f>'BD Feedstock'!S9</f>
        <v>0</v>
      </c>
      <c r="AG11" s="251">
        <f t="shared" si="8"/>
        <v>21.582612261287416</v>
      </c>
      <c r="AK11" s="237">
        <f t="shared" si="9"/>
        <v>0.73387027878476208</v>
      </c>
      <c r="AL11" s="237">
        <f t="shared" si="9"/>
        <v>0.26612972121523781</v>
      </c>
      <c r="AM11" s="237">
        <f t="shared" si="9"/>
        <v>0</v>
      </c>
      <c r="AN11" s="237">
        <f t="shared" si="9"/>
        <v>0</v>
      </c>
      <c r="AO11" s="237">
        <f t="shared" si="9"/>
        <v>0</v>
      </c>
      <c r="AP11" s="237">
        <f t="shared" si="10"/>
        <v>0.99999999999999989</v>
      </c>
      <c r="AQ11" s="237"/>
      <c r="AR11" s="237">
        <f t="shared" si="11"/>
        <v>0.73387027878476208</v>
      </c>
      <c r="AS11" s="237">
        <f t="shared" si="12"/>
        <v>0.26612972121523781</v>
      </c>
      <c r="AT11" s="237">
        <f t="shared" si="13"/>
        <v>0</v>
      </c>
      <c r="AU11" s="237"/>
      <c r="AV11" s="237"/>
      <c r="AX11" s="251">
        <f t="shared" si="1"/>
        <v>0</v>
      </c>
      <c r="AY11" s="251">
        <f t="shared" si="1"/>
        <v>0</v>
      </c>
      <c r="AZ11" s="251">
        <f t="shared" si="1"/>
        <v>0</v>
      </c>
      <c r="BA11" s="251">
        <f t="shared" si="2"/>
        <v>0</v>
      </c>
      <c r="BB11" s="251">
        <f t="shared" si="2"/>
        <v>0</v>
      </c>
      <c r="BC11" s="251">
        <f t="shared" si="3"/>
        <v>0</v>
      </c>
      <c r="BD11" s="270" t="e">
        <f t="shared" si="4"/>
        <v>#DIV/0!</v>
      </c>
      <c r="BE11" s="251">
        <f t="shared" si="5"/>
        <v>0</v>
      </c>
      <c r="BF11" s="251">
        <f t="shared" si="6"/>
        <v>0</v>
      </c>
    </row>
    <row r="12" spans="1:83">
      <c r="A12" s="11">
        <v>39995</v>
      </c>
      <c r="B12" s="268"/>
      <c r="C12" s="268"/>
      <c r="D12" s="268"/>
      <c r="E12" s="268">
        <v>3</v>
      </c>
      <c r="F12" s="269">
        <v>0.2</v>
      </c>
      <c r="G12" s="269"/>
      <c r="H12" s="269">
        <v>12</v>
      </c>
      <c r="I12" s="269"/>
      <c r="J12" s="269"/>
      <c r="K12" s="269"/>
      <c r="L12" s="269"/>
      <c r="M12" s="269"/>
      <c r="N12" s="269"/>
      <c r="O12" s="269">
        <f t="shared" si="7"/>
        <v>17.699535849485258</v>
      </c>
      <c r="Q12" s="251">
        <f t="shared" si="14"/>
        <v>32.899535849485261</v>
      </c>
      <c r="R12" s="251">
        <v>0</v>
      </c>
      <c r="S12" s="251">
        <f t="shared" si="0"/>
        <v>32.899535849485261</v>
      </c>
      <c r="AB12" s="251">
        <f>SUM('BD Feedstock'!C10,'BD Feedstock'!E10,'BD Feedstock'!G10,'BD Feedstock'!K10,'BD Feedstock'!T10)</f>
        <v>15.838837677094421</v>
      </c>
      <c r="AC12" s="251">
        <f>SUM('BD Feedstock'!D10,'BD Feedstock'!F10,'BD Feedstock'!H10,'BD Feedstock'!I10,'BD Feedstock'!L10,'BD Feedstock'!M10,'BD Feedstock'!N10,'BD Feedstock'!O10,'BD Feedstock'!U10)</f>
        <v>5.7437745841929937</v>
      </c>
      <c r="AD12" s="251">
        <f>'BD Feedstock'!J10</f>
        <v>0</v>
      </c>
      <c r="AE12" s="251">
        <f>SUM('BD Feedstock'!B10,'BD Feedstock'!P10,'BD Feedstock'!Q10,'BD Feedstock'!R10)</f>
        <v>0</v>
      </c>
      <c r="AF12" s="251">
        <f>'BD Feedstock'!S10</f>
        <v>0</v>
      </c>
      <c r="AG12" s="251">
        <f t="shared" si="8"/>
        <v>21.582612261287416</v>
      </c>
      <c r="AK12" s="237">
        <f t="shared" si="9"/>
        <v>0.73387027878476208</v>
      </c>
      <c r="AL12" s="237">
        <f t="shared" si="9"/>
        <v>0.26612972121523781</v>
      </c>
      <c r="AM12" s="237">
        <f t="shared" si="9"/>
        <v>0</v>
      </c>
      <c r="AN12" s="237">
        <f t="shared" si="9"/>
        <v>0</v>
      </c>
      <c r="AO12" s="237">
        <f t="shared" si="9"/>
        <v>0</v>
      </c>
      <c r="AP12" s="237">
        <f t="shared" si="10"/>
        <v>0.99999999999999989</v>
      </c>
      <c r="AQ12" s="237"/>
      <c r="AR12" s="237">
        <f t="shared" si="11"/>
        <v>0.73387027878476208</v>
      </c>
      <c r="AS12" s="237">
        <f t="shared" si="12"/>
        <v>0.26612972121523781</v>
      </c>
      <c r="AT12" s="237">
        <f t="shared" si="13"/>
        <v>0</v>
      </c>
      <c r="AU12" s="237"/>
      <c r="AV12" s="237"/>
      <c r="AX12" s="251">
        <f t="shared" si="1"/>
        <v>0</v>
      </c>
      <c r="AY12" s="251">
        <f t="shared" si="1"/>
        <v>0</v>
      </c>
      <c r="AZ12" s="251">
        <f t="shared" si="1"/>
        <v>0</v>
      </c>
      <c r="BA12" s="251">
        <f t="shared" si="2"/>
        <v>0</v>
      </c>
      <c r="BB12" s="251">
        <f t="shared" si="2"/>
        <v>0</v>
      </c>
      <c r="BC12" s="251">
        <f t="shared" si="3"/>
        <v>0</v>
      </c>
      <c r="BD12" s="270" t="e">
        <f t="shared" si="4"/>
        <v>#DIV/0!</v>
      </c>
      <c r="BE12" s="251">
        <f t="shared" si="5"/>
        <v>0</v>
      </c>
      <c r="BF12" s="251">
        <f t="shared" si="6"/>
        <v>0</v>
      </c>
    </row>
    <row r="13" spans="1:83">
      <c r="A13" s="11">
        <v>40026</v>
      </c>
      <c r="B13" s="268"/>
      <c r="C13" s="268"/>
      <c r="D13" s="268"/>
      <c r="E13" s="268">
        <v>3</v>
      </c>
      <c r="F13" s="269">
        <v>0.2</v>
      </c>
      <c r="G13" s="269"/>
      <c r="H13" s="269">
        <v>12</v>
      </c>
      <c r="I13" s="269"/>
      <c r="J13" s="269"/>
      <c r="K13" s="269"/>
      <c r="L13" s="269">
        <v>2.6417217685798895</v>
      </c>
      <c r="M13" s="269"/>
      <c r="N13" s="269"/>
      <c r="O13" s="269">
        <f t="shared" si="7"/>
        <v>17.699535849485258</v>
      </c>
      <c r="Q13" s="251">
        <f t="shared" si="14"/>
        <v>35.541257618065146</v>
      </c>
      <c r="R13" s="251">
        <v>0</v>
      </c>
      <c r="S13" s="251">
        <f t="shared" si="0"/>
        <v>35.541257618065146</v>
      </c>
      <c r="AB13" s="251">
        <f>SUM('BD Feedstock'!C11,'BD Feedstock'!E11,'BD Feedstock'!G11,'BD Feedstock'!K11,'BD Feedstock'!T11)</f>
        <v>15.838837677094421</v>
      </c>
      <c r="AC13" s="251">
        <f>SUM('BD Feedstock'!D11,'BD Feedstock'!F11,'BD Feedstock'!H11,'BD Feedstock'!I11,'BD Feedstock'!L11,'BD Feedstock'!M11,'BD Feedstock'!N11,'BD Feedstock'!O11,'BD Feedstock'!U11)</f>
        <v>5.7437745841929937</v>
      </c>
      <c r="AD13" s="251">
        <f>'BD Feedstock'!J11</f>
        <v>0</v>
      </c>
      <c r="AE13" s="251">
        <f>SUM('BD Feedstock'!B11,'BD Feedstock'!P11,'BD Feedstock'!Q11,'BD Feedstock'!R11)</f>
        <v>1.6400689313266814</v>
      </c>
      <c r="AF13" s="251">
        <f>'BD Feedstock'!S11</f>
        <v>0</v>
      </c>
      <c r="AG13" s="251">
        <f t="shared" si="8"/>
        <v>23.222681192614097</v>
      </c>
      <c r="AK13" s="237">
        <f t="shared" si="9"/>
        <v>0.68204173091485731</v>
      </c>
      <c r="AL13" s="237">
        <f t="shared" si="9"/>
        <v>0.24733468700503816</v>
      </c>
      <c r="AM13" s="237">
        <f t="shared" si="9"/>
        <v>0</v>
      </c>
      <c r="AN13" s="237">
        <f t="shared" si="9"/>
        <v>7.0623582080104524E-2</v>
      </c>
      <c r="AO13" s="237">
        <f t="shared" si="9"/>
        <v>0</v>
      </c>
      <c r="AP13" s="237">
        <f t="shared" si="10"/>
        <v>1</v>
      </c>
      <c r="AQ13" s="237"/>
      <c r="AR13" s="237">
        <f t="shared" si="11"/>
        <v>0.73387027878476208</v>
      </c>
      <c r="AS13" s="237">
        <f t="shared" si="12"/>
        <v>0.26612972121523781</v>
      </c>
      <c r="AT13" s="237">
        <f t="shared" si="13"/>
        <v>0</v>
      </c>
      <c r="AU13" s="237">
        <f>AE13/SUM($AE13:$AF13)</f>
        <v>1</v>
      </c>
      <c r="AV13" s="237">
        <f>AF13/SUM($AE13:$AF13)</f>
        <v>0</v>
      </c>
      <c r="AX13" s="251">
        <f t="shared" si="1"/>
        <v>0</v>
      </c>
      <c r="AY13" s="251">
        <f t="shared" si="1"/>
        <v>0</v>
      </c>
      <c r="AZ13" s="251">
        <f t="shared" si="1"/>
        <v>0</v>
      </c>
      <c r="BA13" s="251">
        <f t="shared" si="2"/>
        <v>0</v>
      </c>
      <c r="BB13" s="251">
        <f t="shared" si="2"/>
        <v>0</v>
      </c>
      <c r="BC13" s="251">
        <f t="shared" si="3"/>
        <v>0</v>
      </c>
      <c r="BD13" s="270" t="e">
        <f t="shared" si="4"/>
        <v>#DIV/0!</v>
      </c>
      <c r="BE13" s="251">
        <f t="shared" si="5"/>
        <v>0</v>
      </c>
      <c r="BF13" s="251">
        <f t="shared" si="6"/>
        <v>0</v>
      </c>
    </row>
    <row r="14" spans="1:83">
      <c r="A14" s="11">
        <v>40057</v>
      </c>
      <c r="B14" s="268"/>
      <c r="C14" s="268"/>
      <c r="D14" s="268"/>
      <c r="E14" s="268">
        <v>3</v>
      </c>
      <c r="F14" s="269">
        <v>0.2</v>
      </c>
      <c r="G14" s="269"/>
      <c r="H14" s="269">
        <v>12</v>
      </c>
      <c r="I14" s="269"/>
      <c r="J14" s="269"/>
      <c r="K14" s="269"/>
      <c r="L14" s="269">
        <v>2.6417217685798895</v>
      </c>
      <c r="M14" s="269"/>
      <c r="N14" s="269"/>
      <c r="O14" s="269">
        <f t="shared" si="7"/>
        <v>17.699535849485258</v>
      </c>
      <c r="Q14" s="251">
        <f t="shared" si="14"/>
        <v>35.541257618065146</v>
      </c>
      <c r="R14" s="251">
        <v>0</v>
      </c>
      <c r="S14" s="251">
        <f t="shared" si="0"/>
        <v>35.541257618065146</v>
      </c>
      <c r="AB14" s="251">
        <f>SUM('BD Feedstock'!C12,'BD Feedstock'!E12,'BD Feedstock'!G12,'BD Feedstock'!K12,'BD Feedstock'!T12)</f>
        <v>15.838837677094421</v>
      </c>
      <c r="AC14" s="251">
        <f>SUM('BD Feedstock'!D12,'BD Feedstock'!F12,'BD Feedstock'!H12,'BD Feedstock'!I12,'BD Feedstock'!L12,'BD Feedstock'!M12,'BD Feedstock'!N12,'BD Feedstock'!O12,'BD Feedstock'!U12)</f>
        <v>5.7437745841929937</v>
      </c>
      <c r="AD14" s="251">
        <f>'BD Feedstock'!J12</f>
        <v>0</v>
      </c>
      <c r="AE14" s="251">
        <f>SUM('BD Feedstock'!B12,'BD Feedstock'!P12,'BD Feedstock'!Q12,'BD Feedstock'!R12)</f>
        <v>1.6400689313266814</v>
      </c>
      <c r="AF14" s="251">
        <f>'BD Feedstock'!S12</f>
        <v>0</v>
      </c>
      <c r="AG14" s="251">
        <f t="shared" si="8"/>
        <v>23.222681192614097</v>
      </c>
      <c r="AK14" s="237">
        <f t="shared" si="9"/>
        <v>0.68204173091485731</v>
      </c>
      <c r="AL14" s="237">
        <f t="shared" si="9"/>
        <v>0.24733468700503816</v>
      </c>
      <c r="AM14" s="237">
        <f t="shared" si="9"/>
        <v>0</v>
      </c>
      <c r="AN14" s="237">
        <f t="shared" si="9"/>
        <v>7.0623582080104524E-2</v>
      </c>
      <c r="AO14" s="237">
        <f t="shared" si="9"/>
        <v>0</v>
      </c>
      <c r="AP14" s="237">
        <f t="shared" si="10"/>
        <v>1</v>
      </c>
      <c r="AQ14" s="237"/>
      <c r="AR14" s="237">
        <f t="shared" si="11"/>
        <v>0.73387027878476208</v>
      </c>
      <c r="AS14" s="237">
        <f t="shared" si="12"/>
        <v>0.26612972121523781</v>
      </c>
      <c r="AT14" s="237">
        <f t="shared" si="13"/>
        <v>0</v>
      </c>
      <c r="AU14" s="237">
        <f t="shared" ref="AU14:AU34" si="15">AE14/SUM($AE14:$AF14)</f>
        <v>1</v>
      </c>
      <c r="AV14" s="237">
        <f t="shared" ref="AV14:AV34" si="16">AF14/SUM($AE14:$AF14)</f>
        <v>0</v>
      </c>
      <c r="AX14" s="251">
        <f t="shared" si="1"/>
        <v>0</v>
      </c>
      <c r="AY14" s="251">
        <f t="shared" si="1"/>
        <v>0</v>
      </c>
      <c r="AZ14" s="251">
        <f t="shared" si="1"/>
        <v>0</v>
      </c>
      <c r="BA14" s="251">
        <f t="shared" si="2"/>
        <v>0</v>
      </c>
      <c r="BB14" s="251">
        <f t="shared" si="2"/>
        <v>0</v>
      </c>
      <c r="BC14" s="251">
        <f t="shared" si="3"/>
        <v>0</v>
      </c>
      <c r="BD14" s="270" t="e">
        <f t="shared" si="4"/>
        <v>#DIV/0!</v>
      </c>
      <c r="BE14" s="251">
        <f t="shared" si="5"/>
        <v>0</v>
      </c>
      <c r="BF14" s="251">
        <f t="shared" si="6"/>
        <v>0</v>
      </c>
    </row>
    <row r="15" spans="1:83">
      <c r="A15" s="11">
        <v>40087</v>
      </c>
      <c r="B15" s="268"/>
      <c r="C15" s="268"/>
      <c r="D15" s="268"/>
      <c r="E15" s="268">
        <v>3</v>
      </c>
      <c r="F15" s="269">
        <v>0.2</v>
      </c>
      <c r="G15" s="269"/>
      <c r="H15" s="269">
        <v>12</v>
      </c>
      <c r="I15" s="269"/>
      <c r="J15" s="269"/>
      <c r="K15" s="269"/>
      <c r="L15" s="269">
        <v>2.6417217685798895</v>
      </c>
      <c r="M15" s="269"/>
      <c r="N15" s="269"/>
      <c r="O15" s="269">
        <f t="shared" si="7"/>
        <v>17.699535849485258</v>
      </c>
      <c r="Q15" s="251">
        <f t="shared" si="14"/>
        <v>35.541257618065146</v>
      </c>
      <c r="R15" s="251">
        <v>0</v>
      </c>
      <c r="S15" s="251">
        <f t="shared" si="0"/>
        <v>35.541257618065146</v>
      </c>
      <c r="AB15" s="251">
        <f>SUM('BD Feedstock'!C13,'BD Feedstock'!E13,'BD Feedstock'!G13,'BD Feedstock'!K13,'BD Feedstock'!T13)</f>
        <v>15.838837677094421</v>
      </c>
      <c r="AC15" s="251">
        <f>SUM('BD Feedstock'!D13,'BD Feedstock'!F13,'BD Feedstock'!H13,'BD Feedstock'!I13,'BD Feedstock'!L13,'BD Feedstock'!M13,'BD Feedstock'!N13,'BD Feedstock'!O13,'BD Feedstock'!U13)</f>
        <v>5.7437745841929937</v>
      </c>
      <c r="AD15" s="251">
        <f>'BD Feedstock'!J13</f>
        <v>0</v>
      </c>
      <c r="AE15" s="251">
        <f>SUM('BD Feedstock'!B13,'BD Feedstock'!P13,'BD Feedstock'!Q13,'BD Feedstock'!R13)</f>
        <v>1.6400689313266814</v>
      </c>
      <c r="AF15" s="251">
        <f>'BD Feedstock'!S13</f>
        <v>0</v>
      </c>
      <c r="AG15" s="251">
        <f t="shared" si="8"/>
        <v>23.222681192614097</v>
      </c>
      <c r="AK15" s="237">
        <f t="shared" si="9"/>
        <v>0.68204173091485731</v>
      </c>
      <c r="AL15" s="237">
        <f t="shared" si="9"/>
        <v>0.24733468700503816</v>
      </c>
      <c r="AM15" s="237">
        <f t="shared" si="9"/>
        <v>0</v>
      </c>
      <c r="AN15" s="237">
        <f t="shared" si="9"/>
        <v>7.0623582080104524E-2</v>
      </c>
      <c r="AO15" s="237">
        <f t="shared" si="9"/>
        <v>0</v>
      </c>
      <c r="AP15" s="237">
        <f t="shared" si="10"/>
        <v>1</v>
      </c>
      <c r="AQ15" s="237"/>
      <c r="AR15" s="237">
        <f t="shared" si="11"/>
        <v>0.73387027878476208</v>
      </c>
      <c r="AS15" s="237">
        <f t="shared" si="12"/>
        <v>0.26612972121523781</v>
      </c>
      <c r="AT15" s="237">
        <f t="shared" si="13"/>
        <v>0</v>
      </c>
      <c r="AU15" s="237">
        <f t="shared" si="15"/>
        <v>1</v>
      </c>
      <c r="AV15" s="237">
        <f t="shared" si="16"/>
        <v>0</v>
      </c>
      <c r="AX15" s="251">
        <f t="shared" si="1"/>
        <v>0</v>
      </c>
      <c r="AY15" s="251">
        <f t="shared" si="1"/>
        <v>0</v>
      </c>
      <c r="AZ15" s="251">
        <f t="shared" si="1"/>
        <v>0</v>
      </c>
      <c r="BA15" s="251">
        <f t="shared" si="2"/>
        <v>0</v>
      </c>
      <c r="BB15" s="251">
        <f t="shared" si="2"/>
        <v>0</v>
      </c>
      <c r="BC15" s="251">
        <f t="shared" si="3"/>
        <v>0</v>
      </c>
      <c r="BD15" s="270" t="e">
        <f t="shared" si="4"/>
        <v>#DIV/0!</v>
      </c>
      <c r="BE15" s="251">
        <f t="shared" si="5"/>
        <v>0</v>
      </c>
      <c r="BF15" s="251">
        <f t="shared" si="6"/>
        <v>0</v>
      </c>
    </row>
    <row r="16" spans="1:83">
      <c r="A16" s="11">
        <v>40118</v>
      </c>
      <c r="B16" s="268"/>
      <c r="C16" s="268"/>
      <c r="D16" s="268"/>
      <c r="E16" s="268">
        <v>3</v>
      </c>
      <c r="F16" s="269">
        <v>0.2</v>
      </c>
      <c r="G16" s="269"/>
      <c r="H16" s="269">
        <v>12</v>
      </c>
      <c r="I16" s="269"/>
      <c r="J16" s="269"/>
      <c r="K16" s="269"/>
      <c r="L16" s="269">
        <v>2.6417217685798895</v>
      </c>
      <c r="M16" s="269"/>
      <c r="N16" s="269"/>
      <c r="O16" s="269">
        <f t="shared" si="7"/>
        <v>17.699535849485258</v>
      </c>
      <c r="Q16" s="251">
        <f t="shared" si="14"/>
        <v>35.541257618065146</v>
      </c>
      <c r="R16" s="251">
        <v>0</v>
      </c>
      <c r="S16" s="251">
        <f t="shared" si="0"/>
        <v>35.541257618065146</v>
      </c>
      <c r="AB16" s="251">
        <f>SUM('BD Feedstock'!C14,'BD Feedstock'!E14,'BD Feedstock'!G14,'BD Feedstock'!K14,'BD Feedstock'!T14)</f>
        <v>15.838837677094421</v>
      </c>
      <c r="AC16" s="251">
        <f>SUM('BD Feedstock'!D14,'BD Feedstock'!F14,'BD Feedstock'!H14,'BD Feedstock'!I14,'BD Feedstock'!L14,'BD Feedstock'!M14,'BD Feedstock'!N14,'BD Feedstock'!O14,'BD Feedstock'!U14)</f>
        <v>5.7437745841929937</v>
      </c>
      <c r="AD16" s="251">
        <f>'BD Feedstock'!J14</f>
        <v>0</v>
      </c>
      <c r="AE16" s="251">
        <f>SUM('BD Feedstock'!B14,'BD Feedstock'!P14,'BD Feedstock'!Q14,'BD Feedstock'!R14)</f>
        <v>1.6400689313266814</v>
      </c>
      <c r="AF16" s="251">
        <f>'BD Feedstock'!S14</f>
        <v>0</v>
      </c>
      <c r="AG16" s="251">
        <f t="shared" si="8"/>
        <v>23.222681192614097</v>
      </c>
      <c r="AK16" s="237">
        <f t="shared" si="9"/>
        <v>0.68204173091485731</v>
      </c>
      <c r="AL16" s="237">
        <f t="shared" si="9"/>
        <v>0.24733468700503816</v>
      </c>
      <c r="AM16" s="237">
        <f t="shared" si="9"/>
        <v>0</v>
      </c>
      <c r="AN16" s="237">
        <f t="shared" si="9"/>
        <v>7.0623582080104524E-2</v>
      </c>
      <c r="AO16" s="237">
        <f t="shared" si="9"/>
        <v>0</v>
      </c>
      <c r="AP16" s="237">
        <f t="shared" si="10"/>
        <v>1</v>
      </c>
      <c r="AQ16" s="237"/>
      <c r="AR16" s="237">
        <f t="shared" si="11"/>
        <v>0.73387027878476208</v>
      </c>
      <c r="AS16" s="237">
        <f t="shared" si="12"/>
        <v>0.26612972121523781</v>
      </c>
      <c r="AT16" s="237">
        <f t="shared" si="13"/>
        <v>0</v>
      </c>
      <c r="AU16" s="237">
        <f t="shared" si="15"/>
        <v>1</v>
      </c>
      <c r="AV16" s="237">
        <f t="shared" si="16"/>
        <v>0</v>
      </c>
      <c r="AX16" s="251">
        <f t="shared" si="1"/>
        <v>0</v>
      </c>
      <c r="AY16" s="251">
        <f t="shared" si="1"/>
        <v>0</v>
      </c>
      <c r="AZ16" s="251">
        <f t="shared" si="1"/>
        <v>0</v>
      </c>
      <c r="BA16" s="251">
        <f t="shared" si="2"/>
        <v>0</v>
      </c>
      <c r="BB16" s="251">
        <f t="shared" si="2"/>
        <v>0</v>
      </c>
      <c r="BC16" s="251">
        <f t="shared" si="3"/>
        <v>0</v>
      </c>
      <c r="BD16" s="270" t="e">
        <f t="shared" si="4"/>
        <v>#DIV/0!</v>
      </c>
      <c r="BE16" s="251">
        <f t="shared" si="5"/>
        <v>0</v>
      </c>
      <c r="BF16" s="251">
        <f t="shared" si="6"/>
        <v>0</v>
      </c>
    </row>
    <row r="17" spans="1:58">
      <c r="A17" s="11">
        <v>40148</v>
      </c>
      <c r="B17" s="268"/>
      <c r="C17" s="268"/>
      <c r="D17" s="268"/>
      <c r="E17" s="268">
        <v>3</v>
      </c>
      <c r="F17" s="269">
        <v>0.2</v>
      </c>
      <c r="G17" s="269"/>
      <c r="H17" s="269">
        <v>12</v>
      </c>
      <c r="I17" s="269"/>
      <c r="J17" s="269"/>
      <c r="K17" s="269"/>
      <c r="L17" s="269">
        <v>2.6417217685798895</v>
      </c>
      <c r="M17" s="269"/>
      <c r="N17" s="269"/>
      <c r="O17" s="269">
        <f t="shared" si="7"/>
        <v>17.699535849485258</v>
      </c>
      <c r="Q17" s="251">
        <f t="shared" si="14"/>
        <v>35.541257618065146</v>
      </c>
      <c r="R17" s="251">
        <v>0</v>
      </c>
      <c r="S17" s="251">
        <f t="shared" si="0"/>
        <v>35.541257618065146</v>
      </c>
      <c r="AB17" s="251">
        <f>SUM('BD Feedstock'!C15,'BD Feedstock'!E15,'BD Feedstock'!G15,'BD Feedstock'!K15,'BD Feedstock'!T15)</f>
        <v>15.838837677094421</v>
      </c>
      <c r="AC17" s="251">
        <f>SUM('BD Feedstock'!D15,'BD Feedstock'!F15,'BD Feedstock'!H15,'BD Feedstock'!I15,'BD Feedstock'!L15,'BD Feedstock'!M15,'BD Feedstock'!N15,'BD Feedstock'!O15,'BD Feedstock'!U15)</f>
        <v>5.7437745841929937</v>
      </c>
      <c r="AD17" s="251">
        <f>'BD Feedstock'!J15</f>
        <v>0</v>
      </c>
      <c r="AE17" s="251">
        <f>SUM('BD Feedstock'!B15,'BD Feedstock'!P15,'BD Feedstock'!Q15,'BD Feedstock'!R15)</f>
        <v>1.6400689313266814</v>
      </c>
      <c r="AF17" s="251">
        <f>'BD Feedstock'!S15</f>
        <v>0</v>
      </c>
      <c r="AG17" s="251">
        <f t="shared" si="8"/>
        <v>23.222681192614097</v>
      </c>
      <c r="AK17" s="237">
        <f t="shared" si="9"/>
        <v>0.68204173091485731</v>
      </c>
      <c r="AL17" s="237">
        <f t="shared" si="9"/>
        <v>0.24733468700503816</v>
      </c>
      <c r="AM17" s="237">
        <f t="shared" si="9"/>
        <v>0</v>
      </c>
      <c r="AN17" s="237">
        <f t="shared" si="9"/>
        <v>7.0623582080104524E-2</v>
      </c>
      <c r="AO17" s="237">
        <f t="shared" si="9"/>
        <v>0</v>
      </c>
      <c r="AP17" s="237">
        <f t="shared" si="10"/>
        <v>1</v>
      </c>
      <c r="AQ17" s="237"/>
      <c r="AR17" s="237">
        <f t="shared" si="11"/>
        <v>0.73387027878476208</v>
      </c>
      <c r="AS17" s="237">
        <f t="shared" si="12"/>
        <v>0.26612972121523781</v>
      </c>
      <c r="AT17" s="237">
        <f t="shared" si="13"/>
        <v>0</v>
      </c>
      <c r="AU17" s="237">
        <f t="shared" si="15"/>
        <v>1</v>
      </c>
      <c r="AV17" s="237">
        <f t="shared" si="16"/>
        <v>0</v>
      </c>
      <c r="AX17" s="251">
        <f t="shared" si="1"/>
        <v>0</v>
      </c>
      <c r="AY17" s="251">
        <f t="shared" si="1"/>
        <v>0</v>
      </c>
      <c r="AZ17" s="251">
        <f t="shared" si="1"/>
        <v>0</v>
      </c>
      <c r="BA17" s="251">
        <f t="shared" si="2"/>
        <v>0</v>
      </c>
      <c r="BB17" s="251">
        <f t="shared" si="2"/>
        <v>0</v>
      </c>
      <c r="BC17" s="251">
        <f t="shared" si="3"/>
        <v>0</v>
      </c>
      <c r="BD17" s="270" t="e">
        <f t="shared" si="4"/>
        <v>#DIV/0!</v>
      </c>
      <c r="BE17" s="251">
        <f t="shared" si="5"/>
        <v>0</v>
      </c>
      <c r="BF17" s="251">
        <f t="shared" si="6"/>
        <v>0</v>
      </c>
    </row>
    <row r="18" spans="1:58">
      <c r="A18" s="11">
        <v>40179</v>
      </c>
      <c r="B18" s="268"/>
      <c r="C18" s="268"/>
      <c r="D18" s="268"/>
      <c r="E18" s="268">
        <v>3</v>
      </c>
      <c r="F18" s="269">
        <v>0.2</v>
      </c>
      <c r="G18" s="269"/>
      <c r="H18" s="269">
        <v>12</v>
      </c>
      <c r="I18" s="269"/>
      <c r="J18" s="269"/>
      <c r="K18" s="269"/>
      <c r="L18" s="269">
        <v>2.6417217685798895</v>
      </c>
      <c r="M18" s="269"/>
      <c r="N18" s="269"/>
      <c r="O18" s="269">
        <f t="shared" si="7"/>
        <v>17.699535849485258</v>
      </c>
      <c r="Q18" s="251">
        <f t="shared" si="14"/>
        <v>35.541257618065146</v>
      </c>
      <c r="R18" s="251">
        <v>0</v>
      </c>
      <c r="S18" s="251">
        <f t="shared" si="0"/>
        <v>35.541257618065146</v>
      </c>
      <c r="AB18" s="251">
        <f>SUM('BD Feedstock'!C16,'BD Feedstock'!E16,'BD Feedstock'!G16,'BD Feedstock'!K16,'BD Feedstock'!T16)</f>
        <v>15.838837677094421</v>
      </c>
      <c r="AC18" s="251">
        <f>SUM('BD Feedstock'!D16,'BD Feedstock'!F16,'BD Feedstock'!H16,'BD Feedstock'!I16,'BD Feedstock'!L16,'BD Feedstock'!M16,'BD Feedstock'!N16,'BD Feedstock'!O16,'BD Feedstock'!U16)</f>
        <v>5.7437745841929937</v>
      </c>
      <c r="AD18" s="251">
        <f>'BD Feedstock'!J16</f>
        <v>0</v>
      </c>
      <c r="AE18" s="251">
        <f>SUM('BD Feedstock'!B16,'BD Feedstock'!P16,'BD Feedstock'!Q16,'BD Feedstock'!R16)</f>
        <v>1.6400689313266814</v>
      </c>
      <c r="AF18" s="251">
        <f>'BD Feedstock'!S16</f>
        <v>0</v>
      </c>
      <c r="AG18" s="251">
        <f t="shared" si="8"/>
        <v>23.222681192614097</v>
      </c>
      <c r="AK18" s="237">
        <f t="shared" si="9"/>
        <v>0.68204173091485731</v>
      </c>
      <c r="AL18" s="237">
        <f t="shared" si="9"/>
        <v>0.24733468700503816</v>
      </c>
      <c r="AM18" s="237">
        <f t="shared" si="9"/>
        <v>0</v>
      </c>
      <c r="AN18" s="237">
        <f t="shared" si="9"/>
        <v>7.0623582080104524E-2</v>
      </c>
      <c r="AO18" s="237">
        <f t="shared" si="9"/>
        <v>0</v>
      </c>
      <c r="AP18" s="237">
        <f t="shared" si="10"/>
        <v>1</v>
      </c>
      <c r="AQ18" s="237"/>
      <c r="AR18" s="237">
        <f t="shared" si="11"/>
        <v>0.73387027878476208</v>
      </c>
      <c r="AS18" s="237">
        <f t="shared" si="12"/>
        <v>0.26612972121523781</v>
      </c>
      <c r="AT18" s="237">
        <f t="shared" si="13"/>
        <v>0</v>
      </c>
      <c r="AU18" s="237">
        <f t="shared" si="15"/>
        <v>1</v>
      </c>
      <c r="AV18" s="237">
        <f t="shared" si="16"/>
        <v>0</v>
      </c>
      <c r="AX18" s="251">
        <f t="shared" si="1"/>
        <v>0</v>
      </c>
      <c r="AY18" s="251">
        <f t="shared" si="1"/>
        <v>0</v>
      </c>
      <c r="AZ18" s="251">
        <f t="shared" si="1"/>
        <v>0</v>
      </c>
      <c r="BA18" s="251">
        <f t="shared" si="2"/>
        <v>0</v>
      </c>
      <c r="BB18" s="251">
        <f t="shared" si="2"/>
        <v>0</v>
      </c>
      <c r="BC18" s="251">
        <f t="shared" si="3"/>
        <v>0</v>
      </c>
      <c r="BD18" s="270" t="e">
        <f t="shared" si="4"/>
        <v>#DIV/0!</v>
      </c>
      <c r="BE18" s="251">
        <f t="shared" si="5"/>
        <v>0</v>
      </c>
      <c r="BF18" s="251">
        <f t="shared" si="6"/>
        <v>0</v>
      </c>
    </row>
    <row r="19" spans="1:58">
      <c r="A19" s="11">
        <v>40210</v>
      </c>
      <c r="B19" s="268"/>
      <c r="C19" s="268"/>
      <c r="D19" s="268"/>
      <c r="E19" s="268">
        <v>3</v>
      </c>
      <c r="F19" s="269">
        <v>0.2</v>
      </c>
      <c r="G19" s="269"/>
      <c r="H19" s="269">
        <v>12</v>
      </c>
      <c r="I19" s="269"/>
      <c r="J19" s="269"/>
      <c r="K19" s="269"/>
      <c r="L19" s="269">
        <v>2.6417217685798895</v>
      </c>
      <c r="M19" s="269"/>
      <c r="N19" s="269"/>
      <c r="O19" s="269">
        <f t="shared" si="7"/>
        <v>17.699535849485258</v>
      </c>
      <c r="Q19" s="251">
        <f t="shared" si="14"/>
        <v>35.541257618065146</v>
      </c>
      <c r="R19" s="251">
        <v>0</v>
      </c>
      <c r="S19" s="251">
        <f t="shared" si="0"/>
        <v>35.541257618065146</v>
      </c>
      <c r="AB19" s="251">
        <f>SUM('BD Feedstock'!C17,'BD Feedstock'!E17,'BD Feedstock'!G17,'BD Feedstock'!K17,'BD Feedstock'!T17)</f>
        <v>15.838837677094421</v>
      </c>
      <c r="AC19" s="251">
        <f>SUM('BD Feedstock'!D17,'BD Feedstock'!F17,'BD Feedstock'!H17,'BD Feedstock'!I17,'BD Feedstock'!L17,'BD Feedstock'!M17,'BD Feedstock'!N17,'BD Feedstock'!O17,'BD Feedstock'!U17)</f>
        <v>5.7437745841929937</v>
      </c>
      <c r="AD19" s="251">
        <f>'BD Feedstock'!J17</f>
        <v>0</v>
      </c>
      <c r="AE19" s="251">
        <f>SUM('BD Feedstock'!B17,'BD Feedstock'!P17,'BD Feedstock'!Q17,'BD Feedstock'!R17)</f>
        <v>1.6400689313266814</v>
      </c>
      <c r="AF19" s="251">
        <f>'BD Feedstock'!S17</f>
        <v>0</v>
      </c>
      <c r="AG19" s="251">
        <f t="shared" si="8"/>
        <v>23.222681192614097</v>
      </c>
      <c r="AK19" s="237">
        <f t="shared" si="9"/>
        <v>0.68204173091485731</v>
      </c>
      <c r="AL19" s="237">
        <f t="shared" si="9"/>
        <v>0.24733468700503816</v>
      </c>
      <c r="AM19" s="237">
        <f t="shared" si="9"/>
        <v>0</v>
      </c>
      <c r="AN19" s="237">
        <f t="shared" si="9"/>
        <v>7.0623582080104524E-2</v>
      </c>
      <c r="AO19" s="237">
        <f t="shared" si="9"/>
        <v>0</v>
      </c>
      <c r="AP19" s="237">
        <f t="shared" si="10"/>
        <v>1</v>
      </c>
      <c r="AQ19" s="237"/>
      <c r="AR19" s="237">
        <f t="shared" si="11"/>
        <v>0.73387027878476208</v>
      </c>
      <c r="AS19" s="237">
        <f t="shared" si="12"/>
        <v>0.26612972121523781</v>
      </c>
      <c r="AT19" s="237">
        <f t="shared" si="13"/>
        <v>0</v>
      </c>
      <c r="AU19" s="237">
        <f t="shared" si="15"/>
        <v>1</v>
      </c>
      <c r="AV19" s="237">
        <f t="shared" si="16"/>
        <v>0</v>
      </c>
      <c r="AX19" s="251">
        <f t="shared" si="1"/>
        <v>0</v>
      </c>
      <c r="AY19" s="251">
        <f t="shared" si="1"/>
        <v>0</v>
      </c>
      <c r="AZ19" s="251">
        <f t="shared" si="1"/>
        <v>0</v>
      </c>
      <c r="BA19" s="251">
        <f t="shared" si="2"/>
        <v>0</v>
      </c>
      <c r="BB19" s="251">
        <f t="shared" si="2"/>
        <v>0</v>
      </c>
      <c r="BC19" s="251">
        <f t="shared" si="3"/>
        <v>0</v>
      </c>
      <c r="BD19" s="270" t="e">
        <f t="shared" si="4"/>
        <v>#DIV/0!</v>
      </c>
      <c r="BE19" s="251">
        <f t="shared" si="5"/>
        <v>0</v>
      </c>
      <c r="BF19" s="251">
        <f t="shared" si="6"/>
        <v>0</v>
      </c>
    </row>
    <row r="20" spans="1:58">
      <c r="A20" s="11">
        <v>40238</v>
      </c>
      <c r="B20" s="268"/>
      <c r="C20" s="268"/>
      <c r="D20" s="268"/>
      <c r="E20" s="268">
        <v>3</v>
      </c>
      <c r="F20" s="269">
        <v>0.2</v>
      </c>
      <c r="G20" s="269"/>
      <c r="H20" s="269">
        <v>12</v>
      </c>
      <c r="I20" s="269"/>
      <c r="J20" s="269"/>
      <c r="K20" s="269"/>
      <c r="L20" s="269">
        <v>2.6417217685798895</v>
      </c>
      <c r="M20" s="269"/>
      <c r="N20" s="269"/>
      <c r="O20" s="269">
        <f t="shared" si="7"/>
        <v>17.699535849485258</v>
      </c>
      <c r="Q20" s="251">
        <f t="shared" si="14"/>
        <v>35.541257618065146</v>
      </c>
      <c r="R20" s="251">
        <v>0</v>
      </c>
      <c r="S20" s="251">
        <f t="shared" si="0"/>
        <v>35.541257618065146</v>
      </c>
      <c r="AB20" s="251">
        <f>SUM('BD Feedstock'!C18,'BD Feedstock'!E18,'BD Feedstock'!G18,'BD Feedstock'!K18,'BD Feedstock'!T18)</f>
        <v>15.838837677094421</v>
      </c>
      <c r="AC20" s="251">
        <f>SUM('BD Feedstock'!D18,'BD Feedstock'!F18,'BD Feedstock'!H18,'BD Feedstock'!I18,'BD Feedstock'!L18,'BD Feedstock'!M18,'BD Feedstock'!N18,'BD Feedstock'!O18,'BD Feedstock'!U18)</f>
        <v>5.7437745841929937</v>
      </c>
      <c r="AD20" s="251">
        <f>'BD Feedstock'!J18</f>
        <v>0</v>
      </c>
      <c r="AE20" s="251">
        <f>SUM('BD Feedstock'!B18,'BD Feedstock'!P18,'BD Feedstock'!Q18,'BD Feedstock'!R18)</f>
        <v>1.6400689313266814</v>
      </c>
      <c r="AF20" s="251">
        <f>'BD Feedstock'!S18</f>
        <v>0</v>
      </c>
      <c r="AG20" s="251">
        <f t="shared" si="8"/>
        <v>23.222681192614097</v>
      </c>
      <c r="AK20" s="237">
        <f t="shared" si="9"/>
        <v>0.68204173091485731</v>
      </c>
      <c r="AL20" s="237">
        <f t="shared" si="9"/>
        <v>0.24733468700503816</v>
      </c>
      <c r="AM20" s="237">
        <f t="shared" si="9"/>
        <v>0</v>
      </c>
      <c r="AN20" s="237">
        <f t="shared" si="9"/>
        <v>7.0623582080104524E-2</v>
      </c>
      <c r="AO20" s="237">
        <f t="shared" si="9"/>
        <v>0</v>
      </c>
      <c r="AP20" s="237">
        <f t="shared" si="10"/>
        <v>1</v>
      </c>
      <c r="AQ20" s="237"/>
      <c r="AR20" s="237">
        <f t="shared" si="11"/>
        <v>0.73387027878476208</v>
      </c>
      <c r="AS20" s="237">
        <f t="shared" si="12"/>
        <v>0.26612972121523781</v>
      </c>
      <c r="AT20" s="237">
        <f t="shared" si="13"/>
        <v>0</v>
      </c>
      <c r="AU20" s="237">
        <f t="shared" si="15"/>
        <v>1</v>
      </c>
      <c r="AV20" s="237">
        <f t="shared" si="16"/>
        <v>0</v>
      </c>
      <c r="AX20" s="251">
        <f t="shared" si="1"/>
        <v>0</v>
      </c>
      <c r="AY20" s="251">
        <f t="shared" si="1"/>
        <v>0</v>
      </c>
      <c r="AZ20" s="251">
        <f t="shared" si="1"/>
        <v>0</v>
      </c>
      <c r="BA20" s="251">
        <f t="shared" si="2"/>
        <v>0</v>
      </c>
      <c r="BB20" s="251">
        <f t="shared" si="2"/>
        <v>0</v>
      </c>
      <c r="BC20" s="251">
        <f t="shared" si="3"/>
        <v>0</v>
      </c>
      <c r="BD20" s="270" t="e">
        <f t="shared" si="4"/>
        <v>#DIV/0!</v>
      </c>
      <c r="BE20" s="251">
        <f t="shared" si="5"/>
        <v>0</v>
      </c>
      <c r="BF20" s="251">
        <f t="shared" si="6"/>
        <v>0</v>
      </c>
    </row>
    <row r="21" spans="1:58">
      <c r="A21" s="11">
        <v>40269</v>
      </c>
      <c r="B21" s="268"/>
      <c r="C21" s="268"/>
      <c r="D21" s="268"/>
      <c r="E21" s="268">
        <v>3</v>
      </c>
      <c r="F21" s="269">
        <v>0.2</v>
      </c>
      <c r="G21" s="269"/>
      <c r="H21" s="269">
        <v>12</v>
      </c>
      <c r="I21" s="269"/>
      <c r="J21" s="269"/>
      <c r="K21" s="269"/>
      <c r="L21" s="269">
        <v>2.6417217685798895</v>
      </c>
      <c r="M21" s="269"/>
      <c r="N21" s="269"/>
      <c r="O21" s="269">
        <f t="shared" si="7"/>
        <v>17.699535849485258</v>
      </c>
      <c r="Q21" s="251">
        <f t="shared" si="14"/>
        <v>35.541257618065146</v>
      </c>
      <c r="R21" s="251">
        <v>0</v>
      </c>
      <c r="S21" s="251">
        <f t="shared" si="0"/>
        <v>35.541257618065146</v>
      </c>
      <c r="AB21" s="251">
        <f>SUM('BD Feedstock'!C19,'BD Feedstock'!E19,'BD Feedstock'!G19,'BD Feedstock'!K19,'BD Feedstock'!T19)</f>
        <v>15.838837677094421</v>
      </c>
      <c r="AC21" s="251">
        <f>SUM('BD Feedstock'!D19,'BD Feedstock'!F19,'BD Feedstock'!H19,'BD Feedstock'!I19,'BD Feedstock'!L19,'BD Feedstock'!M19,'BD Feedstock'!N19,'BD Feedstock'!O19,'BD Feedstock'!U19)</f>
        <v>5.7437745841929937</v>
      </c>
      <c r="AD21" s="251">
        <f>'BD Feedstock'!J19</f>
        <v>0</v>
      </c>
      <c r="AE21" s="251">
        <f>SUM('BD Feedstock'!B19,'BD Feedstock'!P19,'BD Feedstock'!Q19,'BD Feedstock'!R19)</f>
        <v>1.6400689313266814</v>
      </c>
      <c r="AF21" s="251">
        <f>'BD Feedstock'!S19</f>
        <v>0</v>
      </c>
      <c r="AG21" s="251">
        <f t="shared" si="8"/>
        <v>23.222681192614097</v>
      </c>
      <c r="AK21" s="237">
        <f t="shared" si="9"/>
        <v>0.68204173091485731</v>
      </c>
      <c r="AL21" s="237">
        <f t="shared" si="9"/>
        <v>0.24733468700503816</v>
      </c>
      <c r="AM21" s="237">
        <f t="shared" si="9"/>
        <v>0</v>
      </c>
      <c r="AN21" s="237">
        <f t="shared" si="9"/>
        <v>7.0623582080104524E-2</v>
      </c>
      <c r="AO21" s="237">
        <f t="shared" si="9"/>
        <v>0</v>
      </c>
      <c r="AP21" s="237">
        <f t="shared" si="10"/>
        <v>1</v>
      </c>
      <c r="AQ21" s="237"/>
      <c r="AR21" s="237">
        <f t="shared" si="11"/>
        <v>0.73387027878476208</v>
      </c>
      <c r="AS21" s="237">
        <f t="shared" si="12"/>
        <v>0.26612972121523781</v>
      </c>
      <c r="AT21" s="237">
        <f t="shared" si="13"/>
        <v>0</v>
      </c>
      <c r="AU21" s="237">
        <f t="shared" si="15"/>
        <v>1</v>
      </c>
      <c r="AV21" s="237">
        <f t="shared" si="16"/>
        <v>0</v>
      </c>
      <c r="AX21" s="251">
        <f t="shared" si="1"/>
        <v>0</v>
      </c>
      <c r="AY21" s="251">
        <f t="shared" si="1"/>
        <v>0</v>
      </c>
      <c r="AZ21" s="251">
        <f t="shared" si="1"/>
        <v>0</v>
      </c>
      <c r="BA21" s="251">
        <f t="shared" si="2"/>
        <v>0</v>
      </c>
      <c r="BB21" s="251">
        <f t="shared" si="2"/>
        <v>0</v>
      </c>
      <c r="BC21" s="251">
        <f t="shared" si="3"/>
        <v>0</v>
      </c>
      <c r="BD21" s="270" t="e">
        <f t="shared" si="4"/>
        <v>#DIV/0!</v>
      </c>
      <c r="BE21" s="251">
        <f t="shared" si="5"/>
        <v>0</v>
      </c>
      <c r="BF21" s="251">
        <f t="shared" si="6"/>
        <v>0</v>
      </c>
    </row>
    <row r="22" spans="1:58">
      <c r="A22" s="11">
        <v>40299</v>
      </c>
      <c r="B22" s="268"/>
      <c r="C22" s="268"/>
      <c r="D22" s="268"/>
      <c r="E22" s="268">
        <v>3</v>
      </c>
      <c r="F22" s="269">
        <v>0.2</v>
      </c>
      <c r="G22" s="269"/>
      <c r="H22" s="269">
        <v>12</v>
      </c>
      <c r="I22" s="269"/>
      <c r="J22" s="269"/>
      <c r="K22" s="269"/>
      <c r="L22" s="269">
        <v>2.6417217685798895</v>
      </c>
      <c r="M22" s="269">
        <f>$M$3</f>
        <v>1.5</v>
      </c>
      <c r="N22" s="269"/>
      <c r="O22" s="269">
        <f t="shared" si="7"/>
        <v>17.699535849485258</v>
      </c>
      <c r="Q22" s="251">
        <f t="shared" si="14"/>
        <v>37.041257618065146</v>
      </c>
      <c r="R22" s="251">
        <v>0</v>
      </c>
      <c r="S22" s="251">
        <f t="shared" si="0"/>
        <v>37.041257618065146</v>
      </c>
      <c r="AB22" s="251">
        <f>SUM('BD Feedstock'!C20,'BD Feedstock'!E20,'BD Feedstock'!G20,'BD Feedstock'!K20,'BD Feedstock'!T20)</f>
        <v>15.838837677094421</v>
      </c>
      <c r="AC22" s="251">
        <f>SUM('BD Feedstock'!D20,'BD Feedstock'!F20,'BD Feedstock'!H20,'BD Feedstock'!I20,'BD Feedstock'!L20,'BD Feedstock'!M20,'BD Feedstock'!N20,'BD Feedstock'!O20,'BD Feedstock'!U20)</f>
        <v>5.7437745841929937</v>
      </c>
      <c r="AD22" s="251">
        <f>'BD Feedstock'!J20</f>
        <v>0</v>
      </c>
      <c r="AE22" s="251">
        <f>SUM('BD Feedstock'!B20,'BD Feedstock'!P20,'BD Feedstock'!Q20,'BD Feedstock'!R20)</f>
        <v>2.5713189313266813</v>
      </c>
      <c r="AF22" s="251">
        <f>'BD Feedstock'!S20</f>
        <v>0</v>
      </c>
      <c r="AG22" s="251">
        <f t="shared" si="8"/>
        <v>24.153931192614095</v>
      </c>
      <c r="AK22" s="237">
        <f t="shared" si="9"/>
        <v>0.65574574800220087</v>
      </c>
      <c r="AL22" s="237">
        <f t="shared" si="9"/>
        <v>0.23779874747466997</v>
      </c>
      <c r="AM22" s="237">
        <f t="shared" si="9"/>
        <v>0</v>
      </c>
      <c r="AN22" s="237">
        <f t="shared" si="9"/>
        <v>0.1064555045231292</v>
      </c>
      <c r="AO22" s="237">
        <f t="shared" si="9"/>
        <v>0</v>
      </c>
      <c r="AP22" s="237">
        <f t="shared" si="10"/>
        <v>1</v>
      </c>
      <c r="AQ22" s="237"/>
      <c r="AR22" s="237">
        <f t="shared" si="11"/>
        <v>0.73387027878476208</v>
      </c>
      <c r="AS22" s="237">
        <f t="shared" si="12"/>
        <v>0.26612972121523781</v>
      </c>
      <c r="AT22" s="237">
        <f t="shared" si="13"/>
        <v>0</v>
      </c>
      <c r="AU22" s="237">
        <f t="shared" si="15"/>
        <v>1</v>
      </c>
      <c r="AV22" s="237">
        <f t="shared" si="16"/>
        <v>0</v>
      </c>
      <c r="AX22" s="251">
        <f t="shared" si="1"/>
        <v>0</v>
      </c>
      <c r="AY22" s="251">
        <f t="shared" si="1"/>
        <v>0</v>
      </c>
      <c r="AZ22" s="251">
        <f t="shared" si="1"/>
        <v>0</v>
      </c>
      <c r="BA22" s="251">
        <f t="shared" si="2"/>
        <v>0</v>
      </c>
      <c r="BB22" s="251">
        <f t="shared" si="2"/>
        <v>0</v>
      </c>
      <c r="BC22" s="251">
        <f t="shared" si="3"/>
        <v>0</v>
      </c>
      <c r="BD22" s="270" t="e">
        <f t="shared" si="4"/>
        <v>#DIV/0!</v>
      </c>
      <c r="BE22" s="251">
        <f t="shared" si="5"/>
        <v>0</v>
      </c>
      <c r="BF22" s="251">
        <f t="shared" si="6"/>
        <v>0</v>
      </c>
    </row>
    <row r="23" spans="1:58">
      <c r="A23" s="11">
        <v>40330</v>
      </c>
      <c r="B23" s="268"/>
      <c r="C23" s="268"/>
      <c r="D23" s="268"/>
      <c r="E23" s="268">
        <v>3</v>
      </c>
      <c r="F23" s="269">
        <v>0.2</v>
      </c>
      <c r="G23" s="269"/>
      <c r="H23" s="269">
        <v>12</v>
      </c>
      <c r="I23" s="269"/>
      <c r="J23" s="269"/>
      <c r="K23" s="269"/>
      <c r="L23" s="269">
        <v>2.6417217685798895</v>
      </c>
      <c r="M23" s="269">
        <f t="shared" ref="M23:M86" si="17">$M$3</f>
        <v>1.5</v>
      </c>
      <c r="N23" s="269"/>
      <c r="O23" s="269">
        <f t="shared" si="7"/>
        <v>17.699535849485258</v>
      </c>
      <c r="Q23" s="251">
        <f t="shared" si="14"/>
        <v>37.041257618065146</v>
      </c>
      <c r="R23" s="251">
        <v>0</v>
      </c>
      <c r="S23" s="251">
        <f t="shared" si="0"/>
        <v>37.041257618065146</v>
      </c>
      <c r="AB23" s="251">
        <f>SUM('BD Feedstock'!C21,'BD Feedstock'!E21,'BD Feedstock'!G21,'BD Feedstock'!K21,'BD Feedstock'!T21)</f>
        <v>15.838837677094421</v>
      </c>
      <c r="AC23" s="251">
        <f>SUM('BD Feedstock'!D21,'BD Feedstock'!F21,'BD Feedstock'!H21,'BD Feedstock'!I21,'BD Feedstock'!L21,'BD Feedstock'!M21,'BD Feedstock'!N21,'BD Feedstock'!O21,'BD Feedstock'!U21)</f>
        <v>5.7437745841929937</v>
      </c>
      <c r="AD23" s="251">
        <f>'BD Feedstock'!J21</f>
        <v>0</v>
      </c>
      <c r="AE23" s="251">
        <f>SUM('BD Feedstock'!B21,'BD Feedstock'!P21,'BD Feedstock'!Q21,'BD Feedstock'!R21)</f>
        <v>2.5713189313266813</v>
      </c>
      <c r="AF23" s="251">
        <f>'BD Feedstock'!S21</f>
        <v>0</v>
      </c>
      <c r="AG23" s="251">
        <f t="shared" si="8"/>
        <v>24.153931192614095</v>
      </c>
      <c r="AK23" s="237">
        <f t="shared" si="9"/>
        <v>0.65574574800220087</v>
      </c>
      <c r="AL23" s="237">
        <f t="shared" si="9"/>
        <v>0.23779874747466997</v>
      </c>
      <c r="AM23" s="237">
        <f t="shared" si="9"/>
        <v>0</v>
      </c>
      <c r="AN23" s="237">
        <f t="shared" si="9"/>
        <v>0.1064555045231292</v>
      </c>
      <c r="AO23" s="237">
        <f t="shared" si="9"/>
        <v>0</v>
      </c>
      <c r="AP23" s="237">
        <f t="shared" si="10"/>
        <v>1</v>
      </c>
      <c r="AQ23" s="237"/>
      <c r="AR23" s="237">
        <f t="shared" si="11"/>
        <v>0.73387027878476208</v>
      </c>
      <c r="AS23" s="237">
        <f t="shared" si="12"/>
        <v>0.26612972121523781</v>
      </c>
      <c r="AT23" s="237">
        <f t="shared" si="13"/>
        <v>0</v>
      </c>
      <c r="AU23" s="237">
        <f t="shared" si="15"/>
        <v>1</v>
      </c>
      <c r="AV23" s="237">
        <f t="shared" si="16"/>
        <v>0</v>
      </c>
      <c r="AX23" s="251">
        <f t="shared" si="1"/>
        <v>0</v>
      </c>
      <c r="AY23" s="251">
        <f t="shared" si="1"/>
        <v>0</v>
      </c>
      <c r="AZ23" s="251">
        <f t="shared" si="1"/>
        <v>0</v>
      </c>
      <c r="BA23" s="251">
        <f t="shared" si="2"/>
        <v>0</v>
      </c>
      <c r="BB23" s="251">
        <f t="shared" si="2"/>
        <v>0</v>
      </c>
      <c r="BC23" s="251">
        <f t="shared" si="3"/>
        <v>0</v>
      </c>
      <c r="BD23" s="270" t="e">
        <f t="shared" si="4"/>
        <v>#DIV/0!</v>
      </c>
      <c r="BE23" s="251">
        <f t="shared" si="5"/>
        <v>0</v>
      </c>
      <c r="BF23" s="251">
        <f t="shared" si="6"/>
        <v>0</v>
      </c>
    </row>
    <row r="24" spans="1:58">
      <c r="A24" s="11">
        <v>40360</v>
      </c>
      <c r="B24" s="268"/>
      <c r="C24" s="268"/>
      <c r="D24" s="268"/>
      <c r="E24" s="268">
        <v>3</v>
      </c>
      <c r="F24" s="269">
        <v>0.2</v>
      </c>
      <c r="G24" s="269"/>
      <c r="H24" s="269">
        <v>12</v>
      </c>
      <c r="I24" s="269"/>
      <c r="J24" s="269"/>
      <c r="K24" s="269"/>
      <c r="L24" s="269">
        <v>2.6417217685798895</v>
      </c>
      <c r="M24" s="269">
        <f t="shared" si="17"/>
        <v>1.5</v>
      </c>
      <c r="N24" s="269"/>
      <c r="O24" s="269">
        <f t="shared" si="7"/>
        <v>17.699535849485258</v>
      </c>
      <c r="Q24" s="251">
        <f t="shared" si="14"/>
        <v>37.041257618065146</v>
      </c>
      <c r="R24" s="251">
        <v>0</v>
      </c>
      <c r="S24" s="251">
        <f t="shared" si="0"/>
        <v>37.041257618065146</v>
      </c>
      <c r="AB24" s="251">
        <f>SUM('BD Feedstock'!C22,'BD Feedstock'!E22,'BD Feedstock'!G22,'BD Feedstock'!K22,'BD Feedstock'!T22)</f>
        <v>15.838837677094421</v>
      </c>
      <c r="AC24" s="251">
        <f>SUM('BD Feedstock'!D22,'BD Feedstock'!F22,'BD Feedstock'!H22,'BD Feedstock'!I22,'BD Feedstock'!L22,'BD Feedstock'!M22,'BD Feedstock'!N22,'BD Feedstock'!O22,'BD Feedstock'!U22)</f>
        <v>5.7437745841929937</v>
      </c>
      <c r="AD24" s="251">
        <f>'BD Feedstock'!J22</f>
        <v>0</v>
      </c>
      <c r="AE24" s="251">
        <f>SUM('BD Feedstock'!B22,'BD Feedstock'!P22,'BD Feedstock'!Q22,'BD Feedstock'!R22)</f>
        <v>2.5713189313266813</v>
      </c>
      <c r="AF24" s="251">
        <f>'BD Feedstock'!S22</f>
        <v>0</v>
      </c>
      <c r="AG24" s="251">
        <f t="shared" si="8"/>
        <v>24.153931192614095</v>
      </c>
      <c r="AK24" s="237">
        <f t="shared" si="9"/>
        <v>0.65574574800220087</v>
      </c>
      <c r="AL24" s="237">
        <f t="shared" si="9"/>
        <v>0.23779874747466997</v>
      </c>
      <c r="AM24" s="237">
        <f t="shared" si="9"/>
        <v>0</v>
      </c>
      <c r="AN24" s="237">
        <f t="shared" si="9"/>
        <v>0.1064555045231292</v>
      </c>
      <c r="AO24" s="237">
        <f t="shared" si="9"/>
        <v>0</v>
      </c>
      <c r="AP24" s="237">
        <f t="shared" si="10"/>
        <v>1</v>
      </c>
      <c r="AQ24" s="237"/>
      <c r="AR24" s="237">
        <f t="shared" si="11"/>
        <v>0.73387027878476208</v>
      </c>
      <c r="AS24" s="237">
        <f t="shared" si="12"/>
        <v>0.26612972121523781</v>
      </c>
      <c r="AT24" s="237">
        <f t="shared" si="13"/>
        <v>0</v>
      </c>
      <c r="AU24" s="237">
        <f t="shared" si="15"/>
        <v>1</v>
      </c>
      <c r="AV24" s="237">
        <f t="shared" si="16"/>
        <v>0</v>
      </c>
      <c r="AX24" s="251">
        <f t="shared" si="1"/>
        <v>0</v>
      </c>
      <c r="AY24" s="251">
        <f t="shared" si="1"/>
        <v>0</v>
      </c>
      <c r="AZ24" s="251">
        <f t="shared" si="1"/>
        <v>0</v>
      </c>
      <c r="BA24" s="251">
        <f t="shared" si="2"/>
        <v>0</v>
      </c>
      <c r="BB24" s="251">
        <f t="shared" si="2"/>
        <v>0</v>
      </c>
      <c r="BC24" s="251">
        <f t="shared" si="3"/>
        <v>0</v>
      </c>
      <c r="BD24" s="270" t="e">
        <f t="shared" si="4"/>
        <v>#DIV/0!</v>
      </c>
      <c r="BE24" s="251">
        <f t="shared" si="5"/>
        <v>0</v>
      </c>
      <c r="BF24" s="251">
        <f t="shared" si="6"/>
        <v>0</v>
      </c>
    </row>
    <row r="25" spans="1:58">
      <c r="A25" s="11">
        <v>40391</v>
      </c>
      <c r="B25" s="268"/>
      <c r="C25" s="268"/>
      <c r="D25" s="268"/>
      <c r="E25" s="268">
        <v>3</v>
      </c>
      <c r="F25" s="269">
        <v>0.2</v>
      </c>
      <c r="G25" s="269"/>
      <c r="H25" s="269">
        <v>12</v>
      </c>
      <c r="I25" s="269"/>
      <c r="J25" s="269"/>
      <c r="K25" s="269"/>
      <c r="L25" s="269">
        <v>2.6417217685798895</v>
      </c>
      <c r="M25" s="269">
        <f t="shared" si="17"/>
        <v>1.5</v>
      </c>
      <c r="N25" s="269"/>
      <c r="O25" s="269">
        <f t="shared" si="7"/>
        <v>17.699535849485258</v>
      </c>
      <c r="Q25" s="251">
        <f t="shared" si="14"/>
        <v>37.041257618065146</v>
      </c>
      <c r="R25" s="251">
        <v>0</v>
      </c>
      <c r="S25" s="251">
        <f t="shared" si="0"/>
        <v>37.041257618065146</v>
      </c>
      <c r="AB25" s="251">
        <f>SUM('BD Feedstock'!C23,'BD Feedstock'!E23,'BD Feedstock'!G23,'BD Feedstock'!K23,'BD Feedstock'!T23)</f>
        <v>15.838837677094421</v>
      </c>
      <c r="AC25" s="251">
        <f>SUM('BD Feedstock'!D23,'BD Feedstock'!F23,'BD Feedstock'!H23,'BD Feedstock'!I23,'BD Feedstock'!L23,'BD Feedstock'!M23,'BD Feedstock'!N23,'BD Feedstock'!O23,'BD Feedstock'!U23)</f>
        <v>5.7437745841929937</v>
      </c>
      <c r="AD25" s="251">
        <f>'BD Feedstock'!J23</f>
        <v>0</v>
      </c>
      <c r="AE25" s="251">
        <f>SUM('BD Feedstock'!B23,'BD Feedstock'!P23,'BD Feedstock'!Q23,'BD Feedstock'!R23)</f>
        <v>2.5713189313266813</v>
      </c>
      <c r="AF25" s="251">
        <f>'BD Feedstock'!S23</f>
        <v>0</v>
      </c>
      <c r="AG25" s="251">
        <f t="shared" si="8"/>
        <v>24.153931192614095</v>
      </c>
      <c r="AK25" s="237">
        <f t="shared" si="9"/>
        <v>0.65574574800220087</v>
      </c>
      <c r="AL25" s="237">
        <f t="shared" si="9"/>
        <v>0.23779874747466997</v>
      </c>
      <c r="AM25" s="237">
        <f t="shared" si="9"/>
        <v>0</v>
      </c>
      <c r="AN25" s="237">
        <f t="shared" si="9"/>
        <v>0.1064555045231292</v>
      </c>
      <c r="AO25" s="237">
        <f t="shared" si="9"/>
        <v>0</v>
      </c>
      <c r="AP25" s="237">
        <f t="shared" si="10"/>
        <v>1</v>
      </c>
      <c r="AQ25" s="237"/>
      <c r="AR25" s="237">
        <f t="shared" si="11"/>
        <v>0.73387027878476208</v>
      </c>
      <c r="AS25" s="237">
        <f t="shared" si="12"/>
        <v>0.26612972121523781</v>
      </c>
      <c r="AT25" s="237">
        <f t="shared" si="13"/>
        <v>0</v>
      </c>
      <c r="AU25" s="237">
        <f t="shared" si="15"/>
        <v>1</v>
      </c>
      <c r="AV25" s="237">
        <f t="shared" si="16"/>
        <v>0</v>
      </c>
      <c r="AX25" s="251">
        <f t="shared" si="1"/>
        <v>0</v>
      </c>
      <c r="AY25" s="251">
        <f t="shared" si="1"/>
        <v>0</v>
      </c>
      <c r="AZ25" s="251">
        <f t="shared" si="1"/>
        <v>0</v>
      </c>
      <c r="BA25" s="251">
        <f t="shared" si="2"/>
        <v>0</v>
      </c>
      <c r="BB25" s="251">
        <f t="shared" si="2"/>
        <v>0</v>
      </c>
      <c r="BC25" s="251">
        <f t="shared" si="3"/>
        <v>0</v>
      </c>
      <c r="BD25" s="270" t="e">
        <f t="shared" si="4"/>
        <v>#DIV/0!</v>
      </c>
      <c r="BE25" s="251">
        <f t="shared" si="5"/>
        <v>0</v>
      </c>
      <c r="BF25" s="251">
        <f t="shared" si="6"/>
        <v>0</v>
      </c>
    </row>
    <row r="26" spans="1:58">
      <c r="A26" s="11">
        <v>40422</v>
      </c>
      <c r="B26" s="268"/>
      <c r="C26" s="268"/>
      <c r="D26" s="268"/>
      <c r="E26" s="268">
        <v>3</v>
      </c>
      <c r="F26" s="269">
        <v>0.2</v>
      </c>
      <c r="G26" s="269"/>
      <c r="H26" s="269">
        <v>12</v>
      </c>
      <c r="I26" s="269"/>
      <c r="J26" s="269"/>
      <c r="K26" s="269"/>
      <c r="L26" s="269">
        <v>2.6417217685798895</v>
      </c>
      <c r="M26" s="269">
        <f t="shared" si="17"/>
        <v>1.5</v>
      </c>
      <c r="N26" s="269"/>
      <c r="O26" s="269">
        <f t="shared" si="7"/>
        <v>17.699535849485258</v>
      </c>
      <c r="Q26" s="251">
        <f t="shared" si="14"/>
        <v>37.041257618065146</v>
      </c>
      <c r="R26" s="251">
        <v>0</v>
      </c>
      <c r="S26" s="251">
        <f t="shared" si="0"/>
        <v>37.041257618065146</v>
      </c>
      <c r="AB26" s="251">
        <f>SUM('BD Feedstock'!C24,'BD Feedstock'!E24,'BD Feedstock'!G24,'BD Feedstock'!K24,'BD Feedstock'!T24)</f>
        <v>15.838837677094421</v>
      </c>
      <c r="AC26" s="251">
        <f>SUM('BD Feedstock'!D24,'BD Feedstock'!F24,'BD Feedstock'!H24,'BD Feedstock'!I24,'BD Feedstock'!L24,'BD Feedstock'!M24,'BD Feedstock'!N24,'BD Feedstock'!O24,'BD Feedstock'!U24)</f>
        <v>5.7437745841929937</v>
      </c>
      <c r="AD26" s="251">
        <f>'BD Feedstock'!J24</f>
        <v>0</v>
      </c>
      <c r="AE26" s="251">
        <f>SUM('BD Feedstock'!B24,'BD Feedstock'!P24,'BD Feedstock'!Q24,'BD Feedstock'!R24)</f>
        <v>2.5713189313266813</v>
      </c>
      <c r="AF26" s="251">
        <f>'BD Feedstock'!S24</f>
        <v>0</v>
      </c>
      <c r="AG26" s="251">
        <f t="shared" si="8"/>
        <v>24.153931192614095</v>
      </c>
      <c r="AK26" s="237">
        <f t="shared" si="9"/>
        <v>0.65574574800220087</v>
      </c>
      <c r="AL26" s="237">
        <f t="shared" si="9"/>
        <v>0.23779874747466997</v>
      </c>
      <c r="AM26" s="237">
        <f t="shared" si="9"/>
        <v>0</v>
      </c>
      <c r="AN26" s="237">
        <f t="shared" si="9"/>
        <v>0.1064555045231292</v>
      </c>
      <c r="AO26" s="237">
        <f t="shared" si="9"/>
        <v>0</v>
      </c>
      <c r="AP26" s="237">
        <f t="shared" si="10"/>
        <v>1</v>
      </c>
      <c r="AQ26" s="237"/>
      <c r="AR26" s="237">
        <f t="shared" si="11"/>
        <v>0.73387027878476208</v>
      </c>
      <c r="AS26" s="237">
        <f t="shared" si="12"/>
        <v>0.26612972121523781</v>
      </c>
      <c r="AT26" s="237">
        <f t="shared" si="13"/>
        <v>0</v>
      </c>
      <c r="AU26" s="237">
        <f t="shared" si="15"/>
        <v>1</v>
      </c>
      <c r="AV26" s="237">
        <f t="shared" si="16"/>
        <v>0</v>
      </c>
      <c r="AX26" s="251">
        <f t="shared" si="1"/>
        <v>0</v>
      </c>
      <c r="AY26" s="251">
        <f t="shared" si="1"/>
        <v>0</v>
      </c>
      <c r="AZ26" s="251">
        <f t="shared" si="1"/>
        <v>0</v>
      </c>
      <c r="BA26" s="251">
        <f t="shared" si="2"/>
        <v>0</v>
      </c>
      <c r="BB26" s="251">
        <f t="shared" si="2"/>
        <v>0</v>
      </c>
      <c r="BC26" s="251">
        <f t="shared" si="3"/>
        <v>0</v>
      </c>
      <c r="BD26" s="270" t="e">
        <f t="shared" si="4"/>
        <v>#DIV/0!</v>
      </c>
      <c r="BE26" s="251">
        <f t="shared" si="5"/>
        <v>0</v>
      </c>
      <c r="BF26" s="251">
        <f t="shared" si="6"/>
        <v>0</v>
      </c>
    </row>
    <row r="27" spans="1:58">
      <c r="A27" s="11">
        <v>40452</v>
      </c>
      <c r="B27" s="268"/>
      <c r="C27" s="268"/>
      <c r="D27" s="268"/>
      <c r="E27" s="268">
        <v>3</v>
      </c>
      <c r="F27" s="269">
        <v>0.2</v>
      </c>
      <c r="G27" s="269"/>
      <c r="H27" s="269">
        <v>12</v>
      </c>
      <c r="I27" s="269"/>
      <c r="J27" s="269"/>
      <c r="K27" s="269"/>
      <c r="L27" s="269">
        <v>2.6417217685798895</v>
      </c>
      <c r="M27" s="269">
        <f t="shared" si="17"/>
        <v>1.5</v>
      </c>
      <c r="N27" s="269"/>
      <c r="O27" s="269">
        <f t="shared" si="7"/>
        <v>17.699535849485258</v>
      </c>
      <c r="Q27" s="251">
        <f t="shared" si="14"/>
        <v>37.041257618065146</v>
      </c>
      <c r="R27" s="251">
        <v>0</v>
      </c>
      <c r="S27" s="251">
        <f t="shared" si="0"/>
        <v>37.041257618065146</v>
      </c>
      <c r="AB27" s="251">
        <f>SUM('BD Feedstock'!C25,'BD Feedstock'!E25,'BD Feedstock'!G25,'BD Feedstock'!K25,'BD Feedstock'!T25)</f>
        <v>15.838837677094421</v>
      </c>
      <c r="AC27" s="251">
        <f>SUM('BD Feedstock'!D25,'BD Feedstock'!F25,'BD Feedstock'!H25,'BD Feedstock'!I25,'BD Feedstock'!L25,'BD Feedstock'!M25,'BD Feedstock'!N25,'BD Feedstock'!O25,'BD Feedstock'!U25)</f>
        <v>5.7437745841929937</v>
      </c>
      <c r="AD27" s="251">
        <f>'BD Feedstock'!J25</f>
        <v>0</v>
      </c>
      <c r="AE27" s="251">
        <f>SUM('BD Feedstock'!B25,'BD Feedstock'!P25,'BD Feedstock'!Q25,'BD Feedstock'!R25)</f>
        <v>2.5713189313266813</v>
      </c>
      <c r="AF27" s="251">
        <f>'BD Feedstock'!S25</f>
        <v>0</v>
      </c>
      <c r="AG27" s="251">
        <f t="shared" si="8"/>
        <v>24.153931192614095</v>
      </c>
      <c r="AK27" s="237">
        <f t="shared" si="9"/>
        <v>0.65574574800220087</v>
      </c>
      <c r="AL27" s="237">
        <f t="shared" si="9"/>
        <v>0.23779874747466997</v>
      </c>
      <c r="AM27" s="237">
        <f t="shared" si="9"/>
        <v>0</v>
      </c>
      <c r="AN27" s="237">
        <f t="shared" si="9"/>
        <v>0.1064555045231292</v>
      </c>
      <c r="AO27" s="237">
        <f t="shared" si="9"/>
        <v>0</v>
      </c>
      <c r="AP27" s="237">
        <f t="shared" si="10"/>
        <v>1</v>
      </c>
      <c r="AQ27" s="237"/>
      <c r="AR27" s="237">
        <f t="shared" si="11"/>
        <v>0.73387027878476208</v>
      </c>
      <c r="AS27" s="237">
        <f t="shared" si="12"/>
        <v>0.26612972121523781</v>
      </c>
      <c r="AT27" s="237">
        <f t="shared" si="13"/>
        <v>0</v>
      </c>
      <c r="AU27" s="237">
        <f t="shared" si="15"/>
        <v>1</v>
      </c>
      <c r="AV27" s="237">
        <f t="shared" si="16"/>
        <v>0</v>
      </c>
      <c r="AX27" s="251">
        <f t="shared" si="1"/>
        <v>0</v>
      </c>
      <c r="AY27" s="251">
        <f t="shared" si="1"/>
        <v>0</v>
      </c>
      <c r="AZ27" s="251">
        <f t="shared" si="1"/>
        <v>0</v>
      </c>
      <c r="BA27" s="251">
        <f t="shared" si="2"/>
        <v>0</v>
      </c>
      <c r="BB27" s="251">
        <f t="shared" si="2"/>
        <v>0</v>
      </c>
      <c r="BC27" s="251">
        <f t="shared" si="3"/>
        <v>0</v>
      </c>
      <c r="BD27" s="270" t="e">
        <f t="shared" si="4"/>
        <v>#DIV/0!</v>
      </c>
      <c r="BE27" s="251">
        <f t="shared" si="5"/>
        <v>0</v>
      </c>
      <c r="BF27" s="251">
        <f t="shared" si="6"/>
        <v>0</v>
      </c>
    </row>
    <row r="28" spans="1:58">
      <c r="A28" s="11">
        <v>40483</v>
      </c>
      <c r="B28" s="268"/>
      <c r="C28" s="268"/>
      <c r="D28" s="268"/>
      <c r="E28" s="268">
        <v>3</v>
      </c>
      <c r="F28" s="269">
        <v>0.2</v>
      </c>
      <c r="G28" s="269"/>
      <c r="H28" s="269">
        <v>12</v>
      </c>
      <c r="I28" s="269"/>
      <c r="J28" s="269"/>
      <c r="K28" s="269"/>
      <c r="L28" s="269">
        <v>2.6417217685798895</v>
      </c>
      <c r="M28" s="269">
        <f t="shared" si="17"/>
        <v>1.5</v>
      </c>
      <c r="N28" s="269"/>
      <c r="O28" s="269">
        <f t="shared" si="7"/>
        <v>17.699535849485258</v>
      </c>
      <c r="Q28" s="251">
        <f t="shared" si="14"/>
        <v>37.041257618065146</v>
      </c>
      <c r="R28" s="251">
        <v>0</v>
      </c>
      <c r="S28" s="251">
        <f t="shared" si="0"/>
        <v>37.041257618065146</v>
      </c>
      <c r="AB28" s="251">
        <f>SUM('BD Feedstock'!C26,'BD Feedstock'!E26,'BD Feedstock'!G26,'BD Feedstock'!K26,'BD Feedstock'!T26)</f>
        <v>15.838837677094421</v>
      </c>
      <c r="AC28" s="251">
        <f>SUM('BD Feedstock'!D26,'BD Feedstock'!F26,'BD Feedstock'!H26,'BD Feedstock'!I26,'BD Feedstock'!L26,'BD Feedstock'!M26,'BD Feedstock'!N26,'BD Feedstock'!O26,'BD Feedstock'!U26)</f>
        <v>5.7437745841929937</v>
      </c>
      <c r="AD28" s="251">
        <f>'BD Feedstock'!J26</f>
        <v>0</v>
      </c>
      <c r="AE28" s="251">
        <f>SUM('BD Feedstock'!B26,'BD Feedstock'!P26,'BD Feedstock'!Q26,'BD Feedstock'!R26)</f>
        <v>2.5713189313266813</v>
      </c>
      <c r="AF28" s="251">
        <f>'BD Feedstock'!S26</f>
        <v>0</v>
      </c>
      <c r="AG28" s="251">
        <f t="shared" si="8"/>
        <v>24.153931192614095</v>
      </c>
      <c r="AK28" s="237">
        <f t="shared" si="9"/>
        <v>0.65574574800220087</v>
      </c>
      <c r="AL28" s="237">
        <f t="shared" si="9"/>
        <v>0.23779874747466997</v>
      </c>
      <c r="AM28" s="237">
        <f t="shared" si="9"/>
        <v>0</v>
      </c>
      <c r="AN28" s="237">
        <f t="shared" si="9"/>
        <v>0.1064555045231292</v>
      </c>
      <c r="AO28" s="237">
        <f t="shared" si="9"/>
        <v>0</v>
      </c>
      <c r="AP28" s="237">
        <f t="shared" si="10"/>
        <v>1</v>
      </c>
      <c r="AQ28" s="237"/>
      <c r="AR28" s="237">
        <f t="shared" si="11"/>
        <v>0.73387027878476208</v>
      </c>
      <c r="AS28" s="237">
        <f t="shared" si="12"/>
        <v>0.26612972121523781</v>
      </c>
      <c r="AT28" s="237">
        <f t="shared" si="13"/>
        <v>0</v>
      </c>
      <c r="AU28" s="237">
        <f t="shared" si="15"/>
        <v>1</v>
      </c>
      <c r="AV28" s="237">
        <f t="shared" si="16"/>
        <v>0</v>
      </c>
      <c r="AX28" s="251">
        <f t="shared" si="1"/>
        <v>0</v>
      </c>
      <c r="AY28" s="251">
        <f t="shared" si="1"/>
        <v>0</v>
      </c>
      <c r="AZ28" s="251">
        <f t="shared" si="1"/>
        <v>0</v>
      </c>
      <c r="BA28" s="251">
        <f t="shared" si="2"/>
        <v>0</v>
      </c>
      <c r="BB28" s="251">
        <f t="shared" si="2"/>
        <v>0</v>
      </c>
      <c r="BC28" s="251">
        <f t="shared" si="3"/>
        <v>0</v>
      </c>
      <c r="BD28" s="270" t="e">
        <f t="shared" si="4"/>
        <v>#DIV/0!</v>
      </c>
      <c r="BE28" s="251">
        <f t="shared" si="5"/>
        <v>0</v>
      </c>
      <c r="BF28" s="251">
        <f t="shared" si="6"/>
        <v>0</v>
      </c>
    </row>
    <row r="29" spans="1:58">
      <c r="A29" s="11">
        <v>40513</v>
      </c>
      <c r="B29" s="268"/>
      <c r="C29" s="268"/>
      <c r="D29" s="268"/>
      <c r="E29" s="268">
        <v>3</v>
      </c>
      <c r="F29" s="269">
        <v>0.2</v>
      </c>
      <c r="G29" s="269"/>
      <c r="H29" s="269">
        <v>12</v>
      </c>
      <c r="I29" s="269"/>
      <c r="J29" s="269"/>
      <c r="K29" s="269"/>
      <c r="L29" s="269">
        <v>2.6417217685798895</v>
      </c>
      <c r="M29" s="269">
        <f t="shared" si="17"/>
        <v>1.5</v>
      </c>
      <c r="N29" s="269"/>
      <c r="O29" s="269">
        <f t="shared" si="7"/>
        <v>17.699535849485258</v>
      </c>
      <c r="Q29" s="251">
        <f t="shared" si="14"/>
        <v>37.041257618065146</v>
      </c>
      <c r="R29" s="251">
        <v>0</v>
      </c>
      <c r="S29" s="251">
        <f t="shared" si="0"/>
        <v>37.041257618065146</v>
      </c>
      <c r="AB29" s="251">
        <f>SUM('BD Feedstock'!C27,'BD Feedstock'!E27,'BD Feedstock'!G27,'BD Feedstock'!K27,'BD Feedstock'!T27)</f>
        <v>15.838837677094421</v>
      </c>
      <c r="AC29" s="251">
        <f>SUM('BD Feedstock'!D27,'BD Feedstock'!F27,'BD Feedstock'!H27,'BD Feedstock'!I27,'BD Feedstock'!L27,'BD Feedstock'!M27,'BD Feedstock'!N27,'BD Feedstock'!O27,'BD Feedstock'!U27)</f>
        <v>5.7437745841929937</v>
      </c>
      <c r="AD29" s="251">
        <f>'BD Feedstock'!J27</f>
        <v>0</v>
      </c>
      <c r="AE29" s="251">
        <f>SUM('BD Feedstock'!B27,'BD Feedstock'!P27,'BD Feedstock'!Q27,'BD Feedstock'!R27)</f>
        <v>2.5713189313266813</v>
      </c>
      <c r="AF29" s="251">
        <f>'BD Feedstock'!S27</f>
        <v>0</v>
      </c>
      <c r="AG29" s="251">
        <f t="shared" si="8"/>
        <v>24.153931192614095</v>
      </c>
      <c r="AK29" s="237">
        <f t="shared" si="9"/>
        <v>0.65574574800220087</v>
      </c>
      <c r="AL29" s="237">
        <f t="shared" si="9"/>
        <v>0.23779874747466997</v>
      </c>
      <c r="AM29" s="237">
        <f t="shared" si="9"/>
        <v>0</v>
      </c>
      <c r="AN29" s="237">
        <f t="shared" si="9"/>
        <v>0.1064555045231292</v>
      </c>
      <c r="AO29" s="237">
        <f t="shared" si="9"/>
        <v>0</v>
      </c>
      <c r="AP29" s="237">
        <f t="shared" si="10"/>
        <v>1</v>
      </c>
      <c r="AQ29" s="237"/>
      <c r="AR29" s="237">
        <f t="shared" si="11"/>
        <v>0.73387027878476208</v>
      </c>
      <c r="AS29" s="237">
        <f t="shared" si="12"/>
        <v>0.26612972121523781</v>
      </c>
      <c r="AT29" s="237">
        <f t="shared" si="13"/>
        <v>0</v>
      </c>
      <c r="AU29" s="237">
        <f t="shared" si="15"/>
        <v>1</v>
      </c>
      <c r="AV29" s="237">
        <f t="shared" si="16"/>
        <v>0</v>
      </c>
      <c r="AX29" s="251">
        <f t="shared" si="1"/>
        <v>0</v>
      </c>
      <c r="AY29" s="251">
        <f t="shared" si="1"/>
        <v>0</v>
      </c>
      <c r="AZ29" s="251">
        <f t="shared" si="1"/>
        <v>0</v>
      </c>
      <c r="BA29" s="251">
        <f t="shared" si="2"/>
        <v>0</v>
      </c>
      <c r="BB29" s="251">
        <f t="shared" si="2"/>
        <v>0</v>
      </c>
      <c r="BC29" s="251">
        <f t="shared" si="3"/>
        <v>0</v>
      </c>
      <c r="BD29" s="270" t="e">
        <f t="shared" si="4"/>
        <v>#DIV/0!</v>
      </c>
      <c r="BE29" s="251">
        <f t="shared" si="5"/>
        <v>0</v>
      </c>
      <c r="BF29" s="251">
        <f t="shared" si="6"/>
        <v>0</v>
      </c>
    </row>
    <row r="30" spans="1:58">
      <c r="A30" s="11">
        <v>40544</v>
      </c>
      <c r="B30" s="268"/>
      <c r="C30" s="268"/>
      <c r="D30" s="268"/>
      <c r="E30" s="268">
        <v>3</v>
      </c>
      <c r="F30" s="269">
        <v>0.2</v>
      </c>
      <c r="G30" s="269"/>
      <c r="H30" s="269">
        <v>12</v>
      </c>
      <c r="I30" s="269"/>
      <c r="J30" s="269"/>
      <c r="K30" s="269"/>
      <c r="L30" s="269">
        <v>2.6417217685798895</v>
      </c>
      <c r="M30" s="269">
        <f t="shared" si="17"/>
        <v>1.5</v>
      </c>
      <c r="N30" s="269"/>
      <c r="O30" s="269">
        <f t="shared" si="7"/>
        <v>17.699535849485258</v>
      </c>
      <c r="Q30" s="251">
        <f t="shared" si="14"/>
        <v>37.041257618065146</v>
      </c>
      <c r="R30" s="251">
        <v>0</v>
      </c>
      <c r="S30" s="251">
        <f t="shared" si="0"/>
        <v>37.041257618065146</v>
      </c>
      <c r="AB30" s="251">
        <f>SUM('BD Feedstock'!C28,'BD Feedstock'!E28,'BD Feedstock'!G28,'BD Feedstock'!K28,'BD Feedstock'!T28)</f>
        <v>15.838837677094421</v>
      </c>
      <c r="AC30" s="251">
        <f>SUM('BD Feedstock'!D28,'BD Feedstock'!F28,'BD Feedstock'!H28,'BD Feedstock'!I28,'BD Feedstock'!L28,'BD Feedstock'!M28,'BD Feedstock'!N28,'BD Feedstock'!O28,'BD Feedstock'!U28)</f>
        <v>5.7437745841929937</v>
      </c>
      <c r="AD30" s="251">
        <f>'BD Feedstock'!J28</f>
        <v>0</v>
      </c>
      <c r="AE30" s="251">
        <f>SUM('BD Feedstock'!B28,'BD Feedstock'!P28,'BD Feedstock'!Q28,'BD Feedstock'!R28)</f>
        <v>2.5713189313266813</v>
      </c>
      <c r="AF30" s="251">
        <f>'BD Feedstock'!S28</f>
        <v>0</v>
      </c>
      <c r="AG30" s="251">
        <f t="shared" si="8"/>
        <v>24.153931192614095</v>
      </c>
      <c r="AK30" s="237">
        <f t="shared" si="9"/>
        <v>0.65574574800220087</v>
      </c>
      <c r="AL30" s="237">
        <f t="shared" si="9"/>
        <v>0.23779874747466997</v>
      </c>
      <c r="AM30" s="237">
        <f t="shared" si="9"/>
        <v>0</v>
      </c>
      <c r="AN30" s="237">
        <f t="shared" si="9"/>
        <v>0.1064555045231292</v>
      </c>
      <c r="AO30" s="237">
        <f t="shared" si="9"/>
        <v>0</v>
      </c>
      <c r="AP30" s="237">
        <f t="shared" si="10"/>
        <v>1</v>
      </c>
      <c r="AQ30" s="237"/>
      <c r="AR30" s="237">
        <f t="shared" si="11"/>
        <v>0.73387027878476208</v>
      </c>
      <c r="AS30" s="237">
        <f t="shared" si="12"/>
        <v>0.26612972121523781</v>
      </c>
      <c r="AT30" s="237">
        <f t="shared" si="13"/>
        <v>0</v>
      </c>
      <c r="AU30" s="237">
        <f t="shared" si="15"/>
        <v>1</v>
      </c>
      <c r="AV30" s="237">
        <f t="shared" si="16"/>
        <v>0</v>
      </c>
      <c r="AX30" s="251">
        <f t="shared" si="1"/>
        <v>0</v>
      </c>
      <c r="AY30" s="251">
        <f t="shared" si="1"/>
        <v>0</v>
      </c>
      <c r="AZ30" s="251">
        <f t="shared" si="1"/>
        <v>0</v>
      </c>
      <c r="BA30" s="251">
        <f t="shared" si="2"/>
        <v>0</v>
      </c>
      <c r="BB30" s="251">
        <f t="shared" si="2"/>
        <v>0</v>
      </c>
      <c r="BC30" s="251">
        <f t="shared" si="3"/>
        <v>0</v>
      </c>
      <c r="BD30" s="270" t="e">
        <f t="shared" si="4"/>
        <v>#DIV/0!</v>
      </c>
      <c r="BE30" s="251">
        <f t="shared" si="5"/>
        <v>0</v>
      </c>
      <c r="BF30" s="251">
        <f t="shared" si="6"/>
        <v>0</v>
      </c>
    </row>
    <row r="31" spans="1:58">
      <c r="A31" s="11">
        <v>40575</v>
      </c>
      <c r="B31" s="268"/>
      <c r="C31" s="268"/>
      <c r="D31" s="268"/>
      <c r="E31" s="268">
        <v>3</v>
      </c>
      <c r="F31" s="269">
        <v>0.2</v>
      </c>
      <c r="G31" s="269"/>
      <c r="H31" s="269">
        <v>12</v>
      </c>
      <c r="I31" s="269"/>
      <c r="J31" s="269"/>
      <c r="K31" s="269"/>
      <c r="L31" s="269">
        <v>2.6417217685798895</v>
      </c>
      <c r="M31" s="269">
        <f t="shared" si="17"/>
        <v>1.5</v>
      </c>
      <c r="N31" s="269"/>
      <c r="O31" s="269">
        <f t="shared" si="7"/>
        <v>17.699535849485258</v>
      </c>
      <c r="Q31" s="251">
        <f t="shared" si="14"/>
        <v>37.041257618065146</v>
      </c>
      <c r="R31" s="251">
        <v>0</v>
      </c>
      <c r="S31" s="251">
        <f t="shared" si="0"/>
        <v>37.041257618065146</v>
      </c>
      <c r="AB31" s="251">
        <f>SUM('BD Feedstock'!C29,'BD Feedstock'!E29,'BD Feedstock'!G29,'BD Feedstock'!K29,'BD Feedstock'!T29)</f>
        <v>15.838837677094421</v>
      </c>
      <c r="AC31" s="251">
        <f>SUM('BD Feedstock'!D29,'BD Feedstock'!F29,'BD Feedstock'!H29,'BD Feedstock'!I29,'BD Feedstock'!L29,'BD Feedstock'!M29,'BD Feedstock'!N29,'BD Feedstock'!O29,'BD Feedstock'!U29)</f>
        <v>5.7437745841929937</v>
      </c>
      <c r="AD31" s="251">
        <f>'BD Feedstock'!J29</f>
        <v>0</v>
      </c>
      <c r="AE31" s="251">
        <f>SUM('BD Feedstock'!B29,'BD Feedstock'!P29,'BD Feedstock'!Q29,'BD Feedstock'!R29)</f>
        <v>2.5713189313266813</v>
      </c>
      <c r="AF31" s="251">
        <f>'BD Feedstock'!S29</f>
        <v>0</v>
      </c>
      <c r="AG31" s="251">
        <f t="shared" si="8"/>
        <v>24.153931192614095</v>
      </c>
      <c r="AK31" s="237">
        <f t="shared" si="9"/>
        <v>0.65574574800220087</v>
      </c>
      <c r="AL31" s="237">
        <f t="shared" si="9"/>
        <v>0.23779874747466997</v>
      </c>
      <c r="AM31" s="237">
        <f t="shared" si="9"/>
        <v>0</v>
      </c>
      <c r="AN31" s="237">
        <f t="shared" si="9"/>
        <v>0.1064555045231292</v>
      </c>
      <c r="AO31" s="237">
        <f t="shared" si="9"/>
        <v>0</v>
      </c>
      <c r="AP31" s="237">
        <f t="shared" si="10"/>
        <v>1</v>
      </c>
      <c r="AQ31" s="237"/>
      <c r="AR31" s="237">
        <f t="shared" si="11"/>
        <v>0.73387027878476208</v>
      </c>
      <c r="AS31" s="237">
        <f t="shared" si="12"/>
        <v>0.26612972121523781</v>
      </c>
      <c r="AT31" s="237">
        <f t="shared" si="13"/>
        <v>0</v>
      </c>
      <c r="AU31" s="237">
        <f t="shared" si="15"/>
        <v>1</v>
      </c>
      <c r="AV31" s="237">
        <f t="shared" si="16"/>
        <v>0</v>
      </c>
      <c r="AX31" s="251">
        <f t="shared" si="1"/>
        <v>0</v>
      </c>
      <c r="AY31" s="251">
        <f t="shared" si="1"/>
        <v>0</v>
      </c>
      <c r="AZ31" s="251">
        <f t="shared" si="1"/>
        <v>0</v>
      </c>
      <c r="BA31" s="251">
        <f t="shared" si="2"/>
        <v>0</v>
      </c>
      <c r="BB31" s="251">
        <f t="shared" si="2"/>
        <v>0</v>
      </c>
      <c r="BC31" s="251">
        <f t="shared" si="3"/>
        <v>0</v>
      </c>
      <c r="BD31" s="270" t="e">
        <f t="shared" si="4"/>
        <v>#DIV/0!</v>
      </c>
      <c r="BE31" s="251">
        <f t="shared" si="5"/>
        <v>0</v>
      </c>
      <c r="BF31" s="251">
        <f t="shared" si="6"/>
        <v>0</v>
      </c>
    </row>
    <row r="32" spans="1:58">
      <c r="A32" s="11">
        <v>40603</v>
      </c>
      <c r="B32" s="268"/>
      <c r="C32" s="268"/>
      <c r="D32" s="268"/>
      <c r="E32" s="268">
        <v>3</v>
      </c>
      <c r="F32" s="269">
        <v>0.2</v>
      </c>
      <c r="G32" s="269"/>
      <c r="H32" s="269">
        <v>12</v>
      </c>
      <c r="I32" s="269"/>
      <c r="J32" s="269"/>
      <c r="K32" s="269"/>
      <c r="L32" s="269">
        <v>2.6417217685798895</v>
      </c>
      <c r="M32" s="269">
        <f t="shared" si="17"/>
        <v>1.5</v>
      </c>
      <c r="N32" s="269"/>
      <c r="O32" s="269">
        <f t="shared" si="7"/>
        <v>17.699535849485258</v>
      </c>
      <c r="Q32" s="251">
        <f t="shared" si="14"/>
        <v>37.041257618065146</v>
      </c>
      <c r="R32" s="251">
        <v>0</v>
      </c>
      <c r="S32" s="251">
        <f t="shared" si="0"/>
        <v>37.041257618065146</v>
      </c>
      <c r="AB32" s="251">
        <f>SUM('BD Feedstock'!C30,'BD Feedstock'!E30,'BD Feedstock'!G30,'BD Feedstock'!K30,'BD Feedstock'!T30)</f>
        <v>15.838837677094421</v>
      </c>
      <c r="AC32" s="251">
        <f>SUM('BD Feedstock'!D30,'BD Feedstock'!F30,'BD Feedstock'!H30,'BD Feedstock'!I30,'BD Feedstock'!L30,'BD Feedstock'!M30,'BD Feedstock'!N30,'BD Feedstock'!O30,'BD Feedstock'!U30)</f>
        <v>5.7437745841929937</v>
      </c>
      <c r="AD32" s="251">
        <f>'BD Feedstock'!J30</f>
        <v>0</v>
      </c>
      <c r="AE32" s="251">
        <f>SUM('BD Feedstock'!B30,'BD Feedstock'!P30,'BD Feedstock'!Q30,'BD Feedstock'!R30)</f>
        <v>2.5713189313266813</v>
      </c>
      <c r="AF32" s="251">
        <f>'BD Feedstock'!S30</f>
        <v>0</v>
      </c>
      <c r="AG32" s="251">
        <f t="shared" si="8"/>
        <v>24.153931192614095</v>
      </c>
      <c r="AK32" s="237">
        <f t="shared" si="9"/>
        <v>0.65574574800220087</v>
      </c>
      <c r="AL32" s="237">
        <f t="shared" si="9"/>
        <v>0.23779874747466997</v>
      </c>
      <c r="AM32" s="237">
        <f t="shared" si="9"/>
        <v>0</v>
      </c>
      <c r="AN32" s="237">
        <f t="shared" si="9"/>
        <v>0.1064555045231292</v>
      </c>
      <c r="AO32" s="237">
        <f t="shared" si="9"/>
        <v>0</v>
      </c>
      <c r="AP32" s="237">
        <f t="shared" si="10"/>
        <v>1</v>
      </c>
      <c r="AQ32" s="237"/>
      <c r="AR32" s="237">
        <f t="shared" si="11"/>
        <v>0.73387027878476208</v>
      </c>
      <c r="AS32" s="237">
        <f t="shared" si="12"/>
        <v>0.26612972121523781</v>
      </c>
      <c r="AT32" s="237">
        <f t="shared" si="13"/>
        <v>0</v>
      </c>
      <c r="AU32" s="237">
        <f t="shared" si="15"/>
        <v>1</v>
      </c>
      <c r="AV32" s="237">
        <f t="shared" si="16"/>
        <v>0</v>
      </c>
      <c r="AX32" s="251">
        <f t="shared" si="1"/>
        <v>0</v>
      </c>
      <c r="AY32" s="251">
        <f t="shared" si="1"/>
        <v>0</v>
      </c>
      <c r="AZ32" s="251">
        <f t="shared" si="1"/>
        <v>0</v>
      </c>
      <c r="BA32" s="251">
        <f t="shared" si="2"/>
        <v>0</v>
      </c>
      <c r="BB32" s="251">
        <f t="shared" si="2"/>
        <v>0</v>
      </c>
      <c r="BC32" s="251">
        <f t="shared" si="3"/>
        <v>0</v>
      </c>
      <c r="BD32" s="270" t="e">
        <f t="shared" si="4"/>
        <v>#DIV/0!</v>
      </c>
      <c r="BE32" s="251">
        <f t="shared" si="5"/>
        <v>0</v>
      </c>
      <c r="BF32" s="251">
        <f t="shared" si="6"/>
        <v>0</v>
      </c>
    </row>
    <row r="33" spans="1:58">
      <c r="A33" s="11">
        <v>40634</v>
      </c>
      <c r="B33" s="268"/>
      <c r="C33" s="268"/>
      <c r="D33" s="268"/>
      <c r="E33" s="268">
        <v>3</v>
      </c>
      <c r="F33" s="269">
        <v>0.2</v>
      </c>
      <c r="G33" s="269"/>
      <c r="H33" s="269">
        <v>12</v>
      </c>
      <c r="I33" s="269"/>
      <c r="J33" s="269"/>
      <c r="K33" s="269"/>
      <c r="L33" s="269">
        <v>2.6417217685798895</v>
      </c>
      <c r="M33" s="269">
        <f t="shared" si="17"/>
        <v>1.5</v>
      </c>
      <c r="N33" s="269"/>
      <c r="O33" s="269">
        <f t="shared" si="7"/>
        <v>17.699535849485258</v>
      </c>
      <c r="Q33" s="251">
        <f t="shared" si="14"/>
        <v>37.041257618065146</v>
      </c>
      <c r="R33" s="251">
        <v>0</v>
      </c>
      <c r="S33" s="251">
        <f t="shared" si="0"/>
        <v>37.041257618065146</v>
      </c>
      <c r="AB33" s="251">
        <f>SUM('BD Feedstock'!C31,'BD Feedstock'!E31,'BD Feedstock'!G31,'BD Feedstock'!K31,'BD Feedstock'!T31)</f>
        <v>15.838837677094421</v>
      </c>
      <c r="AC33" s="251">
        <f>SUM('BD Feedstock'!D31,'BD Feedstock'!F31,'BD Feedstock'!H31,'BD Feedstock'!I31,'BD Feedstock'!L31,'BD Feedstock'!M31,'BD Feedstock'!N31,'BD Feedstock'!O31,'BD Feedstock'!U31)</f>
        <v>5.7437745841929937</v>
      </c>
      <c r="AD33" s="251">
        <f>'BD Feedstock'!J31</f>
        <v>0</v>
      </c>
      <c r="AE33" s="251">
        <f>SUM('BD Feedstock'!B31,'BD Feedstock'!P31,'BD Feedstock'!Q31,'BD Feedstock'!R31)</f>
        <v>2.5713189313266813</v>
      </c>
      <c r="AF33" s="251">
        <f>'BD Feedstock'!S31</f>
        <v>0</v>
      </c>
      <c r="AG33" s="251">
        <f t="shared" si="8"/>
        <v>24.153931192614095</v>
      </c>
      <c r="AK33" s="237">
        <f t="shared" si="9"/>
        <v>0.65574574800220087</v>
      </c>
      <c r="AL33" s="237">
        <f t="shared" si="9"/>
        <v>0.23779874747466997</v>
      </c>
      <c r="AM33" s="237">
        <f t="shared" si="9"/>
        <v>0</v>
      </c>
      <c r="AN33" s="237">
        <f t="shared" si="9"/>
        <v>0.1064555045231292</v>
      </c>
      <c r="AO33" s="237">
        <f t="shared" si="9"/>
        <v>0</v>
      </c>
      <c r="AP33" s="237">
        <f t="shared" si="10"/>
        <v>1</v>
      </c>
      <c r="AQ33" s="237"/>
      <c r="AR33" s="237">
        <f t="shared" si="11"/>
        <v>0.73387027878476208</v>
      </c>
      <c r="AS33" s="237">
        <f t="shared" si="12"/>
        <v>0.26612972121523781</v>
      </c>
      <c r="AT33" s="237">
        <f t="shared" si="13"/>
        <v>0</v>
      </c>
      <c r="AU33" s="237">
        <f t="shared" si="15"/>
        <v>1</v>
      </c>
      <c r="AV33" s="237">
        <f t="shared" si="16"/>
        <v>0</v>
      </c>
      <c r="AX33" s="251">
        <f t="shared" si="1"/>
        <v>0</v>
      </c>
      <c r="AY33" s="251">
        <f t="shared" si="1"/>
        <v>0</v>
      </c>
      <c r="AZ33" s="251">
        <f t="shared" si="1"/>
        <v>0</v>
      </c>
      <c r="BA33" s="251">
        <f t="shared" si="2"/>
        <v>0</v>
      </c>
      <c r="BB33" s="251">
        <f t="shared" si="2"/>
        <v>0</v>
      </c>
      <c r="BC33" s="251">
        <f t="shared" si="3"/>
        <v>0</v>
      </c>
      <c r="BD33" s="270" t="e">
        <f t="shared" si="4"/>
        <v>#DIV/0!</v>
      </c>
      <c r="BE33" s="251">
        <f t="shared" si="5"/>
        <v>0</v>
      </c>
      <c r="BF33" s="251">
        <f t="shared" si="6"/>
        <v>0</v>
      </c>
    </row>
    <row r="34" spans="1:58">
      <c r="A34" s="11">
        <v>40664</v>
      </c>
      <c r="B34" s="268"/>
      <c r="C34" s="268"/>
      <c r="D34" s="268"/>
      <c r="E34" s="268">
        <v>3</v>
      </c>
      <c r="F34" s="269">
        <v>0.2</v>
      </c>
      <c r="G34" s="269"/>
      <c r="H34" s="269">
        <v>12</v>
      </c>
      <c r="I34" s="269"/>
      <c r="J34" s="269"/>
      <c r="K34" s="269"/>
      <c r="L34" s="269">
        <v>2.6417217685798895</v>
      </c>
      <c r="M34" s="269">
        <f t="shared" si="17"/>
        <v>1.5</v>
      </c>
      <c r="N34" s="269"/>
      <c r="O34" s="269">
        <f t="shared" si="7"/>
        <v>17.699535849485258</v>
      </c>
      <c r="Q34" s="251">
        <f t="shared" si="14"/>
        <v>37.041257618065146</v>
      </c>
      <c r="R34" s="251">
        <v>0</v>
      </c>
      <c r="S34" s="251">
        <f t="shared" si="0"/>
        <v>37.041257618065146</v>
      </c>
      <c r="AB34" s="251">
        <f>SUM('BD Feedstock'!C32,'BD Feedstock'!E32,'BD Feedstock'!G32,'BD Feedstock'!K32,'BD Feedstock'!T32)</f>
        <v>15.838837677094421</v>
      </c>
      <c r="AC34" s="251">
        <f>SUM('BD Feedstock'!D32,'BD Feedstock'!F32,'BD Feedstock'!H32,'BD Feedstock'!I32,'BD Feedstock'!L32,'BD Feedstock'!M32,'BD Feedstock'!N32,'BD Feedstock'!O32,'BD Feedstock'!U32)</f>
        <v>5.7437745841929937</v>
      </c>
      <c r="AD34" s="251">
        <f>'BD Feedstock'!J32</f>
        <v>0</v>
      </c>
      <c r="AE34" s="251">
        <f>SUM('BD Feedstock'!B32,'BD Feedstock'!P32,'BD Feedstock'!Q32,'BD Feedstock'!R32)</f>
        <v>2.5713189313266813</v>
      </c>
      <c r="AF34" s="251">
        <f>'BD Feedstock'!S32</f>
        <v>0</v>
      </c>
      <c r="AG34" s="251">
        <f t="shared" si="8"/>
        <v>24.153931192614095</v>
      </c>
      <c r="AK34" s="237">
        <f t="shared" si="9"/>
        <v>0.65574574800220087</v>
      </c>
      <c r="AL34" s="237">
        <f t="shared" si="9"/>
        <v>0.23779874747466997</v>
      </c>
      <c r="AM34" s="237">
        <f t="shared" si="9"/>
        <v>0</v>
      </c>
      <c r="AN34" s="237">
        <f t="shared" si="9"/>
        <v>0.1064555045231292</v>
      </c>
      <c r="AO34" s="237">
        <f t="shared" si="9"/>
        <v>0</v>
      </c>
      <c r="AP34" s="237">
        <f t="shared" si="10"/>
        <v>1</v>
      </c>
      <c r="AQ34" s="237"/>
      <c r="AR34" s="237">
        <f t="shared" si="11"/>
        <v>0.73387027878476208</v>
      </c>
      <c r="AS34" s="237">
        <f t="shared" si="12"/>
        <v>0.26612972121523781</v>
      </c>
      <c r="AT34" s="237">
        <f t="shared" si="13"/>
        <v>0</v>
      </c>
      <c r="AU34" s="237">
        <f t="shared" si="15"/>
        <v>1</v>
      </c>
      <c r="AV34" s="237">
        <f t="shared" si="16"/>
        <v>0</v>
      </c>
      <c r="AX34" s="251">
        <f t="shared" si="1"/>
        <v>0</v>
      </c>
      <c r="AY34" s="251">
        <f t="shared" si="1"/>
        <v>0</v>
      </c>
      <c r="AZ34" s="251">
        <f t="shared" si="1"/>
        <v>0</v>
      </c>
      <c r="BA34" s="251">
        <f t="shared" si="2"/>
        <v>0</v>
      </c>
      <c r="BB34" s="251">
        <f t="shared" si="2"/>
        <v>0</v>
      </c>
      <c r="BC34" s="251">
        <f t="shared" si="3"/>
        <v>0</v>
      </c>
      <c r="BD34" s="270" t="e">
        <f t="shared" si="4"/>
        <v>#DIV/0!</v>
      </c>
      <c r="BE34" s="251">
        <f t="shared" si="5"/>
        <v>0</v>
      </c>
      <c r="BF34" s="251">
        <f t="shared" si="6"/>
        <v>0</v>
      </c>
    </row>
    <row r="35" spans="1:58">
      <c r="A35" s="11">
        <v>40695</v>
      </c>
      <c r="B35" s="268"/>
      <c r="C35" s="268"/>
      <c r="D35" s="268"/>
      <c r="E35" s="268">
        <v>3</v>
      </c>
      <c r="F35" s="269">
        <v>0.2</v>
      </c>
      <c r="G35" s="269"/>
      <c r="H35" s="269">
        <v>12</v>
      </c>
      <c r="I35" s="269"/>
      <c r="J35" s="269"/>
      <c r="K35" s="269"/>
      <c r="L35" s="269">
        <v>2.6417217685798895</v>
      </c>
      <c r="M35" s="269">
        <f t="shared" si="17"/>
        <v>1.5</v>
      </c>
      <c r="N35" s="269"/>
      <c r="O35" s="269">
        <f t="shared" si="7"/>
        <v>17.699535849485258</v>
      </c>
      <c r="Q35" s="251">
        <f t="shared" si="14"/>
        <v>37.041257618065146</v>
      </c>
      <c r="R35" s="251">
        <v>0</v>
      </c>
      <c r="S35" s="251">
        <f t="shared" si="0"/>
        <v>37.041257618065146</v>
      </c>
      <c r="AB35" s="251">
        <f>SUM('BD Feedstock'!C33,'BD Feedstock'!E33,'BD Feedstock'!G33,'BD Feedstock'!K33,'BD Feedstock'!T33)</f>
        <v>15.838837677094421</v>
      </c>
      <c r="AC35" s="251">
        <f>SUM('BD Feedstock'!D33,'BD Feedstock'!F33,'BD Feedstock'!H33,'BD Feedstock'!I33,'BD Feedstock'!L33,'BD Feedstock'!M33,'BD Feedstock'!N33,'BD Feedstock'!O33,'BD Feedstock'!U33)</f>
        <v>5.7437745841929937</v>
      </c>
      <c r="AD35" s="251">
        <f>'BD Feedstock'!J33</f>
        <v>0</v>
      </c>
      <c r="AE35" s="251">
        <f>SUM('BD Feedstock'!B33,'BD Feedstock'!P33,'BD Feedstock'!Q33,'BD Feedstock'!R33)</f>
        <v>2.5713189313266813</v>
      </c>
      <c r="AF35" s="251">
        <f>'BD Feedstock'!S33</f>
        <v>0</v>
      </c>
      <c r="AG35" s="251">
        <f t="shared" si="8"/>
        <v>24.153931192614095</v>
      </c>
      <c r="AK35" s="237">
        <f t="shared" si="9"/>
        <v>0.65574574800220087</v>
      </c>
      <c r="AL35" s="237">
        <f t="shared" si="9"/>
        <v>0.23779874747466997</v>
      </c>
      <c r="AM35" s="237">
        <f t="shared" si="9"/>
        <v>0</v>
      </c>
      <c r="AN35" s="237">
        <f t="shared" si="9"/>
        <v>0.1064555045231292</v>
      </c>
      <c r="AO35" s="237">
        <f t="shared" si="9"/>
        <v>0</v>
      </c>
      <c r="AP35" s="237">
        <f t="shared" si="10"/>
        <v>1</v>
      </c>
      <c r="AQ35" s="237"/>
      <c r="AR35" s="237">
        <f t="shared" si="11"/>
        <v>0.73387027878476208</v>
      </c>
      <c r="AS35" s="237">
        <f t="shared" si="12"/>
        <v>0.26612972121523781</v>
      </c>
      <c r="AT35" s="237">
        <f t="shared" si="13"/>
        <v>0</v>
      </c>
      <c r="AU35" s="237">
        <f t="shared" ref="AU35:AV98" si="18">AE35/SUM($AE35:$AF35)</f>
        <v>1</v>
      </c>
      <c r="AV35" s="237">
        <f t="shared" si="18"/>
        <v>0</v>
      </c>
      <c r="AX35" s="251">
        <f t="shared" si="1"/>
        <v>0</v>
      </c>
      <c r="AY35" s="251">
        <f t="shared" si="1"/>
        <v>0</v>
      </c>
      <c r="AZ35" s="251">
        <f t="shared" si="1"/>
        <v>0</v>
      </c>
      <c r="BA35" s="251">
        <f t="shared" si="2"/>
        <v>0</v>
      </c>
      <c r="BB35" s="251">
        <f t="shared" si="2"/>
        <v>0</v>
      </c>
      <c r="BC35" s="251">
        <f t="shared" si="3"/>
        <v>0</v>
      </c>
      <c r="BD35" s="270" t="e">
        <f t="shared" si="4"/>
        <v>#DIV/0!</v>
      </c>
      <c r="BE35" s="251">
        <f t="shared" si="5"/>
        <v>0</v>
      </c>
      <c r="BF35" s="251">
        <f t="shared" si="6"/>
        <v>0</v>
      </c>
    </row>
    <row r="36" spans="1:58">
      <c r="A36" s="11">
        <v>40725</v>
      </c>
      <c r="B36" s="268"/>
      <c r="C36" s="268"/>
      <c r="D36" s="268"/>
      <c r="E36" s="268">
        <v>3</v>
      </c>
      <c r="F36" s="269">
        <v>0.2</v>
      </c>
      <c r="G36" s="269"/>
      <c r="H36" s="269">
        <v>12</v>
      </c>
      <c r="I36" s="269"/>
      <c r="J36" s="269"/>
      <c r="K36" s="269"/>
      <c r="L36" s="269">
        <v>2.6417217685798895</v>
      </c>
      <c r="M36" s="269">
        <f t="shared" si="17"/>
        <v>1.5</v>
      </c>
      <c r="N36" s="269"/>
      <c r="O36" s="269">
        <f t="shared" si="7"/>
        <v>17.699535849485258</v>
      </c>
      <c r="Q36" s="251">
        <f t="shared" si="14"/>
        <v>37.041257618065146</v>
      </c>
      <c r="R36" s="251">
        <v>0</v>
      </c>
      <c r="S36" s="251">
        <f t="shared" si="0"/>
        <v>37.041257618065146</v>
      </c>
      <c r="AB36" s="251">
        <f>SUM('BD Feedstock'!C34,'BD Feedstock'!E34,'BD Feedstock'!G34,'BD Feedstock'!K34,'BD Feedstock'!T34)</f>
        <v>15.838837677094421</v>
      </c>
      <c r="AC36" s="251">
        <f>SUM('BD Feedstock'!D34,'BD Feedstock'!F34,'BD Feedstock'!H34,'BD Feedstock'!I34,'BD Feedstock'!L34,'BD Feedstock'!M34,'BD Feedstock'!N34,'BD Feedstock'!O34,'BD Feedstock'!U34)</f>
        <v>5.7437745841929937</v>
      </c>
      <c r="AD36" s="251">
        <f>'BD Feedstock'!J34</f>
        <v>0</v>
      </c>
      <c r="AE36" s="251">
        <f>SUM('BD Feedstock'!B34,'BD Feedstock'!P34,'BD Feedstock'!Q34,'BD Feedstock'!R34)</f>
        <v>2.5713189313266813</v>
      </c>
      <c r="AF36" s="251">
        <f>'BD Feedstock'!S34</f>
        <v>0</v>
      </c>
      <c r="AG36" s="251">
        <f t="shared" si="8"/>
        <v>24.153931192614095</v>
      </c>
      <c r="AK36" s="237">
        <f t="shared" si="9"/>
        <v>0.65574574800220087</v>
      </c>
      <c r="AL36" s="237">
        <f t="shared" si="9"/>
        <v>0.23779874747466997</v>
      </c>
      <c r="AM36" s="237">
        <f t="shared" si="9"/>
        <v>0</v>
      </c>
      <c r="AN36" s="237">
        <f t="shared" si="9"/>
        <v>0.1064555045231292</v>
      </c>
      <c r="AO36" s="237">
        <f t="shared" si="9"/>
        <v>0</v>
      </c>
      <c r="AP36" s="237">
        <f t="shared" si="10"/>
        <v>1</v>
      </c>
      <c r="AQ36" s="237"/>
      <c r="AR36" s="237">
        <f t="shared" si="11"/>
        <v>0.73387027878476208</v>
      </c>
      <c r="AS36" s="237">
        <f t="shared" si="12"/>
        <v>0.26612972121523781</v>
      </c>
      <c r="AT36" s="237">
        <f t="shared" si="13"/>
        <v>0</v>
      </c>
      <c r="AU36" s="237">
        <f t="shared" si="18"/>
        <v>1</v>
      </c>
      <c r="AV36" s="237">
        <f t="shared" si="18"/>
        <v>0</v>
      </c>
      <c r="AX36" s="251">
        <f t="shared" si="1"/>
        <v>0</v>
      </c>
      <c r="AY36" s="251">
        <f t="shared" si="1"/>
        <v>0</v>
      </c>
      <c r="AZ36" s="251">
        <f t="shared" si="1"/>
        <v>0</v>
      </c>
      <c r="BA36" s="251">
        <f t="shared" si="2"/>
        <v>0</v>
      </c>
      <c r="BB36" s="251">
        <f t="shared" si="2"/>
        <v>0</v>
      </c>
      <c r="BC36" s="251">
        <f t="shared" si="3"/>
        <v>0</v>
      </c>
      <c r="BD36" s="270" t="e">
        <f t="shared" si="4"/>
        <v>#DIV/0!</v>
      </c>
      <c r="BE36" s="251">
        <f t="shared" si="5"/>
        <v>0</v>
      </c>
      <c r="BF36" s="251">
        <f t="shared" si="6"/>
        <v>0</v>
      </c>
    </row>
    <row r="37" spans="1:58">
      <c r="A37" s="11">
        <v>40756</v>
      </c>
      <c r="B37" s="268"/>
      <c r="C37" s="268"/>
      <c r="D37" s="268"/>
      <c r="E37" s="268">
        <v>3</v>
      </c>
      <c r="F37" s="269">
        <v>0.2</v>
      </c>
      <c r="G37" s="269"/>
      <c r="H37" s="269">
        <v>12</v>
      </c>
      <c r="I37" s="269"/>
      <c r="J37" s="269"/>
      <c r="K37" s="269"/>
      <c r="L37" s="269">
        <v>2.6417217685798895</v>
      </c>
      <c r="M37" s="269">
        <f t="shared" si="17"/>
        <v>1.5</v>
      </c>
      <c r="N37" s="269"/>
      <c r="O37" s="269">
        <f t="shared" si="7"/>
        <v>17.699535849485258</v>
      </c>
      <c r="Q37" s="251">
        <f t="shared" si="14"/>
        <v>37.041257618065146</v>
      </c>
      <c r="R37" s="251">
        <v>0</v>
      </c>
      <c r="S37" s="251">
        <f t="shared" si="0"/>
        <v>37.041257618065146</v>
      </c>
      <c r="AB37" s="251">
        <f>SUM('BD Feedstock'!C35,'BD Feedstock'!E35,'BD Feedstock'!G35,'BD Feedstock'!K35,'BD Feedstock'!T35)</f>
        <v>15.838837677094421</v>
      </c>
      <c r="AC37" s="251">
        <f>SUM('BD Feedstock'!D35,'BD Feedstock'!F35,'BD Feedstock'!H35,'BD Feedstock'!I35,'BD Feedstock'!L35,'BD Feedstock'!M35,'BD Feedstock'!N35,'BD Feedstock'!O35,'BD Feedstock'!U35)</f>
        <v>5.7437745841929937</v>
      </c>
      <c r="AD37" s="251">
        <f>'BD Feedstock'!J35</f>
        <v>0</v>
      </c>
      <c r="AE37" s="251">
        <f>SUM('BD Feedstock'!B35,'BD Feedstock'!P35,'BD Feedstock'!Q35,'BD Feedstock'!R35)</f>
        <v>2.5713189313266813</v>
      </c>
      <c r="AF37" s="251">
        <f>'BD Feedstock'!S35</f>
        <v>0</v>
      </c>
      <c r="AG37" s="251">
        <f t="shared" si="8"/>
        <v>24.153931192614095</v>
      </c>
      <c r="AK37" s="237">
        <f t="shared" si="9"/>
        <v>0.65574574800220087</v>
      </c>
      <c r="AL37" s="237">
        <f t="shared" si="9"/>
        <v>0.23779874747466997</v>
      </c>
      <c r="AM37" s="237">
        <f t="shared" si="9"/>
        <v>0</v>
      </c>
      <c r="AN37" s="237">
        <f t="shared" si="9"/>
        <v>0.1064555045231292</v>
      </c>
      <c r="AO37" s="237">
        <f t="shared" si="9"/>
        <v>0</v>
      </c>
      <c r="AP37" s="237">
        <f t="shared" si="10"/>
        <v>1</v>
      </c>
      <c r="AQ37" s="237"/>
      <c r="AR37" s="237">
        <f t="shared" si="11"/>
        <v>0.73387027878476208</v>
      </c>
      <c r="AS37" s="237">
        <f t="shared" si="12"/>
        <v>0.26612972121523781</v>
      </c>
      <c r="AT37" s="237">
        <f t="shared" si="13"/>
        <v>0</v>
      </c>
      <c r="AU37" s="237">
        <f t="shared" si="18"/>
        <v>1</v>
      </c>
      <c r="AV37" s="237">
        <f t="shared" si="18"/>
        <v>0</v>
      </c>
      <c r="AX37" s="251">
        <f t="shared" si="1"/>
        <v>0</v>
      </c>
      <c r="AY37" s="251">
        <f t="shared" si="1"/>
        <v>0</v>
      </c>
      <c r="AZ37" s="251">
        <f t="shared" si="1"/>
        <v>0</v>
      </c>
      <c r="BA37" s="251">
        <f t="shared" si="2"/>
        <v>0</v>
      </c>
      <c r="BB37" s="251">
        <f t="shared" si="2"/>
        <v>0</v>
      </c>
      <c r="BC37" s="251">
        <f t="shared" si="3"/>
        <v>0</v>
      </c>
      <c r="BD37" s="270" t="e">
        <f t="shared" si="4"/>
        <v>#DIV/0!</v>
      </c>
      <c r="BE37" s="251">
        <f t="shared" si="5"/>
        <v>0</v>
      </c>
      <c r="BF37" s="251">
        <f t="shared" si="6"/>
        <v>0</v>
      </c>
    </row>
    <row r="38" spans="1:58">
      <c r="A38" s="11">
        <v>40787</v>
      </c>
      <c r="B38" s="268"/>
      <c r="C38" s="268"/>
      <c r="D38" s="268"/>
      <c r="E38" s="268">
        <v>3</v>
      </c>
      <c r="F38" s="269">
        <v>0.2</v>
      </c>
      <c r="G38" s="269"/>
      <c r="H38" s="269">
        <v>12</v>
      </c>
      <c r="I38" s="269"/>
      <c r="J38" s="269"/>
      <c r="K38" s="269"/>
      <c r="L38" s="269">
        <v>5.283443537159779</v>
      </c>
      <c r="M38" s="269">
        <f t="shared" si="17"/>
        <v>1.5</v>
      </c>
      <c r="N38" s="269"/>
      <c r="O38" s="269">
        <f t="shared" si="7"/>
        <v>17.699535849485258</v>
      </c>
      <c r="Q38" s="251">
        <f t="shared" si="14"/>
        <v>39.682979386645037</v>
      </c>
      <c r="R38" s="251">
        <v>0</v>
      </c>
      <c r="S38" s="251">
        <f t="shared" ref="S38:S101" si="19">SUM(B38:O38)</f>
        <v>39.682979386645037</v>
      </c>
      <c r="AB38" s="251">
        <f>SUM('BD Feedstock'!C36,'BD Feedstock'!E36,'BD Feedstock'!G36,'BD Feedstock'!K36,'BD Feedstock'!T36)</f>
        <v>15.838837677094421</v>
      </c>
      <c r="AC38" s="251">
        <f>SUM('BD Feedstock'!D36,'BD Feedstock'!F36,'BD Feedstock'!H36,'BD Feedstock'!I36,'BD Feedstock'!L36,'BD Feedstock'!M36,'BD Feedstock'!N36,'BD Feedstock'!O36,'BD Feedstock'!U36)</f>
        <v>5.7437745841929937</v>
      </c>
      <c r="AD38" s="251">
        <f>'BD Feedstock'!J36</f>
        <v>0</v>
      </c>
      <c r="AE38" s="251">
        <f>SUM('BD Feedstock'!B36,'BD Feedstock'!P36,'BD Feedstock'!Q36,'BD Feedstock'!R36)</f>
        <v>4.2113878626533632</v>
      </c>
      <c r="AF38" s="251">
        <f>'BD Feedstock'!S36</f>
        <v>0</v>
      </c>
      <c r="AG38" s="251">
        <f t="shared" si="8"/>
        <v>25.79400012394078</v>
      </c>
      <c r="AK38" s="237">
        <f t="shared" si="9"/>
        <v>0.61405123676003848</v>
      </c>
      <c r="AL38" s="237">
        <f t="shared" si="9"/>
        <v>0.22267870654392577</v>
      </c>
      <c r="AM38" s="237">
        <f t="shared" si="9"/>
        <v>0</v>
      </c>
      <c r="AN38" s="237">
        <f t="shared" si="9"/>
        <v>0.1632700566960357</v>
      </c>
      <c r="AO38" s="237">
        <f t="shared" si="9"/>
        <v>0</v>
      </c>
      <c r="AP38" s="237">
        <f t="shared" si="10"/>
        <v>0.99999999999999989</v>
      </c>
      <c r="AQ38" s="237"/>
      <c r="AR38" s="237">
        <f t="shared" si="11"/>
        <v>0.73387027878476208</v>
      </c>
      <c r="AS38" s="237">
        <f t="shared" si="12"/>
        <v>0.26612972121523781</v>
      </c>
      <c r="AT38" s="237">
        <f t="shared" si="13"/>
        <v>0</v>
      </c>
      <c r="AU38" s="237">
        <f t="shared" si="18"/>
        <v>1</v>
      </c>
      <c r="AV38" s="237">
        <f t="shared" si="18"/>
        <v>0</v>
      </c>
      <c r="AX38" s="251">
        <f t="shared" si="1"/>
        <v>0</v>
      </c>
      <c r="AY38" s="251">
        <f t="shared" si="1"/>
        <v>0</v>
      </c>
      <c r="AZ38" s="251">
        <f t="shared" si="1"/>
        <v>0</v>
      </c>
      <c r="BA38" s="251">
        <f t="shared" si="2"/>
        <v>0</v>
      </c>
      <c r="BB38" s="251">
        <f t="shared" si="2"/>
        <v>0</v>
      </c>
      <c r="BC38" s="251">
        <f t="shared" si="3"/>
        <v>0</v>
      </c>
      <c r="BD38" s="270" t="e">
        <f t="shared" si="4"/>
        <v>#DIV/0!</v>
      </c>
      <c r="BE38" s="251">
        <f t="shared" si="5"/>
        <v>0</v>
      </c>
      <c r="BF38" s="251">
        <f t="shared" si="6"/>
        <v>0</v>
      </c>
    </row>
    <row r="39" spans="1:58">
      <c r="A39" s="11">
        <v>40817</v>
      </c>
      <c r="B39" s="268"/>
      <c r="C39" s="268"/>
      <c r="D39" s="268"/>
      <c r="E39" s="268">
        <v>3</v>
      </c>
      <c r="F39" s="269">
        <v>0.2</v>
      </c>
      <c r="G39" s="269"/>
      <c r="H39" s="269">
        <v>12</v>
      </c>
      <c r="I39" s="269"/>
      <c r="J39" s="269"/>
      <c r="K39" s="269"/>
      <c r="L39" s="269">
        <v>5.283443537159779</v>
      </c>
      <c r="M39" s="269">
        <f t="shared" si="17"/>
        <v>1.5</v>
      </c>
      <c r="N39" s="269"/>
      <c r="O39" s="269">
        <f t="shared" si="7"/>
        <v>17.699535849485258</v>
      </c>
      <c r="Q39" s="251">
        <f t="shared" si="14"/>
        <v>39.682979386645037</v>
      </c>
      <c r="R39" s="251">
        <v>0</v>
      </c>
      <c r="S39" s="251">
        <f t="shared" si="19"/>
        <v>39.682979386645037</v>
      </c>
      <c r="AB39" s="251">
        <f>SUM('BD Feedstock'!C37,'BD Feedstock'!E37,'BD Feedstock'!G37,'BD Feedstock'!K37,'BD Feedstock'!T37)</f>
        <v>15.838837677094421</v>
      </c>
      <c r="AC39" s="251">
        <f>SUM('BD Feedstock'!D37,'BD Feedstock'!F37,'BD Feedstock'!H37,'BD Feedstock'!I37,'BD Feedstock'!L37,'BD Feedstock'!M37,'BD Feedstock'!N37,'BD Feedstock'!O37,'BD Feedstock'!U37)</f>
        <v>5.7437745841929937</v>
      </c>
      <c r="AD39" s="251">
        <f>'BD Feedstock'!J37</f>
        <v>0</v>
      </c>
      <c r="AE39" s="251">
        <f>SUM('BD Feedstock'!B37,'BD Feedstock'!P37,'BD Feedstock'!Q37,'BD Feedstock'!R37)</f>
        <v>4.2113878626533632</v>
      </c>
      <c r="AF39" s="251">
        <f>'BD Feedstock'!S37</f>
        <v>0</v>
      </c>
      <c r="AG39" s="251">
        <f t="shared" si="8"/>
        <v>25.79400012394078</v>
      </c>
      <c r="AK39" s="237">
        <f t="shared" si="9"/>
        <v>0.61405123676003848</v>
      </c>
      <c r="AL39" s="237">
        <f t="shared" si="9"/>
        <v>0.22267870654392577</v>
      </c>
      <c r="AM39" s="237">
        <f t="shared" si="9"/>
        <v>0</v>
      </c>
      <c r="AN39" s="237">
        <f t="shared" si="9"/>
        <v>0.1632700566960357</v>
      </c>
      <c r="AO39" s="237">
        <f t="shared" si="9"/>
        <v>0</v>
      </c>
      <c r="AP39" s="237">
        <f t="shared" si="10"/>
        <v>0.99999999999999989</v>
      </c>
      <c r="AQ39" s="237"/>
      <c r="AR39" s="237">
        <f t="shared" si="11"/>
        <v>0.73387027878476208</v>
      </c>
      <c r="AS39" s="237">
        <f t="shared" si="12"/>
        <v>0.26612972121523781</v>
      </c>
      <c r="AT39" s="237">
        <f t="shared" si="13"/>
        <v>0</v>
      </c>
      <c r="AU39" s="237">
        <f t="shared" si="18"/>
        <v>1</v>
      </c>
      <c r="AV39" s="237">
        <f t="shared" si="18"/>
        <v>0</v>
      </c>
      <c r="AX39" s="251">
        <f t="shared" si="1"/>
        <v>0</v>
      </c>
      <c r="AY39" s="251">
        <f t="shared" si="1"/>
        <v>0</v>
      </c>
      <c r="AZ39" s="251">
        <f t="shared" si="1"/>
        <v>0</v>
      </c>
      <c r="BA39" s="251">
        <f t="shared" si="2"/>
        <v>0</v>
      </c>
      <c r="BB39" s="251">
        <f t="shared" si="2"/>
        <v>0</v>
      </c>
      <c r="BC39" s="251">
        <f t="shared" si="3"/>
        <v>0</v>
      </c>
      <c r="BD39" s="270" t="e">
        <f t="shared" si="4"/>
        <v>#DIV/0!</v>
      </c>
      <c r="BE39" s="251">
        <f t="shared" si="5"/>
        <v>0</v>
      </c>
      <c r="BF39" s="251">
        <f t="shared" si="6"/>
        <v>0</v>
      </c>
    </row>
    <row r="40" spans="1:58">
      <c r="A40" s="11">
        <v>40848</v>
      </c>
      <c r="B40" s="268"/>
      <c r="C40" s="268"/>
      <c r="D40" s="268"/>
      <c r="E40" s="268">
        <v>3</v>
      </c>
      <c r="F40" s="269">
        <v>0.2</v>
      </c>
      <c r="G40" s="269"/>
      <c r="H40" s="269">
        <v>12</v>
      </c>
      <c r="I40" s="269"/>
      <c r="J40" s="269"/>
      <c r="K40" s="269"/>
      <c r="L40" s="269">
        <v>5.283443537159779</v>
      </c>
      <c r="M40" s="269">
        <f t="shared" si="17"/>
        <v>1.5</v>
      </c>
      <c r="N40" s="269"/>
      <c r="O40" s="269">
        <f t="shared" si="7"/>
        <v>17.699535849485258</v>
      </c>
      <c r="Q40" s="251">
        <f t="shared" si="14"/>
        <v>39.682979386645037</v>
      </c>
      <c r="R40" s="251">
        <v>0</v>
      </c>
      <c r="S40" s="251">
        <f t="shared" si="19"/>
        <v>39.682979386645037</v>
      </c>
      <c r="AB40" s="251">
        <f>SUM('BD Feedstock'!C38,'BD Feedstock'!E38,'BD Feedstock'!G38,'BD Feedstock'!K38,'BD Feedstock'!T38)</f>
        <v>15.838837677094421</v>
      </c>
      <c r="AC40" s="251">
        <f>SUM('BD Feedstock'!D38,'BD Feedstock'!F38,'BD Feedstock'!H38,'BD Feedstock'!I38,'BD Feedstock'!L38,'BD Feedstock'!M38,'BD Feedstock'!N38,'BD Feedstock'!O38,'BD Feedstock'!U38)</f>
        <v>5.7437745841929937</v>
      </c>
      <c r="AD40" s="251">
        <f>'BD Feedstock'!J38</f>
        <v>0</v>
      </c>
      <c r="AE40" s="251">
        <f>SUM('BD Feedstock'!B38,'BD Feedstock'!P38,'BD Feedstock'!Q38,'BD Feedstock'!R38)</f>
        <v>4.2113878626533632</v>
      </c>
      <c r="AF40" s="251">
        <f>'BD Feedstock'!S38</f>
        <v>0</v>
      </c>
      <c r="AG40" s="251">
        <f t="shared" si="8"/>
        <v>25.79400012394078</v>
      </c>
      <c r="AK40" s="237">
        <f t="shared" si="9"/>
        <v>0.61405123676003848</v>
      </c>
      <c r="AL40" s="237">
        <f t="shared" si="9"/>
        <v>0.22267870654392577</v>
      </c>
      <c r="AM40" s="237">
        <f t="shared" si="9"/>
        <v>0</v>
      </c>
      <c r="AN40" s="237">
        <f t="shared" si="9"/>
        <v>0.1632700566960357</v>
      </c>
      <c r="AO40" s="237">
        <f t="shared" si="9"/>
        <v>0</v>
      </c>
      <c r="AP40" s="237">
        <f t="shared" si="10"/>
        <v>0.99999999999999989</v>
      </c>
      <c r="AQ40" s="237"/>
      <c r="AR40" s="237">
        <f t="shared" si="11"/>
        <v>0.73387027878476208</v>
      </c>
      <c r="AS40" s="237">
        <f t="shared" si="12"/>
        <v>0.26612972121523781</v>
      </c>
      <c r="AT40" s="237">
        <f t="shared" si="13"/>
        <v>0</v>
      </c>
      <c r="AU40" s="237">
        <f t="shared" si="18"/>
        <v>1</v>
      </c>
      <c r="AV40" s="237">
        <f t="shared" si="18"/>
        <v>0</v>
      </c>
      <c r="AX40" s="251">
        <f t="shared" si="1"/>
        <v>0</v>
      </c>
      <c r="AY40" s="251">
        <f t="shared" si="1"/>
        <v>0</v>
      </c>
      <c r="AZ40" s="251">
        <f t="shared" si="1"/>
        <v>0</v>
      </c>
      <c r="BA40" s="251">
        <f t="shared" si="2"/>
        <v>0</v>
      </c>
      <c r="BB40" s="251">
        <f t="shared" si="2"/>
        <v>0</v>
      </c>
      <c r="BC40" s="251">
        <f t="shared" si="3"/>
        <v>0</v>
      </c>
      <c r="BD40" s="270" t="e">
        <f t="shared" si="4"/>
        <v>#DIV/0!</v>
      </c>
      <c r="BE40" s="251">
        <f t="shared" si="5"/>
        <v>0</v>
      </c>
      <c r="BF40" s="251">
        <f t="shared" si="6"/>
        <v>0</v>
      </c>
    </row>
    <row r="41" spans="1:58">
      <c r="A41" s="11">
        <v>40878</v>
      </c>
      <c r="B41" s="268"/>
      <c r="C41" s="268"/>
      <c r="D41" s="268"/>
      <c r="E41" s="268">
        <v>3</v>
      </c>
      <c r="F41" s="269">
        <v>0.2</v>
      </c>
      <c r="G41" s="269"/>
      <c r="H41" s="269">
        <v>12</v>
      </c>
      <c r="I41" s="269"/>
      <c r="J41" s="269"/>
      <c r="K41" s="269"/>
      <c r="L41" s="269">
        <v>5.283443537159779</v>
      </c>
      <c r="M41" s="269">
        <f t="shared" si="17"/>
        <v>1.5</v>
      </c>
      <c r="N41" s="269"/>
      <c r="O41" s="269">
        <f t="shared" si="7"/>
        <v>17.699535849485258</v>
      </c>
      <c r="Q41" s="251">
        <f t="shared" si="14"/>
        <v>39.682979386645037</v>
      </c>
      <c r="R41" s="251">
        <v>0</v>
      </c>
      <c r="S41" s="251">
        <f t="shared" si="19"/>
        <v>39.682979386645037</v>
      </c>
      <c r="AB41" s="251">
        <f>SUM('BD Feedstock'!C39,'BD Feedstock'!E39,'BD Feedstock'!G39,'BD Feedstock'!K39,'BD Feedstock'!T39)</f>
        <v>15.838837677094421</v>
      </c>
      <c r="AC41" s="251">
        <f>SUM('BD Feedstock'!D39,'BD Feedstock'!F39,'BD Feedstock'!H39,'BD Feedstock'!I39,'BD Feedstock'!L39,'BD Feedstock'!M39,'BD Feedstock'!N39,'BD Feedstock'!O39,'BD Feedstock'!U39)</f>
        <v>5.7437745841929937</v>
      </c>
      <c r="AD41" s="251">
        <f>'BD Feedstock'!J39</f>
        <v>0</v>
      </c>
      <c r="AE41" s="251">
        <f>SUM('BD Feedstock'!B39,'BD Feedstock'!P39,'BD Feedstock'!Q39,'BD Feedstock'!R39)</f>
        <v>4.2113878626533632</v>
      </c>
      <c r="AF41" s="251">
        <f>'BD Feedstock'!S39</f>
        <v>0</v>
      </c>
      <c r="AG41" s="251">
        <f t="shared" si="8"/>
        <v>25.79400012394078</v>
      </c>
      <c r="AK41" s="237">
        <f t="shared" si="9"/>
        <v>0.61405123676003848</v>
      </c>
      <c r="AL41" s="237">
        <f t="shared" si="9"/>
        <v>0.22267870654392577</v>
      </c>
      <c r="AM41" s="237">
        <f t="shared" si="9"/>
        <v>0</v>
      </c>
      <c r="AN41" s="237">
        <f t="shared" si="9"/>
        <v>0.1632700566960357</v>
      </c>
      <c r="AO41" s="237">
        <f t="shared" si="9"/>
        <v>0</v>
      </c>
      <c r="AP41" s="237">
        <f t="shared" si="10"/>
        <v>0.99999999999999989</v>
      </c>
      <c r="AQ41" s="237"/>
      <c r="AR41" s="237">
        <f t="shared" si="11"/>
        <v>0.73387027878476208</v>
      </c>
      <c r="AS41" s="237">
        <f t="shared" si="12"/>
        <v>0.26612972121523781</v>
      </c>
      <c r="AT41" s="237">
        <f t="shared" si="13"/>
        <v>0</v>
      </c>
      <c r="AU41" s="237">
        <f t="shared" si="18"/>
        <v>1</v>
      </c>
      <c r="AV41" s="237">
        <f t="shared" si="18"/>
        <v>0</v>
      </c>
      <c r="AX41" s="251">
        <f t="shared" si="1"/>
        <v>0</v>
      </c>
      <c r="AY41" s="251">
        <f t="shared" si="1"/>
        <v>0</v>
      </c>
      <c r="AZ41" s="251">
        <f t="shared" si="1"/>
        <v>0</v>
      </c>
      <c r="BA41" s="251">
        <f t="shared" si="2"/>
        <v>0</v>
      </c>
      <c r="BB41" s="251">
        <f t="shared" si="2"/>
        <v>0</v>
      </c>
      <c r="BC41" s="251">
        <f t="shared" si="3"/>
        <v>0</v>
      </c>
      <c r="BD41" s="270" t="e">
        <f t="shared" si="4"/>
        <v>#DIV/0!</v>
      </c>
      <c r="BE41" s="251">
        <f t="shared" si="5"/>
        <v>0</v>
      </c>
      <c r="BF41" s="251">
        <f t="shared" si="6"/>
        <v>0</v>
      </c>
    </row>
    <row r="42" spans="1:58">
      <c r="A42" s="11">
        <v>40909</v>
      </c>
      <c r="B42" s="268"/>
      <c r="C42" s="268"/>
      <c r="D42" s="268"/>
      <c r="E42" s="268">
        <v>3</v>
      </c>
      <c r="F42" s="269">
        <v>0.2</v>
      </c>
      <c r="G42" s="269"/>
      <c r="H42" s="269">
        <v>12</v>
      </c>
      <c r="I42" s="269"/>
      <c r="J42" s="269"/>
      <c r="K42" s="269"/>
      <c r="L42" s="269">
        <v>5.283443537159779</v>
      </c>
      <c r="M42" s="269">
        <f t="shared" si="17"/>
        <v>1.5</v>
      </c>
      <c r="N42" s="269"/>
      <c r="O42" s="269">
        <f t="shared" si="7"/>
        <v>17.699535849485258</v>
      </c>
      <c r="Q42" s="251">
        <f t="shared" si="14"/>
        <v>39.682979386645037</v>
      </c>
      <c r="R42" s="251">
        <v>0</v>
      </c>
      <c r="S42" s="251">
        <f t="shared" si="19"/>
        <v>39.682979386645037</v>
      </c>
      <c r="AB42" s="251">
        <f>SUM('BD Feedstock'!C40,'BD Feedstock'!E40,'BD Feedstock'!G40,'BD Feedstock'!K40,'BD Feedstock'!T40)</f>
        <v>15.838837677094421</v>
      </c>
      <c r="AC42" s="251">
        <f>SUM('BD Feedstock'!D40,'BD Feedstock'!F40,'BD Feedstock'!H40,'BD Feedstock'!I40,'BD Feedstock'!L40,'BD Feedstock'!M40,'BD Feedstock'!N40,'BD Feedstock'!O40,'BD Feedstock'!U40)</f>
        <v>5.7437745841929937</v>
      </c>
      <c r="AD42" s="251">
        <f>'BD Feedstock'!J40</f>
        <v>0</v>
      </c>
      <c r="AE42" s="251">
        <f>SUM('BD Feedstock'!B40,'BD Feedstock'!P40,'BD Feedstock'!Q40,'BD Feedstock'!R40)</f>
        <v>4.2113878626533632</v>
      </c>
      <c r="AF42" s="251">
        <f>'BD Feedstock'!S40</f>
        <v>0</v>
      </c>
      <c r="AG42" s="251">
        <f t="shared" si="8"/>
        <v>25.79400012394078</v>
      </c>
      <c r="AK42" s="237">
        <f t="shared" si="9"/>
        <v>0.61405123676003848</v>
      </c>
      <c r="AL42" s="237">
        <f t="shared" si="9"/>
        <v>0.22267870654392577</v>
      </c>
      <c r="AM42" s="237">
        <f t="shared" si="9"/>
        <v>0</v>
      </c>
      <c r="AN42" s="237">
        <f t="shared" si="9"/>
        <v>0.1632700566960357</v>
      </c>
      <c r="AO42" s="237">
        <f t="shared" si="9"/>
        <v>0</v>
      </c>
      <c r="AP42" s="237">
        <f t="shared" si="10"/>
        <v>0.99999999999999989</v>
      </c>
      <c r="AQ42" s="237"/>
      <c r="AR42" s="237">
        <f t="shared" si="11"/>
        <v>0.73387027878476208</v>
      </c>
      <c r="AS42" s="237">
        <f t="shared" si="12"/>
        <v>0.26612972121523781</v>
      </c>
      <c r="AT42" s="237">
        <f t="shared" si="13"/>
        <v>0</v>
      </c>
      <c r="AU42" s="237">
        <f t="shared" si="18"/>
        <v>1</v>
      </c>
      <c r="AV42" s="237">
        <f t="shared" si="18"/>
        <v>0</v>
      </c>
      <c r="AX42" s="251">
        <f t="shared" si="1"/>
        <v>0</v>
      </c>
      <c r="AY42" s="251">
        <f t="shared" si="1"/>
        <v>0</v>
      </c>
      <c r="AZ42" s="251">
        <f t="shared" si="1"/>
        <v>0</v>
      </c>
      <c r="BA42" s="251">
        <f t="shared" si="2"/>
        <v>0</v>
      </c>
      <c r="BB42" s="251">
        <f t="shared" si="2"/>
        <v>0</v>
      </c>
      <c r="BC42" s="251">
        <f t="shared" si="3"/>
        <v>0</v>
      </c>
      <c r="BD42" s="270" t="e">
        <f t="shared" si="4"/>
        <v>#DIV/0!</v>
      </c>
      <c r="BE42" s="251">
        <f t="shared" si="5"/>
        <v>0</v>
      </c>
      <c r="BF42" s="251">
        <f t="shared" si="6"/>
        <v>0</v>
      </c>
    </row>
    <row r="43" spans="1:58">
      <c r="A43" s="11">
        <v>40940</v>
      </c>
      <c r="B43" s="268"/>
      <c r="C43" s="268"/>
      <c r="D43" s="268"/>
      <c r="E43" s="268">
        <v>3</v>
      </c>
      <c r="F43" s="269">
        <v>0.2</v>
      </c>
      <c r="G43" s="269"/>
      <c r="H43" s="269">
        <v>12</v>
      </c>
      <c r="I43" s="269"/>
      <c r="J43" s="269"/>
      <c r="K43" s="269"/>
      <c r="L43" s="269">
        <v>5.283443537159779</v>
      </c>
      <c r="M43" s="269">
        <f t="shared" si="17"/>
        <v>1.5</v>
      </c>
      <c r="N43" s="269"/>
      <c r="O43" s="269">
        <f t="shared" si="7"/>
        <v>17.699535849485258</v>
      </c>
      <c r="Q43" s="251">
        <f t="shared" si="14"/>
        <v>39.682979386645037</v>
      </c>
      <c r="R43" s="251">
        <v>0</v>
      </c>
      <c r="S43" s="251">
        <f t="shared" si="19"/>
        <v>39.682979386645037</v>
      </c>
      <c r="AB43" s="251">
        <f>SUM('BD Feedstock'!C41,'BD Feedstock'!E41,'BD Feedstock'!G41,'BD Feedstock'!K41,'BD Feedstock'!T41)</f>
        <v>15.838837677094421</v>
      </c>
      <c r="AC43" s="251">
        <f>SUM('BD Feedstock'!D41,'BD Feedstock'!F41,'BD Feedstock'!H41,'BD Feedstock'!I41,'BD Feedstock'!L41,'BD Feedstock'!M41,'BD Feedstock'!N41,'BD Feedstock'!O41,'BD Feedstock'!U41)</f>
        <v>5.7437745841929937</v>
      </c>
      <c r="AD43" s="251">
        <f>'BD Feedstock'!J41</f>
        <v>0</v>
      </c>
      <c r="AE43" s="251">
        <f>SUM('BD Feedstock'!B41,'BD Feedstock'!P41,'BD Feedstock'!Q41,'BD Feedstock'!R41)</f>
        <v>4.2113878626533632</v>
      </c>
      <c r="AF43" s="251">
        <f>'BD Feedstock'!S41</f>
        <v>0</v>
      </c>
      <c r="AG43" s="251">
        <f t="shared" si="8"/>
        <v>25.79400012394078</v>
      </c>
      <c r="AK43" s="237">
        <f t="shared" si="9"/>
        <v>0.61405123676003848</v>
      </c>
      <c r="AL43" s="237">
        <f t="shared" si="9"/>
        <v>0.22267870654392577</v>
      </c>
      <c r="AM43" s="237">
        <f t="shared" si="9"/>
        <v>0</v>
      </c>
      <c r="AN43" s="237">
        <f t="shared" si="9"/>
        <v>0.1632700566960357</v>
      </c>
      <c r="AO43" s="237">
        <f t="shared" si="9"/>
        <v>0</v>
      </c>
      <c r="AP43" s="237">
        <f t="shared" si="10"/>
        <v>0.99999999999999989</v>
      </c>
      <c r="AQ43" s="237"/>
      <c r="AR43" s="237">
        <f t="shared" si="11"/>
        <v>0.73387027878476208</v>
      </c>
      <c r="AS43" s="237">
        <f t="shared" si="12"/>
        <v>0.26612972121523781</v>
      </c>
      <c r="AT43" s="237">
        <f t="shared" si="13"/>
        <v>0</v>
      </c>
      <c r="AU43" s="237">
        <f t="shared" si="18"/>
        <v>1</v>
      </c>
      <c r="AV43" s="237">
        <f t="shared" si="18"/>
        <v>0</v>
      </c>
      <c r="AX43" s="251">
        <f t="shared" si="1"/>
        <v>0</v>
      </c>
      <c r="AY43" s="251">
        <f t="shared" si="1"/>
        <v>0</v>
      </c>
      <c r="AZ43" s="251">
        <f t="shared" si="1"/>
        <v>0</v>
      </c>
      <c r="BA43" s="251">
        <f t="shared" si="2"/>
        <v>0</v>
      </c>
      <c r="BB43" s="251">
        <f t="shared" si="2"/>
        <v>0</v>
      </c>
      <c r="BC43" s="251">
        <f t="shared" si="3"/>
        <v>0</v>
      </c>
      <c r="BD43" s="270" t="e">
        <f t="shared" si="4"/>
        <v>#DIV/0!</v>
      </c>
      <c r="BE43" s="251">
        <f t="shared" si="5"/>
        <v>0</v>
      </c>
      <c r="BF43" s="251">
        <f t="shared" si="6"/>
        <v>0</v>
      </c>
    </row>
    <row r="44" spans="1:58">
      <c r="A44" s="11">
        <v>40969</v>
      </c>
      <c r="B44" s="268"/>
      <c r="C44" s="268"/>
      <c r="D44" s="268"/>
      <c r="E44" s="268">
        <v>3</v>
      </c>
      <c r="F44" s="269">
        <v>0.2</v>
      </c>
      <c r="G44" s="269"/>
      <c r="H44" s="269">
        <v>12</v>
      </c>
      <c r="I44" s="269"/>
      <c r="J44" s="269"/>
      <c r="K44" s="269"/>
      <c r="L44" s="269">
        <v>5.283443537159779</v>
      </c>
      <c r="M44" s="269">
        <f t="shared" si="17"/>
        <v>1.5</v>
      </c>
      <c r="N44" s="269"/>
      <c r="O44" s="269">
        <f t="shared" si="7"/>
        <v>17.699535849485258</v>
      </c>
      <c r="Q44" s="251">
        <f t="shared" si="14"/>
        <v>39.682979386645037</v>
      </c>
      <c r="R44" s="251">
        <v>0</v>
      </c>
      <c r="S44" s="251">
        <f t="shared" si="19"/>
        <v>39.682979386645037</v>
      </c>
      <c r="AB44" s="251">
        <f>SUM('BD Feedstock'!C42,'BD Feedstock'!E42,'BD Feedstock'!G42,'BD Feedstock'!K42,'BD Feedstock'!T42)</f>
        <v>15.838837677094421</v>
      </c>
      <c r="AC44" s="251">
        <f>SUM('BD Feedstock'!D42,'BD Feedstock'!F42,'BD Feedstock'!H42,'BD Feedstock'!I42,'BD Feedstock'!L42,'BD Feedstock'!M42,'BD Feedstock'!N42,'BD Feedstock'!O42,'BD Feedstock'!U42)</f>
        <v>5.7437745841929937</v>
      </c>
      <c r="AD44" s="251">
        <f>'BD Feedstock'!J42</f>
        <v>0</v>
      </c>
      <c r="AE44" s="251">
        <f>SUM('BD Feedstock'!B42,'BD Feedstock'!P42,'BD Feedstock'!Q42,'BD Feedstock'!R42)</f>
        <v>4.2113878626533632</v>
      </c>
      <c r="AF44" s="251">
        <f>'BD Feedstock'!S42</f>
        <v>0</v>
      </c>
      <c r="AG44" s="251">
        <f t="shared" si="8"/>
        <v>25.79400012394078</v>
      </c>
      <c r="AK44" s="237">
        <f t="shared" si="9"/>
        <v>0.61405123676003848</v>
      </c>
      <c r="AL44" s="237">
        <f t="shared" si="9"/>
        <v>0.22267870654392577</v>
      </c>
      <c r="AM44" s="237">
        <f t="shared" si="9"/>
        <v>0</v>
      </c>
      <c r="AN44" s="237">
        <f t="shared" si="9"/>
        <v>0.1632700566960357</v>
      </c>
      <c r="AO44" s="237">
        <f t="shared" si="9"/>
        <v>0</v>
      </c>
      <c r="AP44" s="237">
        <f t="shared" si="10"/>
        <v>0.99999999999999989</v>
      </c>
      <c r="AQ44" s="237"/>
      <c r="AR44" s="237">
        <f t="shared" si="11"/>
        <v>0.73387027878476208</v>
      </c>
      <c r="AS44" s="237">
        <f t="shared" si="12"/>
        <v>0.26612972121523781</v>
      </c>
      <c r="AT44" s="237">
        <f t="shared" si="13"/>
        <v>0</v>
      </c>
      <c r="AU44" s="237">
        <f t="shared" si="18"/>
        <v>1</v>
      </c>
      <c r="AV44" s="237">
        <f t="shared" si="18"/>
        <v>0</v>
      </c>
      <c r="AX44" s="251">
        <f t="shared" si="1"/>
        <v>0</v>
      </c>
      <c r="AY44" s="251">
        <f t="shared" si="1"/>
        <v>0</v>
      </c>
      <c r="AZ44" s="251">
        <f t="shared" si="1"/>
        <v>0</v>
      </c>
      <c r="BA44" s="251">
        <f t="shared" si="2"/>
        <v>0</v>
      </c>
      <c r="BB44" s="251">
        <f t="shared" si="2"/>
        <v>0</v>
      </c>
      <c r="BC44" s="251">
        <f t="shared" si="3"/>
        <v>0</v>
      </c>
      <c r="BD44" s="270" t="e">
        <f t="shared" si="4"/>
        <v>#DIV/0!</v>
      </c>
      <c r="BE44" s="251">
        <f t="shared" si="5"/>
        <v>0</v>
      </c>
      <c r="BF44" s="251">
        <f t="shared" si="6"/>
        <v>0</v>
      </c>
    </row>
    <row r="45" spans="1:58">
      <c r="A45" s="11">
        <v>41000</v>
      </c>
      <c r="B45" s="268"/>
      <c r="C45" s="268"/>
      <c r="D45" s="268"/>
      <c r="E45" s="268">
        <v>3</v>
      </c>
      <c r="F45" s="269">
        <v>0.2</v>
      </c>
      <c r="G45" s="269"/>
      <c r="H45" s="269">
        <v>12</v>
      </c>
      <c r="I45" s="269"/>
      <c r="J45" s="269"/>
      <c r="K45" s="269"/>
      <c r="L45" s="269">
        <v>5.283443537159779</v>
      </c>
      <c r="M45" s="269">
        <f t="shared" si="17"/>
        <v>1.5</v>
      </c>
      <c r="N45" s="269"/>
      <c r="O45" s="269">
        <f t="shared" si="7"/>
        <v>17.699535849485258</v>
      </c>
      <c r="Q45" s="251">
        <f t="shared" si="14"/>
        <v>39.682979386645037</v>
      </c>
      <c r="R45" s="251">
        <v>0</v>
      </c>
      <c r="S45" s="251">
        <f t="shared" si="19"/>
        <v>39.682979386645037</v>
      </c>
      <c r="AB45" s="251">
        <f>SUM('BD Feedstock'!C43,'BD Feedstock'!E43,'BD Feedstock'!G43,'BD Feedstock'!K43,'BD Feedstock'!T43)</f>
        <v>15.838837677094421</v>
      </c>
      <c r="AC45" s="251">
        <f>SUM('BD Feedstock'!D43,'BD Feedstock'!F43,'BD Feedstock'!H43,'BD Feedstock'!I43,'BD Feedstock'!L43,'BD Feedstock'!M43,'BD Feedstock'!N43,'BD Feedstock'!O43,'BD Feedstock'!U43)</f>
        <v>5.7437745841929937</v>
      </c>
      <c r="AD45" s="251">
        <f>'BD Feedstock'!J43</f>
        <v>0</v>
      </c>
      <c r="AE45" s="251">
        <f>SUM('BD Feedstock'!B43,'BD Feedstock'!P43,'BD Feedstock'!Q43,'BD Feedstock'!R43)</f>
        <v>4.2113878626533632</v>
      </c>
      <c r="AF45" s="251">
        <f>'BD Feedstock'!S43</f>
        <v>0</v>
      </c>
      <c r="AG45" s="251">
        <f t="shared" si="8"/>
        <v>25.79400012394078</v>
      </c>
      <c r="AK45" s="237">
        <f t="shared" si="9"/>
        <v>0.61405123676003848</v>
      </c>
      <c r="AL45" s="237">
        <f t="shared" si="9"/>
        <v>0.22267870654392577</v>
      </c>
      <c r="AM45" s="237">
        <f t="shared" si="9"/>
        <v>0</v>
      </c>
      <c r="AN45" s="237">
        <f t="shared" si="9"/>
        <v>0.1632700566960357</v>
      </c>
      <c r="AO45" s="237">
        <f t="shared" si="9"/>
        <v>0</v>
      </c>
      <c r="AP45" s="237">
        <f t="shared" si="10"/>
        <v>0.99999999999999989</v>
      </c>
      <c r="AQ45" s="237"/>
      <c r="AR45" s="237">
        <f t="shared" si="11"/>
        <v>0.73387027878476208</v>
      </c>
      <c r="AS45" s="237">
        <f t="shared" si="12"/>
        <v>0.26612972121523781</v>
      </c>
      <c r="AT45" s="237">
        <f t="shared" si="13"/>
        <v>0</v>
      </c>
      <c r="AU45" s="237">
        <f t="shared" si="18"/>
        <v>1</v>
      </c>
      <c r="AV45" s="237">
        <f t="shared" si="18"/>
        <v>0</v>
      </c>
      <c r="AX45" s="251">
        <f t="shared" si="1"/>
        <v>0</v>
      </c>
      <c r="AY45" s="251">
        <f t="shared" si="1"/>
        <v>0</v>
      </c>
      <c r="AZ45" s="251">
        <f t="shared" si="1"/>
        <v>0</v>
      </c>
      <c r="BA45" s="251">
        <f t="shared" si="2"/>
        <v>0</v>
      </c>
      <c r="BB45" s="251">
        <f t="shared" si="2"/>
        <v>0</v>
      </c>
      <c r="BC45" s="251">
        <f t="shared" si="3"/>
        <v>0</v>
      </c>
      <c r="BD45" s="270" t="e">
        <f t="shared" si="4"/>
        <v>#DIV/0!</v>
      </c>
      <c r="BE45" s="251">
        <f t="shared" si="5"/>
        <v>0</v>
      </c>
      <c r="BF45" s="251">
        <f t="shared" si="6"/>
        <v>0</v>
      </c>
    </row>
    <row r="46" spans="1:58">
      <c r="A46" s="11">
        <v>41030</v>
      </c>
      <c r="B46" s="268"/>
      <c r="C46" s="268"/>
      <c r="D46" s="268"/>
      <c r="E46" s="268">
        <v>3</v>
      </c>
      <c r="F46" s="269">
        <v>0.2</v>
      </c>
      <c r="G46" s="269"/>
      <c r="H46" s="269">
        <v>12</v>
      </c>
      <c r="I46" s="269"/>
      <c r="J46" s="269"/>
      <c r="K46" s="269"/>
      <c r="L46" s="269">
        <v>5.283443537159779</v>
      </c>
      <c r="M46" s="269">
        <f t="shared" si="17"/>
        <v>1.5</v>
      </c>
      <c r="N46" s="269"/>
      <c r="O46" s="269">
        <f t="shared" si="7"/>
        <v>17.699535849485258</v>
      </c>
      <c r="Q46" s="251">
        <f t="shared" si="14"/>
        <v>39.682979386645037</v>
      </c>
      <c r="R46" s="251">
        <v>0</v>
      </c>
      <c r="S46" s="251">
        <f t="shared" si="19"/>
        <v>39.682979386645037</v>
      </c>
      <c r="AB46" s="251">
        <f>SUM('BD Feedstock'!C44,'BD Feedstock'!E44,'BD Feedstock'!G44,'BD Feedstock'!K44,'BD Feedstock'!T44)</f>
        <v>15.838837677094421</v>
      </c>
      <c r="AC46" s="251">
        <f>SUM('BD Feedstock'!D44,'BD Feedstock'!F44,'BD Feedstock'!H44,'BD Feedstock'!I44,'BD Feedstock'!L44,'BD Feedstock'!M44,'BD Feedstock'!N44,'BD Feedstock'!O44,'BD Feedstock'!U44)</f>
        <v>5.7437745841929937</v>
      </c>
      <c r="AD46" s="251">
        <f>'BD Feedstock'!J44</f>
        <v>0</v>
      </c>
      <c r="AE46" s="251">
        <f>SUM('BD Feedstock'!B44,'BD Feedstock'!P44,'BD Feedstock'!Q44,'BD Feedstock'!R44)</f>
        <v>4.2113878626533632</v>
      </c>
      <c r="AF46" s="251">
        <f>'BD Feedstock'!S44</f>
        <v>0</v>
      </c>
      <c r="AG46" s="251">
        <f t="shared" si="8"/>
        <v>25.79400012394078</v>
      </c>
      <c r="AK46" s="237">
        <f t="shared" si="9"/>
        <v>0.61405123676003848</v>
      </c>
      <c r="AL46" s="237">
        <f t="shared" si="9"/>
        <v>0.22267870654392577</v>
      </c>
      <c r="AM46" s="237">
        <f t="shared" si="9"/>
        <v>0</v>
      </c>
      <c r="AN46" s="237">
        <f t="shared" si="9"/>
        <v>0.1632700566960357</v>
      </c>
      <c r="AO46" s="237">
        <f t="shared" si="9"/>
        <v>0</v>
      </c>
      <c r="AP46" s="237">
        <f t="shared" si="10"/>
        <v>0.99999999999999989</v>
      </c>
      <c r="AQ46" s="237"/>
      <c r="AR46" s="237">
        <f t="shared" si="11"/>
        <v>0.73387027878476208</v>
      </c>
      <c r="AS46" s="237">
        <f t="shared" si="12"/>
        <v>0.26612972121523781</v>
      </c>
      <c r="AT46" s="237">
        <f t="shared" si="13"/>
        <v>0</v>
      </c>
      <c r="AU46" s="237">
        <f t="shared" si="18"/>
        <v>1</v>
      </c>
      <c r="AV46" s="237">
        <f t="shared" si="18"/>
        <v>0</v>
      </c>
      <c r="AX46" s="251">
        <f t="shared" si="1"/>
        <v>0</v>
      </c>
      <c r="AY46" s="251">
        <f t="shared" si="1"/>
        <v>0</v>
      </c>
      <c r="AZ46" s="251">
        <f t="shared" si="1"/>
        <v>0</v>
      </c>
      <c r="BA46" s="251">
        <f t="shared" si="2"/>
        <v>0</v>
      </c>
      <c r="BB46" s="251">
        <f t="shared" si="2"/>
        <v>0</v>
      </c>
      <c r="BC46" s="251">
        <f t="shared" si="3"/>
        <v>0</v>
      </c>
      <c r="BD46" s="270" t="e">
        <f t="shared" si="4"/>
        <v>#DIV/0!</v>
      </c>
      <c r="BE46" s="251">
        <f t="shared" si="5"/>
        <v>0</v>
      </c>
      <c r="BF46" s="251">
        <f t="shared" si="6"/>
        <v>0</v>
      </c>
    </row>
    <row r="47" spans="1:58">
      <c r="A47" s="11">
        <v>41061</v>
      </c>
      <c r="B47" s="268"/>
      <c r="C47" s="268"/>
      <c r="D47" s="268"/>
      <c r="E47" s="268">
        <v>3</v>
      </c>
      <c r="F47" s="269">
        <v>0.2</v>
      </c>
      <c r="G47" s="269"/>
      <c r="H47" s="269">
        <v>12</v>
      </c>
      <c r="I47" s="269"/>
      <c r="J47" s="269"/>
      <c r="K47" s="269"/>
      <c r="L47" s="269">
        <v>5.283443537159779</v>
      </c>
      <c r="M47" s="269">
        <f t="shared" si="17"/>
        <v>1.5</v>
      </c>
      <c r="N47" s="269"/>
      <c r="O47" s="269">
        <f t="shared" si="7"/>
        <v>17.699535849485258</v>
      </c>
      <c r="Q47" s="251">
        <f t="shared" si="14"/>
        <v>39.682979386645037</v>
      </c>
      <c r="R47" s="251">
        <v>0</v>
      </c>
      <c r="S47" s="251">
        <f t="shared" si="19"/>
        <v>39.682979386645037</v>
      </c>
      <c r="AB47" s="251">
        <f>SUM('BD Feedstock'!C45,'BD Feedstock'!E45,'BD Feedstock'!G45,'BD Feedstock'!K45,'BD Feedstock'!T45)</f>
        <v>15.838837677094421</v>
      </c>
      <c r="AC47" s="251">
        <f>SUM('BD Feedstock'!D45,'BD Feedstock'!F45,'BD Feedstock'!H45,'BD Feedstock'!I45,'BD Feedstock'!L45,'BD Feedstock'!M45,'BD Feedstock'!N45,'BD Feedstock'!O45,'BD Feedstock'!U45)</f>
        <v>5.7437745841929937</v>
      </c>
      <c r="AD47" s="251">
        <f>'BD Feedstock'!J45</f>
        <v>0</v>
      </c>
      <c r="AE47" s="251">
        <f>SUM('BD Feedstock'!B45,'BD Feedstock'!P45,'BD Feedstock'!Q45,'BD Feedstock'!R45)</f>
        <v>4.2113878626533632</v>
      </c>
      <c r="AF47" s="251">
        <f>'BD Feedstock'!S45</f>
        <v>0</v>
      </c>
      <c r="AG47" s="251">
        <f t="shared" si="8"/>
        <v>25.79400012394078</v>
      </c>
      <c r="AK47" s="237">
        <f t="shared" si="9"/>
        <v>0.61405123676003848</v>
      </c>
      <c r="AL47" s="237">
        <f t="shared" si="9"/>
        <v>0.22267870654392577</v>
      </c>
      <c r="AM47" s="237">
        <f t="shared" si="9"/>
        <v>0</v>
      </c>
      <c r="AN47" s="237">
        <f t="shared" si="9"/>
        <v>0.1632700566960357</v>
      </c>
      <c r="AO47" s="237">
        <f t="shared" si="9"/>
        <v>0</v>
      </c>
      <c r="AP47" s="237">
        <f t="shared" si="10"/>
        <v>0.99999999999999989</v>
      </c>
      <c r="AQ47" s="237"/>
      <c r="AR47" s="237">
        <f t="shared" si="11"/>
        <v>0.73387027878476208</v>
      </c>
      <c r="AS47" s="237">
        <f t="shared" si="12"/>
        <v>0.26612972121523781</v>
      </c>
      <c r="AT47" s="237">
        <f t="shared" si="13"/>
        <v>0</v>
      </c>
      <c r="AU47" s="237">
        <f t="shared" si="18"/>
        <v>1</v>
      </c>
      <c r="AV47" s="237">
        <f t="shared" si="18"/>
        <v>0</v>
      </c>
      <c r="AX47" s="251">
        <f t="shared" si="1"/>
        <v>0</v>
      </c>
      <c r="AY47" s="251">
        <f t="shared" si="1"/>
        <v>0</v>
      </c>
      <c r="AZ47" s="251">
        <f t="shared" si="1"/>
        <v>0</v>
      </c>
      <c r="BA47" s="251">
        <f t="shared" si="2"/>
        <v>0</v>
      </c>
      <c r="BB47" s="251">
        <f t="shared" si="2"/>
        <v>0</v>
      </c>
      <c r="BC47" s="251">
        <f t="shared" si="3"/>
        <v>0</v>
      </c>
      <c r="BD47" s="270" t="e">
        <f t="shared" si="4"/>
        <v>#DIV/0!</v>
      </c>
      <c r="BE47" s="251">
        <f t="shared" si="5"/>
        <v>0</v>
      </c>
      <c r="BF47" s="251">
        <f t="shared" si="6"/>
        <v>0</v>
      </c>
    </row>
    <row r="48" spans="1:58">
      <c r="A48" s="11">
        <v>41091</v>
      </c>
      <c r="B48" s="268"/>
      <c r="C48" s="268">
        <v>6</v>
      </c>
      <c r="D48" s="268"/>
      <c r="E48" s="268">
        <v>3</v>
      </c>
      <c r="F48" s="269">
        <v>0.2</v>
      </c>
      <c r="G48" s="269"/>
      <c r="H48" s="269">
        <v>12</v>
      </c>
      <c r="I48" s="269"/>
      <c r="J48" s="269"/>
      <c r="K48" s="269"/>
      <c r="L48" s="269">
        <v>5.283443537159779</v>
      </c>
      <c r="M48" s="269">
        <f t="shared" si="17"/>
        <v>1.5</v>
      </c>
      <c r="N48" s="269"/>
      <c r="O48" s="269">
        <f t="shared" si="7"/>
        <v>17.699535849485258</v>
      </c>
      <c r="Q48" s="251">
        <f t="shared" si="14"/>
        <v>45.682979386645037</v>
      </c>
      <c r="R48" s="251">
        <v>0</v>
      </c>
      <c r="S48" s="251">
        <f t="shared" si="19"/>
        <v>45.682979386645037</v>
      </c>
      <c r="AB48" s="251">
        <f>SUM('BD Feedstock'!C46,'BD Feedstock'!E46,'BD Feedstock'!G46,'BD Feedstock'!K46,'BD Feedstock'!T46)</f>
        <v>16.807587677094421</v>
      </c>
      <c r="AC48" s="251">
        <f>SUM('BD Feedstock'!D46,'BD Feedstock'!F46,'BD Feedstock'!H46,'BD Feedstock'!I46,'BD Feedstock'!L46,'BD Feedstock'!M46,'BD Feedstock'!N46,'BD Feedstock'!O46,'BD Feedstock'!U46)</f>
        <v>6.7725245841929933</v>
      </c>
      <c r="AD48" s="251">
        <f>'BD Feedstock'!J46</f>
        <v>0</v>
      </c>
      <c r="AE48" s="251">
        <f>SUM('BD Feedstock'!B46,'BD Feedstock'!P46,'BD Feedstock'!Q46,'BD Feedstock'!R46)</f>
        <v>4.2113878626533632</v>
      </c>
      <c r="AF48" s="251">
        <f>'BD Feedstock'!S46</f>
        <v>0</v>
      </c>
      <c r="AG48" s="251">
        <f t="shared" si="8"/>
        <v>27.791500123940779</v>
      </c>
      <c r="AK48" s="237">
        <f t="shared" si="9"/>
        <v>0.60477439512578346</v>
      </c>
      <c r="AL48" s="237">
        <f t="shared" si="9"/>
        <v>0.24369050083621982</v>
      </c>
      <c r="AM48" s="237">
        <f t="shared" si="9"/>
        <v>0</v>
      </c>
      <c r="AN48" s="237">
        <f t="shared" si="9"/>
        <v>0.15153510403799667</v>
      </c>
      <c r="AO48" s="237">
        <f t="shared" si="9"/>
        <v>0</v>
      </c>
      <c r="AP48" s="237">
        <f t="shared" si="10"/>
        <v>0.99999999999999989</v>
      </c>
      <c r="AQ48" s="237"/>
      <c r="AR48" s="237">
        <f t="shared" si="11"/>
        <v>0.71278658434074693</v>
      </c>
      <c r="AS48" s="237">
        <f t="shared" si="12"/>
        <v>0.28721341565925312</v>
      </c>
      <c r="AT48" s="237">
        <f t="shared" si="13"/>
        <v>0</v>
      </c>
      <c r="AU48" s="237">
        <f t="shared" si="18"/>
        <v>1</v>
      </c>
      <c r="AV48" s="237">
        <f t="shared" si="18"/>
        <v>0</v>
      </c>
      <c r="AX48" s="251">
        <f t="shared" si="1"/>
        <v>0</v>
      </c>
      <c r="AY48" s="251">
        <f t="shared" si="1"/>
        <v>0</v>
      </c>
      <c r="AZ48" s="251">
        <f t="shared" si="1"/>
        <v>0</v>
      </c>
      <c r="BA48" s="251">
        <f t="shared" si="2"/>
        <v>0</v>
      </c>
      <c r="BB48" s="251">
        <f t="shared" si="2"/>
        <v>0</v>
      </c>
      <c r="BC48" s="251">
        <f t="shared" si="3"/>
        <v>0</v>
      </c>
      <c r="BD48" s="270" t="e">
        <f t="shared" si="4"/>
        <v>#DIV/0!</v>
      </c>
      <c r="BE48" s="251">
        <f t="shared" si="5"/>
        <v>0</v>
      </c>
      <c r="BF48" s="251">
        <f t="shared" si="6"/>
        <v>0</v>
      </c>
    </row>
    <row r="49" spans="1:58">
      <c r="A49" s="11">
        <v>41122</v>
      </c>
      <c r="B49" s="268"/>
      <c r="C49" s="268">
        <v>6</v>
      </c>
      <c r="D49" s="268"/>
      <c r="E49" s="268">
        <v>3</v>
      </c>
      <c r="F49" s="269">
        <v>0.2</v>
      </c>
      <c r="G49" s="269"/>
      <c r="H49" s="269">
        <v>12</v>
      </c>
      <c r="I49" s="269"/>
      <c r="J49" s="269"/>
      <c r="K49" s="269"/>
      <c r="L49" s="269">
        <v>5.283443537159779</v>
      </c>
      <c r="M49" s="269">
        <f t="shared" si="17"/>
        <v>1.5</v>
      </c>
      <c r="N49" s="269"/>
      <c r="O49" s="269">
        <f t="shared" si="7"/>
        <v>17.699535849485258</v>
      </c>
      <c r="Q49" s="251">
        <f t="shared" si="14"/>
        <v>45.682979386645037</v>
      </c>
      <c r="R49" s="251">
        <v>0</v>
      </c>
      <c r="S49" s="251">
        <f t="shared" si="19"/>
        <v>45.682979386645037</v>
      </c>
      <c r="AB49" s="251">
        <f>SUM('BD Feedstock'!C47,'BD Feedstock'!E47,'BD Feedstock'!G47,'BD Feedstock'!K47,'BD Feedstock'!T47)</f>
        <v>16.807587677094421</v>
      </c>
      <c r="AC49" s="251">
        <f>SUM('BD Feedstock'!D47,'BD Feedstock'!F47,'BD Feedstock'!H47,'BD Feedstock'!I47,'BD Feedstock'!L47,'BD Feedstock'!M47,'BD Feedstock'!N47,'BD Feedstock'!O47,'BD Feedstock'!U47)</f>
        <v>6.7725245841929933</v>
      </c>
      <c r="AD49" s="251">
        <f>'BD Feedstock'!J47</f>
        <v>0</v>
      </c>
      <c r="AE49" s="251">
        <f>SUM('BD Feedstock'!B47,'BD Feedstock'!P47,'BD Feedstock'!Q47,'BD Feedstock'!R47)</f>
        <v>4.2113878626533632</v>
      </c>
      <c r="AF49" s="251">
        <f>'BD Feedstock'!S47</f>
        <v>0</v>
      </c>
      <c r="AG49" s="251">
        <f t="shared" si="8"/>
        <v>27.791500123940779</v>
      </c>
      <c r="AK49" s="237">
        <f t="shared" si="9"/>
        <v>0.60477439512578346</v>
      </c>
      <c r="AL49" s="237">
        <f t="shared" si="9"/>
        <v>0.24369050083621982</v>
      </c>
      <c r="AM49" s="237">
        <f t="shared" si="9"/>
        <v>0</v>
      </c>
      <c r="AN49" s="237">
        <f t="shared" si="9"/>
        <v>0.15153510403799667</v>
      </c>
      <c r="AO49" s="237">
        <f t="shared" si="9"/>
        <v>0</v>
      </c>
      <c r="AP49" s="237">
        <f t="shared" si="10"/>
        <v>0.99999999999999989</v>
      </c>
      <c r="AQ49" s="237"/>
      <c r="AR49" s="237">
        <f t="shared" si="11"/>
        <v>0.71278658434074693</v>
      </c>
      <c r="AS49" s="237">
        <f t="shared" si="12"/>
        <v>0.28721341565925312</v>
      </c>
      <c r="AT49" s="237">
        <f t="shared" si="13"/>
        <v>0</v>
      </c>
      <c r="AU49" s="237">
        <f t="shared" si="18"/>
        <v>1</v>
      </c>
      <c r="AV49" s="237">
        <f t="shared" si="18"/>
        <v>0</v>
      </c>
      <c r="AX49" s="251">
        <f t="shared" si="1"/>
        <v>0</v>
      </c>
      <c r="AY49" s="251">
        <f t="shared" si="1"/>
        <v>0</v>
      </c>
      <c r="AZ49" s="251">
        <f t="shared" si="1"/>
        <v>0</v>
      </c>
      <c r="BA49" s="251">
        <f t="shared" si="2"/>
        <v>0</v>
      </c>
      <c r="BB49" s="251">
        <f t="shared" si="2"/>
        <v>0</v>
      </c>
      <c r="BC49" s="251">
        <f t="shared" si="3"/>
        <v>0</v>
      </c>
      <c r="BD49" s="270" t="e">
        <f t="shared" si="4"/>
        <v>#DIV/0!</v>
      </c>
      <c r="BE49" s="251">
        <f t="shared" si="5"/>
        <v>0</v>
      </c>
      <c r="BF49" s="251">
        <f t="shared" si="6"/>
        <v>0</v>
      </c>
    </row>
    <row r="50" spans="1:58">
      <c r="A50" s="11">
        <v>41153</v>
      </c>
      <c r="B50" s="268"/>
      <c r="C50" s="268">
        <v>6</v>
      </c>
      <c r="D50" s="268"/>
      <c r="E50" s="268">
        <v>3</v>
      </c>
      <c r="F50" s="269">
        <v>0.2</v>
      </c>
      <c r="G50" s="269"/>
      <c r="H50" s="269">
        <v>12</v>
      </c>
      <c r="I50" s="269"/>
      <c r="J50" s="269"/>
      <c r="K50" s="269"/>
      <c r="L50" s="269">
        <v>5.283443537159779</v>
      </c>
      <c r="M50" s="269">
        <f t="shared" si="17"/>
        <v>1.5</v>
      </c>
      <c r="N50" s="269"/>
      <c r="O50" s="269">
        <f t="shared" si="7"/>
        <v>17.699535849485258</v>
      </c>
      <c r="Q50" s="251">
        <f t="shared" si="14"/>
        <v>45.682979386645037</v>
      </c>
      <c r="R50" s="251">
        <v>0</v>
      </c>
      <c r="S50" s="251">
        <f t="shared" si="19"/>
        <v>45.682979386645037</v>
      </c>
      <c r="AB50" s="251">
        <f>SUM('BD Feedstock'!C48,'BD Feedstock'!E48,'BD Feedstock'!G48,'BD Feedstock'!K48,'BD Feedstock'!T48)</f>
        <v>16.807587677094421</v>
      </c>
      <c r="AC50" s="251">
        <f>SUM('BD Feedstock'!D48,'BD Feedstock'!F48,'BD Feedstock'!H48,'BD Feedstock'!I48,'BD Feedstock'!L48,'BD Feedstock'!M48,'BD Feedstock'!N48,'BD Feedstock'!O48,'BD Feedstock'!U48)</f>
        <v>6.7725245841929933</v>
      </c>
      <c r="AD50" s="251">
        <f>'BD Feedstock'!J48</f>
        <v>0</v>
      </c>
      <c r="AE50" s="251">
        <f>SUM('BD Feedstock'!B48,'BD Feedstock'!P48,'BD Feedstock'!Q48,'BD Feedstock'!R48)</f>
        <v>4.2113878626533632</v>
      </c>
      <c r="AF50" s="251">
        <f>'BD Feedstock'!S48</f>
        <v>0</v>
      </c>
      <c r="AG50" s="251">
        <f t="shared" si="8"/>
        <v>27.791500123940779</v>
      </c>
      <c r="AK50" s="237">
        <f t="shared" si="9"/>
        <v>0.60477439512578346</v>
      </c>
      <c r="AL50" s="237">
        <f t="shared" si="9"/>
        <v>0.24369050083621982</v>
      </c>
      <c r="AM50" s="237">
        <f t="shared" si="9"/>
        <v>0</v>
      </c>
      <c r="AN50" s="237">
        <f t="shared" si="9"/>
        <v>0.15153510403799667</v>
      </c>
      <c r="AO50" s="237">
        <f t="shared" si="9"/>
        <v>0</v>
      </c>
      <c r="AP50" s="237">
        <f t="shared" si="10"/>
        <v>0.99999999999999989</v>
      </c>
      <c r="AQ50" s="237"/>
      <c r="AR50" s="237">
        <f t="shared" si="11"/>
        <v>0.71278658434074693</v>
      </c>
      <c r="AS50" s="237">
        <f t="shared" si="12"/>
        <v>0.28721341565925312</v>
      </c>
      <c r="AT50" s="237">
        <f t="shared" si="13"/>
        <v>0</v>
      </c>
      <c r="AU50" s="237">
        <f t="shared" si="18"/>
        <v>1</v>
      </c>
      <c r="AV50" s="237">
        <f t="shared" si="18"/>
        <v>0</v>
      </c>
      <c r="AX50" s="251">
        <f t="shared" si="1"/>
        <v>0</v>
      </c>
      <c r="AY50" s="251">
        <f t="shared" si="1"/>
        <v>0</v>
      </c>
      <c r="AZ50" s="251">
        <f t="shared" si="1"/>
        <v>0</v>
      </c>
      <c r="BA50" s="251">
        <f t="shared" si="2"/>
        <v>0</v>
      </c>
      <c r="BB50" s="251">
        <f t="shared" si="2"/>
        <v>0</v>
      </c>
      <c r="BC50" s="251">
        <f t="shared" si="3"/>
        <v>0</v>
      </c>
      <c r="BD50" s="270" t="e">
        <f t="shared" si="4"/>
        <v>#DIV/0!</v>
      </c>
      <c r="BE50" s="251">
        <f t="shared" si="5"/>
        <v>0</v>
      </c>
      <c r="BF50" s="251">
        <f t="shared" si="6"/>
        <v>0</v>
      </c>
    </row>
    <row r="51" spans="1:58">
      <c r="A51" s="11">
        <v>41183</v>
      </c>
      <c r="B51" s="268"/>
      <c r="C51" s="268">
        <v>6</v>
      </c>
      <c r="D51" s="268"/>
      <c r="E51" s="268">
        <v>3</v>
      </c>
      <c r="F51" s="269">
        <v>0.2</v>
      </c>
      <c r="G51" s="269"/>
      <c r="H51" s="269">
        <v>12</v>
      </c>
      <c r="I51" s="269"/>
      <c r="J51" s="269"/>
      <c r="K51" s="269">
        <v>1.32</v>
      </c>
      <c r="L51" s="269">
        <v>5.283443537159779</v>
      </c>
      <c r="M51" s="269">
        <f t="shared" si="17"/>
        <v>1.5</v>
      </c>
      <c r="N51" s="269"/>
      <c r="O51" s="269">
        <v>0</v>
      </c>
      <c r="Q51" s="251">
        <f t="shared" si="14"/>
        <v>29.303443537159779</v>
      </c>
      <c r="R51" s="251">
        <v>0</v>
      </c>
      <c r="S51" s="251">
        <f t="shared" si="19"/>
        <v>29.303443537159779</v>
      </c>
      <c r="AB51" s="251">
        <f>SUM('BD Feedstock'!C49,'BD Feedstock'!E49,'BD Feedstock'!G49,'BD Feedstock'!K49,'BD Feedstock'!T49)</f>
        <v>8.234375</v>
      </c>
      <c r="AC51" s="251">
        <f>SUM('BD Feedstock'!D49,'BD Feedstock'!F49,'BD Feedstock'!H49,'BD Feedstock'!I49,'BD Feedstock'!L49,'BD Feedstock'!M49,'BD Feedstock'!N49,'BD Feedstock'!O49,'BD Feedstock'!U49)</f>
        <v>4.6430916666666668</v>
      </c>
      <c r="AD51" s="251">
        <f>'BD Feedstock'!J49</f>
        <v>0</v>
      </c>
      <c r="AE51" s="251">
        <f>SUM('BD Feedstock'!B49,'BD Feedstock'!P49,'BD Feedstock'!Q49,'BD Feedstock'!R49)</f>
        <v>4.2113878626533632</v>
      </c>
      <c r="AF51" s="251">
        <f>'BD Feedstock'!S49</f>
        <v>0</v>
      </c>
      <c r="AG51" s="251">
        <f t="shared" si="8"/>
        <v>17.088854529320031</v>
      </c>
      <c r="AK51" s="237">
        <f t="shared" si="9"/>
        <v>0.48185646298714485</v>
      </c>
      <c r="AL51" s="237">
        <f t="shared" si="9"/>
        <v>0.27170291950816999</v>
      </c>
      <c r="AM51" s="237">
        <f t="shared" si="9"/>
        <v>0</v>
      </c>
      <c r="AN51" s="237">
        <f t="shared" si="9"/>
        <v>0.2464406175046851</v>
      </c>
      <c r="AO51" s="237">
        <f t="shared" si="9"/>
        <v>0</v>
      </c>
      <c r="AP51" s="237">
        <f t="shared" si="10"/>
        <v>1</v>
      </c>
      <c r="AQ51" s="237"/>
      <c r="AR51" s="237">
        <f t="shared" si="11"/>
        <v>0.63944059908263529</v>
      </c>
      <c r="AS51" s="237">
        <f t="shared" si="12"/>
        <v>0.36055940091736471</v>
      </c>
      <c r="AT51" s="237">
        <f t="shared" si="13"/>
        <v>0</v>
      </c>
      <c r="AU51" s="237">
        <f t="shared" si="18"/>
        <v>1</v>
      </c>
      <c r="AV51" s="237">
        <f t="shared" si="18"/>
        <v>0</v>
      </c>
      <c r="AX51" s="251">
        <f t="shared" si="1"/>
        <v>0</v>
      </c>
      <c r="AY51" s="251">
        <f t="shared" si="1"/>
        <v>0</v>
      </c>
      <c r="AZ51" s="251">
        <f t="shared" si="1"/>
        <v>0</v>
      </c>
      <c r="BA51" s="251">
        <f t="shared" si="2"/>
        <v>0</v>
      </c>
      <c r="BB51" s="251">
        <f t="shared" si="2"/>
        <v>0</v>
      </c>
      <c r="BC51" s="251">
        <f t="shared" si="3"/>
        <v>0</v>
      </c>
      <c r="BD51" s="270" t="e">
        <f t="shared" si="4"/>
        <v>#DIV/0!</v>
      </c>
      <c r="BE51" s="251">
        <f t="shared" si="5"/>
        <v>0</v>
      </c>
      <c r="BF51" s="251">
        <f t="shared" si="6"/>
        <v>0</v>
      </c>
    </row>
    <row r="52" spans="1:58">
      <c r="A52" s="11">
        <v>41214</v>
      </c>
      <c r="B52" s="268"/>
      <c r="C52" s="268">
        <v>6</v>
      </c>
      <c r="D52" s="268"/>
      <c r="E52" s="268">
        <v>3</v>
      </c>
      <c r="F52" s="269">
        <v>0.2</v>
      </c>
      <c r="G52" s="269"/>
      <c r="H52" s="269">
        <v>12</v>
      </c>
      <c r="I52" s="269"/>
      <c r="J52" s="269"/>
      <c r="K52" s="269">
        <v>1.32</v>
      </c>
      <c r="L52" s="269">
        <v>5.283443537159779</v>
      </c>
      <c r="M52" s="269">
        <f t="shared" si="17"/>
        <v>1.5</v>
      </c>
      <c r="N52" s="269"/>
      <c r="O52" s="269">
        <v>0</v>
      </c>
      <c r="Q52" s="251">
        <f t="shared" si="14"/>
        <v>29.303443537159779</v>
      </c>
      <c r="R52" s="251">
        <v>0</v>
      </c>
      <c r="S52" s="251">
        <f t="shared" si="19"/>
        <v>29.303443537159779</v>
      </c>
      <c r="AB52" s="251">
        <f>SUM('BD Feedstock'!C50,'BD Feedstock'!E50,'BD Feedstock'!G50,'BD Feedstock'!K50,'BD Feedstock'!T50)</f>
        <v>8.234375</v>
      </c>
      <c r="AC52" s="251">
        <f>SUM('BD Feedstock'!D50,'BD Feedstock'!F50,'BD Feedstock'!H50,'BD Feedstock'!I50,'BD Feedstock'!L50,'BD Feedstock'!M50,'BD Feedstock'!N50,'BD Feedstock'!O50,'BD Feedstock'!U50)</f>
        <v>4.6430916666666668</v>
      </c>
      <c r="AD52" s="251">
        <f>'BD Feedstock'!J50</f>
        <v>0</v>
      </c>
      <c r="AE52" s="251">
        <f>SUM('BD Feedstock'!B50,'BD Feedstock'!P50,'BD Feedstock'!Q50,'BD Feedstock'!R50)</f>
        <v>4.2113878626533632</v>
      </c>
      <c r="AF52" s="251">
        <f>'BD Feedstock'!S50</f>
        <v>0</v>
      </c>
      <c r="AG52" s="251">
        <f t="shared" si="8"/>
        <v>17.088854529320031</v>
      </c>
      <c r="AK52" s="237">
        <f t="shared" si="9"/>
        <v>0.48185646298714485</v>
      </c>
      <c r="AL52" s="237">
        <f t="shared" si="9"/>
        <v>0.27170291950816999</v>
      </c>
      <c r="AM52" s="237">
        <f t="shared" si="9"/>
        <v>0</v>
      </c>
      <c r="AN52" s="237">
        <f t="shared" si="9"/>
        <v>0.2464406175046851</v>
      </c>
      <c r="AO52" s="237">
        <f t="shared" si="9"/>
        <v>0</v>
      </c>
      <c r="AP52" s="237">
        <f t="shared" si="10"/>
        <v>1</v>
      </c>
      <c r="AQ52" s="237"/>
      <c r="AR52" s="237">
        <f t="shared" si="11"/>
        <v>0.63944059908263529</v>
      </c>
      <c r="AS52" s="237">
        <f t="shared" si="12"/>
        <v>0.36055940091736471</v>
      </c>
      <c r="AT52" s="237">
        <f t="shared" si="13"/>
        <v>0</v>
      </c>
      <c r="AU52" s="237">
        <f t="shared" si="18"/>
        <v>1</v>
      </c>
      <c r="AV52" s="237">
        <f t="shared" si="18"/>
        <v>0</v>
      </c>
      <c r="AX52" s="251">
        <f t="shared" si="1"/>
        <v>0</v>
      </c>
      <c r="AY52" s="251">
        <f t="shared" si="1"/>
        <v>0</v>
      </c>
      <c r="AZ52" s="251">
        <f t="shared" si="1"/>
        <v>0</v>
      </c>
      <c r="BA52" s="251">
        <f t="shared" si="2"/>
        <v>0</v>
      </c>
      <c r="BB52" s="251">
        <f t="shared" si="2"/>
        <v>0</v>
      </c>
      <c r="BC52" s="251">
        <f t="shared" si="3"/>
        <v>0</v>
      </c>
      <c r="BD52" s="270" t="e">
        <f t="shared" si="4"/>
        <v>#DIV/0!</v>
      </c>
      <c r="BE52" s="251">
        <f t="shared" si="5"/>
        <v>0</v>
      </c>
      <c r="BF52" s="251">
        <f t="shared" si="6"/>
        <v>0</v>
      </c>
    </row>
    <row r="53" spans="1:58">
      <c r="A53" s="11">
        <v>41244</v>
      </c>
      <c r="B53" s="268"/>
      <c r="C53" s="268">
        <v>6</v>
      </c>
      <c r="D53" s="268"/>
      <c r="E53" s="268">
        <v>3</v>
      </c>
      <c r="F53" s="269">
        <v>0.2</v>
      </c>
      <c r="G53" s="269"/>
      <c r="H53" s="269">
        <v>12</v>
      </c>
      <c r="I53" s="269"/>
      <c r="J53" s="269"/>
      <c r="K53" s="269">
        <v>1.32</v>
      </c>
      <c r="L53" s="269">
        <v>5.283443537159779</v>
      </c>
      <c r="M53" s="269">
        <f t="shared" si="17"/>
        <v>1.5</v>
      </c>
      <c r="N53" s="269"/>
      <c r="O53" s="269">
        <v>0</v>
      </c>
      <c r="Q53" s="251">
        <f t="shared" si="14"/>
        <v>29.303443537159779</v>
      </c>
      <c r="R53" s="251">
        <v>0</v>
      </c>
      <c r="S53" s="251">
        <f t="shared" si="19"/>
        <v>29.303443537159779</v>
      </c>
      <c r="AB53" s="251">
        <f>SUM('BD Feedstock'!C51,'BD Feedstock'!E51,'BD Feedstock'!G51,'BD Feedstock'!K51,'BD Feedstock'!T51)</f>
        <v>8.234375</v>
      </c>
      <c r="AC53" s="251">
        <f>SUM('BD Feedstock'!D51,'BD Feedstock'!F51,'BD Feedstock'!H51,'BD Feedstock'!I51,'BD Feedstock'!L51,'BD Feedstock'!M51,'BD Feedstock'!N51,'BD Feedstock'!O51,'BD Feedstock'!U51)</f>
        <v>4.6430916666666668</v>
      </c>
      <c r="AD53" s="251">
        <f>'BD Feedstock'!J51</f>
        <v>0</v>
      </c>
      <c r="AE53" s="251">
        <f>SUM('BD Feedstock'!B51,'BD Feedstock'!P51,'BD Feedstock'!Q51,'BD Feedstock'!R51)</f>
        <v>4.2113878626533632</v>
      </c>
      <c r="AF53" s="251">
        <f>'BD Feedstock'!S51</f>
        <v>0</v>
      </c>
      <c r="AG53" s="251">
        <f t="shared" si="8"/>
        <v>17.088854529320031</v>
      </c>
      <c r="AK53" s="237">
        <f t="shared" si="9"/>
        <v>0.48185646298714485</v>
      </c>
      <c r="AL53" s="237">
        <f t="shared" si="9"/>
        <v>0.27170291950816999</v>
      </c>
      <c r="AM53" s="237">
        <f t="shared" si="9"/>
        <v>0</v>
      </c>
      <c r="AN53" s="237">
        <f t="shared" si="9"/>
        <v>0.2464406175046851</v>
      </c>
      <c r="AO53" s="237">
        <f t="shared" si="9"/>
        <v>0</v>
      </c>
      <c r="AP53" s="237">
        <f t="shared" si="10"/>
        <v>1</v>
      </c>
      <c r="AQ53" s="237"/>
      <c r="AR53" s="237">
        <f t="shared" si="11"/>
        <v>0.63944059908263529</v>
      </c>
      <c r="AS53" s="237">
        <f t="shared" si="12"/>
        <v>0.36055940091736471</v>
      </c>
      <c r="AT53" s="237">
        <f t="shared" si="13"/>
        <v>0</v>
      </c>
      <c r="AU53" s="237">
        <f t="shared" si="18"/>
        <v>1</v>
      </c>
      <c r="AV53" s="237">
        <f t="shared" si="18"/>
        <v>0</v>
      </c>
      <c r="AX53" s="251">
        <f t="shared" si="1"/>
        <v>0</v>
      </c>
      <c r="AY53" s="251">
        <f t="shared" si="1"/>
        <v>0</v>
      </c>
      <c r="AZ53" s="251">
        <f t="shared" si="1"/>
        <v>0</v>
      </c>
      <c r="BA53" s="251">
        <f t="shared" si="2"/>
        <v>0</v>
      </c>
      <c r="BB53" s="251">
        <f t="shared" si="2"/>
        <v>0</v>
      </c>
      <c r="BC53" s="251">
        <f t="shared" si="3"/>
        <v>0</v>
      </c>
      <c r="BD53" s="270" t="e">
        <f t="shared" si="4"/>
        <v>#DIV/0!</v>
      </c>
      <c r="BE53" s="251">
        <f t="shared" si="5"/>
        <v>0</v>
      </c>
      <c r="BF53" s="251">
        <f t="shared" si="6"/>
        <v>0</v>
      </c>
    </row>
    <row r="54" spans="1:58">
      <c r="A54" s="11">
        <v>41275</v>
      </c>
      <c r="B54" s="268"/>
      <c r="C54" s="268">
        <v>6</v>
      </c>
      <c r="D54" s="268"/>
      <c r="E54" s="268">
        <v>3</v>
      </c>
      <c r="F54" s="269">
        <v>0.2</v>
      </c>
      <c r="G54" s="269"/>
      <c r="H54" s="269">
        <v>12</v>
      </c>
      <c r="I54" s="269"/>
      <c r="J54" s="269"/>
      <c r="K54" s="269">
        <v>1.32</v>
      </c>
      <c r="L54" s="269">
        <v>5.283443537159779</v>
      </c>
      <c r="M54" s="269">
        <f t="shared" si="17"/>
        <v>1.5</v>
      </c>
      <c r="N54" s="269"/>
      <c r="O54" s="269">
        <v>0</v>
      </c>
      <c r="Q54" s="251">
        <f t="shared" si="14"/>
        <v>29.303443537159779</v>
      </c>
      <c r="R54" s="251">
        <v>0</v>
      </c>
      <c r="S54" s="251">
        <f t="shared" si="19"/>
        <v>29.303443537159779</v>
      </c>
      <c r="AB54" s="251">
        <f>SUM('BD Feedstock'!C52,'BD Feedstock'!E52,'BD Feedstock'!G52,'BD Feedstock'!K52,'BD Feedstock'!T52)</f>
        <v>8.234375</v>
      </c>
      <c r="AC54" s="251">
        <f>SUM('BD Feedstock'!D52,'BD Feedstock'!F52,'BD Feedstock'!H52,'BD Feedstock'!I52,'BD Feedstock'!L52,'BD Feedstock'!M52,'BD Feedstock'!N52,'BD Feedstock'!O52,'BD Feedstock'!U52)</f>
        <v>4.6430916666666668</v>
      </c>
      <c r="AD54" s="251">
        <f>'BD Feedstock'!J52</f>
        <v>0</v>
      </c>
      <c r="AE54" s="251">
        <f>SUM('BD Feedstock'!B52,'BD Feedstock'!P52,'BD Feedstock'!Q52,'BD Feedstock'!R52)</f>
        <v>4.2113878626533632</v>
      </c>
      <c r="AF54" s="251">
        <f>'BD Feedstock'!S52</f>
        <v>0</v>
      </c>
      <c r="AG54" s="251">
        <f t="shared" si="8"/>
        <v>17.088854529320031</v>
      </c>
      <c r="AK54" s="237">
        <f t="shared" si="9"/>
        <v>0.48185646298714485</v>
      </c>
      <c r="AL54" s="237">
        <f t="shared" si="9"/>
        <v>0.27170291950816999</v>
      </c>
      <c r="AM54" s="237">
        <f t="shared" si="9"/>
        <v>0</v>
      </c>
      <c r="AN54" s="237">
        <f t="shared" si="9"/>
        <v>0.2464406175046851</v>
      </c>
      <c r="AO54" s="237">
        <f t="shared" si="9"/>
        <v>0</v>
      </c>
      <c r="AP54" s="237">
        <f t="shared" si="10"/>
        <v>1</v>
      </c>
      <c r="AQ54" s="237"/>
      <c r="AR54" s="237">
        <f t="shared" si="11"/>
        <v>0.63944059908263529</v>
      </c>
      <c r="AS54" s="237">
        <f t="shared" si="12"/>
        <v>0.36055940091736471</v>
      </c>
      <c r="AT54" s="237">
        <f t="shared" si="13"/>
        <v>0</v>
      </c>
      <c r="AU54" s="237">
        <f t="shared" si="18"/>
        <v>1</v>
      </c>
      <c r="AV54" s="237">
        <f t="shared" si="18"/>
        <v>0</v>
      </c>
      <c r="AX54" s="251">
        <f t="shared" si="1"/>
        <v>0</v>
      </c>
      <c r="AY54" s="251">
        <f t="shared" si="1"/>
        <v>0</v>
      </c>
      <c r="AZ54" s="251">
        <f t="shared" si="1"/>
        <v>0</v>
      </c>
      <c r="BA54" s="251">
        <f t="shared" si="2"/>
        <v>0</v>
      </c>
      <c r="BB54" s="251">
        <f t="shared" si="2"/>
        <v>0</v>
      </c>
      <c r="BC54" s="251">
        <f t="shared" si="3"/>
        <v>0</v>
      </c>
      <c r="BD54" s="270" t="e">
        <f t="shared" si="4"/>
        <v>#DIV/0!</v>
      </c>
      <c r="BE54" s="251">
        <f t="shared" si="5"/>
        <v>0</v>
      </c>
      <c r="BF54" s="251">
        <f t="shared" si="6"/>
        <v>0</v>
      </c>
    </row>
    <row r="55" spans="1:58">
      <c r="A55" s="11">
        <v>41306</v>
      </c>
      <c r="B55" s="268"/>
      <c r="C55" s="268">
        <v>6</v>
      </c>
      <c r="D55" s="268"/>
      <c r="E55" s="268">
        <v>3</v>
      </c>
      <c r="F55" s="269">
        <v>0.2</v>
      </c>
      <c r="G55" s="269"/>
      <c r="H55" s="269">
        <v>12</v>
      </c>
      <c r="I55" s="269"/>
      <c r="J55" s="269"/>
      <c r="K55" s="269">
        <v>1.32</v>
      </c>
      <c r="L55" s="269">
        <v>5.283443537159779</v>
      </c>
      <c r="M55" s="269">
        <f t="shared" si="17"/>
        <v>1.5</v>
      </c>
      <c r="N55" s="269"/>
      <c r="O55" s="269">
        <f>$O$3</f>
        <v>17.699535849485258</v>
      </c>
      <c r="Q55" s="251">
        <f t="shared" si="14"/>
        <v>47.002979386645038</v>
      </c>
      <c r="R55" s="251">
        <v>0</v>
      </c>
      <c r="S55" s="251">
        <f t="shared" si="19"/>
        <v>47.002979386645038</v>
      </c>
      <c r="AB55" s="251">
        <f>SUM('BD Feedstock'!C53,'BD Feedstock'!E53,'BD Feedstock'!G53,'BD Feedstock'!K53,'BD Feedstock'!T53)</f>
        <v>16.807587677094421</v>
      </c>
      <c r="AC55" s="251">
        <f>SUM('BD Feedstock'!D53,'BD Feedstock'!F53,'BD Feedstock'!H53,'BD Feedstock'!I53,'BD Feedstock'!L53,'BD Feedstock'!M53,'BD Feedstock'!N53,'BD Feedstock'!O53,'BD Feedstock'!U53)</f>
        <v>7.6778245841929937</v>
      </c>
      <c r="AD55" s="251">
        <f>'BD Feedstock'!J53</f>
        <v>0</v>
      </c>
      <c r="AE55" s="251">
        <f>SUM('BD Feedstock'!B53,'BD Feedstock'!P53,'BD Feedstock'!Q53,'BD Feedstock'!R53)</f>
        <v>4.2113878626533632</v>
      </c>
      <c r="AF55" s="251">
        <f>'BD Feedstock'!S53</f>
        <v>0</v>
      </c>
      <c r="AG55" s="251">
        <f t="shared" si="8"/>
        <v>28.696800123940779</v>
      </c>
      <c r="AK55" s="237">
        <f t="shared" si="9"/>
        <v>0.58569553415373354</v>
      </c>
      <c r="AL55" s="237">
        <f t="shared" si="9"/>
        <v>0.26754985054196484</v>
      </c>
      <c r="AM55" s="237">
        <f t="shared" si="9"/>
        <v>0</v>
      </c>
      <c r="AN55" s="237">
        <f t="shared" si="9"/>
        <v>0.14675461530430159</v>
      </c>
      <c r="AO55" s="237">
        <f t="shared" si="9"/>
        <v>0</v>
      </c>
      <c r="AP55" s="237">
        <f t="shared" si="10"/>
        <v>1</v>
      </c>
      <c r="AQ55" s="237"/>
      <c r="AR55" s="237">
        <f t="shared" si="11"/>
        <v>0.68643270114214106</v>
      </c>
      <c r="AS55" s="237">
        <f t="shared" si="12"/>
        <v>0.31356729885785889</v>
      </c>
      <c r="AT55" s="237">
        <f t="shared" si="13"/>
        <v>0</v>
      </c>
      <c r="AU55" s="237">
        <f t="shared" si="18"/>
        <v>1</v>
      </c>
      <c r="AV55" s="237">
        <f t="shared" si="18"/>
        <v>0</v>
      </c>
      <c r="AX55" s="251">
        <f t="shared" si="1"/>
        <v>0</v>
      </c>
      <c r="AY55" s="251">
        <f t="shared" si="1"/>
        <v>0</v>
      </c>
      <c r="AZ55" s="251">
        <f t="shared" si="1"/>
        <v>0</v>
      </c>
      <c r="BA55" s="251">
        <f t="shared" si="2"/>
        <v>0</v>
      </c>
      <c r="BB55" s="251">
        <f t="shared" si="2"/>
        <v>0</v>
      </c>
      <c r="BC55" s="251">
        <f t="shared" si="3"/>
        <v>0</v>
      </c>
      <c r="BD55" s="270" t="e">
        <f t="shared" si="4"/>
        <v>#DIV/0!</v>
      </c>
      <c r="BE55" s="251">
        <f t="shared" si="5"/>
        <v>0</v>
      </c>
      <c r="BF55" s="251">
        <f t="shared" si="6"/>
        <v>0</v>
      </c>
    </row>
    <row r="56" spans="1:58">
      <c r="A56" s="11">
        <v>41334</v>
      </c>
      <c r="B56" s="268"/>
      <c r="C56" s="268">
        <v>6</v>
      </c>
      <c r="D56" s="268"/>
      <c r="E56" s="268">
        <v>3</v>
      </c>
      <c r="F56" s="269">
        <v>0.2</v>
      </c>
      <c r="G56" s="269"/>
      <c r="H56" s="269">
        <v>12</v>
      </c>
      <c r="I56" s="269"/>
      <c r="J56" s="269"/>
      <c r="K56" s="269">
        <v>1.32</v>
      </c>
      <c r="L56" s="269">
        <v>5.283443537159779</v>
      </c>
      <c r="M56" s="269">
        <f t="shared" si="17"/>
        <v>1.5</v>
      </c>
      <c r="N56" s="269"/>
      <c r="O56" s="269">
        <f t="shared" ref="O56:O119" si="20">$O$3</f>
        <v>17.699535849485258</v>
      </c>
      <c r="Q56" s="251">
        <f t="shared" si="14"/>
        <v>47.002979386645038</v>
      </c>
      <c r="R56" s="251">
        <v>0</v>
      </c>
      <c r="S56" s="251">
        <f t="shared" si="19"/>
        <v>47.002979386645038</v>
      </c>
      <c r="AB56" s="251">
        <f>SUM('BD Feedstock'!C54,'BD Feedstock'!E54,'BD Feedstock'!G54,'BD Feedstock'!K54,'BD Feedstock'!T54)</f>
        <v>16.807587677094421</v>
      </c>
      <c r="AC56" s="251">
        <f>SUM('BD Feedstock'!D54,'BD Feedstock'!F54,'BD Feedstock'!H54,'BD Feedstock'!I54,'BD Feedstock'!L54,'BD Feedstock'!M54,'BD Feedstock'!N54,'BD Feedstock'!O54,'BD Feedstock'!U54)</f>
        <v>7.6778245841929937</v>
      </c>
      <c r="AD56" s="251">
        <f>'BD Feedstock'!J54</f>
        <v>0</v>
      </c>
      <c r="AE56" s="251">
        <f>SUM('BD Feedstock'!B54,'BD Feedstock'!P54,'BD Feedstock'!Q54,'BD Feedstock'!R54)</f>
        <v>4.2113878626533632</v>
      </c>
      <c r="AF56" s="251">
        <f>'BD Feedstock'!S54</f>
        <v>0</v>
      </c>
      <c r="AG56" s="251">
        <f t="shared" si="8"/>
        <v>28.696800123940779</v>
      </c>
      <c r="AK56" s="237">
        <f t="shared" si="9"/>
        <v>0.58569553415373354</v>
      </c>
      <c r="AL56" s="237">
        <f t="shared" si="9"/>
        <v>0.26754985054196484</v>
      </c>
      <c r="AM56" s="237">
        <f t="shared" si="9"/>
        <v>0</v>
      </c>
      <c r="AN56" s="237">
        <f t="shared" si="9"/>
        <v>0.14675461530430159</v>
      </c>
      <c r="AO56" s="237">
        <f t="shared" si="9"/>
        <v>0</v>
      </c>
      <c r="AP56" s="237">
        <f t="shared" si="10"/>
        <v>1</v>
      </c>
      <c r="AQ56" s="237"/>
      <c r="AR56" s="237">
        <f t="shared" si="11"/>
        <v>0.68643270114214106</v>
      </c>
      <c r="AS56" s="237">
        <f t="shared" si="12"/>
        <v>0.31356729885785889</v>
      </c>
      <c r="AT56" s="237">
        <f t="shared" si="13"/>
        <v>0</v>
      </c>
      <c r="AU56" s="237">
        <f t="shared" si="18"/>
        <v>1</v>
      </c>
      <c r="AV56" s="237">
        <f t="shared" si="18"/>
        <v>0</v>
      </c>
      <c r="AX56" s="251">
        <f t="shared" si="1"/>
        <v>0</v>
      </c>
      <c r="AY56" s="251">
        <f t="shared" si="1"/>
        <v>0</v>
      </c>
      <c r="AZ56" s="251">
        <f t="shared" si="1"/>
        <v>0</v>
      </c>
      <c r="BA56" s="251">
        <f t="shared" si="2"/>
        <v>0</v>
      </c>
      <c r="BB56" s="251">
        <f t="shared" si="2"/>
        <v>0</v>
      </c>
      <c r="BC56" s="251">
        <f t="shared" si="3"/>
        <v>0</v>
      </c>
      <c r="BD56" s="270" t="e">
        <f t="shared" si="4"/>
        <v>#DIV/0!</v>
      </c>
      <c r="BE56" s="251">
        <f t="shared" si="5"/>
        <v>0</v>
      </c>
      <c r="BF56" s="251">
        <f t="shared" si="6"/>
        <v>0</v>
      </c>
    </row>
    <row r="57" spans="1:58">
      <c r="A57" s="11">
        <v>41365</v>
      </c>
      <c r="B57" s="268"/>
      <c r="C57" s="268">
        <v>6</v>
      </c>
      <c r="D57" s="268"/>
      <c r="E57" s="268">
        <v>3</v>
      </c>
      <c r="F57" s="269">
        <v>0.2</v>
      </c>
      <c r="G57" s="269"/>
      <c r="H57" s="269">
        <v>12</v>
      </c>
      <c r="I57" s="269"/>
      <c r="J57" s="269"/>
      <c r="K57" s="269">
        <v>1.32</v>
      </c>
      <c r="L57" s="269">
        <v>5.283443537159779</v>
      </c>
      <c r="M57" s="269">
        <f t="shared" si="17"/>
        <v>1.5</v>
      </c>
      <c r="N57" s="269"/>
      <c r="O57" s="269">
        <f t="shared" si="20"/>
        <v>17.699535849485258</v>
      </c>
      <c r="Q57" s="251">
        <f t="shared" si="14"/>
        <v>47.002979386645038</v>
      </c>
      <c r="R57" s="251">
        <v>0</v>
      </c>
      <c r="S57" s="251">
        <f t="shared" si="19"/>
        <v>47.002979386645038</v>
      </c>
      <c r="AB57" s="251">
        <f>SUM('BD Feedstock'!C55,'BD Feedstock'!E55,'BD Feedstock'!G55,'BD Feedstock'!K55,'BD Feedstock'!T55)</f>
        <v>16.807587677094421</v>
      </c>
      <c r="AC57" s="251">
        <f>SUM('BD Feedstock'!D55,'BD Feedstock'!F55,'BD Feedstock'!H55,'BD Feedstock'!I55,'BD Feedstock'!L55,'BD Feedstock'!M55,'BD Feedstock'!N55,'BD Feedstock'!O55,'BD Feedstock'!U55)</f>
        <v>7.6778245841929937</v>
      </c>
      <c r="AD57" s="251">
        <f>'BD Feedstock'!J55</f>
        <v>0</v>
      </c>
      <c r="AE57" s="251">
        <f>SUM('BD Feedstock'!B55,'BD Feedstock'!P55,'BD Feedstock'!Q55,'BD Feedstock'!R55)</f>
        <v>4.2113878626533632</v>
      </c>
      <c r="AF57" s="251">
        <f>'BD Feedstock'!S55</f>
        <v>0</v>
      </c>
      <c r="AG57" s="251">
        <f t="shared" si="8"/>
        <v>28.696800123940779</v>
      </c>
      <c r="AK57" s="237">
        <f t="shared" si="9"/>
        <v>0.58569553415373354</v>
      </c>
      <c r="AL57" s="237">
        <f t="shared" si="9"/>
        <v>0.26754985054196484</v>
      </c>
      <c r="AM57" s="237">
        <f t="shared" si="9"/>
        <v>0</v>
      </c>
      <c r="AN57" s="237">
        <f t="shared" si="9"/>
        <v>0.14675461530430159</v>
      </c>
      <c r="AO57" s="237">
        <f t="shared" si="9"/>
        <v>0</v>
      </c>
      <c r="AP57" s="237">
        <f t="shared" si="10"/>
        <v>1</v>
      </c>
      <c r="AQ57" s="237"/>
      <c r="AR57" s="237">
        <f t="shared" si="11"/>
        <v>0.68643270114214106</v>
      </c>
      <c r="AS57" s="237">
        <f t="shared" si="12"/>
        <v>0.31356729885785889</v>
      </c>
      <c r="AT57" s="237">
        <f t="shared" si="13"/>
        <v>0</v>
      </c>
      <c r="AU57" s="237">
        <f t="shared" si="18"/>
        <v>1</v>
      </c>
      <c r="AV57" s="237">
        <f t="shared" si="18"/>
        <v>0</v>
      </c>
      <c r="AX57" s="251">
        <f t="shared" si="1"/>
        <v>0</v>
      </c>
      <c r="AY57" s="251">
        <f t="shared" si="1"/>
        <v>0</v>
      </c>
      <c r="AZ57" s="251">
        <f t="shared" si="1"/>
        <v>0</v>
      </c>
      <c r="BA57" s="251">
        <f t="shared" si="2"/>
        <v>0</v>
      </c>
      <c r="BB57" s="251">
        <f t="shared" si="2"/>
        <v>0</v>
      </c>
      <c r="BC57" s="251">
        <f t="shared" si="3"/>
        <v>0</v>
      </c>
      <c r="BD57" s="270" t="e">
        <f t="shared" si="4"/>
        <v>#DIV/0!</v>
      </c>
      <c r="BE57" s="251">
        <f t="shared" si="5"/>
        <v>0</v>
      </c>
      <c r="BF57" s="251">
        <f t="shared" si="6"/>
        <v>0</v>
      </c>
    </row>
    <row r="58" spans="1:58">
      <c r="A58" s="11">
        <v>41395</v>
      </c>
      <c r="B58" s="268"/>
      <c r="C58" s="268">
        <v>6</v>
      </c>
      <c r="D58" s="268"/>
      <c r="E58" s="268">
        <v>3</v>
      </c>
      <c r="F58" s="269">
        <v>0.2</v>
      </c>
      <c r="G58" s="269"/>
      <c r="H58" s="269">
        <v>12</v>
      </c>
      <c r="I58" s="269"/>
      <c r="J58" s="269"/>
      <c r="K58" s="269">
        <v>1.32</v>
      </c>
      <c r="L58" s="269">
        <v>5.283443537159779</v>
      </c>
      <c r="M58" s="269">
        <f t="shared" si="17"/>
        <v>1.5</v>
      </c>
      <c r="N58" s="269"/>
      <c r="O58" s="269">
        <f t="shared" si="20"/>
        <v>17.699535849485258</v>
      </c>
      <c r="Q58" s="251">
        <f t="shared" si="14"/>
        <v>47.002979386645038</v>
      </c>
      <c r="R58" s="251">
        <v>0</v>
      </c>
      <c r="S58" s="251">
        <f t="shared" si="19"/>
        <v>47.002979386645038</v>
      </c>
      <c r="AB58" s="251">
        <f>SUM('BD Feedstock'!C56,'BD Feedstock'!E56,'BD Feedstock'!G56,'BD Feedstock'!K56,'BD Feedstock'!T56)</f>
        <v>16.807587677094421</v>
      </c>
      <c r="AC58" s="251">
        <f>SUM('BD Feedstock'!D56,'BD Feedstock'!F56,'BD Feedstock'!H56,'BD Feedstock'!I56,'BD Feedstock'!L56,'BD Feedstock'!M56,'BD Feedstock'!N56,'BD Feedstock'!O56,'BD Feedstock'!U56)</f>
        <v>7.6778245841929937</v>
      </c>
      <c r="AD58" s="251">
        <f>'BD Feedstock'!J56</f>
        <v>0</v>
      </c>
      <c r="AE58" s="251">
        <f>SUM('BD Feedstock'!B56,'BD Feedstock'!P56,'BD Feedstock'!Q56,'BD Feedstock'!R56)</f>
        <v>4.2113878626533632</v>
      </c>
      <c r="AF58" s="251">
        <f>'BD Feedstock'!S56</f>
        <v>0</v>
      </c>
      <c r="AG58" s="251">
        <f t="shared" si="8"/>
        <v>28.696800123940779</v>
      </c>
      <c r="AK58" s="237">
        <f t="shared" ref="AK58:AO121" si="21">AB58/$AG58</f>
        <v>0.58569553415373354</v>
      </c>
      <c r="AL58" s="237">
        <f t="shared" si="21"/>
        <v>0.26754985054196484</v>
      </c>
      <c r="AM58" s="237">
        <f t="shared" si="21"/>
        <v>0</v>
      </c>
      <c r="AN58" s="237">
        <f t="shared" si="21"/>
        <v>0.14675461530430159</v>
      </c>
      <c r="AO58" s="237">
        <f t="shared" si="21"/>
        <v>0</v>
      </c>
      <c r="AP58" s="237">
        <f t="shared" si="10"/>
        <v>1</v>
      </c>
      <c r="AQ58" s="237"/>
      <c r="AR58" s="237">
        <f t="shared" si="11"/>
        <v>0.68643270114214106</v>
      </c>
      <c r="AS58" s="237">
        <f t="shared" si="12"/>
        <v>0.31356729885785889</v>
      </c>
      <c r="AT58" s="237">
        <f t="shared" si="13"/>
        <v>0</v>
      </c>
      <c r="AU58" s="237">
        <f t="shared" si="18"/>
        <v>1</v>
      </c>
      <c r="AV58" s="237">
        <f t="shared" si="18"/>
        <v>0</v>
      </c>
      <c r="AX58" s="251">
        <f t="shared" si="1"/>
        <v>0</v>
      </c>
      <c r="AY58" s="251">
        <f t="shared" si="1"/>
        <v>0</v>
      </c>
      <c r="AZ58" s="251">
        <f t="shared" si="1"/>
        <v>0</v>
      </c>
      <c r="BA58" s="251">
        <f t="shared" si="2"/>
        <v>0</v>
      </c>
      <c r="BB58" s="251">
        <f t="shared" si="2"/>
        <v>0</v>
      </c>
      <c r="BC58" s="251">
        <f t="shared" si="3"/>
        <v>0</v>
      </c>
      <c r="BD58" s="270" t="e">
        <f t="shared" si="4"/>
        <v>#DIV/0!</v>
      </c>
      <c r="BE58" s="251">
        <f t="shared" si="5"/>
        <v>0</v>
      </c>
      <c r="BF58" s="251">
        <f t="shared" si="6"/>
        <v>0</v>
      </c>
    </row>
    <row r="59" spans="1:58">
      <c r="A59" s="11">
        <v>41426</v>
      </c>
      <c r="B59" s="268"/>
      <c r="C59" s="268">
        <v>6</v>
      </c>
      <c r="D59" s="268"/>
      <c r="E59" s="268">
        <v>3</v>
      </c>
      <c r="F59" s="269">
        <v>0.2</v>
      </c>
      <c r="G59" s="269"/>
      <c r="H59" s="269">
        <v>12</v>
      </c>
      <c r="I59" s="269"/>
      <c r="J59" s="269"/>
      <c r="K59" s="269">
        <v>1.32</v>
      </c>
      <c r="L59" s="269">
        <v>5.283443537159779</v>
      </c>
      <c r="M59" s="269">
        <f t="shared" si="17"/>
        <v>1.5</v>
      </c>
      <c r="N59" s="269"/>
      <c r="O59" s="269">
        <f t="shared" si="20"/>
        <v>17.699535849485258</v>
      </c>
      <c r="Q59" s="251">
        <f t="shared" si="14"/>
        <v>47.002979386645038</v>
      </c>
      <c r="R59" s="251">
        <v>0</v>
      </c>
      <c r="S59" s="251">
        <f t="shared" si="19"/>
        <v>47.002979386645038</v>
      </c>
      <c r="AB59" s="251">
        <f>SUM('BD Feedstock'!C57,'BD Feedstock'!E57,'BD Feedstock'!G57,'BD Feedstock'!K57,'BD Feedstock'!T57)</f>
        <v>16.807587677094421</v>
      </c>
      <c r="AC59" s="251">
        <f>SUM('BD Feedstock'!D57,'BD Feedstock'!F57,'BD Feedstock'!H57,'BD Feedstock'!I57,'BD Feedstock'!L57,'BD Feedstock'!M57,'BD Feedstock'!N57,'BD Feedstock'!O57,'BD Feedstock'!U57)</f>
        <v>7.6778245841929937</v>
      </c>
      <c r="AD59" s="251">
        <f>'BD Feedstock'!J57</f>
        <v>0</v>
      </c>
      <c r="AE59" s="251">
        <f>SUM('BD Feedstock'!B57,'BD Feedstock'!P57,'BD Feedstock'!Q57,'BD Feedstock'!R57)</f>
        <v>4.2113878626533632</v>
      </c>
      <c r="AF59" s="251">
        <f>'BD Feedstock'!S57</f>
        <v>0</v>
      </c>
      <c r="AG59" s="251">
        <f t="shared" si="8"/>
        <v>28.696800123940779</v>
      </c>
      <c r="AK59" s="237">
        <f t="shared" si="21"/>
        <v>0.58569553415373354</v>
      </c>
      <c r="AL59" s="237">
        <f t="shared" si="21"/>
        <v>0.26754985054196484</v>
      </c>
      <c r="AM59" s="237">
        <f t="shared" si="21"/>
        <v>0</v>
      </c>
      <c r="AN59" s="237">
        <f t="shared" si="21"/>
        <v>0.14675461530430159</v>
      </c>
      <c r="AO59" s="237">
        <f t="shared" si="21"/>
        <v>0</v>
      </c>
      <c r="AP59" s="237">
        <f t="shared" si="10"/>
        <v>1</v>
      </c>
      <c r="AQ59" s="237"/>
      <c r="AR59" s="237">
        <f t="shared" si="11"/>
        <v>0.68643270114214106</v>
      </c>
      <c r="AS59" s="237">
        <f t="shared" si="12"/>
        <v>0.31356729885785889</v>
      </c>
      <c r="AT59" s="237">
        <f t="shared" si="13"/>
        <v>0</v>
      </c>
      <c r="AU59" s="237">
        <f t="shared" si="18"/>
        <v>1</v>
      </c>
      <c r="AV59" s="237">
        <f t="shared" si="18"/>
        <v>0</v>
      </c>
      <c r="AX59" s="251">
        <f t="shared" si="1"/>
        <v>0</v>
      </c>
      <c r="AY59" s="251">
        <f t="shared" si="1"/>
        <v>0</v>
      </c>
      <c r="AZ59" s="251">
        <f t="shared" si="1"/>
        <v>0</v>
      </c>
      <c r="BA59" s="251">
        <f t="shared" si="2"/>
        <v>0</v>
      </c>
      <c r="BB59" s="251">
        <f t="shared" si="2"/>
        <v>0</v>
      </c>
      <c r="BC59" s="251">
        <f t="shared" si="3"/>
        <v>0</v>
      </c>
      <c r="BD59" s="270" t="e">
        <f t="shared" si="4"/>
        <v>#DIV/0!</v>
      </c>
      <c r="BE59" s="251">
        <f t="shared" si="5"/>
        <v>0</v>
      </c>
      <c r="BF59" s="251">
        <f t="shared" si="6"/>
        <v>0</v>
      </c>
    </row>
    <row r="60" spans="1:58">
      <c r="A60" s="11">
        <v>41456</v>
      </c>
      <c r="B60" s="268"/>
      <c r="C60" s="268">
        <v>7</v>
      </c>
      <c r="D60" s="268"/>
      <c r="E60" s="268">
        <v>3</v>
      </c>
      <c r="F60" s="269">
        <v>0.2</v>
      </c>
      <c r="G60" s="269"/>
      <c r="H60" s="269">
        <v>12</v>
      </c>
      <c r="I60" s="269"/>
      <c r="J60" s="269"/>
      <c r="K60" s="269">
        <v>1.32</v>
      </c>
      <c r="L60" s="269">
        <v>5.283443537159779</v>
      </c>
      <c r="M60" s="269">
        <f t="shared" si="17"/>
        <v>1.5</v>
      </c>
      <c r="N60" s="269"/>
      <c r="O60" s="269">
        <f t="shared" si="20"/>
        <v>17.699535849485258</v>
      </c>
      <c r="Q60" s="251">
        <f t="shared" si="14"/>
        <v>48.002979386645038</v>
      </c>
      <c r="R60" s="251">
        <v>0</v>
      </c>
      <c r="S60" s="251">
        <f t="shared" si="19"/>
        <v>48.002979386645038</v>
      </c>
      <c r="AB60" s="251">
        <f>SUM('BD Feedstock'!C58,'BD Feedstock'!E58,'BD Feedstock'!G58,'BD Feedstock'!K58,'BD Feedstock'!T58)</f>
        <v>16.969046010427753</v>
      </c>
      <c r="AC60" s="251">
        <f>SUM('BD Feedstock'!D58,'BD Feedstock'!F58,'BD Feedstock'!H58,'BD Feedstock'!I58,'BD Feedstock'!L58,'BD Feedstock'!M58,'BD Feedstock'!N58,'BD Feedstock'!O58,'BD Feedstock'!U58)</f>
        <v>7.8492829175263275</v>
      </c>
      <c r="AD60" s="251">
        <f>'BD Feedstock'!J58</f>
        <v>0</v>
      </c>
      <c r="AE60" s="251">
        <f>SUM('BD Feedstock'!B58,'BD Feedstock'!P58,'BD Feedstock'!Q58,'BD Feedstock'!R58)</f>
        <v>4.2113878626533632</v>
      </c>
      <c r="AF60" s="251">
        <f>'BD Feedstock'!S58</f>
        <v>0</v>
      </c>
      <c r="AG60" s="251">
        <f t="shared" si="8"/>
        <v>29.029716790607445</v>
      </c>
      <c r="AK60" s="237">
        <f t="shared" si="21"/>
        <v>0.5845405290318948</v>
      </c>
      <c r="AL60" s="237">
        <f t="shared" si="21"/>
        <v>0.27038785717902558</v>
      </c>
      <c r="AM60" s="237">
        <f t="shared" si="21"/>
        <v>0</v>
      </c>
      <c r="AN60" s="237">
        <f t="shared" si="21"/>
        <v>0.14507161378907962</v>
      </c>
      <c r="AO60" s="237">
        <f t="shared" si="21"/>
        <v>0</v>
      </c>
      <c r="AP60" s="237">
        <f t="shared" si="10"/>
        <v>1</v>
      </c>
      <c r="AQ60" s="237"/>
      <c r="AR60" s="237">
        <f t="shared" si="11"/>
        <v>0.68373040182067613</v>
      </c>
      <c r="AS60" s="237">
        <f t="shared" si="12"/>
        <v>0.31626959817932387</v>
      </c>
      <c r="AT60" s="237">
        <f t="shared" si="13"/>
        <v>0</v>
      </c>
      <c r="AU60" s="237">
        <f t="shared" si="18"/>
        <v>1</v>
      </c>
      <c r="AV60" s="237">
        <f t="shared" si="18"/>
        <v>0</v>
      </c>
      <c r="AX60" s="251">
        <f t="shared" si="1"/>
        <v>0</v>
      </c>
      <c r="AY60" s="251">
        <f t="shared" si="1"/>
        <v>0</v>
      </c>
      <c r="AZ60" s="251">
        <f t="shared" si="1"/>
        <v>0</v>
      </c>
      <c r="BA60" s="251">
        <f t="shared" si="2"/>
        <v>0</v>
      </c>
      <c r="BB60" s="251">
        <f t="shared" si="2"/>
        <v>0</v>
      </c>
      <c r="BC60" s="251">
        <f t="shared" si="3"/>
        <v>0</v>
      </c>
      <c r="BD60" s="270" t="e">
        <f t="shared" si="4"/>
        <v>#DIV/0!</v>
      </c>
      <c r="BE60" s="251">
        <f t="shared" si="5"/>
        <v>0</v>
      </c>
      <c r="BF60" s="251">
        <f t="shared" si="6"/>
        <v>0</v>
      </c>
    </row>
    <row r="61" spans="1:58">
      <c r="A61" s="11">
        <v>41487</v>
      </c>
      <c r="B61" s="268">
        <v>10</v>
      </c>
      <c r="C61" s="268">
        <v>8</v>
      </c>
      <c r="D61" s="268"/>
      <c r="E61" s="268">
        <v>3</v>
      </c>
      <c r="F61" s="269">
        <v>0.2</v>
      </c>
      <c r="G61" s="269"/>
      <c r="H61" s="269">
        <v>12</v>
      </c>
      <c r="I61" s="269"/>
      <c r="J61" s="269"/>
      <c r="K61" s="269">
        <v>1.32</v>
      </c>
      <c r="L61" s="269">
        <v>5.283443537159779</v>
      </c>
      <c r="M61" s="269">
        <f t="shared" si="17"/>
        <v>1.5</v>
      </c>
      <c r="N61" s="269"/>
      <c r="O61" s="269">
        <f t="shared" si="20"/>
        <v>17.699535849485258</v>
      </c>
      <c r="Q61" s="251">
        <f t="shared" si="14"/>
        <v>59.002979386645038</v>
      </c>
      <c r="R61" s="251">
        <v>0</v>
      </c>
      <c r="S61" s="251">
        <f t="shared" si="19"/>
        <v>59.002979386645038</v>
      </c>
      <c r="AB61" s="251">
        <f>SUM('BD Feedstock'!C59,'BD Feedstock'!E59,'BD Feedstock'!G59,'BD Feedstock'!K59,'BD Feedstock'!T59)</f>
        <v>17.130504343761089</v>
      </c>
      <c r="AC61" s="251">
        <f>SUM('BD Feedstock'!D59,'BD Feedstock'!F59,'BD Feedstock'!H59,'BD Feedstock'!I59,'BD Feedstock'!L59,'BD Feedstock'!M59,'BD Feedstock'!N59,'BD Feedstock'!O59,'BD Feedstock'!U59)</f>
        <v>8.0207412508596612</v>
      </c>
      <c r="AD61" s="251">
        <f>'BD Feedstock'!J59</f>
        <v>0</v>
      </c>
      <c r="AE61" s="251">
        <f>SUM('BD Feedstock'!B59,'BD Feedstock'!P59,'BD Feedstock'!Q59,'BD Feedstock'!R59)</f>
        <v>10.419721195986698</v>
      </c>
      <c r="AF61" s="251">
        <f>'BD Feedstock'!S59</f>
        <v>0</v>
      </c>
      <c r="AG61" s="251">
        <f t="shared" si="8"/>
        <v>35.57096679060745</v>
      </c>
      <c r="AK61" s="237">
        <f t="shared" si="21"/>
        <v>0.48158669525632392</v>
      </c>
      <c r="AL61" s="237">
        <f t="shared" si="21"/>
        <v>0.22548561297404898</v>
      </c>
      <c r="AM61" s="237">
        <f t="shared" si="21"/>
        <v>0</v>
      </c>
      <c r="AN61" s="237">
        <f t="shared" si="21"/>
        <v>0.29292769176962702</v>
      </c>
      <c r="AO61" s="237">
        <f t="shared" si="21"/>
        <v>0</v>
      </c>
      <c r="AP61" s="237">
        <f t="shared" si="10"/>
        <v>1</v>
      </c>
      <c r="AQ61" s="237"/>
      <c r="AR61" s="237">
        <f t="shared" si="11"/>
        <v>0.68109964094282849</v>
      </c>
      <c r="AS61" s="237">
        <f t="shared" si="12"/>
        <v>0.31890035905717157</v>
      </c>
      <c r="AT61" s="237">
        <f t="shared" si="13"/>
        <v>0</v>
      </c>
      <c r="AU61" s="237">
        <f t="shared" si="18"/>
        <v>1</v>
      </c>
      <c r="AV61" s="237">
        <f t="shared" si="18"/>
        <v>0</v>
      </c>
      <c r="AX61" s="251">
        <f t="shared" si="1"/>
        <v>0</v>
      </c>
      <c r="AY61" s="251">
        <f t="shared" si="1"/>
        <v>0</v>
      </c>
      <c r="AZ61" s="251">
        <f t="shared" si="1"/>
        <v>0</v>
      </c>
      <c r="BA61" s="251">
        <f t="shared" si="2"/>
        <v>0</v>
      </c>
      <c r="BB61" s="251">
        <f t="shared" si="2"/>
        <v>0</v>
      </c>
      <c r="BC61" s="251">
        <f t="shared" si="3"/>
        <v>0</v>
      </c>
      <c r="BD61" s="270" t="e">
        <f t="shared" si="4"/>
        <v>#DIV/0!</v>
      </c>
      <c r="BE61" s="251">
        <f t="shared" si="5"/>
        <v>0</v>
      </c>
      <c r="BF61" s="251">
        <f t="shared" si="6"/>
        <v>0</v>
      </c>
    </row>
    <row r="62" spans="1:58">
      <c r="A62" s="11">
        <v>41518</v>
      </c>
      <c r="B62" s="268">
        <v>40</v>
      </c>
      <c r="C62" s="268">
        <v>9</v>
      </c>
      <c r="D62" s="268"/>
      <c r="E62" s="268">
        <v>3</v>
      </c>
      <c r="F62" s="269">
        <v>0.2</v>
      </c>
      <c r="G62" s="269"/>
      <c r="H62" s="269">
        <v>12</v>
      </c>
      <c r="I62" s="269"/>
      <c r="J62" s="269"/>
      <c r="K62" s="269">
        <v>1.32</v>
      </c>
      <c r="L62" s="269">
        <v>5.283443537159779</v>
      </c>
      <c r="M62" s="269">
        <f t="shared" si="17"/>
        <v>1.5</v>
      </c>
      <c r="N62" s="269"/>
      <c r="O62" s="269">
        <f t="shared" si="20"/>
        <v>17.699535849485258</v>
      </c>
      <c r="Q62" s="251">
        <f t="shared" si="14"/>
        <v>90.002979386645038</v>
      </c>
      <c r="R62" s="251">
        <v>0</v>
      </c>
      <c r="S62" s="251">
        <f t="shared" si="19"/>
        <v>90.002979386645038</v>
      </c>
      <c r="AB62" s="251">
        <f>SUM('BD Feedstock'!C60,'BD Feedstock'!E60,'BD Feedstock'!G60,'BD Feedstock'!K60,'BD Feedstock'!T60)</f>
        <v>17.291962677094421</v>
      </c>
      <c r="AC62" s="251">
        <f>SUM('BD Feedstock'!D60,'BD Feedstock'!F60,'BD Feedstock'!H60,'BD Feedstock'!I60,'BD Feedstock'!L60,'BD Feedstock'!M60,'BD Feedstock'!N60,'BD Feedstock'!O60,'BD Feedstock'!U60)</f>
        <v>8.1921995841929949</v>
      </c>
      <c r="AD62" s="251">
        <f>'BD Feedstock'!J60</f>
        <v>0</v>
      </c>
      <c r="AE62" s="251">
        <f>SUM('BD Feedstock'!B60,'BD Feedstock'!P60,'BD Feedstock'!Q60,'BD Feedstock'!R60)</f>
        <v>29.044721195986696</v>
      </c>
      <c r="AF62" s="251">
        <f>'BD Feedstock'!S60</f>
        <v>0</v>
      </c>
      <c r="AG62" s="251">
        <f t="shared" si="8"/>
        <v>54.528883457274112</v>
      </c>
      <c r="AK62" s="237">
        <f t="shared" si="21"/>
        <v>0.31711565652437151</v>
      </c>
      <c r="AL62" s="237">
        <f t="shared" si="21"/>
        <v>0.15023596789052099</v>
      </c>
      <c r="AM62" s="237">
        <f t="shared" si="21"/>
        <v>0</v>
      </c>
      <c r="AN62" s="237">
        <f t="shared" si="21"/>
        <v>0.53264837558510747</v>
      </c>
      <c r="AO62" s="237">
        <f t="shared" si="21"/>
        <v>0</v>
      </c>
      <c r="AP62" s="237">
        <f t="shared" si="10"/>
        <v>1</v>
      </c>
      <c r="AQ62" s="237"/>
      <c r="AR62" s="237">
        <f t="shared" si="11"/>
        <v>0.67853761484490172</v>
      </c>
      <c r="AS62" s="237">
        <f t="shared" si="12"/>
        <v>0.32146238515509823</v>
      </c>
      <c r="AT62" s="237">
        <f t="shared" si="13"/>
        <v>0</v>
      </c>
      <c r="AU62" s="237">
        <f t="shared" si="18"/>
        <v>1</v>
      </c>
      <c r="AV62" s="237">
        <f t="shared" si="18"/>
        <v>0</v>
      </c>
      <c r="AX62" s="251">
        <f t="shared" si="1"/>
        <v>0</v>
      </c>
      <c r="AY62" s="251">
        <f t="shared" si="1"/>
        <v>0</v>
      </c>
      <c r="AZ62" s="251">
        <f t="shared" si="1"/>
        <v>0</v>
      </c>
      <c r="BA62" s="251">
        <f t="shared" si="2"/>
        <v>0</v>
      </c>
      <c r="BB62" s="251">
        <f t="shared" si="2"/>
        <v>0</v>
      </c>
      <c r="BC62" s="251">
        <f t="shared" si="3"/>
        <v>0</v>
      </c>
      <c r="BD62" s="270" t="e">
        <f t="shared" si="4"/>
        <v>#DIV/0!</v>
      </c>
      <c r="BE62" s="251">
        <f t="shared" si="5"/>
        <v>0</v>
      </c>
      <c r="BF62" s="251">
        <f t="shared" si="6"/>
        <v>0</v>
      </c>
    </row>
    <row r="63" spans="1:58">
      <c r="A63" s="11">
        <v>41548</v>
      </c>
      <c r="B63" s="268">
        <v>70</v>
      </c>
      <c r="C63" s="268">
        <v>10</v>
      </c>
      <c r="D63" s="268"/>
      <c r="E63" s="268">
        <v>3</v>
      </c>
      <c r="F63" s="269">
        <v>0.2</v>
      </c>
      <c r="G63" s="269"/>
      <c r="H63" s="269">
        <v>12</v>
      </c>
      <c r="I63" s="269"/>
      <c r="J63" s="269"/>
      <c r="K63" s="269">
        <v>1.32</v>
      </c>
      <c r="L63" s="269">
        <v>5.283443537159779</v>
      </c>
      <c r="M63" s="269">
        <f t="shared" si="17"/>
        <v>1.5</v>
      </c>
      <c r="N63" s="269"/>
      <c r="O63" s="269">
        <f t="shared" si="20"/>
        <v>17.699535849485258</v>
      </c>
      <c r="Q63" s="251">
        <f t="shared" si="14"/>
        <v>121.00297938664504</v>
      </c>
      <c r="R63" s="251">
        <v>0</v>
      </c>
      <c r="S63" s="251">
        <f t="shared" si="19"/>
        <v>121.00297938664504</v>
      </c>
      <c r="AB63" s="251">
        <f>SUM('BD Feedstock'!C61,'BD Feedstock'!E61,'BD Feedstock'!G61,'BD Feedstock'!K61,'BD Feedstock'!T61)</f>
        <v>17.453421010427753</v>
      </c>
      <c r="AC63" s="251">
        <f>SUM('BD Feedstock'!D61,'BD Feedstock'!F61,'BD Feedstock'!H61,'BD Feedstock'!I61,'BD Feedstock'!L61,'BD Feedstock'!M61,'BD Feedstock'!N61,'BD Feedstock'!O61,'BD Feedstock'!U61)</f>
        <v>8.3636579175263286</v>
      </c>
      <c r="AD63" s="251">
        <f>'BD Feedstock'!J61</f>
        <v>0</v>
      </c>
      <c r="AE63" s="251">
        <f>SUM('BD Feedstock'!B61,'BD Feedstock'!P61,'BD Feedstock'!Q61,'BD Feedstock'!R61)</f>
        <v>47.669721195986696</v>
      </c>
      <c r="AF63" s="251">
        <f>'BD Feedstock'!S61</f>
        <v>0</v>
      </c>
      <c r="AG63" s="251">
        <f t="shared" si="8"/>
        <v>73.486800123940782</v>
      </c>
      <c r="AK63" s="237">
        <f t="shared" si="21"/>
        <v>0.23750416375446068</v>
      </c>
      <c r="AL63" s="237">
        <f t="shared" si="21"/>
        <v>0.11381170364501403</v>
      </c>
      <c r="AM63" s="237">
        <f t="shared" si="21"/>
        <v>0</v>
      </c>
      <c r="AN63" s="237">
        <f t="shared" si="21"/>
        <v>0.64868413260052527</v>
      </c>
      <c r="AO63" s="237">
        <f t="shared" si="21"/>
        <v>0</v>
      </c>
      <c r="AP63" s="237">
        <f t="shared" si="10"/>
        <v>1</v>
      </c>
      <c r="AQ63" s="237"/>
      <c r="AR63" s="237">
        <f t="shared" si="11"/>
        <v>0.67604166447853364</v>
      </c>
      <c r="AS63" s="237">
        <f t="shared" si="12"/>
        <v>0.32395833552146641</v>
      </c>
      <c r="AT63" s="237">
        <f t="shared" si="13"/>
        <v>0</v>
      </c>
      <c r="AU63" s="237">
        <f t="shared" si="18"/>
        <v>1</v>
      </c>
      <c r="AV63" s="237">
        <f t="shared" si="18"/>
        <v>0</v>
      </c>
      <c r="AX63" s="251">
        <f t="shared" si="1"/>
        <v>0</v>
      </c>
      <c r="AY63" s="251">
        <f t="shared" si="1"/>
        <v>0</v>
      </c>
      <c r="AZ63" s="251">
        <f t="shared" si="1"/>
        <v>0</v>
      </c>
      <c r="BA63" s="251">
        <f t="shared" si="2"/>
        <v>0</v>
      </c>
      <c r="BB63" s="251">
        <f t="shared" si="2"/>
        <v>0</v>
      </c>
      <c r="BC63" s="251">
        <f t="shared" si="3"/>
        <v>0</v>
      </c>
      <c r="BD63" s="270" t="e">
        <f t="shared" si="4"/>
        <v>#DIV/0!</v>
      </c>
      <c r="BE63" s="251">
        <f t="shared" si="5"/>
        <v>0</v>
      </c>
      <c r="BF63" s="251">
        <f t="shared" si="6"/>
        <v>0</v>
      </c>
    </row>
    <row r="64" spans="1:58">
      <c r="A64" s="11">
        <v>41579</v>
      </c>
      <c r="B64" s="268">
        <v>70</v>
      </c>
      <c r="C64" s="268">
        <v>10</v>
      </c>
      <c r="D64" s="268"/>
      <c r="E64" s="268">
        <v>3</v>
      </c>
      <c r="F64" s="269">
        <v>0.2</v>
      </c>
      <c r="G64" s="269"/>
      <c r="H64" s="269">
        <v>12</v>
      </c>
      <c r="I64" s="269"/>
      <c r="J64" s="269"/>
      <c r="K64" s="269">
        <v>1.32</v>
      </c>
      <c r="L64" s="269">
        <v>5.283443537159779</v>
      </c>
      <c r="M64" s="269">
        <f t="shared" si="17"/>
        <v>1.5</v>
      </c>
      <c r="N64" s="269">
        <v>10</v>
      </c>
      <c r="O64" s="269">
        <f t="shared" si="20"/>
        <v>17.699535849485258</v>
      </c>
      <c r="Q64" s="251">
        <f t="shared" si="14"/>
        <v>131.00297938664505</v>
      </c>
      <c r="R64" s="251">
        <v>0</v>
      </c>
      <c r="S64" s="251">
        <f t="shared" si="19"/>
        <v>131.00297938664505</v>
      </c>
      <c r="AB64" s="251">
        <f>SUM('BD Feedstock'!C62,'BD Feedstock'!E62,'BD Feedstock'!G62,'BD Feedstock'!K62,'BD Feedstock'!T62)</f>
        <v>17.453421010427753</v>
      </c>
      <c r="AC64" s="251">
        <f>SUM('BD Feedstock'!D62,'BD Feedstock'!F62,'BD Feedstock'!H62,'BD Feedstock'!I62,'BD Feedstock'!L62,'BD Feedstock'!M62,'BD Feedstock'!N62,'BD Feedstock'!O62,'BD Feedstock'!U62)</f>
        <v>8.3636579175263286</v>
      </c>
      <c r="AD64" s="251">
        <f>'BD Feedstock'!J62</f>
        <v>0</v>
      </c>
      <c r="AE64" s="251">
        <f>SUM('BD Feedstock'!B62,'BD Feedstock'!P62,'BD Feedstock'!Q62,'BD Feedstock'!R62)</f>
        <v>53.567637862653363</v>
      </c>
      <c r="AF64" s="251">
        <f>'BD Feedstock'!S62</f>
        <v>0.31250000000000006</v>
      </c>
      <c r="AG64" s="251">
        <f t="shared" si="8"/>
        <v>79.697216790607442</v>
      </c>
      <c r="AK64" s="237">
        <f t="shared" si="21"/>
        <v>0.21899661886918856</v>
      </c>
      <c r="AL64" s="237">
        <f t="shared" si="21"/>
        <v>0.10494291086099773</v>
      </c>
      <c r="AM64" s="237">
        <f t="shared" si="21"/>
        <v>0</v>
      </c>
      <c r="AN64" s="237">
        <f t="shared" si="21"/>
        <v>0.67213937976522253</v>
      </c>
      <c r="AO64" s="237">
        <f t="shared" si="21"/>
        <v>3.9210905045912363E-3</v>
      </c>
      <c r="AP64" s="237">
        <f t="shared" si="10"/>
        <v>1</v>
      </c>
      <c r="AQ64" s="237"/>
      <c r="AR64" s="237">
        <f t="shared" si="11"/>
        <v>0.67604166447853364</v>
      </c>
      <c r="AS64" s="237">
        <f t="shared" si="12"/>
        <v>0.32395833552146641</v>
      </c>
      <c r="AT64" s="237">
        <f t="shared" si="13"/>
        <v>0</v>
      </c>
      <c r="AU64" s="237">
        <f t="shared" si="18"/>
        <v>0.99420008907927071</v>
      </c>
      <c r="AV64" s="237">
        <f t="shared" si="18"/>
        <v>5.799910920729236E-3</v>
      </c>
      <c r="AX64" s="251">
        <f t="shared" si="1"/>
        <v>0</v>
      </c>
      <c r="AY64" s="251">
        <f t="shared" si="1"/>
        <v>0</v>
      </c>
      <c r="AZ64" s="251">
        <f t="shared" si="1"/>
        <v>0</v>
      </c>
      <c r="BA64" s="251">
        <f t="shared" si="2"/>
        <v>0</v>
      </c>
      <c r="BB64" s="251">
        <f t="shared" si="2"/>
        <v>0</v>
      </c>
      <c r="BC64" s="251">
        <f t="shared" si="3"/>
        <v>0</v>
      </c>
      <c r="BD64" s="270" t="e">
        <f t="shared" si="4"/>
        <v>#DIV/0!</v>
      </c>
      <c r="BE64" s="251">
        <f t="shared" si="5"/>
        <v>0</v>
      </c>
      <c r="BF64" s="251">
        <f t="shared" si="6"/>
        <v>0</v>
      </c>
    </row>
    <row r="65" spans="1:58">
      <c r="A65" s="11">
        <v>41609</v>
      </c>
      <c r="B65" s="268">
        <v>70</v>
      </c>
      <c r="C65" s="268">
        <v>10</v>
      </c>
      <c r="D65" s="268"/>
      <c r="E65" s="268">
        <v>3</v>
      </c>
      <c r="F65" s="269">
        <v>0.2</v>
      </c>
      <c r="G65" s="269"/>
      <c r="H65" s="269">
        <v>12</v>
      </c>
      <c r="I65" s="269"/>
      <c r="J65" s="269"/>
      <c r="K65" s="269">
        <v>1.32</v>
      </c>
      <c r="L65" s="269">
        <v>5.283443537159779</v>
      </c>
      <c r="M65" s="269">
        <f t="shared" si="17"/>
        <v>1.5</v>
      </c>
      <c r="N65" s="269">
        <v>30</v>
      </c>
      <c r="O65" s="269">
        <f t="shared" si="20"/>
        <v>17.699535849485258</v>
      </c>
      <c r="Q65" s="251">
        <f t="shared" si="14"/>
        <v>151.00297938664505</v>
      </c>
      <c r="R65" s="251">
        <v>0</v>
      </c>
      <c r="S65" s="251">
        <f t="shared" si="19"/>
        <v>151.00297938664505</v>
      </c>
      <c r="AB65" s="251">
        <f>SUM('BD Feedstock'!C63,'BD Feedstock'!E63,'BD Feedstock'!G63,'BD Feedstock'!K63,'BD Feedstock'!T63)</f>
        <v>17.453421010427753</v>
      </c>
      <c r="AC65" s="251">
        <f>SUM('BD Feedstock'!D63,'BD Feedstock'!F63,'BD Feedstock'!H63,'BD Feedstock'!I63,'BD Feedstock'!L63,'BD Feedstock'!M63,'BD Feedstock'!N63,'BD Feedstock'!O63,'BD Feedstock'!U63)</f>
        <v>8.3636579175263286</v>
      </c>
      <c r="AD65" s="251">
        <f>'BD Feedstock'!J63</f>
        <v>0</v>
      </c>
      <c r="AE65" s="251">
        <f>SUM('BD Feedstock'!B63,'BD Feedstock'!P63,'BD Feedstock'!Q63,'BD Feedstock'!R63)</f>
        <v>65.363471195986705</v>
      </c>
      <c r="AF65" s="251">
        <f>'BD Feedstock'!S63</f>
        <v>0.9375</v>
      </c>
      <c r="AG65" s="251">
        <f t="shared" si="8"/>
        <v>92.11805012394079</v>
      </c>
      <c r="AK65" s="237">
        <f t="shared" si="21"/>
        <v>0.18946798143192287</v>
      </c>
      <c r="AL65" s="237">
        <f t="shared" si="21"/>
        <v>9.0792824058622545E-2</v>
      </c>
      <c r="AM65" s="237">
        <f t="shared" si="21"/>
        <v>0</v>
      </c>
      <c r="AN65" s="237">
        <f t="shared" si="21"/>
        <v>0.70956203597495848</v>
      </c>
      <c r="AO65" s="237">
        <f t="shared" si="21"/>
        <v>1.0177158534496062E-2</v>
      </c>
      <c r="AP65" s="237">
        <f t="shared" si="10"/>
        <v>1</v>
      </c>
      <c r="AQ65" s="237"/>
      <c r="AR65" s="237">
        <f t="shared" si="11"/>
        <v>0.67604166447853364</v>
      </c>
      <c r="AS65" s="237">
        <f t="shared" si="12"/>
        <v>0.32395833552146641</v>
      </c>
      <c r="AT65" s="237">
        <f t="shared" si="13"/>
        <v>0</v>
      </c>
      <c r="AU65" s="237">
        <f t="shared" si="18"/>
        <v>0.98585993563761332</v>
      </c>
      <c r="AV65" s="237">
        <f t="shared" si="18"/>
        <v>1.4140064362386719E-2</v>
      </c>
      <c r="AX65" s="251">
        <f t="shared" si="1"/>
        <v>0</v>
      </c>
      <c r="AY65" s="251">
        <f t="shared" si="1"/>
        <v>0</v>
      </c>
      <c r="AZ65" s="251">
        <f t="shared" si="1"/>
        <v>0</v>
      </c>
      <c r="BA65" s="251">
        <f t="shared" si="2"/>
        <v>0</v>
      </c>
      <c r="BB65" s="251">
        <f t="shared" si="2"/>
        <v>0</v>
      </c>
      <c r="BC65" s="251">
        <f t="shared" si="3"/>
        <v>0</v>
      </c>
      <c r="BD65" s="270" t="e">
        <f t="shared" si="4"/>
        <v>#DIV/0!</v>
      </c>
      <c r="BE65" s="251">
        <f t="shared" si="5"/>
        <v>0</v>
      </c>
      <c r="BF65" s="251">
        <f t="shared" si="6"/>
        <v>0</v>
      </c>
    </row>
    <row r="66" spans="1:58">
      <c r="A66" s="11">
        <v>41640</v>
      </c>
      <c r="B66" s="268">
        <v>70</v>
      </c>
      <c r="C66" s="268">
        <v>9</v>
      </c>
      <c r="D66" s="268"/>
      <c r="E66" s="268">
        <v>3</v>
      </c>
      <c r="F66" s="269">
        <v>0.2</v>
      </c>
      <c r="G66" s="269"/>
      <c r="H66" s="269">
        <v>12</v>
      </c>
      <c r="I66" s="269"/>
      <c r="J66" s="269"/>
      <c r="K66" s="269">
        <v>1.32</v>
      </c>
      <c r="L66" s="269">
        <v>5.283443537159779</v>
      </c>
      <c r="M66" s="269">
        <f t="shared" si="17"/>
        <v>1.5</v>
      </c>
      <c r="N66" s="269">
        <v>45</v>
      </c>
      <c r="O66" s="269">
        <f t="shared" si="20"/>
        <v>17.699535849485258</v>
      </c>
      <c r="Q66" s="251">
        <f t="shared" si="14"/>
        <v>165.00297938664505</v>
      </c>
      <c r="R66" s="251">
        <v>0</v>
      </c>
      <c r="S66" s="251">
        <f t="shared" si="19"/>
        <v>165.00297938664505</v>
      </c>
      <c r="AB66" s="251">
        <f>SUM('BD Feedstock'!C64,'BD Feedstock'!E64,'BD Feedstock'!G64,'BD Feedstock'!K64,'BD Feedstock'!T64)</f>
        <v>17.291962677094421</v>
      </c>
      <c r="AC66" s="251">
        <f>SUM('BD Feedstock'!D64,'BD Feedstock'!F64,'BD Feedstock'!H64,'BD Feedstock'!I64,'BD Feedstock'!L64,'BD Feedstock'!M64,'BD Feedstock'!N64,'BD Feedstock'!O64,'BD Feedstock'!U64)</f>
        <v>8.1921995841929949</v>
      </c>
      <c r="AD66" s="251">
        <f>'BD Feedstock'!J64</f>
        <v>0</v>
      </c>
      <c r="AE66" s="251">
        <f>SUM('BD Feedstock'!B64,'BD Feedstock'!P64,'BD Feedstock'!Q64,'BD Feedstock'!R64)</f>
        <v>74.210346195986702</v>
      </c>
      <c r="AF66" s="251">
        <f>'BD Feedstock'!S64</f>
        <v>1.40625</v>
      </c>
      <c r="AG66" s="251">
        <f t="shared" si="8"/>
        <v>101.10075845727411</v>
      </c>
      <c r="AK66" s="237">
        <f t="shared" si="21"/>
        <v>0.17103692337186693</v>
      </c>
      <c r="AL66" s="237">
        <f t="shared" si="21"/>
        <v>8.1030050705851786E-2</v>
      </c>
      <c r="AM66" s="237">
        <f t="shared" si="21"/>
        <v>0</v>
      </c>
      <c r="AN66" s="237">
        <f t="shared" si="21"/>
        <v>0.73402363472227083</v>
      </c>
      <c r="AO66" s="237">
        <f t="shared" si="21"/>
        <v>1.3909391200010543E-2</v>
      </c>
      <c r="AP66" s="237">
        <f t="shared" si="10"/>
        <v>1</v>
      </c>
      <c r="AQ66" s="237"/>
      <c r="AR66" s="237">
        <f t="shared" si="11"/>
        <v>0.67853761484490172</v>
      </c>
      <c r="AS66" s="237">
        <f t="shared" si="12"/>
        <v>0.32146238515509823</v>
      </c>
      <c r="AT66" s="237">
        <f t="shared" si="13"/>
        <v>0</v>
      </c>
      <c r="AU66" s="237">
        <f t="shared" si="18"/>
        <v>0.98140289207999765</v>
      </c>
      <c r="AV66" s="237">
        <f t="shared" si="18"/>
        <v>1.8597107920002298E-2</v>
      </c>
      <c r="AX66" s="251">
        <f t="shared" si="1"/>
        <v>0</v>
      </c>
      <c r="AY66" s="251">
        <f t="shared" si="1"/>
        <v>0</v>
      </c>
      <c r="AZ66" s="251">
        <f t="shared" si="1"/>
        <v>0</v>
      </c>
      <c r="BA66" s="251">
        <f t="shared" si="2"/>
        <v>0</v>
      </c>
      <c r="BB66" s="251">
        <f t="shared" si="2"/>
        <v>0</v>
      </c>
      <c r="BC66" s="251">
        <f t="shared" si="3"/>
        <v>0</v>
      </c>
      <c r="BD66" s="270" t="e">
        <f t="shared" si="4"/>
        <v>#DIV/0!</v>
      </c>
      <c r="BE66" s="251">
        <f t="shared" si="5"/>
        <v>0</v>
      </c>
      <c r="BF66" s="251">
        <f t="shared" si="6"/>
        <v>0</v>
      </c>
    </row>
    <row r="67" spans="1:58">
      <c r="A67" s="11">
        <v>41671</v>
      </c>
      <c r="B67" s="268">
        <v>70</v>
      </c>
      <c r="C67" s="268">
        <v>8</v>
      </c>
      <c r="D67" s="268"/>
      <c r="E67" s="268">
        <v>3</v>
      </c>
      <c r="F67" s="269">
        <v>0.2</v>
      </c>
      <c r="G67" s="269"/>
      <c r="H67" s="269">
        <v>12</v>
      </c>
      <c r="I67" s="269"/>
      <c r="J67" s="269"/>
      <c r="K67" s="269">
        <v>1.32</v>
      </c>
      <c r="L67" s="269">
        <v>5.283443537159779</v>
      </c>
      <c r="M67" s="269">
        <f t="shared" si="17"/>
        <v>1.5</v>
      </c>
      <c r="N67" s="269">
        <v>45</v>
      </c>
      <c r="O67" s="269">
        <f t="shared" si="20"/>
        <v>17.699535849485258</v>
      </c>
      <c r="Q67" s="251">
        <f t="shared" si="14"/>
        <v>164.00297938664505</v>
      </c>
      <c r="R67" s="251">
        <v>0</v>
      </c>
      <c r="S67" s="251">
        <f t="shared" si="19"/>
        <v>164.00297938664505</v>
      </c>
      <c r="AB67" s="251">
        <f>SUM('BD Feedstock'!C65,'BD Feedstock'!E65,'BD Feedstock'!G65,'BD Feedstock'!K65,'BD Feedstock'!T65)</f>
        <v>17.130504343761089</v>
      </c>
      <c r="AC67" s="251">
        <f>SUM('BD Feedstock'!D65,'BD Feedstock'!F65,'BD Feedstock'!H65,'BD Feedstock'!I65,'BD Feedstock'!L65,'BD Feedstock'!M65,'BD Feedstock'!N65,'BD Feedstock'!O65,'BD Feedstock'!U65)</f>
        <v>8.0207412508596612</v>
      </c>
      <c r="AD67" s="251">
        <f>'BD Feedstock'!J65</f>
        <v>0</v>
      </c>
      <c r="AE67" s="251">
        <f>SUM('BD Feedstock'!B65,'BD Feedstock'!P65,'BD Feedstock'!Q65,'BD Feedstock'!R65)</f>
        <v>74.210346195986702</v>
      </c>
      <c r="AF67" s="251">
        <f>'BD Feedstock'!S65</f>
        <v>1.40625</v>
      </c>
      <c r="AG67" s="251">
        <f t="shared" si="8"/>
        <v>100.76784179060745</v>
      </c>
      <c r="AK67" s="237">
        <f t="shared" si="21"/>
        <v>0.16999971458511301</v>
      </c>
      <c r="AL67" s="237">
        <f t="shared" si="21"/>
        <v>7.9596239319350726E-2</v>
      </c>
      <c r="AM67" s="237">
        <f t="shared" si="21"/>
        <v>0</v>
      </c>
      <c r="AN67" s="237">
        <f t="shared" si="21"/>
        <v>0.73644870106669125</v>
      </c>
      <c r="AO67" s="237">
        <f t="shared" si="21"/>
        <v>1.3955345028845068E-2</v>
      </c>
      <c r="AP67" s="237">
        <f t="shared" si="10"/>
        <v>1</v>
      </c>
      <c r="AQ67" s="237"/>
      <c r="AR67" s="237">
        <f t="shared" si="11"/>
        <v>0.68109964094282849</v>
      </c>
      <c r="AS67" s="237">
        <f t="shared" si="12"/>
        <v>0.31890035905717157</v>
      </c>
      <c r="AT67" s="237">
        <f t="shared" si="13"/>
        <v>0</v>
      </c>
      <c r="AU67" s="237">
        <f t="shared" si="18"/>
        <v>0.98140289207999765</v>
      </c>
      <c r="AV67" s="237">
        <f t="shared" si="18"/>
        <v>1.8597107920002298E-2</v>
      </c>
      <c r="AX67" s="251">
        <f t="shared" si="1"/>
        <v>0</v>
      </c>
      <c r="AY67" s="251">
        <f t="shared" si="1"/>
        <v>0</v>
      </c>
      <c r="AZ67" s="251">
        <f t="shared" si="1"/>
        <v>0</v>
      </c>
      <c r="BA67" s="251">
        <f t="shared" si="2"/>
        <v>0</v>
      </c>
      <c r="BB67" s="251">
        <f t="shared" si="2"/>
        <v>0</v>
      </c>
      <c r="BC67" s="251">
        <f t="shared" si="3"/>
        <v>0</v>
      </c>
      <c r="BD67" s="270" t="e">
        <f t="shared" si="4"/>
        <v>#DIV/0!</v>
      </c>
      <c r="BE67" s="251">
        <f t="shared" si="5"/>
        <v>0</v>
      </c>
      <c r="BF67" s="251">
        <f t="shared" si="6"/>
        <v>0</v>
      </c>
    </row>
    <row r="68" spans="1:58">
      <c r="A68" s="11">
        <v>41699</v>
      </c>
      <c r="B68" s="268">
        <v>70</v>
      </c>
      <c r="C68" s="268">
        <v>7</v>
      </c>
      <c r="D68" s="268"/>
      <c r="E68" s="268">
        <v>3</v>
      </c>
      <c r="F68" s="269">
        <v>0.2</v>
      </c>
      <c r="G68" s="269"/>
      <c r="H68" s="269">
        <v>12</v>
      </c>
      <c r="I68" s="269"/>
      <c r="J68" s="269">
        <v>1</v>
      </c>
      <c r="K68" s="269">
        <v>1.32</v>
      </c>
      <c r="L68" s="269">
        <v>5.283443537159779</v>
      </c>
      <c r="M68" s="269">
        <f t="shared" si="17"/>
        <v>1.5</v>
      </c>
      <c r="N68" s="269">
        <v>45</v>
      </c>
      <c r="O68" s="269">
        <f t="shared" si="20"/>
        <v>17.699535849485258</v>
      </c>
      <c r="Q68" s="251">
        <f t="shared" si="14"/>
        <v>164.00297938664505</v>
      </c>
      <c r="R68" s="251">
        <v>0</v>
      </c>
      <c r="S68" s="251">
        <f t="shared" si="19"/>
        <v>164.00297938664505</v>
      </c>
      <c r="AB68" s="251">
        <f>SUM('BD Feedstock'!C66,'BD Feedstock'!E66,'BD Feedstock'!G66,'BD Feedstock'!K66,'BD Feedstock'!T66)</f>
        <v>16.969046010427753</v>
      </c>
      <c r="AC68" s="251">
        <f>SUM('BD Feedstock'!D66,'BD Feedstock'!F66,'BD Feedstock'!H66,'BD Feedstock'!I66,'BD Feedstock'!L66,'BD Feedstock'!M66,'BD Feedstock'!N66,'BD Feedstock'!O66,'BD Feedstock'!U66)</f>
        <v>8.5351162508596605</v>
      </c>
      <c r="AD68" s="251">
        <f>'BD Feedstock'!J66</f>
        <v>0</v>
      </c>
      <c r="AE68" s="251">
        <f>SUM('BD Feedstock'!B66,'BD Feedstock'!P66,'BD Feedstock'!Q66,'BD Feedstock'!R66)</f>
        <v>74.210346195986702</v>
      </c>
      <c r="AF68" s="251">
        <f>'BD Feedstock'!S66</f>
        <v>1.40625</v>
      </c>
      <c r="AG68" s="251">
        <f t="shared" si="8"/>
        <v>101.12075845727412</v>
      </c>
      <c r="AK68" s="237">
        <f t="shared" si="21"/>
        <v>0.16780971849214887</v>
      </c>
      <c r="AL68" s="237">
        <f t="shared" si="21"/>
        <v>8.4405184267540345E-2</v>
      </c>
      <c r="AM68" s="237">
        <f t="shared" si="21"/>
        <v>0</v>
      </c>
      <c r="AN68" s="237">
        <f t="shared" si="21"/>
        <v>0.73387845708596322</v>
      </c>
      <c r="AO68" s="237">
        <f t="shared" si="21"/>
        <v>1.3906640154347472E-2</v>
      </c>
      <c r="AP68" s="237">
        <f t="shared" si="10"/>
        <v>1</v>
      </c>
      <c r="AQ68" s="237"/>
      <c r="AR68" s="237">
        <f t="shared" si="11"/>
        <v>0.66534418329767875</v>
      </c>
      <c r="AS68" s="237">
        <f t="shared" si="12"/>
        <v>0.33465581670232131</v>
      </c>
      <c r="AT68" s="237">
        <f t="shared" si="13"/>
        <v>0</v>
      </c>
      <c r="AU68" s="237">
        <f t="shared" si="18"/>
        <v>0.98140289207999765</v>
      </c>
      <c r="AV68" s="237">
        <f t="shared" si="18"/>
        <v>1.8597107920002298E-2</v>
      </c>
      <c r="AX68" s="251">
        <f t="shared" si="1"/>
        <v>0</v>
      </c>
      <c r="AY68" s="251">
        <f t="shared" si="1"/>
        <v>0</v>
      </c>
      <c r="AZ68" s="251">
        <f t="shared" si="1"/>
        <v>0</v>
      </c>
      <c r="BA68" s="251">
        <f t="shared" si="2"/>
        <v>0</v>
      </c>
      <c r="BB68" s="251">
        <f t="shared" si="2"/>
        <v>0</v>
      </c>
      <c r="BC68" s="251">
        <f t="shared" si="3"/>
        <v>0</v>
      </c>
      <c r="BD68" s="270" t="e">
        <f t="shared" si="4"/>
        <v>#DIV/0!</v>
      </c>
      <c r="BE68" s="251">
        <f t="shared" si="5"/>
        <v>0</v>
      </c>
      <c r="BF68" s="251">
        <f t="shared" si="6"/>
        <v>0</v>
      </c>
    </row>
    <row r="69" spans="1:58">
      <c r="A69" s="11">
        <v>41730</v>
      </c>
      <c r="B69" s="268">
        <v>70</v>
      </c>
      <c r="C69" s="268">
        <v>6</v>
      </c>
      <c r="D69" s="268"/>
      <c r="E69" s="268">
        <v>3</v>
      </c>
      <c r="F69" s="269">
        <v>0.2</v>
      </c>
      <c r="G69" s="269"/>
      <c r="H69" s="269">
        <v>12</v>
      </c>
      <c r="I69" s="269"/>
      <c r="J69" s="269">
        <v>2</v>
      </c>
      <c r="K69" s="269">
        <v>1.32</v>
      </c>
      <c r="L69" s="269">
        <v>5.283443537159779</v>
      </c>
      <c r="M69" s="269">
        <f t="shared" si="17"/>
        <v>1.5</v>
      </c>
      <c r="N69" s="269">
        <v>45</v>
      </c>
      <c r="O69" s="269">
        <f t="shared" si="20"/>
        <v>17.699535849485258</v>
      </c>
      <c r="Q69" s="251">
        <f t="shared" si="14"/>
        <v>164.00297938664505</v>
      </c>
      <c r="R69" s="251">
        <v>0</v>
      </c>
      <c r="S69" s="251">
        <f t="shared" si="19"/>
        <v>164.00297938664505</v>
      </c>
      <c r="AB69" s="251">
        <f>SUM('BD Feedstock'!C67,'BD Feedstock'!E67,'BD Feedstock'!G67,'BD Feedstock'!K67,'BD Feedstock'!T67)</f>
        <v>16.807587677094421</v>
      </c>
      <c r="AC69" s="251">
        <f>SUM('BD Feedstock'!D67,'BD Feedstock'!F67,'BD Feedstock'!H67,'BD Feedstock'!I67,'BD Feedstock'!L67,'BD Feedstock'!M67,'BD Feedstock'!N67,'BD Feedstock'!O67,'BD Feedstock'!U67)</f>
        <v>9.0494912508596599</v>
      </c>
      <c r="AD69" s="251">
        <f>'BD Feedstock'!J67</f>
        <v>0</v>
      </c>
      <c r="AE69" s="251">
        <f>SUM('BD Feedstock'!B67,'BD Feedstock'!P67,'BD Feedstock'!Q67,'BD Feedstock'!R67)</f>
        <v>74.210346195986702</v>
      </c>
      <c r="AF69" s="251">
        <f>'BD Feedstock'!S67</f>
        <v>1.40625</v>
      </c>
      <c r="AG69" s="251">
        <f t="shared" si="8"/>
        <v>101.47367512394078</v>
      </c>
      <c r="AK69" s="237">
        <f t="shared" si="21"/>
        <v>0.165634955633227</v>
      </c>
      <c r="AL69" s="237">
        <f t="shared" si="21"/>
        <v>8.9180679026422738E-2</v>
      </c>
      <c r="AM69" s="237">
        <f t="shared" si="21"/>
        <v>0</v>
      </c>
      <c r="AN69" s="237">
        <f t="shared" si="21"/>
        <v>0.73132609127781734</v>
      </c>
      <c r="AO69" s="237">
        <f t="shared" si="21"/>
        <v>1.3858274062532915E-2</v>
      </c>
      <c r="AP69" s="237">
        <f t="shared" si="10"/>
        <v>1</v>
      </c>
      <c r="AQ69" s="237"/>
      <c r="AR69" s="237">
        <f t="shared" si="11"/>
        <v>0.65001881008777607</v>
      </c>
      <c r="AS69" s="237">
        <f t="shared" si="12"/>
        <v>0.34998118991222388</v>
      </c>
      <c r="AT69" s="237">
        <f t="shared" si="13"/>
        <v>0</v>
      </c>
      <c r="AU69" s="237">
        <f t="shared" si="18"/>
        <v>0.98140289207999765</v>
      </c>
      <c r="AV69" s="237">
        <f t="shared" si="18"/>
        <v>1.8597107920002298E-2</v>
      </c>
      <c r="AX69" s="251">
        <f t="shared" si="1"/>
        <v>0</v>
      </c>
      <c r="AY69" s="251">
        <f t="shared" si="1"/>
        <v>0</v>
      </c>
      <c r="AZ69" s="251">
        <f t="shared" si="1"/>
        <v>0</v>
      </c>
      <c r="BA69" s="251">
        <f t="shared" si="2"/>
        <v>0</v>
      </c>
      <c r="BB69" s="251">
        <f t="shared" si="2"/>
        <v>0</v>
      </c>
      <c r="BC69" s="251">
        <f t="shared" si="3"/>
        <v>0</v>
      </c>
      <c r="BD69" s="270" t="e">
        <f t="shared" si="4"/>
        <v>#DIV/0!</v>
      </c>
      <c r="BE69" s="251">
        <f t="shared" si="5"/>
        <v>0</v>
      </c>
      <c r="BF69" s="251">
        <f t="shared" si="6"/>
        <v>0</v>
      </c>
    </row>
    <row r="70" spans="1:58">
      <c r="A70" s="11">
        <v>41760</v>
      </c>
      <c r="B70" s="268">
        <v>70</v>
      </c>
      <c r="C70" s="268">
        <v>6</v>
      </c>
      <c r="D70" s="268"/>
      <c r="E70" s="268">
        <v>3</v>
      </c>
      <c r="F70" s="269">
        <v>0.2</v>
      </c>
      <c r="G70" s="269"/>
      <c r="H70" s="269">
        <v>12</v>
      </c>
      <c r="I70" s="269"/>
      <c r="J70" s="269">
        <v>2</v>
      </c>
      <c r="K70" s="269">
        <v>1.32</v>
      </c>
      <c r="L70" s="269">
        <v>5.283443537159779</v>
      </c>
      <c r="M70" s="269">
        <f t="shared" si="17"/>
        <v>1.5</v>
      </c>
      <c r="N70" s="269">
        <v>45</v>
      </c>
      <c r="O70" s="269">
        <f t="shared" si="20"/>
        <v>17.699535849485258</v>
      </c>
      <c r="Q70" s="251">
        <f t="shared" si="14"/>
        <v>164.00297938664505</v>
      </c>
      <c r="R70" s="251">
        <v>0</v>
      </c>
      <c r="S70" s="251">
        <f t="shared" si="19"/>
        <v>164.00297938664505</v>
      </c>
      <c r="AB70" s="251">
        <f>SUM('BD Feedstock'!C68,'BD Feedstock'!E68,'BD Feedstock'!G68,'BD Feedstock'!K68,'BD Feedstock'!T68)</f>
        <v>16.807587677094421</v>
      </c>
      <c r="AC70" s="251">
        <f>SUM('BD Feedstock'!D68,'BD Feedstock'!F68,'BD Feedstock'!H68,'BD Feedstock'!I68,'BD Feedstock'!L68,'BD Feedstock'!M68,'BD Feedstock'!N68,'BD Feedstock'!O68,'BD Feedstock'!U68)</f>
        <v>9.0494912508596599</v>
      </c>
      <c r="AD70" s="251">
        <f>'BD Feedstock'!J68</f>
        <v>0</v>
      </c>
      <c r="AE70" s="251">
        <f>SUM('BD Feedstock'!B68,'BD Feedstock'!P68,'BD Feedstock'!Q68,'BD Feedstock'!R68)</f>
        <v>74.210346195986702</v>
      </c>
      <c r="AF70" s="251">
        <f>'BD Feedstock'!S68</f>
        <v>1.40625</v>
      </c>
      <c r="AG70" s="251">
        <f t="shared" si="8"/>
        <v>101.47367512394078</v>
      </c>
      <c r="AK70" s="237">
        <f t="shared" si="21"/>
        <v>0.165634955633227</v>
      </c>
      <c r="AL70" s="237">
        <f t="shared" si="21"/>
        <v>8.9180679026422738E-2</v>
      </c>
      <c r="AM70" s="237">
        <f t="shared" si="21"/>
        <v>0</v>
      </c>
      <c r="AN70" s="237">
        <f t="shared" si="21"/>
        <v>0.73132609127781734</v>
      </c>
      <c r="AO70" s="237">
        <f t="shared" si="21"/>
        <v>1.3858274062532915E-2</v>
      </c>
      <c r="AP70" s="237">
        <f t="shared" si="10"/>
        <v>1</v>
      </c>
      <c r="AQ70" s="237"/>
      <c r="AR70" s="237">
        <f t="shared" si="11"/>
        <v>0.65001881008777607</v>
      </c>
      <c r="AS70" s="237">
        <f t="shared" si="12"/>
        <v>0.34998118991222388</v>
      </c>
      <c r="AT70" s="237">
        <f t="shared" si="13"/>
        <v>0</v>
      </c>
      <c r="AU70" s="237">
        <f t="shared" si="18"/>
        <v>0.98140289207999765</v>
      </c>
      <c r="AV70" s="237">
        <f t="shared" si="18"/>
        <v>1.8597107920002298E-2</v>
      </c>
      <c r="AX70" s="251">
        <f t="shared" ref="AX70:AZ133" si="22">($U70/12*AK70*AB$5/2204.622*1000000)-($BJ70*AR70)</f>
        <v>0</v>
      </c>
      <c r="AY70" s="251">
        <f t="shared" si="22"/>
        <v>0</v>
      </c>
      <c r="AZ70" s="251">
        <f t="shared" si="22"/>
        <v>0</v>
      </c>
      <c r="BA70" s="251">
        <f t="shared" ref="BA70:BB133" si="23">($U70/12*AN70*AE$5/2204.622*1000000)-($BK70*AU70)</f>
        <v>0</v>
      </c>
      <c r="BB70" s="251">
        <f t="shared" si="23"/>
        <v>0</v>
      </c>
      <c r="BC70" s="251">
        <f t="shared" ref="BC70:BC133" si="24">SUM(AX70:BB70)</f>
        <v>0</v>
      </c>
      <c r="BD70" s="270" t="e">
        <f t="shared" ref="BD70:BD133" si="25">(BC70*2204.622/1000000)/(U70/12)</f>
        <v>#DIV/0!</v>
      </c>
      <c r="BE70" s="251">
        <f t="shared" ref="BE70:BE133" si="26">AX70+AY70+AZ70</f>
        <v>0</v>
      </c>
      <c r="BF70" s="251">
        <f t="shared" ref="BF70:BF133" si="27">BA70+BB70</f>
        <v>0</v>
      </c>
    </row>
    <row r="71" spans="1:58">
      <c r="A71" s="11">
        <v>41791</v>
      </c>
      <c r="B71" s="268">
        <v>70</v>
      </c>
      <c r="C71" s="268">
        <v>6</v>
      </c>
      <c r="D71" s="268"/>
      <c r="E71" s="268">
        <v>3</v>
      </c>
      <c r="F71" s="269">
        <v>0.2</v>
      </c>
      <c r="G71" s="269"/>
      <c r="H71" s="269">
        <v>12</v>
      </c>
      <c r="I71" s="269"/>
      <c r="J71" s="269">
        <v>2</v>
      </c>
      <c r="K71" s="269">
        <v>1.32</v>
      </c>
      <c r="L71" s="269">
        <v>5.283443537159779</v>
      </c>
      <c r="M71" s="269">
        <f t="shared" si="17"/>
        <v>1.5</v>
      </c>
      <c r="N71" s="269">
        <v>45</v>
      </c>
      <c r="O71" s="269">
        <f t="shared" si="20"/>
        <v>17.699535849485258</v>
      </c>
      <c r="Q71" s="251">
        <f t="shared" si="14"/>
        <v>164.00297938664505</v>
      </c>
      <c r="R71" s="251">
        <v>0</v>
      </c>
      <c r="S71" s="251">
        <f t="shared" si="19"/>
        <v>164.00297938664505</v>
      </c>
      <c r="AB71" s="251">
        <f>SUM('BD Feedstock'!C69,'BD Feedstock'!E69,'BD Feedstock'!G69,'BD Feedstock'!K69,'BD Feedstock'!T69)</f>
        <v>16.807587677094421</v>
      </c>
      <c r="AC71" s="251">
        <f>SUM('BD Feedstock'!D69,'BD Feedstock'!F69,'BD Feedstock'!H69,'BD Feedstock'!I69,'BD Feedstock'!L69,'BD Feedstock'!M69,'BD Feedstock'!N69,'BD Feedstock'!O69,'BD Feedstock'!U69)</f>
        <v>9.0494912508596599</v>
      </c>
      <c r="AD71" s="251">
        <f>'BD Feedstock'!J69</f>
        <v>0</v>
      </c>
      <c r="AE71" s="251">
        <f>SUM('BD Feedstock'!B69,'BD Feedstock'!P69,'BD Feedstock'!Q69,'BD Feedstock'!R69)</f>
        <v>74.210346195986702</v>
      </c>
      <c r="AF71" s="251">
        <f>'BD Feedstock'!S69</f>
        <v>1.40625</v>
      </c>
      <c r="AG71" s="251">
        <f t="shared" ref="AG71:AG134" si="28">SUM(AB71:AF71)</f>
        <v>101.47367512394078</v>
      </c>
      <c r="AK71" s="237">
        <f t="shared" si="21"/>
        <v>0.165634955633227</v>
      </c>
      <c r="AL71" s="237">
        <f t="shared" si="21"/>
        <v>8.9180679026422738E-2</v>
      </c>
      <c r="AM71" s="237">
        <f t="shared" si="21"/>
        <v>0</v>
      </c>
      <c r="AN71" s="237">
        <f t="shared" si="21"/>
        <v>0.73132609127781734</v>
      </c>
      <c r="AO71" s="237">
        <f t="shared" si="21"/>
        <v>1.3858274062532915E-2</v>
      </c>
      <c r="AP71" s="237">
        <f t="shared" ref="AP71:AP134" si="29">SUM(AK71:AO71)</f>
        <v>1</v>
      </c>
      <c r="AQ71" s="237"/>
      <c r="AR71" s="237">
        <f t="shared" ref="AR71:AR134" si="30">AB71/SUM($AB71:$AD71)</f>
        <v>0.65001881008777607</v>
      </c>
      <c r="AS71" s="237">
        <f t="shared" ref="AS71:AS134" si="31">AC71/SUM($AB71:$AD71)</f>
        <v>0.34998118991222388</v>
      </c>
      <c r="AT71" s="237">
        <f t="shared" ref="AT71:AT134" si="32">AD71/SUM($AB71:$AD71)</f>
        <v>0</v>
      </c>
      <c r="AU71" s="237">
        <f t="shared" si="18"/>
        <v>0.98140289207999765</v>
      </c>
      <c r="AV71" s="237">
        <f t="shared" si="18"/>
        <v>1.8597107920002298E-2</v>
      </c>
      <c r="AX71" s="251">
        <f t="shared" si="22"/>
        <v>0</v>
      </c>
      <c r="AY71" s="251">
        <f t="shared" si="22"/>
        <v>0</v>
      </c>
      <c r="AZ71" s="251">
        <f t="shared" si="22"/>
        <v>0</v>
      </c>
      <c r="BA71" s="251">
        <f t="shared" si="23"/>
        <v>0</v>
      </c>
      <c r="BB71" s="251">
        <f t="shared" si="23"/>
        <v>0</v>
      </c>
      <c r="BC71" s="251">
        <f t="shared" si="24"/>
        <v>0</v>
      </c>
      <c r="BD71" s="270" t="e">
        <f t="shared" si="25"/>
        <v>#DIV/0!</v>
      </c>
      <c r="BE71" s="251">
        <f t="shared" si="26"/>
        <v>0</v>
      </c>
      <c r="BF71" s="251">
        <f t="shared" si="27"/>
        <v>0</v>
      </c>
    </row>
    <row r="72" spans="1:58">
      <c r="A72" s="11">
        <v>41821</v>
      </c>
      <c r="B72" s="268">
        <v>70</v>
      </c>
      <c r="C72" s="268">
        <v>6</v>
      </c>
      <c r="D72" s="268"/>
      <c r="E72" s="268">
        <v>3</v>
      </c>
      <c r="F72" s="269">
        <v>0.2</v>
      </c>
      <c r="G72" s="269"/>
      <c r="H72" s="269">
        <v>12</v>
      </c>
      <c r="I72" s="269"/>
      <c r="J72" s="269">
        <v>2</v>
      </c>
      <c r="K72" s="269">
        <v>1.32</v>
      </c>
      <c r="L72" s="269">
        <v>12.15192013546749</v>
      </c>
      <c r="M72" s="269">
        <f t="shared" si="17"/>
        <v>1.5</v>
      </c>
      <c r="N72" s="269">
        <v>45</v>
      </c>
      <c r="O72" s="269">
        <f t="shared" si="20"/>
        <v>17.699535849485258</v>
      </c>
      <c r="Q72" s="251">
        <f t="shared" ref="Q72:Q135" si="33">SUM(B72:O72)</f>
        <v>170.87145598495272</v>
      </c>
      <c r="R72" s="251">
        <v>0</v>
      </c>
      <c r="S72" s="251">
        <f t="shared" si="19"/>
        <v>170.87145598495272</v>
      </c>
      <c r="AB72" s="251">
        <f>SUM('BD Feedstock'!C70,'BD Feedstock'!E70,'BD Feedstock'!G70,'BD Feedstock'!K70,'BD Feedstock'!T70)</f>
        <v>16.807587677094421</v>
      </c>
      <c r="AC72" s="251">
        <f>SUM('BD Feedstock'!D70,'BD Feedstock'!F70,'BD Feedstock'!H70,'BD Feedstock'!I70,'BD Feedstock'!L70,'BD Feedstock'!M70,'BD Feedstock'!N70,'BD Feedstock'!O70,'BD Feedstock'!U70)</f>
        <v>9.0494912508596599</v>
      </c>
      <c r="AD72" s="251">
        <f>'BD Feedstock'!J70</f>
        <v>0</v>
      </c>
      <c r="AE72" s="251">
        <f>SUM('BD Feedstock'!B70,'BD Feedstock'!P70,'BD Feedstock'!Q70,'BD Feedstock'!R70)</f>
        <v>78.47452541743607</v>
      </c>
      <c r="AF72" s="251">
        <f>'BD Feedstock'!S70</f>
        <v>1.40625</v>
      </c>
      <c r="AG72" s="251">
        <f t="shared" si="28"/>
        <v>105.73785434539015</v>
      </c>
      <c r="AK72" s="237">
        <f t="shared" si="21"/>
        <v>0.15895525572320432</v>
      </c>
      <c r="AL72" s="237">
        <f t="shared" si="21"/>
        <v>8.5584214914175533E-2</v>
      </c>
      <c r="AM72" s="237">
        <f t="shared" si="21"/>
        <v>0</v>
      </c>
      <c r="AN72" s="237">
        <f t="shared" si="21"/>
        <v>0.74216112955253399</v>
      </c>
      <c r="AO72" s="237">
        <f t="shared" si="21"/>
        <v>1.3299399810086163E-2</v>
      </c>
      <c r="AP72" s="237">
        <f t="shared" si="29"/>
        <v>1</v>
      </c>
      <c r="AQ72" s="237"/>
      <c r="AR72" s="237">
        <f t="shared" si="30"/>
        <v>0.65001881008777607</v>
      </c>
      <c r="AS72" s="237">
        <f t="shared" si="31"/>
        <v>0.34998118991222388</v>
      </c>
      <c r="AT72" s="237">
        <f t="shared" si="32"/>
        <v>0</v>
      </c>
      <c r="AU72" s="237">
        <f t="shared" si="18"/>
        <v>0.98239563909274408</v>
      </c>
      <c r="AV72" s="237">
        <f t="shared" si="18"/>
        <v>1.7604360907255905E-2</v>
      </c>
      <c r="AX72" s="251">
        <f t="shared" si="22"/>
        <v>0</v>
      </c>
      <c r="AY72" s="251">
        <f t="shared" si="22"/>
        <v>0</v>
      </c>
      <c r="AZ72" s="251">
        <f t="shared" si="22"/>
        <v>0</v>
      </c>
      <c r="BA72" s="251">
        <f t="shared" si="23"/>
        <v>0</v>
      </c>
      <c r="BB72" s="251">
        <f t="shared" si="23"/>
        <v>0</v>
      </c>
      <c r="BC72" s="251">
        <f t="shared" si="24"/>
        <v>0</v>
      </c>
      <c r="BD72" s="270" t="e">
        <f t="shared" si="25"/>
        <v>#DIV/0!</v>
      </c>
      <c r="BE72" s="251">
        <f t="shared" si="26"/>
        <v>0</v>
      </c>
      <c r="BF72" s="251">
        <f t="shared" si="27"/>
        <v>0</v>
      </c>
    </row>
    <row r="73" spans="1:58">
      <c r="A73" s="11">
        <v>41852</v>
      </c>
      <c r="B73" s="268">
        <v>70</v>
      </c>
      <c r="C73" s="268">
        <v>6</v>
      </c>
      <c r="D73" s="268"/>
      <c r="E73" s="268">
        <v>3</v>
      </c>
      <c r="F73" s="269">
        <v>0.2</v>
      </c>
      <c r="G73" s="269"/>
      <c r="H73" s="269">
        <v>12</v>
      </c>
      <c r="I73" s="269"/>
      <c r="J73" s="269">
        <v>2</v>
      </c>
      <c r="K73" s="269">
        <v>1.32</v>
      </c>
      <c r="L73" s="269">
        <v>12.15192013546749</v>
      </c>
      <c r="M73" s="269">
        <f t="shared" si="17"/>
        <v>1.5</v>
      </c>
      <c r="N73" s="269">
        <v>45</v>
      </c>
      <c r="O73" s="269">
        <f t="shared" si="20"/>
        <v>17.699535849485258</v>
      </c>
      <c r="Q73" s="251">
        <f t="shared" si="33"/>
        <v>170.87145598495272</v>
      </c>
      <c r="R73" s="251">
        <v>0</v>
      </c>
      <c r="S73" s="251">
        <f t="shared" si="19"/>
        <v>170.87145598495272</v>
      </c>
      <c r="AB73" s="251">
        <f>SUM('BD Feedstock'!C71,'BD Feedstock'!E71,'BD Feedstock'!G71,'BD Feedstock'!K71,'BD Feedstock'!T71)</f>
        <v>16.807587677094421</v>
      </c>
      <c r="AC73" s="251">
        <f>SUM('BD Feedstock'!D71,'BD Feedstock'!F71,'BD Feedstock'!H71,'BD Feedstock'!I71,'BD Feedstock'!L71,'BD Feedstock'!M71,'BD Feedstock'!N71,'BD Feedstock'!O71,'BD Feedstock'!U71)</f>
        <v>9.0494912508596599</v>
      </c>
      <c r="AD73" s="251">
        <f>'BD Feedstock'!J71</f>
        <v>0</v>
      </c>
      <c r="AE73" s="251">
        <f>SUM('BD Feedstock'!B71,'BD Feedstock'!P71,'BD Feedstock'!Q71,'BD Feedstock'!R71)</f>
        <v>78.47452541743607</v>
      </c>
      <c r="AF73" s="251">
        <f>'BD Feedstock'!S71</f>
        <v>1.40625</v>
      </c>
      <c r="AG73" s="251">
        <f t="shared" si="28"/>
        <v>105.73785434539015</v>
      </c>
      <c r="AK73" s="237">
        <f t="shared" si="21"/>
        <v>0.15895525572320432</v>
      </c>
      <c r="AL73" s="237">
        <f t="shared" si="21"/>
        <v>8.5584214914175533E-2</v>
      </c>
      <c r="AM73" s="237">
        <f t="shared" si="21"/>
        <v>0</v>
      </c>
      <c r="AN73" s="237">
        <f t="shared" si="21"/>
        <v>0.74216112955253399</v>
      </c>
      <c r="AO73" s="237">
        <f t="shared" si="21"/>
        <v>1.3299399810086163E-2</v>
      </c>
      <c r="AP73" s="237">
        <f t="shared" si="29"/>
        <v>1</v>
      </c>
      <c r="AQ73" s="237"/>
      <c r="AR73" s="237">
        <f t="shared" si="30"/>
        <v>0.65001881008777607</v>
      </c>
      <c r="AS73" s="237">
        <f t="shared" si="31"/>
        <v>0.34998118991222388</v>
      </c>
      <c r="AT73" s="237">
        <f t="shared" si="32"/>
        <v>0</v>
      </c>
      <c r="AU73" s="237">
        <f t="shared" si="18"/>
        <v>0.98239563909274408</v>
      </c>
      <c r="AV73" s="237">
        <f t="shared" si="18"/>
        <v>1.7604360907255905E-2</v>
      </c>
      <c r="AX73" s="251">
        <f t="shared" si="22"/>
        <v>0</v>
      </c>
      <c r="AY73" s="251">
        <f t="shared" si="22"/>
        <v>0</v>
      </c>
      <c r="AZ73" s="251">
        <f t="shared" si="22"/>
        <v>0</v>
      </c>
      <c r="BA73" s="251">
        <f t="shared" si="23"/>
        <v>0</v>
      </c>
      <c r="BB73" s="251">
        <f t="shared" si="23"/>
        <v>0</v>
      </c>
      <c r="BC73" s="251">
        <f t="shared" si="24"/>
        <v>0</v>
      </c>
      <c r="BD73" s="270" t="e">
        <f t="shared" si="25"/>
        <v>#DIV/0!</v>
      </c>
      <c r="BE73" s="251">
        <f t="shared" si="26"/>
        <v>0</v>
      </c>
      <c r="BF73" s="251">
        <f t="shared" si="27"/>
        <v>0</v>
      </c>
    </row>
    <row r="74" spans="1:58">
      <c r="A74" s="11">
        <v>41883</v>
      </c>
      <c r="B74" s="268">
        <v>70</v>
      </c>
      <c r="C74" s="268">
        <v>6</v>
      </c>
      <c r="D74" s="268"/>
      <c r="E74" s="268">
        <v>3</v>
      </c>
      <c r="F74" s="269">
        <v>0.2</v>
      </c>
      <c r="G74" s="269"/>
      <c r="H74" s="269">
        <v>12</v>
      </c>
      <c r="I74" s="269"/>
      <c r="J74" s="269">
        <v>2</v>
      </c>
      <c r="K74" s="269">
        <v>1.32</v>
      </c>
      <c r="L74" s="269">
        <v>12.15192013546749</v>
      </c>
      <c r="M74" s="269">
        <f t="shared" si="17"/>
        <v>1.5</v>
      </c>
      <c r="N74" s="269">
        <v>45</v>
      </c>
      <c r="O74" s="269">
        <f t="shared" si="20"/>
        <v>17.699535849485258</v>
      </c>
      <c r="Q74" s="251">
        <f t="shared" si="33"/>
        <v>170.87145598495272</v>
      </c>
      <c r="R74" s="251">
        <v>0</v>
      </c>
      <c r="S74" s="251">
        <f t="shared" si="19"/>
        <v>170.87145598495272</v>
      </c>
      <c r="AB74" s="251">
        <f>SUM('BD Feedstock'!C72,'BD Feedstock'!E72,'BD Feedstock'!G72,'BD Feedstock'!K72,'BD Feedstock'!T72)</f>
        <v>16.807587677094421</v>
      </c>
      <c r="AC74" s="251">
        <f>SUM('BD Feedstock'!D72,'BD Feedstock'!F72,'BD Feedstock'!H72,'BD Feedstock'!I72,'BD Feedstock'!L72,'BD Feedstock'!M72,'BD Feedstock'!N72,'BD Feedstock'!O72,'BD Feedstock'!U72)</f>
        <v>9.0494912508596599</v>
      </c>
      <c r="AD74" s="251">
        <f>'BD Feedstock'!J72</f>
        <v>0</v>
      </c>
      <c r="AE74" s="251">
        <f>SUM('BD Feedstock'!B72,'BD Feedstock'!P72,'BD Feedstock'!Q72,'BD Feedstock'!R72)</f>
        <v>78.47452541743607</v>
      </c>
      <c r="AF74" s="251">
        <f>'BD Feedstock'!S72</f>
        <v>1.40625</v>
      </c>
      <c r="AG74" s="251">
        <f t="shared" si="28"/>
        <v>105.73785434539015</v>
      </c>
      <c r="AK74" s="237">
        <f t="shared" si="21"/>
        <v>0.15895525572320432</v>
      </c>
      <c r="AL74" s="237">
        <f t="shared" si="21"/>
        <v>8.5584214914175533E-2</v>
      </c>
      <c r="AM74" s="237">
        <f t="shared" si="21"/>
        <v>0</v>
      </c>
      <c r="AN74" s="237">
        <f t="shared" si="21"/>
        <v>0.74216112955253399</v>
      </c>
      <c r="AO74" s="237">
        <f t="shared" si="21"/>
        <v>1.3299399810086163E-2</v>
      </c>
      <c r="AP74" s="237">
        <f t="shared" si="29"/>
        <v>1</v>
      </c>
      <c r="AQ74" s="237"/>
      <c r="AR74" s="237">
        <f t="shared" si="30"/>
        <v>0.65001881008777607</v>
      </c>
      <c r="AS74" s="237">
        <f t="shared" si="31"/>
        <v>0.34998118991222388</v>
      </c>
      <c r="AT74" s="237">
        <f t="shared" si="32"/>
        <v>0</v>
      </c>
      <c r="AU74" s="237">
        <f t="shared" si="18"/>
        <v>0.98239563909274408</v>
      </c>
      <c r="AV74" s="237">
        <f t="shared" si="18"/>
        <v>1.7604360907255905E-2</v>
      </c>
      <c r="AX74" s="251">
        <f t="shared" si="22"/>
        <v>0</v>
      </c>
      <c r="AY74" s="251">
        <f t="shared" si="22"/>
        <v>0</v>
      </c>
      <c r="AZ74" s="251">
        <f t="shared" si="22"/>
        <v>0</v>
      </c>
      <c r="BA74" s="251">
        <f t="shared" si="23"/>
        <v>0</v>
      </c>
      <c r="BB74" s="251">
        <f t="shared" si="23"/>
        <v>0</v>
      </c>
      <c r="BC74" s="251">
        <f t="shared" si="24"/>
        <v>0</v>
      </c>
      <c r="BD74" s="270" t="e">
        <f t="shared" si="25"/>
        <v>#DIV/0!</v>
      </c>
      <c r="BE74" s="251">
        <f t="shared" si="26"/>
        <v>0</v>
      </c>
      <c r="BF74" s="251">
        <f t="shared" si="27"/>
        <v>0</v>
      </c>
    </row>
    <row r="75" spans="1:58">
      <c r="A75" s="11">
        <v>41913</v>
      </c>
      <c r="B75" s="268">
        <v>70</v>
      </c>
      <c r="C75" s="268">
        <v>6</v>
      </c>
      <c r="D75" s="268"/>
      <c r="E75" s="268">
        <v>3</v>
      </c>
      <c r="F75" s="269">
        <v>0.2</v>
      </c>
      <c r="G75" s="269"/>
      <c r="H75" s="269">
        <v>12</v>
      </c>
      <c r="I75" s="269"/>
      <c r="J75" s="269">
        <v>2</v>
      </c>
      <c r="K75" s="269">
        <v>1.32</v>
      </c>
      <c r="L75" s="269">
        <v>12.15192013546749</v>
      </c>
      <c r="M75" s="269">
        <f t="shared" si="17"/>
        <v>1.5</v>
      </c>
      <c r="N75" s="269">
        <v>45</v>
      </c>
      <c r="O75" s="269">
        <f t="shared" si="20"/>
        <v>17.699535849485258</v>
      </c>
      <c r="Q75" s="251">
        <f t="shared" si="33"/>
        <v>170.87145598495272</v>
      </c>
      <c r="R75" s="251">
        <v>0</v>
      </c>
      <c r="S75" s="251">
        <f t="shared" si="19"/>
        <v>170.87145598495272</v>
      </c>
      <c r="AB75" s="251">
        <f>SUM('BD Feedstock'!C73,'BD Feedstock'!E73,'BD Feedstock'!G73,'BD Feedstock'!K73,'BD Feedstock'!T73)</f>
        <v>16.807587677094421</v>
      </c>
      <c r="AC75" s="251">
        <f>SUM('BD Feedstock'!D73,'BD Feedstock'!F73,'BD Feedstock'!H73,'BD Feedstock'!I73,'BD Feedstock'!L73,'BD Feedstock'!M73,'BD Feedstock'!N73,'BD Feedstock'!O73,'BD Feedstock'!U73)</f>
        <v>9.0494912508596599</v>
      </c>
      <c r="AD75" s="251">
        <f>'BD Feedstock'!J73</f>
        <v>0</v>
      </c>
      <c r="AE75" s="251">
        <f>SUM('BD Feedstock'!B73,'BD Feedstock'!P73,'BD Feedstock'!Q73,'BD Feedstock'!R73)</f>
        <v>78.47452541743607</v>
      </c>
      <c r="AF75" s="251">
        <f>'BD Feedstock'!S73</f>
        <v>1.40625</v>
      </c>
      <c r="AG75" s="251">
        <f t="shared" si="28"/>
        <v>105.73785434539015</v>
      </c>
      <c r="AK75" s="237">
        <f t="shared" si="21"/>
        <v>0.15895525572320432</v>
      </c>
      <c r="AL75" s="237">
        <f t="shared" si="21"/>
        <v>8.5584214914175533E-2</v>
      </c>
      <c r="AM75" s="237">
        <f t="shared" si="21"/>
        <v>0</v>
      </c>
      <c r="AN75" s="237">
        <f t="shared" si="21"/>
        <v>0.74216112955253399</v>
      </c>
      <c r="AO75" s="237">
        <f t="shared" si="21"/>
        <v>1.3299399810086163E-2</v>
      </c>
      <c r="AP75" s="237">
        <f t="shared" si="29"/>
        <v>1</v>
      </c>
      <c r="AQ75" s="237"/>
      <c r="AR75" s="237">
        <f t="shared" si="30"/>
        <v>0.65001881008777607</v>
      </c>
      <c r="AS75" s="237">
        <f t="shared" si="31"/>
        <v>0.34998118991222388</v>
      </c>
      <c r="AT75" s="237">
        <f t="shared" si="32"/>
        <v>0</v>
      </c>
      <c r="AU75" s="237">
        <f t="shared" si="18"/>
        <v>0.98239563909274408</v>
      </c>
      <c r="AV75" s="237">
        <f t="shared" si="18"/>
        <v>1.7604360907255905E-2</v>
      </c>
      <c r="AX75" s="251">
        <f t="shared" si="22"/>
        <v>0</v>
      </c>
      <c r="AY75" s="251">
        <f t="shared" si="22"/>
        <v>0</v>
      </c>
      <c r="AZ75" s="251">
        <f t="shared" si="22"/>
        <v>0</v>
      </c>
      <c r="BA75" s="251">
        <f t="shared" si="23"/>
        <v>0</v>
      </c>
      <c r="BB75" s="251">
        <f t="shared" si="23"/>
        <v>0</v>
      </c>
      <c r="BC75" s="251">
        <f t="shared" si="24"/>
        <v>0</v>
      </c>
      <c r="BD75" s="270" t="e">
        <f t="shared" si="25"/>
        <v>#DIV/0!</v>
      </c>
      <c r="BE75" s="251">
        <f t="shared" si="26"/>
        <v>0</v>
      </c>
      <c r="BF75" s="251">
        <f t="shared" si="27"/>
        <v>0</v>
      </c>
    </row>
    <row r="76" spans="1:58">
      <c r="A76" s="11">
        <v>41944</v>
      </c>
      <c r="B76" s="268">
        <v>70</v>
      </c>
      <c r="C76" s="268">
        <v>6</v>
      </c>
      <c r="D76" s="268"/>
      <c r="E76" s="268">
        <v>3</v>
      </c>
      <c r="F76" s="269">
        <v>0.2</v>
      </c>
      <c r="G76" s="269"/>
      <c r="H76" s="269">
        <v>12</v>
      </c>
      <c r="I76" s="269"/>
      <c r="J76" s="269">
        <v>2</v>
      </c>
      <c r="K76" s="269">
        <v>1.32</v>
      </c>
      <c r="L76" s="269">
        <v>12.15192013546749</v>
      </c>
      <c r="M76" s="269">
        <f t="shared" si="17"/>
        <v>1.5</v>
      </c>
      <c r="N76" s="269">
        <v>45</v>
      </c>
      <c r="O76" s="269">
        <f t="shared" si="20"/>
        <v>17.699535849485258</v>
      </c>
      <c r="Q76" s="251">
        <f t="shared" si="33"/>
        <v>170.87145598495272</v>
      </c>
      <c r="R76" s="251">
        <v>0</v>
      </c>
      <c r="S76" s="251">
        <f t="shared" si="19"/>
        <v>170.87145598495272</v>
      </c>
      <c r="AB76" s="251">
        <f>SUM('BD Feedstock'!C74,'BD Feedstock'!E74,'BD Feedstock'!G74,'BD Feedstock'!K74,'BD Feedstock'!T74)</f>
        <v>16.807587677094421</v>
      </c>
      <c r="AC76" s="251">
        <f>SUM('BD Feedstock'!D74,'BD Feedstock'!F74,'BD Feedstock'!H74,'BD Feedstock'!I74,'BD Feedstock'!L74,'BD Feedstock'!M74,'BD Feedstock'!N74,'BD Feedstock'!O74,'BD Feedstock'!U74)</f>
        <v>9.0494912508596599</v>
      </c>
      <c r="AD76" s="251">
        <f>'BD Feedstock'!J74</f>
        <v>0</v>
      </c>
      <c r="AE76" s="251">
        <f>SUM('BD Feedstock'!B74,'BD Feedstock'!P74,'BD Feedstock'!Q74,'BD Feedstock'!R74)</f>
        <v>78.47452541743607</v>
      </c>
      <c r="AF76" s="251">
        <f>'BD Feedstock'!S74</f>
        <v>1.40625</v>
      </c>
      <c r="AG76" s="251">
        <f t="shared" si="28"/>
        <v>105.73785434539015</v>
      </c>
      <c r="AK76" s="237">
        <f t="shared" si="21"/>
        <v>0.15895525572320432</v>
      </c>
      <c r="AL76" s="237">
        <f t="shared" si="21"/>
        <v>8.5584214914175533E-2</v>
      </c>
      <c r="AM76" s="237">
        <f t="shared" si="21"/>
        <v>0</v>
      </c>
      <c r="AN76" s="237">
        <f t="shared" si="21"/>
        <v>0.74216112955253399</v>
      </c>
      <c r="AO76" s="237">
        <f t="shared" si="21"/>
        <v>1.3299399810086163E-2</v>
      </c>
      <c r="AP76" s="237">
        <f t="shared" si="29"/>
        <v>1</v>
      </c>
      <c r="AQ76" s="237"/>
      <c r="AR76" s="237">
        <f t="shared" si="30"/>
        <v>0.65001881008777607</v>
      </c>
      <c r="AS76" s="237">
        <f t="shared" si="31"/>
        <v>0.34998118991222388</v>
      </c>
      <c r="AT76" s="237">
        <f t="shared" si="32"/>
        <v>0</v>
      </c>
      <c r="AU76" s="237">
        <f t="shared" si="18"/>
        <v>0.98239563909274408</v>
      </c>
      <c r="AV76" s="237">
        <f t="shared" si="18"/>
        <v>1.7604360907255905E-2</v>
      </c>
      <c r="AX76" s="251">
        <f t="shared" si="22"/>
        <v>0</v>
      </c>
      <c r="AY76" s="251">
        <f t="shared" si="22"/>
        <v>0</v>
      </c>
      <c r="AZ76" s="251">
        <f t="shared" si="22"/>
        <v>0</v>
      </c>
      <c r="BA76" s="251">
        <f t="shared" si="23"/>
        <v>0</v>
      </c>
      <c r="BB76" s="251">
        <f t="shared" si="23"/>
        <v>0</v>
      </c>
      <c r="BC76" s="251">
        <f t="shared" si="24"/>
        <v>0</v>
      </c>
      <c r="BD76" s="270" t="e">
        <f t="shared" si="25"/>
        <v>#DIV/0!</v>
      </c>
      <c r="BE76" s="251">
        <f t="shared" si="26"/>
        <v>0</v>
      </c>
      <c r="BF76" s="251">
        <f t="shared" si="27"/>
        <v>0</v>
      </c>
    </row>
    <row r="77" spans="1:58">
      <c r="A77" s="11">
        <v>41974</v>
      </c>
      <c r="B77" s="268">
        <v>70</v>
      </c>
      <c r="C77" s="268"/>
      <c r="D77" s="268"/>
      <c r="E77" s="268">
        <v>3</v>
      </c>
      <c r="F77" s="269">
        <v>0.2</v>
      </c>
      <c r="G77" s="269"/>
      <c r="H77" s="269">
        <v>12</v>
      </c>
      <c r="I77" s="269"/>
      <c r="J77" s="269">
        <v>2</v>
      </c>
      <c r="K77" s="269">
        <v>1.32</v>
      </c>
      <c r="L77" s="269">
        <v>14.4</v>
      </c>
      <c r="M77" s="269">
        <f t="shared" si="17"/>
        <v>1.5</v>
      </c>
      <c r="N77" s="269"/>
      <c r="O77" s="269">
        <f t="shared" si="20"/>
        <v>17.699535849485258</v>
      </c>
      <c r="Q77" s="251">
        <f t="shared" si="33"/>
        <v>122.11953584948526</v>
      </c>
      <c r="R77" s="251">
        <v>0</v>
      </c>
      <c r="S77" s="251">
        <f t="shared" si="19"/>
        <v>122.11953584948526</v>
      </c>
      <c r="AB77" s="251">
        <f>SUM('BD Feedstock'!C75,'BD Feedstock'!E75,'BD Feedstock'!G75,'BD Feedstock'!K75,'BD Feedstock'!T75)</f>
        <v>15.838837677094421</v>
      </c>
      <c r="AC77" s="251">
        <f>SUM('BD Feedstock'!D75,'BD Feedstock'!F75,'BD Feedstock'!H75,'BD Feedstock'!I75,'BD Feedstock'!L75,'BD Feedstock'!M75,'BD Feedstock'!N75,'BD Feedstock'!O75,'BD Feedstock'!U75)</f>
        <v>8.0207412508596612</v>
      </c>
      <c r="AD77" s="251">
        <f>'BD Feedstock'!J75</f>
        <v>0</v>
      </c>
      <c r="AE77" s="251">
        <f>SUM('BD Feedstock'!B75,'BD Feedstock'!P75,'BD Feedstock'!Q75,'BD Feedstock'!R75)</f>
        <v>53.329583333333332</v>
      </c>
      <c r="AF77" s="251">
        <f>'BD Feedstock'!S75</f>
        <v>0</v>
      </c>
      <c r="AG77" s="251">
        <f t="shared" si="28"/>
        <v>77.189162261287407</v>
      </c>
      <c r="AK77" s="237">
        <f t="shared" si="21"/>
        <v>0.20519509751225859</v>
      </c>
      <c r="AL77" s="237">
        <f t="shared" si="21"/>
        <v>0.10391019951362128</v>
      </c>
      <c r="AM77" s="237">
        <f t="shared" si="21"/>
        <v>0</v>
      </c>
      <c r="AN77" s="237">
        <f t="shared" si="21"/>
        <v>0.69089470297412026</v>
      </c>
      <c r="AO77" s="237">
        <f t="shared" si="21"/>
        <v>0</v>
      </c>
      <c r="AP77" s="237">
        <f t="shared" si="29"/>
        <v>1</v>
      </c>
      <c r="AQ77" s="237"/>
      <c r="AR77" s="237">
        <f t="shared" si="30"/>
        <v>0.66383559093482181</v>
      </c>
      <c r="AS77" s="237">
        <f t="shared" si="31"/>
        <v>0.33616440906517814</v>
      </c>
      <c r="AT77" s="237">
        <f t="shared" si="32"/>
        <v>0</v>
      </c>
      <c r="AU77" s="237">
        <f t="shared" si="18"/>
        <v>1</v>
      </c>
      <c r="AV77" s="237">
        <f t="shared" si="18"/>
        <v>0</v>
      </c>
      <c r="AX77" s="251">
        <f t="shared" si="22"/>
        <v>0</v>
      </c>
      <c r="AY77" s="251">
        <f t="shared" si="22"/>
        <v>0</v>
      </c>
      <c r="AZ77" s="251">
        <f t="shared" si="22"/>
        <v>0</v>
      </c>
      <c r="BA77" s="251">
        <f t="shared" si="23"/>
        <v>0</v>
      </c>
      <c r="BB77" s="251">
        <f t="shared" si="23"/>
        <v>0</v>
      </c>
      <c r="BC77" s="251">
        <f t="shared" si="24"/>
        <v>0</v>
      </c>
      <c r="BD77" s="270" t="e">
        <f t="shared" si="25"/>
        <v>#DIV/0!</v>
      </c>
      <c r="BE77" s="251">
        <f t="shared" si="26"/>
        <v>0</v>
      </c>
      <c r="BF77" s="251">
        <f t="shared" si="27"/>
        <v>0</v>
      </c>
    </row>
    <row r="78" spans="1:58">
      <c r="A78" s="11">
        <v>42005</v>
      </c>
      <c r="B78" s="268">
        <v>70</v>
      </c>
      <c r="C78" s="268"/>
      <c r="D78" s="268"/>
      <c r="E78" s="268">
        <v>3</v>
      </c>
      <c r="F78" s="269">
        <v>0.2</v>
      </c>
      <c r="G78" s="269"/>
      <c r="H78" s="269">
        <v>12</v>
      </c>
      <c r="I78" s="269"/>
      <c r="J78" s="269">
        <v>2</v>
      </c>
      <c r="K78" s="269">
        <v>1.32</v>
      </c>
      <c r="L78" s="269">
        <v>14.4</v>
      </c>
      <c r="M78" s="269">
        <f t="shared" si="17"/>
        <v>1.5</v>
      </c>
      <c r="N78" s="269"/>
      <c r="O78" s="269">
        <f t="shared" si="20"/>
        <v>17.699535849485258</v>
      </c>
      <c r="Q78" s="251">
        <f t="shared" si="33"/>
        <v>122.11953584948526</v>
      </c>
      <c r="R78" s="251">
        <v>0</v>
      </c>
      <c r="S78" s="251">
        <f t="shared" si="19"/>
        <v>122.11953584948526</v>
      </c>
      <c r="AB78" s="251">
        <f>SUM('BD Feedstock'!C76,'BD Feedstock'!E76,'BD Feedstock'!G76,'BD Feedstock'!K76,'BD Feedstock'!T76)</f>
        <v>15.838837677094421</v>
      </c>
      <c r="AC78" s="251">
        <f>SUM('BD Feedstock'!D76,'BD Feedstock'!F76,'BD Feedstock'!H76,'BD Feedstock'!I76,'BD Feedstock'!L76,'BD Feedstock'!M76,'BD Feedstock'!N76,'BD Feedstock'!O76,'BD Feedstock'!U76)</f>
        <v>8.0207412508596612</v>
      </c>
      <c r="AD78" s="251">
        <f>'BD Feedstock'!J76</f>
        <v>0</v>
      </c>
      <c r="AE78" s="251">
        <f>SUM('BD Feedstock'!B76,'BD Feedstock'!P76,'BD Feedstock'!Q76,'BD Feedstock'!R76)</f>
        <v>53.329583333333332</v>
      </c>
      <c r="AF78" s="251">
        <f>'BD Feedstock'!S76</f>
        <v>0</v>
      </c>
      <c r="AG78" s="251">
        <f t="shared" si="28"/>
        <v>77.189162261287407</v>
      </c>
      <c r="AK78" s="237">
        <f t="shared" si="21"/>
        <v>0.20519509751225859</v>
      </c>
      <c r="AL78" s="237">
        <f t="shared" si="21"/>
        <v>0.10391019951362128</v>
      </c>
      <c r="AM78" s="237">
        <f t="shared" si="21"/>
        <v>0</v>
      </c>
      <c r="AN78" s="237">
        <f t="shared" si="21"/>
        <v>0.69089470297412026</v>
      </c>
      <c r="AO78" s="237">
        <f t="shared" si="21"/>
        <v>0</v>
      </c>
      <c r="AP78" s="237">
        <f t="shared" si="29"/>
        <v>1</v>
      </c>
      <c r="AQ78" s="237"/>
      <c r="AR78" s="237">
        <f t="shared" si="30"/>
        <v>0.66383559093482181</v>
      </c>
      <c r="AS78" s="237">
        <f t="shared" si="31"/>
        <v>0.33616440906517814</v>
      </c>
      <c r="AT78" s="237">
        <f t="shared" si="32"/>
        <v>0</v>
      </c>
      <c r="AU78" s="237">
        <f t="shared" si="18"/>
        <v>1</v>
      </c>
      <c r="AV78" s="237">
        <f t="shared" si="18"/>
        <v>0</v>
      </c>
      <c r="AX78" s="251">
        <f t="shared" si="22"/>
        <v>0</v>
      </c>
      <c r="AY78" s="251">
        <f t="shared" si="22"/>
        <v>0</v>
      </c>
      <c r="AZ78" s="251">
        <f t="shared" si="22"/>
        <v>0</v>
      </c>
      <c r="BA78" s="251">
        <f t="shared" si="23"/>
        <v>0</v>
      </c>
      <c r="BB78" s="251">
        <f t="shared" si="23"/>
        <v>0</v>
      </c>
      <c r="BC78" s="251">
        <f t="shared" si="24"/>
        <v>0</v>
      </c>
      <c r="BD78" s="270" t="e">
        <f t="shared" si="25"/>
        <v>#DIV/0!</v>
      </c>
      <c r="BE78" s="251">
        <f t="shared" si="26"/>
        <v>0</v>
      </c>
      <c r="BF78" s="251">
        <f t="shared" si="27"/>
        <v>0</v>
      </c>
    </row>
    <row r="79" spans="1:58">
      <c r="A79" s="11">
        <v>42036</v>
      </c>
      <c r="B79" s="268">
        <v>70</v>
      </c>
      <c r="C79" s="268"/>
      <c r="D79" s="268"/>
      <c r="E79" s="268">
        <v>3</v>
      </c>
      <c r="F79" s="269">
        <v>0.2</v>
      </c>
      <c r="G79" s="269"/>
      <c r="H79" s="269">
        <v>12</v>
      </c>
      <c r="I79" s="269"/>
      <c r="J79" s="269">
        <v>2</v>
      </c>
      <c r="K79" s="269">
        <v>1.32</v>
      </c>
      <c r="L79" s="269">
        <v>14.4</v>
      </c>
      <c r="M79" s="269">
        <f t="shared" si="17"/>
        <v>1.5</v>
      </c>
      <c r="N79" s="269"/>
      <c r="O79" s="269">
        <f t="shared" si="20"/>
        <v>17.699535849485258</v>
      </c>
      <c r="Q79" s="251">
        <f t="shared" si="33"/>
        <v>122.11953584948526</v>
      </c>
      <c r="R79" s="251">
        <v>0</v>
      </c>
      <c r="S79" s="251">
        <f t="shared" si="19"/>
        <v>122.11953584948526</v>
      </c>
      <c r="AB79" s="251">
        <f>SUM('BD Feedstock'!C77,'BD Feedstock'!E77,'BD Feedstock'!G77,'BD Feedstock'!K77,'BD Feedstock'!T77)</f>
        <v>15.838837677094421</v>
      </c>
      <c r="AC79" s="251">
        <f>SUM('BD Feedstock'!D77,'BD Feedstock'!F77,'BD Feedstock'!H77,'BD Feedstock'!I77,'BD Feedstock'!L77,'BD Feedstock'!M77,'BD Feedstock'!N77,'BD Feedstock'!O77,'BD Feedstock'!U77)</f>
        <v>8.0207412508596612</v>
      </c>
      <c r="AD79" s="251">
        <f>'BD Feedstock'!J77</f>
        <v>0</v>
      </c>
      <c r="AE79" s="251">
        <f>SUM('BD Feedstock'!B77,'BD Feedstock'!P77,'BD Feedstock'!Q77,'BD Feedstock'!R77)</f>
        <v>53.329583333333332</v>
      </c>
      <c r="AF79" s="251">
        <f>'BD Feedstock'!S77</f>
        <v>0</v>
      </c>
      <c r="AG79" s="251">
        <f t="shared" si="28"/>
        <v>77.189162261287407</v>
      </c>
      <c r="AK79" s="237">
        <f t="shared" si="21"/>
        <v>0.20519509751225859</v>
      </c>
      <c r="AL79" s="237">
        <f t="shared" si="21"/>
        <v>0.10391019951362128</v>
      </c>
      <c r="AM79" s="237">
        <f t="shared" si="21"/>
        <v>0</v>
      </c>
      <c r="AN79" s="237">
        <f t="shared" si="21"/>
        <v>0.69089470297412026</v>
      </c>
      <c r="AO79" s="237">
        <f t="shared" si="21"/>
        <v>0</v>
      </c>
      <c r="AP79" s="237">
        <f t="shared" si="29"/>
        <v>1</v>
      </c>
      <c r="AQ79" s="237"/>
      <c r="AR79" s="237">
        <f t="shared" si="30"/>
        <v>0.66383559093482181</v>
      </c>
      <c r="AS79" s="237">
        <f t="shared" si="31"/>
        <v>0.33616440906517814</v>
      </c>
      <c r="AT79" s="237">
        <f t="shared" si="32"/>
        <v>0</v>
      </c>
      <c r="AU79" s="237">
        <f t="shared" si="18"/>
        <v>1</v>
      </c>
      <c r="AV79" s="237">
        <f t="shared" si="18"/>
        <v>0</v>
      </c>
      <c r="AX79" s="251">
        <f t="shared" si="22"/>
        <v>0</v>
      </c>
      <c r="AY79" s="251">
        <f t="shared" si="22"/>
        <v>0</v>
      </c>
      <c r="AZ79" s="251">
        <f t="shared" si="22"/>
        <v>0</v>
      </c>
      <c r="BA79" s="251">
        <f t="shared" si="23"/>
        <v>0</v>
      </c>
      <c r="BB79" s="251">
        <f t="shared" si="23"/>
        <v>0</v>
      </c>
      <c r="BC79" s="251">
        <f t="shared" si="24"/>
        <v>0</v>
      </c>
      <c r="BD79" s="270" t="e">
        <f t="shared" si="25"/>
        <v>#DIV/0!</v>
      </c>
      <c r="BE79" s="251">
        <f t="shared" si="26"/>
        <v>0</v>
      </c>
      <c r="BF79" s="251">
        <f t="shared" si="27"/>
        <v>0</v>
      </c>
    </row>
    <row r="80" spans="1:58">
      <c r="A80" s="11">
        <v>42064</v>
      </c>
      <c r="B80" s="268">
        <v>70</v>
      </c>
      <c r="C80" s="268"/>
      <c r="D80" s="268"/>
      <c r="E80" s="268">
        <v>3</v>
      </c>
      <c r="F80" s="269">
        <v>0.2</v>
      </c>
      <c r="G80" s="269"/>
      <c r="H80" s="269">
        <v>12</v>
      </c>
      <c r="I80" s="269"/>
      <c r="J80" s="269">
        <v>2</v>
      </c>
      <c r="K80" s="269">
        <v>1.32</v>
      </c>
      <c r="L80" s="269">
        <v>14.4</v>
      </c>
      <c r="M80" s="269">
        <f t="shared" si="17"/>
        <v>1.5</v>
      </c>
      <c r="N80" s="269"/>
      <c r="O80" s="269">
        <f t="shared" si="20"/>
        <v>17.699535849485258</v>
      </c>
      <c r="Q80" s="251">
        <f t="shared" si="33"/>
        <v>122.11953584948526</v>
      </c>
      <c r="R80" s="251">
        <v>0</v>
      </c>
      <c r="S80" s="251">
        <f t="shared" si="19"/>
        <v>122.11953584948526</v>
      </c>
      <c r="AB80" s="251">
        <f>SUM('BD Feedstock'!C78,'BD Feedstock'!E78,'BD Feedstock'!G78,'BD Feedstock'!K78,'BD Feedstock'!T78)</f>
        <v>15.838837677094421</v>
      </c>
      <c r="AC80" s="251">
        <f>SUM('BD Feedstock'!D78,'BD Feedstock'!F78,'BD Feedstock'!H78,'BD Feedstock'!I78,'BD Feedstock'!L78,'BD Feedstock'!M78,'BD Feedstock'!N78,'BD Feedstock'!O78,'BD Feedstock'!U78)</f>
        <v>8.0207412508596612</v>
      </c>
      <c r="AD80" s="251">
        <f>'BD Feedstock'!J78</f>
        <v>0</v>
      </c>
      <c r="AE80" s="251">
        <f>SUM('BD Feedstock'!B78,'BD Feedstock'!P78,'BD Feedstock'!Q78,'BD Feedstock'!R78)</f>
        <v>53.329583333333332</v>
      </c>
      <c r="AF80" s="251">
        <f>'BD Feedstock'!S78</f>
        <v>0</v>
      </c>
      <c r="AG80" s="251">
        <f t="shared" si="28"/>
        <v>77.189162261287407</v>
      </c>
      <c r="AK80" s="237">
        <f t="shared" si="21"/>
        <v>0.20519509751225859</v>
      </c>
      <c r="AL80" s="237">
        <f t="shared" si="21"/>
        <v>0.10391019951362128</v>
      </c>
      <c r="AM80" s="237">
        <f t="shared" si="21"/>
        <v>0</v>
      </c>
      <c r="AN80" s="237">
        <f t="shared" si="21"/>
        <v>0.69089470297412026</v>
      </c>
      <c r="AO80" s="237">
        <f t="shared" si="21"/>
        <v>0</v>
      </c>
      <c r="AP80" s="237">
        <f t="shared" si="29"/>
        <v>1</v>
      </c>
      <c r="AQ80" s="237"/>
      <c r="AR80" s="237">
        <f t="shared" si="30"/>
        <v>0.66383559093482181</v>
      </c>
      <c r="AS80" s="237">
        <f t="shared" si="31"/>
        <v>0.33616440906517814</v>
      </c>
      <c r="AT80" s="237">
        <f t="shared" si="32"/>
        <v>0</v>
      </c>
      <c r="AU80" s="237">
        <f t="shared" si="18"/>
        <v>1</v>
      </c>
      <c r="AV80" s="237">
        <f t="shared" si="18"/>
        <v>0</v>
      </c>
      <c r="AX80" s="251">
        <f t="shared" si="22"/>
        <v>0</v>
      </c>
      <c r="AY80" s="251">
        <f t="shared" si="22"/>
        <v>0</v>
      </c>
      <c r="AZ80" s="251">
        <f t="shared" si="22"/>
        <v>0</v>
      </c>
      <c r="BA80" s="251">
        <f t="shared" si="23"/>
        <v>0</v>
      </c>
      <c r="BB80" s="251">
        <f t="shared" si="23"/>
        <v>0</v>
      </c>
      <c r="BC80" s="251">
        <f t="shared" si="24"/>
        <v>0</v>
      </c>
      <c r="BD80" s="270" t="e">
        <f t="shared" si="25"/>
        <v>#DIV/0!</v>
      </c>
      <c r="BE80" s="251">
        <f t="shared" si="26"/>
        <v>0</v>
      </c>
      <c r="BF80" s="251">
        <f t="shared" si="27"/>
        <v>0</v>
      </c>
    </row>
    <row r="81" spans="1:58">
      <c r="A81" s="11">
        <v>42095</v>
      </c>
      <c r="B81" s="268">
        <v>70</v>
      </c>
      <c r="C81" s="268"/>
      <c r="D81" s="268"/>
      <c r="E81" s="268">
        <v>3</v>
      </c>
      <c r="F81" s="269">
        <v>0.2</v>
      </c>
      <c r="G81" s="269"/>
      <c r="H81" s="269">
        <v>12</v>
      </c>
      <c r="I81" s="269"/>
      <c r="J81" s="269">
        <v>2</v>
      </c>
      <c r="K81" s="269">
        <v>1.32</v>
      </c>
      <c r="L81" s="269">
        <v>14.4</v>
      </c>
      <c r="M81" s="269">
        <f t="shared" si="17"/>
        <v>1.5</v>
      </c>
      <c r="N81" s="269"/>
      <c r="O81" s="269">
        <f t="shared" si="20"/>
        <v>17.699535849485258</v>
      </c>
      <c r="Q81" s="251">
        <f t="shared" si="33"/>
        <v>122.11953584948526</v>
      </c>
      <c r="R81" s="251">
        <v>0</v>
      </c>
      <c r="S81" s="251">
        <f t="shared" si="19"/>
        <v>122.11953584948526</v>
      </c>
      <c r="AB81" s="251">
        <f>SUM('BD Feedstock'!C79,'BD Feedstock'!E79,'BD Feedstock'!G79,'BD Feedstock'!K79,'BD Feedstock'!T79)</f>
        <v>15.838837677094421</v>
      </c>
      <c r="AC81" s="251">
        <f>SUM('BD Feedstock'!D79,'BD Feedstock'!F79,'BD Feedstock'!H79,'BD Feedstock'!I79,'BD Feedstock'!L79,'BD Feedstock'!M79,'BD Feedstock'!N79,'BD Feedstock'!O79,'BD Feedstock'!U79)</f>
        <v>8.0207412508596612</v>
      </c>
      <c r="AD81" s="251">
        <f>'BD Feedstock'!J79</f>
        <v>0</v>
      </c>
      <c r="AE81" s="251">
        <f>SUM('BD Feedstock'!B79,'BD Feedstock'!P79,'BD Feedstock'!Q79,'BD Feedstock'!R79)</f>
        <v>53.329583333333332</v>
      </c>
      <c r="AF81" s="251">
        <f>'BD Feedstock'!S79</f>
        <v>0</v>
      </c>
      <c r="AG81" s="251">
        <f t="shared" si="28"/>
        <v>77.189162261287407</v>
      </c>
      <c r="AK81" s="237">
        <f t="shared" si="21"/>
        <v>0.20519509751225859</v>
      </c>
      <c r="AL81" s="237">
        <f t="shared" si="21"/>
        <v>0.10391019951362128</v>
      </c>
      <c r="AM81" s="237">
        <f t="shared" si="21"/>
        <v>0</v>
      </c>
      <c r="AN81" s="237">
        <f t="shared" si="21"/>
        <v>0.69089470297412026</v>
      </c>
      <c r="AO81" s="237">
        <f t="shared" si="21"/>
        <v>0</v>
      </c>
      <c r="AP81" s="237">
        <f t="shared" si="29"/>
        <v>1</v>
      </c>
      <c r="AQ81" s="237"/>
      <c r="AR81" s="237">
        <f t="shared" si="30"/>
        <v>0.66383559093482181</v>
      </c>
      <c r="AS81" s="237">
        <f t="shared" si="31"/>
        <v>0.33616440906517814</v>
      </c>
      <c r="AT81" s="237">
        <f t="shared" si="32"/>
        <v>0</v>
      </c>
      <c r="AU81" s="237">
        <f t="shared" si="18"/>
        <v>1</v>
      </c>
      <c r="AV81" s="237">
        <f t="shared" si="18"/>
        <v>0</v>
      </c>
      <c r="AX81" s="251">
        <f t="shared" si="22"/>
        <v>0</v>
      </c>
      <c r="AY81" s="251">
        <f t="shared" si="22"/>
        <v>0</v>
      </c>
      <c r="AZ81" s="251">
        <f t="shared" si="22"/>
        <v>0</v>
      </c>
      <c r="BA81" s="251">
        <f t="shared" si="23"/>
        <v>0</v>
      </c>
      <c r="BB81" s="251">
        <f t="shared" si="23"/>
        <v>0</v>
      </c>
      <c r="BC81" s="251">
        <f t="shared" si="24"/>
        <v>0</v>
      </c>
      <c r="BD81" s="270" t="e">
        <f t="shared" si="25"/>
        <v>#DIV/0!</v>
      </c>
      <c r="BE81" s="251">
        <f t="shared" si="26"/>
        <v>0</v>
      </c>
      <c r="BF81" s="251">
        <f t="shared" si="27"/>
        <v>0</v>
      </c>
    </row>
    <row r="82" spans="1:58">
      <c r="A82" s="11">
        <v>42125</v>
      </c>
      <c r="B82" s="268">
        <v>70</v>
      </c>
      <c r="C82" s="268"/>
      <c r="D82" s="268"/>
      <c r="E82" s="268">
        <v>3</v>
      </c>
      <c r="F82" s="269">
        <v>0.2</v>
      </c>
      <c r="G82" s="269">
        <v>0.6</v>
      </c>
      <c r="H82" s="269">
        <v>12</v>
      </c>
      <c r="I82" s="269"/>
      <c r="J82" s="269">
        <v>2</v>
      </c>
      <c r="K82" s="269">
        <v>1.32</v>
      </c>
      <c r="L82" s="269">
        <v>14.4</v>
      </c>
      <c r="M82" s="269">
        <f t="shared" si="17"/>
        <v>1.5</v>
      </c>
      <c r="N82" s="269"/>
      <c r="O82" s="269">
        <f t="shared" si="20"/>
        <v>17.699535849485258</v>
      </c>
      <c r="Q82" s="251">
        <f t="shared" si="33"/>
        <v>122.71953584948525</v>
      </c>
      <c r="R82" s="251">
        <v>0</v>
      </c>
      <c r="S82" s="251">
        <f t="shared" si="19"/>
        <v>122.71953584948525</v>
      </c>
      <c r="AB82" s="251">
        <f>SUM('BD Feedstock'!C80,'BD Feedstock'!E80,'BD Feedstock'!G80,'BD Feedstock'!K80,'BD Feedstock'!T80)</f>
        <v>15.838837677094421</v>
      </c>
      <c r="AC82" s="251">
        <f>SUM('BD Feedstock'!D80,'BD Feedstock'!F80,'BD Feedstock'!H80,'BD Feedstock'!I80,'BD Feedstock'!L80,'BD Feedstock'!M80,'BD Feedstock'!N80,'BD Feedstock'!O80,'BD Feedstock'!U80)</f>
        <v>8.0207412508596612</v>
      </c>
      <c r="AD82" s="251">
        <f>'BD Feedstock'!J80</f>
        <v>0.40999999999999992</v>
      </c>
      <c r="AE82" s="251">
        <f>SUM('BD Feedstock'!B80,'BD Feedstock'!P80,'BD Feedstock'!Q80,'BD Feedstock'!R80)</f>
        <v>53.329583333333332</v>
      </c>
      <c r="AF82" s="251">
        <f>'BD Feedstock'!S80</f>
        <v>0</v>
      </c>
      <c r="AG82" s="251">
        <f t="shared" si="28"/>
        <v>77.599162261287418</v>
      </c>
      <c r="AK82" s="237">
        <f t="shared" si="21"/>
        <v>0.20411093645267461</v>
      </c>
      <c r="AL82" s="237">
        <f t="shared" si="21"/>
        <v>0.10336118351191324</v>
      </c>
      <c r="AM82" s="237">
        <f t="shared" si="21"/>
        <v>5.2835621938735833E-3</v>
      </c>
      <c r="AN82" s="237">
        <f t="shared" si="21"/>
        <v>0.6872443178415385</v>
      </c>
      <c r="AO82" s="237">
        <f t="shared" si="21"/>
        <v>0</v>
      </c>
      <c r="AP82" s="237">
        <f t="shared" si="29"/>
        <v>1</v>
      </c>
      <c r="AQ82" s="237"/>
      <c r="AR82" s="237">
        <f t="shared" si="30"/>
        <v>0.65262103327433496</v>
      </c>
      <c r="AS82" s="237">
        <f t="shared" si="31"/>
        <v>0.33048538974119757</v>
      </c>
      <c r="AT82" s="237">
        <f t="shared" si="32"/>
        <v>1.6893576984467393E-2</v>
      </c>
      <c r="AU82" s="237">
        <f t="shared" si="18"/>
        <v>1</v>
      </c>
      <c r="AV82" s="237">
        <f t="shared" si="18"/>
        <v>0</v>
      </c>
      <c r="AX82" s="251">
        <f t="shared" si="22"/>
        <v>0</v>
      </c>
      <c r="AY82" s="251">
        <f t="shared" si="22"/>
        <v>0</v>
      </c>
      <c r="AZ82" s="251">
        <f t="shared" si="22"/>
        <v>0</v>
      </c>
      <c r="BA82" s="251">
        <f t="shared" si="23"/>
        <v>0</v>
      </c>
      <c r="BB82" s="251">
        <f t="shared" si="23"/>
        <v>0</v>
      </c>
      <c r="BC82" s="251">
        <f t="shared" si="24"/>
        <v>0</v>
      </c>
      <c r="BD82" s="270" t="e">
        <f t="shared" si="25"/>
        <v>#DIV/0!</v>
      </c>
      <c r="BE82" s="251">
        <f t="shared" si="26"/>
        <v>0</v>
      </c>
      <c r="BF82" s="251">
        <f t="shared" si="27"/>
        <v>0</v>
      </c>
    </row>
    <row r="83" spans="1:58">
      <c r="A83" s="11">
        <v>42156</v>
      </c>
      <c r="B83" s="268">
        <v>70</v>
      </c>
      <c r="C83" s="268"/>
      <c r="D83" s="268"/>
      <c r="E83" s="268">
        <v>3</v>
      </c>
      <c r="F83" s="269">
        <v>0.2</v>
      </c>
      <c r="G83" s="269">
        <v>1</v>
      </c>
      <c r="H83" s="269">
        <v>12</v>
      </c>
      <c r="I83" s="269"/>
      <c r="J83" s="269">
        <v>2</v>
      </c>
      <c r="K83" s="269">
        <v>1.32</v>
      </c>
      <c r="L83" s="269">
        <v>14.4</v>
      </c>
      <c r="M83" s="269">
        <f t="shared" si="17"/>
        <v>1.5</v>
      </c>
      <c r="N83" s="269"/>
      <c r="O83" s="269">
        <f t="shared" si="20"/>
        <v>17.699535849485258</v>
      </c>
      <c r="Q83" s="251">
        <f t="shared" si="33"/>
        <v>123.11953584948526</v>
      </c>
      <c r="R83" s="251">
        <v>0</v>
      </c>
      <c r="S83" s="251">
        <f t="shared" si="19"/>
        <v>123.11953584948526</v>
      </c>
      <c r="AB83" s="251">
        <f>SUM('BD Feedstock'!C81,'BD Feedstock'!E81,'BD Feedstock'!G81,'BD Feedstock'!K81,'BD Feedstock'!T81)</f>
        <v>15.838837677094421</v>
      </c>
      <c r="AC83" s="251">
        <f>SUM('BD Feedstock'!D81,'BD Feedstock'!F81,'BD Feedstock'!H81,'BD Feedstock'!I81,'BD Feedstock'!L81,'BD Feedstock'!M81,'BD Feedstock'!N81,'BD Feedstock'!O81,'BD Feedstock'!U81)</f>
        <v>8.0207412508596612</v>
      </c>
      <c r="AD83" s="251">
        <f>'BD Feedstock'!J81</f>
        <v>0.68333333333333324</v>
      </c>
      <c r="AE83" s="251">
        <f>SUM('BD Feedstock'!B81,'BD Feedstock'!P81,'BD Feedstock'!Q81,'BD Feedstock'!R81)</f>
        <v>53.329583333333332</v>
      </c>
      <c r="AF83" s="251">
        <f>'BD Feedstock'!S81</f>
        <v>0</v>
      </c>
      <c r="AG83" s="251">
        <f t="shared" si="28"/>
        <v>77.872495594620744</v>
      </c>
      <c r="AK83" s="237">
        <f t="shared" si="21"/>
        <v>0.20339450477542589</v>
      </c>
      <c r="AL83" s="237">
        <f t="shared" si="21"/>
        <v>0.10299838459798527</v>
      </c>
      <c r="AM83" s="237">
        <f t="shared" si="21"/>
        <v>8.7750280521449783E-3</v>
      </c>
      <c r="AN83" s="237">
        <f t="shared" si="21"/>
        <v>0.68483208257444395</v>
      </c>
      <c r="AO83" s="237">
        <f t="shared" si="21"/>
        <v>0</v>
      </c>
      <c r="AP83" s="237">
        <f t="shared" si="29"/>
        <v>1</v>
      </c>
      <c r="AQ83" s="237"/>
      <c r="AR83" s="237">
        <f t="shared" si="30"/>
        <v>0.64535282155890261</v>
      </c>
      <c r="AS83" s="237">
        <f t="shared" si="31"/>
        <v>0.3268047885055238</v>
      </c>
      <c r="AT83" s="237">
        <f t="shared" si="32"/>
        <v>2.7842389935573541E-2</v>
      </c>
      <c r="AU83" s="237">
        <f t="shared" si="18"/>
        <v>1</v>
      </c>
      <c r="AV83" s="237">
        <f t="shared" si="18"/>
        <v>0</v>
      </c>
      <c r="AX83" s="251">
        <f t="shared" si="22"/>
        <v>0</v>
      </c>
      <c r="AY83" s="251">
        <f t="shared" si="22"/>
        <v>0</v>
      </c>
      <c r="AZ83" s="251">
        <f t="shared" si="22"/>
        <v>0</v>
      </c>
      <c r="BA83" s="251">
        <f t="shared" si="23"/>
        <v>0</v>
      </c>
      <c r="BB83" s="251">
        <f t="shared" si="23"/>
        <v>0</v>
      </c>
      <c r="BC83" s="251">
        <f t="shared" si="24"/>
        <v>0</v>
      </c>
      <c r="BD83" s="270" t="e">
        <f t="shared" si="25"/>
        <v>#DIV/0!</v>
      </c>
      <c r="BE83" s="251">
        <f t="shared" si="26"/>
        <v>0</v>
      </c>
      <c r="BF83" s="251">
        <f t="shared" si="27"/>
        <v>0</v>
      </c>
    </row>
    <row r="84" spans="1:58">
      <c r="A84" s="11">
        <v>42186</v>
      </c>
      <c r="B84" s="268">
        <v>70</v>
      </c>
      <c r="C84" s="268"/>
      <c r="D84" s="268"/>
      <c r="E84" s="268">
        <v>3</v>
      </c>
      <c r="F84" s="269">
        <v>0.2</v>
      </c>
      <c r="G84" s="269">
        <v>1.32</v>
      </c>
      <c r="H84" s="269">
        <v>12</v>
      </c>
      <c r="I84" s="269"/>
      <c r="J84" s="269">
        <v>2</v>
      </c>
      <c r="K84" s="269">
        <v>1.32</v>
      </c>
      <c r="L84" s="269">
        <v>14.4</v>
      </c>
      <c r="M84" s="269">
        <f t="shared" si="17"/>
        <v>1.5</v>
      </c>
      <c r="N84" s="269"/>
      <c r="O84" s="269">
        <f t="shared" si="20"/>
        <v>17.699535849485258</v>
      </c>
      <c r="Q84" s="251">
        <f t="shared" si="33"/>
        <v>123.43953584948525</v>
      </c>
      <c r="R84" s="251">
        <v>0</v>
      </c>
      <c r="S84" s="251">
        <f t="shared" si="19"/>
        <v>123.43953584948525</v>
      </c>
      <c r="AB84" s="251">
        <f>SUM('BD Feedstock'!C82,'BD Feedstock'!E82,'BD Feedstock'!G82,'BD Feedstock'!K82,'BD Feedstock'!T82)</f>
        <v>15.838837677094421</v>
      </c>
      <c r="AC84" s="251">
        <f>SUM('BD Feedstock'!D82,'BD Feedstock'!F82,'BD Feedstock'!H82,'BD Feedstock'!I82,'BD Feedstock'!L82,'BD Feedstock'!M82,'BD Feedstock'!N82,'BD Feedstock'!O82,'BD Feedstock'!U82)</f>
        <v>8.0207412508596612</v>
      </c>
      <c r="AD84" s="251">
        <f>'BD Feedstock'!J82</f>
        <v>0.90199999999999991</v>
      </c>
      <c r="AE84" s="251">
        <f>SUM('BD Feedstock'!B82,'BD Feedstock'!P82,'BD Feedstock'!Q82,'BD Feedstock'!R82)</f>
        <v>53.329583333333332</v>
      </c>
      <c r="AF84" s="251">
        <f>'BD Feedstock'!S82</f>
        <v>0</v>
      </c>
      <c r="AG84" s="251">
        <f t="shared" si="28"/>
        <v>78.091162261287423</v>
      </c>
      <c r="AK84" s="237">
        <f t="shared" si="21"/>
        <v>0.20282497043774053</v>
      </c>
      <c r="AL84" s="237">
        <f t="shared" si="21"/>
        <v>0.10270997406880482</v>
      </c>
      <c r="AM84" s="237">
        <f t="shared" si="21"/>
        <v>1.1550602832391874E-2</v>
      </c>
      <c r="AN84" s="237">
        <f t="shared" si="21"/>
        <v>0.68291445266106265</v>
      </c>
      <c r="AO84" s="237">
        <f t="shared" si="21"/>
        <v>0</v>
      </c>
      <c r="AP84" s="237">
        <f t="shared" si="29"/>
        <v>0.99999999999999989</v>
      </c>
      <c r="AQ84" s="237"/>
      <c r="AR84" s="237">
        <f t="shared" si="30"/>
        <v>0.63965378472749512</v>
      </c>
      <c r="AS84" s="237">
        <f t="shared" si="31"/>
        <v>0.32391881285909468</v>
      </c>
      <c r="AT84" s="237">
        <f t="shared" si="32"/>
        <v>3.6427402413410123E-2</v>
      </c>
      <c r="AU84" s="237">
        <f t="shared" si="18"/>
        <v>1</v>
      </c>
      <c r="AV84" s="237">
        <f t="shared" si="18"/>
        <v>0</v>
      </c>
      <c r="AX84" s="251">
        <f t="shared" si="22"/>
        <v>0</v>
      </c>
      <c r="AY84" s="251">
        <f t="shared" si="22"/>
        <v>0</v>
      </c>
      <c r="AZ84" s="251">
        <f t="shared" si="22"/>
        <v>0</v>
      </c>
      <c r="BA84" s="251">
        <f t="shared" si="23"/>
        <v>0</v>
      </c>
      <c r="BB84" s="251">
        <f t="shared" si="23"/>
        <v>0</v>
      </c>
      <c r="BC84" s="251">
        <f t="shared" si="24"/>
        <v>0</v>
      </c>
      <c r="BD84" s="270" t="e">
        <f t="shared" si="25"/>
        <v>#DIV/0!</v>
      </c>
      <c r="BE84" s="251">
        <f t="shared" si="26"/>
        <v>0</v>
      </c>
      <c r="BF84" s="251">
        <f t="shared" si="27"/>
        <v>0</v>
      </c>
    </row>
    <row r="85" spans="1:58">
      <c r="A85" s="11">
        <v>42217</v>
      </c>
      <c r="B85" s="268">
        <v>70</v>
      </c>
      <c r="C85" s="268"/>
      <c r="D85" s="268"/>
      <c r="E85" s="268">
        <v>3</v>
      </c>
      <c r="F85" s="269">
        <v>0.2</v>
      </c>
      <c r="G85" s="269">
        <v>1.32</v>
      </c>
      <c r="H85" s="269">
        <v>12</v>
      </c>
      <c r="I85" s="269"/>
      <c r="J85" s="269">
        <v>2</v>
      </c>
      <c r="K85" s="269">
        <v>1.32</v>
      </c>
      <c r="L85" s="269">
        <v>14.4</v>
      </c>
      <c r="M85" s="269">
        <f t="shared" si="17"/>
        <v>1.5</v>
      </c>
      <c r="N85" s="269"/>
      <c r="O85" s="269">
        <f t="shared" si="20"/>
        <v>17.699535849485258</v>
      </c>
      <c r="Q85" s="251">
        <f t="shared" si="33"/>
        <v>123.43953584948525</v>
      </c>
      <c r="R85" s="251">
        <v>0</v>
      </c>
      <c r="S85" s="251">
        <f t="shared" si="19"/>
        <v>123.43953584948525</v>
      </c>
      <c r="AB85" s="251">
        <f>SUM('BD Feedstock'!C83,'BD Feedstock'!E83,'BD Feedstock'!G83,'BD Feedstock'!K83,'BD Feedstock'!T83)</f>
        <v>15.838837677094421</v>
      </c>
      <c r="AC85" s="251">
        <f>SUM('BD Feedstock'!D83,'BD Feedstock'!F83,'BD Feedstock'!H83,'BD Feedstock'!I83,'BD Feedstock'!L83,'BD Feedstock'!M83,'BD Feedstock'!N83,'BD Feedstock'!O83,'BD Feedstock'!U83)</f>
        <v>8.0207412508596612</v>
      </c>
      <c r="AD85" s="251">
        <f>'BD Feedstock'!J83</f>
        <v>0.90199999999999991</v>
      </c>
      <c r="AE85" s="251">
        <f>SUM('BD Feedstock'!B83,'BD Feedstock'!P83,'BD Feedstock'!Q83,'BD Feedstock'!R83)</f>
        <v>53.329583333333332</v>
      </c>
      <c r="AF85" s="251">
        <f>'BD Feedstock'!S83</f>
        <v>0</v>
      </c>
      <c r="AG85" s="251">
        <f t="shared" si="28"/>
        <v>78.091162261287423</v>
      </c>
      <c r="AK85" s="237">
        <f t="shared" si="21"/>
        <v>0.20282497043774053</v>
      </c>
      <c r="AL85" s="237">
        <f t="shared" si="21"/>
        <v>0.10270997406880482</v>
      </c>
      <c r="AM85" s="237">
        <f t="shared" si="21"/>
        <v>1.1550602832391874E-2</v>
      </c>
      <c r="AN85" s="237">
        <f t="shared" si="21"/>
        <v>0.68291445266106265</v>
      </c>
      <c r="AO85" s="237">
        <f t="shared" si="21"/>
        <v>0</v>
      </c>
      <c r="AP85" s="237">
        <f t="shared" si="29"/>
        <v>0.99999999999999989</v>
      </c>
      <c r="AQ85" s="237"/>
      <c r="AR85" s="237">
        <f t="shared" si="30"/>
        <v>0.63965378472749512</v>
      </c>
      <c r="AS85" s="237">
        <f t="shared" si="31"/>
        <v>0.32391881285909468</v>
      </c>
      <c r="AT85" s="237">
        <f t="shared" si="32"/>
        <v>3.6427402413410123E-2</v>
      </c>
      <c r="AU85" s="237">
        <f t="shared" si="18"/>
        <v>1</v>
      </c>
      <c r="AV85" s="237">
        <f t="shared" si="18"/>
        <v>0</v>
      </c>
      <c r="AX85" s="251">
        <f t="shared" si="22"/>
        <v>0</v>
      </c>
      <c r="AY85" s="251">
        <f t="shared" si="22"/>
        <v>0</v>
      </c>
      <c r="AZ85" s="251">
        <f t="shared" si="22"/>
        <v>0</v>
      </c>
      <c r="BA85" s="251">
        <f t="shared" si="23"/>
        <v>0</v>
      </c>
      <c r="BB85" s="251">
        <f t="shared" si="23"/>
        <v>0</v>
      </c>
      <c r="BC85" s="251">
        <f t="shared" si="24"/>
        <v>0</v>
      </c>
      <c r="BD85" s="270" t="e">
        <f t="shared" si="25"/>
        <v>#DIV/0!</v>
      </c>
      <c r="BE85" s="251">
        <f t="shared" si="26"/>
        <v>0</v>
      </c>
      <c r="BF85" s="251">
        <f t="shared" si="27"/>
        <v>0</v>
      </c>
    </row>
    <row r="86" spans="1:58">
      <c r="A86" s="11">
        <v>42248</v>
      </c>
      <c r="B86" s="268">
        <v>70</v>
      </c>
      <c r="C86" s="268"/>
      <c r="D86" s="268"/>
      <c r="E86" s="268">
        <v>3</v>
      </c>
      <c r="F86" s="269">
        <v>0.2</v>
      </c>
      <c r="G86" s="269">
        <v>1.32</v>
      </c>
      <c r="H86" s="269">
        <v>12</v>
      </c>
      <c r="I86" s="269"/>
      <c r="J86" s="269">
        <v>2</v>
      </c>
      <c r="K86" s="269">
        <v>1.32</v>
      </c>
      <c r="L86" s="269">
        <v>14.4</v>
      </c>
      <c r="M86" s="269">
        <f t="shared" si="17"/>
        <v>1.5</v>
      </c>
      <c r="N86" s="269"/>
      <c r="O86" s="269">
        <f t="shared" si="20"/>
        <v>17.699535849485258</v>
      </c>
      <c r="Q86" s="251">
        <f t="shared" si="33"/>
        <v>123.43953584948525</v>
      </c>
      <c r="R86" s="251">
        <v>0</v>
      </c>
      <c r="S86" s="251">
        <f t="shared" si="19"/>
        <v>123.43953584948525</v>
      </c>
      <c r="AB86" s="251">
        <f>SUM('BD Feedstock'!C84,'BD Feedstock'!E84,'BD Feedstock'!G84,'BD Feedstock'!K84,'BD Feedstock'!T84)</f>
        <v>15.838837677094421</v>
      </c>
      <c r="AC86" s="251">
        <f>SUM('BD Feedstock'!D84,'BD Feedstock'!F84,'BD Feedstock'!H84,'BD Feedstock'!I84,'BD Feedstock'!L84,'BD Feedstock'!M84,'BD Feedstock'!N84,'BD Feedstock'!O84,'BD Feedstock'!U84)</f>
        <v>8.0207412508596612</v>
      </c>
      <c r="AD86" s="251">
        <f>'BD Feedstock'!J84</f>
        <v>0.90199999999999991</v>
      </c>
      <c r="AE86" s="251">
        <f>SUM('BD Feedstock'!B84,'BD Feedstock'!P84,'BD Feedstock'!Q84,'BD Feedstock'!R84)</f>
        <v>53.329583333333332</v>
      </c>
      <c r="AF86" s="251">
        <f>'BD Feedstock'!S84</f>
        <v>0</v>
      </c>
      <c r="AG86" s="251">
        <f t="shared" si="28"/>
        <v>78.091162261287423</v>
      </c>
      <c r="AK86" s="237">
        <f t="shared" si="21"/>
        <v>0.20282497043774053</v>
      </c>
      <c r="AL86" s="237">
        <f t="shared" si="21"/>
        <v>0.10270997406880482</v>
      </c>
      <c r="AM86" s="237">
        <f t="shared" si="21"/>
        <v>1.1550602832391874E-2</v>
      </c>
      <c r="AN86" s="237">
        <f t="shared" si="21"/>
        <v>0.68291445266106265</v>
      </c>
      <c r="AO86" s="237">
        <f t="shared" si="21"/>
        <v>0</v>
      </c>
      <c r="AP86" s="237">
        <f t="shared" si="29"/>
        <v>0.99999999999999989</v>
      </c>
      <c r="AQ86" s="237"/>
      <c r="AR86" s="237">
        <f t="shared" si="30"/>
        <v>0.63965378472749512</v>
      </c>
      <c r="AS86" s="237">
        <f t="shared" si="31"/>
        <v>0.32391881285909468</v>
      </c>
      <c r="AT86" s="237">
        <f t="shared" si="32"/>
        <v>3.6427402413410123E-2</v>
      </c>
      <c r="AU86" s="237">
        <f t="shared" si="18"/>
        <v>1</v>
      </c>
      <c r="AV86" s="237">
        <f t="shared" si="18"/>
        <v>0</v>
      </c>
      <c r="AX86" s="251">
        <f t="shared" si="22"/>
        <v>0</v>
      </c>
      <c r="AY86" s="251">
        <f t="shared" si="22"/>
        <v>0</v>
      </c>
      <c r="AZ86" s="251">
        <f t="shared" si="22"/>
        <v>0</v>
      </c>
      <c r="BA86" s="251">
        <f t="shared" si="23"/>
        <v>0</v>
      </c>
      <c r="BB86" s="251">
        <f t="shared" si="23"/>
        <v>0</v>
      </c>
      <c r="BC86" s="251">
        <f t="shared" si="24"/>
        <v>0</v>
      </c>
      <c r="BD86" s="270" t="e">
        <f t="shared" si="25"/>
        <v>#DIV/0!</v>
      </c>
      <c r="BE86" s="251">
        <f t="shared" si="26"/>
        <v>0</v>
      </c>
      <c r="BF86" s="251">
        <f t="shared" si="27"/>
        <v>0</v>
      </c>
    </row>
    <row r="87" spans="1:58">
      <c r="A87" s="11">
        <v>42278</v>
      </c>
      <c r="B87" s="268">
        <v>70</v>
      </c>
      <c r="C87" s="268"/>
      <c r="D87" s="268"/>
      <c r="E87" s="268">
        <v>3</v>
      </c>
      <c r="F87" s="269">
        <v>0.2</v>
      </c>
      <c r="G87" s="269">
        <v>1.32</v>
      </c>
      <c r="H87" s="269">
        <v>12</v>
      </c>
      <c r="I87" s="269"/>
      <c r="J87" s="269">
        <v>2</v>
      </c>
      <c r="K87" s="269">
        <v>1.32</v>
      </c>
      <c r="L87" s="269">
        <v>14.4</v>
      </c>
      <c r="M87" s="269">
        <f t="shared" ref="M87:M150" si="34">$M$3</f>
        <v>1.5</v>
      </c>
      <c r="N87" s="269">
        <v>10</v>
      </c>
      <c r="O87" s="269">
        <f t="shared" si="20"/>
        <v>17.699535849485258</v>
      </c>
      <c r="Q87" s="251">
        <f t="shared" si="33"/>
        <v>133.43953584948525</v>
      </c>
      <c r="R87" s="251">
        <v>0</v>
      </c>
      <c r="S87" s="251">
        <f t="shared" si="19"/>
        <v>133.43953584948525</v>
      </c>
      <c r="AB87" s="251">
        <f>SUM('BD Feedstock'!C85,'BD Feedstock'!E85,'BD Feedstock'!G85,'BD Feedstock'!K85,'BD Feedstock'!T85)</f>
        <v>15.838837677094421</v>
      </c>
      <c r="AC87" s="251">
        <f>SUM('BD Feedstock'!D85,'BD Feedstock'!F85,'BD Feedstock'!H85,'BD Feedstock'!I85,'BD Feedstock'!L85,'BD Feedstock'!M85,'BD Feedstock'!N85,'BD Feedstock'!O85,'BD Feedstock'!U85)</f>
        <v>8.0207412508596612</v>
      </c>
      <c r="AD87" s="251">
        <f>'BD Feedstock'!J85</f>
        <v>0.90199999999999991</v>
      </c>
      <c r="AE87" s="251">
        <f>SUM('BD Feedstock'!B85,'BD Feedstock'!P85,'BD Feedstock'!Q85,'BD Feedstock'!R85)</f>
        <v>59.227499999999999</v>
      </c>
      <c r="AF87" s="251">
        <f>'BD Feedstock'!S85</f>
        <v>0.31250000000000006</v>
      </c>
      <c r="AG87" s="251">
        <f t="shared" si="28"/>
        <v>84.301578927954083</v>
      </c>
      <c r="AK87" s="237">
        <f t="shared" si="21"/>
        <v>0.1878830489121755</v>
      </c>
      <c r="AL87" s="237">
        <f t="shared" si="21"/>
        <v>9.5143428543780384E-2</v>
      </c>
      <c r="AM87" s="237">
        <f t="shared" si="21"/>
        <v>1.0699680972415335E-2</v>
      </c>
      <c r="AN87" s="237">
        <f t="shared" si="21"/>
        <v>0.70256691218817002</v>
      </c>
      <c r="AO87" s="237">
        <f t="shared" si="21"/>
        <v>3.7069293834587507E-3</v>
      </c>
      <c r="AP87" s="237">
        <f t="shared" si="29"/>
        <v>1</v>
      </c>
      <c r="AQ87" s="237"/>
      <c r="AR87" s="237">
        <f t="shared" si="30"/>
        <v>0.63965378472749512</v>
      </c>
      <c r="AS87" s="237">
        <f t="shared" si="31"/>
        <v>0.32391881285909468</v>
      </c>
      <c r="AT87" s="237">
        <f t="shared" si="32"/>
        <v>3.6427402413410123E-2</v>
      </c>
      <c r="AU87" s="237">
        <f t="shared" si="18"/>
        <v>0.99475142761168966</v>
      </c>
      <c r="AV87" s="237">
        <f t="shared" si="18"/>
        <v>5.2485723883103803E-3</v>
      </c>
      <c r="AX87" s="251">
        <f t="shared" si="22"/>
        <v>0</v>
      </c>
      <c r="AY87" s="251">
        <f t="shared" si="22"/>
        <v>0</v>
      </c>
      <c r="AZ87" s="251">
        <f t="shared" si="22"/>
        <v>0</v>
      </c>
      <c r="BA87" s="251">
        <f t="shared" si="23"/>
        <v>0</v>
      </c>
      <c r="BB87" s="251">
        <f t="shared" si="23"/>
        <v>0</v>
      </c>
      <c r="BC87" s="251">
        <f t="shared" si="24"/>
        <v>0</v>
      </c>
      <c r="BD87" s="270" t="e">
        <f t="shared" si="25"/>
        <v>#DIV/0!</v>
      </c>
      <c r="BE87" s="251">
        <f t="shared" si="26"/>
        <v>0</v>
      </c>
      <c r="BF87" s="251">
        <f t="shared" si="27"/>
        <v>0</v>
      </c>
    </row>
    <row r="88" spans="1:58">
      <c r="A88" s="11">
        <v>42309</v>
      </c>
      <c r="B88" s="268">
        <v>70</v>
      </c>
      <c r="C88" s="268"/>
      <c r="D88" s="268"/>
      <c r="E88" s="268">
        <v>3</v>
      </c>
      <c r="F88" s="269">
        <v>0.2</v>
      </c>
      <c r="G88" s="269">
        <v>1.32</v>
      </c>
      <c r="H88" s="269">
        <v>12</v>
      </c>
      <c r="I88" s="269"/>
      <c r="J88" s="269">
        <v>2</v>
      </c>
      <c r="K88" s="269">
        <v>1.32</v>
      </c>
      <c r="L88" s="269">
        <v>14.4</v>
      </c>
      <c r="M88" s="269">
        <f t="shared" si="34"/>
        <v>1.5</v>
      </c>
      <c r="N88" s="269">
        <v>25</v>
      </c>
      <c r="O88" s="269">
        <f t="shared" si="20"/>
        <v>17.699535849485258</v>
      </c>
      <c r="Q88" s="251">
        <f t="shared" si="33"/>
        <v>148.43953584948525</v>
      </c>
      <c r="R88" s="251">
        <v>0</v>
      </c>
      <c r="S88" s="251">
        <f t="shared" si="19"/>
        <v>148.43953584948525</v>
      </c>
      <c r="AB88" s="251">
        <f>SUM('BD Feedstock'!C86,'BD Feedstock'!E86,'BD Feedstock'!G86,'BD Feedstock'!K86,'BD Feedstock'!T86)</f>
        <v>15.838837677094421</v>
      </c>
      <c r="AC88" s="251">
        <f>SUM('BD Feedstock'!D86,'BD Feedstock'!F86,'BD Feedstock'!H86,'BD Feedstock'!I86,'BD Feedstock'!L86,'BD Feedstock'!M86,'BD Feedstock'!N86,'BD Feedstock'!O86,'BD Feedstock'!U86)</f>
        <v>8.0207412508596612</v>
      </c>
      <c r="AD88" s="251">
        <f>'BD Feedstock'!J86</f>
        <v>0.90199999999999991</v>
      </c>
      <c r="AE88" s="251">
        <f>SUM('BD Feedstock'!B86,'BD Feedstock'!P86,'BD Feedstock'!Q86,'BD Feedstock'!R86)</f>
        <v>68.074375000000003</v>
      </c>
      <c r="AF88" s="251">
        <f>'BD Feedstock'!S86</f>
        <v>0.78125000000000011</v>
      </c>
      <c r="AG88" s="251">
        <f t="shared" si="28"/>
        <v>93.61720392795408</v>
      </c>
      <c r="AK88" s="237">
        <f t="shared" si="21"/>
        <v>0.16918725418549857</v>
      </c>
      <c r="AL88" s="237">
        <f t="shared" si="21"/>
        <v>8.5675932567183519E-2</v>
      </c>
      <c r="AM88" s="237">
        <f t="shared" si="21"/>
        <v>9.6349812016834104E-3</v>
      </c>
      <c r="AN88" s="237">
        <f t="shared" si="21"/>
        <v>0.72715667787289051</v>
      </c>
      <c r="AO88" s="237">
        <f t="shared" si="21"/>
        <v>8.3451541727440869E-3</v>
      </c>
      <c r="AP88" s="237">
        <f t="shared" si="29"/>
        <v>1.0000000000000002</v>
      </c>
      <c r="AQ88" s="237"/>
      <c r="AR88" s="237">
        <f t="shared" si="30"/>
        <v>0.63965378472749512</v>
      </c>
      <c r="AS88" s="237">
        <f t="shared" si="31"/>
        <v>0.32391881285909468</v>
      </c>
      <c r="AT88" s="237">
        <f t="shared" si="32"/>
        <v>3.6427402413410123E-2</v>
      </c>
      <c r="AU88" s="237">
        <f t="shared" si="18"/>
        <v>0.98865379553231858</v>
      </c>
      <c r="AV88" s="237">
        <f t="shared" si="18"/>
        <v>1.1346204467681472E-2</v>
      </c>
      <c r="AX88" s="251">
        <f t="shared" si="22"/>
        <v>0</v>
      </c>
      <c r="AY88" s="251">
        <f t="shared" si="22"/>
        <v>0</v>
      </c>
      <c r="AZ88" s="251">
        <f t="shared" si="22"/>
        <v>0</v>
      </c>
      <c r="BA88" s="251">
        <f t="shared" si="23"/>
        <v>0</v>
      </c>
      <c r="BB88" s="251">
        <f t="shared" si="23"/>
        <v>0</v>
      </c>
      <c r="BC88" s="251">
        <f t="shared" si="24"/>
        <v>0</v>
      </c>
      <c r="BD88" s="270" t="e">
        <f t="shared" si="25"/>
        <v>#DIV/0!</v>
      </c>
      <c r="BE88" s="251">
        <f t="shared" si="26"/>
        <v>0</v>
      </c>
      <c r="BF88" s="251">
        <f t="shared" si="27"/>
        <v>0</v>
      </c>
    </row>
    <row r="89" spans="1:58">
      <c r="A89" s="11">
        <v>42339</v>
      </c>
      <c r="B89" s="268">
        <v>70</v>
      </c>
      <c r="C89" s="268"/>
      <c r="D89" s="268"/>
      <c r="E89" s="268">
        <v>3</v>
      </c>
      <c r="F89" s="269">
        <v>0.2</v>
      </c>
      <c r="G89" s="269">
        <v>1.32</v>
      </c>
      <c r="H89" s="269">
        <v>12</v>
      </c>
      <c r="I89" s="269"/>
      <c r="J89" s="269">
        <v>2</v>
      </c>
      <c r="K89" s="269">
        <v>1.32</v>
      </c>
      <c r="L89" s="269">
        <v>14.4</v>
      </c>
      <c r="M89" s="269">
        <f t="shared" si="34"/>
        <v>1.5</v>
      </c>
      <c r="N89" s="269">
        <v>45</v>
      </c>
      <c r="O89" s="269">
        <f t="shared" si="20"/>
        <v>17.699535849485258</v>
      </c>
      <c r="Q89" s="251">
        <f t="shared" si="33"/>
        <v>168.43953584948525</v>
      </c>
      <c r="R89" s="251">
        <v>0</v>
      </c>
      <c r="S89" s="251">
        <f t="shared" si="19"/>
        <v>168.43953584948525</v>
      </c>
      <c r="AB89" s="251">
        <f>SUM('BD Feedstock'!C87,'BD Feedstock'!E87,'BD Feedstock'!G87,'BD Feedstock'!K87,'BD Feedstock'!T87)</f>
        <v>15.838837677094421</v>
      </c>
      <c r="AC89" s="251">
        <f>SUM('BD Feedstock'!D87,'BD Feedstock'!F87,'BD Feedstock'!H87,'BD Feedstock'!I87,'BD Feedstock'!L87,'BD Feedstock'!M87,'BD Feedstock'!N87,'BD Feedstock'!O87,'BD Feedstock'!U87)</f>
        <v>8.0207412508596612</v>
      </c>
      <c r="AD89" s="251">
        <f>'BD Feedstock'!J87</f>
        <v>0.90199999999999991</v>
      </c>
      <c r="AE89" s="251">
        <f>SUM('BD Feedstock'!B87,'BD Feedstock'!P87,'BD Feedstock'!Q87,'BD Feedstock'!R87)</f>
        <v>79.870208333333338</v>
      </c>
      <c r="AF89" s="251">
        <f>'BD Feedstock'!S87</f>
        <v>1.40625</v>
      </c>
      <c r="AG89" s="251">
        <f t="shared" si="28"/>
        <v>106.03803726128743</v>
      </c>
      <c r="AK89" s="237">
        <f t="shared" si="21"/>
        <v>0.14936939692750137</v>
      </c>
      <c r="AL89" s="237">
        <f t="shared" si="21"/>
        <v>7.5640227394022957E-2</v>
      </c>
      <c r="AM89" s="237">
        <f t="shared" si="21"/>
        <v>8.5063815145633957E-3</v>
      </c>
      <c r="AN89" s="237">
        <f t="shared" si="21"/>
        <v>0.7532222436042062</v>
      </c>
      <c r="AO89" s="237">
        <f t="shared" si="21"/>
        <v>1.326175055970596E-2</v>
      </c>
      <c r="AP89" s="237">
        <f t="shared" si="29"/>
        <v>0.99999999999999978</v>
      </c>
      <c r="AQ89" s="237"/>
      <c r="AR89" s="237">
        <f t="shared" si="30"/>
        <v>0.63965378472749512</v>
      </c>
      <c r="AS89" s="237">
        <f t="shared" si="31"/>
        <v>0.32391881285909468</v>
      </c>
      <c r="AT89" s="237">
        <f t="shared" si="32"/>
        <v>3.6427402413410123E-2</v>
      </c>
      <c r="AU89" s="237">
        <f t="shared" si="18"/>
        <v>0.98269794195223603</v>
      </c>
      <c r="AV89" s="237">
        <f t="shared" si="18"/>
        <v>1.7302058047763934E-2</v>
      </c>
      <c r="AX89" s="251">
        <f t="shared" si="22"/>
        <v>0</v>
      </c>
      <c r="AY89" s="251">
        <f t="shared" si="22"/>
        <v>0</v>
      </c>
      <c r="AZ89" s="251">
        <f t="shared" si="22"/>
        <v>0</v>
      </c>
      <c r="BA89" s="251">
        <f t="shared" si="23"/>
        <v>0</v>
      </c>
      <c r="BB89" s="251">
        <f t="shared" si="23"/>
        <v>0</v>
      </c>
      <c r="BC89" s="251">
        <f t="shared" si="24"/>
        <v>0</v>
      </c>
      <c r="BD89" s="270" t="e">
        <f t="shared" si="25"/>
        <v>#DIV/0!</v>
      </c>
      <c r="BE89" s="251">
        <f t="shared" si="26"/>
        <v>0</v>
      </c>
      <c r="BF89" s="251">
        <f t="shared" si="27"/>
        <v>0</v>
      </c>
    </row>
    <row r="90" spans="1:58">
      <c r="A90" s="11">
        <v>42370</v>
      </c>
      <c r="B90" s="268">
        <v>70</v>
      </c>
      <c r="C90" s="268"/>
      <c r="D90" s="268"/>
      <c r="E90" s="268">
        <v>3</v>
      </c>
      <c r="F90" s="269">
        <v>0.2</v>
      </c>
      <c r="G90" s="269">
        <v>1.32</v>
      </c>
      <c r="H90" s="269">
        <v>12</v>
      </c>
      <c r="I90" s="269"/>
      <c r="J90" s="269">
        <v>2</v>
      </c>
      <c r="K90" s="269">
        <v>1.32</v>
      </c>
      <c r="L90" s="269">
        <v>18</v>
      </c>
      <c r="M90" s="269">
        <f t="shared" si="34"/>
        <v>1.5</v>
      </c>
      <c r="N90" s="269">
        <v>45</v>
      </c>
      <c r="O90" s="269">
        <f t="shared" si="20"/>
        <v>17.699535849485258</v>
      </c>
      <c r="Q90" s="251">
        <f t="shared" si="33"/>
        <v>172.03953584948522</v>
      </c>
      <c r="R90" s="251">
        <v>0</v>
      </c>
      <c r="S90" s="251">
        <f t="shared" si="19"/>
        <v>172.03953584948522</v>
      </c>
      <c r="AB90" s="251">
        <f>SUM('BD Feedstock'!C88,'BD Feedstock'!E88,'BD Feedstock'!G88,'BD Feedstock'!K88,'BD Feedstock'!T88)</f>
        <v>15.838837677094421</v>
      </c>
      <c r="AC90" s="251">
        <f>SUM('BD Feedstock'!D88,'BD Feedstock'!F88,'BD Feedstock'!H88,'BD Feedstock'!I88,'BD Feedstock'!L88,'BD Feedstock'!M88,'BD Feedstock'!N88,'BD Feedstock'!O88,'BD Feedstock'!U88)</f>
        <v>8.0207412508596612</v>
      </c>
      <c r="AD90" s="251">
        <f>'BD Feedstock'!J88</f>
        <v>0.90199999999999991</v>
      </c>
      <c r="AE90" s="251">
        <f>SUM('BD Feedstock'!B88,'BD Feedstock'!P88,'BD Feedstock'!Q88,'BD Feedstock'!R88)</f>
        <v>82.105208333333337</v>
      </c>
      <c r="AF90" s="251">
        <f>'BD Feedstock'!S88</f>
        <v>1.40625</v>
      </c>
      <c r="AG90" s="251">
        <f t="shared" si="28"/>
        <v>108.27303726128741</v>
      </c>
      <c r="AK90" s="237">
        <f t="shared" si="21"/>
        <v>0.14628607525686854</v>
      </c>
      <c r="AL90" s="237">
        <f t="shared" si="21"/>
        <v>7.4078842283733043E-2</v>
      </c>
      <c r="AM90" s="237">
        <f t="shared" si="21"/>
        <v>8.3307905903042996E-3</v>
      </c>
      <c r="AN90" s="237">
        <f t="shared" si="21"/>
        <v>0.75831629378969789</v>
      </c>
      <c r="AO90" s="237">
        <f t="shared" si="21"/>
        <v>1.2987998079396254E-2</v>
      </c>
      <c r="AP90" s="237">
        <f t="shared" si="29"/>
        <v>1</v>
      </c>
      <c r="AQ90" s="237"/>
      <c r="AR90" s="237">
        <f t="shared" si="30"/>
        <v>0.63965378472749512</v>
      </c>
      <c r="AS90" s="237">
        <f t="shared" si="31"/>
        <v>0.32391881285909468</v>
      </c>
      <c r="AT90" s="237">
        <f t="shared" si="32"/>
        <v>3.6427402413410123E-2</v>
      </c>
      <c r="AU90" s="237">
        <f t="shared" si="18"/>
        <v>0.98316099337665741</v>
      </c>
      <c r="AV90" s="237">
        <f t="shared" si="18"/>
        <v>1.6839006623342603E-2</v>
      </c>
      <c r="AX90" s="251">
        <f t="shared" si="22"/>
        <v>0</v>
      </c>
      <c r="AY90" s="251">
        <f t="shared" si="22"/>
        <v>0</v>
      </c>
      <c r="AZ90" s="251">
        <f t="shared" si="22"/>
        <v>0</v>
      </c>
      <c r="BA90" s="251">
        <f t="shared" si="23"/>
        <v>0</v>
      </c>
      <c r="BB90" s="251">
        <f t="shared" si="23"/>
        <v>0</v>
      </c>
      <c r="BC90" s="251">
        <f t="shared" si="24"/>
        <v>0</v>
      </c>
      <c r="BD90" s="270" t="e">
        <f t="shared" si="25"/>
        <v>#DIV/0!</v>
      </c>
      <c r="BE90" s="251">
        <f t="shared" si="26"/>
        <v>0</v>
      </c>
      <c r="BF90" s="251">
        <f t="shared" si="27"/>
        <v>0</v>
      </c>
    </row>
    <row r="91" spans="1:58">
      <c r="A91" s="11">
        <v>42401</v>
      </c>
      <c r="B91" s="268">
        <v>70</v>
      </c>
      <c r="C91" s="268"/>
      <c r="D91" s="268"/>
      <c r="E91" s="268">
        <v>3</v>
      </c>
      <c r="F91" s="269">
        <v>0.2</v>
      </c>
      <c r="G91" s="269">
        <v>1.32</v>
      </c>
      <c r="H91" s="269">
        <v>12</v>
      </c>
      <c r="I91" s="269"/>
      <c r="J91" s="269">
        <v>2</v>
      </c>
      <c r="K91" s="269">
        <v>1.32</v>
      </c>
      <c r="L91" s="269">
        <v>18</v>
      </c>
      <c r="M91" s="269">
        <f t="shared" si="34"/>
        <v>1.5</v>
      </c>
      <c r="N91" s="269">
        <v>45</v>
      </c>
      <c r="O91" s="269">
        <f t="shared" si="20"/>
        <v>17.699535849485258</v>
      </c>
      <c r="Q91" s="251">
        <f t="shared" si="33"/>
        <v>172.03953584948522</v>
      </c>
      <c r="R91" s="251">
        <v>0</v>
      </c>
      <c r="S91" s="251">
        <f t="shared" si="19"/>
        <v>172.03953584948522</v>
      </c>
      <c r="AB91" s="251">
        <f>SUM('BD Feedstock'!C89,'BD Feedstock'!E89,'BD Feedstock'!G89,'BD Feedstock'!K89,'BD Feedstock'!T89)</f>
        <v>15.838837677094421</v>
      </c>
      <c r="AC91" s="251">
        <f>SUM('BD Feedstock'!D89,'BD Feedstock'!F89,'BD Feedstock'!H89,'BD Feedstock'!I89,'BD Feedstock'!L89,'BD Feedstock'!M89,'BD Feedstock'!N89,'BD Feedstock'!O89,'BD Feedstock'!U89)</f>
        <v>8.0207412508596612</v>
      </c>
      <c r="AD91" s="251">
        <f>'BD Feedstock'!J89</f>
        <v>0.90199999999999991</v>
      </c>
      <c r="AE91" s="251">
        <f>SUM('BD Feedstock'!B89,'BD Feedstock'!P89,'BD Feedstock'!Q89,'BD Feedstock'!R89)</f>
        <v>82.105208333333337</v>
      </c>
      <c r="AF91" s="251">
        <f>'BD Feedstock'!S89</f>
        <v>1.40625</v>
      </c>
      <c r="AG91" s="251">
        <f t="shared" si="28"/>
        <v>108.27303726128741</v>
      </c>
      <c r="AK91" s="237">
        <f t="shared" si="21"/>
        <v>0.14628607525686854</v>
      </c>
      <c r="AL91" s="237">
        <f t="shared" si="21"/>
        <v>7.4078842283733043E-2</v>
      </c>
      <c r="AM91" s="237">
        <f t="shared" si="21"/>
        <v>8.3307905903042996E-3</v>
      </c>
      <c r="AN91" s="237">
        <f t="shared" si="21"/>
        <v>0.75831629378969789</v>
      </c>
      <c r="AO91" s="237">
        <f t="shared" si="21"/>
        <v>1.2987998079396254E-2</v>
      </c>
      <c r="AP91" s="237">
        <f t="shared" si="29"/>
        <v>1</v>
      </c>
      <c r="AQ91" s="237"/>
      <c r="AR91" s="237">
        <f t="shared" si="30"/>
        <v>0.63965378472749512</v>
      </c>
      <c r="AS91" s="237">
        <f t="shared" si="31"/>
        <v>0.32391881285909468</v>
      </c>
      <c r="AT91" s="237">
        <f t="shared" si="32"/>
        <v>3.6427402413410123E-2</v>
      </c>
      <c r="AU91" s="237">
        <f t="shared" si="18"/>
        <v>0.98316099337665741</v>
      </c>
      <c r="AV91" s="237">
        <f t="shared" si="18"/>
        <v>1.6839006623342603E-2</v>
      </c>
      <c r="AX91" s="251">
        <f t="shared" si="22"/>
        <v>0</v>
      </c>
      <c r="AY91" s="251">
        <f t="shared" si="22"/>
        <v>0</v>
      </c>
      <c r="AZ91" s="251">
        <f t="shared" si="22"/>
        <v>0</v>
      </c>
      <c r="BA91" s="251">
        <f t="shared" si="23"/>
        <v>0</v>
      </c>
      <c r="BB91" s="251">
        <f t="shared" si="23"/>
        <v>0</v>
      </c>
      <c r="BC91" s="251">
        <f t="shared" si="24"/>
        <v>0</v>
      </c>
      <c r="BD91" s="270" t="e">
        <f t="shared" si="25"/>
        <v>#DIV/0!</v>
      </c>
      <c r="BE91" s="251">
        <f t="shared" si="26"/>
        <v>0</v>
      </c>
      <c r="BF91" s="251">
        <f t="shared" si="27"/>
        <v>0</v>
      </c>
    </row>
    <row r="92" spans="1:58">
      <c r="A92" s="11">
        <v>42430</v>
      </c>
      <c r="B92" s="268">
        <v>70</v>
      </c>
      <c r="C92" s="268"/>
      <c r="D92" s="268"/>
      <c r="E92" s="268">
        <v>3</v>
      </c>
      <c r="F92" s="269">
        <v>0.2</v>
      </c>
      <c r="G92" s="269">
        <v>1.32</v>
      </c>
      <c r="H92" s="269">
        <v>12</v>
      </c>
      <c r="I92" s="269"/>
      <c r="J92" s="269">
        <v>2</v>
      </c>
      <c r="K92" s="269">
        <v>1.32</v>
      </c>
      <c r="L92" s="269">
        <v>18</v>
      </c>
      <c r="M92" s="269">
        <f t="shared" si="34"/>
        <v>1.5</v>
      </c>
      <c r="N92" s="269">
        <v>45</v>
      </c>
      <c r="O92" s="269">
        <f t="shared" si="20"/>
        <v>17.699535849485258</v>
      </c>
      <c r="Q92" s="251">
        <f t="shared" si="33"/>
        <v>172.03953584948522</v>
      </c>
      <c r="R92" s="251">
        <v>0</v>
      </c>
      <c r="S92" s="251">
        <f t="shared" si="19"/>
        <v>172.03953584948522</v>
      </c>
      <c r="AB92" s="251">
        <f>SUM('BD Feedstock'!C90,'BD Feedstock'!E90,'BD Feedstock'!G90,'BD Feedstock'!K90,'BD Feedstock'!T90)</f>
        <v>15.838837677094421</v>
      </c>
      <c r="AC92" s="251">
        <f>SUM('BD Feedstock'!D90,'BD Feedstock'!F90,'BD Feedstock'!H90,'BD Feedstock'!I90,'BD Feedstock'!L90,'BD Feedstock'!M90,'BD Feedstock'!N90,'BD Feedstock'!O90,'BD Feedstock'!U90)</f>
        <v>8.0207412508596612</v>
      </c>
      <c r="AD92" s="251">
        <f>'BD Feedstock'!J90</f>
        <v>0.90199999999999991</v>
      </c>
      <c r="AE92" s="251">
        <f>SUM('BD Feedstock'!B90,'BD Feedstock'!P90,'BD Feedstock'!Q90,'BD Feedstock'!R90)</f>
        <v>82.105208333333337</v>
      </c>
      <c r="AF92" s="251">
        <f>'BD Feedstock'!S90</f>
        <v>1.40625</v>
      </c>
      <c r="AG92" s="251">
        <f t="shared" si="28"/>
        <v>108.27303726128741</v>
      </c>
      <c r="AK92" s="237">
        <f t="shared" si="21"/>
        <v>0.14628607525686854</v>
      </c>
      <c r="AL92" s="237">
        <f t="shared" si="21"/>
        <v>7.4078842283733043E-2</v>
      </c>
      <c r="AM92" s="237">
        <f t="shared" si="21"/>
        <v>8.3307905903042996E-3</v>
      </c>
      <c r="AN92" s="237">
        <f t="shared" si="21"/>
        <v>0.75831629378969789</v>
      </c>
      <c r="AO92" s="237">
        <f t="shared" si="21"/>
        <v>1.2987998079396254E-2</v>
      </c>
      <c r="AP92" s="237">
        <f t="shared" si="29"/>
        <v>1</v>
      </c>
      <c r="AQ92" s="237"/>
      <c r="AR92" s="237">
        <f t="shared" si="30"/>
        <v>0.63965378472749512</v>
      </c>
      <c r="AS92" s="237">
        <f t="shared" si="31"/>
        <v>0.32391881285909468</v>
      </c>
      <c r="AT92" s="237">
        <f t="shared" si="32"/>
        <v>3.6427402413410123E-2</v>
      </c>
      <c r="AU92" s="237">
        <f t="shared" si="18"/>
        <v>0.98316099337665741</v>
      </c>
      <c r="AV92" s="237">
        <f t="shared" si="18"/>
        <v>1.6839006623342603E-2</v>
      </c>
      <c r="AX92" s="251">
        <f t="shared" si="22"/>
        <v>0</v>
      </c>
      <c r="AY92" s="251">
        <f t="shared" si="22"/>
        <v>0</v>
      </c>
      <c r="AZ92" s="251">
        <f t="shared" si="22"/>
        <v>0</v>
      </c>
      <c r="BA92" s="251">
        <f t="shared" si="23"/>
        <v>0</v>
      </c>
      <c r="BB92" s="251">
        <f t="shared" si="23"/>
        <v>0</v>
      </c>
      <c r="BC92" s="251">
        <f t="shared" si="24"/>
        <v>0</v>
      </c>
      <c r="BD92" s="270" t="e">
        <f t="shared" si="25"/>
        <v>#DIV/0!</v>
      </c>
      <c r="BE92" s="251">
        <f t="shared" si="26"/>
        <v>0</v>
      </c>
      <c r="BF92" s="251">
        <f t="shared" si="27"/>
        <v>0</v>
      </c>
    </row>
    <row r="93" spans="1:58">
      <c r="A93" s="11">
        <v>42461</v>
      </c>
      <c r="B93" s="268">
        <v>70</v>
      </c>
      <c r="C93" s="268"/>
      <c r="D93" s="268"/>
      <c r="E93" s="268">
        <v>3</v>
      </c>
      <c r="F93" s="269">
        <v>0.2</v>
      </c>
      <c r="G93" s="269">
        <v>1.32</v>
      </c>
      <c r="H93" s="269">
        <v>12</v>
      </c>
      <c r="I93" s="269"/>
      <c r="J93" s="269">
        <v>2</v>
      </c>
      <c r="K93" s="269">
        <v>1.32</v>
      </c>
      <c r="L93" s="269">
        <v>18</v>
      </c>
      <c r="M93" s="269">
        <f t="shared" si="34"/>
        <v>1.5</v>
      </c>
      <c r="N93" s="269">
        <v>45</v>
      </c>
      <c r="O93" s="269">
        <f t="shared" si="20"/>
        <v>17.699535849485258</v>
      </c>
      <c r="Q93" s="251">
        <f t="shared" si="33"/>
        <v>172.03953584948522</v>
      </c>
      <c r="R93" s="251">
        <v>0</v>
      </c>
      <c r="S93" s="251">
        <f t="shared" si="19"/>
        <v>172.03953584948522</v>
      </c>
      <c r="AB93" s="251">
        <f>SUM('BD Feedstock'!C91,'BD Feedstock'!E91,'BD Feedstock'!G91,'BD Feedstock'!K91,'BD Feedstock'!T91)</f>
        <v>15.838837677094421</v>
      </c>
      <c r="AC93" s="251">
        <f>SUM('BD Feedstock'!D91,'BD Feedstock'!F91,'BD Feedstock'!H91,'BD Feedstock'!I91,'BD Feedstock'!L91,'BD Feedstock'!M91,'BD Feedstock'!N91,'BD Feedstock'!O91,'BD Feedstock'!U91)</f>
        <v>8.0207412508596612</v>
      </c>
      <c r="AD93" s="251">
        <f>'BD Feedstock'!J91</f>
        <v>0.90199999999999991</v>
      </c>
      <c r="AE93" s="251">
        <f>SUM('BD Feedstock'!B91,'BD Feedstock'!P91,'BD Feedstock'!Q91,'BD Feedstock'!R91)</f>
        <v>82.105208333333337</v>
      </c>
      <c r="AF93" s="251">
        <f>'BD Feedstock'!S91</f>
        <v>1.40625</v>
      </c>
      <c r="AG93" s="251">
        <f t="shared" si="28"/>
        <v>108.27303726128741</v>
      </c>
      <c r="AK93" s="237">
        <f t="shared" si="21"/>
        <v>0.14628607525686854</v>
      </c>
      <c r="AL93" s="237">
        <f t="shared" si="21"/>
        <v>7.4078842283733043E-2</v>
      </c>
      <c r="AM93" s="237">
        <f t="shared" si="21"/>
        <v>8.3307905903042996E-3</v>
      </c>
      <c r="AN93" s="237">
        <f t="shared" si="21"/>
        <v>0.75831629378969789</v>
      </c>
      <c r="AO93" s="237">
        <f t="shared" si="21"/>
        <v>1.2987998079396254E-2</v>
      </c>
      <c r="AP93" s="237">
        <f t="shared" si="29"/>
        <v>1</v>
      </c>
      <c r="AQ93" s="237"/>
      <c r="AR93" s="237">
        <f t="shared" si="30"/>
        <v>0.63965378472749512</v>
      </c>
      <c r="AS93" s="237">
        <f t="shared" si="31"/>
        <v>0.32391881285909468</v>
      </c>
      <c r="AT93" s="237">
        <f t="shared" si="32"/>
        <v>3.6427402413410123E-2</v>
      </c>
      <c r="AU93" s="237">
        <f t="shared" si="18"/>
        <v>0.98316099337665741</v>
      </c>
      <c r="AV93" s="237">
        <f t="shared" si="18"/>
        <v>1.6839006623342603E-2</v>
      </c>
      <c r="AX93" s="251">
        <f t="shared" si="22"/>
        <v>0</v>
      </c>
      <c r="AY93" s="251">
        <f t="shared" si="22"/>
        <v>0</v>
      </c>
      <c r="AZ93" s="251">
        <f t="shared" si="22"/>
        <v>0</v>
      </c>
      <c r="BA93" s="251">
        <f t="shared" si="23"/>
        <v>0</v>
      </c>
      <c r="BB93" s="251">
        <f t="shared" si="23"/>
        <v>0</v>
      </c>
      <c r="BC93" s="251">
        <f t="shared" si="24"/>
        <v>0</v>
      </c>
      <c r="BD93" s="270" t="e">
        <f t="shared" si="25"/>
        <v>#DIV/0!</v>
      </c>
      <c r="BE93" s="251">
        <f t="shared" si="26"/>
        <v>0</v>
      </c>
      <c r="BF93" s="251">
        <f t="shared" si="27"/>
        <v>0</v>
      </c>
    </row>
    <row r="94" spans="1:58">
      <c r="A94" s="11">
        <v>42491</v>
      </c>
      <c r="B94" s="268">
        <v>70</v>
      </c>
      <c r="C94" s="268"/>
      <c r="D94" s="268"/>
      <c r="E94" s="268">
        <v>3</v>
      </c>
      <c r="F94" s="269">
        <v>0.2</v>
      </c>
      <c r="G94" s="269">
        <v>1.32</v>
      </c>
      <c r="H94" s="269">
        <v>12</v>
      </c>
      <c r="I94" s="269"/>
      <c r="J94" s="269">
        <v>2</v>
      </c>
      <c r="K94" s="269">
        <v>1.32</v>
      </c>
      <c r="L94" s="269">
        <v>18</v>
      </c>
      <c r="M94" s="269">
        <f t="shared" si="34"/>
        <v>1.5</v>
      </c>
      <c r="N94" s="269">
        <v>45</v>
      </c>
      <c r="O94" s="269">
        <f t="shared" si="20"/>
        <v>17.699535849485258</v>
      </c>
      <c r="Q94" s="251">
        <f t="shared" si="33"/>
        <v>172.03953584948522</v>
      </c>
      <c r="R94" s="251">
        <v>0</v>
      </c>
      <c r="S94" s="251">
        <f t="shared" si="19"/>
        <v>172.03953584948522</v>
      </c>
      <c r="AB94" s="251">
        <f>SUM('BD Feedstock'!C92,'BD Feedstock'!E92,'BD Feedstock'!G92,'BD Feedstock'!K92,'BD Feedstock'!T92)</f>
        <v>15.838837677094421</v>
      </c>
      <c r="AC94" s="251">
        <f>SUM('BD Feedstock'!D92,'BD Feedstock'!F92,'BD Feedstock'!H92,'BD Feedstock'!I92,'BD Feedstock'!L92,'BD Feedstock'!M92,'BD Feedstock'!N92,'BD Feedstock'!O92,'BD Feedstock'!U92)</f>
        <v>8.0207412508596612</v>
      </c>
      <c r="AD94" s="251">
        <f>'BD Feedstock'!J92</f>
        <v>0.90199999999999991</v>
      </c>
      <c r="AE94" s="251">
        <f>SUM('BD Feedstock'!B92,'BD Feedstock'!P92,'BD Feedstock'!Q92,'BD Feedstock'!R92)</f>
        <v>82.105208333333337</v>
      </c>
      <c r="AF94" s="251">
        <f>'BD Feedstock'!S92</f>
        <v>1.40625</v>
      </c>
      <c r="AG94" s="251">
        <f t="shared" si="28"/>
        <v>108.27303726128741</v>
      </c>
      <c r="AK94" s="237">
        <f t="shared" si="21"/>
        <v>0.14628607525686854</v>
      </c>
      <c r="AL94" s="237">
        <f t="shared" si="21"/>
        <v>7.4078842283733043E-2</v>
      </c>
      <c r="AM94" s="237">
        <f t="shared" si="21"/>
        <v>8.3307905903042996E-3</v>
      </c>
      <c r="AN94" s="237">
        <f t="shared" si="21"/>
        <v>0.75831629378969789</v>
      </c>
      <c r="AO94" s="237">
        <f t="shared" si="21"/>
        <v>1.2987998079396254E-2</v>
      </c>
      <c r="AP94" s="237">
        <f t="shared" si="29"/>
        <v>1</v>
      </c>
      <c r="AQ94" s="237"/>
      <c r="AR94" s="237">
        <f t="shared" si="30"/>
        <v>0.63965378472749512</v>
      </c>
      <c r="AS94" s="237">
        <f t="shared" si="31"/>
        <v>0.32391881285909468</v>
      </c>
      <c r="AT94" s="237">
        <f t="shared" si="32"/>
        <v>3.6427402413410123E-2</v>
      </c>
      <c r="AU94" s="237">
        <f t="shared" si="18"/>
        <v>0.98316099337665741</v>
      </c>
      <c r="AV94" s="237">
        <f t="shared" si="18"/>
        <v>1.6839006623342603E-2</v>
      </c>
      <c r="AX94" s="251">
        <f t="shared" si="22"/>
        <v>0</v>
      </c>
      <c r="AY94" s="251">
        <f t="shared" si="22"/>
        <v>0</v>
      </c>
      <c r="AZ94" s="251">
        <f t="shared" si="22"/>
        <v>0</v>
      </c>
      <c r="BA94" s="251">
        <f t="shared" si="23"/>
        <v>0</v>
      </c>
      <c r="BB94" s="251">
        <f t="shared" si="23"/>
        <v>0</v>
      </c>
      <c r="BC94" s="251">
        <f t="shared" si="24"/>
        <v>0</v>
      </c>
      <c r="BD94" s="270" t="e">
        <f t="shared" si="25"/>
        <v>#DIV/0!</v>
      </c>
      <c r="BE94" s="251">
        <f t="shared" si="26"/>
        <v>0</v>
      </c>
      <c r="BF94" s="251">
        <f t="shared" si="27"/>
        <v>0</v>
      </c>
    </row>
    <row r="95" spans="1:58">
      <c r="A95" s="11">
        <v>42522</v>
      </c>
      <c r="B95" s="268">
        <v>70</v>
      </c>
      <c r="C95" s="268"/>
      <c r="D95" s="268"/>
      <c r="E95" s="268">
        <v>3</v>
      </c>
      <c r="F95" s="269">
        <v>0.2</v>
      </c>
      <c r="G95" s="269">
        <v>1.32</v>
      </c>
      <c r="H95" s="269">
        <v>12</v>
      </c>
      <c r="I95" s="269"/>
      <c r="J95" s="269">
        <v>2</v>
      </c>
      <c r="K95" s="269">
        <v>1.32</v>
      </c>
      <c r="L95" s="269">
        <v>18</v>
      </c>
      <c r="M95" s="269">
        <f t="shared" si="34"/>
        <v>1.5</v>
      </c>
      <c r="N95" s="269">
        <v>45</v>
      </c>
      <c r="O95" s="269">
        <f t="shared" si="20"/>
        <v>17.699535849485258</v>
      </c>
      <c r="Q95" s="251">
        <f t="shared" si="33"/>
        <v>172.03953584948522</v>
      </c>
      <c r="R95" s="251">
        <v>0</v>
      </c>
      <c r="S95" s="251">
        <f t="shared" si="19"/>
        <v>172.03953584948522</v>
      </c>
      <c r="AB95" s="251">
        <f>SUM('BD Feedstock'!C93,'BD Feedstock'!E93,'BD Feedstock'!G93,'BD Feedstock'!K93,'BD Feedstock'!T93)</f>
        <v>15.838837677094421</v>
      </c>
      <c r="AC95" s="251">
        <f>SUM('BD Feedstock'!D93,'BD Feedstock'!F93,'BD Feedstock'!H93,'BD Feedstock'!I93,'BD Feedstock'!L93,'BD Feedstock'!M93,'BD Feedstock'!N93,'BD Feedstock'!O93,'BD Feedstock'!U93)</f>
        <v>8.0207412508596612</v>
      </c>
      <c r="AD95" s="251">
        <f>'BD Feedstock'!J93</f>
        <v>0.90199999999999991</v>
      </c>
      <c r="AE95" s="251">
        <f>SUM('BD Feedstock'!B93,'BD Feedstock'!P93,'BD Feedstock'!Q93,'BD Feedstock'!R93)</f>
        <v>82.105208333333337</v>
      </c>
      <c r="AF95" s="251">
        <f>'BD Feedstock'!S93</f>
        <v>1.40625</v>
      </c>
      <c r="AG95" s="251">
        <f t="shared" si="28"/>
        <v>108.27303726128741</v>
      </c>
      <c r="AK95" s="237">
        <f t="shared" si="21"/>
        <v>0.14628607525686854</v>
      </c>
      <c r="AL95" s="237">
        <f t="shared" si="21"/>
        <v>7.4078842283733043E-2</v>
      </c>
      <c r="AM95" s="237">
        <f t="shared" si="21"/>
        <v>8.3307905903042996E-3</v>
      </c>
      <c r="AN95" s="237">
        <f t="shared" si="21"/>
        <v>0.75831629378969789</v>
      </c>
      <c r="AO95" s="237">
        <f t="shared" si="21"/>
        <v>1.2987998079396254E-2</v>
      </c>
      <c r="AP95" s="237">
        <f t="shared" si="29"/>
        <v>1</v>
      </c>
      <c r="AQ95" s="237"/>
      <c r="AR95" s="237">
        <f t="shared" si="30"/>
        <v>0.63965378472749512</v>
      </c>
      <c r="AS95" s="237">
        <f t="shared" si="31"/>
        <v>0.32391881285909468</v>
      </c>
      <c r="AT95" s="237">
        <f t="shared" si="32"/>
        <v>3.6427402413410123E-2</v>
      </c>
      <c r="AU95" s="237">
        <f t="shared" si="18"/>
        <v>0.98316099337665741</v>
      </c>
      <c r="AV95" s="237">
        <f t="shared" si="18"/>
        <v>1.6839006623342603E-2</v>
      </c>
      <c r="AX95" s="251">
        <f t="shared" si="22"/>
        <v>0</v>
      </c>
      <c r="AY95" s="251">
        <f t="shared" si="22"/>
        <v>0</v>
      </c>
      <c r="AZ95" s="251">
        <f t="shared" si="22"/>
        <v>0</v>
      </c>
      <c r="BA95" s="251">
        <f t="shared" si="23"/>
        <v>0</v>
      </c>
      <c r="BB95" s="251">
        <f t="shared" si="23"/>
        <v>0</v>
      </c>
      <c r="BC95" s="251">
        <f t="shared" si="24"/>
        <v>0</v>
      </c>
      <c r="BD95" s="270" t="e">
        <f t="shared" si="25"/>
        <v>#DIV/0!</v>
      </c>
      <c r="BE95" s="251">
        <f t="shared" si="26"/>
        <v>0</v>
      </c>
      <c r="BF95" s="251">
        <f t="shared" si="27"/>
        <v>0</v>
      </c>
    </row>
    <row r="96" spans="1:58">
      <c r="A96" s="11">
        <v>42552</v>
      </c>
      <c r="B96" s="268">
        <v>70</v>
      </c>
      <c r="C96" s="268"/>
      <c r="D96" s="268"/>
      <c r="E96" s="268">
        <v>3</v>
      </c>
      <c r="F96" s="269">
        <v>0.2</v>
      </c>
      <c r="G96" s="269">
        <v>1.32</v>
      </c>
      <c r="H96" s="269">
        <v>12</v>
      </c>
      <c r="I96" s="269"/>
      <c r="J96" s="269">
        <v>2</v>
      </c>
      <c r="K96" s="269">
        <v>1.32</v>
      </c>
      <c r="L96" s="269">
        <v>18</v>
      </c>
      <c r="M96" s="269">
        <f t="shared" si="34"/>
        <v>1.5</v>
      </c>
      <c r="N96" s="269">
        <v>45</v>
      </c>
      <c r="O96" s="269">
        <f t="shared" si="20"/>
        <v>17.699535849485258</v>
      </c>
      <c r="Q96" s="251">
        <f t="shared" si="33"/>
        <v>172.03953584948522</v>
      </c>
      <c r="R96" s="251">
        <v>0</v>
      </c>
      <c r="S96" s="251">
        <f t="shared" si="19"/>
        <v>172.03953584948522</v>
      </c>
      <c r="AB96" s="251">
        <f>SUM('BD Feedstock'!C94,'BD Feedstock'!E94,'BD Feedstock'!G94,'BD Feedstock'!K94,'BD Feedstock'!T94)</f>
        <v>15.838837677094421</v>
      </c>
      <c r="AC96" s="251">
        <f>SUM('BD Feedstock'!D94,'BD Feedstock'!F94,'BD Feedstock'!H94,'BD Feedstock'!I94,'BD Feedstock'!L94,'BD Feedstock'!M94,'BD Feedstock'!N94,'BD Feedstock'!O94,'BD Feedstock'!U94)</f>
        <v>8.0207412508596612</v>
      </c>
      <c r="AD96" s="251">
        <f>'BD Feedstock'!J94</f>
        <v>0.90199999999999991</v>
      </c>
      <c r="AE96" s="251">
        <f>SUM('BD Feedstock'!B94,'BD Feedstock'!P94,'BD Feedstock'!Q94,'BD Feedstock'!R94)</f>
        <v>82.105208333333337</v>
      </c>
      <c r="AF96" s="251">
        <f>'BD Feedstock'!S94</f>
        <v>1.40625</v>
      </c>
      <c r="AG96" s="251">
        <f t="shared" si="28"/>
        <v>108.27303726128741</v>
      </c>
      <c r="AK96" s="237">
        <f t="shared" si="21"/>
        <v>0.14628607525686854</v>
      </c>
      <c r="AL96" s="237">
        <f t="shared" si="21"/>
        <v>7.4078842283733043E-2</v>
      </c>
      <c r="AM96" s="237">
        <f t="shared" si="21"/>
        <v>8.3307905903042996E-3</v>
      </c>
      <c r="AN96" s="237">
        <f t="shared" si="21"/>
        <v>0.75831629378969789</v>
      </c>
      <c r="AO96" s="237">
        <f t="shared" si="21"/>
        <v>1.2987998079396254E-2</v>
      </c>
      <c r="AP96" s="237">
        <f t="shared" si="29"/>
        <v>1</v>
      </c>
      <c r="AQ96" s="237"/>
      <c r="AR96" s="237">
        <f t="shared" si="30"/>
        <v>0.63965378472749512</v>
      </c>
      <c r="AS96" s="237">
        <f t="shared" si="31"/>
        <v>0.32391881285909468</v>
      </c>
      <c r="AT96" s="237">
        <f t="shared" si="32"/>
        <v>3.6427402413410123E-2</v>
      </c>
      <c r="AU96" s="237">
        <f t="shared" si="18"/>
        <v>0.98316099337665741</v>
      </c>
      <c r="AV96" s="237">
        <f t="shared" si="18"/>
        <v>1.6839006623342603E-2</v>
      </c>
      <c r="AX96" s="251">
        <f t="shared" si="22"/>
        <v>0</v>
      </c>
      <c r="AY96" s="251">
        <f t="shared" si="22"/>
        <v>0</v>
      </c>
      <c r="AZ96" s="251">
        <f t="shared" si="22"/>
        <v>0</v>
      </c>
      <c r="BA96" s="251">
        <f t="shared" si="23"/>
        <v>0</v>
      </c>
      <c r="BB96" s="251">
        <f t="shared" si="23"/>
        <v>0</v>
      </c>
      <c r="BC96" s="251">
        <f t="shared" si="24"/>
        <v>0</v>
      </c>
      <c r="BD96" s="270" t="e">
        <f t="shared" si="25"/>
        <v>#DIV/0!</v>
      </c>
      <c r="BE96" s="251">
        <f t="shared" si="26"/>
        <v>0</v>
      </c>
      <c r="BF96" s="251">
        <f t="shared" si="27"/>
        <v>0</v>
      </c>
    </row>
    <row r="97" spans="1:58">
      <c r="A97" s="11">
        <v>42583</v>
      </c>
      <c r="B97" s="268">
        <v>70</v>
      </c>
      <c r="C97" s="268"/>
      <c r="D97" s="268"/>
      <c r="E97" s="268">
        <v>3</v>
      </c>
      <c r="F97" s="269">
        <v>0.2</v>
      </c>
      <c r="G97" s="269">
        <v>1.32</v>
      </c>
      <c r="H97" s="269">
        <v>12</v>
      </c>
      <c r="I97" s="269"/>
      <c r="J97" s="269">
        <v>2</v>
      </c>
      <c r="K97" s="269">
        <v>1.32</v>
      </c>
      <c r="L97" s="269">
        <v>18</v>
      </c>
      <c r="M97" s="269">
        <f t="shared" si="34"/>
        <v>1.5</v>
      </c>
      <c r="N97" s="269">
        <v>45</v>
      </c>
      <c r="O97" s="269">
        <f t="shared" si="20"/>
        <v>17.699535849485258</v>
      </c>
      <c r="Q97" s="251">
        <f t="shared" si="33"/>
        <v>172.03953584948522</v>
      </c>
      <c r="R97" s="251">
        <v>0</v>
      </c>
      <c r="S97" s="251">
        <f t="shared" si="19"/>
        <v>172.03953584948522</v>
      </c>
      <c r="AB97" s="251">
        <f>SUM('BD Feedstock'!C95,'BD Feedstock'!E95,'BD Feedstock'!G95,'BD Feedstock'!K95,'BD Feedstock'!T95)</f>
        <v>15.838837677094421</v>
      </c>
      <c r="AC97" s="251">
        <f>SUM('BD Feedstock'!D95,'BD Feedstock'!F95,'BD Feedstock'!H95,'BD Feedstock'!I95,'BD Feedstock'!L95,'BD Feedstock'!M95,'BD Feedstock'!N95,'BD Feedstock'!O95,'BD Feedstock'!U95)</f>
        <v>8.0207412508596612</v>
      </c>
      <c r="AD97" s="251">
        <f>'BD Feedstock'!J95</f>
        <v>0.90199999999999991</v>
      </c>
      <c r="AE97" s="251">
        <f>SUM('BD Feedstock'!B95,'BD Feedstock'!P95,'BD Feedstock'!Q95,'BD Feedstock'!R95)</f>
        <v>82.105208333333337</v>
      </c>
      <c r="AF97" s="251">
        <f>'BD Feedstock'!S95</f>
        <v>1.40625</v>
      </c>
      <c r="AG97" s="251">
        <f t="shared" si="28"/>
        <v>108.27303726128741</v>
      </c>
      <c r="AK97" s="237">
        <f t="shared" si="21"/>
        <v>0.14628607525686854</v>
      </c>
      <c r="AL97" s="237">
        <f t="shared" si="21"/>
        <v>7.4078842283733043E-2</v>
      </c>
      <c r="AM97" s="237">
        <f t="shared" si="21"/>
        <v>8.3307905903042996E-3</v>
      </c>
      <c r="AN97" s="237">
        <f t="shared" si="21"/>
        <v>0.75831629378969789</v>
      </c>
      <c r="AO97" s="237">
        <f t="shared" si="21"/>
        <v>1.2987998079396254E-2</v>
      </c>
      <c r="AP97" s="237">
        <f t="shared" si="29"/>
        <v>1</v>
      </c>
      <c r="AQ97" s="237"/>
      <c r="AR97" s="237">
        <f t="shared" si="30"/>
        <v>0.63965378472749512</v>
      </c>
      <c r="AS97" s="237">
        <f t="shared" si="31"/>
        <v>0.32391881285909468</v>
      </c>
      <c r="AT97" s="237">
        <f t="shared" si="32"/>
        <v>3.6427402413410123E-2</v>
      </c>
      <c r="AU97" s="237">
        <f t="shared" si="18"/>
        <v>0.98316099337665741</v>
      </c>
      <c r="AV97" s="237">
        <f t="shared" si="18"/>
        <v>1.6839006623342603E-2</v>
      </c>
      <c r="AX97" s="251">
        <f t="shared" si="22"/>
        <v>0</v>
      </c>
      <c r="AY97" s="251">
        <f t="shared" si="22"/>
        <v>0</v>
      </c>
      <c r="AZ97" s="251">
        <f t="shared" si="22"/>
        <v>0</v>
      </c>
      <c r="BA97" s="251">
        <f t="shared" si="23"/>
        <v>0</v>
      </c>
      <c r="BB97" s="251">
        <f t="shared" si="23"/>
        <v>0</v>
      </c>
      <c r="BC97" s="251">
        <f t="shared" si="24"/>
        <v>0</v>
      </c>
      <c r="BD97" s="270" t="e">
        <f t="shared" si="25"/>
        <v>#DIV/0!</v>
      </c>
      <c r="BE97" s="251">
        <f t="shared" si="26"/>
        <v>0</v>
      </c>
      <c r="BF97" s="251">
        <f t="shared" si="27"/>
        <v>0</v>
      </c>
    </row>
    <row r="98" spans="1:58">
      <c r="A98" s="11">
        <v>42614</v>
      </c>
      <c r="B98" s="268">
        <v>70</v>
      </c>
      <c r="C98" s="268"/>
      <c r="D98" s="268"/>
      <c r="E98" s="268">
        <v>3</v>
      </c>
      <c r="F98" s="269">
        <v>0.2</v>
      </c>
      <c r="G98" s="269">
        <v>1.32</v>
      </c>
      <c r="H98" s="269">
        <v>12</v>
      </c>
      <c r="I98" s="269"/>
      <c r="J98" s="269">
        <v>2</v>
      </c>
      <c r="K98" s="269">
        <v>1.32</v>
      </c>
      <c r="L98" s="269">
        <v>18</v>
      </c>
      <c r="M98" s="269">
        <f t="shared" si="34"/>
        <v>1.5</v>
      </c>
      <c r="N98" s="269">
        <v>45</v>
      </c>
      <c r="O98" s="269">
        <f t="shared" si="20"/>
        <v>17.699535849485258</v>
      </c>
      <c r="Q98" s="251">
        <f t="shared" si="33"/>
        <v>172.03953584948522</v>
      </c>
      <c r="R98" s="251">
        <v>0</v>
      </c>
      <c r="S98" s="251">
        <f t="shared" si="19"/>
        <v>172.03953584948522</v>
      </c>
      <c r="AB98" s="251">
        <f>SUM('BD Feedstock'!C96,'BD Feedstock'!E96,'BD Feedstock'!G96,'BD Feedstock'!K96,'BD Feedstock'!T96)</f>
        <v>15.838837677094421</v>
      </c>
      <c r="AC98" s="251">
        <f>SUM('BD Feedstock'!D96,'BD Feedstock'!F96,'BD Feedstock'!H96,'BD Feedstock'!I96,'BD Feedstock'!L96,'BD Feedstock'!M96,'BD Feedstock'!N96,'BD Feedstock'!O96,'BD Feedstock'!U96)</f>
        <v>8.0207412508596612</v>
      </c>
      <c r="AD98" s="251">
        <f>'BD Feedstock'!J96</f>
        <v>0.90199999999999991</v>
      </c>
      <c r="AE98" s="251">
        <f>SUM('BD Feedstock'!B96,'BD Feedstock'!P96,'BD Feedstock'!Q96,'BD Feedstock'!R96)</f>
        <v>82.105208333333337</v>
      </c>
      <c r="AF98" s="251">
        <f>'BD Feedstock'!S96</f>
        <v>1.40625</v>
      </c>
      <c r="AG98" s="251">
        <f t="shared" si="28"/>
        <v>108.27303726128741</v>
      </c>
      <c r="AK98" s="237">
        <f t="shared" si="21"/>
        <v>0.14628607525686854</v>
      </c>
      <c r="AL98" s="237">
        <f t="shared" si="21"/>
        <v>7.4078842283733043E-2</v>
      </c>
      <c r="AM98" s="237">
        <f t="shared" si="21"/>
        <v>8.3307905903042996E-3</v>
      </c>
      <c r="AN98" s="237">
        <f t="shared" si="21"/>
        <v>0.75831629378969789</v>
      </c>
      <c r="AO98" s="237">
        <f t="shared" si="21"/>
        <v>1.2987998079396254E-2</v>
      </c>
      <c r="AP98" s="237">
        <f t="shared" si="29"/>
        <v>1</v>
      </c>
      <c r="AQ98" s="237"/>
      <c r="AR98" s="237">
        <f t="shared" si="30"/>
        <v>0.63965378472749512</v>
      </c>
      <c r="AS98" s="237">
        <f t="shared" si="31"/>
        <v>0.32391881285909468</v>
      </c>
      <c r="AT98" s="237">
        <f t="shared" si="32"/>
        <v>3.6427402413410123E-2</v>
      </c>
      <c r="AU98" s="237">
        <f t="shared" si="18"/>
        <v>0.98316099337665741</v>
      </c>
      <c r="AV98" s="237">
        <f t="shared" si="18"/>
        <v>1.6839006623342603E-2</v>
      </c>
      <c r="AX98" s="251">
        <f t="shared" si="22"/>
        <v>0</v>
      </c>
      <c r="AY98" s="251">
        <f t="shared" si="22"/>
        <v>0</v>
      </c>
      <c r="AZ98" s="251">
        <f t="shared" si="22"/>
        <v>0</v>
      </c>
      <c r="BA98" s="251">
        <f t="shared" si="23"/>
        <v>0</v>
      </c>
      <c r="BB98" s="251">
        <f t="shared" si="23"/>
        <v>0</v>
      </c>
      <c r="BC98" s="251">
        <f t="shared" si="24"/>
        <v>0</v>
      </c>
      <c r="BD98" s="270" t="e">
        <f t="shared" si="25"/>
        <v>#DIV/0!</v>
      </c>
      <c r="BE98" s="251">
        <f t="shared" si="26"/>
        <v>0</v>
      </c>
      <c r="BF98" s="251">
        <f t="shared" si="27"/>
        <v>0</v>
      </c>
    </row>
    <row r="99" spans="1:58">
      <c r="A99" s="11">
        <v>42644</v>
      </c>
      <c r="B99" s="268">
        <v>70</v>
      </c>
      <c r="C99" s="268"/>
      <c r="D99" s="268"/>
      <c r="E99" s="268">
        <v>3</v>
      </c>
      <c r="F99" s="269">
        <v>0.2</v>
      </c>
      <c r="G99" s="269">
        <v>1.32</v>
      </c>
      <c r="H99" s="269">
        <v>12</v>
      </c>
      <c r="I99" s="269"/>
      <c r="J99" s="269">
        <v>2</v>
      </c>
      <c r="K99" s="269">
        <v>1.32</v>
      </c>
      <c r="L99" s="269">
        <v>18</v>
      </c>
      <c r="M99" s="269">
        <f t="shared" si="34"/>
        <v>1.5</v>
      </c>
      <c r="N99" s="269">
        <v>45</v>
      </c>
      <c r="O99" s="269">
        <f t="shared" si="20"/>
        <v>17.699535849485258</v>
      </c>
      <c r="Q99" s="251">
        <f t="shared" si="33"/>
        <v>172.03953584948522</v>
      </c>
      <c r="R99" s="251">
        <v>0</v>
      </c>
      <c r="S99" s="251">
        <f t="shared" si="19"/>
        <v>172.03953584948522</v>
      </c>
      <c r="AB99" s="251">
        <f>SUM('BD Feedstock'!C97,'BD Feedstock'!E97,'BD Feedstock'!G97,'BD Feedstock'!K97,'BD Feedstock'!T97)</f>
        <v>15.838837677094421</v>
      </c>
      <c r="AC99" s="251">
        <f>SUM('BD Feedstock'!D97,'BD Feedstock'!F97,'BD Feedstock'!H97,'BD Feedstock'!I97,'BD Feedstock'!L97,'BD Feedstock'!M97,'BD Feedstock'!N97,'BD Feedstock'!O97,'BD Feedstock'!U97)</f>
        <v>8.0207412508596612</v>
      </c>
      <c r="AD99" s="251">
        <f>'BD Feedstock'!J97</f>
        <v>0.90199999999999991</v>
      </c>
      <c r="AE99" s="251">
        <f>SUM('BD Feedstock'!B97,'BD Feedstock'!P97,'BD Feedstock'!Q97,'BD Feedstock'!R97)</f>
        <v>82.105208333333337</v>
      </c>
      <c r="AF99" s="251">
        <f>'BD Feedstock'!S97</f>
        <v>1.40625</v>
      </c>
      <c r="AG99" s="251">
        <f t="shared" si="28"/>
        <v>108.27303726128741</v>
      </c>
      <c r="AK99" s="237">
        <f t="shared" si="21"/>
        <v>0.14628607525686854</v>
      </c>
      <c r="AL99" s="237">
        <f t="shared" si="21"/>
        <v>7.4078842283733043E-2</v>
      </c>
      <c r="AM99" s="237">
        <f t="shared" si="21"/>
        <v>8.3307905903042996E-3</v>
      </c>
      <c r="AN99" s="237">
        <f t="shared" si="21"/>
        <v>0.75831629378969789</v>
      </c>
      <c r="AO99" s="237">
        <f t="shared" si="21"/>
        <v>1.2987998079396254E-2</v>
      </c>
      <c r="AP99" s="237">
        <f t="shared" si="29"/>
        <v>1</v>
      </c>
      <c r="AQ99" s="237"/>
      <c r="AR99" s="237">
        <f t="shared" si="30"/>
        <v>0.63965378472749512</v>
      </c>
      <c r="AS99" s="237">
        <f t="shared" si="31"/>
        <v>0.32391881285909468</v>
      </c>
      <c r="AT99" s="237">
        <f t="shared" si="32"/>
        <v>3.6427402413410123E-2</v>
      </c>
      <c r="AU99" s="237">
        <f t="shared" ref="AU99:AV162" si="35">AE99/SUM($AE99:$AF99)</f>
        <v>0.98316099337665741</v>
      </c>
      <c r="AV99" s="237">
        <f t="shared" si="35"/>
        <v>1.6839006623342603E-2</v>
      </c>
      <c r="AX99" s="251">
        <f t="shared" si="22"/>
        <v>0</v>
      </c>
      <c r="AY99" s="251">
        <f t="shared" si="22"/>
        <v>0</v>
      </c>
      <c r="AZ99" s="251">
        <f t="shared" si="22"/>
        <v>0</v>
      </c>
      <c r="BA99" s="251">
        <f t="shared" si="23"/>
        <v>0</v>
      </c>
      <c r="BB99" s="251">
        <f t="shared" si="23"/>
        <v>0</v>
      </c>
      <c r="BC99" s="251">
        <f t="shared" si="24"/>
        <v>0</v>
      </c>
      <c r="BD99" s="270" t="e">
        <f t="shared" si="25"/>
        <v>#DIV/0!</v>
      </c>
      <c r="BE99" s="251">
        <f t="shared" si="26"/>
        <v>0</v>
      </c>
      <c r="BF99" s="251">
        <f t="shared" si="27"/>
        <v>0</v>
      </c>
    </row>
    <row r="100" spans="1:58">
      <c r="A100" s="11">
        <v>42675</v>
      </c>
      <c r="B100" s="268">
        <v>70</v>
      </c>
      <c r="C100" s="268"/>
      <c r="D100" s="268"/>
      <c r="E100" s="268">
        <v>3</v>
      </c>
      <c r="F100" s="269">
        <v>0.2</v>
      </c>
      <c r="G100" s="269">
        <v>1.32</v>
      </c>
      <c r="H100" s="269">
        <v>12</v>
      </c>
      <c r="I100" s="269"/>
      <c r="J100" s="269">
        <v>2</v>
      </c>
      <c r="K100" s="269">
        <v>1.32</v>
      </c>
      <c r="L100" s="269">
        <v>18</v>
      </c>
      <c r="M100" s="269">
        <f t="shared" si="34"/>
        <v>1.5</v>
      </c>
      <c r="N100" s="269">
        <v>45</v>
      </c>
      <c r="O100" s="269">
        <f t="shared" si="20"/>
        <v>17.699535849485258</v>
      </c>
      <c r="Q100" s="251">
        <f t="shared" si="33"/>
        <v>172.03953584948522</v>
      </c>
      <c r="R100" s="251">
        <v>0</v>
      </c>
      <c r="S100" s="251">
        <f t="shared" si="19"/>
        <v>172.03953584948522</v>
      </c>
      <c r="AB100" s="251">
        <f>SUM('BD Feedstock'!C98,'BD Feedstock'!E98,'BD Feedstock'!G98,'BD Feedstock'!K98,'BD Feedstock'!T98)</f>
        <v>15.838837677094421</v>
      </c>
      <c r="AC100" s="251">
        <f>SUM('BD Feedstock'!D98,'BD Feedstock'!F98,'BD Feedstock'!H98,'BD Feedstock'!I98,'BD Feedstock'!L98,'BD Feedstock'!M98,'BD Feedstock'!N98,'BD Feedstock'!O98,'BD Feedstock'!U98)</f>
        <v>8.0207412508596612</v>
      </c>
      <c r="AD100" s="251">
        <f>'BD Feedstock'!J98</f>
        <v>0.90199999999999991</v>
      </c>
      <c r="AE100" s="251">
        <f>SUM('BD Feedstock'!B98,'BD Feedstock'!P98,'BD Feedstock'!Q98,'BD Feedstock'!R98)</f>
        <v>82.105208333333337</v>
      </c>
      <c r="AF100" s="251">
        <f>'BD Feedstock'!S98</f>
        <v>1.40625</v>
      </c>
      <c r="AG100" s="251">
        <f t="shared" si="28"/>
        <v>108.27303726128741</v>
      </c>
      <c r="AK100" s="237">
        <f t="shared" si="21"/>
        <v>0.14628607525686854</v>
      </c>
      <c r="AL100" s="237">
        <f t="shared" si="21"/>
        <v>7.4078842283733043E-2</v>
      </c>
      <c r="AM100" s="237">
        <f t="shared" si="21"/>
        <v>8.3307905903042996E-3</v>
      </c>
      <c r="AN100" s="237">
        <f t="shared" si="21"/>
        <v>0.75831629378969789</v>
      </c>
      <c r="AO100" s="237">
        <f t="shared" si="21"/>
        <v>1.2987998079396254E-2</v>
      </c>
      <c r="AP100" s="237">
        <f t="shared" si="29"/>
        <v>1</v>
      </c>
      <c r="AQ100" s="237"/>
      <c r="AR100" s="237">
        <f t="shared" si="30"/>
        <v>0.63965378472749512</v>
      </c>
      <c r="AS100" s="237">
        <f t="shared" si="31"/>
        <v>0.32391881285909468</v>
      </c>
      <c r="AT100" s="237">
        <f t="shared" si="32"/>
        <v>3.6427402413410123E-2</v>
      </c>
      <c r="AU100" s="237">
        <f t="shared" si="35"/>
        <v>0.98316099337665741</v>
      </c>
      <c r="AV100" s="237">
        <f t="shared" si="35"/>
        <v>1.6839006623342603E-2</v>
      </c>
      <c r="AX100" s="251">
        <f t="shared" si="22"/>
        <v>0</v>
      </c>
      <c r="AY100" s="251">
        <f t="shared" si="22"/>
        <v>0</v>
      </c>
      <c r="AZ100" s="251">
        <f t="shared" si="22"/>
        <v>0</v>
      </c>
      <c r="BA100" s="251">
        <f t="shared" si="23"/>
        <v>0</v>
      </c>
      <c r="BB100" s="251">
        <f t="shared" si="23"/>
        <v>0</v>
      </c>
      <c r="BC100" s="251">
        <f t="shared" si="24"/>
        <v>0</v>
      </c>
      <c r="BD100" s="270" t="e">
        <f t="shared" si="25"/>
        <v>#DIV/0!</v>
      </c>
      <c r="BE100" s="251">
        <f t="shared" si="26"/>
        <v>0</v>
      </c>
      <c r="BF100" s="251">
        <f t="shared" si="27"/>
        <v>0</v>
      </c>
    </row>
    <row r="101" spans="1:58">
      <c r="A101" s="11">
        <v>42705</v>
      </c>
      <c r="B101" s="268">
        <v>70</v>
      </c>
      <c r="C101" s="268"/>
      <c r="D101" s="268"/>
      <c r="E101" s="268">
        <v>3</v>
      </c>
      <c r="F101" s="269">
        <v>0.2</v>
      </c>
      <c r="G101" s="269">
        <v>1.32</v>
      </c>
      <c r="H101" s="269">
        <v>12</v>
      </c>
      <c r="I101" s="269"/>
      <c r="J101" s="269">
        <v>2</v>
      </c>
      <c r="K101" s="269">
        <v>1.32</v>
      </c>
      <c r="L101" s="269">
        <v>18</v>
      </c>
      <c r="M101" s="269">
        <f t="shared" si="34"/>
        <v>1.5</v>
      </c>
      <c r="N101" s="269">
        <v>45</v>
      </c>
      <c r="O101" s="269">
        <f t="shared" si="20"/>
        <v>17.699535849485258</v>
      </c>
      <c r="Q101" s="251">
        <f t="shared" si="33"/>
        <v>172.03953584948522</v>
      </c>
      <c r="R101" s="251">
        <v>0</v>
      </c>
      <c r="S101" s="251">
        <f t="shared" si="19"/>
        <v>172.03953584948522</v>
      </c>
      <c r="AB101" s="251">
        <f>SUM('BD Feedstock'!C99,'BD Feedstock'!E99,'BD Feedstock'!G99,'BD Feedstock'!K99,'BD Feedstock'!T99)</f>
        <v>15.838837677094421</v>
      </c>
      <c r="AC101" s="251">
        <f>SUM('BD Feedstock'!D99,'BD Feedstock'!F99,'BD Feedstock'!H99,'BD Feedstock'!I99,'BD Feedstock'!L99,'BD Feedstock'!M99,'BD Feedstock'!N99,'BD Feedstock'!O99,'BD Feedstock'!U99)</f>
        <v>8.0207412508596612</v>
      </c>
      <c r="AD101" s="251">
        <f>'BD Feedstock'!J99</f>
        <v>0.90199999999999991</v>
      </c>
      <c r="AE101" s="251">
        <f>SUM('BD Feedstock'!B99,'BD Feedstock'!P99,'BD Feedstock'!Q99,'BD Feedstock'!R99)</f>
        <v>82.105208333333337</v>
      </c>
      <c r="AF101" s="251">
        <f>'BD Feedstock'!S99</f>
        <v>1.40625</v>
      </c>
      <c r="AG101" s="251">
        <f t="shared" si="28"/>
        <v>108.27303726128741</v>
      </c>
      <c r="AK101" s="237">
        <f t="shared" si="21"/>
        <v>0.14628607525686854</v>
      </c>
      <c r="AL101" s="237">
        <f t="shared" si="21"/>
        <v>7.4078842283733043E-2</v>
      </c>
      <c r="AM101" s="237">
        <f t="shared" si="21"/>
        <v>8.3307905903042996E-3</v>
      </c>
      <c r="AN101" s="237">
        <f t="shared" si="21"/>
        <v>0.75831629378969789</v>
      </c>
      <c r="AO101" s="237">
        <f t="shared" si="21"/>
        <v>1.2987998079396254E-2</v>
      </c>
      <c r="AP101" s="237">
        <f t="shared" si="29"/>
        <v>1</v>
      </c>
      <c r="AQ101" s="237"/>
      <c r="AR101" s="237">
        <f t="shared" si="30"/>
        <v>0.63965378472749512</v>
      </c>
      <c r="AS101" s="237">
        <f t="shared" si="31"/>
        <v>0.32391881285909468</v>
      </c>
      <c r="AT101" s="237">
        <f t="shared" si="32"/>
        <v>3.6427402413410123E-2</v>
      </c>
      <c r="AU101" s="237">
        <f t="shared" si="35"/>
        <v>0.98316099337665741</v>
      </c>
      <c r="AV101" s="237">
        <f t="shared" si="35"/>
        <v>1.6839006623342603E-2</v>
      </c>
      <c r="AX101" s="251">
        <f t="shared" si="22"/>
        <v>0</v>
      </c>
      <c r="AY101" s="251">
        <f t="shared" si="22"/>
        <v>0</v>
      </c>
      <c r="AZ101" s="251">
        <f t="shared" si="22"/>
        <v>0</v>
      </c>
      <c r="BA101" s="251">
        <f t="shared" si="23"/>
        <v>0</v>
      </c>
      <c r="BB101" s="251">
        <f t="shared" si="23"/>
        <v>0</v>
      </c>
      <c r="BC101" s="251">
        <f t="shared" si="24"/>
        <v>0</v>
      </c>
      <c r="BD101" s="270" t="e">
        <f t="shared" si="25"/>
        <v>#DIV/0!</v>
      </c>
      <c r="BE101" s="251">
        <f t="shared" si="26"/>
        <v>0</v>
      </c>
      <c r="BF101" s="251">
        <f t="shared" si="27"/>
        <v>0</v>
      </c>
    </row>
    <row r="102" spans="1:58">
      <c r="A102" s="11">
        <v>42736</v>
      </c>
      <c r="B102" s="268">
        <v>70</v>
      </c>
      <c r="C102" s="268"/>
      <c r="D102" s="268"/>
      <c r="E102" s="268">
        <v>3</v>
      </c>
      <c r="F102" s="269">
        <v>0.2</v>
      </c>
      <c r="G102" s="269">
        <v>1.32</v>
      </c>
      <c r="H102" s="269">
        <v>12</v>
      </c>
      <c r="I102" s="269"/>
      <c r="J102" s="269">
        <v>2</v>
      </c>
      <c r="K102" s="269">
        <v>1.32</v>
      </c>
      <c r="L102" s="269">
        <v>18</v>
      </c>
      <c r="M102" s="269">
        <f t="shared" si="34"/>
        <v>1.5</v>
      </c>
      <c r="N102" s="269">
        <v>45</v>
      </c>
      <c r="O102" s="269">
        <f t="shared" si="20"/>
        <v>17.699535849485258</v>
      </c>
      <c r="Q102" s="251">
        <f t="shared" si="33"/>
        <v>172.03953584948522</v>
      </c>
      <c r="R102" s="251">
        <v>0</v>
      </c>
      <c r="S102" s="251">
        <f t="shared" ref="S102:S137" si="36">SUM(B102:O102)</f>
        <v>172.03953584948522</v>
      </c>
      <c r="AB102" s="251">
        <f>SUM('BD Feedstock'!C100,'BD Feedstock'!E100,'BD Feedstock'!G100,'BD Feedstock'!K100,'BD Feedstock'!T100)</f>
        <v>15.838837677094421</v>
      </c>
      <c r="AC102" s="251">
        <f>SUM('BD Feedstock'!D100,'BD Feedstock'!F100,'BD Feedstock'!H100,'BD Feedstock'!I100,'BD Feedstock'!L100,'BD Feedstock'!M100,'BD Feedstock'!N100,'BD Feedstock'!O100,'BD Feedstock'!U100)</f>
        <v>8.0207412508596612</v>
      </c>
      <c r="AD102" s="251">
        <f>'BD Feedstock'!J100</f>
        <v>0.90199999999999991</v>
      </c>
      <c r="AE102" s="251">
        <f>SUM('BD Feedstock'!B100,'BD Feedstock'!P100,'BD Feedstock'!Q100,'BD Feedstock'!R100)</f>
        <v>82.105208333333337</v>
      </c>
      <c r="AF102" s="251">
        <f>'BD Feedstock'!S100</f>
        <v>1.40625</v>
      </c>
      <c r="AG102" s="251">
        <f t="shared" si="28"/>
        <v>108.27303726128741</v>
      </c>
      <c r="AK102" s="237">
        <f t="shared" si="21"/>
        <v>0.14628607525686854</v>
      </c>
      <c r="AL102" s="237">
        <f t="shared" si="21"/>
        <v>7.4078842283733043E-2</v>
      </c>
      <c r="AM102" s="237">
        <f t="shared" si="21"/>
        <v>8.3307905903042996E-3</v>
      </c>
      <c r="AN102" s="237">
        <f t="shared" si="21"/>
        <v>0.75831629378969789</v>
      </c>
      <c r="AO102" s="237">
        <f t="shared" si="21"/>
        <v>1.2987998079396254E-2</v>
      </c>
      <c r="AP102" s="237">
        <f t="shared" si="29"/>
        <v>1</v>
      </c>
      <c r="AQ102" s="237"/>
      <c r="AR102" s="237">
        <f t="shared" si="30"/>
        <v>0.63965378472749512</v>
      </c>
      <c r="AS102" s="237">
        <f t="shared" si="31"/>
        <v>0.32391881285909468</v>
      </c>
      <c r="AT102" s="237">
        <f t="shared" si="32"/>
        <v>3.6427402413410123E-2</v>
      </c>
      <c r="AU102" s="237">
        <f t="shared" si="35"/>
        <v>0.98316099337665741</v>
      </c>
      <c r="AV102" s="237">
        <f t="shared" si="35"/>
        <v>1.6839006623342603E-2</v>
      </c>
      <c r="AX102" s="251">
        <f t="shared" si="22"/>
        <v>0</v>
      </c>
      <c r="AY102" s="251">
        <f t="shared" si="22"/>
        <v>0</v>
      </c>
      <c r="AZ102" s="251">
        <f t="shared" si="22"/>
        <v>0</v>
      </c>
      <c r="BA102" s="251">
        <f t="shared" si="23"/>
        <v>0</v>
      </c>
      <c r="BB102" s="251">
        <f t="shared" si="23"/>
        <v>0</v>
      </c>
      <c r="BC102" s="251">
        <f t="shared" si="24"/>
        <v>0</v>
      </c>
      <c r="BD102" s="270" t="e">
        <f t="shared" si="25"/>
        <v>#DIV/0!</v>
      </c>
      <c r="BE102" s="251">
        <f t="shared" si="26"/>
        <v>0</v>
      </c>
      <c r="BF102" s="251">
        <f t="shared" si="27"/>
        <v>0</v>
      </c>
    </row>
    <row r="103" spans="1:58">
      <c r="A103" s="11">
        <v>42767</v>
      </c>
      <c r="B103" s="268">
        <v>70</v>
      </c>
      <c r="C103" s="268"/>
      <c r="D103" s="268"/>
      <c r="E103" s="268">
        <v>3</v>
      </c>
      <c r="F103" s="269">
        <v>0.2</v>
      </c>
      <c r="G103" s="269">
        <v>1.32</v>
      </c>
      <c r="H103" s="269">
        <v>12</v>
      </c>
      <c r="I103" s="269"/>
      <c r="J103" s="269">
        <v>2</v>
      </c>
      <c r="K103" s="269">
        <v>1.32</v>
      </c>
      <c r="L103" s="269">
        <v>18</v>
      </c>
      <c r="M103" s="269">
        <f t="shared" si="34"/>
        <v>1.5</v>
      </c>
      <c r="N103" s="269">
        <v>45</v>
      </c>
      <c r="O103" s="269">
        <f t="shared" si="20"/>
        <v>17.699535849485258</v>
      </c>
      <c r="Q103" s="251">
        <f t="shared" si="33"/>
        <v>172.03953584948522</v>
      </c>
      <c r="R103" s="251">
        <v>0</v>
      </c>
      <c r="S103" s="251">
        <f t="shared" si="36"/>
        <v>172.03953584948522</v>
      </c>
      <c r="AB103" s="251">
        <f>SUM('BD Feedstock'!C101,'BD Feedstock'!E101,'BD Feedstock'!G101,'BD Feedstock'!K101,'BD Feedstock'!T101)</f>
        <v>15.838837677094421</v>
      </c>
      <c r="AC103" s="251">
        <f>SUM('BD Feedstock'!D101,'BD Feedstock'!F101,'BD Feedstock'!H101,'BD Feedstock'!I101,'BD Feedstock'!L101,'BD Feedstock'!M101,'BD Feedstock'!N101,'BD Feedstock'!O101,'BD Feedstock'!U101)</f>
        <v>8.0207412508596612</v>
      </c>
      <c r="AD103" s="251">
        <f>'BD Feedstock'!J101</f>
        <v>0.90199999999999991</v>
      </c>
      <c r="AE103" s="251">
        <f>SUM('BD Feedstock'!B101,'BD Feedstock'!P101,'BD Feedstock'!Q101,'BD Feedstock'!R101)</f>
        <v>82.105208333333337</v>
      </c>
      <c r="AF103" s="251">
        <f>'BD Feedstock'!S101</f>
        <v>1.40625</v>
      </c>
      <c r="AG103" s="251">
        <f t="shared" si="28"/>
        <v>108.27303726128741</v>
      </c>
      <c r="AK103" s="237">
        <f t="shared" si="21"/>
        <v>0.14628607525686854</v>
      </c>
      <c r="AL103" s="237">
        <f t="shared" si="21"/>
        <v>7.4078842283733043E-2</v>
      </c>
      <c r="AM103" s="237">
        <f t="shared" si="21"/>
        <v>8.3307905903042996E-3</v>
      </c>
      <c r="AN103" s="237">
        <f t="shared" si="21"/>
        <v>0.75831629378969789</v>
      </c>
      <c r="AO103" s="237">
        <f t="shared" si="21"/>
        <v>1.2987998079396254E-2</v>
      </c>
      <c r="AP103" s="237">
        <f t="shared" si="29"/>
        <v>1</v>
      </c>
      <c r="AQ103" s="237"/>
      <c r="AR103" s="237">
        <f t="shared" si="30"/>
        <v>0.63965378472749512</v>
      </c>
      <c r="AS103" s="237">
        <f t="shared" si="31"/>
        <v>0.32391881285909468</v>
      </c>
      <c r="AT103" s="237">
        <f t="shared" si="32"/>
        <v>3.6427402413410123E-2</v>
      </c>
      <c r="AU103" s="237">
        <f t="shared" si="35"/>
        <v>0.98316099337665741</v>
      </c>
      <c r="AV103" s="237">
        <f t="shared" si="35"/>
        <v>1.6839006623342603E-2</v>
      </c>
      <c r="AX103" s="251">
        <f t="shared" si="22"/>
        <v>0</v>
      </c>
      <c r="AY103" s="251">
        <f t="shared" si="22"/>
        <v>0</v>
      </c>
      <c r="AZ103" s="251">
        <f t="shared" si="22"/>
        <v>0</v>
      </c>
      <c r="BA103" s="251">
        <f t="shared" si="23"/>
        <v>0</v>
      </c>
      <c r="BB103" s="251">
        <f t="shared" si="23"/>
        <v>0</v>
      </c>
      <c r="BC103" s="251">
        <f t="shared" si="24"/>
        <v>0</v>
      </c>
      <c r="BD103" s="270" t="e">
        <f t="shared" si="25"/>
        <v>#DIV/0!</v>
      </c>
      <c r="BE103" s="251">
        <f t="shared" si="26"/>
        <v>0</v>
      </c>
      <c r="BF103" s="251">
        <f t="shared" si="27"/>
        <v>0</v>
      </c>
    </row>
    <row r="104" spans="1:58">
      <c r="A104" s="11">
        <v>42795</v>
      </c>
      <c r="B104" s="268">
        <v>70</v>
      </c>
      <c r="C104" s="268"/>
      <c r="D104" s="268"/>
      <c r="E104" s="268">
        <v>3</v>
      </c>
      <c r="F104" s="269">
        <v>0.2</v>
      </c>
      <c r="G104" s="269">
        <v>1.32</v>
      </c>
      <c r="H104" s="269">
        <v>12</v>
      </c>
      <c r="I104" s="269"/>
      <c r="J104" s="269">
        <v>2</v>
      </c>
      <c r="K104" s="269">
        <v>1.32</v>
      </c>
      <c r="L104" s="269">
        <v>18</v>
      </c>
      <c r="M104" s="269">
        <f t="shared" si="34"/>
        <v>1.5</v>
      </c>
      <c r="N104" s="269">
        <v>45</v>
      </c>
      <c r="O104" s="269">
        <f t="shared" si="20"/>
        <v>17.699535849485258</v>
      </c>
      <c r="Q104" s="251">
        <f t="shared" si="33"/>
        <v>172.03953584948522</v>
      </c>
      <c r="R104" s="251">
        <v>0</v>
      </c>
      <c r="S104" s="251">
        <f t="shared" si="36"/>
        <v>172.03953584948522</v>
      </c>
      <c r="AB104" s="251">
        <f>SUM('BD Feedstock'!C102,'BD Feedstock'!E102,'BD Feedstock'!G102,'BD Feedstock'!K102,'BD Feedstock'!T102)</f>
        <v>15.838837677094421</v>
      </c>
      <c r="AC104" s="251">
        <f>SUM('BD Feedstock'!D102,'BD Feedstock'!F102,'BD Feedstock'!H102,'BD Feedstock'!I102,'BD Feedstock'!L102,'BD Feedstock'!M102,'BD Feedstock'!N102,'BD Feedstock'!O102,'BD Feedstock'!U102)</f>
        <v>8.0207412508596612</v>
      </c>
      <c r="AD104" s="251">
        <f>'BD Feedstock'!J102</f>
        <v>0.90199999999999991</v>
      </c>
      <c r="AE104" s="251">
        <f>SUM('BD Feedstock'!B102,'BD Feedstock'!P102,'BD Feedstock'!Q102,'BD Feedstock'!R102)</f>
        <v>82.105208333333337</v>
      </c>
      <c r="AF104" s="251">
        <f>'BD Feedstock'!S102</f>
        <v>1.40625</v>
      </c>
      <c r="AG104" s="251">
        <f t="shared" si="28"/>
        <v>108.27303726128741</v>
      </c>
      <c r="AK104" s="237">
        <f t="shared" si="21"/>
        <v>0.14628607525686854</v>
      </c>
      <c r="AL104" s="237">
        <f t="shared" si="21"/>
        <v>7.4078842283733043E-2</v>
      </c>
      <c r="AM104" s="237">
        <f t="shared" si="21"/>
        <v>8.3307905903042996E-3</v>
      </c>
      <c r="AN104" s="237">
        <f t="shared" si="21"/>
        <v>0.75831629378969789</v>
      </c>
      <c r="AO104" s="237">
        <f t="shared" si="21"/>
        <v>1.2987998079396254E-2</v>
      </c>
      <c r="AP104" s="237">
        <f t="shared" si="29"/>
        <v>1</v>
      </c>
      <c r="AQ104" s="237"/>
      <c r="AR104" s="237">
        <f t="shared" si="30"/>
        <v>0.63965378472749512</v>
      </c>
      <c r="AS104" s="237">
        <f t="shared" si="31"/>
        <v>0.32391881285909468</v>
      </c>
      <c r="AT104" s="237">
        <f t="shared" si="32"/>
        <v>3.6427402413410123E-2</v>
      </c>
      <c r="AU104" s="237">
        <f t="shared" si="35"/>
        <v>0.98316099337665741</v>
      </c>
      <c r="AV104" s="237">
        <f t="shared" si="35"/>
        <v>1.6839006623342603E-2</v>
      </c>
      <c r="AX104" s="251">
        <f t="shared" si="22"/>
        <v>0</v>
      </c>
      <c r="AY104" s="251">
        <f t="shared" si="22"/>
        <v>0</v>
      </c>
      <c r="AZ104" s="251">
        <f t="shared" si="22"/>
        <v>0</v>
      </c>
      <c r="BA104" s="251">
        <f t="shared" si="23"/>
        <v>0</v>
      </c>
      <c r="BB104" s="251">
        <f t="shared" si="23"/>
        <v>0</v>
      </c>
      <c r="BC104" s="251">
        <f t="shared" si="24"/>
        <v>0</v>
      </c>
      <c r="BD104" s="270" t="e">
        <f t="shared" si="25"/>
        <v>#DIV/0!</v>
      </c>
      <c r="BE104" s="251">
        <f t="shared" si="26"/>
        <v>0</v>
      </c>
      <c r="BF104" s="251">
        <f t="shared" si="27"/>
        <v>0</v>
      </c>
    </row>
    <row r="105" spans="1:58">
      <c r="A105" s="11">
        <v>42826</v>
      </c>
      <c r="B105" s="268">
        <v>70</v>
      </c>
      <c r="C105" s="268"/>
      <c r="D105" s="268"/>
      <c r="E105" s="268">
        <v>3</v>
      </c>
      <c r="F105" s="269">
        <v>0.2</v>
      </c>
      <c r="G105" s="269">
        <v>1.32</v>
      </c>
      <c r="H105" s="269">
        <v>12</v>
      </c>
      <c r="I105" s="269"/>
      <c r="J105" s="269">
        <v>2</v>
      </c>
      <c r="K105" s="269">
        <v>1.32</v>
      </c>
      <c r="L105" s="269">
        <v>18</v>
      </c>
      <c r="M105" s="269">
        <f t="shared" si="34"/>
        <v>1.5</v>
      </c>
      <c r="N105" s="269">
        <v>45</v>
      </c>
      <c r="O105" s="269">
        <f t="shared" si="20"/>
        <v>17.699535849485258</v>
      </c>
      <c r="Q105" s="251">
        <f t="shared" si="33"/>
        <v>172.03953584948522</v>
      </c>
      <c r="R105" s="251">
        <v>0</v>
      </c>
      <c r="S105" s="251">
        <f t="shared" si="36"/>
        <v>172.03953584948522</v>
      </c>
      <c r="AB105" s="251">
        <f>SUM('BD Feedstock'!C103,'BD Feedstock'!E103,'BD Feedstock'!G103,'BD Feedstock'!K103,'BD Feedstock'!T103)</f>
        <v>15.838837677094421</v>
      </c>
      <c r="AC105" s="251">
        <f>SUM('BD Feedstock'!D103,'BD Feedstock'!F103,'BD Feedstock'!H103,'BD Feedstock'!I103,'BD Feedstock'!L103,'BD Feedstock'!M103,'BD Feedstock'!N103,'BD Feedstock'!O103,'BD Feedstock'!U103)</f>
        <v>8.0207412508596612</v>
      </c>
      <c r="AD105" s="251">
        <f>'BD Feedstock'!J103</f>
        <v>0.90199999999999991</v>
      </c>
      <c r="AE105" s="251">
        <f>SUM('BD Feedstock'!B103,'BD Feedstock'!P103,'BD Feedstock'!Q103,'BD Feedstock'!R103)</f>
        <v>82.105208333333337</v>
      </c>
      <c r="AF105" s="251">
        <f>'BD Feedstock'!S103</f>
        <v>1.40625</v>
      </c>
      <c r="AG105" s="251">
        <f t="shared" si="28"/>
        <v>108.27303726128741</v>
      </c>
      <c r="AK105" s="237">
        <f t="shared" si="21"/>
        <v>0.14628607525686854</v>
      </c>
      <c r="AL105" s="237">
        <f t="shared" si="21"/>
        <v>7.4078842283733043E-2</v>
      </c>
      <c r="AM105" s="237">
        <f t="shared" si="21"/>
        <v>8.3307905903042996E-3</v>
      </c>
      <c r="AN105" s="237">
        <f t="shared" si="21"/>
        <v>0.75831629378969789</v>
      </c>
      <c r="AO105" s="237">
        <f t="shared" si="21"/>
        <v>1.2987998079396254E-2</v>
      </c>
      <c r="AP105" s="237">
        <f t="shared" si="29"/>
        <v>1</v>
      </c>
      <c r="AQ105" s="237"/>
      <c r="AR105" s="237">
        <f t="shared" si="30"/>
        <v>0.63965378472749512</v>
      </c>
      <c r="AS105" s="237">
        <f t="shared" si="31"/>
        <v>0.32391881285909468</v>
      </c>
      <c r="AT105" s="237">
        <f t="shared" si="32"/>
        <v>3.6427402413410123E-2</v>
      </c>
      <c r="AU105" s="237">
        <f t="shared" si="35"/>
        <v>0.98316099337665741</v>
      </c>
      <c r="AV105" s="237">
        <f t="shared" si="35"/>
        <v>1.6839006623342603E-2</v>
      </c>
      <c r="AX105" s="251">
        <f t="shared" si="22"/>
        <v>0</v>
      </c>
      <c r="AY105" s="251">
        <f t="shared" si="22"/>
        <v>0</v>
      </c>
      <c r="AZ105" s="251">
        <f t="shared" si="22"/>
        <v>0</v>
      </c>
      <c r="BA105" s="251">
        <f t="shared" si="23"/>
        <v>0</v>
      </c>
      <c r="BB105" s="251">
        <f t="shared" si="23"/>
        <v>0</v>
      </c>
      <c r="BC105" s="251">
        <f t="shared" si="24"/>
        <v>0</v>
      </c>
      <c r="BD105" s="270" t="e">
        <f t="shared" si="25"/>
        <v>#DIV/0!</v>
      </c>
      <c r="BE105" s="251">
        <f t="shared" si="26"/>
        <v>0</v>
      </c>
      <c r="BF105" s="251">
        <f t="shared" si="27"/>
        <v>0</v>
      </c>
    </row>
    <row r="106" spans="1:58">
      <c r="A106" s="11">
        <v>42856</v>
      </c>
      <c r="B106" s="268">
        <v>70</v>
      </c>
      <c r="C106" s="268"/>
      <c r="D106" s="268"/>
      <c r="E106" s="268">
        <v>3</v>
      </c>
      <c r="F106" s="269">
        <v>0.2</v>
      </c>
      <c r="G106" s="269">
        <v>1.32</v>
      </c>
      <c r="H106" s="269">
        <v>12</v>
      </c>
      <c r="I106" s="269"/>
      <c r="J106" s="269">
        <v>2</v>
      </c>
      <c r="K106" s="269">
        <v>1.32</v>
      </c>
      <c r="L106" s="269">
        <v>18</v>
      </c>
      <c r="M106" s="269">
        <f t="shared" si="34"/>
        <v>1.5</v>
      </c>
      <c r="N106" s="269">
        <v>45</v>
      </c>
      <c r="O106" s="269">
        <f t="shared" si="20"/>
        <v>17.699535849485258</v>
      </c>
      <c r="Q106" s="251">
        <f t="shared" si="33"/>
        <v>172.03953584948522</v>
      </c>
      <c r="R106" s="251">
        <v>0</v>
      </c>
      <c r="S106" s="251">
        <f t="shared" si="36"/>
        <v>172.03953584948522</v>
      </c>
      <c r="AB106" s="251">
        <f>SUM('BD Feedstock'!C104,'BD Feedstock'!E104,'BD Feedstock'!G104,'BD Feedstock'!K104,'BD Feedstock'!T104)</f>
        <v>15.838837677094421</v>
      </c>
      <c r="AC106" s="251">
        <f>SUM('BD Feedstock'!D104,'BD Feedstock'!F104,'BD Feedstock'!H104,'BD Feedstock'!I104,'BD Feedstock'!L104,'BD Feedstock'!M104,'BD Feedstock'!N104,'BD Feedstock'!O104,'BD Feedstock'!U104)</f>
        <v>8.0207412508596612</v>
      </c>
      <c r="AD106" s="251">
        <f>'BD Feedstock'!J104</f>
        <v>0.90199999999999991</v>
      </c>
      <c r="AE106" s="251">
        <f>SUM('BD Feedstock'!B104,'BD Feedstock'!P104,'BD Feedstock'!Q104,'BD Feedstock'!R104)</f>
        <v>82.105208333333337</v>
      </c>
      <c r="AF106" s="251">
        <f>'BD Feedstock'!S104</f>
        <v>1.40625</v>
      </c>
      <c r="AG106" s="251">
        <f t="shared" si="28"/>
        <v>108.27303726128741</v>
      </c>
      <c r="AK106" s="237">
        <f t="shared" si="21"/>
        <v>0.14628607525686854</v>
      </c>
      <c r="AL106" s="237">
        <f t="shared" si="21"/>
        <v>7.4078842283733043E-2</v>
      </c>
      <c r="AM106" s="237">
        <f t="shared" si="21"/>
        <v>8.3307905903042996E-3</v>
      </c>
      <c r="AN106" s="237">
        <f t="shared" si="21"/>
        <v>0.75831629378969789</v>
      </c>
      <c r="AO106" s="237">
        <f t="shared" si="21"/>
        <v>1.2987998079396254E-2</v>
      </c>
      <c r="AP106" s="237">
        <f t="shared" si="29"/>
        <v>1</v>
      </c>
      <c r="AQ106" s="237"/>
      <c r="AR106" s="237">
        <f t="shared" si="30"/>
        <v>0.63965378472749512</v>
      </c>
      <c r="AS106" s="237">
        <f t="shared" si="31"/>
        <v>0.32391881285909468</v>
      </c>
      <c r="AT106" s="237">
        <f t="shared" si="32"/>
        <v>3.6427402413410123E-2</v>
      </c>
      <c r="AU106" s="237">
        <f t="shared" si="35"/>
        <v>0.98316099337665741</v>
      </c>
      <c r="AV106" s="237">
        <f t="shared" si="35"/>
        <v>1.6839006623342603E-2</v>
      </c>
      <c r="AX106" s="251">
        <f t="shared" si="22"/>
        <v>0</v>
      </c>
      <c r="AY106" s="251">
        <f t="shared" si="22"/>
        <v>0</v>
      </c>
      <c r="AZ106" s="251">
        <f t="shared" si="22"/>
        <v>0</v>
      </c>
      <c r="BA106" s="251">
        <f t="shared" si="23"/>
        <v>0</v>
      </c>
      <c r="BB106" s="251">
        <f t="shared" si="23"/>
        <v>0</v>
      </c>
      <c r="BC106" s="251">
        <f t="shared" si="24"/>
        <v>0</v>
      </c>
      <c r="BD106" s="270" t="e">
        <f t="shared" si="25"/>
        <v>#DIV/0!</v>
      </c>
      <c r="BE106" s="251">
        <f t="shared" si="26"/>
        <v>0</v>
      </c>
      <c r="BF106" s="251">
        <f t="shared" si="27"/>
        <v>0</v>
      </c>
    </row>
    <row r="107" spans="1:58">
      <c r="A107" s="11">
        <v>42887</v>
      </c>
      <c r="B107" s="268">
        <v>70</v>
      </c>
      <c r="C107" s="268"/>
      <c r="D107" s="268"/>
      <c r="E107" s="268">
        <v>3</v>
      </c>
      <c r="F107" s="269">
        <v>0.2</v>
      </c>
      <c r="G107" s="269">
        <v>1.32</v>
      </c>
      <c r="H107" s="269">
        <v>12</v>
      </c>
      <c r="I107" s="269"/>
      <c r="J107" s="269">
        <v>2</v>
      </c>
      <c r="K107" s="269">
        <v>1.32</v>
      </c>
      <c r="L107" s="269">
        <v>18</v>
      </c>
      <c r="M107" s="269">
        <f t="shared" si="34"/>
        <v>1.5</v>
      </c>
      <c r="N107" s="269">
        <v>45</v>
      </c>
      <c r="O107" s="269">
        <f t="shared" si="20"/>
        <v>17.699535849485258</v>
      </c>
      <c r="Q107" s="251">
        <f t="shared" si="33"/>
        <v>172.03953584948522</v>
      </c>
      <c r="R107" s="251">
        <v>0</v>
      </c>
      <c r="S107" s="251">
        <f t="shared" si="36"/>
        <v>172.03953584948522</v>
      </c>
      <c r="AB107" s="251">
        <f>SUM('BD Feedstock'!C105,'BD Feedstock'!E105,'BD Feedstock'!G105,'BD Feedstock'!K105,'BD Feedstock'!T105)</f>
        <v>15.838837677094421</v>
      </c>
      <c r="AC107" s="251">
        <f>SUM('BD Feedstock'!D105,'BD Feedstock'!F105,'BD Feedstock'!H105,'BD Feedstock'!I105,'BD Feedstock'!L105,'BD Feedstock'!M105,'BD Feedstock'!N105,'BD Feedstock'!O105,'BD Feedstock'!U105)</f>
        <v>8.0207412508596612</v>
      </c>
      <c r="AD107" s="251">
        <f>'BD Feedstock'!J105</f>
        <v>0.90199999999999991</v>
      </c>
      <c r="AE107" s="251">
        <f>SUM('BD Feedstock'!B105,'BD Feedstock'!P105,'BD Feedstock'!Q105,'BD Feedstock'!R105)</f>
        <v>82.105208333333337</v>
      </c>
      <c r="AF107" s="251">
        <f>'BD Feedstock'!S105</f>
        <v>1.40625</v>
      </c>
      <c r="AG107" s="251">
        <f t="shared" si="28"/>
        <v>108.27303726128741</v>
      </c>
      <c r="AK107" s="237">
        <f t="shared" si="21"/>
        <v>0.14628607525686854</v>
      </c>
      <c r="AL107" s="237">
        <f t="shared" si="21"/>
        <v>7.4078842283733043E-2</v>
      </c>
      <c r="AM107" s="237">
        <f t="shared" si="21"/>
        <v>8.3307905903042996E-3</v>
      </c>
      <c r="AN107" s="237">
        <f t="shared" si="21"/>
        <v>0.75831629378969789</v>
      </c>
      <c r="AO107" s="237">
        <f t="shared" si="21"/>
        <v>1.2987998079396254E-2</v>
      </c>
      <c r="AP107" s="237">
        <f t="shared" si="29"/>
        <v>1</v>
      </c>
      <c r="AQ107" s="237"/>
      <c r="AR107" s="237">
        <f t="shared" si="30"/>
        <v>0.63965378472749512</v>
      </c>
      <c r="AS107" s="237">
        <f t="shared" si="31"/>
        <v>0.32391881285909468</v>
      </c>
      <c r="AT107" s="237">
        <f t="shared" si="32"/>
        <v>3.6427402413410123E-2</v>
      </c>
      <c r="AU107" s="237">
        <f t="shared" si="35"/>
        <v>0.98316099337665741</v>
      </c>
      <c r="AV107" s="237">
        <f t="shared" si="35"/>
        <v>1.6839006623342603E-2</v>
      </c>
      <c r="AX107" s="251">
        <f t="shared" si="22"/>
        <v>0</v>
      </c>
      <c r="AY107" s="251">
        <f t="shared" si="22"/>
        <v>0</v>
      </c>
      <c r="AZ107" s="251">
        <f t="shared" si="22"/>
        <v>0</v>
      </c>
      <c r="BA107" s="251">
        <f t="shared" si="23"/>
        <v>0</v>
      </c>
      <c r="BB107" s="251">
        <f t="shared" si="23"/>
        <v>0</v>
      </c>
      <c r="BC107" s="251">
        <f t="shared" si="24"/>
        <v>0</v>
      </c>
      <c r="BD107" s="270" t="e">
        <f t="shared" si="25"/>
        <v>#DIV/0!</v>
      </c>
      <c r="BE107" s="251">
        <f t="shared" si="26"/>
        <v>0</v>
      </c>
      <c r="BF107" s="251">
        <f t="shared" si="27"/>
        <v>0</v>
      </c>
    </row>
    <row r="108" spans="1:58">
      <c r="A108" s="11">
        <v>42917</v>
      </c>
      <c r="B108" s="268">
        <v>70</v>
      </c>
      <c r="C108" s="268"/>
      <c r="D108" s="268"/>
      <c r="E108" s="268">
        <v>3</v>
      </c>
      <c r="F108" s="269">
        <v>0.2</v>
      </c>
      <c r="G108" s="269">
        <v>1.32</v>
      </c>
      <c r="H108" s="269">
        <v>12</v>
      </c>
      <c r="I108" s="269"/>
      <c r="J108" s="269">
        <v>2</v>
      </c>
      <c r="K108" s="269">
        <v>1.32</v>
      </c>
      <c r="L108" s="269">
        <v>18</v>
      </c>
      <c r="M108" s="269">
        <f t="shared" si="34"/>
        <v>1.5</v>
      </c>
      <c r="N108" s="269">
        <v>45</v>
      </c>
      <c r="O108" s="269">
        <f t="shared" si="20"/>
        <v>17.699535849485258</v>
      </c>
      <c r="Q108" s="251">
        <f t="shared" si="33"/>
        <v>172.03953584948522</v>
      </c>
      <c r="R108" s="251">
        <v>0</v>
      </c>
      <c r="S108" s="251">
        <f t="shared" si="36"/>
        <v>172.03953584948522</v>
      </c>
      <c r="AB108" s="251">
        <f>SUM('BD Feedstock'!C106,'BD Feedstock'!E106,'BD Feedstock'!G106,'BD Feedstock'!K106,'BD Feedstock'!T106)</f>
        <v>15.838837677094421</v>
      </c>
      <c r="AC108" s="251">
        <f>SUM('BD Feedstock'!D106,'BD Feedstock'!F106,'BD Feedstock'!H106,'BD Feedstock'!I106,'BD Feedstock'!L106,'BD Feedstock'!M106,'BD Feedstock'!N106,'BD Feedstock'!O106,'BD Feedstock'!U106)</f>
        <v>8.0207412508596612</v>
      </c>
      <c r="AD108" s="251">
        <f>'BD Feedstock'!J106</f>
        <v>0.90199999999999991</v>
      </c>
      <c r="AE108" s="251">
        <f>SUM('BD Feedstock'!B106,'BD Feedstock'!P106,'BD Feedstock'!Q106,'BD Feedstock'!R106)</f>
        <v>82.105208333333337</v>
      </c>
      <c r="AF108" s="251">
        <f>'BD Feedstock'!S106</f>
        <v>1.40625</v>
      </c>
      <c r="AG108" s="251">
        <f t="shared" si="28"/>
        <v>108.27303726128741</v>
      </c>
      <c r="AK108" s="237">
        <f t="shared" si="21"/>
        <v>0.14628607525686854</v>
      </c>
      <c r="AL108" s="237">
        <f t="shared" si="21"/>
        <v>7.4078842283733043E-2</v>
      </c>
      <c r="AM108" s="237">
        <f t="shared" si="21"/>
        <v>8.3307905903042996E-3</v>
      </c>
      <c r="AN108" s="237">
        <f t="shared" si="21"/>
        <v>0.75831629378969789</v>
      </c>
      <c r="AO108" s="237">
        <f t="shared" si="21"/>
        <v>1.2987998079396254E-2</v>
      </c>
      <c r="AP108" s="237">
        <f t="shared" si="29"/>
        <v>1</v>
      </c>
      <c r="AQ108" s="237"/>
      <c r="AR108" s="237">
        <f t="shared" si="30"/>
        <v>0.63965378472749512</v>
      </c>
      <c r="AS108" s="237">
        <f t="shared" si="31"/>
        <v>0.32391881285909468</v>
      </c>
      <c r="AT108" s="237">
        <f t="shared" si="32"/>
        <v>3.6427402413410123E-2</v>
      </c>
      <c r="AU108" s="237">
        <f t="shared" si="35"/>
        <v>0.98316099337665741</v>
      </c>
      <c r="AV108" s="237">
        <f t="shared" si="35"/>
        <v>1.6839006623342603E-2</v>
      </c>
      <c r="AX108" s="251">
        <f t="shared" si="22"/>
        <v>0</v>
      </c>
      <c r="AY108" s="251">
        <f t="shared" si="22"/>
        <v>0</v>
      </c>
      <c r="AZ108" s="251">
        <f t="shared" si="22"/>
        <v>0</v>
      </c>
      <c r="BA108" s="251">
        <f t="shared" si="23"/>
        <v>0</v>
      </c>
      <c r="BB108" s="251">
        <f t="shared" si="23"/>
        <v>0</v>
      </c>
      <c r="BC108" s="251">
        <f t="shared" si="24"/>
        <v>0</v>
      </c>
      <c r="BD108" s="270" t="e">
        <f t="shared" si="25"/>
        <v>#DIV/0!</v>
      </c>
      <c r="BE108" s="251">
        <f t="shared" si="26"/>
        <v>0</v>
      </c>
      <c r="BF108" s="251">
        <f t="shared" si="27"/>
        <v>0</v>
      </c>
    </row>
    <row r="109" spans="1:58">
      <c r="A109" s="11">
        <v>42948</v>
      </c>
      <c r="B109" s="268">
        <v>70</v>
      </c>
      <c r="C109" s="268"/>
      <c r="D109" s="268"/>
      <c r="E109" s="268">
        <v>3</v>
      </c>
      <c r="F109" s="269">
        <v>0.2</v>
      </c>
      <c r="G109" s="269">
        <v>1.32</v>
      </c>
      <c r="H109" s="269">
        <v>12</v>
      </c>
      <c r="I109" s="269"/>
      <c r="J109" s="269">
        <v>2</v>
      </c>
      <c r="K109" s="269">
        <v>1.32</v>
      </c>
      <c r="L109" s="269">
        <v>18</v>
      </c>
      <c r="M109" s="269">
        <f t="shared" si="34"/>
        <v>1.5</v>
      </c>
      <c r="N109" s="269">
        <v>45</v>
      </c>
      <c r="O109" s="269">
        <f t="shared" si="20"/>
        <v>17.699535849485258</v>
      </c>
      <c r="Q109" s="251">
        <f t="shared" si="33"/>
        <v>172.03953584948522</v>
      </c>
      <c r="R109" s="251">
        <v>0</v>
      </c>
      <c r="S109" s="251">
        <f t="shared" si="36"/>
        <v>172.03953584948522</v>
      </c>
      <c r="AB109" s="251">
        <f>SUM('BD Feedstock'!C107,'BD Feedstock'!E107,'BD Feedstock'!G107,'BD Feedstock'!K107,'BD Feedstock'!T107)</f>
        <v>15.838837677094421</v>
      </c>
      <c r="AC109" s="251">
        <f>SUM('BD Feedstock'!D107,'BD Feedstock'!F107,'BD Feedstock'!H107,'BD Feedstock'!I107,'BD Feedstock'!L107,'BD Feedstock'!M107,'BD Feedstock'!N107,'BD Feedstock'!O107,'BD Feedstock'!U107)</f>
        <v>8.0207412508596612</v>
      </c>
      <c r="AD109" s="251">
        <f>'BD Feedstock'!J107</f>
        <v>0.90199999999999991</v>
      </c>
      <c r="AE109" s="251">
        <f>SUM('BD Feedstock'!B107,'BD Feedstock'!P107,'BD Feedstock'!Q107,'BD Feedstock'!R107)</f>
        <v>82.105208333333337</v>
      </c>
      <c r="AF109" s="251">
        <f>'BD Feedstock'!S107</f>
        <v>1.40625</v>
      </c>
      <c r="AG109" s="251">
        <f t="shared" si="28"/>
        <v>108.27303726128741</v>
      </c>
      <c r="AK109" s="237">
        <f t="shared" ref="AK109:AO172" si="37">AB109/$AG109</f>
        <v>0.14628607525686854</v>
      </c>
      <c r="AL109" s="237">
        <f t="shared" si="37"/>
        <v>7.4078842283733043E-2</v>
      </c>
      <c r="AM109" s="237">
        <f t="shared" si="37"/>
        <v>8.3307905903042996E-3</v>
      </c>
      <c r="AN109" s="237">
        <f t="shared" si="37"/>
        <v>0.75831629378969789</v>
      </c>
      <c r="AO109" s="237">
        <f t="shared" si="37"/>
        <v>1.2987998079396254E-2</v>
      </c>
      <c r="AP109" s="237">
        <f t="shared" si="29"/>
        <v>1</v>
      </c>
      <c r="AQ109" s="237"/>
      <c r="AR109" s="237">
        <f t="shared" si="30"/>
        <v>0.63965378472749512</v>
      </c>
      <c r="AS109" s="237">
        <f t="shared" si="31"/>
        <v>0.32391881285909468</v>
      </c>
      <c r="AT109" s="237">
        <f t="shared" si="32"/>
        <v>3.6427402413410123E-2</v>
      </c>
      <c r="AU109" s="237">
        <f t="shared" si="35"/>
        <v>0.98316099337665741</v>
      </c>
      <c r="AV109" s="237">
        <f t="shared" si="35"/>
        <v>1.6839006623342603E-2</v>
      </c>
      <c r="AX109" s="251">
        <f t="shared" si="22"/>
        <v>0</v>
      </c>
      <c r="AY109" s="251">
        <f t="shared" si="22"/>
        <v>0</v>
      </c>
      <c r="AZ109" s="251">
        <f t="shared" si="22"/>
        <v>0</v>
      </c>
      <c r="BA109" s="251">
        <f t="shared" si="23"/>
        <v>0</v>
      </c>
      <c r="BB109" s="251">
        <f t="shared" si="23"/>
        <v>0</v>
      </c>
      <c r="BC109" s="251">
        <f t="shared" si="24"/>
        <v>0</v>
      </c>
      <c r="BD109" s="270" t="e">
        <f t="shared" si="25"/>
        <v>#DIV/0!</v>
      </c>
      <c r="BE109" s="251">
        <f t="shared" si="26"/>
        <v>0</v>
      </c>
      <c r="BF109" s="251">
        <f t="shared" si="27"/>
        <v>0</v>
      </c>
    </row>
    <row r="110" spans="1:58">
      <c r="A110" s="11">
        <v>42979</v>
      </c>
      <c r="B110" s="268">
        <v>70</v>
      </c>
      <c r="C110" s="268">
        <v>5</v>
      </c>
      <c r="D110" s="268"/>
      <c r="E110" s="268">
        <v>3</v>
      </c>
      <c r="F110" s="269">
        <v>0.2</v>
      </c>
      <c r="G110" s="269">
        <v>1.32</v>
      </c>
      <c r="H110" s="269">
        <v>12</v>
      </c>
      <c r="I110" s="269"/>
      <c r="J110" s="269">
        <v>2</v>
      </c>
      <c r="K110" s="269">
        <v>1.32</v>
      </c>
      <c r="L110" s="269">
        <v>18</v>
      </c>
      <c r="M110" s="269">
        <f t="shared" si="34"/>
        <v>1.5</v>
      </c>
      <c r="N110" s="269">
        <v>45</v>
      </c>
      <c r="O110" s="269">
        <f t="shared" si="20"/>
        <v>17.699535849485258</v>
      </c>
      <c r="Q110" s="251">
        <f t="shared" si="33"/>
        <v>177.03953584948522</v>
      </c>
      <c r="R110" s="251">
        <v>0</v>
      </c>
      <c r="S110" s="251">
        <f t="shared" si="36"/>
        <v>177.03953584948522</v>
      </c>
      <c r="AB110" s="251">
        <f>SUM('BD Feedstock'!C108,'BD Feedstock'!E108,'BD Feedstock'!G108,'BD Feedstock'!K108,'BD Feedstock'!T108)</f>
        <v>16.646129343761089</v>
      </c>
      <c r="AC110" s="251">
        <f>SUM('BD Feedstock'!D108,'BD Feedstock'!F108,'BD Feedstock'!H108,'BD Feedstock'!I108,'BD Feedstock'!L108,'BD Feedstock'!M108,'BD Feedstock'!N108,'BD Feedstock'!O108,'BD Feedstock'!U108)</f>
        <v>8.8780329175263279</v>
      </c>
      <c r="AD110" s="251">
        <f>'BD Feedstock'!J108</f>
        <v>0.90199999999999991</v>
      </c>
      <c r="AE110" s="251">
        <f>SUM('BD Feedstock'!B108,'BD Feedstock'!P108,'BD Feedstock'!Q108,'BD Feedstock'!R108)</f>
        <v>82.105208333333337</v>
      </c>
      <c r="AF110" s="251">
        <f>'BD Feedstock'!S108</f>
        <v>1.40625</v>
      </c>
      <c r="AG110" s="251">
        <f t="shared" si="28"/>
        <v>109.93762059462075</v>
      </c>
      <c r="AK110" s="237">
        <f t="shared" si="37"/>
        <v>0.15141431344181361</v>
      </c>
      <c r="AL110" s="237">
        <f t="shared" si="37"/>
        <v>8.0755185254216155E-2</v>
      </c>
      <c r="AM110" s="237">
        <f t="shared" si="37"/>
        <v>8.2046527396294651E-3</v>
      </c>
      <c r="AN110" s="237">
        <f t="shared" si="37"/>
        <v>0.74683450386910355</v>
      </c>
      <c r="AO110" s="237">
        <f t="shared" si="37"/>
        <v>1.279134469523718E-2</v>
      </c>
      <c r="AP110" s="237">
        <f t="shared" si="29"/>
        <v>0.99999999999999989</v>
      </c>
      <c r="AQ110" s="237"/>
      <c r="AR110" s="237">
        <f t="shared" si="30"/>
        <v>0.62991096395962765</v>
      </c>
      <c r="AS110" s="237">
        <f t="shared" si="31"/>
        <v>0.33595619483999234</v>
      </c>
      <c r="AT110" s="237">
        <f t="shared" si="32"/>
        <v>3.4132841200380064E-2</v>
      </c>
      <c r="AU110" s="237">
        <f t="shared" si="35"/>
        <v>0.98316099337665741</v>
      </c>
      <c r="AV110" s="237">
        <f t="shared" si="35"/>
        <v>1.6839006623342603E-2</v>
      </c>
      <c r="AX110" s="251">
        <f t="shared" si="22"/>
        <v>0</v>
      </c>
      <c r="AY110" s="251">
        <f t="shared" si="22"/>
        <v>0</v>
      </c>
      <c r="AZ110" s="251">
        <f t="shared" si="22"/>
        <v>0</v>
      </c>
      <c r="BA110" s="251">
        <f t="shared" si="23"/>
        <v>0</v>
      </c>
      <c r="BB110" s="251">
        <f t="shared" si="23"/>
        <v>0</v>
      </c>
      <c r="BC110" s="251">
        <f t="shared" si="24"/>
        <v>0</v>
      </c>
      <c r="BD110" s="270" t="e">
        <f t="shared" si="25"/>
        <v>#DIV/0!</v>
      </c>
      <c r="BE110" s="251">
        <f t="shared" si="26"/>
        <v>0</v>
      </c>
      <c r="BF110" s="251">
        <f t="shared" si="27"/>
        <v>0</v>
      </c>
    </row>
    <row r="111" spans="1:58">
      <c r="A111" s="11">
        <v>43009</v>
      </c>
      <c r="B111" s="268">
        <v>70</v>
      </c>
      <c r="C111" s="268">
        <v>10</v>
      </c>
      <c r="D111" s="268"/>
      <c r="E111" s="268">
        <v>3</v>
      </c>
      <c r="F111" s="269">
        <v>0.2</v>
      </c>
      <c r="G111" s="269">
        <v>1.32</v>
      </c>
      <c r="H111" s="269">
        <v>12</v>
      </c>
      <c r="I111" s="269"/>
      <c r="J111" s="269">
        <v>2</v>
      </c>
      <c r="K111" s="269">
        <v>1.32</v>
      </c>
      <c r="L111" s="269">
        <v>18</v>
      </c>
      <c r="M111" s="269">
        <f t="shared" si="34"/>
        <v>1.5</v>
      </c>
      <c r="N111" s="269">
        <v>45</v>
      </c>
      <c r="O111" s="269">
        <f t="shared" si="20"/>
        <v>17.699535849485258</v>
      </c>
      <c r="Q111" s="251">
        <f t="shared" si="33"/>
        <v>182.03953584948522</v>
      </c>
      <c r="R111" s="251">
        <v>0</v>
      </c>
      <c r="S111" s="251">
        <f t="shared" si="36"/>
        <v>182.03953584948522</v>
      </c>
      <c r="AB111" s="251">
        <f>SUM('BD Feedstock'!C109,'BD Feedstock'!E109,'BD Feedstock'!G109,'BD Feedstock'!K109,'BD Feedstock'!T109)</f>
        <v>17.453421010427753</v>
      </c>
      <c r="AC111" s="251">
        <f>SUM('BD Feedstock'!D109,'BD Feedstock'!F109,'BD Feedstock'!H109,'BD Feedstock'!I109,'BD Feedstock'!L109,'BD Feedstock'!M109,'BD Feedstock'!N109,'BD Feedstock'!O109,'BD Feedstock'!U109)</f>
        <v>9.7353245841929947</v>
      </c>
      <c r="AD111" s="251">
        <f>'BD Feedstock'!J109</f>
        <v>0.90199999999999991</v>
      </c>
      <c r="AE111" s="251">
        <f>SUM('BD Feedstock'!B109,'BD Feedstock'!P109,'BD Feedstock'!Q109,'BD Feedstock'!R109)</f>
        <v>82.105208333333337</v>
      </c>
      <c r="AF111" s="251">
        <f>'BD Feedstock'!S109</f>
        <v>1.40625</v>
      </c>
      <c r="AG111" s="251">
        <f t="shared" si="28"/>
        <v>111.60220392795409</v>
      </c>
      <c r="AK111" s="237">
        <f t="shared" si="37"/>
        <v>0.1563895729307907</v>
      </c>
      <c r="AL111" s="237">
        <f t="shared" si="37"/>
        <v>8.7232368551410769E-2</v>
      </c>
      <c r="AM111" s="237">
        <f t="shared" si="37"/>
        <v>8.0822776634616907E-3</v>
      </c>
      <c r="AN111" s="237">
        <f t="shared" si="37"/>
        <v>0.73569522324431125</v>
      </c>
      <c r="AO111" s="237">
        <f t="shared" si="37"/>
        <v>1.2600557610025502E-2</v>
      </c>
      <c r="AP111" s="237">
        <f t="shared" si="29"/>
        <v>0.99999999999999989</v>
      </c>
      <c r="AQ111" s="237"/>
      <c r="AR111" s="237">
        <f t="shared" si="30"/>
        <v>0.6213228108039256</v>
      </c>
      <c r="AS111" s="237">
        <f t="shared" si="31"/>
        <v>0.34656696994391156</v>
      </c>
      <c r="AT111" s="237">
        <f t="shared" si="32"/>
        <v>3.2110219252162849E-2</v>
      </c>
      <c r="AU111" s="237">
        <f t="shared" si="35"/>
        <v>0.98316099337665741</v>
      </c>
      <c r="AV111" s="237">
        <f t="shared" si="35"/>
        <v>1.6839006623342603E-2</v>
      </c>
      <c r="AX111" s="251">
        <f t="shared" si="22"/>
        <v>0</v>
      </c>
      <c r="AY111" s="251">
        <f t="shared" si="22"/>
        <v>0</v>
      </c>
      <c r="AZ111" s="251">
        <f t="shared" si="22"/>
        <v>0</v>
      </c>
      <c r="BA111" s="251">
        <f t="shared" si="23"/>
        <v>0</v>
      </c>
      <c r="BB111" s="251">
        <f t="shared" si="23"/>
        <v>0</v>
      </c>
      <c r="BC111" s="251">
        <f t="shared" si="24"/>
        <v>0</v>
      </c>
      <c r="BD111" s="270" t="e">
        <f t="shared" si="25"/>
        <v>#DIV/0!</v>
      </c>
      <c r="BE111" s="251">
        <f t="shared" si="26"/>
        <v>0</v>
      </c>
      <c r="BF111" s="251">
        <f t="shared" si="27"/>
        <v>0</v>
      </c>
    </row>
    <row r="112" spans="1:58">
      <c r="A112" s="11">
        <v>43040</v>
      </c>
      <c r="B112" s="268">
        <v>70</v>
      </c>
      <c r="C112" s="268">
        <v>13</v>
      </c>
      <c r="D112" s="268"/>
      <c r="E112" s="268">
        <v>3</v>
      </c>
      <c r="F112" s="269">
        <v>0.2</v>
      </c>
      <c r="G112" s="269">
        <v>1.32</v>
      </c>
      <c r="H112" s="269">
        <v>12</v>
      </c>
      <c r="I112" s="269"/>
      <c r="J112" s="269">
        <v>2</v>
      </c>
      <c r="K112" s="269">
        <v>1.32</v>
      </c>
      <c r="L112" s="269">
        <v>18</v>
      </c>
      <c r="M112" s="269">
        <f t="shared" si="34"/>
        <v>1.5</v>
      </c>
      <c r="N112" s="269">
        <v>45</v>
      </c>
      <c r="O112" s="269">
        <f t="shared" si="20"/>
        <v>17.699535849485258</v>
      </c>
      <c r="Q112" s="251">
        <f t="shared" si="33"/>
        <v>185.03953584948522</v>
      </c>
      <c r="R112" s="251">
        <v>0</v>
      </c>
      <c r="S112" s="251">
        <f t="shared" si="36"/>
        <v>185.03953584948522</v>
      </c>
      <c r="AB112" s="251">
        <f>SUM('BD Feedstock'!C110,'BD Feedstock'!E110,'BD Feedstock'!G110,'BD Feedstock'!K110,'BD Feedstock'!T110)</f>
        <v>17.937796010427753</v>
      </c>
      <c r="AC112" s="251">
        <f>SUM('BD Feedstock'!D110,'BD Feedstock'!F110,'BD Feedstock'!H110,'BD Feedstock'!I110,'BD Feedstock'!L110,'BD Feedstock'!M110,'BD Feedstock'!N110,'BD Feedstock'!O110,'BD Feedstock'!U110)</f>
        <v>10.249699584192994</v>
      </c>
      <c r="AD112" s="251">
        <f>'BD Feedstock'!J110</f>
        <v>0.90199999999999991</v>
      </c>
      <c r="AE112" s="251">
        <f>SUM('BD Feedstock'!B110,'BD Feedstock'!P110,'BD Feedstock'!Q110,'BD Feedstock'!R110)</f>
        <v>82.105208333333337</v>
      </c>
      <c r="AF112" s="251">
        <f>'BD Feedstock'!S110</f>
        <v>1.40625</v>
      </c>
      <c r="AG112" s="251">
        <f t="shared" si="28"/>
        <v>112.60095392795409</v>
      </c>
      <c r="AK112" s="237">
        <f t="shared" si="37"/>
        <v>0.15930412118804041</v>
      </c>
      <c r="AL112" s="237">
        <f t="shared" si="37"/>
        <v>9.1026756227581329E-2</v>
      </c>
      <c r="AM112" s="237">
        <f t="shared" si="37"/>
        <v>8.0105893292620779E-3</v>
      </c>
      <c r="AN112" s="237">
        <f t="shared" si="37"/>
        <v>0.7291697403013746</v>
      </c>
      <c r="AO112" s="237">
        <f t="shared" si="37"/>
        <v>1.2488792953741461E-2</v>
      </c>
      <c r="AP112" s="237">
        <f t="shared" si="29"/>
        <v>0.99999999999999989</v>
      </c>
      <c r="AQ112" s="237"/>
      <c r="AR112" s="237">
        <f t="shared" si="30"/>
        <v>0.61664169982187056</v>
      </c>
      <c r="AS112" s="237">
        <f t="shared" si="31"/>
        <v>0.35235054354426054</v>
      </c>
      <c r="AT112" s="237">
        <f t="shared" si="32"/>
        <v>3.1007756633868837E-2</v>
      </c>
      <c r="AU112" s="237">
        <f t="shared" si="35"/>
        <v>0.98316099337665741</v>
      </c>
      <c r="AV112" s="237">
        <f t="shared" si="35"/>
        <v>1.6839006623342603E-2</v>
      </c>
      <c r="AX112" s="251">
        <f t="shared" si="22"/>
        <v>0</v>
      </c>
      <c r="AY112" s="251">
        <f t="shared" si="22"/>
        <v>0</v>
      </c>
      <c r="AZ112" s="251">
        <f t="shared" si="22"/>
        <v>0</v>
      </c>
      <c r="BA112" s="251">
        <f t="shared" si="23"/>
        <v>0</v>
      </c>
      <c r="BB112" s="251">
        <f t="shared" si="23"/>
        <v>0</v>
      </c>
      <c r="BC112" s="251">
        <f t="shared" si="24"/>
        <v>0</v>
      </c>
      <c r="BD112" s="270" t="e">
        <f t="shared" si="25"/>
        <v>#DIV/0!</v>
      </c>
      <c r="BE112" s="251">
        <f t="shared" si="26"/>
        <v>0</v>
      </c>
      <c r="BF112" s="251">
        <f t="shared" si="27"/>
        <v>0</v>
      </c>
    </row>
    <row r="113" spans="1:58">
      <c r="A113" s="11">
        <v>43070</v>
      </c>
      <c r="B113" s="268">
        <v>70</v>
      </c>
      <c r="C113" s="268">
        <v>13</v>
      </c>
      <c r="D113" s="268"/>
      <c r="E113" s="268">
        <v>3</v>
      </c>
      <c r="F113" s="269">
        <v>0.2</v>
      </c>
      <c r="G113" s="269">
        <v>1.32</v>
      </c>
      <c r="H113" s="269">
        <v>12</v>
      </c>
      <c r="I113" s="269"/>
      <c r="J113" s="269">
        <v>2</v>
      </c>
      <c r="K113" s="269">
        <v>1.32</v>
      </c>
      <c r="L113" s="269">
        <v>18</v>
      </c>
      <c r="M113" s="269">
        <f t="shared" si="34"/>
        <v>1.5</v>
      </c>
      <c r="N113" s="269">
        <v>45</v>
      </c>
      <c r="O113" s="269">
        <f t="shared" si="20"/>
        <v>17.699535849485258</v>
      </c>
      <c r="Q113" s="251">
        <f t="shared" si="33"/>
        <v>185.03953584948522</v>
      </c>
      <c r="R113" s="251">
        <v>0</v>
      </c>
      <c r="S113" s="251">
        <f t="shared" si="36"/>
        <v>185.03953584948522</v>
      </c>
      <c r="AB113" s="251">
        <f>SUM('BD Feedstock'!C111,'BD Feedstock'!E111,'BD Feedstock'!G111,'BD Feedstock'!K111,'BD Feedstock'!T111)</f>
        <v>17.937796010427753</v>
      </c>
      <c r="AC113" s="251">
        <f>SUM('BD Feedstock'!D111,'BD Feedstock'!F111,'BD Feedstock'!H111,'BD Feedstock'!I111,'BD Feedstock'!L111,'BD Feedstock'!M111,'BD Feedstock'!N111,'BD Feedstock'!O111,'BD Feedstock'!U111)</f>
        <v>10.249699584192994</v>
      </c>
      <c r="AD113" s="251">
        <f>'BD Feedstock'!J111</f>
        <v>0.90199999999999991</v>
      </c>
      <c r="AE113" s="251">
        <f>SUM('BD Feedstock'!B111,'BD Feedstock'!P111,'BD Feedstock'!Q111,'BD Feedstock'!R111)</f>
        <v>82.105208333333337</v>
      </c>
      <c r="AF113" s="251">
        <f>'BD Feedstock'!S111</f>
        <v>1.40625</v>
      </c>
      <c r="AG113" s="251">
        <f t="shared" si="28"/>
        <v>112.60095392795409</v>
      </c>
      <c r="AK113" s="237">
        <f t="shared" si="37"/>
        <v>0.15930412118804041</v>
      </c>
      <c r="AL113" s="237">
        <f t="shared" si="37"/>
        <v>9.1026756227581329E-2</v>
      </c>
      <c r="AM113" s="237">
        <f t="shared" si="37"/>
        <v>8.0105893292620779E-3</v>
      </c>
      <c r="AN113" s="237">
        <f t="shared" si="37"/>
        <v>0.7291697403013746</v>
      </c>
      <c r="AO113" s="237">
        <f t="shared" si="37"/>
        <v>1.2488792953741461E-2</v>
      </c>
      <c r="AP113" s="237">
        <f t="shared" si="29"/>
        <v>0.99999999999999989</v>
      </c>
      <c r="AQ113" s="237"/>
      <c r="AR113" s="237">
        <f t="shared" si="30"/>
        <v>0.61664169982187056</v>
      </c>
      <c r="AS113" s="237">
        <f t="shared" si="31"/>
        <v>0.35235054354426054</v>
      </c>
      <c r="AT113" s="237">
        <f t="shared" si="32"/>
        <v>3.1007756633868837E-2</v>
      </c>
      <c r="AU113" s="237">
        <f t="shared" si="35"/>
        <v>0.98316099337665741</v>
      </c>
      <c r="AV113" s="237">
        <f t="shared" si="35"/>
        <v>1.6839006623342603E-2</v>
      </c>
      <c r="AX113" s="251">
        <f t="shared" si="22"/>
        <v>0</v>
      </c>
      <c r="AY113" s="251">
        <f t="shared" si="22"/>
        <v>0</v>
      </c>
      <c r="AZ113" s="251">
        <f t="shared" si="22"/>
        <v>0</v>
      </c>
      <c r="BA113" s="251">
        <f t="shared" si="23"/>
        <v>0</v>
      </c>
      <c r="BB113" s="251">
        <f t="shared" si="23"/>
        <v>0</v>
      </c>
      <c r="BC113" s="251">
        <f t="shared" si="24"/>
        <v>0</v>
      </c>
      <c r="BD113" s="270" t="e">
        <f t="shared" si="25"/>
        <v>#DIV/0!</v>
      </c>
      <c r="BE113" s="251">
        <f t="shared" si="26"/>
        <v>0</v>
      </c>
      <c r="BF113" s="251">
        <f t="shared" si="27"/>
        <v>0</v>
      </c>
    </row>
    <row r="114" spans="1:58">
      <c r="A114" s="11">
        <v>43101</v>
      </c>
      <c r="B114" s="268">
        <v>70</v>
      </c>
      <c r="C114" s="268">
        <v>13</v>
      </c>
      <c r="D114" s="268"/>
      <c r="E114" s="268">
        <v>3</v>
      </c>
      <c r="F114" s="269">
        <v>0.2</v>
      </c>
      <c r="G114" s="269">
        <v>1.32</v>
      </c>
      <c r="H114" s="269">
        <v>12</v>
      </c>
      <c r="I114" s="269">
        <v>1.5</v>
      </c>
      <c r="J114" s="269">
        <v>2</v>
      </c>
      <c r="K114" s="269">
        <v>1.32</v>
      </c>
      <c r="L114" s="269">
        <v>18</v>
      </c>
      <c r="M114" s="269">
        <f t="shared" si="34"/>
        <v>1.5</v>
      </c>
      <c r="N114" s="269">
        <v>45</v>
      </c>
      <c r="O114" s="269">
        <f t="shared" si="20"/>
        <v>17.699535849485258</v>
      </c>
      <c r="Q114" s="251">
        <f t="shared" si="33"/>
        <v>186.53953584948522</v>
      </c>
      <c r="R114" s="251">
        <v>0</v>
      </c>
      <c r="S114" s="251">
        <f t="shared" si="36"/>
        <v>186.53953584948522</v>
      </c>
      <c r="AB114" s="251">
        <f>SUM('BD Feedstock'!C112,'BD Feedstock'!E112,'BD Feedstock'!G112,'BD Feedstock'!K112,'BD Feedstock'!T112)</f>
        <v>17.937796010427753</v>
      </c>
      <c r="AC114" s="251">
        <f>SUM('BD Feedstock'!D112,'BD Feedstock'!F112,'BD Feedstock'!H112,'BD Feedstock'!I112,'BD Feedstock'!L112,'BD Feedstock'!M112,'BD Feedstock'!N112,'BD Feedstock'!O112,'BD Feedstock'!U112)</f>
        <v>11.278449584192993</v>
      </c>
      <c r="AD114" s="251">
        <f>'BD Feedstock'!J112</f>
        <v>0.90199999999999991</v>
      </c>
      <c r="AE114" s="251">
        <f>SUM('BD Feedstock'!B112,'BD Feedstock'!P112,'BD Feedstock'!Q112,'BD Feedstock'!R112)</f>
        <v>82.105208333333337</v>
      </c>
      <c r="AF114" s="251">
        <f>'BD Feedstock'!S112</f>
        <v>1.40625</v>
      </c>
      <c r="AG114" s="251">
        <f t="shared" si="28"/>
        <v>113.62970392795408</v>
      </c>
      <c r="AK114" s="237">
        <f t="shared" si="37"/>
        <v>0.15786185645437442</v>
      </c>
      <c r="AL114" s="237">
        <f t="shared" si="37"/>
        <v>9.9256173292011696E-2</v>
      </c>
      <c r="AM114" s="237">
        <f t="shared" si="37"/>
        <v>7.9380652137570045E-3</v>
      </c>
      <c r="AN114" s="237">
        <f t="shared" si="37"/>
        <v>0.72256817975510546</v>
      </c>
      <c r="AO114" s="237">
        <f t="shared" si="37"/>
        <v>1.2375725284751428E-2</v>
      </c>
      <c r="AP114" s="237">
        <f t="shared" si="29"/>
        <v>1</v>
      </c>
      <c r="AQ114" s="237"/>
      <c r="AR114" s="237">
        <f t="shared" si="30"/>
        <v>0.59557904706214115</v>
      </c>
      <c r="AS114" s="237">
        <f t="shared" si="31"/>
        <v>0.37447232936460861</v>
      </c>
      <c r="AT114" s="237">
        <f t="shared" si="32"/>
        <v>2.9948623573250267E-2</v>
      </c>
      <c r="AU114" s="237">
        <f t="shared" si="35"/>
        <v>0.98316099337665741</v>
      </c>
      <c r="AV114" s="237">
        <f t="shared" si="35"/>
        <v>1.6839006623342603E-2</v>
      </c>
      <c r="AX114" s="251">
        <f t="shared" si="22"/>
        <v>0</v>
      </c>
      <c r="AY114" s="251">
        <f t="shared" si="22"/>
        <v>0</v>
      </c>
      <c r="AZ114" s="251">
        <f t="shared" si="22"/>
        <v>0</v>
      </c>
      <c r="BA114" s="251">
        <f t="shared" si="23"/>
        <v>0</v>
      </c>
      <c r="BB114" s="251">
        <f t="shared" si="23"/>
        <v>0</v>
      </c>
      <c r="BC114" s="251">
        <f t="shared" si="24"/>
        <v>0</v>
      </c>
      <c r="BD114" s="270" t="e">
        <f t="shared" si="25"/>
        <v>#DIV/0!</v>
      </c>
      <c r="BE114" s="251">
        <f t="shared" si="26"/>
        <v>0</v>
      </c>
      <c r="BF114" s="251">
        <f t="shared" si="27"/>
        <v>0</v>
      </c>
    </row>
    <row r="115" spans="1:58">
      <c r="A115" s="11">
        <v>43132</v>
      </c>
      <c r="B115" s="268">
        <v>70</v>
      </c>
      <c r="C115" s="268">
        <v>13</v>
      </c>
      <c r="D115" s="268"/>
      <c r="E115" s="268">
        <v>3</v>
      </c>
      <c r="F115" s="269">
        <v>0.2</v>
      </c>
      <c r="G115" s="269">
        <v>1.32</v>
      </c>
      <c r="H115" s="269">
        <v>12</v>
      </c>
      <c r="I115" s="269">
        <v>1.5</v>
      </c>
      <c r="J115" s="269">
        <v>2</v>
      </c>
      <c r="K115" s="269">
        <v>1.32</v>
      </c>
      <c r="L115" s="269">
        <v>18</v>
      </c>
      <c r="M115" s="269">
        <f t="shared" si="34"/>
        <v>1.5</v>
      </c>
      <c r="N115" s="269">
        <v>45</v>
      </c>
      <c r="O115" s="269">
        <f t="shared" si="20"/>
        <v>17.699535849485258</v>
      </c>
      <c r="Q115" s="251">
        <f t="shared" si="33"/>
        <v>186.53953584948522</v>
      </c>
      <c r="R115" s="251">
        <v>0</v>
      </c>
      <c r="S115" s="251">
        <f t="shared" si="36"/>
        <v>186.53953584948522</v>
      </c>
      <c r="AB115" s="251">
        <f>SUM('BD Feedstock'!C113,'BD Feedstock'!E113,'BD Feedstock'!G113,'BD Feedstock'!K113,'BD Feedstock'!T113)</f>
        <v>17.937796010427753</v>
      </c>
      <c r="AC115" s="251">
        <f>SUM('BD Feedstock'!D113,'BD Feedstock'!F113,'BD Feedstock'!H113,'BD Feedstock'!I113,'BD Feedstock'!L113,'BD Feedstock'!M113,'BD Feedstock'!N113,'BD Feedstock'!O113,'BD Feedstock'!U113)</f>
        <v>11.278449584192993</v>
      </c>
      <c r="AD115" s="251">
        <f>'BD Feedstock'!J113</f>
        <v>0.90199999999999991</v>
      </c>
      <c r="AE115" s="251">
        <f>SUM('BD Feedstock'!B113,'BD Feedstock'!P113,'BD Feedstock'!Q113,'BD Feedstock'!R113)</f>
        <v>82.105208333333337</v>
      </c>
      <c r="AF115" s="251">
        <f>'BD Feedstock'!S113</f>
        <v>1.40625</v>
      </c>
      <c r="AG115" s="251">
        <f t="shared" si="28"/>
        <v>113.62970392795408</v>
      </c>
      <c r="AK115" s="237">
        <f t="shared" si="37"/>
        <v>0.15786185645437442</v>
      </c>
      <c r="AL115" s="237">
        <f t="shared" si="37"/>
        <v>9.9256173292011696E-2</v>
      </c>
      <c r="AM115" s="237">
        <f t="shared" si="37"/>
        <v>7.9380652137570045E-3</v>
      </c>
      <c r="AN115" s="237">
        <f t="shared" si="37"/>
        <v>0.72256817975510546</v>
      </c>
      <c r="AO115" s="237">
        <f t="shared" si="37"/>
        <v>1.2375725284751428E-2</v>
      </c>
      <c r="AP115" s="237">
        <f t="shared" si="29"/>
        <v>1</v>
      </c>
      <c r="AQ115" s="237"/>
      <c r="AR115" s="237">
        <f t="shared" si="30"/>
        <v>0.59557904706214115</v>
      </c>
      <c r="AS115" s="237">
        <f t="shared" si="31"/>
        <v>0.37447232936460861</v>
      </c>
      <c r="AT115" s="237">
        <f t="shared" si="32"/>
        <v>2.9948623573250267E-2</v>
      </c>
      <c r="AU115" s="237">
        <f t="shared" si="35"/>
        <v>0.98316099337665741</v>
      </c>
      <c r="AV115" s="237">
        <f t="shared" si="35"/>
        <v>1.6839006623342603E-2</v>
      </c>
      <c r="AX115" s="251">
        <f t="shared" si="22"/>
        <v>0</v>
      </c>
      <c r="AY115" s="251">
        <f t="shared" si="22"/>
        <v>0</v>
      </c>
      <c r="AZ115" s="251">
        <f t="shared" si="22"/>
        <v>0</v>
      </c>
      <c r="BA115" s="251">
        <f t="shared" si="23"/>
        <v>0</v>
      </c>
      <c r="BB115" s="251">
        <f t="shared" si="23"/>
        <v>0</v>
      </c>
      <c r="BC115" s="251">
        <f t="shared" si="24"/>
        <v>0</v>
      </c>
      <c r="BD115" s="270" t="e">
        <f t="shared" si="25"/>
        <v>#DIV/0!</v>
      </c>
      <c r="BE115" s="251">
        <f t="shared" si="26"/>
        <v>0</v>
      </c>
      <c r="BF115" s="251">
        <f t="shared" si="27"/>
        <v>0</v>
      </c>
    </row>
    <row r="116" spans="1:58">
      <c r="A116" s="11">
        <v>43160</v>
      </c>
      <c r="B116" s="268">
        <v>70</v>
      </c>
      <c r="C116" s="268">
        <v>13</v>
      </c>
      <c r="D116" s="268"/>
      <c r="E116" s="268">
        <v>3</v>
      </c>
      <c r="F116" s="269">
        <v>0.2</v>
      </c>
      <c r="G116" s="269">
        <v>1.32</v>
      </c>
      <c r="H116" s="269">
        <v>12</v>
      </c>
      <c r="I116" s="269">
        <v>1.5</v>
      </c>
      <c r="J116" s="269">
        <v>2</v>
      </c>
      <c r="K116" s="269">
        <v>1.32</v>
      </c>
      <c r="L116" s="269"/>
      <c r="M116" s="269">
        <f t="shared" si="34"/>
        <v>1.5</v>
      </c>
      <c r="N116" s="269">
        <v>45</v>
      </c>
      <c r="O116" s="269">
        <f t="shared" si="20"/>
        <v>17.699535849485258</v>
      </c>
      <c r="Q116" s="251">
        <f t="shared" si="33"/>
        <v>168.53953584948522</v>
      </c>
      <c r="R116" s="251">
        <v>0</v>
      </c>
      <c r="S116" s="251">
        <f t="shared" si="36"/>
        <v>168.53953584948522</v>
      </c>
      <c r="AB116" s="251">
        <f>SUM('BD Feedstock'!C114,'BD Feedstock'!E114,'BD Feedstock'!G114,'BD Feedstock'!K114,'BD Feedstock'!T114)</f>
        <v>17.937796010427753</v>
      </c>
      <c r="AC116" s="251">
        <f>SUM('BD Feedstock'!D114,'BD Feedstock'!F114,'BD Feedstock'!H114,'BD Feedstock'!I114,'BD Feedstock'!L114,'BD Feedstock'!M114,'BD Feedstock'!N114,'BD Feedstock'!O114,'BD Feedstock'!U114)</f>
        <v>11.278449584192993</v>
      </c>
      <c r="AD116" s="251">
        <f>'BD Feedstock'!J114</f>
        <v>0.90199999999999991</v>
      </c>
      <c r="AE116" s="251">
        <f>SUM('BD Feedstock'!B114,'BD Feedstock'!P114,'BD Feedstock'!Q114,'BD Feedstock'!R114)</f>
        <v>70.93020833333334</v>
      </c>
      <c r="AF116" s="251">
        <f>'BD Feedstock'!S114</f>
        <v>1.40625</v>
      </c>
      <c r="AG116" s="251">
        <f t="shared" si="28"/>
        <v>102.45470392795409</v>
      </c>
      <c r="AK116" s="237">
        <f t="shared" si="37"/>
        <v>0.175080258130867</v>
      </c>
      <c r="AL116" s="237">
        <f t="shared" si="37"/>
        <v>0.11008230126870479</v>
      </c>
      <c r="AM116" s="237">
        <f t="shared" si="37"/>
        <v>8.8038905527879352E-3</v>
      </c>
      <c r="AN116" s="237">
        <f t="shared" si="37"/>
        <v>0.69230797234269792</v>
      </c>
      <c r="AO116" s="237">
        <f t="shared" si="37"/>
        <v>1.3725577704942388E-2</v>
      </c>
      <c r="AP116" s="237">
        <f t="shared" si="29"/>
        <v>1</v>
      </c>
      <c r="AQ116" s="237"/>
      <c r="AR116" s="237">
        <f t="shared" si="30"/>
        <v>0.59557904706214115</v>
      </c>
      <c r="AS116" s="237">
        <f t="shared" si="31"/>
        <v>0.37447232936460861</v>
      </c>
      <c r="AT116" s="237">
        <f t="shared" si="32"/>
        <v>2.9948623573250267E-2</v>
      </c>
      <c r="AU116" s="237">
        <f t="shared" si="35"/>
        <v>0.98055959563958928</v>
      </c>
      <c r="AV116" s="237">
        <f t="shared" si="35"/>
        <v>1.9440404360410696E-2</v>
      </c>
      <c r="AX116" s="251">
        <f t="shared" si="22"/>
        <v>0</v>
      </c>
      <c r="AY116" s="251">
        <f t="shared" si="22"/>
        <v>0</v>
      </c>
      <c r="AZ116" s="251">
        <f t="shared" si="22"/>
        <v>0</v>
      </c>
      <c r="BA116" s="251">
        <f t="shared" si="23"/>
        <v>0</v>
      </c>
      <c r="BB116" s="251">
        <f t="shared" si="23"/>
        <v>0</v>
      </c>
      <c r="BC116" s="251">
        <f t="shared" si="24"/>
        <v>0</v>
      </c>
      <c r="BD116" s="270" t="e">
        <f t="shared" si="25"/>
        <v>#DIV/0!</v>
      </c>
      <c r="BE116" s="251">
        <f t="shared" si="26"/>
        <v>0</v>
      </c>
      <c r="BF116" s="251">
        <f t="shared" si="27"/>
        <v>0</v>
      </c>
    </row>
    <row r="117" spans="1:58">
      <c r="A117" s="11">
        <v>43191</v>
      </c>
      <c r="B117" s="268">
        <v>70</v>
      </c>
      <c r="C117" s="268">
        <v>13</v>
      </c>
      <c r="D117" s="268"/>
      <c r="E117" s="268">
        <v>3</v>
      </c>
      <c r="F117" s="269">
        <v>0.2</v>
      </c>
      <c r="G117" s="269">
        <v>1.32</v>
      </c>
      <c r="H117" s="269">
        <v>12</v>
      </c>
      <c r="I117" s="269">
        <v>5</v>
      </c>
      <c r="J117" s="269">
        <v>2</v>
      </c>
      <c r="K117" s="269">
        <v>1.32</v>
      </c>
      <c r="L117" s="269"/>
      <c r="M117" s="269">
        <f t="shared" si="34"/>
        <v>1.5</v>
      </c>
      <c r="N117" s="269">
        <v>45</v>
      </c>
      <c r="O117" s="269">
        <f t="shared" si="20"/>
        <v>17.699535849485258</v>
      </c>
      <c r="Q117" s="251">
        <f t="shared" si="33"/>
        <v>172.03953584948522</v>
      </c>
      <c r="R117" s="251">
        <v>0</v>
      </c>
      <c r="S117" s="251">
        <f t="shared" si="36"/>
        <v>172.03953584948522</v>
      </c>
      <c r="AB117" s="251">
        <f>SUM('BD Feedstock'!C115,'BD Feedstock'!E115,'BD Feedstock'!G115,'BD Feedstock'!K115,'BD Feedstock'!T115)</f>
        <v>17.937796010427753</v>
      </c>
      <c r="AC117" s="251">
        <f>SUM('BD Feedstock'!D115,'BD Feedstock'!F115,'BD Feedstock'!H115,'BD Feedstock'!I115,'BD Feedstock'!L115,'BD Feedstock'!M115,'BD Feedstock'!N115,'BD Feedstock'!O115,'BD Feedstock'!U115)</f>
        <v>13.678866250859659</v>
      </c>
      <c r="AD117" s="251">
        <f>'BD Feedstock'!J115</f>
        <v>0.90199999999999991</v>
      </c>
      <c r="AE117" s="251">
        <f>SUM('BD Feedstock'!B115,'BD Feedstock'!P115,'BD Feedstock'!Q115,'BD Feedstock'!R115)</f>
        <v>70.93020833333334</v>
      </c>
      <c r="AF117" s="251">
        <f>'BD Feedstock'!S115</f>
        <v>1.40625</v>
      </c>
      <c r="AG117" s="251">
        <f t="shared" si="28"/>
        <v>104.85512059462076</v>
      </c>
      <c r="AK117" s="237">
        <f t="shared" si="37"/>
        <v>0.17107219856030562</v>
      </c>
      <c r="AL117" s="237">
        <f t="shared" si="37"/>
        <v>0.13045491887557287</v>
      </c>
      <c r="AM117" s="237">
        <f t="shared" si="37"/>
        <v>8.6023457403402587E-3</v>
      </c>
      <c r="AN117" s="237">
        <f t="shared" si="37"/>
        <v>0.67645917463159333</v>
      </c>
      <c r="AO117" s="237">
        <f t="shared" si="37"/>
        <v>1.3411362192187904E-2</v>
      </c>
      <c r="AP117" s="237">
        <f t="shared" si="29"/>
        <v>0.99999999999999989</v>
      </c>
      <c r="AQ117" s="237"/>
      <c r="AR117" s="237">
        <f t="shared" si="30"/>
        <v>0.55161543443262162</v>
      </c>
      <c r="AS117" s="237">
        <f t="shared" si="31"/>
        <v>0.42064664717601191</v>
      </c>
      <c r="AT117" s="237">
        <f t="shared" si="32"/>
        <v>2.7737918391366502E-2</v>
      </c>
      <c r="AU117" s="237">
        <f t="shared" si="35"/>
        <v>0.98055959563958928</v>
      </c>
      <c r="AV117" s="237">
        <f t="shared" si="35"/>
        <v>1.9440404360410696E-2</v>
      </c>
      <c r="AX117" s="251">
        <f t="shared" si="22"/>
        <v>0</v>
      </c>
      <c r="AY117" s="251">
        <f t="shared" si="22"/>
        <v>0</v>
      </c>
      <c r="AZ117" s="251">
        <f t="shared" si="22"/>
        <v>0</v>
      </c>
      <c r="BA117" s="251">
        <f t="shared" si="23"/>
        <v>0</v>
      </c>
      <c r="BB117" s="251">
        <f t="shared" si="23"/>
        <v>0</v>
      </c>
      <c r="BC117" s="251">
        <f t="shared" si="24"/>
        <v>0</v>
      </c>
      <c r="BD117" s="270" t="e">
        <f t="shared" si="25"/>
        <v>#DIV/0!</v>
      </c>
      <c r="BE117" s="251">
        <f t="shared" si="26"/>
        <v>0</v>
      </c>
      <c r="BF117" s="251">
        <f t="shared" si="27"/>
        <v>0</v>
      </c>
    </row>
    <row r="118" spans="1:58">
      <c r="A118" s="11">
        <v>43221</v>
      </c>
      <c r="B118" s="268">
        <v>70</v>
      </c>
      <c r="C118" s="268">
        <v>13</v>
      </c>
      <c r="D118" s="268"/>
      <c r="E118" s="268">
        <v>3</v>
      </c>
      <c r="F118" s="269">
        <v>0.2</v>
      </c>
      <c r="G118" s="269">
        <v>1.32</v>
      </c>
      <c r="H118" s="269">
        <v>12</v>
      </c>
      <c r="I118" s="269">
        <v>5</v>
      </c>
      <c r="J118" s="269">
        <v>2</v>
      </c>
      <c r="K118" s="269">
        <v>1.32</v>
      </c>
      <c r="L118" s="269"/>
      <c r="M118" s="269">
        <f t="shared" si="34"/>
        <v>1.5</v>
      </c>
      <c r="N118" s="269">
        <v>45</v>
      </c>
      <c r="O118" s="269">
        <f t="shared" si="20"/>
        <v>17.699535849485258</v>
      </c>
      <c r="Q118" s="251">
        <f t="shared" si="33"/>
        <v>172.03953584948522</v>
      </c>
      <c r="R118" s="251">
        <v>0</v>
      </c>
      <c r="S118" s="251">
        <f t="shared" si="36"/>
        <v>172.03953584948522</v>
      </c>
      <c r="AB118" s="251">
        <f>SUM('BD Feedstock'!C116,'BD Feedstock'!E116,'BD Feedstock'!G116,'BD Feedstock'!K116,'BD Feedstock'!T116)</f>
        <v>17.937796010427753</v>
      </c>
      <c r="AC118" s="251">
        <f>SUM('BD Feedstock'!D116,'BD Feedstock'!F116,'BD Feedstock'!H116,'BD Feedstock'!I116,'BD Feedstock'!L116,'BD Feedstock'!M116,'BD Feedstock'!N116,'BD Feedstock'!O116,'BD Feedstock'!U116)</f>
        <v>13.678866250859659</v>
      </c>
      <c r="AD118" s="251">
        <f>'BD Feedstock'!J116</f>
        <v>0.90199999999999991</v>
      </c>
      <c r="AE118" s="251">
        <f>SUM('BD Feedstock'!B116,'BD Feedstock'!P116,'BD Feedstock'!Q116,'BD Feedstock'!R116)</f>
        <v>70.93020833333334</v>
      </c>
      <c r="AF118" s="251">
        <f>'BD Feedstock'!S116</f>
        <v>1.40625</v>
      </c>
      <c r="AG118" s="251">
        <f t="shared" si="28"/>
        <v>104.85512059462076</v>
      </c>
      <c r="AK118" s="237">
        <f t="shared" si="37"/>
        <v>0.17107219856030562</v>
      </c>
      <c r="AL118" s="237">
        <f t="shared" si="37"/>
        <v>0.13045491887557287</v>
      </c>
      <c r="AM118" s="237">
        <f t="shared" si="37"/>
        <v>8.6023457403402587E-3</v>
      </c>
      <c r="AN118" s="237">
        <f t="shared" si="37"/>
        <v>0.67645917463159333</v>
      </c>
      <c r="AO118" s="237">
        <f t="shared" si="37"/>
        <v>1.3411362192187904E-2</v>
      </c>
      <c r="AP118" s="237">
        <f t="shared" si="29"/>
        <v>0.99999999999999989</v>
      </c>
      <c r="AQ118" s="237"/>
      <c r="AR118" s="237">
        <f t="shared" si="30"/>
        <v>0.55161543443262162</v>
      </c>
      <c r="AS118" s="237">
        <f t="shared" si="31"/>
        <v>0.42064664717601191</v>
      </c>
      <c r="AT118" s="237">
        <f t="shared" si="32"/>
        <v>2.7737918391366502E-2</v>
      </c>
      <c r="AU118" s="237">
        <f t="shared" si="35"/>
        <v>0.98055959563958928</v>
      </c>
      <c r="AV118" s="237">
        <f t="shared" si="35"/>
        <v>1.9440404360410696E-2</v>
      </c>
      <c r="AX118" s="251">
        <f t="shared" si="22"/>
        <v>0</v>
      </c>
      <c r="AY118" s="251">
        <f t="shared" si="22"/>
        <v>0</v>
      </c>
      <c r="AZ118" s="251">
        <f t="shared" si="22"/>
        <v>0</v>
      </c>
      <c r="BA118" s="251">
        <f t="shared" si="23"/>
        <v>0</v>
      </c>
      <c r="BB118" s="251">
        <f t="shared" si="23"/>
        <v>0</v>
      </c>
      <c r="BC118" s="251">
        <f t="shared" si="24"/>
        <v>0</v>
      </c>
      <c r="BD118" s="270" t="e">
        <f t="shared" si="25"/>
        <v>#DIV/0!</v>
      </c>
      <c r="BE118" s="251">
        <f t="shared" si="26"/>
        <v>0</v>
      </c>
      <c r="BF118" s="251">
        <f t="shared" si="27"/>
        <v>0</v>
      </c>
    </row>
    <row r="119" spans="1:58">
      <c r="A119" s="11">
        <v>43252</v>
      </c>
      <c r="B119" s="268">
        <v>70</v>
      </c>
      <c r="C119" s="268">
        <v>13</v>
      </c>
      <c r="D119" s="268"/>
      <c r="E119" s="268">
        <v>3</v>
      </c>
      <c r="F119" s="269">
        <v>0.2</v>
      </c>
      <c r="G119" s="269">
        <v>1.32</v>
      </c>
      <c r="H119" s="269">
        <v>12</v>
      </c>
      <c r="I119" s="269">
        <v>5</v>
      </c>
      <c r="J119" s="269">
        <v>2</v>
      </c>
      <c r="K119" s="269">
        <v>1.32</v>
      </c>
      <c r="L119" s="269"/>
      <c r="M119" s="269">
        <f t="shared" si="34"/>
        <v>1.5</v>
      </c>
      <c r="N119" s="269">
        <v>45</v>
      </c>
      <c r="O119" s="269">
        <f t="shared" si="20"/>
        <v>17.699535849485258</v>
      </c>
      <c r="Q119" s="251">
        <f t="shared" si="33"/>
        <v>172.03953584948522</v>
      </c>
      <c r="R119" s="251">
        <v>0</v>
      </c>
      <c r="S119" s="251">
        <f t="shared" si="36"/>
        <v>172.03953584948522</v>
      </c>
      <c r="AB119" s="251">
        <f>SUM('BD Feedstock'!C117,'BD Feedstock'!E117,'BD Feedstock'!G117,'BD Feedstock'!K117,'BD Feedstock'!T117)</f>
        <v>17.937796010427753</v>
      </c>
      <c r="AC119" s="251">
        <f>SUM('BD Feedstock'!D117,'BD Feedstock'!F117,'BD Feedstock'!H117,'BD Feedstock'!I117,'BD Feedstock'!L117,'BD Feedstock'!M117,'BD Feedstock'!N117,'BD Feedstock'!O117,'BD Feedstock'!U117)</f>
        <v>13.678866250859659</v>
      </c>
      <c r="AD119" s="251">
        <f>'BD Feedstock'!J117</f>
        <v>0.90199999999999991</v>
      </c>
      <c r="AE119" s="251">
        <f>SUM('BD Feedstock'!B117,'BD Feedstock'!P117,'BD Feedstock'!Q117,'BD Feedstock'!R117)</f>
        <v>70.93020833333334</v>
      </c>
      <c r="AF119" s="251">
        <f>'BD Feedstock'!S117</f>
        <v>1.40625</v>
      </c>
      <c r="AG119" s="251">
        <f t="shared" si="28"/>
        <v>104.85512059462076</v>
      </c>
      <c r="AK119" s="237">
        <f t="shared" si="37"/>
        <v>0.17107219856030562</v>
      </c>
      <c r="AL119" s="237">
        <f t="shared" si="37"/>
        <v>0.13045491887557287</v>
      </c>
      <c r="AM119" s="237">
        <f t="shared" si="37"/>
        <v>8.6023457403402587E-3</v>
      </c>
      <c r="AN119" s="237">
        <f t="shared" si="37"/>
        <v>0.67645917463159333</v>
      </c>
      <c r="AO119" s="237">
        <f t="shared" si="37"/>
        <v>1.3411362192187904E-2</v>
      </c>
      <c r="AP119" s="237">
        <f t="shared" si="29"/>
        <v>0.99999999999999989</v>
      </c>
      <c r="AQ119" s="237"/>
      <c r="AR119" s="237">
        <f t="shared" si="30"/>
        <v>0.55161543443262162</v>
      </c>
      <c r="AS119" s="237">
        <f t="shared" si="31"/>
        <v>0.42064664717601191</v>
      </c>
      <c r="AT119" s="237">
        <f t="shared" si="32"/>
        <v>2.7737918391366502E-2</v>
      </c>
      <c r="AU119" s="237">
        <f t="shared" si="35"/>
        <v>0.98055959563958928</v>
      </c>
      <c r="AV119" s="237">
        <f t="shared" si="35"/>
        <v>1.9440404360410696E-2</v>
      </c>
      <c r="AX119" s="251">
        <f t="shared" si="22"/>
        <v>0</v>
      </c>
      <c r="AY119" s="251">
        <f t="shared" si="22"/>
        <v>0</v>
      </c>
      <c r="AZ119" s="251">
        <f t="shared" si="22"/>
        <v>0</v>
      </c>
      <c r="BA119" s="251">
        <f t="shared" si="23"/>
        <v>0</v>
      </c>
      <c r="BB119" s="251">
        <f t="shared" si="23"/>
        <v>0</v>
      </c>
      <c r="BC119" s="251">
        <f t="shared" si="24"/>
        <v>0</v>
      </c>
      <c r="BD119" s="270" t="e">
        <f t="shared" si="25"/>
        <v>#DIV/0!</v>
      </c>
      <c r="BE119" s="251">
        <f t="shared" si="26"/>
        <v>0</v>
      </c>
      <c r="BF119" s="251">
        <f t="shared" si="27"/>
        <v>0</v>
      </c>
    </row>
    <row r="120" spans="1:58">
      <c r="A120" s="11">
        <v>43282</v>
      </c>
      <c r="B120" s="268">
        <v>70</v>
      </c>
      <c r="C120" s="268">
        <v>13</v>
      </c>
      <c r="D120" s="268"/>
      <c r="E120" s="268">
        <v>3</v>
      </c>
      <c r="F120" s="269">
        <v>0.2</v>
      </c>
      <c r="G120" s="269">
        <v>1.32</v>
      </c>
      <c r="H120" s="269">
        <v>12</v>
      </c>
      <c r="I120" s="269">
        <v>5</v>
      </c>
      <c r="J120" s="269">
        <v>2</v>
      </c>
      <c r="K120" s="269">
        <v>1.32</v>
      </c>
      <c r="L120" s="269"/>
      <c r="M120" s="269">
        <f t="shared" si="34"/>
        <v>1.5</v>
      </c>
      <c r="N120" s="269">
        <v>45</v>
      </c>
      <c r="O120" s="269">
        <f t="shared" ref="O120:O183" si="38">$O$3</f>
        <v>17.699535849485258</v>
      </c>
      <c r="Q120" s="251">
        <f t="shared" si="33"/>
        <v>172.03953584948522</v>
      </c>
      <c r="R120" s="251">
        <v>0</v>
      </c>
      <c r="S120" s="251">
        <f t="shared" si="36"/>
        <v>172.03953584948522</v>
      </c>
      <c r="AB120" s="251">
        <f>SUM('BD Feedstock'!C118,'BD Feedstock'!E118,'BD Feedstock'!G118,'BD Feedstock'!K118,'BD Feedstock'!T118)</f>
        <v>17.937796010427753</v>
      </c>
      <c r="AC120" s="251">
        <f>SUM('BD Feedstock'!D118,'BD Feedstock'!F118,'BD Feedstock'!H118,'BD Feedstock'!I118,'BD Feedstock'!L118,'BD Feedstock'!M118,'BD Feedstock'!N118,'BD Feedstock'!O118,'BD Feedstock'!U118)</f>
        <v>13.678866250859659</v>
      </c>
      <c r="AD120" s="251">
        <f>'BD Feedstock'!J118</f>
        <v>0.90199999999999991</v>
      </c>
      <c r="AE120" s="251">
        <f>SUM('BD Feedstock'!B118,'BD Feedstock'!P118,'BD Feedstock'!Q118,'BD Feedstock'!R118)</f>
        <v>70.93020833333334</v>
      </c>
      <c r="AF120" s="251">
        <f>'BD Feedstock'!S118</f>
        <v>1.40625</v>
      </c>
      <c r="AG120" s="251">
        <f t="shared" si="28"/>
        <v>104.85512059462076</v>
      </c>
      <c r="AK120" s="237">
        <f t="shared" si="37"/>
        <v>0.17107219856030562</v>
      </c>
      <c r="AL120" s="237">
        <f t="shared" si="37"/>
        <v>0.13045491887557287</v>
      </c>
      <c r="AM120" s="237">
        <f t="shared" si="37"/>
        <v>8.6023457403402587E-3</v>
      </c>
      <c r="AN120" s="237">
        <f t="shared" si="37"/>
        <v>0.67645917463159333</v>
      </c>
      <c r="AO120" s="237">
        <f t="shared" si="37"/>
        <v>1.3411362192187904E-2</v>
      </c>
      <c r="AP120" s="237">
        <f t="shared" si="29"/>
        <v>0.99999999999999989</v>
      </c>
      <c r="AQ120" s="237"/>
      <c r="AR120" s="237">
        <f t="shared" si="30"/>
        <v>0.55161543443262162</v>
      </c>
      <c r="AS120" s="237">
        <f t="shared" si="31"/>
        <v>0.42064664717601191</v>
      </c>
      <c r="AT120" s="237">
        <f t="shared" si="32"/>
        <v>2.7737918391366502E-2</v>
      </c>
      <c r="AU120" s="237">
        <f t="shared" si="35"/>
        <v>0.98055959563958928</v>
      </c>
      <c r="AV120" s="237">
        <f t="shared" si="35"/>
        <v>1.9440404360410696E-2</v>
      </c>
      <c r="AX120" s="251">
        <f t="shared" si="22"/>
        <v>0</v>
      </c>
      <c r="AY120" s="251">
        <f t="shared" si="22"/>
        <v>0</v>
      </c>
      <c r="AZ120" s="251">
        <f t="shared" si="22"/>
        <v>0</v>
      </c>
      <c r="BA120" s="251">
        <f t="shared" si="23"/>
        <v>0</v>
      </c>
      <c r="BB120" s="251">
        <f t="shared" si="23"/>
        <v>0</v>
      </c>
      <c r="BC120" s="251">
        <f t="shared" si="24"/>
        <v>0</v>
      </c>
      <c r="BD120" s="270" t="e">
        <f t="shared" si="25"/>
        <v>#DIV/0!</v>
      </c>
      <c r="BE120" s="251">
        <f t="shared" si="26"/>
        <v>0</v>
      </c>
      <c r="BF120" s="251">
        <f t="shared" si="27"/>
        <v>0</v>
      </c>
    </row>
    <row r="121" spans="1:58">
      <c r="A121" s="11">
        <v>43313</v>
      </c>
      <c r="B121" s="268">
        <v>70</v>
      </c>
      <c r="C121" s="268">
        <v>13</v>
      </c>
      <c r="D121" s="268"/>
      <c r="E121" s="268">
        <v>3</v>
      </c>
      <c r="F121" s="269">
        <v>0.2</v>
      </c>
      <c r="G121" s="269">
        <v>1.32</v>
      </c>
      <c r="H121" s="269">
        <v>12</v>
      </c>
      <c r="I121" s="269">
        <v>5</v>
      </c>
      <c r="J121" s="269">
        <v>2</v>
      </c>
      <c r="K121" s="269">
        <v>1.32</v>
      </c>
      <c r="L121" s="269"/>
      <c r="M121" s="269">
        <f t="shared" si="34"/>
        <v>1.5</v>
      </c>
      <c r="N121" s="269">
        <v>45</v>
      </c>
      <c r="O121" s="269">
        <f t="shared" si="38"/>
        <v>17.699535849485258</v>
      </c>
      <c r="Q121" s="251">
        <f t="shared" si="33"/>
        <v>172.03953584948522</v>
      </c>
      <c r="R121" s="251">
        <v>0</v>
      </c>
      <c r="S121" s="251">
        <f t="shared" si="36"/>
        <v>172.03953584948522</v>
      </c>
      <c r="AB121" s="251">
        <f>SUM('BD Feedstock'!C119,'BD Feedstock'!E119,'BD Feedstock'!G119,'BD Feedstock'!K119,'BD Feedstock'!T119)</f>
        <v>17.937796010427753</v>
      </c>
      <c r="AC121" s="251">
        <f>SUM('BD Feedstock'!D119,'BD Feedstock'!F119,'BD Feedstock'!H119,'BD Feedstock'!I119,'BD Feedstock'!L119,'BD Feedstock'!M119,'BD Feedstock'!N119,'BD Feedstock'!O119,'BD Feedstock'!U119)</f>
        <v>13.678866250859659</v>
      </c>
      <c r="AD121" s="251">
        <f>'BD Feedstock'!J119</f>
        <v>0.90199999999999991</v>
      </c>
      <c r="AE121" s="251">
        <f>SUM('BD Feedstock'!B119,'BD Feedstock'!P119,'BD Feedstock'!Q119,'BD Feedstock'!R119)</f>
        <v>70.93020833333334</v>
      </c>
      <c r="AF121" s="251">
        <f>'BD Feedstock'!S119</f>
        <v>1.40625</v>
      </c>
      <c r="AG121" s="251">
        <f t="shared" si="28"/>
        <v>104.85512059462076</v>
      </c>
      <c r="AK121" s="237">
        <f t="shared" si="37"/>
        <v>0.17107219856030562</v>
      </c>
      <c r="AL121" s="237">
        <f t="shared" si="37"/>
        <v>0.13045491887557287</v>
      </c>
      <c r="AM121" s="237">
        <f t="shared" si="37"/>
        <v>8.6023457403402587E-3</v>
      </c>
      <c r="AN121" s="237">
        <f t="shared" si="37"/>
        <v>0.67645917463159333</v>
      </c>
      <c r="AO121" s="237">
        <f t="shared" si="37"/>
        <v>1.3411362192187904E-2</v>
      </c>
      <c r="AP121" s="237">
        <f t="shared" si="29"/>
        <v>0.99999999999999989</v>
      </c>
      <c r="AQ121" s="237"/>
      <c r="AR121" s="237">
        <f t="shared" si="30"/>
        <v>0.55161543443262162</v>
      </c>
      <c r="AS121" s="237">
        <f t="shared" si="31"/>
        <v>0.42064664717601191</v>
      </c>
      <c r="AT121" s="237">
        <f t="shared" si="32"/>
        <v>2.7737918391366502E-2</v>
      </c>
      <c r="AU121" s="237">
        <f t="shared" si="35"/>
        <v>0.98055959563958928</v>
      </c>
      <c r="AV121" s="237">
        <f t="shared" si="35"/>
        <v>1.9440404360410696E-2</v>
      </c>
      <c r="AX121" s="251">
        <f t="shared" si="22"/>
        <v>0</v>
      </c>
      <c r="AY121" s="251">
        <f t="shared" si="22"/>
        <v>0</v>
      </c>
      <c r="AZ121" s="251">
        <f t="shared" si="22"/>
        <v>0</v>
      </c>
      <c r="BA121" s="251">
        <f t="shared" si="23"/>
        <v>0</v>
      </c>
      <c r="BB121" s="251">
        <f t="shared" si="23"/>
        <v>0</v>
      </c>
      <c r="BC121" s="251">
        <f t="shared" si="24"/>
        <v>0</v>
      </c>
      <c r="BD121" s="270" t="e">
        <f t="shared" si="25"/>
        <v>#DIV/0!</v>
      </c>
      <c r="BE121" s="251">
        <f t="shared" si="26"/>
        <v>0</v>
      </c>
      <c r="BF121" s="251">
        <f t="shared" si="27"/>
        <v>0</v>
      </c>
    </row>
    <row r="122" spans="1:58">
      <c r="A122" s="11">
        <v>43344</v>
      </c>
      <c r="B122" s="268">
        <v>70</v>
      </c>
      <c r="C122" s="268">
        <v>13</v>
      </c>
      <c r="D122" s="268"/>
      <c r="E122" s="268">
        <v>3</v>
      </c>
      <c r="F122" s="269">
        <v>0.2</v>
      </c>
      <c r="G122" s="269">
        <v>1.32</v>
      </c>
      <c r="H122" s="269">
        <v>12</v>
      </c>
      <c r="I122" s="269">
        <v>5</v>
      </c>
      <c r="J122" s="269">
        <v>2</v>
      </c>
      <c r="K122" s="269">
        <v>1.32</v>
      </c>
      <c r="L122" s="269"/>
      <c r="M122" s="269">
        <f t="shared" si="34"/>
        <v>1.5</v>
      </c>
      <c r="N122" s="269">
        <v>45</v>
      </c>
      <c r="O122" s="269">
        <f t="shared" si="38"/>
        <v>17.699535849485258</v>
      </c>
      <c r="Q122" s="251">
        <f t="shared" si="33"/>
        <v>172.03953584948522</v>
      </c>
      <c r="R122" s="251">
        <v>0</v>
      </c>
      <c r="S122" s="251">
        <f t="shared" si="36"/>
        <v>172.03953584948522</v>
      </c>
      <c r="AB122" s="251">
        <f>SUM('BD Feedstock'!C120,'BD Feedstock'!E120,'BD Feedstock'!G120,'BD Feedstock'!K120,'BD Feedstock'!T120)</f>
        <v>17.937796010427753</v>
      </c>
      <c r="AC122" s="251">
        <f>SUM('BD Feedstock'!D120,'BD Feedstock'!F120,'BD Feedstock'!H120,'BD Feedstock'!I120,'BD Feedstock'!L120,'BD Feedstock'!M120,'BD Feedstock'!N120,'BD Feedstock'!O120,'BD Feedstock'!U120)</f>
        <v>13.678866250859659</v>
      </c>
      <c r="AD122" s="251">
        <f>'BD Feedstock'!J120</f>
        <v>0.90199999999999991</v>
      </c>
      <c r="AE122" s="251">
        <f>SUM('BD Feedstock'!B120,'BD Feedstock'!P120,'BD Feedstock'!Q120,'BD Feedstock'!R120)</f>
        <v>70.93020833333334</v>
      </c>
      <c r="AF122" s="251">
        <f>'BD Feedstock'!S120</f>
        <v>1.40625</v>
      </c>
      <c r="AG122" s="251">
        <f t="shared" si="28"/>
        <v>104.85512059462076</v>
      </c>
      <c r="AK122" s="237">
        <f t="shared" si="37"/>
        <v>0.17107219856030562</v>
      </c>
      <c r="AL122" s="237">
        <f t="shared" si="37"/>
        <v>0.13045491887557287</v>
      </c>
      <c r="AM122" s="237">
        <f t="shared" si="37"/>
        <v>8.6023457403402587E-3</v>
      </c>
      <c r="AN122" s="237">
        <f t="shared" si="37"/>
        <v>0.67645917463159333</v>
      </c>
      <c r="AO122" s="237">
        <f t="shared" si="37"/>
        <v>1.3411362192187904E-2</v>
      </c>
      <c r="AP122" s="237">
        <f t="shared" si="29"/>
        <v>0.99999999999999989</v>
      </c>
      <c r="AQ122" s="237"/>
      <c r="AR122" s="237">
        <f t="shared" si="30"/>
        <v>0.55161543443262162</v>
      </c>
      <c r="AS122" s="237">
        <f t="shared" si="31"/>
        <v>0.42064664717601191</v>
      </c>
      <c r="AT122" s="237">
        <f t="shared" si="32"/>
        <v>2.7737918391366502E-2</v>
      </c>
      <c r="AU122" s="237">
        <f t="shared" si="35"/>
        <v>0.98055959563958928</v>
      </c>
      <c r="AV122" s="237">
        <f t="shared" si="35"/>
        <v>1.9440404360410696E-2</v>
      </c>
      <c r="AX122" s="251">
        <f t="shared" si="22"/>
        <v>0</v>
      </c>
      <c r="AY122" s="251">
        <f t="shared" si="22"/>
        <v>0</v>
      </c>
      <c r="AZ122" s="251">
        <f t="shared" si="22"/>
        <v>0</v>
      </c>
      <c r="BA122" s="251">
        <f t="shared" si="23"/>
        <v>0</v>
      </c>
      <c r="BB122" s="251">
        <f t="shared" si="23"/>
        <v>0</v>
      </c>
      <c r="BC122" s="251">
        <f t="shared" si="24"/>
        <v>0</v>
      </c>
      <c r="BD122" s="270" t="e">
        <f t="shared" si="25"/>
        <v>#DIV/0!</v>
      </c>
      <c r="BE122" s="251">
        <f t="shared" si="26"/>
        <v>0</v>
      </c>
      <c r="BF122" s="251">
        <f t="shared" si="27"/>
        <v>0</v>
      </c>
    </row>
    <row r="123" spans="1:58">
      <c r="A123" s="11">
        <v>43374</v>
      </c>
      <c r="B123" s="268">
        <v>70</v>
      </c>
      <c r="C123" s="268">
        <v>13</v>
      </c>
      <c r="D123" s="268"/>
      <c r="E123" s="268">
        <v>3</v>
      </c>
      <c r="F123" s="269">
        <v>0.2</v>
      </c>
      <c r="G123" s="269">
        <v>1.32</v>
      </c>
      <c r="H123" s="269">
        <v>12</v>
      </c>
      <c r="I123" s="269">
        <v>5</v>
      </c>
      <c r="J123" s="269">
        <v>2</v>
      </c>
      <c r="K123" s="269">
        <v>1.32</v>
      </c>
      <c r="L123" s="269"/>
      <c r="M123" s="269">
        <f t="shared" si="34"/>
        <v>1.5</v>
      </c>
      <c r="N123" s="269">
        <v>45</v>
      </c>
      <c r="O123" s="269">
        <f t="shared" si="38"/>
        <v>17.699535849485258</v>
      </c>
      <c r="Q123" s="251">
        <f t="shared" si="33"/>
        <v>172.03953584948522</v>
      </c>
      <c r="R123" s="251">
        <v>0</v>
      </c>
      <c r="S123" s="251">
        <f t="shared" si="36"/>
        <v>172.03953584948522</v>
      </c>
      <c r="AB123" s="251">
        <f>SUM('BD Feedstock'!C121,'BD Feedstock'!E121,'BD Feedstock'!G121,'BD Feedstock'!K121,'BD Feedstock'!T121)</f>
        <v>17.937796010427753</v>
      </c>
      <c r="AC123" s="251">
        <f>SUM('BD Feedstock'!D121,'BD Feedstock'!F121,'BD Feedstock'!H121,'BD Feedstock'!I121,'BD Feedstock'!L121,'BD Feedstock'!M121,'BD Feedstock'!N121,'BD Feedstock'!O121,'BD Feedstock'!U121)</f>
        <v>13.678866250859659</v>
      </c>
      <c r="AD123" s="251">
        <f>'BD Feedstock'!J121</f>
        <v>0.90199999999999991</v>
      </c>
      <c r="AE123" s="251">
        <f>SUM('BD Feedstock'!B121,'BD Feedstock'!P121,'BD Feedstock'!Q121,'BD Feedstock'!R121)</f>
        <v>70.93020833333334</v>
      </c>
      <c r="AF123" s="251">
        <f>'BD Feedstock'!S121</f>
        <v>1.40625</v>
      </c>
      <c r="AG123" s="251">
        <f t="shared" si="28"/>
        <v>104.85512059462076</v>
      </c>
      <c r="AK123" s="237">
        <f t="shared" si="37"/>
        <v>0.17107219856030562</v>
      </c>
      <c r="AL123" s="237">
        <f t="shared" si="37"/>
        <v>0.13045491887557287</v>
      </c>
      <c r="AM123" s="237">
        <f t="shared" si="37"/>
        <v>8.6023457403402587E-3</v>
      </c>
      <c r="AN123" s="237">
        <f t="shared" si="37"/>
        <v>0.67645917463159333</v>
      </c>
      <c r="AO123" s="237">
        <f t="shared" si="37"/>
        <v>1.3411362192187904E-2</v>
      </c>
      <c r="AP123" s="237">
        <f t="shared" si="29"/>
        <v>0.99999999999999989</v>
      </c>
      <c r="AQ123" s="237"/>
      <c r="AR123" s="237">
        <f t="shared" si="30"/>
        <v>0.55161543443262162</v>
      </c>
      <c r="AS123" s="237">
        <f t="shared" si="31"/>
        <v>0.42064664717601191</v>
      </c>
      <c r="AT123" s="237">
        <f t="shared" si="32"/>
        <v>2.7737918391366502E-2</v>
      </c>
      <c r="AU123" s="237">
        <f t="shared" si="35"/>
        <v>0.98055959563958928</v>
      </c>
      <c r="AV123" s="237">
        <f t="shared" si="35"/>
        <v>1.9440404360410696E-2</v>
      </c>
      <c r="AX123" s="251">
        <f t="shared" si="22"/>
        <v>0</v>
      </c>
      <c r="AY123" s="251">
        <f t="shared" si="22"/>
        <v>0</v>
      </c>
      <c r="AZ123" s="251">
        <f t="shared" si="22"/>
        <v>0</v>
      </c>
      <c r="BA123" s="251">
        <f t="shared" si="23"/>
        <v>0</v>
      </c>
      <c r="BB123" s="251">
        <f t="shared" si="23"/>
        <v>0</v>
      </c>
      <c r="BC123" s="251">
        <f t="shared" si="24"/>
        <v>0</v>
      </c>
      <c r="BD123" s="270" t="e">
        <f t="shared" si="25"/>
        <v>#DIV/0!</v>
      </c>
      <c r="BE123" s="251">
        <f t="shared" si="26"/>
        <v>0</v>
      </c>
      <c r="BF123" s="251">
        <f t="shared" si="27"/>
        <v>0</v>
      </c>
    </row>
    <row r="124" spans="1:58">
      <c r="A124" s="11">
        <v>43405</v>
      </c>
      <c r="B124" s="268">
        <v>70</v>
      </c>
      <c r="C124" s="268">
        <v>13</v>
      </c>
      <c r="D124" s="268"/>
      <c r="E124" s="268">
        <v>3</v>
      </c>
      <c r="F124" s="269">
        <v>0.2</v>
      </c>
      <c r="G124" s="269">
        <v>1.32</v>
      </c>
      <c r="H124" s="269">
        <v>12</v>
      </c>
      <c r="I124" s="269">
        <v>5</v>
      </c>
      <c r="J124" s="269"/>
      <c r="K124" s="269">
        <v>1.32</v>
      </c>
      <c r="L124" s="269"/>
      <c r="M124" s="269">
        <f t="shared" si="34"/>
        <v>1.5</v>
      </c>
      <c r="N124" s="269">
        <v>45</v>
      </c>
      <c r="O124" s="269">
        <f t="shared" si="38"/>
        <v>17.699535849485258</v>
      </c>
      <c r="Q124" s="251">
        <f t="shared" si="33"/>
        <v>170.03953584948522</v>
      </c>
      <c r="R124" s="251">
        <v>0</v>
      </c>
      <c r="S124" s="251">
        <f t="shared" si="36"/>
        <v>170.03953584948522</v>
      </c>
      <c r="AB124" s="251">
        <f>SUM('BD Feedstock'!C122,'BD Feedstock'!E122,'BD Feedstock'!G122,'BD Feedstock'!K122,'BD Feedstock'!T122)</f>
        <v>17.937796010427753</v>
      </c>
      <c r="AC124" s="251">
        <f>SUM('BD Feedstock'!D122,'BD Feedstock'!F122,'BD Feedstock'!H122,'BD Feedstock'!I122,'BD Feedstock'!L122,'BD Feedstock'!M122,'BD Feedstock'!N122,'BD Feedstock'!O122,'BD Feedstock'!U122)</f>
        <v>12.307199584192993</v>
      </c>
      <c r="AD124" s="251">
        <f>'BD Feedstock'!J122</f>
        <v>0.90199999999999991</v>
      </c>
      <c r="AE124" s="251">
        <f>SUM('BD Feedstock'!B122,'BD Feedstock'!P122,'BD Feedstock'!Q122,'BD Feedstock'!R122)</f>
        <v>70.93020833333334</v>
      </c>
      <c r="AF124" s="251">
        <f>'BD Feedstock'!S122</f>
        <v>1.40625</v>
      </c>
      <c r="AG124" s="251">
        <f t="shared" si="28"/>
        <v>103.48345392795409</v>
      </c>
      <c r="AK124" s="237">
        <f t="shared" si="37"/>
        <v>0.17333974978179773</v>
      </c>
      <c r="AL124" s="237">
        <f t="shared" si="37"/>
        <v>0.11892915357039931</v>
      </c>
      <c r="AM124" s="237">
        <f t="shared" si="37"/>
        <v>8.716369291538904E-3</v>
      </c>
      <c r="AN124" s="237">
        <f t="shared" si="37"/>
        <v>0.68542559840257611</v>
      </c>
      <c r="AO124" s="237">
        <f t="shared" si="37"/>
        <v>1.3589128953688009E-2</v>
      </c>
      <c r="AP124" s="237">
        <f t="shared" si="29"/>
        <v>1</v>
      </c>
      <c r="AQ124" s="237"/>
      <c r="AR124" s="237">
        <f t="shared" si="30"/>
        <v>0.57590774544963519</v>
      </c>
      <c r="AS124" s="237">
        <f t="shared" si="31"/>
        <v>0.39513280010604018</v>
      </c>
      <c r="AT124" s="237">
        <f t="shared" si="32"/>
        <v>2.8959454444324642E-2</v>
      </c>
      <c r="AU124" s="237">
        <f t="shared" si="35"/>
        <v>0.98055959563958928</v>
      </c>
      <c r="AV124" s="237">
        <f t="shared" si="35"/>
        <v>1.9440404360410696E-2</v>
      </c>
      <c r="AX124" s="251">
        <f t="shared" si="22"/>
        <v>0</v>
      </c>
      <c r="AY124" s="251">
        <f t="shared" si="22"/>
        <v>0</v>
      </c>
      <c r="AZ124" s="251">
        <f t="shared" si="22"/>
        <v>0</v>
      </c>
      <c r="BA124" s="251">
        <f t="shared" si="23"/>
        <v>0</v>
      </c>
      <c r="BB124" s="251">
        <f t="shared" si="23"/>
        <v>0</v>
      </c>
      <c r="BC124" s="251">
        <f t="shared" si="24"/>
        <v>0</v>
      </c>
      <c r="BD124" s="270" t="e">
        <f t="shared" si="25"/>
        <v>#DIV/0!</v>
      </c>
      <c r="BE124" s="251">
        <f t="shared" si="26"/>
        <v>0</v>
      </c>
      <c r="BF124" s="251">
        <f t="shared" si="27"/>
        <v>0</v>
      </c>
    </row>
    <row r="125" spans="1:58">
      <c r="A125" s="11">
        <v>43435</v>
      </c>
      <c r="B125" s="268">
        <v>70</v>
      </c>
      <c r="C125" s="268">
        <v>13</v>
      </c>
      <c r="D125" s="268"/>
      <c r="E125" s="268">
        <v>3</v>
      </c>
      <c r="F125" s="269">
        <v>0.2</v>
      </c>
      <c r="G125" s="269">
        <v>1.32</v>
      </c>
      <c r="H125" s="269">
        <v>12</v>
      </c>
      <c r="I125" s="269">
        <v>5</v>
      </c>
      <c r="J125" s="269"/>
      <c r="K125" s="269">
        <v>1.32</v>
      </c>
      <c r="L125" s="269"/>
      <c r="M125" s="269">
        <f t="shared" si="34"/>
        <v>1.5</v>
      </c>
      <c r="N125" s="269">
        <v>45</v>
      </c>
      <c r="O125" s="269">
        <f t="shared" si="38"/>
        <v>17.699535849485258</v>
      </c>
      <c r="Q125" s="251">
        <f t="shared" si="33"/>
        <v>170.03953584948522</v>
      </c>
      <c r="R125" s="251">
        <v>0</v>
      </c>
      <c r="S125" s="251">
        <f t="shared" si="36"/>
        <v>170.03953584948522</v>
      </c>
      <c r="AB125" s="251">
        <f>SUM('BD Feedstock'!C123,'BD Feedstock'!E123,'BD Feedstock'!G123,'BD Feedstock'!K123,'BD Feedstock'!T123)</f>
        <v>17.937796010427753</v>
      </c>
      <c r="AC125" s="251">
        <f>SUM('BD Feedstock'!D123,'BD Feedstock'!F123,'BD Feedstock'!H123,'BD Feedstock'!I123,'BD Feedstock'!L123,'BD Feedstock'!M123,'BD Feedstock'!N123,'BD Feedstock'!O123,'BD Feedstock'!U123)</f>
        <v>12.307199584192993</v>
      </c>
      <c r="AD125" s="251">
        <f>'BD Feedstock'!J123</f>
        <v>0.90199999999999991</v>
      </c>
      <c r="AE125" s="251">
        <f>SUM('BD Feedstock'!B123,'BD Feedstock'!P123,'BD Feedstock'!Q123,'BD Feedstock'!R123)</f>
        <v>70.93020833333334</v>
      </c>
      <c r="AF125" s="251">
        <f>'BD Feedstock'!S123</f>
        <v>1.40625</v>
      </c>
      <c r="AG125" s="251">
        <f t="shared" si="28"/>
        <v>103.48345392795409</v>
      </c>
      <c r="AK125" s="237">
        <f t="shared" si="37"/>
        <v>0.17333974978179773</v>
      </c>
      <c r="AL125" s="237">
        <f t="shared" si="37"/>
        <v>0.11892915357039931</v>
      </c>
      <c r="AM125" s="237">
        <f t="shared" si="37"/>
        <v>8.716369291538904E-3</v>
      </c>
      <c r="AN125" s="237">
        <f t="shared" si="37"/>
        <v>0.68542559840257611</v>
      </c>
      <c r="AO125" s="237">
        <f t="shared" si="37"/>
        <v>1.3589128953688009E-2</v>
      </c>
      <c r="AP125" s="237">
        <f t="shared" si="29"/>
        <v>1</v>
      </c>
      <c r="AQ125" s="237"/>
      <c r="AR125" s="237">
        <f t="shared" si="30"/>
        <v>0.57590774544963519</v>
      </c>
      <c r="AS125" s="237">
        <f t="shared" si="31"/>
        <v>0.39513280010604018</v>
      </c>
      <c r="AT125" s="237">
        <f t="shared" si="32"/>
        <v>2.8959454444324642E-2</v>
      </c>
      <c r="AU125" s="237">
        <f t="shared" si="35"/>
        <v>0.98055959563958928</v>
      </c>
      <c r="AV125" s="237">
        <f t="shared" si="35"/>
        <v>1.9440404360410696E-2</v>
      </c>
      <c r="AX125" s="251">
        <f t="shared" si="22"/>
        <v>0</v>
      </c>
      <c r="AY125" s="251">
        <f t="shared" si="22"/>
        <v>0</v>
      </c>
      <c r="AZ125" s="251">
        <f t="shared" si="22"/>
        <v>0</v>
      </c>
      <c r="BA125" s="251">
        <f t="shared" si="23"/>
        <v>0</v>
      </c>
      <c r="BB125" s="251">
        <f t="shared" si="23"/>
        <v>0</v>
      </c>
      <c r="BC125" s="251">
        <f t="shared" si="24"/>
        <v>0</v>
      </c>
      <c r="BD125" s="270" t="e">
        <f t="shared" si="25"/>
        <v>#DIV/0!</v>
      </c>
      <c r="BE125" s="251">
        <f t="shared" si="26"/>
        <v>0</v>
      </c>
      <c r="BF125" s="251">
        <f t="shared" si="27"/>
        <v>0</v>
      </c>
    </row>
    <row r="126" spans="1:58">
      <c r="A126" s="11">
        <v>43466</v>
      </c>
      <c r="B126" s="268">
        <v>70</v>
      </c>
      <c r="C126" s="268">
        <v>13</v>
      </c>
      <c r="D126" s="268"/>
      <c r="E126" s="268">
        <v>3</v>
      </c>
      <c r="F126" s="269">
        <v>0.2</v>
      </c>
      <c r="G126" s="269">
        <v>1.32</v>
      </c>
      <c r="H126" s="269">
        <v>12</v>
      </c>
      <c r="I126" s="269">
        <v>5</v>
      </c>
      <c r="J126" s="269"/>
      <c r="K126" s="269">
        <v>1.32</v>
      </c>
      <c r="L126" s="269"/>
      <c r="M126" s="269">
        <f t="shared" si="34"/>
        <v>1.5</v>
      </c>
      <c r="N126" s="269">
        <v>45</v>
      </c>
      <c r="O126" s="269">
        <f t="shared" si="38"/>
        <v>17.699535849485258</v>
      </c>
      <c r="Q126" s="251">
        <f t="shared" si="33"/>
        <v>170.03953584948522</v>
      </c>
      <c r="R126" s="251">
        <v>0</v>
      </c>
      <c r="S126" s="251">
        <f t="shared" si="36"/>
        <v>170.03953584948522</v>
      </c>
      <c r="AB126" s="251">
        <f>SUM('BD Feedstock'!C124,'BD Feedstock'!E124,'BD Feedstock'!G124,'BD Feedstock'!K124,'BD Feedstock'!T124)</f>
        <v>17.937796010427753</v>
      </c>
      <c r="AC126" s="251">
        <f>SUM('BD Feedstock'!D124,'BD Feedstock'!F124,'BD Feedstock'!H124,'BD Feedstock'!I124,'BD Feedstock'!L124,'BD Feedstock'!M124,'BD Feedstock'!N124,'BD Feedstock'!O124,'BD Feedstock'!U124)</f>
        <v>12.307199584192993</v>
      </c>
      <c r="AD126" s="251">
        <f>'BD Feedstock'!J124</f>
        <v>0.90199999999999991</v>
      </c>
      <c r="AE126" s="251">
        <f>SUM('BD Feedstock'!B124,'BD Feedstock'!P124,'BD Feedstock'!Q124,'BD Feedstock'!R124)</f>
        <v>70.93020833333334</v>
      </c>
      <c r="AF126" s="251">
        <f>'BD Feedstock'!S124</f>
        <v>1.40625</v>
      </c>
      <c r="AG126" s="251">
        <f t="shared" si="28"/>
        <v>103.48345392795409</v>
      </c>
      <c r="AK126" s="237">
        <f t="shared" si="37"/>
        <v>0.17333974978179773</v>
      </c>
      <c r="AL126" s="237">
        <f t="shared" si="37"/>
        <v>0.11892915357039931</v>
      </c>
      <c r="AM126" s="237">
        <f t="shared" si="37"/>
        <v>8.716369291538904E-3</v>
      </c>
      <c r="AN126" s="237">
        <f t="shared" si="37"/>
        <v>0.68542559840257611</v>
      </c>
      <c r="AO126" s="237">
        <f t="shared" si="37"/>
        <v>1.3589128953688009E-2</v>
      </c>
      <c r="AP126" s="237">
        <f t="shared" si="29"/>
        <v>1</v>
      </c>
      <c r="AQ126" s="237"/>
      <c r="AR126" s="237">
        <f t="shared" si="30"/>
        <v>0.57590774544963519</v>
      </c>
      <c r="AS126" s="237">
        <f t="shared" si="31"/>
        <v>0.39513280010604018</v>
      </c>
      <c r="AT126" s="237">
        <f t="shared" si="32"/>
        <v>2.8959454444324642E-2</v>
      </c>
      <c r="AU126" s="237">
        <f t="shared" si="35"/>
        <v>0.98055959563958928</v>
      </c>
      <c r="AV126" s="237">
        <f t="shared" si="35"/>
        <v>1.9440404360410696E-2</v>
      </c>
      <c r="AX126" s="251">
        <f t="shared" si="22"/>
        <v>0</v>
      </c>
      <c r="AY126" s="251">
        <f t="shared" si="22"/>
        <v>0</v>
      </c>
      <c r="AZ126" s="251">
        <f t="shared" si="22"/>
        <v>0</v>
      </c>
      <c r="BA126" s="251">
        <f t="shared" si="23"/>
        <v>0</v>
      </c>
      <c r="BB126" s="251">
        <f t="shared" si="23"/>
        <v>0</v>
      </c>
      <c r="BC126" s="251">
        <f t="shared" si="24"/>
        <v>0</v>
      </c>
      <c r="BD126" s="270" t="e">
        <f t="shared" si="25"/>
        <v>#DIV/0!</v>
      </c>
      <c r="BE126" s="251">
        <f t="shared" si="26"/>
        <v>0</v>
      </c>
      <c r="BF126" s="251">
        <f t="shared" si="27"/>
        <v>0</v>
      </c>
    </row>
    <row r="127" spans="1:58">
      <c r="A127" s="11">
        <v>43497</v>
      </c>
      <c r="B127" s="268">
        <v>70</v>
      </c>
      <c r="C127" s="268">
        <v>13</v>
      </c>
      <c r="D127" s="268"/>
      <c r="E127" s="268">
        <v>3</v>
      </c>
      <c r="F127" s="269">
        <v>0.2</v>
      </c>
      <c r="G127" s="269">
        <v>1.32</v>
      </c>
      <c r="H127" s="269">
        <v>12</v>
      </c>
      <c r="I127" s="269">
        <v>5</v>
      </c>
      <c r="J127" s="269"/>
      <c r="K127" s="269">
        <v>1.32</v>
      </c>
      <c r="L127" s="269"/>
      <c r="M127" s="269">
        <f t="shared" si="34"/>
        <v>1.5</v>
      </c>
      <c r="N127" s="269">
        <v>45</v>
      </c>
      <c r="O127" s="269">
        <f t="shared" si="38"/>
        <v>17.699535849485258</v>
      </c>
      <c r="Q127" s="251">
        <f t="shared" si="33"/>
        <v>170.03953584948522</v>
      </c>
      <c r="R127" s="251">
        <v>0</v>
      </c>
      <c r="S127" s="251">
        <f t="shared" si="36"/>
        <v>170.03953584948522</v>
      </c>
      <c r="AB127" s="251">
        <f>SUM('BD Feedstock'!C125,'BD Feedstock'!E125,'BD Feedstock'!G125,'BD Feedstock'!K125,'BD Feedstock'!T125)</f>
        <v>17.937796010427753</v>
      </c>
      <c r="AC127" s="251">
        <f>SUM('BD Feedstock'!D125,'BD Feedstock'!F125,'BD Feedstock'!H125,'BD Feedstock'!I125,'BD Feedstock'!L125,'BD Feedstock'!M125,'BD Feedstock'!N125,'BD Feedstock'!O125,'BD Feedstock'!U125)</f>
        <v>12.307199584192993</v>
      </c>
      <c r="AD127" s="251">
        <f>'BD Feedstock'!J125</f>
        <v>0.90199999999999991</v>
      </c>
      <c r="AE127" s="251">
        <f>SUM('BD Feedstock'!B125,'BD Feedstock'!P125,'BD Feedstock'!Q125,'BD Feedstock'!R125)</f>
        <v>70.93020833333334</v>
      </c>
      <c r="AF127" s="251">
        <f>'BD Feedstock'!S125</f>
        <v>1.40625</v>
      </c>
      <c r="AG127" s="251">
        <f t="shared" si="28"/>
        <v>103.48345392795409</v>
      </c>
      <c r="AK127" s="237">
        <f t="shared" si="37"/>
        <v>0.17333974978179773</v>
      </c>
      <c r="AL127" s="237">
        <f t="shared" si="37"/>
        <v>0.11892915357039931</v>
      </c>
      <c r="AM127" s="237">
        <f t="shared" si="37"/>
        <v>8.716369291538904E-3</v>
      </c>
      <c r="AN127" s="237">
        <f t="shared" si="37"/>
        <v>0.68542559840257611</v>
      </c>
      <c r="AO127" s="237">
        <f t="shared" si="37"/>
        <v>1.3589128953688009E-2</v>
      </c>
      <c r="AP127" s="237">
        <f t="shared" si="29"/>
        <v>1</v>
      </c>
      <c r="AQ127" s="237"/>
      <c r="AR127" s="237">
        <f t="shared" si="30"/>
        <v>0.57590774544963519</v>
      </c>
      <c r="AS127" s="237">
        <f t="shared" si="31"/>
        <v>0.39513280010604018</v>
      </c>
      <c r="AT127" s="237">
        <f t="shared" si="32"/>
        <v>2.8959454444324642E-2</v>
      </c>
      <c r="AU127" s="237">
        <f t="shared" si="35"/>
        <v>0.98055959563958928</v>
      </c>
      <c r="AV127" s="237">
        <f t="shared" si="35"/>
        <v>1.9440404360410696E-2</v>
      </c>
      <c r="AX127" s="251">
        <f t="shared" si="22"/>
        <v>0</v>
      </c>
      <c r="AY127" s="251">
        <f t="shared" si="22"/>
        <v>0</v>
      </c>
      <c r="AZ127" s="251">
        <f t="shared" si="22"/>
        <v>0</v>
      </c>
      <c r="BA127" s="251">
        <f t="shared" si="23"/>
        <v>0</v>
      </c>
      <c r="BB127" s="251">
        <f t="shared" si="23"/>
        <v>0</v>
      </c>
      <c r="BC127" s="251">
        <f t="shared" si="24"/>
        <v>0</v>
      </c>
      <c r="BD127" s="270" t="e">
        <f t="shared" si="25"/>
        <v>#DIV/0!</v>
      </c>
      <c r="BE127" s="251">
        <f t="shared" si="26"/>
        <v>0</v>
      </c>
      <c r="BF127" s="251">
        <f t="shared" si="27"/>
        <v>0</v>
      </c>
    </row>
    <row r="128" spans="1:58">
      <c r="A128" s="11">
        <v>43525</v>
      </c>
      <c r="B128" s="268">
        <v>70</v>
      </c>
      <c r="C128" s="268">
        <v>13</v>
      </c>
      <c r="D128" s="268"/>
      <c r="E128" s="268">
        <v>3</v>
      </c>
      <c r="F128" s="269">
        <v>0.2</v>
      </c>
      <c r="G128" s="269">
        <v>1.32</v>
      </c>
      <c r="H128" s="269">
        <v>12</v>
      </c>
      <c r="I128" s="269">
        <v>5</v>
      </c>
      <c r="J128" s="269"/>
      <c r="K128" s="269">
        <v>1.32</v>
      </c>
      <c r="L128" s="269"/>
      <c r="M128" s="269">
        <f t="shared" si="34"/>
        <v>1.5</v>
      </c>
      <c r="N128" s="269">
        <v>45</v>
      </c>
      <c r="O128" s="269">
        <f t="shared" si="38"/>
        <v>17.699535849485258</v>
      </c>
      <c r="Q128" s="251">
        <f t="shared" si="33"/>
        <v>170.03953584948522</v>
      </c>
      <c r="R128" s="251">
        <v>0</v>
      </c>
      <c r="S128" s="251">
        <f t="shared" si="36"/>
        <v>170.03953584948522</v>
      </c>
      <c r="AB128" s="251">
        <f>SUM('BD Feedstock'!C126,'BD Feedstock'!E126,'BD Feedstock'!G126,'BD Feedstock'!K126,'BD Feedstock'!T126)</f>
        <v>17.937796010427753</v>
      </c>
      <c r="AC128" s="251">
        <f>SUM('BD Feedstock'!D126,'BD Feedstock'!F126,'BD Feedstock'!H126,'BD Feedstock'!I126,'BD Feedstock'!L126,'BD Feedstock'!M126,'BD Feedstock'!N126,'BD Feedstock'!O126,'BD Feedstock'!U126)</f>
        <v>12.307199584192993</v>
      </c>
      <c r="AD128" s="251">
        <f>'BD Feedstock'!J126</f>
        <v>0.90199999999999991</v>
      </c>
      <c r="AE128" s="251">
        <f>SUM('BD Feedstock'!B126,'BD Feedstock'!P126,'BD Feedstock'!Q126,'BD Feedstock'!R126)</f>
        <v>70.93020833333334</v>
      </c>
      <c r="AF128" s="251">
        <f>'BD Feedstock'!S126</f>
        <v>1.40625</v>
      </c>
      <c r="AG128" s="251">
        <f t="shared" si="28"/>
        <v>103.48345392795409</v>
      </c>
      <c r="AK128" s="237">
        <f t="shared" si="37"/>
        <v>0.17333974978179773</v>
      </c>
      <c r="AL128" s="237">
        <f t="shared" si="37"/>
        <v>0.11892915357039931</v>
      </c>
      <c r="AM128" s="237">
        <f t="shared" si="37"/>
        <v>8.716369291538904E-3</v>
      </c>
      <c r="AN128" s="237">
        <f t="shared" si="37"/>
        <v>0.68542559840257611</v>
      </c>
      <c r="AO128" s="237">
        <f t="shared" si="37"/>
        <v>1.3589128953688009E-2</v>
      </c>
      <c r="AP128" s="237">
        <f t="shared" si="29"/>
        <v>1</v>
      </c>
      <c r="AQ128" s="237"/>
      <c r="AR128" s="237">
        <f t="shared" si="30"/>
        <v>0.57590774544963519</v>
      </c>
      <c r="AS128" s="237">
        <f t="shared" si="31"/>
        <v>0.39513280010604018</v>
      </c>
      <c r="AT128" s="237">
        <f t="shared" si="32"/>
        <v>2.8959454444324642E-2</v>
      </c>
      <c r="AU128" s="237">
        <f t="shared" si="35"/>
        <v>0.98055959563958928</v>
      </c>
      <c r="AV128" s="237">
        <f t="shared" si="35"/>
        <v>1.9440404360410696E-2</v>
      </c>
      <c r="AX128" s="251">
        <f t="shared" si="22"/>
        <v>0</v>
      </c>
      <c r="AY128" s="251">
        <f t="shared" si="22"/>
        <v>0</v>
      </c>
      <c r="AZ128" s="251">
        <f t="shared" si="22"/>
        <v>0</v>
      </c>
      <c r="BA128" s="251">
        <f t="shared" si="23"/>
        <v>0</v>
      </c>
      <c r="BB128" s="251">
        <f t="shared" si="23"/>
        <v>0</v>
      </c>
      <c r="BC128" s="251">
        <f t="shared" si="24"/>
        <v>0</v>
      </c>
      <c r="BD128" s="270" t="e">
        <f t="shared" si="25"/>
        <v>#DIV/0!</v>
      </c>
      <c r="BE128" s="251">
        <f t="shared" si="26"/>
        <v>0</v>
      </c>
      <c r="BF128" s="251">
        <f t="shared" si="27"/>
        <v>0</v>
      </c>
    </row>
    <row r="129" spans="1:81">
      <c r="A129" s="11">
        <v>43556</v>
      </c>
      <c r="B129" s="268">
        <v>70</v>
      </c>
      <c r="C129" s="268">
        <v>13</v>
      </c>
      <c r="D129" s="268"/>
      <c r="E129" s="268">
        <v>3</v>
      </c>
      <c r="F129" s="269">
        <v>0.2</v>
      </c>
      <c r="G129" s="269">
        <v>1.32</v>
      </c>
      <c r="H129" s="269">
        <v>12</v>
      </c>
      <c r="I129" s="269">
        <v>5</v>
      </c>
      <c r="J129" s="269"/>
      <c r="K129" s="269">
        <v>1.32</v>
      </c>
      <c r="L129" s="269"/>
      <c r="M129" s="269">
        <f t="shared" si="34"/>
        <v>1.5</v>
      </c>
      <c r="N129" s="269">
        <v>45</v>
      </c>
      <c r="O129" s="269">
        <f t="shared" si="38"/>
        <v>17.699535849485258</v>
      </c>
      <c r="Q129" s="251">
        <f t="shared" si="33"/>
        <v>170.03953584948522</v>
      </c>
      <c r="R129" s="251">
        <v>0</v>
      </c>
      <c r="S129" s="251">
        <f t="shared" si="36"/>
        <v>170.03953584948522</v>
      </c>
      <c r="AB129" s="251">
        <f>SUM('BD Feedstock'!C127,'BD Feedstock'!E127,'BD Feedstock'!G127,'BD Feedstock'!K127,'BD Feedstock'!T127)</f>
        <v>17.937796010427753</v>
      </c>
      <c r="AC129" s="251">
        <f>SUM('BD Feedstock'!D127,'BD Feedstock'!F127,'BD Feedstock'!H127,'BD Feedstock'!I127,'BD Feedstock'!L127,'BD Feedstock'!M127,'BD Feedstock'!N127,'BD Feedstock'!O127,'BD Feedstock'!U127)</f>
        <v>12.307199584192993</v>
      </c>
      <c r="AD129" s="251">
        <f>'BD Feedstock'!J127</f>
        <v>0.90199999999999991</v>
      </c>
      <c r="AE129" s="251">
        <f>SUM('BD Feedstock'!B127,'BD Feedstock'!P127,'BD Feedstock'!Q127,'BD Feedstock'!R127)</f>
        <v>70.93020833333334</v>
      </c>
      <c r="AF129" s="251">
        <f>'BD Feedstock'!S127</f>
        <v>1.40625</v>
      </c>
      <c r="AG129" s="251">
        <f t="shared" si="28"/>
        <v>103.48345392795409</v>
      </c>
      <c r="AK129" s="237">
        <f t="shared" si="37"/>
        <v>0.17333974978179773</v>
      </c>
      <c r="AL129" s="237">
        <f t="shared" si="37"/>
        <v>0.11892915357039931</v>
      </c>
      <c r="AM129" s="237">
        <f t="shared" si="37"/>
        <v>8.716369291538904E-3</v>
      </c>
      <c r="AN129" s="237">
        <f t="shared" si="37"/>
        <v>0.68542559840257611</v>
      </c>
      <c r="AO129" s="237">
        <f t="shared" si="37"/>
        <v>1.3589128953688009E-2</v>
      </c>
      <c r="AP129" s="237">
        <f t="shared" si="29"/>
        <v>1</v>
      </c>
      <c r="AQ129" s="237"/>
      <c r="AR129" s="237">
        <f t="shared" si="30"/>
        <v>0.57590774544963519</v>
      </c>
      <c r="AS129" s="237">
        <f t="shared" si="31"/>
        <v>0.39513280010604018</v>
      </c>
      <c r="AT129" s="237">
        <f t="shared" si="32"/>
        <v>2.8959454444324642E-2</v>
      </c>
      <c r="AU129" s="237">
        <f t="shared" si="35"/>
        <v>0.98055959563958928</v>
      </c>
      <c r="AV129" s="237">
        <f t="shared" si="35"/>
        <v>1.9440404360410696E-2</v>
      </c>
      <c r="AX129" s="251">
        <f t="shared" si="22"/>
        <v>0</v>
      </c>
      <c r="AY129" s="251">
        <f t="shared" si="22"/>
        <v>0</v>
      </c>
      <c r="AZ129" s="251">
        <f t="shared" si="22"/>
        <v>0</v>
      </c>
      <c r="BA129" s="251">
        <f t="shared" si="23"/>
        <v>0</v>
      </c>
      <c r="BB129" s="251">
        <f t="shared" si="23"/>
        <v>0</v>
      </c>
      <c r="BC129" s="251">
        <f t="shared" si="24"/>
        <v>0</v>
      </c>
      <c r="BD129" s="270" t="e">
        <f t="shared" si="25"/>
        <v>#DIV/0!</v>
      </c>
      <c r="BE129" s="251">
        <f t="shared" si="26"/>
        <v>0</v>
      </c>
      <c r="BF129" s="251">
        <f t="shared" si="27"/>
        <v>0</v>
      </c>
    </row>
    <row r="130" spans="1:81">
      <c r="A130" s="11">
        <v>43586</v>
      </c>
      <c r="B130" s="268">
        <v>70</v>
      </c>
      <c r="C130" s="268">
        <v>13</v>
      </c>
      <c r="D130" s="268"/>
      <c r="E130" s="268">
        <v>3</v>
      </c>
      <c r="F130" s="269">
        <v>0.2</v>
      </c>
      <c r="G130" s="269">
        <v>1.32</v>
      </c>
      <c r="H130" s="269">
        <v>12</v>
      </c>
      <c r="I130" s="269">
        <v>5</v>
      </c>
      <c r="J130" s="269"/>
      <c r="K130" s="269">
        <v>1.32</v>
      </c>
      <c r="L130" s="269"/>
      <c r="M130" s="269">
        <f t="shared" si="34"/>
        <v>1.5</v>
      </c>
      <c r="N130" s="269">
        <v>45</v>
      </c>
      <c r="O130" s="269">
        <f t="shared" si="38"/>
        <v>17.699535849485258</v>
      </c>
      <c r="Q130" s="251">
        <f t="shared" si="33"/>
        <v>170.03953584948522</v>
      </c>
      <c r="R130" s="251">
        <v>0</v>
      </c>
      <c r="S130" s="251">
        <f t="shared" si="36"/>
        <v>170.03953584948522</v>
      </c>
      <c r="AB130" s="251">
        <f>SUM('BD Feedstock'!C128,'BD Feedstock'!E128,'BD Feedstock'!G128,'BD Feedstock'!K128,'BD Feedstock'!T128)</f>
        <v>17.937796010427753</v>
      </c>
      <c r="AC130" s="251">
        <f>SUM('BD Feedstock'!D128,'BD Feedstock'!F128,'BD Feedstock'!H128,'BD Feedstock'!I128,'BD Feedstock'!L128,'BD Feedstock'!M128,'BD Feedstock'!N128,'BD Feedstock'!O128,'BD Feedstock'!U128)</f>
        <v>12.307199584192993</v>
      </c>
      <c r="AD130" s="251">
        <f>'BD Feedstock'!J128</f>
        <v>0.90199999999999991</v>
      </c>
      <c r="AE130" s="251">
        <f>SUM('BD Feedstock'!B128,'BD Feedstock'!P128,'BD Feedstock'!Q128,'BD Feedstock'!R128)</f>
        <v>70.93020833333334</v>
      </c>
      <c r="AF130" s="251">
        <f>'BD Feedstock'!S128</f>
        <v>1.40625</v>
      </c>
      <c r="AG130" s="251">
        <f t="shared" si="28"/>
        <v>103.48345392795409</v>
      </c>
      <c r="AK130" s="237">
        <f t="shared" si="37"/>
        <v>0.17333974978179773</v>
      </c>
      <c r="AL130" s="237">
        <f t="shared" si="37"/>
        <v>0.11892915357039931</v>
      </c>
      <c r="AM130" s="237">
        <f t="shared" si="37"/>
        <v>8.716369291538904E-3</v>
      </c>
      <c r="AN130" s="237">
        <f t="shared" si="37"/>
        <v>0.68542559840257611</v>
      </c>
      <c r="AO130" s="237">
        <f t="shared" si="37"/>
        <v>1.3589128953688009E-2</v>
      </c>
      <c r="AP130" s="237">
        <f t="shared" si="29"/>
        <v>1</v>
      </c>
      <c r="AQ130" s="237"/>
      <c r="AR130" s="237">
        <f t="shared" si="30"/>
        <v>0.57590774544963519</v>
      </c>
      <c r="AS130" s="237">
        <f t="shared" si="31"/>
        <v>0.39513280010604018</v>
      </c>
      <c r="AT130" s="237">
        <f t="shared" si="32"/>
        <v>2.8959454444324642E-2</v>
      </c>
      <c r="AU130" s="237">
        <f t="shared" si="35"/>
        <v>0.98055959563958928</v>
      </c>
      <c r="AV130" s="237">
        <f t="shared" si="35"/>
        <v>1.9440404360410696E-2</v>
      </c>
      <c r="AX130" s="251">
        <f t="shared" si="22"/>
        <v>0</v>
      </c>
      <c r="AY130" s="251">
        <f t="shared" si="22"/>
        <v>0</v>
      </c>
      <c r="AZ130" s="251">
        <f t="shared" si="22"/>
        <v>0</v>
      </c>
      <c r="BA130" s="251">
        <f t="shared" si="23"/>
        <v>0</v>
      </c>
      <c r="BB130" s="251">
        <f t="shared" si="23"/>
        <v>0</v>
      </c>
      <c r="BC130" s="251">
        <f t="shared" si="24"/>
        <v>0</v>
      </c>
      <c r="BD130" s="270" t="e">
        <f t="shared" si="25"/>
        <v>#DIV/0!</v>
      </c>
      <c r="BE130" s="251">
        <f t="shared" si="26"/>
        <v>0</v>
      </c>
      <c r="BF130" s="251">
        <f t="shared" si="27"/>
        <v>0</v>
      </c>
    </row>
    <row r="131" spans="1:81">
      <c r="A131" s="11">
        <v>43617</v>
      </c>
      <c r="B131" s="268">
        <v>70</v>
      </c>
      <c r="C131" s="268">
        <v>13</v>
      </c>
      <c r="D131" s="268"/>
      <c r="E131" s="268">
        <v>3</v>
      </c>
      <c r="F131" s="269">
        <v>0.2</v>
      </c>
      <c r="G131" s="269">
        <v>1.32</v>
      </c>
      <c r="H131" s="269">
        <v>12</v>
      </c>
      <c r="I131" s="269">
        <v>5</v>
      </c>
      <c r="J131" s="269"/>
      <c r="K131" s="269">
        <v>1.32</v>
      </c>
      <c r="L131" s="269"/>
      <c r="M131" s="269">
        <f t="shared" si="34"/>
        <v>1.5</v>
      </c>
      <c r="N131" s="269">
        <v>45</v>
      </c>
      <c r="O131" s="269">
        <f t="shared" si="38"/>
        <v>17.699535849485258</v>
      </c>
      <c r="Q131" s="251">
        <f t="shared" si="33"/>
        <v>170.03953584948522</v>
      </c>
      <c r="R131" s="251">
        <v>0</v>
      </c>
      <c r="S131" s="251">
        <f t="shared" si="36"/>
        <v>170.03953584948522</v>
      </c>
      <c r="AB131" s="251">
        <f>SUM('BD Feedstock'!C129,'BD Feedstock'!E129,'BD Feedstock'!G129,'BD Feedstock'!K129,'BD Feedstock'!T129)</f>
        <v>17.937796010427753</v>
      </c>
      <c r="AC131" s="251">
        <f>SUM('BD Feedstock'!D129,'BD Feedstock'!F129,'BD Feedstock'!H129,'BD Feedstock'!I129,'BD Feedstock'!L129,'BD Feedstock'!M129,'BD Feedstock'!N129,'BD Feedstock'!O129,'BD Feedstock'!U129)</f>
        <v>12.307199584192993</v>
      </c>
      <c r="AD131" s="251">
        <f>'BD Feedstock'!J129</f>
        <v>0.90199999999999991</v>
      </c>
      <c r="AE131" s="251">
        <f>SUM('BD Feedstock'!B129,'BD Feedstock'!P129,'BD Feedstock'!Q129,'BD Feedstock'!R129)</f>
        <v>70.93020833333334</v>
      </c>
      <c r="AF131" s="251">
        <f>'BD Feedstock'!S129</f>
        <v>1.40625</v>
      </c>
      <c r="AG131" s="251">
        <f t="shared" si="28"/>
        <v>103.48345392795409</v>
      </c>
      <c r="AK131" s="237">
        <f t="shared" si="37"/>
        <v>0.17333974978179773</v>
      </c>
      <c r="AL131" s="237">
        <f t="shared" si="37"/>
        <v>0.11892915357039931</v>
      </c>
      <c r="AM131" s="237">
        <f t="shared" si="37"/>
        <v>8.716369291538904E-3</v>
      </c>
      <c r="AN131" s="237">
        <f t="shared" si="37"/>
        <v>0.68542559840257611</v>
      </c>
      <c r="AO131" s="237">
        <f t="shared" si="37"/>
        <v>1.3589128953688009E-2</v>
      </c>
      <c r="AP131" s="237">
        <f t="shared" si="29"/>
        <v>1</v>
      </c>
      <c r="AQ131" s="237"/>
      <c r="AR131" s="237">
        <f t="shared" si="30"/>
        <v>0.57590774544963519</v>
      </c>
      <c r="AS131" s="237">
        <f t="shared" si="31"/>
        <v>0.39513280010604018</v>
      </c>
      <c r="AT131" s="237">
        <f t="shared" si="32"/>
        <v>2.8959454444324642E-2</v>
      </c>
      <c r="AU131" s="237">
        <f t="shared" si="35"/>
        <v>0.98055959563958928</v>
      </c>
      <c r="AV131" s="237">
        <f t="shared" si="35"/>
        <v>1.9440404360410696E-2</v>
      </c>
      <c r="AX131" s="251">
        <f t="shared" si="22"/>
        <v>0</v>
      </c>
      <c r="AY131" s="251">
        <f t="shared" si="22"/>
        <v>0</v>
      </c>
      <c r="AZ131" s="251">
        <f t="shared" si="22"/>
        <v>0</v>
      </c>
      <c r="BA131" s="251">
        <f t="shared" si="23"/>
        <v>0</v>
      </c>
      <c r="BB131" s="251">
        <f t="shared" si="23"/>
        <v>0</v>
      </c>
      <c r="BC131" s="251">
        <f t="shared" si="24"/>
        <v>0</v>
      </c>
      <c r="BD131" s="270" t="e">
        <f t="shared" si="25"/>
        <v>#DIV/0!</v>
      </c>
      <c r="BE131" s="251">
        <f t="shared" si="26"/>
        <v>0</v>
      </c>
      <c r="BF131" s="251">
        <f t="shared" si="27"/>
        <v>0</v>
      </c>
    </row>
    <row r="132" spans="1:81">
      <c r="A132" s="11">
        <v>43647</v>
      </c>
      <c r="B132" s="268">
        <v>70</v>
      </c>
      <c r="C132" s="268">
        <v>13</v>
      </c>
      <c r="D132" s="268"/>
      <c r="E132" s="268">
        <v>3</v>
      </c>
      <c r="F132" s="269">
        <v>0.2</v>
      </c>
      <c r="G132" s="269">
        <v>1.32</v>
      </c>
      <c r="H132" s="269">
        <v>12</v>
      </c>
      <c r="I132" s="269">
        <v>5</v>
      </c>
      <c r="J132" s="269"/>
      <c r="K132" s="269">
        <v>1.32</v>
      </c>
      <c r="L132" s="269"/>
      <c r="M132" s="269">
        <f t="shared" si="34"/>
        <v>1.5</v>
      </c>
      <c r="N132" s="269">
        <v>45</v>
      </c>
      <c r="O132" s="269">
        <f t="shared" si="38"/>
        <v>17.699535849485258</v>
      </c>
      <c r="Q132" s="251">
        <f t="shared" si="33"/>
        <v>170.03953584948522</v>
      </c>
      <c r="R132" s="251">
        <v>0</v>
      </c>
      <c r="S132" s="251">
        <f t="shared" si="36"/>
        <v>170.03953584948522</v>
      </c>
      <c r="AB132" s="251">
        <f>SUM('BD Feedstock'!C130,'BD Feedstock'!E130,'BD Feedstock'!G130,'BD Feedstock'!K130,'BD Feedstock'!T130)</f>
        <v>17.937796010427753</v>
      </c>
      <c r="AC132" s="251">
        <f>SUM('BD Feedstock'!D130,'BD Feedstock'!F130,'BD Feedstock'!H130,'BD Feedstock'!I130,'BD Feedstock'!L130,'BD Feedstock'!M130,'BD Feedstock'!N130,'BD Feedstock'!O130,'BD Feedstock'!U130)</f>
        <v>12.307199584192993</v>
      </c>
      <c r="AD132" s="251">
        <f>'BD Feedstock'!J130</f>
        <v>0.90199999999999991</v>
      </c>
      <c r="AE132" s="251">
        <f>SUM('BD Feedstock'!B130,'BD Feedstock'!P130,'BD Feedstock'!Q130,'BD Feedstock'!R130)</f>
        <v>70.93020833333334</v>
      </c>
      <c r="AF132" s="251">
        <f>'BD Feedstock'!S130</f>
        <v>1.40625</v>
      </c>
      <c r="AG132" s="251">
        <f t="shared" si="28"/>
        <v>103.48345392795409</v>
      </c>
      <c r="AK132" s="237">
        <f t="shared" si="37"/>
        <v>0.17333974978179773</v>
      </c>
      <c r="AL132" s="237">
        <f t="shared" si="37"/>
        <v>0.11892915357039931</v>
      </c>
      <c r="AM132" s="237">
        <f t="shared" si="37"/>
        <v>8.716369291538904E-3</v>
      </c>
      <c r="AN132" s="237">
        <f t="shared" si="37"/>
        <v>0.68542559840257611</v>
      </c>
      <c r="AO132" s="237">
        <f t="shared" si="37"/>
        <v>1.3589128953688009E-2</v>
      </c>
      <c r="AP132" s="237">
        <f t="shared" si="29"/>
        <v>1</v>
      </c>
      <c r="AQ132" s="237"/>
      <c r="AR132" s="237">
        <f t="shared" si="30"/>
        <v>0.57590774544963519</v>
      </c>
      <c r="AS132" s="237">
        <f t="shared" si="31"/>
        <v>0.39513280010604018</v>
      </c>
      <c r="AT132" s="237">
        <f t="shared" si="32"/>
        <v>2.8959454444324642E-2</v>
      </c>
      <c r="AU132" s="237">
        <f t="shared" si="35"/>
        <v>0.98055959563958928</v>
      </c>
      <c r="AV132" s="237">
        <f t="shared" si="35"/>
        <v>1.9440404360410696E-2</v>
      </c>
      <c r="AX132" s="251">
        <f t="shared" si="22"/>
        <v>0</v>
      </c>
      <c r="AY132" s="251">
        <f t="shared" si="22"/>
        <v>0</v>
      </c>
      <c r="AZ132" s="251">
        <f t="shared" si="22"/>
        <v>0</v>
      </c>
      <c r="BA132" s="251">
        <f t="shared" si="23"/>
        <v>0</v>
      </c>
      <c r="BB132" s="251">
        <f t="shared" si="23"/>
        <v>0</v>
      </c>
      <c r="BC132" s="251">
        <f t="shared" si="24"/>
        <v>0</v>
      </c>
      <c r="BD132" s="270" t="e">
        <f t="shared" si="25"/>
        <v>#DIV/0!</v>
      </c>
      <c r="BE132" s="251">
        <f t="shared" si="26"/>
        <v>0</v>
      </c>
      <c r="BF132" s="251">
        <f t="shared" si="27"/>
        <v>0</v>
      </c>
    </row>
    <row r="133" spans="1:81">
      <c r="A133" s="11">
        <v>43678</v>
      </c>
      <c r="B133" s="268">
        <v>70</v>
      </c>
      <c r="C133" s="268">
        <v>13</v>
      </c>
      <c r="D133" s="268"/>
      <c r="E133" s="268">
        <v>3</v>
      </c>
      <c r="F133" s="269">
        <v>0.2</v>
      </c>
      <c r="G133" s="269">
        <v>1.32</v>
      </c>
      <c r="H133" s="269">
        <v>12</v>
      </c>
      <c r="I133" s="269">
        <v>5</v>
      </c>
      <c r="J133" s="269"/>
      <c r="K133" s="269">
        <v>1.32</v>
      </c>
      <c r="L133" s="269"/>
      <c r="M133" s="269">
        <f t="shared" si="34"/>
        <v>1.5</v>
      </c>
      <c r="N133" s="269">
        <v>45</v>
      </c>
      <c r="O133" s="269">
        <f t="shared" si="38"/>
        <v>17.699535849485258</v>
      </c>
      <c r="Q133" s="251">
        <f t="shared" si="33"/>
        <v>170.03953584948522</v>
      </c>
      <c r="R133" s="251">
        <v>0</v>
      </c>
      <c r="S133" s="251">
        <f t="shared" si="36"/>
        <v>170.03953584948522</v>
      </c>
      <c r="AB133" s="251">
        <f>SUM('BD Feedstock'!C131,'BD Feedstock'!E131,'BD Feedstock'!G131,'BD Feedstock'!K131,'BD Feedstock'!T131)</f>
        <v>17.937796010427753</v>
      </c>
      <c r="AC133" s="251">
        <f>SUM('BD Feedstock'!D131,'BD Feedstock'!F131,'BD Feedstock'!H131,'BD Feedstock'!I131,'BD Feedstock'!L131,'BD Feedstock'!M131,'BD Feedstock'!N131,'BD Feedstock'!O131,'BD Feedstock'!U131)</f>
        <v>12.307199584192993</v>
      </c>
      <c r="AD133" s="251">
        <f>'BD Feedstock'!J131</f>
        <v>0.90199999999999991</v>
      </c>
      <c r="AE133" s="251">
        <f>SUM('BD Feedstock'!B131,'BD Feedstock'!P131,'BD Feedstock'!Q131,'BD Feedstock'!R131)</f>
        <v>70.93020833333334</v>
      </c>
      <c r="AF133" s="251">
        <f>'BD Feedstock'!S131</f>
        <v>1.40625</v>
      </c>
      <c r="AG133" s="251">
        <f t="shared" si="28"/>
        <v>103.48345392795409</v>
      </c>
      <c r="AK133" s="237">
        <f t="shared" si="37"/>
        <v>0.17333974978179773</v>
      </c>
      <c r="AL133" s="237">
        <f t="shared" si="37"/>
        <v>0.11892915357039931</v>
      </c>
      <c r="AM133" s="237">
        <f t="shared" si="37"/>
        <v>8.716369291538904E-3</v>
      </c>
      <c r="AN133" s="237">
        <f t="shared" si="37"/>
        <v>0.68542559840257611</v>
      </c>
      <c r="AO133" s="237">
        <f t="shared" si="37"/>
        <v>1.3589128953688009E-2</v>
      </c>
      <c r="AP133" s="237">
        <f t="shared" si="29"/>
        <v>1</v>
      </c>
      <c r="AQ133" s="237"/>
      <c r="AR133" s="237">
        <f t="shared" si="30"/>
        <v>0.57590774544963519</v>
      </c>
      <c r="AS133" s="237">
        <f t="shared" si="31"/>
        <v>0.39513280010604018</v>
      </c>
      <c r="AT133" s="237">
        <f t="shared" si="32"/>
        <v>2.8959454444324642E-2</v>
      </c>
      <c r="AU133" s="237">
        <f t="shared" si="35"/>
        <v>0.98055959563958928</v>
      </c>
      <c r="AV133" s="237">
        <f t="shared" si="35"/>
        <v>1.9440404360410696E-2</v>
      </c>
      <c r="AX133" s="251">
        <f t="shared" si="22"/>
        <v>0</v>
      </c>
      <c r="AY133" s="251">
        <f t="shared" si="22"/>
        <v>0</v>
      </c>
      <c r="AZ133" s="251">
        <f t="shared" si="22"/>
        <v>0</v>
      </c>
      <c r="BA133" s="251">
        <f t="shared" si="23"/>
        <v>0</v>
      </c>
      <c r="BB133" s="251">
        <f t="shared" si="23"/>
        <v>0</v>
      </c>
      <c r="BC133" s="251">
        <f t="shared" si="24"/>
        <v>0</v>
      </c>
      <c r="BD133" s="270" t="e">
        <f t="shared" si="25"/>
        <v>#DIV/0!</v>
      </c>
      <c r="BE133" s="251">
        <f t="shared" si="26"/>
        <v>0</v>
      </c>
      <c r="BF133" s="251">
        <f t="shared" si="27"/>
        <v>0</v>
      </c>
      <c r="BG133" s="13"/>
      <c r="BH133" s="13"/>
    </row>
    <row r="134" spans="1:81">
      <c r="A134" s="11">
        <v>43709</v>
      </c>
      <c r="B134" s="268">
        <v>70</v>
      </c>
      <c r="C134" s="268">
        <v>13</v>
      </c>
      <c r="D134" s="268"/>
      <c r="E134" s="268">
        <v>3</v>
      </c>
      <c r="F134" s="269">
        <v>0.2</v>
      </c>
      <c r="G134" s="269">
        <v>1.32</v>
      </c>
      <c r="H134" s="269">
        <v>12</v>
      </c>
      <c r="I134" s="269">
        <v>5</v>
      </c>
      <c r="J134" s="269"/>
      <c r="K134" s="269">
        <v>1.32</v>
      </c>
      <c r="L134" s="269"/>
      <c r="M134" s="269">
        <f t="shared" si="34"/>
        <v>1.5</v>
      </c>
      <c r="N134" s="269">
        <v>45</v>
      </c>
      <c r="O134" s="269">
        <f t="shared" si="38"/>
        <v>17.699535849485258</v>
      </c>
      <c r="Q134" s="251">
        <f t="shared" si="33"/>
        <v>170.03953584948522</v>
      </c>
      <c r="R134" s="251">
        <f>'RD Plant List'!N2</f>
        <v>0</v>
      </c>
      <c r="S134" s="251">
        <f t="shared" si="36"/>
        <v>170.03953584948522</v>
      </c>
      <c r="AB134" s="251">
        <f>SUM('BD Feedstock'!C132,'BD Feedstock'!E132,'BD Feedstock'!G132,'BD Feedstock'!K132,'BD Feedstock'!T132)</f>
        <v>17.937796010427753</v>
      </c>
      <c r="AC134" s="251">
        <f>SUM('BD Feedstock'!D132,'BD Feedstock'!F132,'BD Feedstock'!H132,'BD Feedstock'!I132,'BD Feedstock'!L132,'BD Feedstock'!M132,'BD Feedstock'!N132,'BD Feedstock'!O132,'BD Feedstock'!U132)</f>
        <v>12.307199584192993</v>
      </c>
      <c r="AD134" s="251">
        <f>'BD Feedstock'!J132</f>
        <v>0.90199999999999991</v>
      </c>
      <c r="AE134" s="251">
        <f>SUM('BD Feedstock'!B132,'BD Feedstock'!P132,'BD Feedstock'!Q132,'BD Feedstock'!R132)</f>
        <v>70.93020833333334</v>
      </c>
      <c r="AF134" s="251">
        <f>'BD Feedstock'!S132</f>
        <v>1.40625</v>
      </c>
      <c r="AG134" s="251">
        <f t="shared" si="28"/>
        <v>103.48345392795409</v>
      </c>
      <c r="AK134" s="237">
        <f t="shared" si="37"/>
        <v>0.17333974978179773</v>
      </c>
      <c r="AL134" s="237">
        <f t="shared" si="37"/>
        <v>0.11892915357039931</v>
      </c>
      <c r="AM134" s="237">
        <f t="shared" si="37"/>
        <v>8.716369291538904E-3</v>
      </c>
      <c r="AN134" s="237">
        <f t="shared" si="37"/>
        <v>0.68542559840257611</v>
      </c>
      <c r="AO134" s="237">
        <f t="shared" si="37"/>
        <v>1.3589128953688009E-2</v>
      </c>
      <c r="AP134" s="237">
        <f t="shared" si="29"/>
        <v>1</v>
      </c>
      <c r="AQ134" s="237"/>
      <c r="AR134" s="237">
        <f t="shared" si="30"/>
        <v>0.57590774544963519</v>
      </c>
      <c r="AS134" s="237">
        <f t="shared" si="31"/>
        <v>0.39513280010604018</v>
      </c>
      <c r="AT134" s="237">
        <f t="shared" si="32"/>
        <v>2.8959454444324642E-2</v>
      </c>
      <c r="AU134" s="237">
        <f t="shared" si="35"/>
        <v>0.98055959563958928</v>
      </c>
      <c r="AV134" s="237">
        <f t="shared" si="35"/>
        <v>1.9440404360410696E-2</v>
      </c>
      <c r="AX134" s="251">
        <f t="shared" ref="AX134:AZ136" si="39">($U134/12*AK134*AB$5/2204.622*1000000)-($BJ134*AR134)</f>
        <v>0</v>
      </c>
      <c r="AY134" s="251">
        <f t="shared" si="39"/>
        <v>0</v>
      </c>
      <c r="AZ134" s="251">
        <f t="shared" si="39"/>
        <v>0</v>
      </c>
      <c r="BA134" s="251">
        <f t="shared" ref="BA134:BB136" si="40">($U134/12*AN134*AE$5/2204.622*1000000)-($BK134*AU134)</f>
        <v>0</v>
      </c>
      <c r="BB134" s="251">
        <f t="shared" si="40"/>
        <v>0</v>
      </c>
      <c r="BC134" s="251">
        <f>SUM(AX134:BB134)</f>
        <v>0</v>
      </c>
      <c r="BD134" s="270" t="e">
        <f>(BC134*2204.622/1000000)/(U134/12)</f>
        <v>#DIV/0!</v>
      </c>
      <c r="BE134" s="251">
        <f>AX134+AY134+AZ134</f>
        <v>0</v>
      </c>
      <c r="BF134" s="251">
        <f>BA134+BB134</f>
        <v>0</v>
      </c>
    </row>
    <row r="135" spans="1:81">
      <c r="A135" s="11">
        <v>43739</v>
      </c>
      <c r="B135" s="268">
        <v>70</v>
      </c>
      <c r="C135" s="268">
        <v>13</v>
      </c>
      <c r="D135" s="268"/>
      <c r="E135" s="268">
        <v>3</v>
      </c>
      <c r="F135" s="269">
        <v>0.2</v>
      </c>
      <c r="G135" s="269">
        <v>1.32</v>
      </c>
      <c r="H135" s="269">
        <v>12</v>
      </c>
      <c r="I135" s="269">
        <v>5</v>
      </c>
      <c r="J135" s="269"/>
      <c r="K135" s="269">
        <v>1.32</v>
      </c>
      <c r="L135" s="269"/>
      <c r="M135" s="269">
        <f t="shared" si="34"/>
        <v>1.5</v>
      </c>
      <c r="N135" s="269">
        <v>45</v>
      </c>
      <c r="O135" s="269">
        <f t="shared" si="38"/>
        <v>17.699535849485258</v>
      </c>
      <c r="Q135" s="251">
        <f t="shared" si="33"/>
        <v>170.03953584948522</v>
      </c>
      <c r="R135" s="251">
        <f>'RD Plant List'!N3</f>
        <v>0</v>
      </c>
      <c r="S135" s="251">
        <f t="shared" si="36"/>
        <v>170.03953584948522</v>
      </c>
      <c r="AB135" s="251">
        <f>SUM('BD Feedstock'!C133,'BD Feedstock'!E133,'BD Feedstock'!G133,'BD Feedstock'!K133,'BD Feedstock'!T133)</f>
        <v>17.937796010427753</v>
      </c>
      <c r="AC135" s="251">
        <f>SUM('BD Feedstock'!D133,'BD Feedstock'!F133,'BD Feedstock'!H133,'BD Feedstock'!I133,'BD Feedstock'!L133,'BD Feedstock'!M133,'BD Feedstock'!N133,'BD Feedstock'!O133,'BD Feedstock'!U133)</f>
        <v>12.307199584192993</v>
      </c>
      <c r="AD135" s="251">
        <f>'BD Feedstock'!J133</f>
        <v>0.90199999999999991</v>
      </c>
      <c r="AE135" s="251">
        <f>SUM('BD Feedstock'!B133,'BD Feedstock'!P133,'BD Feedstock'!Q133,'BD Feedstock'!R133)</f>
        <v>70.93020833333334</v>
      </c>
      <c r="AF135" s="251">
        <f>'BD Feedstock'!S133</f>
        <v>1.40625</v>
      </c>
      <c r="AG135" s="251">
        <f t="shared" ref="AG135:AG198" si="41">SUM(AB135:AF135)</f>
        <v>103.48345392795409</v>
      </c>
      <c r="AK135" s="237">
        <f t="shared" si="37"/>
        <v>0.17333974978179773</v>
      </c>
      <c r="AL135" s="237">
        <f t="shared" si="37"/>
        <v>0.11892915357039931</v>
      </c>
      <c r="AM135" s="237">
        <f t="shared" si="37"/>
        <v>8.716369291538904E-3</v>
      </c>
      <c r="AN135" s="237">
        <f t="shared" si="37"/>
        <v>0.68542559840257611</v>
      </c>
      <c r="AO135" s="237">
        <f t="shared" si="37"/>
        <v>1.3589128953688009E-2</v>
      </c>
      <c r="AP135" s="237">
        <f t="shared" ref="AP135:AP198" si="42">SUM(AK135:AO135)</f>
        <v>1</v>
      </c>
      <c r="AQ135" s="237"/>
      <c r="AR135" s="237">
        <f t="shared" ref="AR135:AR198" si="43">AB135/SUM($AB135:$AD135)</f>
        <v>0.57590774544963519</v>
      </c>
      <c r="AS135" s="237">
        <f t="shared" ref="AS135:AS198" si="44">AC135/SUM($AB135:$AD135)</f>
        <v>0.39513280010604018</v>
      </c>
      <c r="AT135" s="237">
        <f t="shared" ref="AT135:AT198" si="45">AD135/SUM($AB135:$AD135)</f>
        <v>2.8959454444324642E-2</v>
      </c>
      <c r="AU135" s="237">
        <f t="shared" si="35"/>
        <v>0.98055959563958928</v>
      </c>
      <c r="AV135" s="237">
        <f t="shared" si="35"/>
        <v>1.9440404360410696E-2</v>
      </c>
      <c r="AX135" s="251">
        <f t="shared" si="39"/>
        <v>0</v>
      </c>
      <c r="AY135" s="251">
        <f t="shared" si="39"/>
        <v>0</v>
      </c>
      <c r="AZ135" s="251">
        <f t="shared" si="39"/>
        <v>0</v>
      </c>
      <c r="BA135" s="251">
        <f t="shared" si="40"/>
        <v>0</v>
      </c>
      <c r="BB135" s="251">
        <f t="shared" si="40"/>
        <v>0</v>
      </c>
      <c r="BC135" s="251">
        <f>SUM(AX135:BB135)</f>
        <v>0</v>
      </c>
      <c r="BD135" s="270" t="e">
        <f>(BC135*2204.622/1000000)/(U135/12)</f>
        <v>#DIV/0!</v>
      </c>
      <c r="BE135" s="251">
        <f>AX135+AY135+AZ135</f>
        <v>0</v>
      </c>
      <c r="BF135" s="251">
        <f>BA135+BB135</f>
        <v>0</v>
      </c>
      <c r="BG135" s="13"/>
    </row>
    <row r="136" spans="1:81">
      <c r="A136" s="11">
        <v>43770</v>
      </c>
      <c r="B136" s="268">
        <v>70</v>
      </c>
      <c r="C136" s="268">
        <v>13</v>
      </c>
      <c r="D136" s="268"/>
      <c r="E136" s="268">
        <v>3</v>
      </c>
      <c r="F136" s="269">
        <v>0.2</v>
      </c>
      <c r="G136" s="269">
        <v>1.32</v>
      </c>
      <c r="H136" s="269">
        <v>12</v>
      </c>
      <c r="I136" s="269">
        <v>5</v>
      </c>
      <c r="J136" s="269"/>
      <c r="K136" s="269">
        <v>1.32</v>
      </c>
      <c r="L136" s="269"/>
      <c r="M136" s="269">
        <f t="shared" si="34"/>
        <v>1.5</v>
      </c>
      <c r="N136" s="269">
        <v>45</v>
      </c>
      <c r="O136" s="269">
        <f t="shared" si="38"/>
        <v>17.699535849485258</v>
      </c>
      <c r="Q136" s="251">
        <f t="shared" ref="Q136:Q199" si="46">SUM(B136:O136)</f>
        <v>170.03953584948522</v>
      </c>
      <c r="R136" s="251">
        <f>'RD Plant List'!N4</f>
        <v>0</v>
      </c>
      <c r="S136" s="251">
        <f t="shared" si="36"/>
        <v>170.03953584948522</v>
      </c>
      <c r="AB136" s="251">
        <f>SUM('BD Feedstock'!C134,'BD Feedstock'!E134,'BD Feedstock'!G134,'BD Feedstock'!K134,'BD Feedstock'!T134)</f>
        <v>17.937796010427753</v>
      </c>
      <c r="AC136" s="251">
        <f>SUM('BD Feedstock'!D134,'BD Feedstock'!F134,'BD Feedstock'!H134,'BD Feedstock'!I134,'BD Feedstock'!L134,'BD Feedstock'!M134,'BD Feedstock'!N134,'BD Feedstock'!O134,'BD Feedstock'!U134)</f>
        <v>12.307199584192993</v>
      </c>
      <c r="AD136" s="251">
        <f>'BD Feedstock'!J134</f>
        <v>0.90199999999999991</v>
      </c>
      <c r="AE136" s="251">
        <f>SUM('BD Feedstock'!B134,'BD Feedstock'!P134,'BD Feedstock'!Q134,'BD Feedstock'!R134)</f>
        <v>70.93020833333334</v>
      </c>
      <c r="AF136" s="251">
        <f>'BD Feedstock'!S134</f>
        <v>1.40625</v>
      </c>
      <c r="AG136" s="251">
        <f t="shared" si="41"/>
        <v>103.48345392795409</v>
      </c>
      <c r="AK136" s="237">
        <f t="shared" si="37"/>
        <v>0.17333974978179773</v>
      </c>
      <c r="AL136" s="237">
        <f t="shared" si="37"/>
        <v>0.11892915357039931</v>
      </c>
      <c r="AM136" s="237">
        <f t="shared" si="37"/>
        <v>8.716369291538904E-3</v>
      </c>
      <c r="AN136" s="237">
        <f t="shared" si="37"/>
        <v>0.68542559840257611</v>
      </c>
      <c r="AO136" s="237">
        <f t="shared" si="37"/>
        <v>1.3589128953688009E-2</v>
      </c>
      <c r="AP136" s="237">
        <f t="shared" si="42"/>
        <v>1</v>
      </c>
      <c r="AQ136" s="237"/>
      <c r="AR136" s="237">
        <f t="shared" si="43"/>
        <v>0.57590774544963519</v>
      </c>
      <c r="AS136" s="237">
        <f t="shared" si="44"/>
        <v>0.39513280010604018</v>
      </c>
      <c r="AT136" s="237">
        <f t="shared" si="45"/>
        <v>2.8959454444324642E-2</v>
      </c>
      <c r="AU136" s="237">
        <f t="shared" si="35"/>
        <v>0.98055959563958928</v>
      </c>
      <c r="AV136" s="237">
        <f t="shared" si="35"/>
        <v>1.9440404360410696E-2</v>
      </c>
      <c r="AX136" s="251">
        <f t="shared" si="39"/>
        <v>0</v>
      </c>
      <c r="AY136" s="251">
        <f t="shared" si="39"/>
        <v>0</v>
      </c>
      <c r="AZ136" s="251">
        <f t="shared" si="39"/>
        <v>0</v>
      </c>
      <c r="BA136" s="251">
        <f t="shared" si="40"/>
        <v>0</v>
      </c>
      <c r="BB136" s="251">
        <f t="shared" si="40"/>
        <v>0</v>
      </c>
      <c r="BC136" s="251">
        <f>SUM(AX136:BB136)</f>
        <v>0</v>
      </c>
      <c r="BD136" s="270" t="e">
        <f>(BC136*2204.622/1000000)/(U136/12)</f>
        <v>#DIV/0!</v>
      </c>
      <c r="BE136" s="251">
        <f>AX136+AY136+AZ136</f>
        <v>0</v>
      </c>
      <c r="BF136" s="251">
        <f>BA136+BB136</f>
        <v>0</v>
      </c>
      <c r="BS136" s="264" t="s">
        <v>342</v>
      </c>
      <c r="BT136" s="264" t="s">
        <v>335</v>
      </c>
      <c r="BU136" s="264" t="s">
        <v>343</v>
      </c>
      <c r="BV136" s="264" t="s">
        <v>240</v>
      </c>
      <c r="BW136" s="264" t="s">
        <v>241</v>
      </c>
      <c r="BY136" s="264" t="s">
        <v>342</v>
      </c>
      <c r="BZ136" s="264" t="s">
        <v>335</v>
      </c>
      <c r="CA136" s="264" t="s">
        <v>343</v>
      </c>
      <c r="CB136" s="264" t="s">
        <v>240</v>
      </c>
      <c r="CC136" s="264" t="s">
        <v>241</v>
      </c>
    </row>
    <row r="137" spans="1:81">
      <c r="A137" s="11">
        <v>43800</v>
      </c>
      <c r="B137" s="268">
        <v>70</v>
      </c>
      <c r="C137" s="268">
        <v>13</v>
      </c>
      <c r="D137" s="268"/>
      <c r="E137" s="268">
        <v>3</v>
      </c>
      <c r="F137" s="269">
        <v>0.2</v>
      </c>
      <c r="G137" s="269">
        <v>1.32</v>
      </c>
      <c r="H137" s="269">
        <v>12</v>
      </c>
      <c r="I137" s="269">
        <v>5</v>
      </c>
      <c r="J137" s="269"/>
      <c r="K137" s="269">
        <v>1.32</v>
      </c>
      <c r="L137" s="269"/>
      <c r="M137" s="269">
        <f t="shared" si="34"/>
        <v>1.5</v>
      </c>
      <c r="N137" s="269">
        <v>45</v>
      </c>
      <c r="O137" s="269">
        <f t="shared" si="38"/>
        <v>17.699535849485258</v>
      </c>
      <c r="Q137" s="251">
        <f t="shared" si="46"/>
        <v>170.03953584948522</v>
      </c>
      <c r="R137" s="251">
        <f>'RD Plant List'!N5</f>
        <v>0</v>
      </c>
      <c r="S137" s="251">
        <f t="shared" si="36"/>
        <v>170.03953584948522</v>
      </c>
      <c r="AB137" s="251">
        <f>SUM('BD Feedstock'!C135,'BD Feedstock'!E135,'BD Feedstock'!G135,'BD Feedstock'!K135,'BD Feedstock'!T135)</f>
        <v>17.937796010427753</v>
      </c>
      <c r="AC137" s="251">
        <f>SUM('BD Feedstock'!D135,'BD Feedstock'!F135,'BD Feedstock'!H135,'BD Feedstock'!I135,'BD Feedstock'!L135,'BD Feedstock'!M135,'BD Feedstock'!N135,'BD Feedstock'!O135,'BD Feedstock'!U135)</f>
        <v>12.307199584192993</v>
      </c>
      <c r="AD137" s="251">
        <f>'BD Feedstock'!J135</f>
        <v>0.90199999999999991</v>
      </c>
      <c r="AE137" s="251">
        <f>SUM('BD Feedstock'!B135,'BD Feedstock'!P135,'BD Feedstock'!Q135,'BD Feedstock'!R135)</f>
        <v>70.93020833333334</v>
      </c>
      <c r="AF137" s="251">
        <f>'BD Feedstock'!S135</f>
        <v>1.40625</v>
      </c>
      <c r="AG137" s="251">
        <f t="shared" si="41"/>
        <v>103.48345392795409</v>
      </c>
      <c r="AK137" s="237">
        <f t="shared" si="37"/>
        <v>0.17333974978179773</v>
      </c>
      <c r="AL137" s="237">
        <f t="shared" si="37"/>
        <v>0.11892915357039931</v>
      </c>
      <c r="AM137" s="237">
        <f t="shared" si="37"/>
        <v>8.716369291538904E-3</v>
      </c>
      <c r="AN137" s="237">
        <f t="shared" si="37"/>
        <v>0.68542559840257611</v>
      </c>
      <c r="AO137" s="237">
        <f t="shared" si="37"/>
        <v>1.3589128953688009E-2</v>
      </c>
      <c r="AP137" s="237">
        <f t="shared" si="42"/>
        <v>1</v>
      </c>
      <c r="AQ137" s="237"/>
      <c r="AR137" s="237">
        <f t="shared" si="43"/>
        <v>0.57590774544963519</v>
      </c>
      <c r="AS137" s="237">
        <f t="shared" si="44"/>
        <v>0.39513280010604018</v>
      </c>
      <c r="AT137" s="237">
        <f t="shared" si="45"/>
        <v>2.8959454444324642E-2</v>
      </c>
      <c r="AU137" s="237">
        <f t="shared" si="35"/>
        <v>0.98055959563958928</v>
      </c>
      <c r="AV137" s="237">
        <f t="shared" si="35"/>
        <v>1.9440404360410696E-2</v>
      </c>
      <c r="AX137" s="251">
        <f>BG137*AR137</f>
        <v>0</v>
      </c>
      <c r="AY137" s="251">
        <f>BG137*AS137</f>
        <v>0</v>
      </c>
      <c r="AZ137" s="251">
        <f>BG137-SUM(AX137:AY137)</f>
        <v>0</v>
      </c>
      <c r="BA137" s="251">
        <f>BH137*AU137</f>
        <v>0</v>
      </c>
      <c r="BB137" s="251">
        <f>BH137-BA137</f>
        <v>0</v>
      </c>
      <c r="BC137" s="251">
        <f>SUM(AX137:BB137)</f>
        <v>0</v>
      </c>
      <c r="BD137" s="270" t="e">
        <f>(BC137*2204.622/1000000)/(U137/12)</f>
        <v>#DIV/0!</v>
      </c>
      <c r="BE137" s="251">
        <f>AX137+AY137+AZ137</f>
        <v>0</v>
      </c>
      <c r="BF137" s="251">
        <f>BA137+BB137</f>
        <v>0</v>
      </c>
    </row>
    <row r="138" spans="1:81">
      <c r="A138" s="11">
        <v>43831</v>
      </c>
      <c r="B138" s="268">
        <v>70</v>
      </c>
      <c r="C138" s="268">
        <v>13</v>
      </c>
      <c r="D138" s="268"/>
      <c r="E138" s="268">
        <v>3</v>
      </c>
      <c r="F138" s="269">
        <v>0.2</v>
      </c>
      <c r="G138" s="269">
        <v>1.32</v>
      </c>
      <c r="H138" s="269">
        <v>12</v>
      </c>
      <c r="I138" s="269">
        <v>5</v>
      </c>
      <c r="J138" s="269"/>
      <c r="K138" s="269">
        <v>1.32</v>
      </c>
      <c r="L138" s="269"/>
      <c r="M138" s="269">
        <f t="shared" si="34"/>
        <v>1.5</v>
      </c>
      <c r="N138" s="269">
        <v>45</v>
      </c>
      <c r="O138" s="269">
        <f t="shared" si="38"/>
        <v>17.699535849485258</v>
      </c>
      <c r="Q138" s="251">
        <f t="shared" si="46"/>
        <v>170.03953584948522</v>
      </c>
      <c r="R138" s="251">
        <f>'RD Plant List'!N6</f>
        <v>0</v>
      </c>
      <c r="S138" s="251">
        <f>SUM(B138:O138)+'RD Plant List'!N6</f>
        <v>170.03953584948522</v>
      </c>
      <c r="U138" s="251">
        <f>'Renewable Fuel Ex Ethanol'!I22*'Renewable Fuel Ex Ethanol'!$I$121*12/1000000</f>
        <v>122.4057275676</v>
      </c>
      <c r="V138" s="271">
        <f>U138/S138</f>
        <v>0.71986627672255299</v>
      </c>
      <c r="W138" s="251">
        <f t="shared" ref="W138:W202" si="47">U138/12</f>
        <v>10.200477297299999</v>
      </c>
      <c r="X138" s="272">
        <f>(BC138*2204.622)/(W138*1000000)</f>
        <v>8.043251834080035</v>
      </c>
      <c r="Y138" s="273">
        <f>X138-BP138</f>
        <v>9.1854951752893932E-2</v>
      </c>
      <c r="AB138" s="251">
        <f>SUM('BD Feedstock'!C136,'BD Feedstock'!E136,'BD Feedstock'!G136,'BD Feedstock'!K136,'BD Feedstock'!T136)</f>
        <v>17.937796010427753</v>
      </c>
      <c r="AC138" s="251">
        <f>SUM('BD Feedstock'!D136,'BD Feedstock'!F136,'BD Feedstock'!H136,'BD Feedstock'!I136,'BD Feedstock'!L136,'BD Feedstock'!M136,'BD Feedstock'!N136,'BD Feedstock'!O136,'BD Feedstock'!U136)</f>
        <v>12.307199584192993</v>
      </c>
      <c r="AD138" s="251">
        <f>'BD Feedstock'!J136</f>
        <v>0.90199999999999991</v>
      </c>
      <c r="AE138" s="251">
        <f>SUM('BD Feedstock'!B136,'BD Feedstock'!P136,'BD Feedstock'!Q136,'BD Feedstock'!R136)</f>
        <v>70.93020833333334</v>
      </c>
      <c r="AF138" s="251">
        <f>'BD Feedstock'!S136</f>
        <v>1.40625</v>
      </c>
      <c r="AG138" s="251">
        <f t="shared" si="41"/>
        <v>103.48345392795409</v>
      </c>
      <c r="AK138" s="237">
        <f t="shared" si="37"/>
        <v>0.17333974978179773</v>
      </c>
      <c r="AL138" s="237">
        <f t="shared" si="37"/>
        <v>0.11892915357039931</v>
      </c>
      <c r="AM138" s="237">
        <f t="shared" si="37"/>
        <v>8.716369291538904E-3</v>
      </c>
      <c r="AN138" s="237">
        <f t="shared" si="37"/>
        <v>0.68542559840257611</v>
      </c>
      <c r="AO138" s="237">
        <f t="shared" si="37"/>
        <v>1.3589128953688009E-2</v>
      </c>
      <c r="AP138" s="237">
        <f t="shared" si="42"/>
        <v>1</v>
      </c>
      <c r="AQ138" s="237"/>
      <c r="AR138" s="237">
        <f t="shared" si="43"/>
        <v>0.57590774544963519</v>
      </c>
      <c r="AS138" s="237">
        <f t="shared" si="44"/>
        <v>0.39513280010604018</v>
      </c>
      <c r="AT138" s="237">
        <f t="shared" si="45"/>
        <v>2.8959454444324642E-2</v>
      </c>
      <c r="AU138" s="237">
        <f>AE138/SUM($AE138:$AF138)</f>
        <v>0.98055959563958928</v>
      </c>
      <c r="AV138" s="237">
        <f t="shared" si="35"/>
        <v>1.9440404360410696E-2</v>
      </c>
      <c r="AX138" s="251">
        <f>BG138*AR138</f>
        <v>5316.2043982455825</v>
      </c>
      <c r="AY138" s="251">
        <f>BG138*AS138</f>
        <v>3647.4708777788569</v>
      </c>
      <c r="AZ138" s="251">
        <f>BG138-SUM(AX138:AY138)</f>
        <v>267.32472397556012</v>
      </c>
      <c r="BA138" s="251">
        <f>BH138*AU138</f>
        <v>27439.979724378267</v>
      </c>
      <c r="BB138" s="251">
        <f>BH138-BA138</f>
        <v>544.02027562173316</v>
      </c>
      <c r="BC138" s="251">
        <f t="shared" ref="BC138:BC149" si="48">SUM(AX138:BB138)</f>
        <v>37215</v>
      </c>
      <c r="BD138" s="270">
        <f>(BC138*2204.622/1000000)/(U138/12)</f>
        <v>8.0432518340800367</v>
      </c>
      <c r="BE138" s="251">
        <f>AX138+AY138+AZ138</f>
        <v>9231</v>
      </c>
      <c r="BF138" s="251">
        <f>BA138+BB138</f>
        <v>27984</v>
      </c>
      <c r="BG138" s="251">
        <f>Data!T3</f>
        <v>9231</v>
      </c>
      <c r="BH138" s="251">
        <f>Data!S3</f>
        <v>27984</v>
      </c>
      <c r="BI138" s="270">
        <f>((BH138+BG138)*2204.622/1000000)/(U138/12)</f>
        <v>8.0432518340800367</v>
      </c>
      <c r="BJ138" s="13">
        <v>1844.0566552184046</v>
      </c>
      <c r="BK138" s="13">
        <v>-3885.7439208196593</v>
      </c>
      <c r="BL138" s="13"/>
      <c r="BM138" s="13">
        <f t="shared" ref="BM138:BN182" si="49">BE138-BG138</f>
        <v>0</v>
      </c>
      <c r="BN138" s="13">
        <f>BF138-BH138</f>
        <v>0</v>
      </c>
      <c r="BO138" s="13"/>
      <c r="BP138" s="252">
        <f>'Total RD Feedstock'!B96</f>
        <v>7.951396882327141</v>
      </c>
      <c r="BQ138" s="252">
        <f t="shared" ref="BQ138:BQ161" si="50">BP138-BI138</f>
        <v>-9.1854951752895708E-2</v>
      </c>
      <c r="BS138" s="274">
        <f>AX138/$BC138</f>
        <v>0.14285111912523399</v>
      </c>
      <c r="BT138" s="274">
        <f>AY138/$BC138</f>
        <v>9.8010771940853336E-2</v>
      </c>
      <c r="BU138" s="274">
        <f>AZ138/$BC138</f>
        <v>7.1832520213774044E-3</v>
      </c>
      <c r="BV138" s="274">
        <f>BA138/$BC138</f>
        <v>0.73733655043338076</v>
      </c>
      <c r="BW138" s="274">
        <f>BB138/$BC138</f>
        <v>1.4618306479154458E-2</v>
      </c>
      <c r="BY138" s="252">
        <f>(AX138*2204.622)/($W138*1000000)</f>
        <v>1.148987525904424</v>
      </c>
      <c r="BZ138" s="252">
        <f>(AY138*2204.622)/($W138*1000000)</f>
        <v>0.78832532117286869</v>
      </c>
      <c r="CA138" s="252">
        <f>(AZ138*2204.622)/($W138*1000000)</f>
        <v>5.7776704995602939E-2</v>
      </c>
      <c r="CB138" s="252">
        <f>(BA138*2204.622)/($W138*1000000)</f>
        <v>5.9305835616075369</v>
      </c>
      <c r="CC138" s="252">
        <f>(BB138*2204.622)/($W138*1000000)</f>
        <v>0.11757872039960318</v>
      </c>
    </row>
    <row r="139" spans="1:81">
      <c r="A139" s="11">
        <v>43862</v>
      </c>
      <c r="B139" s="268">
        <v>70</v>
      </c>
      <c r="C139" s="268">
        <v>13</v>
      </c>
      <c r="D139" s="268"/>
      <c r="E139" s="268">
        <v>3</v>
      </c>
      <c r="F139" s="269">
        <v>0.2</v>
      </c>
      <c r="G139" s="269">
        <v>1.32</v>
      </c>
      <c r="H139" s="269">
        <v>12</v>
      </c>
      <c r="I139" s="269">
        <v>5</v>
      </c>
      <c r="J139" s="269"/>
      <c r="K139" s="269">
        <v>1.32</v>
      </c>
      <c r="L139" s="269"/>
      <c r="M139" s="269">
        <f t="shared" si="34"/>
        <v>1.5</v>
      </c>
      <c r="N139" s="269">
        <v>45</v>
      </c>
      <c r="O139" s="269">
        <f t="shared" si="38"/>
        <v>17.699535849485258</v>
      </c>
      <c r="Q139" s="251">
        <f t="shared" si="46"/>
        <v>170.03953584948522</v>
      </c>
      <c r="R139" s="251">
        <f>'RD Plant List'!N7</f>
        <v>0</v>
      </c>
      <c r="S139" s="251">
        <f>SUM(B139:O139)+'RD Plant List'!N7</f>
        <v>170.03953584948522</v>
      </c>
      <c r="U139" s="251">
        <f>'Renewable Fuel Ex Ethanol'!I23*'Renewable Fuel Ex Ethanol'!$I$121*12/1000000</f>
        <v>114.0779662872</v>
      </c>
      <c r="V139" s="271">
        <f t="shared" ref="V139:V174" si="51">U139/S139</f>
        <v>0.67089083557708007</v>
      </c>
      <c r="W139" s="251">
        <f t="shared" si="47"/>
        <v>9.5064971905999993</v>
      </c>
      <c r="X139" s="272">
        <f t="shared" ref="X139:X202" si="52">(BC139*2204.622)/(W139*1000000)</f>
        <v>7.9205472087503637</v>
      </c>
      <c r="Y139" s="273">
        <f t="shared" ref="Y139:Y202" si="53">X139-BP139</f>
        <v>-0.14355035200024702</v>
      </c>
      <c r="AB139" s="251">
        <f>SUM('BD Feedstock'!C137,'BD Feedstock'!E137,'BD Feedstock'!G137,'BD Feedstock'!K137,'BD Feedstock'!T137)</f>
        <v>17.937796010427753</v>
      </c>
      <c r="AC139" s="251">
        <f>SUM('BD Feedstock'!D137,'BD Feedstock'!F137,'BD Feedstock'!H137,'BD Feedstock'!I137,'BD Feedstock'!L137,'BD Feedstock'!M137,'BD Feedstock'!N137,'BD Feedstock'!O137,'BD Feedstock'!U137)</f>
        <v>12.307199584192993</v>
      </c>
      <c r="AD139" s="251">
        <f>'BD Feedstock'!J137</f>
        <v>0.90199999999999991</v>
      </c>
      <c r="AE139" s="251">
        <f>SUM('BD Feedstock'!B137,'BD Feedstock'!P137,'BD Feedstock'!Q137,'BD Feedstock'!R137)</f>
        <v>70.93020833333334</v>
      </c>
      <c r="AF139" s="251">
        <f>'BD Feedstock'!S137</f>
        <v>1.40625</v>
      </c>
      <c r="AG139" s="251">
        <f t="shared" si="41"/>
        <v>103.48345392795409</v>
      </c>
      <c r="AK139" s="237">
        <f t="shared" si="37"/>
        <v>0.17333974978179773</v>
      </c>
      <c r="AL139" s="237">
        <f t="shared" si="37"/>
        <v>0.11892915357039931</v>
      </c>
      <c r="AM139" s="237">
        <f t="shared" si="37"/>
        <v>8.716369291538904E-3</v>
      </c>
      <c r="AN139" s="237">
        <f t="shared" si="37"/>
        <v>0.68542559840257611</v>
      </c>
      <c r="AO139" s="237">
        <f t="shared" si="37"/>
        <v>1.3589128953688009E-2</v>
      </c>
      <c r="AP139" s="237">
        <f t="shared" si="42"/>
        <v>1</v>
      </c>
      <c r="AQ139" s="237"/>
      <c r="AR139" s="237">
        <f t="shared" si="43"/>
        <v>0.57590774544963519</v>
      </c>
      <c r="AS139" s="237">
        <f t="shared" si="44"/>
        <v>0.39513280010604018</v>
      </c>
      <c r="AT139" s="237">
        <f t="shared" si="45"/>
        <v>2.8959454444324642E-2</v>
      </c>
      <c r="AU139" s="237">
        <f t="shared" si="35"/>
        <v>0.98055959563958928</v>
      </c>
      <c r="AV139" s="237">
        <f t="shared" si="35"/>
        <v>1.9440404360410696E-2</v>
      </c>
      <c r="AX139" s="251">
        <f t="shared" ref="AX139:AX199" si="54">BG139*AR139</f>
        <v>4666.5804613783939</v>
      </c>
      <c r="AY139" s="251">
        <f t="shared" ref="AY139:AY199" si="55">BG139*AS139</f>
        <v>3201.7610792592436</v>
      </c>
      <c r="AZ139" s="251">
        <f t="shared" ref="AZ139:AZ199" si="56">BG139-SUM(AX139:AY139)</f>
        <v>234.65845936236292</v>
      </c>
      <c r="BA139" s="251">
        <f t="shared" ref="BA139:BA199" si="57">BH139*AU139</f>
        <v>25544.55802600694</v>
      </c>
      <c r="BB139" s="251">
        <f t="shared" ref="BB139:BB199" si="58">BH139-BA139</f>
        <v>506.44197399305995</v>
      </c>
      <c r="BC139" s="251">
        <f t="shared" si="48"/>
        <v>34154</v>
      </c>
      <c r="BD139" s="270">
        <f t="shared" ref="BD139:BD149" si="59">(BC139*2204.622/1000000)/(U139/12)</f>
        <v>7.9205472087503619</v>
      </c>
      <c r="BE139" s="251">
        <f t="shared" ref="BE139:BE149" si="60">AX139+AY139+AZ139</f>
        <v>8103</v>
      </c>
      <c r="BF139" s="251">
        <f t="shared" ref="BF139:BF149" si="61">BA139+BB139</f>
        <v>26051</v>
      </c>
      <c r="BG139" s="251">
        <f>Data!T4</f>
        <v>8103</v>
      </c>
      <c r="BH139" s="251">
        <f>Data!S4</f>
        <v>26051</v>
      </c>
      <c r="BI139" s="270">
        <f t="shared" ref="BI139:BI199" si="62">((BH139+BG139)*2204.622/1000000)/(U139/12)</f>
        <v>7.9205472087503619</v>
      </c>
      <c r="BJ139" s="13">
        <v>2218.5753449534986</v>
      </c>
      <c r="BK139" s="13">
        <v>-3592.2466458088275</v>
      </c>
      <c r="BL139" s="13"/>
      <c r="BM139" s="13">
        <f t="shared" si="49"/>
        <v>0</v>
      </c>
      <c r="BN139" s="13">
        <f t="shared" si="49"/>
        <v>0</v>
      </c>
      <c r="BO139" s="13"/>
      <c r="BP139" s="252">
        <f>'Total RD Feedstock'!B97</f>
        <v>8.0640975607506107</v>
      </c>
      <c r="BQ139" s="252">
        <f t="shared" si="50"/>
        <v>0.14355035200024879</v>
      </c>
      <c r="BS139" s="274">
        <f t="shared" ref="BS139:BW174" si="63">AX139/$BC139</f>
        <v>0.1366334971417226</v>
      </c>
      <c r="BT139" s="274">
        <f t="shared" si="63"/>
        <v>9.3744834551128531E-2</v>
      </c>
      <c r="BU139" s="274">
        <f t="shared" si="63"/>
        <v>6.8705996182691024E-3</v>
      </c>
      <c r="BV139" s="274">
        <f t="shared" si="63"/>
        <v>0.74792287948723257</v>
      </c>
      <c r="BW139" s="274">
        <f t="shared" si="63"/>
        <v>1.4828189201647243E-2</v>
      </c>
      <c r="BY139" s="252">
        <f t="shared" ref="BY139:CC174" si="64">(AX139*2204.622)/($W139*1000000)</f>
        <v>1.0822120644076718</v>
      </c>
      <c r="BZ139" s="252">
        <f t="shared" si="64"/>
        <v>0.74251038763870569</v>
      </c>
      <c r="CA139" s="252">
        <f t="shared" si="64"/>
        <v>5.4418908628922652E-2</v>
      </c>
      <c r="CB139" s="252">
        <f t="shared" si="64"/>
        <v>5.9239584754831345</v>
      </c>
      <c r="CC139" s="252">
        <f t="shared" si="64"/>
        <v>0.11744737259192936</v>
      </c>
    </row>
    <row r="140" spans="1:81">
      <c r="A140" s="11">
        <v>43891</v>
      </c>
      <c r="B140" s="268">
        <v>70</v>
      </c>
      <c r="C140" s="268">
        <v>13</v>
      </c>
      <c r="D140" s="268"/>
      <c r="E140" s="268">
        <v>3</v>
      </c>
      <c r="F140" s="269">
        <v>0.2</v>
      </c>
      <c r="G140" s="269">
        <v>1.32</v>
      </c>
      <c r="H140" s="269">
        <v>12</v>
      </c>
      <c r="I140" s="269">
        <v>5</v>
      </c>
      <c r="J140" s="269"/>
      <c r="K140" s="269">
        <v>1.32</v>
      </c>
      <c r="L140" s="269"/>
      <c r="M140" s="269">
        <f t="shared" si="34"/>
        <v>1.5</v>
      </c>
      <c r="N140" s="269">
        <v>45</v>
      </c>
      <c r="O140" s="269">
        <f t="shared" si="38"/>
        <v>17.699535849485258</v>
      </c>
      <c r="Q140" s="251">
        <f t="shared" si="46"/>
        <v>170.03953584948522</v>
      </c>
      <c r="R140" s="251">
        <f>'RD Plant List'!N8</f>
        <v>0</v>
      </c>
      <c r="S140" s="251">
        <f>SUM(B140:O140)+'RD Plant List'!N8</f>
        <v>170.03953584948522</v>
      </c>
      <c r="U140" s="251">
        <f>'Renewable Fuel Ex Ethanol'!I24*'Renewable Fuel Ex Ethanol'!$I$121*12/1000000</f>
        <v>102.9288469788</v>
      </c>
      <c r="V140" s="271">
        <f t="shared" si="51"/>
        <v>0.60532302952126416</v>
      </c>
      <c r="W140" s="251">
        <f t="shared" si="47"/>
        <v>8.5774039148999996</v>
      </c>
      <c r="X140" s="272">
        <f t="shared" si="52"/>
        <v>8.0585587727689347</v>
      </c>
      <c r="Y140" s="273">
        <f t="shared" si="53"/>
        <v>0.13622416194838038</v>
      </c>
      <c r="AB140" s="251">
        <f>SUM('BD Feedstock'!C138,'BD Feedstock'!E138,'BD Feedstock'!G138,'BD Feedstock'!K138,'BD Feedstock'!T138)</f>
        <v>17.937796010427753</v>
      </c>
      <c r="AC140" s="251">
        <f>SUM('BD Feedstock'!D138,'BD Feedstock'!F138,'BD Feedstock'!H138,'BD Feedstock'!I138,'BD Feedstock'!L138,'BD Feedstock'!M138,'BD Feedstock'!N138,'BD Feedstock'!O138,'BD Feedstock'!U138)</f>
        <v>12.307199584192993</v>
      </c>
      <c r="AD140" s="251">
        <f>'BD Feedstock'!J138</f>
        <v>0.90199999999999991</v>
      </c>
      <c r="AE140" s="251">
        <f>SUM('BD Feedstock'!B138,'BD Feedstock'!P138,'BD Feedstock'!Q138,'BD Feedstock'!R138)</f>
        <v>70.93020833333334</v>
      </c>
      <c r="AF140" s="251">
        <f>'BD Feedstock'!S138</f>
        <v>1.40625</v>
      </c>
      <c r="AG140" s="251">
        <f t="shared" si="41"/>
        <v>103.48345392795409</v>
      </c>
      <c r="AK140" s="237">
        <f t="shared" si="37"/>
        <v>0.17333974978179773</v>
      </c>
      <c r="AL140" s="237">
        <f t="shared" si="37"/>
        <v>0.11892915357039931</v>
      </c>
      <c r="AM140" s="237">
        <f t="shared" si="37"/>
        <v>8.716369291538904E-3</v>
      </c>
      <c r="AN140" s="237">
        <f t="shared" si="37"/>
        <v>0.68542559840257611</v>
      </c>
      <c r="AO140" s="237">
        <f t="shared" si="37"/>
        <v>1.3589128953688009E-2</v>
      </c>
      <c r="AP140" s="237">
        <f t="shared" si="42"/>
        <v>1</v>
      </c>
      <c r="AQ140" s="237"/>
      <c r="AR140" s="237">
        <f t="shared" si="43"/>
        <v>0.57590774544963519</v>
      </c>
      <c r="AS140" s="237">
        <f t="shared" si="44"/>
        <v>0.39513280010604018</v>
      </c>
      <c r="AT140" s="237">
        <f t="shared" si="45"/>
        <v>2.8959454444324642E-2</v>
      </c>
      <c r="AU140" s="237">
        <f t="shared" si="35"/>
        <v>0.98055959563958928</v>
      </c>
      <c r="AV140" s="237">
        <f t="shared" si="35"/>
        <v>1.9440404360410696E-2</v>
      </c>
      <c r="AX140" s="251">
        <f t="shared" si="54"/>
        <v>6021.6913864213857</v>
      </c>
      <c r="AY140" s="251">
        <f t="shared" si="55"/>
        <v>4131.5085579087563</v>
      </c>
      <c r="AZ140" s="251">
        <f t="shared" si="56"/>
        <v>302.8000556698571</v>
      </c>
      <c r="BA140" s="251">
        <f t="shared" si="57"/>
        <v>20490.753870080498</v>
      </c>
      <c r="BB140" s="251">
        <f t="shared" si="58"/>
        <v>406.24612991950198</v>
      </c>
      <c r="BC140" s="251">
        <f t="shared" si="48"/>
        <v>31353</v>
      </c>
      <c r="BD140" s="270">
        <f t="shared" si="59"/>
        <v>8.0585587727689347</v>
      </c>
      <c r="BE140" s="251">
        <f t="shared" si="60"/>
        <v>10456</v>
      </c>
      <c r="BF140" s="251">
        <f t="shared" si="61"/>
        <v>20897</v>
      </c>
      <c r="BG140" s="251">
        <f>Data!T5</f>
        <v>10456</v>
      </c>
      <c r="BH140" s="251">
        <f>Data!S5</f>
        <v>20897</v>
      </c>
      <c r="BI140" s="270">
        <f t="shared" si="62"/>
        <v>8.0585587727689347</v>
      </c>
      <c r="BJ140" s="13">
        <v>-1143.1775169428329</v>
      </c>
      <c r="BK140" s="13">
        <v>-633.19566894811578</v>
      </c>
      <c r="BL140" s="13"/>
      <c r="BM140" s="13">
        <f t="shared" si="49"/>
        <v>0</v>
      </c>
      <c r="BN140" s="13">
        <f t="shared" si="49"/>
        <v>0</v>
      </c>
      <c r="BO140" s="13"/>
      <c r="BP140" s="252">
        <f>'Total RD Feedstock'!B98</f>
        <v>7.9223346108205543</v>
      </c>
      <c r="BQ140" s="252">
        <f t="shared" si="50"/>
        <v>-0.13622416194838038</v>
      </c>
      <c r="BS140" s="274">
        <f t="shared" si="63"/>
        <v>0.19206109100951699</v>
      </c>
      <c r="BT140" s="274">
        <f t="shared" si="63"/>
        <v>0.13177394692401864</v>
      </c>
      <c r="BU140" s="274">
        <f t="shared" si="63"/>
        <v>9.6577697722660377E-3</v>
      </c>
      <c r="BV140" s="274">
        <f t="shared" si="63"/>
        <v>0.65355002296687714</v>
      </c>
      <c r="BW140" s="274">
        <f t="shared" si="63"/>
        <v>1.2957169327321213E-2</v>
      </c>
      <c r="BY140" s="252">
        <f t="shared" si="64"/>
        <v>1.547735589862316</v>
      </c>
      <c r="BZ140" s="252">
        <f t="shared" si="64"/>
        <v>1.0619080960069385</v>
      </c>
      <c r="CA140" s="252">
        <f t="shared" si="64"/>
        <v>7.7827705323677124E-2</v>
      </c>
      <c r="CB140" s="252">
        <f t="shared" si="64"/>
        <v>5.2666712710230659</v>
      </c>
      <c r="CC140" s="252">
        <f t="shared" si="64"/>
        <v>0.10441611055293692</v>
      </c>
    </row>
    <row r="141" spans="1:81">
      <c r="A141" s="11">
        <v>43922</v>
      </c>
      <c r="B141" s="268">
        <v>70</v>
      </c>
      <c r="C141" s="268">
        <v>13</v>
      </c>
      <c r="D141" s="268"/>
      <c r="E141" s="268">
        <v>3</v>
      </c>
      <c r="F141" s="269">
        <v>0.2</v>
      </c>
      <c r="G141" s="269">
        <v>1.32</v>
      </c>
      <c r="H141" s="269">
        <v>12</v>
      </c>
      <c r="I141" s="269">
        <v>5</v>
      </c>
      <c r="J141" s="269"/>
      <c r="K141" s="269">
        <v>1.32</v>
      </c>
      <c r="L141" s="269"/>
      <c r="M141" s="269">
        <f t="shared" si="34"/>
        <v>1.5</v>
      </c>
      <c r="N141" s="269">
        <v>45</v>
      </c>
      <c r="O141" s="269">
        <f t="shared" si="38"/>
        <v>17.699535849485258</v>
      </c>
      <c r="Q141" s="251">
        <f t="shared" si="46"/>
        <v>170.03953584948522</v>
      </c>
      <c r="R141" s="251">
        <f>'RD Plant List'!N9</f>
        <v>0</v>
      </c>
      <c r="S141" s="251">
        <f>SUM(B141:O141)+'RD Plant List'!N9</f>
        <v>170.03953584948522</v>
      </c>
      <c r="U141" s="251">
        <f>'Renewable Fuel Ex Ethanol'!I25*'Renewable Fuel Ex Ethanol'!$I$121*12/1000000</f>
        <v>111.79868940839999</v>
      </c>
      <c r="V141" s="271">
        <f t="shared" si="51"/>
        <v>0.65748644190231986</v>
      </c>
      <c r="W141" s="251">
        <f t="shared" si="47"/>
        <v>9.3165574506999995</v>
      </c>
      <c r="X141" s="272">
        <f t="shared" si="52"/>
        <v>8.2845854413961444</v>
      </c>
      <c r="Y141" s="273">
        <f t="shared" si="53"/>
        <v>-6.9097370719441997E-2</v>
      </c>
      <c r="AB141" s="251">
        <f>SUM('BD Feedstock'!C139,'BD Feedstock'!E139,'BD Feedstock'!G139,'BD Feedstock'!K139,'BD Feedstock'!T139)</f>
        <v>17.937796010427753</v>
      </c>
      <c r="AC141" s="251">
        <f>SUM('BD Feedstock'!D139,'BD Feedstock'!F139,'BD Feedstock'!H139,'BD Feedstock'!I139,'BD Feedstock'!L139,'BD Feedstock'!M139,'BD Feedstock'!N139,'BD Feedstock'!O139,'BD Feedstock'!U139)</f>
        <v>12.307199584192993</v>
      </c>
      <c r="AD141" s="251">
        <f>'BD Feedstock'!J139</f>
        <v>0.90199999999999991</v>
      </c>
      <c r="AE141" s="251">
        <f>SUM('BD Feedstock'!B139,'BD Feedstock'!P139,'BD Feedstock'!Q139,'BD Feedstock'!R139)</f>
        <v>70.93020833333334</v>
      </c>
      <c r="AF141" s="251">
        <f>'BD Feedstock'!S139</f>
        <v>1.40625</v>
      </c>
      <c r="AG141" s="251">
        <f t="shared" si="41"/>
        <v>103.48345392795409</v>
      </c>
      <c r="AK141" s="237">
        <f t="shared" si="37"/>
        <v>0.17333974978179773</v>
      </c>
      <c r="AL141" s="237">
        <f t="shared" si="37"/>
        <v>0.11892915357039931</v>
      </c>
      <c r="AM141" s="237">
        <f t="shared" si="37"/>
        <v>8.716369291538904E-3</v>
      </c>
      <c r="AN141" s="237">
        <f t="shared" si="37"/>
        <v>0.68542559840257611</v>
      </c>
      <c r="AO141" s="237">
        <f t="shared" si="37"/>
        <v>1.3589128953688009E-2</v>
      </c>
      <c r="AP141" s="237">
        <f t="shared" si="42"/>
        <v>1</v>
      </c>
      <c r="AQ141" s="237"/>
      <c r="AR141" s="237">
        <f t="shared" si="43"/>
        <v>0.57590774544963519</v>
      </c>
      <c r="AS141" s="237">
        <f t="shared" si="44"/>
        <v>0.39513280010604018</v>
      </c>
      <c r="AT141" s="237">
        <f t="shared" si="45"/>
        <v>2.8959454444324642E-2</v>
      </c>
      <c r="AU141" s="237">
        <f t="shared" si="35"/>
        <v>0.98055959563958928</v>
      </c>
      <c r="AV141" s="237">
        <f t="shared" si="35"/>
        <v>1.9440404360410696E-2</v>
      </c>
      <c r="AX141" s="251">
        <f t="shared" si="54"/>
        <v>4352.1348323628936</v>
      </c>
      <c r="AY141" s="251">
        <f t="shared" si="55"/>
        <v>2986.0185704013456</v>
      </c>
      <c r="AZ141" s="251">
        <f t="shared" si="56"/>
        <v>218.84659723576078</v>
      </c>
      <c r="BA141" s="251">
        <f t="shared" si="57"/>
        <v>26919.302579093644</v>
      </c>
      <c r="BB141" s="251">
        <f t="shared" si="58"/>
        <v>533.69742090635555</v>
      </c>
      <c r="BC141" s="251">
        <f t="shared" si="48"/>
        <v>35010</v>
      </c>
      <c r="BD141" s="270">
        <f t="shared" si="59"/>
        <v>8.2845854413961444</v>
      </c>
      <c r="BE141" s="251">
        <f t="shared" si="60"/>
        <v>7557</v>
      </c>
      <c r="BF141" s="251">
        <f t="shared" si="61"/>
        <v>27453</v>
      </c>
      <c r="BG141" s="251">
        <f>Data!T6</f>
        <v>7557</v>
      </c>
      <c r="BH141" s="251">
        <f>Data!S6</f>
        <v>27453</v>
      </c>
      <c r="BI141" s="270">
        <f t="shared" si="62"/>
        <v>8.2845854413961444</v>
      </c>
      <c r="BJ141" s="13">
        <v>2558.3503498714799</v>
      </c>
      <c r="BK141" s="13">
        <v>-5442.9723630784101</v>
      </c>
      <c r="BL141" s="13"/>
      <c r="BM141" s="13">
        <f t="shared" si="49"/>
        <v>0</v>
      </c>
      <c r="BN141" s="13">
        <f t="shared" si="49"/>
        <v>0</v>
      </c>
      <c r="BO141" s="13"/>
      <c r="BP141" s="252">
        <f>'Total RD Feedstock'!B99</f>
        <v>8.3536828121155864</v>
      </c>
      <c r="BQ141" s="252">
        <f t="shared" si="50"/>
        <v>6.9097370719441997E-2</v>
      </c>
      <c r="BS141" s="274">
        <f t="shared" si="63"/>
        <v>0.12431119201265049</v>
      </c>
      <c r="BT141" s="274">
        <f t="shared" si="63"/>
        <v>8.5290447597867622E-2</v>
      </c>
      <c r="BU141" s="274">
        <f t="shared" si="63"/>
        <v>6.2509739284707447E-3</v>
      </c>
      <c r="BV141" s="274">
        <f t="shared" si="63"/>
        <v>0.76890324419004985</v>
      </c>
      <c r="BW141" s="274">
        <f t="shared" si="63"/>
        <v>1.5244142270961313E-2</v>
      </c>
      <c r="BY141" s="252">
        <f t="shared" si="64"/>
        <v>1.0298666915506047</v>
      </c>
      <c r="BZ141" s="252">
        <f t="shared" si="64"/>
        <v>0.70659600045945492</v>
      </c>
      <c r="CA141" s="252">
        <f t="shared" si="64"/>
        <v>5.1786727602355594E-2</v>
      </c>
      <c r="CB141" s="252">
        <f t="shared" si="64"/>
        <v>6.3700446226591509</v>
      </c>
      <c r="CC141" s="252">
        <f t="shared" si="64"/>
        <v>0.12629139912457762</v>
      </c>
    </row>
    <row r="142" spans="1:81">
      <c r="A142" s="11">
        <v>43952</v>
      </c>
      <c r="B142" s="268">
        <v>70</v>
      </c>
      <c r="C142" s="268">
        <v>13</v>
      </c>
      <c r="D142" s="268"/>
      <c r="E142" s="268">
        <v>3</v>
      </c>
      <c r="F142" s="269">
        <v>0.2</v>
      </c>
      <c r="G142" s="269">
        <v>1.32</v>
      </c>
      <c r="H142" s="269">
        <v>12</v>
      </c>
      <c r="I142" s="269">
        <v>5</v>
      </c>
      <c r="J142" s="269"/>
      <c r="K142" s="269">
        <v>1.32</v>
      </c>
      <c r="L142" s="269"/>
      <c r="M142" s="269">
        <f t="shared" si="34"/>
        <v>1.5</v>
      </c>
      <c r="N142" s="269">
        <v>45</v>
      </c>
      <c r="O142" s="269">
        <f t="shared" si="38"/>
        <v>17.699535849485258</v>
      </c>
      <c r="Q142" s="251">
        <f t="shared" si="46"/>
        <v>170.03953584948522</v>
      </c>
      <c r="R142" s="251">
        <f>'RD Plant List'!N10</f>
        <v>0</v>
      </c>
      <c r="S142" s="251">
        <f>SUM(B142:O142)+'RD Plant List'!N10</f>
        <v>170.03953584948522</v>
      </c>
      <c r="U142" s="251">
        <f>'Renewable Fuel Ex Ethanol'!I26*'Renewable Fuel Ex Ethanol'!$I$121*12/1000000</f>
        <v>128.25449786159999</v>
      </c>
      <c r="V142" s="271">
        <f t="shared" si="51"/>
        <v>0.75426280847489313</v>
      </c>
      <c r="W142" s="251">
        <f t="shared" si="47"/>
        <v>10.687874821799999</v>
      </c>
      <c r="X142" s="272">
        <f t="shared" si="52"/>
        <v>7.8709722632990431</v>
      </c>
      <c r="Y142" s="273">
        <f t="shared" si="53"/>
        <v>-0.26506104508462869</v>
      </c>
      <c r="AB142" s="251">
        <f>SUM('BD Feedstock'!C140,'BD Feedstock'!E140,'BD Feedstock'!G140,'BD Feedstock'!K140,'BD Feedstock'!T140)</f>
        <v>17.937796010427753</v>
      </c>
      <c r="AC142" s="251">
        <f>SUM('BD Feedstock'!D140,'BD Feedstock'!F140,'BD Feedstock'!H140,'BD Feedstock'!I140,'BD Feedstock'!L140,'BD Feedstock'!M140,'BD Feedstock'!N140,'BD Feedstock'!O140,'BD Feedstock'!U140)</f>
        <v>12.307199584192993</v>
      </c>
      <c r="AD142" s="251">
        <f>'BD Feedstock'!J140</f>
        <v>0.90199999999999991</v>
      </c>
      <c r="AE142" s="251">
        <f>SUM('BD Feedstock'!B140,'BD Feedstock'!P140,'BD Feedstock'!Q140,'BD Feedstock'!R140)</f>
        <v>70.93020833333334</v>
      </c>
      <c r="AF142" s="251">
        <f>'BD Feedstock'!S140</f>
        <v>1.40625</v>
      </c>
      <c r="AG142" s="251">
        <f t="shared" si="41"/>
        <v>103.48345392795409</v>
      </c>
      <c r="AK142" s="237">
        <f t="shared" si="37"/>
        <v>0.17333974978179773</v>
      </c>
      <c r="AL142" s="237">
        <f t="shared" si="37"/>
        <v>0.11892915357039931</v>
      </c>
      <c r="AM142" s="237">
        <f t="shared" si="37"/>
        <v>8.716369291538904E-3</v>
      </c>
      <c r="AN142" s="237">
        <f t="shared" si="37"/>
        <v>0.68542559840257611</v>
      </c>
      <c r="AO142" s="237">
        <f t="shared" si="37"/>
        <v>1.3589128953688009E-2</v>
      </c>
      <c r="AP142" s="237">
        <f t="shared" si="42"/>
        <v>1</v>
      </c>
      <c r="AQ142" s="237"/>
      <c r="AR142" s="237">
        <f t="shared" si="43"/>
        <v>0.57590774544963519</v>
      </c>
      <c r="AS142" s="237">
        <f t="shared" si="44"/>
        <v>0.39513280010604018</v>
      </c>
      <c r="AT142" s="237">
        <f t="shared" si="45"/>
        <v>2.8959454444324642E-2</v>
      </c>
      <c r="AU142" s="237">
        <f t="shared" si="35"/>
        <v>0.98055959563958928</v>
      </c>
      <c r="AV142" s="237">
        <f t="shared" si="35"/>
        <v>1.9440404360410696E-2</v>
      </c>
      <c r="AX142" s="251">
        <f t="shared" si="54"/>
        <v>4487.4731525435573</v>
      </c>
      <c r="AY142" s="251">
        <f t="shared" si="55"/>
        <v>3078.874778426265</v>
      </c>
      <c r="AZ142" s="251">
        <f t="shared" si="56"/>
        <v>225.6520690301777</v>
      </c>
      <c r="BA142" s="251">
        <f t="shared" si="57"/>
        <v>29775.672681191769</v>
      </c>
      <c r="BB142" s="251">
        <f t="shared" si="58"/>
        <v>590.32731880823121</v>
      </c>
      <c r="BC142" s="251">
        <f t="shared" si="48"/>
        <v>38158</v>
      </c>
      <c r="BD142" s="270">
        <f t="shared" si="59"/>
        <v>7.8709722632990422</v>
      </c>
      <c r="BE142" s="251">
        <f t="shared" si="60"/>
        <v>7792</v>
      </c>
      <c r="BF142" s="251">
        <f t="shared" si="61"/>
        <v>30366</v>
      </c>
      <c r="BG142" s="251">
        <f>Data!T7</f>
        <v>7792</v>
      </c>
      <c r="BH142" s="251">
        <f>Data!S7</f>
        <v>30366</v>
      </c>
      <c r="BI142" s="270">
        <f t="shared" si="62"/>
        <v>7.8709722632990422</v>
      </c>
      <c r="BJ142" s="13">
        <v>3812.2431864093996</v>
      </c>
      <c r="BK142" s="13">
        <v>-5116.2850218455314</v>
      </c>
      <c r="BL142" s="13"/>
      <c r="BM142" s="13">
        <f t="shared" si="49"/>
        <v>0</v>
      </c>
      <c r="BN142" s="13">
        <f t="shared" si="49"/>
        <v>0</v>
      </c>
      <c r="BO142" s="13"/>
      <c r="BP142" s="252">
        <f>'Total RD Feedstock'!B100</f>
        <v>8.1360333083836718</v>
      </c>
      <c r="BQ142" s="252">
        <f t="shared" si="50"/>
        <v>0.26506104508462958</v>
      </c>
      <c r="BS142" s="274">
        <f t="shared" si="63"/>
        <v>0.1176024202668787</v>
      </c>
      <c r="BT142" s="274">
        <f t="shared" si="63"/>
        <v>8.0687530227639415E-2</v>
      </c>
      <c r="BU142" s="274">
        <f t="shared" si="63"/>
        <v>5.9136241163105429E-3</v>
      </c>
      <c r="BV142" s="274">
        <f t="shared" si="63"/>
        <v>0.78032582109103643</v>
      </c>
      <c r="BW142" s="274">
        <f t="shared" si="63"/>
        <v>1.5470604298134892E-2</v>
      </c>
      <c r="BY142" s="252">
        <f t="shared" si="64"/>
        <v>0.92564538801743945</v>
      </c>
      <c r="BZ142" s="252">
        <f t="shared" si="64"/>
        <v>0.63508931241585298</v>
      </c>
      <c r="CA142" s="252">
        <f t="shared" si="64"/>
        <v>4.6545971395056597E-2</v>
      </c>
      <c r="CB142" s="252">
        <f t="shared" si="64"/>
        <v>6.1419228941435993</v>
      </c>
      <c r="CC142" s="252">
        <f t="shared" si="64"/>
        <v>0.12176869732709471</v>
      </c>
    </row>
    <row r="143" spans="1:81">
      <c r="A143" s="11">
        <v>43983</v>
      </c>
      <c r="B143" s="268">
        <v>70</v>
      </c>
      <c r="C143" s="268">
        <v>13</v>
      </c>
      <c r="D143" s="268"/>
      <c r="E143" s="268">
        <v>3</v>
      </c>
      <c r="F143" s="269">
        <v>0.2</v>
      </c>
      <c r="G143" s="269">
        <v>1.32</v>
      </c>
      <c r="H143" s="269">
        <v>12</v>
      </c>
      <c r="I143" s="269">
        <v>5</v>
      </c>
      <c r="J143" s="269"/>
      <c r="K143" s="269">
        <v>1.32</v>
      </c>
      <c r="L143" s="269"/>
      <c r="M143" s="269">
        <f t="shared" si="34"/>
        <v>1.5</v>
      </c>
      <c r="N143" s="269">
        <v>45</v>
      </c>
      <c r="O143" s="269">
        <f t="shared" si="38"/>
        <v>17.699535849485258</v>
      </c>
      <c r="Q143" s="251">
        <f t="shared" si="46"/>
        <v>170.03953584948522</v>
      </c>
      <c r="R143" s="251">
        <f>'RD Plant List'!N11</f>
        <v>0</v>
      </c>
      <c r="S143" s="251">
        <f>SUM(B143:O143)+'RD Plant List'!N11</f>
        <v>170.03953584948522</v>
      </c>
      <c r="U143" s="251">
        <f>'Renewable Fuel Ex Ethanol'!I27*'Renewable Fuel Ex Ethanol'!$I$121*12/1000000</f>
        <v>119.0644788468</v>
      </c>
      <c r="V143" s="271">
        <f t="shared" si="51"/>
        <v>0.7002164423231132</v>
      </c>
      <c r="W143" s="251">
        <f t="shared" si="47"/>
        <v>9.9220399039</v>
      </c>
      <c r="X143" s="272">
        <f t="shared" si="52"/>
        <v>8.593147382373127</v>
      </c>
      <c r="Y143" s="273">
        <f t="shared" si="53"/>
        <v>0.28529764800556201</v>
      </c>
      <c r="AB143" s="251">
        <f>SUM('BD Feedstock'!C141,'BD Feedstock'!E141,'BD Feedstock'!G141,'BD Feedstock'!K141,'BD Feedstock'!T141)</f>
        <v>17.937796010427753</v>
      </c>
      <c r="AC143" s="251">
        <f>SUM('BD Feedstock'!D141,'BD Feedstock'!F141,'BD Feedstock'!H141,'BD Feedstock'!I141,'BD Feedstock'!L141,'BD Feedstock'!M141,'BD Feedstock'!N141,'BD Feedstock'!O141,'BD Feedstock'!U141)</f>
        <v>12.307199584192993</v>
      </c>
      <c r="AD143" s="251">
        <f>'BD Feedstock'!J141</f>
        <v>0.90199999999999991</v>
      </c>
      <c r="AE143" s="251">
        <f>SUM('BD Feedstock'!B141,'BD Feedstock'!P141,'BD Feedstock'!Q141,'BD Feedstock'!R141)</f>
        <v>70.93020833333334</v>
      </c>
      <c r="AF143" s="251">
        <f>'BD Feedstock'!S141</f>
        <v>1.40625</v>
      </c>
      <c r="AG143" s="251">
        <f t="shared" si="41"/>
        <v>103.48345392795409</v>
      </c>
      <c r="AK143" s="237">
        <f t="shared" si="37"/>
        <v>0.17333974978179773</v>
      </c>
      <c r="AL143" s="237">
        <f t="shared" si="37"/>
        <v>0.11892915357039931</v>
      </c>
      <c r="AM143" s="237">
        <f t="shared" si="37"/>
        <v>8.716369291538904E-3</v>
      </c>
      <c r="AN143" s="237">
        <f t="shared" si="37"/>
        <v>0.68542559840257611</v>
      </c>
      <c r="AO143" s="237">
        <f t="shared" si="37"/>
        <v>1.3589128953688009E-2</v>
      </c>
      <c r="AP143" s="237">
        <f t="shared" si="42"/>
        <v>1</v>
      </c>
      <c r="AQ143" s="237"/>
      <c r="AR143" s="237">
        <f t="shared" si="43"/>
        <v>0.57590774544963519</v>
      </c>
      <c r="AS143" s="237">
        <f t="shared" si="44"/>
        <v>0.39513280010604018</v>
      </c>
      <c r="AT143" s="237">
        <f t="shared" si="45"/>
        <v>2.8959454444324642E-2</v>
      </c>
      <c r="AU143" s="237">
        <f t="shared" si="35"/>
        <v>0.98055959563958928</v>
      </c>
      <c r="AV143" s="237">
        <f t="shared" si="35"/>
        <v>1.9440404360410696E-2</v>
      </c>
      <c r="AX143" s="251">
        <f t="shared" si="54"/>
        <v>6225.5627283105559</v>
      </c>
      <c r="AY143" s="251">
        <f t="shared" si="55"/>
        <v>4271.3855691462941</v>
      </c>
      <c r="AZ143" s="251">
        <f t="shared" si="56"/>
        <v>313.0517025431509</v>
      </c>
      <c r="BA143" s="251">
        <f t="shared" si="57"/>
        <v>27322.312572901516</v>
      </c>
      <c r="BB143" s="251">
        <f t="shared" si="58"/>
        <v>541.68742709848448</v>
      </c>
      <c r="BC143" s="251">
        <f t="shared" si="48"/>
        <v>38674</v>
      </c>
      <c r="BD143" s="270">
        <f t="shared" si="59"/>
        <v>8.593147382373127</v>
      </c>
      <c r="BE143" s="251">
        <f t="shared" si="60"/>
        <v>10810</v>
      </c>
      <c r="BF143" s="251">
        <f t="shared" si="61"/>
        <v>27864</v>
      </c>
      <c r="BG143" s="251">
        <f>Data!T8</f>
        <v>10810</v>
      </c>
      <c r="BH143" s="251">
        <f>Data!S8</f>
        <v>27864</v>
      </c>
      <c r="BI143" s="270">
        <f t="shared" si="62"/>
        <v>8.593147382373127</v>
      </c>
      <c r="BJ143" s="13">
        <v>-37.253699185557707</v>
      </c>
      <c r="BK143" s="13">
        <v>-4423.542121100807</v>
      </c>
      <c r="BL143" s="13"/>
      <c r="BM143" s="13">
        <f t="shared" si="49"/>
        <v>0</v>
      </c>
      <c r="BN143" s="13">
        <f t="shared" si="49"/>
        <v>0</v>
      </c>
      <c r="BO143" s="13"/>
      <c r="BP143" s="252">
        <f>'Total RD Feedstock'!B101</f>
        <v>8.307849734367565</v>
      </c>
      <c r="BQ143" s="252">
        <f t="shared" si="50"/>
        <v>-0.28529764800556201</v>
      </c>
      <c r="BS143" s="274">
        <f t="shared" si="63"/>
        <v>0.16097540281094677</v>
      </c>
      <c r="BT143" s="274">
        <f t="shared" si="63"/>
        <v>0.11044592152728691</v>
      </c>
      <c r="BU143" s="274">
        <f t="shared" si="63"/>
        <v>8.0946295325839291E-3</v>
      </c>
      <c r="BV143" s="274">
        <f t="shared" si="63"/>
        <v>0.70647754493720627</v>
      </c>
      <c r="BW143" s="274">
        <f t="shared" si="63"/>
        <v>1.400650119197612E-2</v>
      </c>
      <c r="BY143" s="252">
        <f t="shared" si="64"/>
        <v>1.3832853612913472</v>
      </c>
      <c r="BZ143" s="252">
        <f t="shared" si="64"/>
        <v>0.94907808146599326</v>
      </c>
      <c r="CA143" s="252">
        <f t="shared" si="64"/>
        <v>6.9558344579203804E-2</v>
      </c>
      <c r="CB143" s="252">
        <f t="shared" si="64"/>
        <v>6.0708656659825477</v>
      </c>
      <c r="CC143" s="252">
        <f t="shared" si="64"/>
        <v>0.12035992905403567</v>
      </c>
    </row>
    <row r="144" spans="1:81">
      <c r="A144" s="11">
        <v>44013</v>
      </c>
      <c r="B144" s="268">
        <v>70</v>
      </c>
      <c r="C144" s="268">
        <v>13</v>
      </c>
      <c r="D144" s="268"/>
      <c r="E144" s="268">
        <v>3</v>
      </c>
      <c r="F144" s="269">
        <v>0.2</v>
      </c>
      <c r="G144" s="269">
        <v>1.32</v>
      </c>
      <c r="H144" s="269">
        <v>12</v>
      </c>
      <c r="I144" s="269">
        <v>5</v>
      </c>
      <c r="J144" s="269"/>
      <c r="K144" s="269">
        <v>1.32</v>
      </c>
      <c r="L144" s="269"/>
      <c r="M144" s="269">
        <f t="shared" si="34"/>
        <v>1.5</v>
      </c>
      <c r="N144" s="269">
        <v>45</v>
      </c>
      <c r="O144" s="269">
        <f t="shared" si="38"/>
        <v>17.699535849485258</v>
      </c>
      <c r="Q144" s="251">
        <f t="shared" si="46"/>
        <v>170.03953584948522</v>
      </c>
      <c r="R144" s="251">
        <f>'RD Plant List'!N12</f>
        <v>0</v>
      </c>
      <c r="S144" s="251">
        <f>SUM(B144:O144)+'RD Plant List'!N12</f>
        <v>170.03953584948522</v>
      </c>
      <c r="U144" s="251">
        <f>'Renewable Fuel Ex Ethanol'!I28*'Renewable Fuel Ex Ethanol'!$I$121*12/1000000</f>
        <v>147.53483440799999</v>
      </c>
      <c r="V144" s="271">
        <f t="shared" si="51"/>
        <v>0.86765018306445019</v>
      </c>
      <c r="W144" s="251">
        <f t="shared" si="47"/>
        <v>12.294569533999999</v>
      </c>
      <c r="X144" s="272">
        <f t="shared" si="52"/>
        <v>9.0621295610137143</v>
      </c>
      <c r="Y144" s="273">
        <f t="shared" si="53"/>
        <v>0.28045136500832157</v>
      </c>
      <c r="AB144" s="251">
        <f>SUM('BD Feedstock'!C142,'BD Feedstock'!E142,'BD Feedstock'!G142,'BD Feedstock'!K142,'BD Feedstock'!T142)</f>
        <v>17.937796010427753</v>
      </c>
      <c r="AC144" s="251">
        <f>SUM('BD Feedstock'!D142,'BD Feedstock'!F142,'BD Feedstock'!H142,'BD Feedstock'!I142,'BD Feedstock'!L142,'BD Feedstock'!M142,'BD Feedstock'!N142,'BD Feedstock'!O142,'BD Feedstock'!U142)</f>
        <v>12.307199584192993</v>
      </c>
      <c r="AD144" s="251">
        <f>'BD Feedstock'!J142</f>
        <v>0.90199999999999991</v>
      </c>
      <c r="AE144" s="251">
        <f>SUM('BD Feedstock'!B142,'BD Feedstock'!P142,'BD Feedstock'!Q142,'BD Feedstock'!R142)</f>
        <v>70.93020833333334</v>
      </c>
      <c r="AF144" s="251">
        <f>'BD Feedstock'!S142</f>
        <v>1.40625</v>
      </c>
      <c r="AG144" s="251">
        <f t="shared" si="41"/>
        <v>103.48345392795409</v>
      </c>
      <c r="AK144" s="237">
        <f t="shared" si="37"/>
        <v>0.17333974978179773</v>
      </c>
      <c r="AL144" s="237">
        <f t="shared" si="37"/>
        <v>0.11892915357039931</v>
      </c>
      <c r="AM144" s="237">
        <f t="shared" si="37"/>
        <v>8.716369291538904E-3</v>
      </c>
      <c r="AN144" s="237">
        <f t="shared" si="37"/>
        <v>0.68542559840257611</v>
      </c>
      <c r="AO144" s="237">
        <f t="shared" si="37"/>
        <v>1.3589128953688009E-2</v>
      </c>
      <c r="AP144" s="237">
        <f t="shared" si="42"/>
        <v>1</v>
      </c>
      <c r="AQ144" s="237"/>
      <c r="AR144" s="237">
        <f t="shared" si="43"/>
        <v>0.57590774544963519</v>
      </c>
      <c r="AS144" s="237">
        <f t="shared" si="44"/>
        <v>0.39513280010604018</v>
      </c>
      <c r="AT144" s="237">
        <f t="shared" si="45"/>
        <v>2.8959454444324642E-2</v>
      </c>
      <c r="AU144" s="237">
        <f t="shared" si="35"/>
        <v>0.98055959563958928</v>
      </c>
      <c r="AV144" s="237">
        <f t="shared" si="35"/>
        <v>1.9440404360410696E-2</v>
      </c>
      <c r="AX144" s="251">
        <f t="shared" si="54"/>
        <v>8818.2993983248143</v>
      </c>
      <c r="AY144" s="251">
        <f t="shared" si="55"/>
        <v>6050.2734352236876</v>
      </c>
      <c r="AZ144" s="251">
        <f t="shared" si="56"/>
        <v>443.42716645149812</v>
      </c>
      <c r="BA144" s="251">
        <f t="shared" si="57"/>
        <v>34540.211756404533</v>
      </c>
      <c r="BB144" s="251">
        <f t="shared" si="58"/>
        <v>684.78824359546707</v>
      </c>
      <c r="BC144" s="251">
        <f t="shared" si="48"/>
        <v>50537</v>
      </c>
      <c r="BD144" s="270">
        <f t="shared" si="59"/>
        <v>9.0621295610137143</v>
      </c>
      <c r="BE144" s="251">
        <f t="shared" si="60"/>
        <v>15312</v>
      </c>
      <c r="BF144" s="251">
        <f t="shared" si="61"/>
        <v>35225</v>
      </c>
      <c r="BG144" s="251">
        <f>Data!T9</f>
        <v>15312</v>
      </c>
      <c r="BH144" s="251">
        <f>Data!S9</f>
        <v>35225</v>
      </c>
      <c r="BI144" s="270">
        <f t="shared" si="62"/>
        <v>9.0621295610137143</v>
      </c>
      <c r="BJ144" s="13">
        <v>-1963.3056034531255</v>
      </c>
      <c r="BK144" s="13">
        <v>-6179.5272854983232</v>
      </c>
      <c r="BL144" s="13"/>
      <c r="BM144" s="13">
        <f t="shared" si="49"/>
        <v>0</v>
      </c>
      <c r="BN144" s="13">
        <f t="shared" si="49"/>
        <v>0</v>
      </c>
      <c r="BO144" s="13"/>
      <c r="BP144" s="252">
        <f>'Total RD Feedstock'!B102</f>
        <v>8.7816781960053927</v>
      </c>
      <c r="BQ144" s="252">
        <f t="shared" si="50"/>
        <v>-0.28045136500832157</v>
      </c>
      <c r="BS144" s="274">
        <f t="shared" si="63"/>
        <v>0.17449194448275154</v>
      </c>
      <c r="BT144" s="274">
        <f t="shared" si="63"/>
        <v>0.11971967934827329</v>
      </c>
      <c r="BU144" s="274">
        <f t="shared" si="63"/>
        <v>8.7743072689613188E-3</v>
      </c>
      <c r="BV144" s="274">
        <f t="shared" si="63"/>
        <v>0.68346383355570239</v>
      </c>
      <c r="BW144" s="274">
        <f t="shared" si="63"/>
        <v>1.3550235344311436E-2</v>
      </c>
      <c r="BY144" s="252">
        <f t="shared" si="64"/>
        <v>1.5812686082559066</v>
      </c>
      <c r="BZ144" s="252">
        <f t="shared" si="64"/>
        <v>1.0849152452570705</v>
      </c>
      <c r="CA144" s="252">
        <f t="shared" si="64"/>
        <v>7.951390927947187E-2</v>
      </c>
      <c r="CB144" s="252">
        <f t="shared" si="64"/>
        <v>6.1936378099488882</v>
      </c>
      <c r="CC144" s="252">
        <f t="shared" si="64"/>
        <v>0.12279398827237752</v>
      </c>
    </row>
    <row r="145" spans="1:81">
      <c r="A145" s="11">
        <v>44044</v>
      </c>
      <c r="B145" s="268">
        <v>70</v>
      </c>
      <c r="C145" s="268">
        <v>13</v>
      </c>
      <c r="D145" s="268"/>
      <c r="E145" s="268">
        <v>3</v>
      </c>
      <c r="F145" s="269">
        <v>0.2</v>
      </c>
      <c r="G145" s="269">
        <v>1.32</v>
      </c>
      <c r="H145" s="269">
        <v>12</v>
      </c>
      <c r="I145" s="269">
        <v>5</v>
      </c>
      <c r="J145" s="269"/>
      <c r="K145" s="269"/>
      <c r="L145" s="269"/>
      <c r="M145" s="269">
        <f t="shared" si="34"/>
        <v>1.5</v>
      </c>
      <c r="N145" s="269">
        <v>45</v>
      </c>
      <c r="O145" s="269">
        <f t="shared" si="38"/>
        <v>17.699535849485258</v>
      </c>
      <c r="Q145" s="251">
        <f t="shared" si="46"/>
        <v>168.71953584948523</v>
      </c>
      <c r="R145" s="251">
        <f>'RD Plant List'!N13</f>
        <v>0</v>
      </c>
      <c r="S145" s="251">
        <f>SUM(B145:O145)+'RD Plant List'!N13</f>
        <v>168.71953584948523</v>
      </c>
      <c r="U145" s="251">
        <f>'Renewable Fuel Ex Ethanol'!I29*'Renewable Fuel Ex Ethanol'!$I$121*12/1000000</f>
        <v>118.95986669519999</v>
      </c>
      <c r="V145" s="271">
        <f t="shared" si="51"/>
        <v>0.70507464412019327</v>
      </c>
      <c r="W145" s="251">
        <f t="shared" si="47"/>
        <v>9.9133222245999999</v>
      </c>
      <c r="X145" s="272">
        <f t="shared" si="52"/>
        <v>8.3674171857504582</v>
      </c>
      <c r="Y145" s="273">
        <f t="shared" si="53"/>
        <v>0.39451955049890586</v>
      </c>
      <c r="AB145" s="251">
        <f>SUM('BD Feedstock'!C143,'BD Feedstock'!E143,'BD Feedstock'!G143,'BD Feedstock'!K143,'BD Feedstock'!T143)</f>
        <v>17.937796010427753</v>
      </c>
      <c r="AC145" s="251">
        <f>SUM('BD Feedstock'!D143,'BD Feedstock'!F143,'BD Feedstock'!H143,'BD Feedstock'!I143,'BD Feedstock'!L143,'BD Feedstock'!M143,'BD Feedstock'!N143,'BD Feedstock'!O143,'BD Feedstock'!U143)</f>
        <v>11.401899584192993</v>
      </c>
      <c r="AD145" s="251">
        <f>'BD Feedstock'!J143</f>
        <v>0.90199999999999991</v>
      </c>
      <c r="AE145" s="251">
        <f>SUM('BD Feedstock'!B143,'BD Feedstock'!P143,'BD Feedstock'!Q143,'BD Feedstock'!R143)</f>
        <v>70.93020833333334</v>
      </c>
      <c r="AF145" s="251">
        <f>'BD Feedstock'!S143</f>
        <v>1.40625</v>
      </c>
      <c r="AG145" s="251">
        <f t="shared" si="41"/>
        <v>102.57815392795409</v>
      </c>
      <c r="AK145" s="237">
        <f t="shared" si="37"/>
        <v>0.17486955383332781</v>
      </c>
      <c r="AL145" s="237">
        <f t="shared" si="37"/>
        <v>0.11115329285610982</v>
      </c>
      <c r="AM145" s="237">
        <f t="shared" si="37"/>
        <v>8.7932953115292065E-3</v>
      </c>
      <c r="AN145" s="237">
        <f t="shared" si="37"/>
        <v>0.69147479865109751</v>
      </c>
      <c r="AO145" s="237">
        <f t="shared" si="37"/>
        <v>1.370905934793564E-2</v>
      </c>
      <c r="AP145" s="237">
        <f t="shared" si="42"/>
        <v>1</v>
      </c>
      <c r="AQ145" s="237"/>
      <c r="AR145" s="237">
        <f t="shared" si="43"/>
        <v>0.59314782646044639</v>
      </c>
      <c r="AS145" s="237">
        <f t="shared" si="44"/>
        <v>0.3770258036133764</v>
      </c>
      <c r="AT145" s="237">
        <f t="shared" si="45"/>
        <v>2.9826369926177137E-2</v>
      </c>
      <c r="AU145" s="237">
        <f t="shared" si="35"/>
        <v>0.98055959563958928</v>
      </c>
      <c r="AV145" s="237">
        <f t="shared" si="35"/>
        <v>1.9440404360410696E-2</v>
      </c>
      <c r="AX145" s="251">
        <f t="shared" si="54"/>
        <v>8312.3736400166963</v>
      </c>
      <c r="AY145" s="251">
        <f t="shared" si="55"/>
        <v>5283.639611837857</v>
      </c>
      <c r="AZ145" s="251">
        <f t="shared" si="56"/>
        <v>417.98674814544574</v>
      </c>
      <c r="BA145" s="251">
        <f t="shared" si="57"/>
        <v>23151.992612646343</v>
      </c>
      <c r="BB145" s="251">
        <f t="shared" si="58"/>
        <v>459.00738735365667</v>
      </c>
      <c r="BC145" s="251">
        <f t="shared" si="48"/>
        <v>37625</v>
      </c>
      <c r="BD145" s="270">
        <f t="shared" si="59"/>
        <v>8.3674171857504582</v>
      </c>
      <c r="BE145" s="251">
        <f t="shared" si="60"/>
        <v>14014</v>
      </c>
      <c r="BF145" s="251">
        <f t="shared" si="61"/>
        <v>23611</v>
      </c>
      <c r="BG145" s="251">
        <f>Data!T10</f>
        <v>14014</v>
      </c>
      <c r="BH145" s="251">
        <f>Data!S10</f>
        <v>23611</v>
      </c>
      <c r="BI145" s="270">
        <f t="shared" si="62"/>
        <v>8.3674171857504582</v>
      </c>
      <c r="BJ145" s="13">
        <v>-3482.3326526505043</v>
      </c>
      <c r="BK145" s="13">
        <v>15.553878633825661</v>
      </c>
      <c r="BL145" s="13"/>
      <c r="BM145" s="13">
        <f t="shared" si="49"/>
        <v>0</v>
      </c>
      <c r="BN145" s="13">
        <f t="shared" si="49"/>
        <v>0</v>
      </c>
      <c r="BO145" s="13"/>
      <c r="BP145" s="252">
        <f>'Total RD Feedstock'!B103</f>
        <v>7.9728976352515524</v>
      </c>
      <c r="BQ145" s="252">
        <f t="shared" si="50"/>
        <v>-0.39451955049890586</v>
      </c>
      <c r="BS145" s="274">
        <f t="shared" si="63"/>
        <v>0.22092687415326767</v>
      </c>
      <c r="BT145" s="274">
        <f t="shared" si="63"/>
        <v>0.14042895978306597</v>
      </c>
      <c r="BU145" s="274">
        <f t="shared" si="63"/>
        <v>1.11092823427361E-2</v>
      </c>
      <c r="BV145" s="274">
        <f t="shared" si="63"/>
        <v>0.61533535183113208</v>
      </c>
      <c r="BW145" s="274">
        <f t="shared" si="63"/>
        <v>1.2199531889798184E-2</v>
      </c>
      <c r="BY145" s="252">
        <f t="shared" si="64"/>
        <v>1.8485873235841805</v>
      </c>
      <c r="BZ145" s="252">
        <f t="shared" si="64"/>
        <v>1.1750276914658859</v>
      </c>
      <c r="CA145" s="252">
        <f t="shared" si="64"/>
        <v>9.2955999995964142E-2</v>
      </c>
      <c r="CB145" s="252">
        <f t="shared" si="64"/>
        <v>5.1487675979116183</v>
      </c>
      <c r="CC145" s="252">
        <f t="shared" si="64"/>
        <v>0.10207857279280808</v>
      </c>
    </row>
    <row r="146" spans="1:81">
      <c r="A146" s="11">
        <v>44075</v>
      </c>
      <c r="B146" s="268">
        <v>70</v>
      </c>
      <c r="C146" s="268">
        <v>13</v>
      </c>
      <c r="D146" s="268"/>
      <c r="E146" s="268">
        <v>3</v>
      </c>
      <c r="F146" s="269">
        <v>0.2</v>
      </c>
      <c r="G146" s="269">
        <v>1.32</v>
      </c>
      <c r="H146" s="269">
        <v>12</v>
      </c>
      <c r="I146" s="269">
        <v>5</v>
      </c>
      <c r="J146" s="269"/>
      <c r="K146" s="269"/>
      <c r="L146" s="269"/>
      <c r="M146" s="269">
        <f t="shared" si="34"/>
        <v>1.5</v>
      </c>
      <c r="N146" s="269">
        <v>45</v>
      </c>
      <c r="O146" s="269">
        <f t="shared" si="38"/>
        <v>17.699535849485258</v>
      </c>
      <c r="Q146" s="251">
        <f t="shared" si="46"/>
        <v>168.71953584948523</v>
      </c>
      <c r="R146" s="251">
        <f>'RD Plant List'!N14</f>
        <v>0</v>
      </c>
      <c r="S146" s="251">
        <f>SUM(B146:O146)+'RD Plant List'!N14</f>
        <v>168.71953584948523</v>
      </c>
      <c r="U146" s="251">
        <f>'Renewable Fuel Ex Ethanol'!I30*'Renewable Fuel Ex Ethanol'!$I$121*12/1000000</f>
        <v>113.18083783560002</v>
      </c>
      <c r="V146" s="271">
        <f t="shared" si="51"/>
        <v>0.67082236366847703</v>
      </c>
      <c r="W146" s="251">
        <f t="shared" si="47"/>
        <v>9.4317364863000019</v>
      </c>
      <c r="X146" s="272">
        <f t="shared" si="52"/>
        <v>8.7546882281899201</v>
      </c>
      <c r="Y146" s="273">
        <f t="shared" si="53"/>
        <v>-3.7399212807990523E-2</v>
      </c>
      <c r="AB146" s="251">
        <f>SUM('BD Feedstock'!C144,'BD Feedstock'!E144,'BD Feedstock'!G144,'BD Feedstock'!K144,'BD Feedstock'!T144)</f>
        <v>17.937796010427753</v>
      </c>
      <c r="AC146" s="251">
        <f>SUM('BD Feedstock'!D144,'BD Feedstock'!F144,'BD Feedstock'!H144,'BD Feedstock'!I144,'BD Feedstock'!L144,'BD Feedstock'!M144,'BD Feedstock'!N144,'BD Feedstock'!O144,'BD Feedstock'!U144)</f>
        <v>11.401899584192993</v>
      </c>
      <c r="AD146" s="251">
        <f>'BD Feedstock'!J144</f>
        <v>0.90199999999999991</v>
      </c>
      <c r="AE146" s="251">
        <f>SUM('BD Feedstock'!B144,'BD Feedstock'!P144,'BD Feedstock'!Q144,'BD Feedstock'!R144)</f>
        <v>70.93020833333334</v>
      </c>
      <c r="AF146" s="251">
        <f>'BD Feedstock'!S144</f>
        <v>1.40625</v>
      </c>
      <c r="AG146" s="251">
        <f t="shared" si="41"/>
        <v>102.57815392795409</v>
      </c>
      <c r="AK146" s="237">
        <f t="shared" si="37"/>
        <v>0.17486955383332781</v>
      </c>
      <c r="AL146" s="237">
        <f t="shared" si="37"/>
        <v>0.11115329285610982</v>
      </c>
      <c r="AM146" s="237">
        <f t="shared" si="37"/>
        <v>8.7932953115292065E-3</v>
      </c>
      <c r="AN146" s="237">
        <f t="shared" si="37"/>
        <v>0.69147479865109751</v>
      </c>
      <c r="AO146" s="237">
        <f t="shared" si="37"/>
        <v>1.370905934793564E-2</v>
      </c>
      <c r="AP146" s="237">
        <f t="shared" si="42"/>
        <v>1</v>
      </c>
      <c r="AQ146" s="237"/>
      <c r="AR146" s="237">
        <f t="shared" si="43"/>
        <v>0.59314782646044639</v>
      </c>
      <c r="AS146" s="237">
        <f t="shared" si="44"/>
        <v>0.3770258036133764</v>
      </c>
      <c r="AT146" s="237">
        <f t="shared" si="45"/>
        <v>2.9826369926177137E-2</v>
      </c>
      <c r="AU146" s="237">
        <f t="shared" si="35"/>
        <v>0.98055959563958928</v>
      </c>
      <c r="AV146" s="237">
        <f t="shared" si="35"/>
        <v>1.9440404360410696E-2</v>
      </c>
      <c r="AX146" s="251">
        <f t="shared" si="54"/>
        <v>6562.5875519583788</v>
      </c>
      <c r="AY146" s="251">
        <f t="shared" si="55"/>
        <v>4171.4134911783967</v>
      </c>
      <c r="AZ146" s="251">
        <f t="shared" si="56"/>
        <v>329.99895686322452</v>
      </c>
      <c r="BA146" s="251">
        <f t="shared" si="57"/>
        <v>25876.967728928761</v>
      </c>
      <c r="BB146" s="251">
        <f t="shared" si="58"/>
        <v>513.03227107123894</v>
      </c>
      <c r="BC146" s="251">
        <f t="shared" si="48"/>
        <v>37454</v>
      </c>
      <c r="BD146" s="270">
        <f t="shared" si="59"/>
        <v>8.7546882281899219</v>
      </c>
      <c r="BE146" s="251">
        <f t="shared" si="60"/>
        <v>11064</v>
      </c>
      <c r="BF146" s="251">
        <f t="shared" si="61"/>
        <v>26390</v>
      </c>
      <c r="BG146" s="251">
        <f>Data!T11</f>
        <v>11064</v>
      </c>
      <c r="BH146" s="251">
        <f>Data!S11</f>
        <v>26390</v>
      </c>
      <c r="BI146" s="270">
        <f t="shared" si="62"/>
        <v>8.7546882281899219</v>
      </c>
      <c r="BJ146" s="13">
        <v>-1043.9573814843297</v>
      </c>
      <c r="BK146" s="13">
        <v>-3911.2158735579687</v>
      </c>
      <c r="BL146" s="13"/>
      <c r="BM146" s="13">
        <f t="shared" si="49"/>
        <v>0</v>
      </c>
      <c r="BN146" s="13">
        <f t="shared" si="49"/>
        <v>0</v>
      </c>
      <c r="BO146" s="13"/>
      <c r="BP146" s="252">
        <f>'Total RD Feedstock'!B104</f>
        <v>8.7920874409979106</v>
      </c>
      <c r="BQ146" s="252">
        <f t="shared" si="50"/>
        <v>3.7399212807988746E-2</v>
      </c>
      <c r="BS146" s="274">
        <f t="shared" si="63"/>
        <v>0.17521726790084846</v>
      </c>
      <c r="BT146" s="274">
        <f t="shared" si="63"/>
        <v>0.11137431225445604</v>
      </c>
      <c r="BU146" s="274">
        <f t="shared" si="63"/>
        <v>8.8107800732424978E-3</v>
      </c>
      <c r="BV146" s="274">
        <f t="shared" si="63"/>
        <v>0.69089997674290493</v>
      </c>
      <c r="BW146" s="274">
        <f t="shared" si="63"/>
        <v>1.3697663028548057E-2</v>
      </c>
      <c r="BY146" s="252">
        <f t="shared" si="64"/>
        <v>1.5339725526671577</v>
      </c>
      <c r="BZ146" s="252">
        <f t="shared" si="64"/>
        <v>0.97504738041683481</v>
      </c>
      <c r="CA146" s="252">
        <f t="shared" si="64"/>
        <v>7.7135632588386419E-2</v>
      </c>
      <c r="CB146" s="252">
        <f t="shared" si="64"/>
        <v>6.0486138932477997</v>
      </c>
      <c r="CC146" s="252">
        <f t="shared" si="64"/>
        <v>0.11991876926974197</v>
      </c>
    </row>
    <row r="147" spans="1:81">
      <c r="A147" s="11">
        <v>44105</v>
      </c>
      <c r="B147" s="268">
        <v>70</v>
      </c>
      <c r="C147" s="268">
        <v>13</v>
      </c>
      <c r="D147" s="268"/>
      <c r="E147" s="268">
        <v>3</v>
      </c>
      <c r="F147" s="269">
        <v>0.2</v>
      </c>
      <c r="G147" s="269">
        <v>1.32</v>
      </c>
      <c r="H147" s="269">
        <v>12</v>
      </c>
      <c r="I147" s="269">
        <v>5</v>
      </c>
      <c r="J147" s="269"/>
      <c r="K147" s="269"/>
      <c r="L147" s="269"/>
      <c r="M147" s="269">
        <f t="shared" si="34"/>
        <v>1.5</v>
      </c>
      <c r="N147" s="269">
        <v>45</v>
      </c>
      <c r="O147" s="269">
        <f t="shared" si="38"/>
        <v>17.699535849485258</v>
      </c>
      <c r="Q147" s="251">
        <f t="shared" si="46"/>
        <v>168.71953584948523</v>
      </c>
      <c r="R147" s="251">
        <f>'RD Plant List'!N15</f>
        <v>0</v>
      </c>
      <c r="S147" s="251">
        <f>SUM(B147:O147)+'RD Plant List'!N15</f>
        <v>168.71953584948523</v>
      </c>
      <c r="U147" s="251">
        <f>'Renewable Fuel Ex Ethanol'!I31*'Renewable Fuel Ex Ethanol'!$I$121*12/1000000</f>
        <v>117.49529657280002</v>
      </c>
      <c r="V147" s="271">
        <f t="shared" si="51"/>
        <v>0.69639414298541946</v>
      </c>
      <c r="W147" s="251">
        <f t="shared" si="47"/>
        <v>9.7912747144000019</v>
      </c>
      <c r="X147" s="272">
        <f t="shared" si="52"/>
        <v>8.5025635979310277</v>
      </c>
      <c r="Y147" s="273">
        <f t="shared" si="53"/>
        <v>5.9442741111531916E-2</v>
      </c>
      <c r="AB147" s="251">
        <f>SUM('BD Feedstock'!C145,'BD Feedstock'!E145,'BD Feedstock'!G145,'BD Feedstock'!K145,'BD Feedstock'!T145)</f>
        <v>17.937796010427753</v>
      </c>
      <c r="AC147" s="251">
        <f>SUM('BD Feedstock'!D145,'BD Feedstock'!F145,'BD Feedstock'!H145,'BD Feedstock'!I145,'BD Feedstock'!L145,'BD Feedstock'!M145,'BD Feedstock'!N145,'BD Feedstock'!O145,'BD Feedstock'!U145)</f>
        <v>11.401899584192993</v>
      </c>
      <c r="AD147" s="251">
        <f>'BD Feedstock'!J145</f>
        <v>0.90199999999999991</v>
      </c>
      <c r="AE147" s="251">
        <f>SUM('BD Feedstock'!B145,'BD Feedstock'!P145,'BD Feedstock'!Q145,'BD Feedstock'!R145)</f>
        <v>70.93020833333334</v>
      </c>
      <c r="AF147" s="251">
        <f>'BD Feedstock'!S145</f>
        <v>1.40625</v>
      </c>
      <c r="AG147" s="251">
        <f t="shared" si="41"/>
        <v>102.57815392795409</v>
      </c>
      <c r="AK147" s="237">
        <f t="shared" si="37"/>
        <v>0.17486955383332781</v>
      </c>
      <c r="AL147" s="237">
        <f t="shared" si="37"/>
        <v>0.11115329285610982</v>
      </c>
      <c r="AM147" s="237">
        <f t="shared" si="37"/>
        <v>8.7932953115292065E-3</v>
      </c>
      <c r="AN147" s="237">
        <f t="shared" si="37"/>
        <v>0.69147479865109751</v>
      </c>
      <c r="AO147" s="237">
        <f t="shared" si="37"/>
        <v>1.370905934793564E-2</v>
      </c>
      <c r="AP147" s="237">
        <f t="shared" si="42"/>
        <v>1</v>
      </c>
      <c r="AQ147" s="237"/>
      <c r="AR147" s="237">
        <f t="shared" si="43"/>
        <v>0.59314782646044639</v>
      </c>
      <c r="AS147" s="237">
        <f t="shared" si="44"/>
        <v>0.3770258036133764</v>
      </c>
      <c r="AT147" s="237">
        <f t="shared" si="45"/>
        <v>2.9826369926177137E-2</v>
      </c>
      <c r="AU147" s="237">
        <f t="shared" si="35"/>
        <v>0.98055959563958928</v>
      </c>
      <c r="AV147" s="237">
        <f t="shared" si="35"/>
        <v>1.9440404360410696E-2</v>
      </c>
      <c r="AX147" s="251">
        <f t="shared" si="54"/>
        <v>6438.0265084016855</v>
      </c>
      <c r="AY147" s="251">
        <f t="shared" si="55"/>
        <v>4092.2380724195873</v>
      </c>
      <c r="AZ147" s="251">
        <f t="shared" si="56"/>
        <v>323.73541917872717</v>
      </c>
      <c r="BA147" s="251">
        <f t="shared" si="57"/>
        <v>26384.897599470067</v>
      </c>
      <c r="BB147" s="251">
        <f t="shared" si="58"/>
        <v>523.10240052993322</v>
      </c>
      <c r="BC147" s="251">
        <f t="shared" si="48"/>
        <v>37762</v>
      </c>
      <c r="BD147" s="270">
        <f t="shared" si="59"/>
        <v>8.5025635979310294</v>
      </c>
      <c r="BE147" s="251">
        <f t="shared" si="60"/>
        <v>10854</v>
      </c>
      <c r="BF147" s="251">
        <f t="shared" si="61"/>
        <v>26908</v>
      </c>
      <c r="BG147" s="251">
        <f>Data!T12</f>
        <v>10854</v>
      </c>
      <c r="BH147" s="251">
        <f>Data!S12</f>
        <v>26908</v>
      </c>
      <c r="BI147" s="270">
        <f t="shared" si="62"/>
        <v>8.5025635979310294</v>
      </c>
      <c r="BJ147" s="13">
        <v>-451.9928966007119</v>
      </c>
      <c r="BK147" s="13">
        <v>-3572.3235901059488</v>
      </c>
      <c r="BL147" s="13"/>
      <c r="BM147" s="13">
        <f t="shared" si="49"/>
        <v>0</v>
      </c>
      <c r="BN147" s="13">
        <f t="shared" si="49"/>
        <v>0</v>
      </c>
      <c r="BO147" s="13"/>
      <c r="BP147" s="252">
        <f>'Total RD Feedstock'!B105</f>
        <v>8.4431208568194958</v>
      </c>
      <c r="BQ147" s="252">
        <f t="shared" si="50"/>
        <v>-5.9442741111533692E-2</v>
      </c>
      <c r="BS147" s="274">
        <f t="shared" si="63"/>
        <v>0.17048955321226855</v>
      </c>
      <c r="BT147" s="274">
        <f t="shared" si="63"/>
        <v>0.1083692090572424</v>
      </c>
      <c r="BU147" s="274">
        <f t="shared" si="63"/>
        <v>8.5730474863282453E-3</v>
      </c>
      <c r="BV147" s="274">
        <f t="shared" si="63"/>
        <v>0.69871557649144822</v>
      </c>
      <c r="BW147" s="274">
        <f t="shared" si="63"/>
        <v>1.38526137527126E-2</v>
      </c>
      <c r="BY147" s="252">
        <f t="shared" si="64"/>
        <v>1.4495982689701599</v>
      </c>
      <c r="BZ147" s="252">
        <f t="shared" si="64"/>
        <v>0.92141609206668684</v>
      </c>
      <c r="CA147" s="252">
        <f t="shared" si="64"/>
        <v>7.2892881480588645E-2</v>
      </c>
      <c r="CB147" s="252">
        <f t="shared" si="64"/>
        <v>5.9408736259835813</v>
      </c>
      <c r="CC147" s="252">
        <f t="shared" si="64"/>
        <v>0.11778272943001289</v>
      </c>
    </row>
    <row r="148" spans="1:81">
      <c r="A148" s="11">
        <v>44136</v>
      </c>
      <c r="B148" s="268">
        <v>70</v>
      </c>
      <c r="C148" s="268">
        <v>13</v>
      </c>
      <c r="D148" s="268"/>
      <c r="E148" s="268">
        <v>3</v>
      </c>
      <c r="F148" s="269">
        <v>0.2</v>
      </c>
      <c r="G148" s="269">
        <v>1.32</v>
      </c>
      <c r="H148" s="269">
        <v>12</v>
      </c>
      <c r="I148" s="269">
        <v>5</v>
      </c>
      <c r="J148" s="269"/>
      <c r="K148" s="269"/>
      <c r="L148" s="269"/>
      <c r="M148" s="269">
        <f t="shared" si="34"/>
        <v>1.5</v>
      </c>
      <c r="N148" s="269">
        <v>45</v>
      </c>
      <c r="O148" s="269">
        <f t="shared" si="38"/>
        <v>17.699535849485258</v>
      </c>
      <c r="Q148" s="251">
        <f t="shared" si="46"/>
        <v>168.71953584948523</v>
      </c>
      <c r="R148" s="251">
        <f>'RD Plant List'!N16</f>
        <v>0</v>
      </c>
      <c r="S148" s="251">
        <f>SUM(B148:O148)+'RD Plant List'!N16</f>
        <v>168.71953584948523</v>
      </c>
      <c r="U148" s="251">
        <f>'Renewable Fuel Ex Ethanol'!I32*'Renewable Fuel Ex Ethanol'!$I$121*12/1000000</f>
        <v>139.10880110640002</v>
      </c>
      <c r="V148" s="271">
        <f t="shared" si="51"/>
        <v>0.82449729609556921</v>
      </c>
      <c r="W148" s="251">
        <f t="shared" si="47"/>
        <v>11.592400092200002</v>
      </c>
      <c r="X148" s="272">
        <f t="shared" si="52"/>
        <v>8.1354438395769684</v>
      </c>
      <c r="Y148" s="273">
        <f t="shared" si="53"/>
        <v>1.578479215215367E-2</v>
      </c>
      <c r="AB148" s="251">
        <f>SUM('BD Feedstock'!C146,'BD Feedstock'!E146,'BD Feedstock'!G146,'BD Feedstock'!K146,'BD Feedstock'!T146)</f>
        <v>17.937796010427753</v>
      </c>
      <c r="AC148" s="251">
        <f>SUM('BD Feedstock'!D146,'BD Feedstock'!F146,'BD Feedstock'!H146,'BD Feedstock'!I146,'BD Feedstock'!L146,'BD Feedstock'!M146,'BD Feedstock'!N146,'BD Feedstock'!O146,'BD Feedstock'!U146)</f>
        <v>11.401899584192993</v>
      </c>
      <c r="AD148" s="251">
        <f>'BD Feedstock'!J146</f>
        <v>0.90199999999999991</v>
      </c>
      <c r="AE148" s="251">
        <f>SUM('BD Feedstock'!B146,'BD Feedstock'!P146,'BD Feedstock'!Q146,'BD Feedstock'!R146)</f>
        <v>70.93020833333334</v>
      </c>
      <c r="AF148" s="251">
        <f>'BD Feedstock'!S146</f>
        <v>1.40625</v>
      </c>
      <c r="AG148" s="251">
        <f t="shared" si="41"/>
        <v>102.57815392795409</v>
      </c>
      <c r="AK148" s="237">
        <f t="shared" si="37"/>
        <v>0.17486955383332781</v>
      </c>
      <c r="AL148" s="237">
        <f t="shared" si="37"/>
        <v>0.11115329285610982</v>
      </c>
      <c r="AM148" s="237">
        <f t="shared" si="37"/>
        <v>8.7932953115292065E-3</v>
      </c>
      <c r="AN148" s="237">
        <f t="shared" si="37"/>
        <v>0.69147479865109751</v>
      </c>
      <c r="AO148" s="237">
        <f t="shared" si="37"/>
        <v>1.370905934793564E-2</v>
      </c>
      <c r="AP148" s="237">
        <f t="shared" si="42"/>
        <v>1</v>
      </c>
      <c r="AQ148" s="237"/>
      <c r="AR148" s="237">
        <f t="shared" si="43"/>
        <v>0.59314782646044639</v>
      </c>
      <c r="AS148" s="237">
        <f t="shared" si="44"/>
        <v>0.3770258036133764</v>
      </c>
      <c r="AT148" s="237">
        <f t="shared" si="45"/>
        <v>2.9826369926177137E-2</v>
      </c>
      <c r="AU148" s="237">
        <f t="shared" si="35"/>
        <v>0.98055959563958928</v>
      </c>
      <c r="AV148" s="237">
        <f t="shared" si="35"/>
        <v>1.9440404360410696E-2</v>
      </c>
      <c r="AX148" s="251">
        <f t="shared" si="54"/>
        <v>7738.2065440029837</v>
      </c>
      <c r="AY148" s="251">
        <f t="shared" si="55"/>
        <v>4918.6786339401087</v>
      </c>
      <c r="AZ148" s="251">
        <f t="shared" si="56"/>
        <v>389.11482205690845</v>
      </c>
      <c r="BA148" s="251">
        <f t="shared" si="57"/>
        <v>29153.99789755627</v>
      </c>
      <c r="BB148" s="251">
        <f t="shared" si="58"/>
        <v>578.00210244373011</v>
      </c>
      <c r="BC148" s="251">
        <f t="shared" si="48"/>
        <v>42778</v>
      </c>
      <c r="BD148" s="270">
        <f t="shared" si="59"/>
        <v>8.1354438395769684</v>
      </c>
      <c r="BE148" s="251">
        <f t="shared" si="60"/>
        <v>13046</v>
      </c>
      <c r="BF148" s="251">
        <f t="shared" si="61"/>
        <v>29732</v>
      </c>
      <c r="BG148" s="251">
        <f>Data!T13</f>
        <v>13046</v>
      </c>
      <c r="BH148" s="251">
        <f>Data!S13</f>
        <v>29732</v>
      </c>
      <c r="BI148" s="270">
        <f t="shared" si="62"/>
        <v>8.1354438395769684</v>
      </c>
      <c r="BJ148" s="13">
        <v>-730.52202375977686</v>
      </c>
      <c r="BK148" s="13">
        <v>-2103.6773090068345</v>
      </c>
      <c r="BL148" s="13"/>
      <c r="BM148" s="13">
        <f t="shared" si="49"/>
        <v>0</v>
      </c>
      <c r="BN148" s="13">
        <f t="shared" si="49"/>
        <v>0</v>
      </c>
      <c r="BO148" s="13"/>
      <c r="BP148" s="252">
        <f>'Total RD Feedstock'!B106</f>
        <v>8.1196590474248147</v>
      </c>
      <c r="BQ148" s="252">
        <f t="shared" si="50"/>
        <v>-1.578479215215367E-2</v>
      </c>
      <c r="BS148" s="274">
        <f t="shared" si="63"/>
        <v>0.18089220028993838</v>
      </c>
      <c r="BT148" s="274">
        <f t="shared" si="63"/>
        <v>0.1149815006297655</v>
      </c>
      <c r="BU148" s="274">
        <f t="shared" si="63"/>
        <v>9.0961433927932225E-3</v>
      </c>
      <c r="BV148" s="274">
        <f t="shared" si="63"/>
        <v>0.68151848841825868</v>
      </c>
      <c r="BW148" s="274">
        <f t="shared" si="63"/>
        <v>1.351166726924424E-2</v>
      </c>
      <c r="BY148" s="252">
        <f t="shared" si="64"/>
        <v>1.4716383364763024</v>
      </c>
      <c r="BZ148" s="252">
        <f t="shared" si="64"/>
        <v>0.9354255409637412</v>
      </c>
      <c r="CA148" s="252">
        <f t="shared" si="64"/>
        <v>7.400116372880837E-2</v>
      </c>
      <c r="CB148" s="252">
        <f t="shared" si="64"/>
        <v>5.5444553881601299</v>
      </c>
      <c r="CC148" s="252">
        <f t="shared" si="64"/>
        <v>0.10992341024798682</v>
      </c>
    </row>
    <row r="149" spans="1:81">
      <c r="A149" s="11">
        <v>44166</v>
      </c>
      <c r="B149" s="268">
        <v>70</v>
      </c>
      <c r="C149" s="268">
        <v>13</v>
      </c>
      <c r="D149" s="268"/>
      <c r="E149" s="268">
        <v>3</v>
      </c>
      <c r="F149" s="269">
        <v>0.2</v>
      </c>
      <c r="G149" s="269">
        <v>1.32</v>
      </c>
      <c r="H149" s="269">
        <v>12</v>
      </c>
      <c r="I149" s="269">
        <v>5</v>
      </c>
      <c r="J149" s="269"/>
      <c r="K149" s="269"/>
      <c r="L149" s="269"/>
      <c r="M149" s="269">
        <f t="shared" si="34"/>
        <v>1.5</v>
      </c>
      <c r="N149" s="269">
        <v>45</v>
      </c>
      <c r="O149" s="269">
        <f t="shared" si="38"/>
        <v>17.699535849485258</v>
      </c>
      <c r="Q149" s="251">
        <f t="shared" si="46"/>
        <v>168.71953584948523</v>
      </c>
      <c r="R149" s="251">
        <f>'RD Plant List'!N17</f>
        <v>0</v>
      </c>
      <c r="S149" s="251">
        <f>SUM(B149:O149)+'RD Plant List'!N17</f>
        <v>168.71953584948523</v>
      </c>
      <c r="U149" s="251">
        <f>'Renewable Fuel Ex Ethanol'!I33*'Renewable Fuel Ex Ethanol'!$I$121*12/1000000</f>
        <v>116.4777056436</v>
      </c>
      <c r="V149" s="271">
        <f t="shared" si="51"/>
        <v>0.69036288570346604</v>
      </c>
      <c r="W149" s="251">
        <f t="shared" si="47"/>
        <v>9.7064754703000009</v>
      </c>
      <c r="X149" s="272">
        <f t="shared" si="52"/>
        <v>8.3254132416307822</v>
      </c>
      <c r="Y149" s="273">
        <f t="shared" si="53"/>
        <v>-0.14195562067983225</v>
      </c>
      <c r="AB149" s="251">
        <f>SUM('BD Feedstock'!C147,'BD Feedstock'!E147,'BD Feedstock'!G147,'BD Feedstock'!K147,'BD Feedstock'!T147)</f>
        <v>17.937796010427753</v>
      </c>
      <c r="AC149" s="251">
        <f>SUM('BD Feedstock'!D147,'BD Feedstock'!F147,'BD Feedstock'!H147,'BD Feedstock'!I147,'BD Feedstock'!L147,'BD Feedstock'!M147,'BD Feedstock'!N147,'BD Feedstock'!O147,'BD Feedstock'!U147)</f>
        <v>11.401899584192993</v>
      </c>
      <c r="AD149" s="251">
        <f>'BD Feedstock'!J147</f>
        <v>0.90199999999999991</v>
      </c>
      <c r="AE149" s="251">
        <f>SUM('BD Feedstock'!B147,'BD Feedstock'!P147,'BD Feedstock'!Q147,'BD Feedstock'!R147)</f>
        <v>70.93020833333334</v>
      </c>
      <c r="AF149" s="251">
        <f>'BD Feedstock'!S147</f>
        <v>1.40625</v>
      </c>
      <c r="AG149" s="251">
        <f t="shared" si="41"/>
        <v>102.57815392795409</v>
      </c>
      <c r="AK149" s="237">
        <f t="shared" si="37"/>
        <v>0.17486955383332781</v>
      </c>
      <c r="AL149" s="237">
        <f t="shared" si="37"/>
        <v>0.11115329285610982</v>
      </c>
      <c r="AM149" s="237">
        <f t="shared" si="37"/>
        <v>8.7932953115292065E-3</v>
      </c>
      <c r="AN149" s="237">
        <f t="shared" si="37"/>
        <v>0.69147479865109751</v>
      </c>
      <c r="AO149" s="237">
        <f t="shared" si="37"/>
        <v>1.370905934793564E-2</v>
      </c>
      <c r="AP149" s="237">
        <f t="shared" si="42"/>
        <v>1</v>
      </c>
      <c r="AQ149" s="237"/>
      <c r="AR149" s="237">
        <f t="shared" si="43"/>
        <v>0.59314782646044639</v>
      </c>
      <c r="AS149" s="237">
        <f t="shared" si="44"/>
        <v>0.3770258036133764</v>
      </c>
      <c r="AT149" s="237">
        <f t="shared" si="45"/>
        <v>2.9826369926177137E-2</v>
      </c>
      <c r="AU149" s="237">
        <f t="shared" si="35"/>
        <v>0.98055959563958928</v>
      </c>
      <c r="AV149" s="237">
        <f t="shared" si="35"/>
        <v>1.9440404360410696E-2</v>
      </c>
      <c r="AX149" s="251">
        <f t="shared" si="54"/>
        <v>5500.8529425941797</v>
      </c>
      <c r="AY149" s="251">
        <f t="shared" si="55"/>
        <v>3496.5373027104529</v>
      </c>
      <c r="AZ149" s="251">
        <f t="shared" si="56"/>
        <v>276.60975469536788</v>
      </c>
      <c r="BA149" s="251">
        <f t="shared" si="57"/>
        <v>26848.702288207594</v>
      </c>
      <c r="BB149" s="251">
        <f t="shared" si="58"/>
        <v>532.29771179240561</v>
      </c>
      <c r="BC149" s="251">
        <f t="shared" si="48"/>
        <v>36655</v>
      </c>
      <c r="BD149" s="270">
        <f t="shared" si="59"/>
        <v>8.3254132416307822</v>
      </c>
      <c r="BE149" s="251">
        <f t="shared" si="60"/>
        <v>9274</v>
      </c>
      <c r="BF149" s="251">
        <f t="shared" si="61"/>
        <v>27381</v>
      </c>
      <c r="BG149" s="251">
        <f>Data!T14</f>
        <v>9274</v>
      </c>
      <c r="BH149" s="251">
        <f>Data!S14</f>
        <v>27381</v>
      </c>
      <c r="BI149" s="270">
        <f t="shared" si="62"/>
        <v>8.3254132416307822</v>
      </c>
      <c r="BJ149" s="13">
        <v>1037.9184923429766</v>
      </c>
      <c r="BK149" s="13">
        <v>-4247.4267664381259</v>
      </c>
      <c r="BL149" s="13"/>
      <c r="BM149" s="13">
        <f t="shared" si="49"/>
        <v>0</v>
      </c>
      <c r="BN149" s="13">
        <f t="shared" si="49"/>
        <v>0</v>
      </c>
      <c r="BO149" s="13"/>
      <c r="BP149" s="252">
        <f>'Total RD Feedstock'!B107</f>
        <v>8.4673688623106145</v>
      </c>
      <c r="BQ149" s="252">
        <f t="shared" si="50"/>
        <v>0.14195562067983225</v>
      </c>
      <c r="BS149" s="274">
        <f t="shared" si="63"/>
        <v>0.15007101193818523</v>
      </c>
      <c r="BT149" s="274">
        <f t="shared" si="63"/>
        <v>9.5390459765665056E-2</v>
      </c>
      <c r="BU149" s="274">
        <f t="shared" si="63"/>
        <v>7.5463034973500993E-3</v>
      </c>
      <c r="BV149" s="274">
        <f t="shared" si="63"/>
        <v>0.73247039389462809</v>
      </c>
      <c r="BW149" s="274">
        <f t="shared" si="63"/>
        <v>1.452183090417148E-2</v>
      </c>
      <c r="BY149" s="252">
        <f t="shared" si="64"/>
        <v>1.2494031899750986</v>
      </c>
      <c r="BZ149" s="252">
        <f t="shared" si="64"/>
        <v>0.79416499685831632</v>
      </c>
      <c r="CA149" s="252">
        <f t="shared" si="64"/>
        <v>6.2826095062203199E-2</v>
      </c>
      <c r="CB149" s="252">
        <f t="shared" si="64"/>
        <v>6.0981187164328521</v>
      </c>
      <c r="CC149" s="252">
        <f t="shared" si="64"/>
        <v>0.12090024330231236</v>
      </c>
    </row>
    <row r="150" spans="1:81">
      <c r="A150" s="11">
        <v>44197</v>
      </c>
      <c r="B150" s="268">
        <v>70</v>
      </c>
      <c r="C150" s="268">
        <v>13</v>
      </c>
      <c r="D150" s="268"/>
      <c r="E150" s="268">
        <v>3</v>
      </c>
      <c r="F150" s="269">
        <v>0.2</v>
      </c>
      <c r="G150" s="269">
        <v>1.32</v>
      </c>
      <c r="H150" s="269">
        <v>12</v>
      </c>
      <c r="I150" s="269">
        <v>5</v>
      </c>
      <c r="J150" s="269"/>
      <c r="K150" s="269"/>
      <c r="L150" s="269"/>
      <c r="M150" s="269">
        <f t="shared" si="34"/>
        <v>1.5</v>
      </c>
      <c r="N150" s="269">
        <v>45</v>
      </c>
      <c r="O150" s="269">
        <f t="shared" si="38"/>
        <v>17.699535849485258</v>
      </c>
      <c r="Q150" s="251">
        <f t="shared" si="46"/>
        <v>168.71953584948523</v>
      </c>
      <c r="R150" s="251">
        <f>'RD Plant List'!N18</f>
        <v>0</v>
      </c>
      <c r="S150" s="251">
        <f>SUM(B150:O150)+'RD Plant List'!N18</f>
        <v>168.71953584948523</v>
      </c>
      <c r="U150" s="251">
        <f>'Renewable Fuel Ex Ethanol'!J22*'Renewable Fuel Ex Ethanol'!$I$121*12/1000000</f>
        <v>91.405659976799996</v>
      </c>
      <c r="V150" s="271">
        <f t="shared" si="51"/>
        <v>0.5417609734200729</v>
      </c>
      <c r="W150" s="251">
        <f t="shared" si="47"/>
        <v>7.6171383313999996</v>
      </c>
      <c r="X150" s="272">
        <f t="shared" si="52"/>
        <v>8.2487312513401303</v>
      </c>
      <c r="Y150" s="273">
        <f t="shared" si="53"/>
        <v>-0.38407250422906536</v>
      </c>
      <c r="AB150" s="251">
        <f>SUM('BD Feedstock'!C148,'BD Feedstock'!E148,'BD Feedstock'!G148,'BD Feedstock'!K148,'BD Feedstock'!T148)</f>
        <v>17.937796010427753</v>
      </c>
      <c r="AC150" s="251">
        <f>SUM('BD Feedstock'!D148,'BD Feedstock'!F148,'BD Feedstock'!H148,'BD Feedstock'!I148,'BD Feedstock'!L148,'BD Feedstock'!M148,'BD Feedstock'!N148,'BD Feedstock'!O148,'BD Feedstock'!U148)</f>
        <v>11.401899584192993</v>
      </c>
      <c r="AD150" s="251">
        <f>'BD Feedstock'!J148</f>
        <v>0.90199999999999991</v>
      </c>
      <c r="AE150" s="251">
        <f>SUM('BD Feedstock'!B148,'BD Feedstock'!P148,'BD Feedstock'!Q148,'BD Feedstock'!R148)</f>
        <v>70.93020833333334</v>
      </c>
      <c r="AF150" s="251">
        <f>'BD Feedstock'!S148</f>
        <v>1.40625</v>
      </c>
      <c r="AG150" s="251">
        <f t="shared" si="41"/>
        <v>102.57815392795409</v>
      </c>
      <c r="AK150" s="237">
        <f t="shared" si="37"/>
        <v>0.17486955383332781</v>
      </c>
      <c r="AL150" s="237">
        <f t="shared" si="37"/>
        <v>0.11115329285610982</v>
      </c>
      <c r="AM150" s="237">
        <f t="shared" si="37"/>
        <v>8.7932953115292065E-3</v>
      </c>
      <c r="AN150" s="237">
        <f t="shared" si="37"/>
        <v>0.69147479865109751</v>
      </c>
      <c r="AO150" s="237">
        <f t="shared" si="37"/>
        <v>1.370905934793564E-2</v>
      </c>
      <c r="AP150" s="237">
        <f t="shared" si="42"/>
        <v>1</v>
      </c>
      <c r="AQ150" s="237"/>
      <c r="AR150" s="237">
        <f t="shared" si="43"/>
        <v>0.59314782646044639</v>
      </c>
      <c r="AS150" s="237">
        <f t="shared" si="44"/>
        <v>0.3770258036133764</v>
      </c>
      <c r="AT150" s="237">
        <f t="shared" si="45"/>
        <v>2.9826369926177137E-2</v>
      </c>
      <c r="AU150" s="237">
        <f t="shared" si="35"/>
        <v>0.98055959563958928</v>
      </c>
      <c r="AV150" s="237">
        <f t="shared" si="35"/>
        <v>1.9440404360410696E-2</v>
      </c>
      <c r="AX150" s="251">
        <f t="shared" si="54"/>
        <v>3588.5443500857009</v>
      </c>
      <c r="AY150" s="251">
        <f t="shared" si="55"/>
        <v>2281.0061118609274</v>
      </c>
      <c r="AZ150" s="251">
        <f t="shared" si="56"/>
        <v>180.44953805337173</v>
      </c>
      <c r="BA150" s="251">
        <f t="shared" si="57"/>
        <v>22013.56292210878</v>
      </c>
      <c r="BB150" s="251">
        <f t="shared" si="58"/>
        <v>436.43707789121981</v>
      </c>
      <c r="BC150" s="251">
        <f>SUM(AX150:BB150)</f>
        <v>28500</v>
      </c>
      <c r="BD150" s="270">
        <f>(BC150*2204.622/1000000)/(U150/12)</f>
        <v>8.2487312513401303</v>
      </c>
      <c r="BE150" s="251">
        <f>AX150+AY150+AZ150</f>
        <v>6050</v>
      </c>
      <c r="BF150" s="251">
        <f>BA150+BB150</f>
        <v>22450</v>
      </c>
      <c r="BG150" s="251">
        <f>Data!T15</f>
        <v>6050</v>
      </c>
      <c r="BH150" s="251">
        <f>Data!S15</f>
        <v>22450</v>
      </c>
      <c r="BI150" s="270">
        <f t="shared" si="62"/>
        <v>8.2487312513401303</v>
      </c>
      <c r="BJ150" s="13">
        <v>2042.2586018620505</v>
      </c>
      <c r="BK150" s="13">
        <v>-4295.9720051023905</v>
      </c>
      <c r="BL150" s="13"/>
      <c r="BM150" s="13">
        <f t="shared" si="49"/>
        <v>0</v>
      </c>
      <c r="BN150" s="13">
        <f t="shared" si="49"/>
        <v>0</v>
      </c>
      <c r="BO150" s="13"/>
      <c r="BP150" s="252">
        <f>'Total RD Feedstock'!C96</f>
        <v>8.6328037555691957</v>
      </c>
      <c r="BQ150" s="252">
        <f t="shared" si="50"/>
        <v>0.38407250422906536</v>
      </c>
      <c r="BS150" s="274">
        <f t="shared" si="63"/>
        <v>0.12591383684511231</v>
      </c>
      <c r="BT150" s="274">
        <f t="shared" si="63"/>
        <v>8.0035302170558861E-2</v>
      </c>
      <c r="BU150" s="274">
        <f t="shared" si="63"/>
        <v>6.3315627387147974E-3</v>
      </c>
      <c r="BV150" s="274">
        <f t="shared" si="63"/>
        <v>0.77240571656522039</v>
      </c>
      <c r="BW150" s="274">
        <f t="shared" si="63"/>
        <v>1.5313581680393677E-2</v>
      </c>
      <c r="BY150" s="252">
        <f t="shared" si="64"/>
        <v>1.0386294009604204</v>
      </c>
      <c r="BZ150" s="252">
        <f t="shared" si="64"/>
        <v>0.6601896982247395</v>
      </c>
      <c r="CA150" s="252">
        <f t="shared" si="64"/>
        <v>5.2227359432657459E-2</v>
      </c>
      <c r="CB150" s="252">
        <f t="shared" si="64"/>
        <v>6.371367172945301</v>
      </c>
      <c r="CC150" s="252">
        <f t="shared" si="64"/>
        <v>0.12631761977701306</v>
      </c>
    </row>
    <row r="151" spans="1:81">
      <c r="A151" s="11">
        <v>44228</v>
      </c>
      <c r="B151" s="268">
        <v>70</v>
      </c>
      <c r="C151" s="268">
        <v>13</v>
      </c>
      <c r="D151" s="268"/>
      <c r="E151" s="268">
        <v>3</v>
      </c>
      <c r="F151" s="269">
        <v>0.2</v>
      </c>
      <c r="G151" s="269">
        <v>1.32</v>
      </c>
      <c r="H151" s="269">
        <v>12</v>
      </c>
      <c r="I151" s="269">
        <v>5</v>
      </c>
      <c r="J151" s="269"/>
      <c r="K151" s="269"/>
      <c r="L151" s="269"/>
      <c r="M151" s="269">
        <f t="shared" ref="M151:M214" si="65">$M$3</f>
        <v>1.5</v>
      </c>
      <c r="N151" s="269">
        <v>45</v>
      </c>
      <c r="O151" s="269">
        <f t="shared" si="38"/>
        <v>17.699535849485258</v>
      </c>
      <c r="Q151" s="251">
        <f t="shared" si="46"/>
        <v>168.71953584948523</v>
      </c>
      <c r="R151" s="251">
        <f>'RD Plant List'!N19</f>
        <v>0</v>
      </c>
      <c r="S151" s="251">
        <f>SUM(B151:O151)+'RD Plant List'!N19</f>
        <v>168.71953584948523</v>
      </c>
      <c r="U151" s="251">
        <f>'Renewable Fuel Ex Ethanol'!J23*'Renewable Fuel Ex Ethanol'!$I$121*12/1000000</f>
        <v>98.056456766400004</v>
      </c>
      <c r="V151" s="271">
        <f t="shared" si="51"/>
        <v>0.58118021883296433</v>
      </c>
      <c r="W151" s="251">
        <f t="shared" si="47"/>
        <v>8.1713713971999997</v>
      </c>
      <c r="X151" s="272">
        <f t="shared" si="52"/>
        <v>8.6750940989281506</v>
      </c>
      <c r="Y151" s="273">
        <f t="shared" si="53"/>
        <v>0.36018071226189896</v>
      </c>
      <c r="AB151" s="251">
        <f>SUM('BD Feedstock'!C149,'BD Feedstock'!E149,'BD Feedstock'!G149,'BD Feedstock'!K149,'BD Feedstock'!T149)</f>
        <v>17.937796010427753</v>
      </c>
      <c r="AC151" s="251">
        <f>SUM('BD Feedstock'!D149,'BD Feedstock'!F149,'BD Feedstock'!H149,'BD Feedstock'!I149,'BD Feedstock'!L149,'BD Feedstock'!M149,'BD Feedstock'!N149,'BD Feedstock'!O149,'BD Feedstock'!U149)</f>
        <v>11.401899584192993</v>
      </c>
      <c r="AD151" s="251">
        <f>'BD Feedstock'!J149</f>
        <v>0.90199999999999991</v>
      </c>
      <c r="AE151" s="251">
        <f>SUM('BD Feedstock'!B149,'BD Feedstock'!P149,'BD Feedstock'!Q149,'BD Feedstock'!R149)</f>
        <v>70.93020833333334</v>
      </c>
      <c r="AF151" s="251">
        <f>'BD Feedstock'!S149</f>
        <v>1.40625</v>
      </c>
      <c r="AG151" s="251">
        <f t="shared" si="41"/>
        <v>102.57815392795409</v>
      </c>
      <c r="AK151" s="237">
        <f t="shared" si="37"/>
        <v>0.17486955383332781</v>
      </c>
      <c r="AL151" s="237">
        <f t="shared" si="37"/>
        <v>0.11115329285610982</v>
      </c>
      <c r="AM151" s="237">
        <f t="shared" si="37"/>
        <v>8.7932953115292065E-3</v>
      </c>
      <c r="AN151" s="237">
        <f t="shared" si="37"/>
        <v>0.69147479865109751</v>
      </c>
      <c r="AO151" s="237">
        <f t="shared" si="37"/>
        <v>1.370905934793564E-2</v>
      </c>
      <c r="AP151" s="237">
        <f t="shared" si="42"/>
        <v>1</v>
      </c>
      <c r="AQ151" s="237"/>
      <c r="AR151" s="237">
        <f t="shared" si="43"/>
        <v>0.59314782646044639</v>
      </c>
      <c r="AS151" s="237">
        <f t="shared" si="44"/>
        <v>0.3770258036133764</v>
      </c>
      <c r="AT151" s="237">
        <f t="shared" si="45"/>
        <v>2.9826369926177137E-2</v>
      </c>
      <c r="AU151" s="237">
        <f t="shared" si="35"/>
        <v>0.98055959563958928</v>
      </c>
      <c r="AV151" s="237">
        <f t="shared" si="35"/>
        <v>1.9440404360410696E-2</v>
      </c>
      <c r="AX151" s="251">
        <f t="shared" si="54"/>
        <v>4062.4694634275975</v>
      </c>
      <c r="AY151" s="251">
        <f t="shared" si="55"/>
        <v>2582.2497289480148</v>
      </c>
      <c r="AZ151" s="251">
        <f t="shared" si="56"/>
        <v>204.28080762438731</v>
      </c>
      <c r="BA151" s="251">
        <f t="shared" si="57"/>
        <v>24813.060567659806</v>
      </c>
      <c r="BB151" s="251">
        <f t="shared" si="58"/>
        <v>491.93943234019389</v>
      </c>
      <c r="BC151" s="251">
        <f t="shared" ref="BC151:BC200" si="66">SUM(AX151:BB151)</f>
        <v>32154</v>
      </c>
      <c r="BD151" s="270">
        <f t="shared" ref="BD151:BD171" si="67">(BC151*2204.622/1000000)/(U151/12)</f>
        <v>8.6750940989281489</v>
      </c>
      <c r="BE151" s="251">
        <f t="shared" ref="BE151:BE169" si="68">AX151+AY151+AZ151</f>
        <v>6849</v>
      </c>
      <c r="BF151" s="251">
        <f t="shared" ref="BF151:BF171" si="69">BA151+BB151</f>
        <v>25305</v>
      </c>
      <c r="BG151" s="251">
        <f>Data!T16</f>
        <v>6849</v>
      </c>
      <c r="BH151" s="251">
        <f>Data!S16</f>
        <v>25305</v>
      </c>
      <c r="BI151" s="270">
        <f t="shared" si="62"/>
        <v>8.6750940989281489</v>
      </c>
      <c r="BJ151" s="13">
        <v>1832.0620473329036</v>
      </c>
      <c r="BK151" s="13">
        <v>-5830.0609024702499</v>
      </c>
      <c r="BL151" s="13"/>
      <c r="BM151" s="13">
        <f t="shared" si="49"/>
        <v>0</v>
      </c>
      <c r="BN151" s="13">
        <f t="shared" si="49"/>
        <v>0</v>
      </c>
      <c r="BO151" s="13"/>
      <c r="BP151" s="252">
        <f>'Total RD Feedstock'!C97</f>
        <v>8.3149133866662517</v>
      </c>
      <c r="BQ151" s="252">
        <f t="shared" si="50"/>
        <v>-0.36018071226189718</v>
      </c>
      <c r="BS151" s="274">
        <f t="shared" si="63"/>
        <v>0.12634413956047763</v>
      </c>
      <c r="BT151" s="274">
        <f t="shared" si="63"/>
        <v>8.0308817843752406E-2</v>
      </c>
      <c r="BU151" s="274">
        <f t="shared" si="63"/>
        <v>6.3532004610433327E-3</v>
      </c>
      <c r="BV151" s="274">
        <f t="shared" si="63"/>
        <v>0.7716943636144743</v>
      </c>
      <c r="BW151" s="274">
        <f t="shared" si="63"/>
        <v>1.5299478520252345E-2</v>
      </c>
      <c r="BY151" s="252">
        <f t="shared" si="64"/>
        <v>1.0960472995352541</v>
      </c>
      <c r="BZ151" s="252">
        <f t="shared" si="64"/>
        <v>0.69668655176823224</v>
      </c>
      <c r="CA151" s="252">
        <f t="shared" si="64"/>
        <v>5.5114611828904619E-2</v>
      </c>
      <c r="CB151" s="252">
        <f t="shared" si="64"/>
        <v>6.6945212199680402</v>
      </c>
      <c r="CC151" s="252">
        <f t="shared" si="64"/>
        <v>0.13272441582771913</v>
      </c>
    </row>
    <row r="152" spans="1:81">
      <c r="A152" s="11">
        <v>44256</v>
      </c>
      <c r="B152" s="268">
        <v>70</v>
      </c>
      <c r="C152" s="268">
        <v>13</v>
      </c>
      <c r="D152" s="268"/>
      <c r="E152" s="268">
        <v>3</v>
      </c>
      <c r="F152" s="269">
        <v>0.2</v>
      </c>
      <c r="G152" s="269">
        <v>1.32</v>
      </c>
      <c r="H152" s="269">
        <v>12</v>
      </c>
      <c r="I152" s="269">
        <v>5</v>
      </c>
      <c r="J152" s="269"/>
      <c r="K152" s="269"/>
      <c r="L152" s="269"/>
      <c r="M152" s="269">
        <f t="shared" si="65"/>
        <v>1.5</v>
      </c>
      <c r="N152" s="269">
        <v>45</v>
      </c>
      <c r="O152" s="269">
        <f t="shared" si="38"/>
        <v>17.699535849485258</v>
      </c>
      <c r="Q152" s="251">
        <f t="shared" si="46"/>
        <v>168.71953584948523</v>
      </c>
      <c r="R152" s="251">
        <f>'RD Plant List'!N20</f>
        <v>0</v>
      </c>
      <c r="S152" s="251">
        <f>SUM(B152:O152)+'RD Plant List'!N20</f>
        <v>168.71953584948523</v>
      </c>
      <c r="U152" s="251">
        <f>'Renewable Fuel Ex Ethanol'!J24*'Renewable Fuel Ex Ethanol'!$I$121*12/1000000</f>
        <v>112.59437577360001</v>
      </c>
      <c r="V152" s="271">
        <f t="shared" si="51"/>
        <v>0.66734640542186829</v>
      </c>
      <c r="W152" s="251">
        <f t="shared" si="47"/>
        <v>9.3828646478</v>
      </c>
      <c r="X152" s="272">
        <f t="shared" si="52"/>
        <v>8.0192725446212627</v>
      </c>
      <c r="Y152" s="273">
        <f t="shared" si="53"/>
        <v>-0.13886287939851094</v>
      </c>
      <c r="AB152" s="251">
        <f>SUM('BD Feedstock'!C150,'BD Feedstock'!E150,'BD Feedstock'!G150,'BD Feedstock'!K150,'BD Feedstock'!T150)</f>
        <v>17.937796010427753</v>
      </c>
      <c r="AC152" s="251">
        <f>SUM('BD Feedstock'!D150,'BD Feedstock'!F150,'BD Feedstock'!H150,'BD Feedstock'!I150,'BD Feedstock'!L150,'BD Feedstock'!M150,'BD Feedstock'!N150,'BD Feedstock'!O150,'BD Feedstock'!U150)</f>
        <v>11.401899584192993</v>
      </c>
      <c r="AD152" s="251">
        <f>'BD Feedstock'!J150</f>
        <v>0.90199999999999991</v>
      </c>
      <c r="AE152" s="251">
        <f>SUM('BD Feedstock'!B150,'BD Feedstock'!P150,'BD Feedstock'!Q150,'BD Feedstock'!R150)</f>
        <v>70.93020833333334</v>
      </c>
      <c r="AF152" s="251">
        <f>'BD Feedstock'!S150</f>
        <v>1.40625</v>
      </c>
      <c r="AG152" s="251">
        <f t="shared" si="41"/>
        <v>102.57815392795409</v>
      </c>
      <c r="AK152" s="237">
        <f t="shared" si="37"/>
        <v>0.17486955383332781</v>
      </c>
      <c r="AL152" s="237">
        <f t="shared" si="37"/>
        <v>0.11115329285610982</v>
      </c>
      <c r="AM152" s="237">
        <f t="shared" si="37"/>
        <v>8.7932953115292065E-3</v>
      </c>
      <c r="AN152" s="237">
        <f t="shared" si="37"/>
        <v>0.69147479865109751</v>
      </c>
      <c r="AO152" s="237">
        <f t="shared" si="37"/>
        <v>1.370905934793564E-2</v>
      </c>
      <c r="AP152" s="237">
        <f t="shared" si="42"/>
        <v>1</v>
      </c>
      <c r="AQ152" s="237"/>
      <c r="AR152" s="237">
        <f t="shared" si="43"/>
        <v>0.59314782646044639</v>
      </c>
      <c r="AS152" s="237">
        <f t="shared" si="44"/>
        <v>0.3770258036133764</v>
      </c>
      <c r="AT152" s="237">
        <f t="shared" si="45"/>
        <v>2.9826369926177137E-2</v>
      </c>
      <c r="AU152" s="237">
        <f t="shared" si="35"/>
        <v>0.98055959563958928</v>
      </c>
      <c r="AV152" s="237">
        <f t="shared" si="35"/>
        <v>1.9440404360410696E-2</v>
      </c>
      <c r="AX152" s="251">
        <f t="shared" si="54"/>
        <v>3589.7306457386217</v>
      </c>
      <c r="AY152" s="251">
        <f t="shared" si="55"/>
        <v>2281.7601634681541</v>
      </c>
      <c r="AZ152" s="251">
        <f t="shared" si="56"/>
        <v>180.50919079322375</v>
      </c>
      <c r="BA152" s="251">
        <f t="shared" si="57"/>
        <v>27532.152326368388</v>
      </c>
      <c r="BB152" s="251">
        <f t="shared" si="58"/>
        <v>545.84767363161154</v>
      </c>
      <c r="BC152" s="251">
        <f t="shared" si="66"/>
        <v>34130</v>
      </c>
      <c r="BD152" s="270">
        <f t="shared" si="67"/>
        <v>8.0192725446212627</v>
      </c>
      <c r="BE152" s="251">
        <f t="shared" si="68"/>
        <v>6052</v>
      </c>
      <c r="BF152" s="251">
        <f t="shared" si="69"/>
        <v>28078</v>
      </c>
      <c r="BG152" s="251">
        <f>Data!T17</f>
        <v>6052</v>
      </c>
      <c r="BH152" s="251">
        <f>Data!S17</f>
        <v>28078</v>
      </c>
      <c r="BI152" s="270">
        <f t="shared" si="62"/>
        <v>8.0192725446212627</v>
      </c>
      <c r="BJ152" s="13">
        <v>3916.1223909598511</v>
      </c>
      <c r="BK152" s="13">
        <v>-5715.6927820360215</v>
      </c>
      <c r="BL152" s="13"/>
      <c r="BM152" s="13">
        <f t="shared" si="49"/>
        <v>0</v>
      </c>
      <c r="BN152" s="13">
        <f t="shared" si="49"/>
        <v>0</v>
      </c>
      <c r="BO152" s="13"/>
      <c r="BP152" s="252">
        <f>'Total RD Feedstock'!C98</f>
        <v>8.1581354240197737</v>
      </c>
      <c r="BQ152" s="252">
        <f t="shared" si="50"/>
        <v>0.13886287939851094</v>
      </c>
      <c r="BS152" s="274">
        <f t="shared" si="63"/>
        <v>0.10517816131668976</v>
      </c>
      <c r="BT152" s="274">
        <f t="shared" si="63"/>
        <v>6.6854971094877064E-2</v>
      </c>
      <c r="BU152" s="274">
        <f t="shared" si="63"/>
        <v>5.2888716903962425E-3</v>
      </c>
      <c r="BV152" s="274">
        <f t="shared" si="63"/>
        <v>0.80668480299936673</v>
      </c>
      <c r="BW152" s="274">
        <f t="shared" si="63"/>
        <v>1.5993192898670131E-2</v>
      </c>
      <c r="BY152" s="252">
        <f t="shared" si="64"/>
        <v>0.84345234134067637</v>
      </c>
      <c r="BZ152" s="252">
        <f t="shared" si="64"/>
        <v>0.5361282341725957</v>
      </c>
      <c r="CA152" s="252">
        <f t="shared" si="64"/>
        <v>4.2412903538819234E-2</v>
      </c>
      <c r="CB152" s="252">
        <f t="shared" si="64"/>
        <v>6.4690252928560339</v>
      </c>
      <c r="CC152" s="252">
        <f t="shared" si="64"/>
        <v>0.12825377271313712</v>
      </c>
    </row>
    <row r="153" spans="1:81">
      <c r="A153" s="11">
        <v>44287</v>
      </c>
      <c r="B153" s="268">
        <v>70</v>
      </c>
      <c r="C153" s="268">
        <v>13</v>
      </c>
      <c r="D153" s="268"/>
      <c r="E153" s="268">
        <v>3</v>
      </c>
      <c r="F153" s="269">
        <v>0.2</v>
      </c>
      <c r="G153" s="269">
        <v>1.32</v>
      </c>
      <c r="H153" s="269">
        <v>12</v>
      </c>
      <c r="I153" s="269">
        <v>5</v>
      </c>
      <c r="J153" s="269"/>
      <c r="K153" s="269"/>
      <c r="L153" s="269"/>
      <c r="M153" s="269">
        <f t="shared" si="65"/>
        <v>1.5</v>
      </c>
      <c r="N153" s="269">
        <v>45</v>
      </c>
      <c r="O153" s="269">
        <f t="shared" si="38"/>
        <v>17.699535849485258</v>
      </c>
      <c r="Q153" s="251">
        <f t="shared" si="46"/>
        <v>168.71953584948523</v>
      </c>
      <c r="R153" s="251">
        <f>'RD Plant List'!N21</f>
        <v>0</v>
      </c>
      <c r="S153" s="251">
        <f>SUM(B153:O153)+'RD Plant List'!N21</f>
        <v>168.71953584948523</v>
      </c>
      <c r="U153" s="251">
        <f>'Renewable Fuel Ex Ethanol'!J25*'Renewable Fuel Ex Ethanol'!$I$121*12/1000000</f>
        <v>112.1981176236</v>
      </c>
      <c r="V153" s="271">
        <f t="shared" si="51"/>
        <v>0.66499778498497053</v>
      </c>
      <c r="W153" s="251">
        <f t="shared" si="47"/>
        <v>9.3498431353000004</v>
      </c>
      <c r="X153" s="272">
        <f t="shared" si="52"/>
        <v>8.0249587145177816</v>
      </c>
      <c r="Y153" s="273">
        <f t="shared" si="53"/>
        <v>1.6505468355649811E-3</v>
      </c>
      <c r="AB153" s="251">
        <f>SUM('BD Feedstock'!C151,'BD Feedstock'!E151,'BD Feedstock'!G151,'BD Feedstock'!K151,'BD Feedstock'!T151)</f>
        <v>17.937796010427753</v>
      </c>
      <c r="AC153" s="251">
        <f>SUM('BD Feedstock'!D151,'BD Feedstock'!F151,'BD Feedstock'!H151,'BD Feedstock'!I151,'BD Feedstock'!L151,'BD Feedstock'!M151,'BD Feedstock'!N151,'BD Feedstock'!O151,'BD Feedstock'!U151)</f>
        <v>11.401899584192993</v>
      </c>
      <c r="AD153" s="251">
        <f>'BD Feedstock'!J151</f>
        <v>0.90199999999999991</v>
      </c>
      <c r="AE153" s="251">
        <f>SUM('BD Feedstock'!B151,'BD Feedstock'!P151,'BD Feedstock'!Q151,'BD Feedstock'!R151)</f>
        <v>70.93020833333334</v>
      </c>
      <c r="AF153" s="251">
        <f>'BD Feedstock'!S151</f>
        <v>1.40625</v>
      </c>
      <c r="AG153" s="251">
        <f t="shared" si="41"/>
        <v>102.57815392795409</v>
      </c>
      <c r="AK153" s="237">
        <f t="shared" si="37"/>
        <v>0.17486955383332781</v>
      </c>
      <c r="AL153" s="237">
        <f t="shared" si="37"/>
        <v>0.11115329285610982</v>
      </c>
      <c r="AM153" s="237">
        <f t="shared" si="37"/>
        <v>8.7932953115292065E-3</v>
      </c>
      <c r="AN153" s="237">
        <f t="shared" si="37"/>
        <v>0.69147479865109751</v>
      </c>
      <c r="AO153" s="237">
        <f t="shared" si="37"/>
        <v>1.370905934793564E-2</v>
      </c>
      <c r="AP153" s="237">
        <f t="shared" si="42"/>
        <v>1</v>
      </c>
      <c r="AQ153" s="237"/>
      <c r="AR153" s="237">
        <f t="shared" si="43"/>
        <v>0.59314782646044639</v>
      </c>
      <c r="AS153" s="237">
        <f t="shared" si="44"/>
        <v>0.3770258036133764</v>
      </c>
      <c r="AT153" s="237">
        <f t="shared" si="45"/>
        <v>2.9826369926177137E-2</v>
      </c>
      <c r="AU153" s="237">
        <f t="shared" si="35"/>
        <v>0.98055959563958928</v>
      </c>
      <c r="AV153" s="237">
        <f t="shared" si="35"/>
        <v>1.9440404360410696E-2</v>
      </c>
      <c r="AX153" s="251">
        <f t="shared" si="54"/>
        <v>4681.1226464258425</v>
      </c>
      <c r="AY153" s="251">
        <f t="shared" si="55"/>
        <v>2975.4876421167664</v>
      </c>
      <c r="AZ153" s="251">
        <f t="shared" si="56"/>
        <v>235.38971145739106</v>
      </c>
      <c r="BA153" s="251">
        <f t="shared" si="57"/>
        <v>25633.788949210142</v>
      </c>
      <c r="BB153" s="251">
        <f t="shared" si="58"/>
        <v>508.21105078985784</v>
      </c>
      <c r="BC153" s="251">
        <f t="shared" si="66"/>
        <v>34034</v>
      </c>
      <c r="BD153" s="270">
        <f t="shared" si="67"/>
        <v>8.0249587145177816</v>
      </c>
      <c r="BE153" s="251">
        <f t="shared" si="68"/>
        <v>7892</v>
      </c>
      <c r="BF153" s="251">
        <f t="shared" si="69"/>
        <v>26142</v>
      </c>
      <c r="BG153" s="251">
        <f>Data!T18</f>
        <v>7892</v>
      </c>
      <c r="BH153" s="251">
        <f>Data!S18</f>
        <v>26142</v>
      </c>
      <c r="BI153" s="270">
        <f t="shared" si="62"/>
        <v>8.0249587145177816</v>
      </c>
      <c r="BJ153" s="13">
        <v>2041.0411561248393</v>
      </c>
      <c r="BK153" s="13">
        <v>-3858.3933958725393</v>
      </c>
      <c r="BL153" s="13"/>
      <c r="BM153" s="13">
        <f t="shared" si="49"/>
        <v>0</v>
      </c>
      <c r="BN153" s="13">
        <f t="shared" si="49"/>
        <v>0</v>
      </c>
      <c r="BO153" s="13"/>
      <c r="BP153" s="252">
        <f>'Total RD Feedstock'!C99</f>
        <v>8.0233081676822167</v>
      </c>
      <c r="BQ153" s="252">
        <f t="shared" si="50"/>
        <v>-1.6505468355649811E-3</v>
      </c>
      <c r="BS153" s="274">
        <f t="shared" si="63"/>
        <v>0.13754253530075344</v>
      </c>
      <c r="BT153" s="274">
        <f t="shared" si="63"/>
        <v>8.7426915499699318E-2</v>
      </c>
      <c r="BU153" s="274">
        <f t="shared" si="63"/>
        <v>6.9163104970732516E-3</v>
      </c>
      <c r="BV153" s="274">
        <f t="shared" si="63"/>
        <v>0.75318178730710883</v>
      </c>
      <c r="BW153" s="274">
        <f t="shared" si="63"/>
        <v>1.493245139536516E-2</v>
      </c>
      <c r="BY153" s="252">
        <f t="shared" si="64"/>
        <v>1.1037731672786508</v>
      </c>
      <c r="BZ153" s="252">
        <f t="shared" si="64"/>
        <v>0.70159738742272171</v>
      </c>
      <c r="CA153" s="252">
        <f t="shared" si="64"/>
        <v>5.5503106195798804E-2</v>
      </c>
      <c r="CB153" s="252">
        <f t="shared" si="64"/>
        <v>6.0442527476662606</v>
      </c>
      <c r="CC153" s="252">
        <f t="shared" si="64"/>
        <v>0.11983230595434885</v>
      </c>
    </row>
    <row r="154" spans="1:81">
      <c r="A154" s="11">
        <v>44317</v>
      </c>
      <c r="B154" s="268">
        <v>70</v>
      </c>
      <c r="C154" s="268">
        <v>13</v>
      </c>
      <c r="D154" s="268"/>
      <c r="E154" s="268">
        <v>3</v>
      </c>
      <c r="F154" s="269">
        <v>0.2</v>
      </c>
      <c r="G154" s="269">
        <v>1.32</v>
      </c>
      <c r="H154" s="269">
        <v>12</v>
      </c>
      <c r="I154" s="269">
        <v>5</v>
      </c>
      <c r="J154" s="269"/>
      <c r="K154" s="269"/>
      <c r="L154" s="269"/>
      <c r="M154" s="269">
        <f t="shared" si="65"/>
        <v>1.5</v>
      </c>
      <c r="N154" s="269">
        <v>45</v>
      </c>
      <c r="O154" s="269">
        <f t="shared" si="38"/>
        <v>17.699535849485258</v>
      </c>
      <c r="Q154" s="251">
        <f t="shared" si="46"/>
        <v>168.71953584948523</v>
      </c>
      <c r="R154" s="251">
        <f>'RD Plant List'!N22</f>
        <v>0</v>
      </c>
      <c r="S154" s="251">
        <f>SUM(B154:O154)+'RD Plant List'!N22</f>
        <v>168.71953584948523</v>
      </c>
      <c r="U154" s="251">
        <f>'Renewable Fuel Ex Ethanol'!J26*'Renewable Fuel Ex Ethanol'!$I$121*12/1000000</f>
        <v>91.548312910799993</v>
      </c>
      <c r="V154" s="271">
        <f t="shared" si="51"/>
        <v>0.54260647677735607</v>
      </c>
      <c r="W154" s="251">
        <f t="shared" si="47"/>
        <v>7.6290260758999997</v>
      </c>
      <c r="X154" s="272">
        <f t="shared" si="52"/>
        <v>7.9373634159267663</v>
      </c>
      <c r="Y154" s="273">
        <f t="shared" si="53"/>
        <v>-0.18292318208328595</v>
      </c>
      <c r="AB154" s="251">
        <f>SUM('BD Feedstock'!C152,'BD Feedstock'!E152,'BD Feedstock'!G152,'BD Feedstock'!K152,'BD Feedstock'!T152)</f>
        <v>17.937796010427753</v>
      </c>
      <c r="AC154" s="251">
        <f>SUM('BD Feedstock'!D152,'BD Feedstock'!F152,'BD Feedstock'!H152,'BD Feedstock'!I152,'BD Feedstock'!L152,'BD Feedstock'!M152,'BD Feedstock'!N152,'BD Feedstock'!O152,'BD Feedstock'!U152)</f>
        <v>11.401899584192993</v>
      </c>
      <c r="AD154" s="251">
        <f>'BD Feedstock'!J152</f>
        <v>0.90199999999999991</v>
      </c>
      <c r="AE154" s="251">
        <f>SUM('BD Feedstock'!B152,'BD Feedstock'!P152,'BD Feedstock'!Q152,'BD Feedstock'!R152)</f>
        <v>70.93020833333334</v>
      </c>
      <c r="AF154" s="251">
        <f>'BD Feedstock'!S152</f>
        <v>1.40625</v>
      </c>
      <c r="AG154" s="251">
        <f t="shared" si="41"/>
        <v>102.57815392795409</v>
      </c>
      <c r="AK154" s="237">
        <f t="shared" si="37"/>
        <v>0.17486955383332781</v>
      </c>
      <c r="AL154" s="237">
        <f t="shared" si="37"/>
        <v>0.11115329285610982</v>
      </c>
      <c r="AM154" s="237">
        <f t="shared" si="37"/>
        <v>8.7932953115292065E-3</v>
      </c>
      <c r="AN154" s="237">
        <f t="shared" si="37"/>
        <v>0.69147479865109751</v>
      </c>
      <c r="AO154" s="237">
        <f t="shared" si="37"/>
        <v>1.370905934793564E-2</v>
      </c>
      <c r="AP154" s="237">
        <f t="shared" si="42"/>
        <v>1</v>
      </c>
      <c r="AQ154" s="237"/>
      <c r="AR154" s="237">
        <f t="shared" si="43"/>
        <v>0.59314782646044639</v>
      </c>
      <c r="AS154" s="237">
        <f t="shared" si="44"/>
        <v>0.3770258036133764</v>
      </c>
      <c r="AT154" s="237">
        <f t="shared" si="45"/>
        <v>2.9826369926177137E-2</v>
      </c>
      <c r="AU154" s="237">
        <f t="shared" si="35"/>
        <v>0.98055959563958928</v>
      </c>
      <c r="AV154" s="237">
        <f t="shared" si="35"/>
        <v>1.9440404360410696E-2</v>
      </c>
      <c r="AX154" s="251">
        <f t="shared" si="54"/>
        <v>3980.6150633760558</v>
      </c>
      <c r="AY154" s="251">
        <f t="shared" si="55"/>
        <v>2530.220168049369</v>
      </c>
      <c r="AZ154" s="251">
        <f t="shared" si="56"/>
        <v>200.16476857457565</v>
      </c>
      <c r="BA154" s="251">
        <f t="shared" si="57"/>
        <v>20352.494967095314</v>
      </c>
      <c r="BB154" s="251">
        <f t="shared" si="58"/>
        <v>403.50503290468623</v>
      </c>
      <c r="BC154" s="251">
        <f t="shared" si="66"/>
        <v>27467</v>
      </c>
      <c r="BD154" s="270">
        <f t="shared" si="67"/>
        <v>7.9373634159267654</v>
      </c>
      <c r="BE154" s="251">
        <f t="shared" si="68"/>
        <v>6711</v>
      </c>
      <c r="BF154" s="251">
        <f t="shared" si="69"/>
        <v>20756</v>
      </c>
      <c r="BG154" s="251">
        <f>Data!T19</f>
        <v>6711</v>
      </c>
      <c r="BH154" s="251">
        <f>Data!S19</f>
        <v>20756</v>
      </c>
      <c r="BI154" s="270">
        <f t="shared" si="62"/>
        <v>7.9373634159267654</v>
      </c>
      <c r="BJ154" s="13">
        <v>1393.8878464026548</v>
      </c>
      <c r="BK154" s="13">
        <v>-2573.6397841212456</v>
      </c>
      <c r="BL154" s="13"/>
      <c r="BM154" s="13">
        <f t="shared" si="49"/>
        <v>0</v>
      </c>
      <c r="BN154" s="13">
        <f t="shared" si="49"/>
        <v>0</v>
      </c>
      <c r="BO154" s="13"/>
      <c r="BP154" s="252">
        <f>'Total RD Feedstock'!C100</f>
        <v>8.1202865980100523</v>
      </c>
      <c r="BQ154" s="252">
        <f t="shared" si="50"/>
        <v>0.18292318208328684</v>
      </c>
      <c r="BS154" s="274">
        <f t="shared" si="63"/>
        <v>0.14492354692452963</v>
      </c>
      <c r="BT154" s="274">
        <f t="shared" si="63"/>
        <v>9.2118548368928854E-2</v>
      </c>
      <c r="BU154" s="274">
        <f t="shared" si="63"/>
        <v>7.2874638138338971E-3</v>
      </c>
      <c r="BV154" s="274">
        <f t="shared" si="63"/>
        <v>0.74097990195854346</v>
      </c>
      <c r="BW154" s="274">
        <f t="shared" si="63"/>
        <v>1.4690538934164133E-2</v>
      </c>
      <c r="BY154" s="252">
        <f t="shared" si="64"/>
        <v>1.1503108594651077</v>
      </c>
      <c r="BZ154" s="252">
        <f t="shared" si="64"/>
        <v>0.7311783957518162</v>
      </c>
      <c r="CA154" s="252">
        <f t="shared" si="64"/>
        <v>5.784324867081532E-2</v>
      </c>
      <c r="CB154" s="252">
        <f t="shared" si="64"/>
        <v>5.881426765742745</v>
      </c>
      <c r="CC154" s="252">
        <f t="shared" si="64"/>
        <v>0.11660414629628219</v>
      </c>
    </row>
    <row r="155" spans="1:81">
      <c r="A155" s="11">
        <v>44348</v>
      </c>
      <c r="B155" s="268">
        <v>70</v>
      </c>
      <c r="C155" s="268">
        <v>13</v>
      </c>
      <c r="D155" s="268"/>
      <c r="E155" s="268">
        <v>3</v>
      </c>
      <c r="F155" s="269">
        <v>0.2</v>
      </c>
      <c r="G155" s="269">
        <v>1.32</v>
      </c>
      <c r="H155" s="269">
        <v>12</v>
      </c>
      <c r="I155" s="269">
        <v>5</v>
      </c>
      <c r="J155" s="269"/>
      <c r="K155" s="269"/>
      <c r="L155" s="269"/>
      <c r="M155" s="269">
        <f t="shared" si="65"/>
        <v>1.5</v>
      </c>
      <c r="N155" s="269">
        <v>45</v>
      </c>
      <c r="O155" s="269">
        <f t="shared" si="38"/>
        <v>17.699535849485258</v>
      </c>
      <c r="Q155" s="251">
        <f t="shared" si="46"/>
        <v>168.71953584948523</v>
      </c>
      <c r="R155" s="251">
        <f>'RD Plant List'!N23</f>
        <v>0</v>
      </c>
      <c r="S155" s="251">
        <f>SUM(B155:O155)+'RD Plant List'!N23</f>
        <v>168.71953584948523</v>
      </c>
      <c r="U155" s="251">
        <f>'Renewable Fuel Ex Ethanol'!J27*'Renewable Fuel Ex Ethanol'!$I$121*12/1000000</f>
        <v>129.6493265496</v>
      </c>
      <c r="V155" s="271">
        <f t="shared" si="51"/>
        <v>0.76843102902594651</v>
      </c>
      <c r="W155" s="251">
        <f t="shared" si="47"/>
        <v>10.8041105458</v>
      </c>
      <c r="X155" s="272">
        <f t="shared" si="52"/>
        <v>8.0721722837150267</v>
      </c>
      <c r="Y155" s="273">
        <f t="shared" si="53"/>
        <v>1.1222970135856158E-2</v>
      </c>
      <c r="AB155" s="251">
        <f>SUM('BD Feedstock'!C153,'BD Feedstock'!E153,'BD Feedstock'!G153,'BD Feedstock'!K153,'BD Feedstock'!T153)</f>
        <v>17.937796010427753</v>
      </c>
      <c r="AC155" s="251">
        <f>SUM('BD Feedstock'!D153,'BD Feedstock'!F153,'BD Feedstock'!H153,'BD Feedstock'!I153,'BD Feedstock'!L153,'BD Feedstock'!M153,'BD Feedstock'!N153,'BD Feedstock'!O153,'BD Feedstock'!U153)</f>
        <v>11.401899584192993</v>
      </c>
      <c r="AD155" s="251">
        <f>'BD Feedstock'!J153</f>
        <v>0.90199999999999991</v>
      </c>
      <c r="AE155" s="251">
        <f>SUM('BD Feedstock'!B153,'BD Feedstock'!P153,'BD Feedstock'!Q153,'BD Feedstock'!R153)</f>
        <v>70.93020833333334</v>
      </c>
      <c r="AF155" s="251">
        <f>'BD Feedstock'!S153</f>
        <v>1.40625</v>
      </c>
      <c r="AG155" s="251">
        <f t="shared" si="41"/>
        <v>102.57815392795409</v>
      </c>
      <c r="AK155" s="237">
        <f t="shared" si="37"/>
        <v>0.17486955383332781</v>
      </c>
      <c r="AL155" s="237">
        <f t="shared" si="37"/>
        <v>0.11115329285610982</v>
      </c>
      <c r="AM155" s="237">
        <f t="shared" si="37"/>
        <v>8.7932953115292065E-3</v>
      </c>
      <c r="AN155" s="237">
        <f t="shared" si="37"/>
        <v>0.69147479865109751</v>
      </c>
      <c r="AO155" s="237">
        <f t="shared" si="37"/>
        <v>1.370905934793564E-2</v>
      </c>
      <c r="AP155" s="237">
        <f t="shared" si="42"/>
        <v>1</v>
      </c>
      <c r="AQ155" s="237"/>
      <c r="AR155" s="237">
        <f t="shared" si="43"/>
        <v>0.59314782646044639</v>
      </c>
      <c r="AS155" s="237">
        <f t="shared" si="44"/>
        <v>0.3770258036133764</v>
      </c>
      <c r="AT155" s="237">
        <f t="shared" si="45"/>
        <v>2.9826369926177137E-2</v>
      </c>
      <c r="AU155" s="237">
        <f t="shared" si="35"/>
        <v>0.98055959563958928</v>
      </c>
      <c r="AV155" s="237">
        <f t="shared" si="35"/>
        <v>1.9440404360410696E-2</v>
      </c>
      <c r="AX155" s="251">
        <f t="shared" si="54"/>
        <v>5034.6387509962688</v>
      </c>
      <c r="AY155" s="251">
        <f t="shared" si="55"/>
        <v>3200.195021070339</v>
      </c>
      <c r="AZ155" s="251">
        <f t="shared" si="56"/>
        <v>253.16622793339229</v>
      </c>
      <c r="BA155" s="251">
        <f t="shared" si="57"/>
        <v>30466.967196117679</v>
      </c>
      <c r="BB155" s="251">
        <f t="shared" si="58"/>
        <v>604.03280388232088</v>
      </c>
      <c r="BC155" s="251">
        <f t="shared" si="66"/>
        <v>39559</v>
      </c>
      <c r="BD155" s="270">
        <f t="shared" si="67"/>
        <v>8.0721722837150267</v>
      </c>
      <c r="BE155" s="251">
        <f t="shared" si="68"/>
        <v>8488</v>
      </c>
      <c r="BF155" s="251">
        <f t="shared" si="69"/>
        <v>31071</v>
      </c>
      <c r="BG155" s="251">
        <f>Data!T20</f>
        <v>8488</v>
      </c>
      <c r="BH155" s="251">
        <f>Data!S20</f>
        <v>31071</v>
      </c>
      <c r="BI155" s="270">
        <f t="shared" si="62"/>
        <v>8.0721722837150267</v>
      </c>
      <c r="BJ155" s="13">
        <v>2990.018738258801</v>
      </c>
      <c r="BK155" s="13">
        <v>-5321.4183625122241</v>
      </c>
      <c r="BL155" s="13"/>
      <c r="BM155" s="13">
        <f t="shared" si="49"/>
        <v>0</v>
      </c>
      <c r="BN155" s="13">
        <f t="shared" si="49"/>
        <v>0</v>
      </c>
      <c r="BO155" s="13"/>
      <c r="BP155" s="252">
        <f>'Total RD Feedstock'!C101</f>
        <v>8.0609493135791705</v>
      </c>
      <c r="BQ155" s="252">
        <f t="shared" si="50"/>
        <v>-1.1222970135856158E-2</v>
      </c>
      <c r="BS155" s="274">
        <f t="shared" si="63"/>
        <v>0.12726911072060135</v>
      </c>
      <c r="BT155" s="274">
        <f t="shared" si="63"/>
        <v>8.0896762331462854E-2</v>
      </c>
      <c r="BU155" s="274">
        <f t="shared" si="63"/>
        <v>6.3997125289666648E-3</v>
      </c>
      <c r="BV155" s="274">
        <f t="shared" si="63"/>
        <v>0.77016525180408202</v>
      </c>
      <c r="BW155" s="274">
        <f t="shared" si="63"/>
        <v>1.5269162614887153E-2</v>
      </c>
      <c r="BY155" s="252">
        <f t="shared" si="64"/>
        <v>1.027338188131897</v>
      </c>
      <c r="BZ155" s="252">
        <f t="shared" si="64"/>
        <v>0.65301260273431616</v>
      </c>
      <c r="CA155" s="252">
        <f t="shared" si="64"/>
        <v>5.1659582100068512E-2</v>
      </c>
      <c r="CB155" s="252">
        <f t="shared" si="64"/>
        <v>6.2169065994933153</v>
      </c>
      <c r="CC155" s="252">
        <f t="shared" si="64"/>
        <v>0.12325531125542975</v>
      </c>
    </row>
    <row r="156" spans="1:81">
      <c r="A156" s="11">
        <v>44378</v>
      </c>
      <c r="B156" s="268">
        <v>70</v>
      </c>
      <c r="C156" s="268">
        <v>13</v>
      </c>
      <c r="D156" s="268"/>
      <c r="E156" s="268">
        <v>3</v>
      </c>
      <c r="F156" s="269">
        <v>0.2</v>
      </c>
      <c r="G156" s="269">
        <v>1.32</v>
      </c>
      <c r="H156" s="269">
        <v>12</v>
      </c>
      <c r="I156" s="269">
        <v>5</v>
      </c>
      <c r="J156" s="269"/>
      <c r="K156" s="269"/>
      <c r="L156" s="269"/>
      <c r="M156" s="269">
        <f t="shared" si="65"/>
        <v>1.5</v>
      </c>
      <c r="N156" s="269">
        <v>45</v>
      </c>
      <c r="O156" s="269">
        <f t="shared" si="38"/>
        <v>17.699535849485258</v>
      </c>
      <c r="Q156" s="251">
        <f t="shared" si="46"/>
        <v>168.71953584948523</v>
      </c>
      <c r="R156" s="251">
        <f>'RD Plant List'!N24</f>
        <v>0</v>
      </c>
      <c r="S156" s="251">
        <f>SUM(B156:O156)+'RD Plant List'!N24</f>
        <v>168.71953584948523</v>
      </c>
      <c r="U156" s="251">
        <f>'Renewable Fuel Ex Ethanol'!J28*'Renewable Fuel Ex Ethanol'!$I$121*12/1000000</f>
        <v>120.1010901672</v>
      </c>
      <c r="V156" s="271">
        <f t="shared" si="51"/>
        <v>0.71183867097845877</v>
      </c>
      <c r="W156" s="251">
        <f t="shared" si="47"/>
        <v>10.0084241806</v>
      </c>
      <c r="X156" s="272">
        <f t="shared" si="52"/>
        <v>8.0865755469157232</v>
      </c>
      <c r="Y156" s="273">
        <f t="shared" si="53"/>
        <v>-0.1019880819978205</v>
      </c>
      <c r="AB156" s="251">
        <f>SUM('BD Feedstock'!C154,'BD Feedstock'!E154,'BD Feedstock'!G154,'BD Feedstock'!K154,'BD Feedstock'!T154)</f>
        <v>17.937796010427753</v>
      </c>
      <c r="AC156" s="251">
        <f>SUM('BD Feedstock'!D154,'BD Feedstock'!F154,'BD Feedstock'!H154,'BD Feedstock'!I154,'BD Feedstock'!L154,'BD Feedstock'!M154,'BD Feedstock'!N154,'BD Feedstock'!O154,'BD Feedstock'!U154)</f>
        <v>11.401899584192993</v>
      </c>
      <c r="AD156" s="251">
        <f>'BD Feedstock'!J154</f>
        <v>0.90199999999999991</v>
      </c>
      <c r="AE156" s="251">
        <f>SUM('BD Feedstock'!B154,'BD Feedstock'!P154,'BD Feedstock'!Q154,'BD Feedstock'!R154)</f>
        <v>70.93020833333334</v>
      </c>
      <c r="AF156" s="251">
        <f>'BD Feedstock'!S154</f>
        <v>1.40625</v>
      </c>
      <c r="AG156" s="251">
        <f t="shared" si="41"/>
        <v>102.57815392795409</v>
      </c>
      <c r="AK156" s="237">
        <f t="shared" si="37"/>
        <v>0.17486955383332781</v>
      </c>
      <c r="AL156" s="237">
        <f t="shared" si="37"/>
        <v>0.11115329285610982</v>
      </c>
      <c r="AM156" s="237">
        <f t="shared" si="37"/>
        <v>8.7932953115292065E-3</v>
      </c>
      <c r="AN156" s="237">
        <f t="shared" si="37"/>
        <v>0.69147479865109751</v>
      </c>
      <c r="AO156" s="237">
        <f t="shared" si="37"/>
        <v>1.370905934793564E-2</v>
      </c>
      <c r="AP156" s="237">
        <f t="shared" si="42"/>
        <v>1</v>
      </c>
      <c r="AQ156" s="237"/>
      <c r="AR156" s="237">
        <f t="shared" si="43"/>
        <v>0.59314782646044639</v>
      </c>
      <c r="AS156" s="237">
        <f t="shared" si="44"/>
        <v>0.3770258036133764</v>
      </c>
      <c r="AT156" s="237">
        <f t="shared" si="45"/>
        <v>2.9826369926177137E-2</v>
      </c>
      <c r="AU156" s="237">
        <f t="shared" si="35"/>
        <v>0.98055959563958928</v>
      </c>
      <c r="AV156" s="237">
        <f t="shared" si="35"/>
        <v>1.9440404360410696E-2</v>
      </c>
      <c r="AX156" s="251">
        <f t="shared" si="54"/>
        <v>4561.8999333072934</v>
      </c>
      <c r="AY156" s="251">
        <f t="shared" si="55"/>
        <v>2899.7054555904779</v>
      </c>
      <c r="AZ156" s="251">
        <f t="shared" si="56"/>
        <v>229.39461110222874</v>
      </c>
      <c r="BA156" s="251">
        <f t="shared" si="57"/>
        <v>28455.839465460882</v>
      </c>
      <c r="BB156" s="251">
        <f t="shared" si="58"/>
        <v>564.16053453911809</v>
      </c>
      <c r="BC156" s="251">
        <f t="shared" si="66"/>
        <v>36711</v>
      </c>
      <c r="BD156" s="270">
        <f t="shared" si="67"/>
        <v>8.0865755469157232</v>
      </c>
      <c r="BE156" s="251">
        <f t="shared" si="68"/>
        <v>7691</v>
      </c>
      <c r="BF156" s="251">
        <f t="shared" si="69"/>
        <v>29020</v>
      </c>
      <c r="BG156" s="251">
        <f>Data!T21</f>
        <v>7691</v>
      </c>
      <c r="BH156" s="251">
        <f>Data!S21</f>
        <v>29020</v>
      </c>
      <c r="BI156" s="270">
        <f t="shared" si="62"/>
        <v>8.0865755469157232</v>
      </c>
      <c r="BJ156" s="13">
        <v>2941.7013036743319</v>
      </c>
      <c r="BK156" s="13">
        <v>-5166.7883535169967</v>
      </c>
      <c r="BL156" s="13"/>
      <c r="BM156" s="13">
        <f t="shared" si="49"/>
        <v>0</v>
      </c>
      <c r="BN156" s="13">
        <f t="shared" si="49"/>
        <v>0</v>
      </c>
      <c r="BO156" s="13"/>
      <c r="BP156" s="252">
        <f>'Total RD Feedstock'!C102</f>
        <v>8.1885636289135437</v>
      </c>
      <c r="BQ156" s="252">
        <f t="shared" si="50"/>
        <v>0.1019880819978205</v>
      </c>
      <c r="BS156" s="274">
        <f t="shared" si="63"/>
        <v>0.12426520479712602</v>
      </c>
      <c r="BT156" s="274">
        <f t="shared" si="63"/>
        <v>7.8987373146753775E-2</v>
      </c>
      <c r="BU156" s="274">
        <f t="shared" si="63"/>
        <v>6.2486614666511058E-3</v>
      </c>
      <c r="BV156" s="274">
        <f t="shared" si="63"/>
        <v>0.77513114503720637</v>
      </c>
      <c r="BW156" s="274">
        <f t="shared" si="63"/>
        <v>1.5367615552262757E-2</v>
      </c>
      <c r="BY156" s="252">
        <f t="shared" si="64"/>
        <v>1.0048799664449137</v>
      </c>
      <c r="BZ156" s="252">
        <f t="shared" si="64"/>
        <v>0.63873736020364669</v>
      </c>
      <c r="CA156" s="252">
        <f t="shared" si="64"/>
        <v>5.0530273017175366E-2</v>
      </c>
      <c r="CB156" s="252">
        <f t="shared" si="64"/>
        <v>6.2681565631106579</v>
      </c>
      <c r="CC156" s="252">
        <f t="shared" si="64"/>
        <v>0.12427138413932977</v>
      </c>
    </row>
    <row r="157" spans="1:81">
      <c r="A157" s="11">
        <v>44409</v>
      </c>
      <c r="B157" s="268">
        <v>70</v>
      </c>
      <c r="C157" s="268">
        <v>13</v>
      </c>
      <c r="D157" s="268"/>
      <c r="E157" s="268">
        <v>3</v>
      </c>
      <c r="F157" s="269">
        <v>0.2</v>
      </c>
      <c r="G157" s="269">
        <v>1.32</v>
      </c>
      <c r="H157" s="269">
        <v>12</v>
      </c>
      <c r="I157" s="269">
        <v>5</v>
      </c>
      <c r="J157" s="269"/>
      <c r="K157" s="269"/>
      <c r="L157" s="269"/>
      <c r="M157" s="269">
        <f t="shared" si="65"/>
        <v>1.5</v>
      </c>
      <c r="N157" s="269">
        <v>45</v>
      </c>
      <c r="O157" s="269">
        <f t="shared" si="38"/>
        <v>17.699535849485258</v>
      </c>
      <c r="Q157" s="251">
        <f t="shared" si="46"/>
        <v>168.71953584948523</v>
      </c>
      <c r="R157" s="251">
        <f>'RD Plant List'!N25</f>
        <v>0</v>
      </c>
      <c r="S157" s="251">
        <f>SUM(B157:O157)+'RD Plant List'!N25</f>
        <v>168.71953584948523</v>
      </c>
      <c r="U157" s="251">
        <f>'Renewable Fuel Ex Ethanol'!J29*'Renewable Fuel Ex Ethanol'!$I$121*12/1000000</f>
        <v>118.07224843919998</v>
      </c>
      <c r="V157" s="271">
        <f t="shared" si="51"/>
        <v>0.69981373434154237</v>
      </c>
      <c r="W157" s="251">
        <f t="shared" si="47"/>
        <v>9.8393540365999979</v>
      </c>
      <c r="X157" s="272">
        <f t="shared" si="52"/>
        <v>8.0052749929524794</v>
      </c>
      <c r="Y157" s="273">
        <f t="shared" si="53"/>
        <v>-2.1509919372016739E-2</v>
      </c>
      <c r="AB157" s="251">
        <f>SUM('BD Feedstock'!C155,'BD Feedstock'!E155,'BD Feedstock'!G155,'BD Feedstock'!K155,'BD Feedstock'!T155)</f>
        <v>17.937796010427753</v>
      </c>
      <c r="AC157" s="251">
        <f>SUM('BD Feedstock'!D155,'BD Feedstock'!F155,'BD Feedstock'!H155,'BD Feedstock'!I155,'BD Feedstock'!L155,'BD Feedstock'!M155,'BD Feedstock'!N155,'BD Feedstock'!O155,'BD Feedstock'!U155)</f>
        <v>11.401899584192993</v>
      </c>
      <c r="AD157" s="251">
        <f>'BD Feedstock'!J155</f>
        <v>0.90199999999999991</v>
      </c>
      <c r="AE157" s="251">
        <f>SUM('BD Feedstock'!B155,'BD Feedstock'!P155,'BD Feedstock'!Q155,'BD Feedstock'!R155)</f>
        <v>70.93020833333334</v>
      </c>
      <c r="AF157" s="251">
        <f>'BD Feedstock'!S155</f>
        <v>1.40625</v>
      </c>
      <c r="AG157" s="251">
        <f t="shared" si="41"/>
        <v>102.57815392795409</v>
      </c>
      <c r="AK157" s="237">
        <f t="shared" si="37"/>
        <v>0.17486955383332781</v>
      </c>
      <c r="AL157" s="237">
        <f t="shared" si="37"/>
        <v>0.11115329285610982</v>
      </c>
      <c r="AM157" s="237">
        <f t="shared" si="37"/>
        <v>8.7932953115292065E-3</v>
      </c>
      <c r="AN157" s="237">
        <f t="shared" si="37"/>
        <v>0.69147479865109751</v>
      </c>
      <c r="AO157" s="237">
        <f t="shared" si="37"/>
        <v>1.370905934793564E-2</v>
      </c>
      <c r="AP157" s="237">
        <f t="shared" si="42"/>
        <v>1</v>
      </c>
      <c r="AQ157" s="237"/>
      <c r="AR157" s="237">
        <f t="shared" si="43"/>
        <v>0.59314782646044639</v>
      </c>
      <c r="AS157" s="237">
        <f t="shared" si="44"/>
        <v>0.3770258036133764</v>
      </c>
      <c r="AT157" s="237">
        <f t="shared" si="45"/>
        <v>2.9826369926177137E-2</v>
      </c>
      <c r="AU157" s="237">
        <f t="shared" si="35"/>
        <v>0.98055959563958928</v>
      </c>
      <c r="AV157" s="237">
        <f t="shared" si="35"/>
        <v>1.9440404360410696E-2</v>
      </c>
      <c r="AX157" s="251">
        <f t="shared" si="54"/>
        <v>3867.3238285221105</v>
      </c>
      <c r="AY157" s="251">
        <f t="shared" si="55"/>
        <v>2458.2082395592142</v>
      </c>
      <c r="AZ157" s="251">
        <f t="shared" si="56"/>
        <v>194.46793191867528</v>
      </c>
      <c r="BA157" s="251">
        <f t="shared" si="57"/>
        <v>28640.184669441125</v>
      </c>
      <c r="BB157" s="251">
        <f t="shared" si="58"/>
        <v>567.81533055887485</v>
      </c>
      <c r="BC157" s="251">
        <f t="shared" si="66"/>
        <v>35728</v>
      </c>
      <c r="BD157" s="270">
        <f t="shared" si="67"/>
        <v>8.0052749929524794</v>
      </c>
      <c r="BE157" s="251">
        <f t="shared" si="68"/>
        <v>6520</v>
      </c>
      <c r="BF157" s="251">
        <f t="shared" si="69"/>
        <v>29208</v>
      </c>
      <c r="BG157" s="251">
        <f>Data!T22</f>
        <v>6520</v>
      </c>
      <c r="BH157" s="251">
        <f>Data!S22</f>
        <v>29208</v>
      </c>
      <c r="BI157" s="270">
        <f t="shared" si="62"/>
        <v>8.0052749929524794</v>
      </c>
      <c r="BJ157" s="13">
        <v>3933.0853813190633</v>
      </c>
      <c r="BK157" s="13">
        <v>-5757.7354963599828</v>
      </c>
      <c r="BL157" s="13"/>
      <c r="BM157" s="13">
        <f t="shared" si="49"/>
        <v>0</v>
      </c>
      <c r="BN157" s="13">
        <f t="shared" si="49"/>
        <v>0</v>
      </c>
      <c r="BO157" s="13"/>
      <c r="BP157" s="252">
        <f>'Total RD Feedstock'!C103</f>
        <v>8.0267849123244961</v>
      </c>
      <c r="BQ157" s="252">
        <f t="shared" si="50"/>
        <v>2.1509919372016739E-2</v>
      </c>
      <c r="BS157" s="274">
        <f t="shared" si="63"/>
        <v>0.10824350169396861</v>
      </c>
      <c r="BT157" s="274">
        <f t="shared" si="63"/>
        <v>6.8803410198141915E-2</v>
      </c>
      <c r="BU157" s="274">
        <f t="shared" si="63"/>
        <v>5.4430119771236921E-3</v>
      </c>
      <c r="BV157" s="274">
        <f t="shared" si="63"/>
        <v>0.80161734968207354</v>
      </c>
      <c r="BW157" s="274">
        <f t="shared" si="63"/>
        <v>1.5892726448692197E-2</v>
      </c>
      <c r="BY157" s="252">
        <f t="shared" si="64"/>
        <v>0.86651899726033621</v>
      </c>
      <c r="BZ157" s="252">
        <f t="shared" si="64"/>
        <v>0.55079021908903703</v>
      </c>
      <c r="CA157" s="252">
        <f t="shared" si="64"/>
        <v>4.3572807666809127E-2</v>
      </c>
      <c r="CB157" s="252">
        <f t="shared" si="64"/>
        <v>6.4171673233267468</v>
      </c>
      <c r="CC157" s="252">
        <f t="shared" si="64"/>
        <v>0.12722564560955013</v>
      </c>
    </row>
    <row r="158" spans="1:81">
      <c r="A158" s="11">
        <v>44440</v>
      </c>
      <c r="B158" s="268">
        <v>70</v>
      </c>
      <c r="C158" s="268">
        <v>13</v>
      </c>
      <c r="D158" s="268"/>
      <c r="E158" s="268">
        <v>3</v>
      </c>
      <c r="F158" s="269">
        <v>0.2</v>
      </c>
      <c r="G158" s="269">
        <v>1.32</v>
      </c>
      <c r="H158" s="269">
        <v>12</v>
      </c>
      <c r="I158" s="269">
        <v>5</v>
      </c>
      <c r="J158" s="269"/>
      <c r="K158" s="269"/>
      <c r="L158" s="269"/>
      <c r="M158" s="269">
        <f t="shared" si="65"/>
        <v>1.5</v>
      </c>
      <c r="N158" s="269">
        <v>45</v>
      </c>
      <c r="O158" s="269">
        <f t="shared" si="38"/>
        <v>17.699535849485258</v>
      </c>
      <c r="Q158" s="251">
        <f t="shared" si="46"/>
        <v>168.71953584948523</v>
      </c>
      <c r="R158" s="251">
        <f>'RD Plant List'!N26</f>
        <v>0</v>
      </c>
      <c r="S158" s="251">
        <f>SUM(B158:O158)+'RD Plant List'!N26</f>
        <v>168.71953584948523</v>
      </c>
      <c r="U158" s="251">
        <f>'Renewable Fuel Ex Ethanol'!J30*'Renewable Fuel Ex Ethanol'!$I$121*12/1000000</f>
        <v>119.0074176732</v>
      </c>
      <c r="V158" s="271">
        <f t="shared" si="51"/>
        <v>0.70535647857262107</v>
      </c>
      <c r="W158" s="251">
        <f t="shared" si="47"/>
        <v>9.9172848060999996</v>
      </c>
      <c r="X158" s="272">
        <f t="shared" si="52"/>
        <v>7.9361445132229651</v>
      </c>
      <c r="Y158" s="273">
        <f t="shared" si="53"/>
        <v>-0.14560713322579844</v>
      </c>
      <c r="AB158" s="251">
        <f>SUM('BD Feedstock'!C156,'BD Feedstock'!E156,'BD Feedstock'!G156,'BD Feedstock'!K156,'BD Feedstock'!T156)</f>
        <v>17.937796010427753</v>
      </c>
      <c r="AC158" s="251">
        <f>SUM('BD Feedstock'!D156,'BD Feedstock'!F156,'BD Feedstock'!H156,'BD Feedstock'!I156,'BD Feedstock'!L156,'BD Feedstock'!M156,'BD Feedstock'!N156,'BD Feedstock'!O156,'BD Feedstock'!U156)</f>
        <v>11.401899584192993</v>
      </c>
      <c r="AD158" s="251">
        <f>'BD Feedstock'!J156</f>
        <v>0.90199999999999991</v>
      </c>
      <c r="AE158" s="251">
        <f>SUM('BD Feedstock'!B156,'BD Feedstock'!P156,'BD Feedstock'!Q156,'BD Feedstock'!R156)</f>
        <v>70.93020833333334</v>
      </c>
      <c r="AF158" s="251">
        <f>'BD Feedstock'!S156</f>
        <v>1.40625</v>
      </c>
      <c r="AG158" s="251">
        <f t="shared" si="41"/>
        <v>102.57815392795409</v>
      </c>
      <c r="AK158" s="237">
        <f t="shared" si="37"/>
        <v>0.17486955383332781</v>
      </c>
      <c r="AL158" s="237">
        <f t="shared" si="37"/>
        <v>0.11115329285610982</v>
      </c>
      <c r="AM158" s="237">
        <f t="shared" si="37"/>
        <v>8.7932953115292065E-3</v>
      </c>
      <c r="AN158" s="237">
        <f t="shared" si="37"/>
        <v>0.69147479865109751</v>
      </c>
      <c r="AO158" s="237">
        <f t="shared" si="37"/>
        <v>1.370905934793564E-2</v>
      </c>
      <c r="AP158" s="237">
        <f t="shared" si="42"/>
        <v>1</v>
      </c>
      <c r="AQ158" s="237"/>
      <c r="AR158" s="237">
        <f t="shared" si="43"/>
        <v>0.59314782646044639</v>
      </c>
      <c r="AS158" s="237">
        <f t="shared" si="44"/>
        <v>0.3770258036133764</v>
      </c>
      <c r="AT158" s="237">
        <f t="shared" si="45"/>
        <v>2.9826369926177137E-2</v>
      </c>
      <c r="AU158" s="237">
        <f t="shared" si="35"/>
        <v>0.98055959563958928</v>
      </c>
      <c r="AV158" s="237">
        <f t="shared" si="35"/>
        <v>1.9440404360410696E-2</v>
      </c>
      <c r="AX158" s="251">
        <f t="shared" si="54"/>
        <v>3186.9832715719785</v>
      </c>
      <c r="AY158" s="251">
        <f t="shared" si="55"/>
        <v>2025.7596428146715</v>
      </c>
      <c r="AZ158" s="251">
        <f t="shared" si="56"/>
        <v>160.25708561334977</v>
      </c>
      <c r="BA158" s="251">
        <f t="shared" si="57"/>
        <v>29737.430856961822</v>
      </c>
      <c r="BB158" s="251">
        <f t="shared" si="58"/>
        <v>589.56914303817757</v>
      </c>
      <c r="BC158" s="251">
        <f t="shared" si="66"/>
        <v>35700</v>
      </c>
      <c r="BD158" s="270">
        <f t="shared" si="67"/>
        <v>7.9361445132229651</v>
      </c>
      <c r="BE158" s="251">
        <f t="shared" si="68"/>
        <v>5373</v>
      </c>
      <c r="BF158" s="251">
        <f t="shared" si="69"/>
        <v>30327</v>
      </c>
      <c r="BG158" s="251">
        <f>Data!T23</f>
        <v>5373</v>
      </c>
      <c r="BH158" s="251">
        <f>Data!S23</f>
        <v>30327</v>
      </c>
      <c r="BI158" s="270">
        <f t="shared" si="62"/>
        <v>7.9361445132229651</v>
      </c>
      <c r="BJ158" s="13">
        <v>5162.8770955296959</v>
      </c>
      <c r="BK158" s="13">
        <v>-6691.0020477057951</v>
      </c>
      <c r="BL158" s="13"/>
      <c r="BM158" s="13">
        <f t="shared" si="49"/>
        <v>0</v>
      </c>
      <c r="BN158" s="13">
        <f t="shared" si="49"/>
        <v>0</v>
      </c>
      <c r="BO158" s="13"/>
      <c r="BP158" s="252">
        <f>'Total RD Feedstock'!C104</f>
        <v>8.0817516464487635</v>
      </c>
      <c r="BQ158" s="252">
        <f t="shared" si="50"/>
        <v>0.14560713322579844</v>
      </c>
      <c r="BS158" s="274">
        <f t="shared" si="63"/>
        <v>8.9271240100055424E-2</v>
      </c>
      <c r="BT158" s="274">
        <f t="shared" si="63"/>
        <v>5.6743967585845136E-2</v>
      </c>
      <c r="BU158" s="274">
        <f t="shared" si="63"/>
        <v>4.4889939947717027E-3</v>
      </c>
      <c r="BV158" s="274">
        <f t="shared" si="63"/>
        <v>0.83298125649753008</v>
      </c>
      <c r="BW158" s="274">
        <f t="shared" si="63"/>
        <v>1.651454182179769E-2</v>
      </c>
      <c r="BY158" s="252">
        <f t="shared" si="64"/>
        <v>0.70846946230866481</v>
      </c>
      <c r="BZ158" s="252">
        <f t="shared" si="64"/>
        <v>0.45032832701490677</v>
      </c>
      <c r="CA158" s="252">
        <f t="shared" si="64"/>
        <v>3.5625305061498289E-2</v>
      </c>
      <c r="CB158" s="252">
        <f t="shared" si="64"/>
        <v>6.6106596283704446</v>
      </c>
      <c r="CC158" s="252">
        <f t="shared" si="64"/>
        <v>0.13106179046745092</v>
      </c>
    </row>
    <row r="159" spans="1:81">
      <c r="A159" s="11">
        <v>44470</v>
      </c>
      <c r="B159" s="268">
        <v>70</v>
      </c>
      <c r="C159" s="268">
        <v>13</v>
      </c>
      <c r="D159" s="268"/>
      <c r="E159" s="268">
        <v>3</v>
      </c>
      <c r="F159" s="269">
        <v>0.2</v>
      </c>
      <c r="G159" s="269">
        <v>1.32</v>
      </c>
      <c r="H159" s="269">
        <v>12</v>
      </c>
      <c r="I159" s="269">
        <v>5</v>
      </c>
      <c r="J159" s="269"/>
      <c r="K159" s="269"/>
      <c r="L159" s="269"/>
      <c r="M159" s="269">
        <f t="shared" si="65"/>
        <v>1.5</v>
      </c>
      <c r="N159" s="269">
        <v>45</v>
      </c>
      <c r="O159" s="269">
        <f t="shared" si="38"/>
        <v>17.699535849485258</v>
      </c>
      <c r="Q159" s="251">
        <f t="shared" si="46"/>
        <v>168.71953584948523</v>
      </c>
      <c r="R159" s="251">
        <f>'RD Plant List'!N27</f>
        <v>0</v>
      </c>
      <c r="S159" s="251">
        <f>SUM(B159:O159)+'RD Plant List'!N27</f>
        <v>168.71953584948523</v>
      </c>
      <c r="U159" s="251">
        <f>'Renewable Fuel Ex Ethanol'!J31*'Renewable Fuel Ex Ethanol'!$I$121*12/1000000</f>
        <v>112.46440310040001</v>
      </c>
      <c r="V159" s="271">
        <f t="shared" si="51"/>
        <v>0.66657605791856578</v>
      </c>
      <c r="W159" s="251">
        <f t="shared" si="47"/>
        <v>9.3720335917000011</v>
      </c>
      <c r="X159" s="272">
        <f t="shared" si="52"/>
        <v>8.1155768655544822</v>
      </c>
      <c r="Y159" s="273">
        <f t="shared" si="53"/>
        <v>-2.8698561669495248E-2</v>
      </c>
      <c r="AB159" s="251">
        <f>SUM('BD Feedstock'!C157,'BD Feedstock'!E157,'BD Feedstock'!G157,'BD Feedstock'!K157,'BD Feedstock'!T157)</f>
        <v>17.937796010427753</v>
      </c>
      <c r="AC159" s="251">
        <f>SUM('BD Feedstock'!D157,'BD Feedstock'!F157,'BD Feedstock'!H157,'BD Feedstock'!I157,'BD Feedstock'!L157,'BD Feedstock'!M157,'BD Feedstock'!N157,'BD Feedstock'!O157,'BD Feedstock'!U157)</f>
        <v>11.401899584192993</v>
      </c>
      <c r="AD159" s="251">
        <f>'BD Feedstock'!J157</f>
        <v>0.90199999999999991</v>
      </c>
      <c r="AE159" s="251">
        <f>SUM('BD Feedstock'!B157,'BD Feedstock'!P157,'BD Feedstock'!Q157,'BD Feedstock'!R157)</f>
        <v>70.93020833333334</v>
      </c>
      <c r="AF159" s="251">
        <f>'BD Feedstock'!S157</f>
        <v>1.40625</v>
      </c>
      <c r="AG159" s="251">
        <f t="shared" si="41"/>
        <v>102.57815392795409</v>
      </c>
      <c r="AK159" s="237">
        <f t="shared" si="37"/>
        <v>0.17486955383332781</v>
      </c>
      <c r="AL159" s="237">
        <f t="shared" si="37"/>
        <v>0.11115329285610982</v>
      </c>
      <c r="AM159" s="237">
        <f t="shared" si="37"/>
        <v>8.7932953115292065E-3</v>
      </c>
      <c r="AN159" s="237">
        <f t="shared" si="37"/>
        <v>0.69147479865109751</v>
      </c>
      <c r="AO159" s="237">
        <f t="shared" si="37"/>
        <v>1.370905934793564E-2</v>
      </c>
      <c r="AP159" s="237">
        <f t="shared" si="42"/>
        <v>1</v>
      </c>
      <c r="AQ159" s="237"/>
      <c r="AR159" s="237">
        <f t="shared" si="43"/>
        <v>0.59314782646044639</v>
      </c>
      <c r="AS159" s="237">
        <f t="shared" si="44"/>
        <v>0.3770258036133764</v>
      </c>
      <c r="AT159" s="237">
        <f t="shared" si="45"/>
        <v>2.9826369926177137E-2</v>
      </c>
      <c r="AU159" s="237">
        <f t="shared" si="35"/>
        <v>0.98055959563958928</v>
      </c>
      <c r="AV159" s="237">
        <f t="shared" si="35"/>
        <v>1.9440404360410696E-2</v>
      </c>
      <c r="AX159" s="251">
        <f t="shared" si="54"/>
        <v>2968.1117236080736</v>
      </c>
      <c r="AY159" s="251">
        <f t="shared" si="55"/>
        <v>1886.6371212813356</v>
      </c>
      <c r="AZ159" s="251">
        <f t="shared" si="56"/>
        <v>149.25115511059084</v>
      </c>
      <c r="BA159" s="251">
        <f t="shared" si="57"/>
        <v>28922.585832985325</v>
      </c>
      <c r="BB159" s="251">
        <f t="shared" si="58"/>
        <v>573.4141670146746</v>
      </c>
      <c r="BC159" s="251">
        <f t="shared" si="66"/>
        <v>34500</v>
      </c>
      <c r="BD159" s="270">
        <f t="shared" si="67"/>
        <v>8.1155768655544822</v>
      </c>
      <c r="BE159" s="251">
        <f t="shared" si="68"/>
        <v>5004</v>
      </c>
      <c r="BF159" s="251">
        <f t="shared" si="69"/>
        <v>29496</v>
      </c>
      <c r="BG159" s="251">
        <f>Data!T24</f>
        <v>5004</v>
      </c>
      <c r="BH159" s="251">
        <f>Data!S24</f>
        <v>29496</v>
      </c>
      <c r="BI159" s="270">
        <f t="shared" si="62"/>
        <v>8.1155768655544822</v>
      </c>
      <c r="BJ159" s="13">
        <v>4952.6157459339684</v>
      </c>
      <c r="BK159" s="13">
        <v>-7159.5065833744011</v>
      </c>
      <c r="BL159" s="13"/>
      <c r="BM159" s="13">
        <f t="shared" si="49"/>
        <v>0</v>
      </c>
      <c r="BN159" s="13">
        <f t="shared" si="49"/>
        <v>0</v>
      </c>
      <c r="BO159" s="13"/>
      <c r="BP159" s="252">
        <f>'Total RD Feedstock'!C105</f>
        <v>8.1442754272239775</v>
      </c>
      <c r="BQ159" s="252">
        <f t="shared" si="50"/>
        <v>2.8698561669495248E-2</v>
      </c>
      <c r="BS159" s="274">
        <f t="shared" si="63"/>
        <v>8.603222387269778E-2</v>
      </c>
      <c r="BT159" s="274">
        <f t="shared" si="63"/>
        <v>5.4685133950183637E-2</v>
      </c>
      <c r="BU159" s="274">
        <f t="shared" si="63"/>
        <v>4.3261204379881407E-3</v>
      </c>
      <c r="BV159" s="274">
        <f t="shared" si="63"/>
        <v>0.83833582124595141</v>
      </c>
      <c r="BW159" s="274">
        <f t="shared" si="63"/>
        <v>1.6620700493178975E-2</v>
      </c>
      <c r="BY159" s="252">
        <f t="shared" si="64"/>
        <v>0.69820112575347015</v>
      </c>
      <c r="BZ159" s="252">
        <f t="shared" si="64"/>
        <v>0.44380140797585826</v>
      </c>
      <c r="CA159" s="252">
        <f t="shared" si="64"/>
        <v>3.5108962944138969E-2</v>
      </c>
      <c r="CB159" s="252">
        <f t="shared" si="64"/>
        <v>6.8035787964692602</v>
      </c>
      <c r="CC159" s="252">
        <f t="shared" si="64"/>
        <v>0.13488657241175322</v>
      </c>
    </row>
    <row r="160" spans="1:81">
      <c r="A160" s="11">
        <v>44501</v>
      </c>
      <c r="B160" s="268">
        <v>70</v>
      </c>
      <c r="C160" s="268">
        <v>13</v>
      </c>
      <c r="D160" s="268">
        <f>$D$3*0.75</f>
        <v>15</v>
      </c>
      <c r="E160" s="268">
        <v>3</v>
      </c>
      <c r="F160" s="269">
        <v>0.2</v>
      </c>
      <c r="G160" s="269">
        <v>1.32</v>
      </c>
      <c r="H160" s="269">
        <v>12</v>
      </c>
      <c r="I160" s="269">
        <v>5</v>
      </c>
      <c r="J160" s="269"/>
      <c r="K160" s="269"/>
      <c r="L160" s="269"/>
      <c r="M160" s="269">
        <f t="shared" si="65"/>
        <v>1.5</v>
      </c>
      <c r="N160" s="269">
        <v>45</v>
      </c>
      <c r="O160" s="269">
        <f t="shared" si="38"/>
        <v>17.699535849485258</v>
      </c>
      <c r="Q160" s="251">
        <f t="shared" si="46"/>
        <v>183.71953584948523</v>
      </c>
      <c r="R160" s="251">
        <f>'RD Plant List'!N28</f>
        <v>0</v>
      </c>
      <c r="S160" s="251">
        <f>SUM(B160:O160)+'RD Plant List'!N28</f>
        <v>183.71953584948523</v>
      </c>
      <c r="U160" s="251">
        <f>'Renewable Fuel Ex Ethanol'!J32*'Renewable Fuel Ex Ethanol'!$I$121*12/1000000</f>
        <v>125.5409220504</v>
      </c>
      <c r="V160" s="271">
        <f t="shared" si="51"/>
        <v>0.68332919234703016</v>
      </c>
      <c r="W160" s="251">
        <f t="shared" si="47"/>
        <v>10.461743504199999</v>
      </c>
      <c r="X160" s="272">
        <f t="shared" si="52"/>
        <v>7.8834764957570798</v>
      </c>
      <c r="Y160" s="273">
        <f t="shared" si="53"/>
        <v>-6.8066370171865564E-2</v>
      </c>
      <c r="AB160" s="251">
        <f>SUM('BD Feedstock'!C158,'BD Feedstock'!E158,'BD Feedstock'!G158,'BD Feedstock'!K158,'BD Feedstock'!T158)</f>
        <v>25.203421010427753</v>
      </c>
      <c r="AC160" s="251">
        <f>SUM('BD Feedstock'!D158,'BD Feedstock'!F158,'BD Feedstock'!H158,'BD Feedstock'!I158,'BD Feedstock'!L158,'BD Feedstock'!M158,'BD Feedstock'!N158,'BD Feedstock'!O158,'BD Feedstock'!U158)</f>
        <v>13.973774584192995</v>
      </c>
      <c r="AD160" s="251">
        <f>'BD Feedstock'!J158</f>
        <v>0.90199999999999991</v>
      </c>
      <c r="AE160" s="251">
        <f>SUM('BD Feedstock'!B158,'BD Feedstock'!P158,'BD Feedstock'!Q158,'BD Feedstock'!R158)</f>
        <v>70.93020833333334</v>
      </c>
      <c r="AF160" s="251">
        <f>'BD Feedstock'!S158</f>
        <v>1.40625</v>
      </c>
      <c r="AG160" s="251">
        <f t="shared" si="41"/>
        <v>112.41565392795408</v>
      </c>
      <c r="AK160" s="237">
        <f t="shared" ref="AK160:AO223" si="70">AB160/$AG160</f>
        <v>0.22419850020692261</v>
      </c>
      <c r="AL160" s="237">
        <f t="shared" si="70"/>
        <v>0.12430452606848356</v>
      </c>
      <c r="AM160" s="237">
        <f t="shared" si="70"/>
        <v>8.0237935597304039E-3</v>
      </c>
      <c r="AN160" s="237">
        <f t="shared" si="70"/>
        <v>0.63096380134737917</v>
      </c>
      <c r="AO160" s="237">
        <f t="shared" si="70"/>
        <v>1.2509378817484349E-2</v>
      </c>
      <c r="AP160" s="237">
        <f t="shared" si="42"/>
        <v>1.0000000000000002</v>
      </c>
      <c r="AQ160" s="237"/>
      <c r="AR160" s="237">
        <f t="shared" si="43"/>
        <v>0.62884049034682832</v>
      </c>
      <c r="AS160" s="237">
        <f t="shared" si="44"/>
        <v>0.34865406794912052</v>
      </c>
      <c r="AT160" s="237">
        <f t="shared" si="45"/>
        <v>2.2505441704051124E-2</v>
      </c>
      <c r="AU160" s="237">
        <f t="shared" si="35"/>
        <v>0.98055959563958928</v>
      </c>
      <c r="AV160" s="237">
        <f t="shared" si="35"/>
        <v>1.9440404360410696E-2</v>
      </c>
      <c r="AX160" s="251">
        <f t="shared" si="54"/>
        <v>3807.6291690500457</v>
      </c>
      <c r="AY160" s="251">
        <f t="shared" si="55"/>
        <v>2111.1003814319247</v>
      </c>
      <c r="AZ160" s="251">
        <f t="shared" si="56"/>
        <v>136.27044951802964</v>
      </c>
      <c r="BA160" s="251">
        <f t="shared" si="57"/>
        <v>30745.446121279321</v>
      </c>
      <c r="BB160" s="251">
        <f t="shared" si="58"/>
        <v>609.55387872067877</v>
      </c>
      <c r="BC160" s="251">
        <f t="shared" si="66"/>
        <v>37410</v>
      </c>
      <c r="BD160" s="270">
        <f t="shared" si="67"/>
        <v>7.8834764957570798</v>
      </c>
      <c r="BE160" s="251">
        <f t="shared" si="68"/>
        <v>6055</v>
      </c>
      <c r="BF160" s="251">
        <f t="shared" si="69"/>
        <v>31355</v>
      </c>
      <c r="BG160" s="251">
        <f>Data!T25</f>
        <v>6055</v>
      </c>
      <c r="BH160" s="251">
        <f>Data!S25</f>
        <v>31355</v>
      </c>
      <c r="BI160" s="270">
        <f t="shared" si="62"/>
        <v>7.8834764957570798</v>
      </c>
      <c r="BJ160" s="13">
        <v>7357.1180777346071</v>
      </c>
      <c r="BK160" s="13">
        <v>-8603.3282177767833</v>
      </c>
      <c r="BL160" s="13"/>
      <c r="BM160" s="13">
        <f t="shared" si="49"/>
        <v>0</v>
      </c>
      <c r="BN160" s="13">
        <f t="shared" si="49"/>
        <v>0</v>
      </c>
      <c r="BO160" s="13"/>
      <c r="BP160" s="252">
        <f>'Total RD Feedstock'!C106</f>
        <v>7.9515428659289453</v>
      </c>
      <c r="BQ160" s="252">
        <f t="shared" si="50"/>
        <v>6.8066370171865564E-2</v>
      </c>
      <c r="BS160" s="274">
        <f t="shared" si="63"/>
        <v>0.10178105236701539</v>
      </c>
      <c r="BT160" s="274">
        <f t="shared" si="63"/>
        <v>5.6431445641056524E-2</v>
      </c>
      <c r="BU160" s="274">
        <f t="shared" si="63"/>
        <v>3.6426209440799154E-3</v>
      </c>
      <c r="BV160" s="274">
        <f t="shared" si="63"/>
        <v>0.82185100564766966</v>
      </c>
      <c r="BW160" s="274">
        <f t="shared" si="63"/>
        <v>1.6293875400178529E-2</v>
      </c>
      <c r="BY160" s="252">
        <f t="shared" si="64"/>
        <v>0.80238853404878618</v>
      </c>
      <c r="BZ160" s="252">
        <f t="shared" si="64"/>
        <v>0.44487597533286244</v>
      </c>
      <c r="CA160" s="252">
        <f t="shared" si="64"/>
        <v>2.8716516595606478E-2</v>
      </c>
      <c r="CB160" s="252">
        <f t="shared" si="64"/>
        <v>6.4790430860377235</v>
      </c>
      <c r="CC160" s="252">
        <f t="shared" si="64"/>
        <v>0.12845238374210191</v>
      </c>
    </row>
    <row r="161" spans="1:81">
      <c r="A161" s="11">
        <v>44531</v>
      </c>
      <c r="B161" s="268">
        <v>70</v>
      </c>
      <c r="C161" s="268">
        <v>13</v>
      </c>
      <c r="D161" s="268">
        <f>$D$3</f>
        <v>20</v>
      </c>
      <c r="E161" s="268">
        <v>3</v>
      </c>
      <c r="F161" s="269">
        <v>0.2</v>
      </c>
      <c r="G161" s="269">
        <v>1.32</v>
      </c>
      <c r="H161" s="269">
        <v>12</v>
      </c>
      <c r="I161" s="269">
        <v>5</v>
      </c>
      <c r="J161" s="269"/>
      <c r="K161" s="269"/>
      <c r="L161" s="269"/>
      <c r="M161" s="269">
        <f t="shared" si="65"/>
        <v>1.5</v>
      </c>
      <c r="N161" s="269">
        <v>45</v>
      </c>
      <c r="O161" s="269">
        <f t="shared" si="38"/>
        <v>17.699535849485258</v>
      </c>
      <c r="Q161" s="251">
        <f t="shared" si="46"/>
        <v>188.71953584948523</v>
      </c>
      <c r="R161" s="251">
        <f>'RD Plant List'!N29</f>
        <v>0</v>
      </c>
      <c r="S161" s="251">
        <f>SUM(B161:O161)+'RD Plant List'!N29</f>
        <v>188.71953584948523</v>
      </c>
      <c r="U161" s="251">
        <f>'Renewable Fuel Ex Ethanol'!J33*'Renewable Fuel Ex Ethanol'!$I$121*12/1000000</f>
        <v>134.84189334719997</v>
      </c>
      <c r="V161" s="271">
        <f t="shared" si="51"/>
        <v>0.71450945838879232</v>
      </c>
      <c r="W161" s="251">
        <f t="shared" si="47"/>
        <v>11.236824445599998</v>
      </c>
      <c r="X161" s="272">
        <f t="shared" si="52"/>
        <v>8.0454166380965262</v>
      </c>
      <c r="Y161" s="273">
        <f t="shared" si="53"/>
        <v>-3.3353350122572678E-2</v>
      </c>
      <c r="AB161" s="251">
        <f>SUM('BD Feedstock'!C159,'BD Feedstock'!E159,'BD Feedstock'!G159,'BD Feedstock'!K159,'BD Feedstock'!T159)</f>
        <v>27.625296010427753</v>
      </c>
      <c r="AC161" s="251">
        <f>SUM('BD Feedstock'!D159,'BD Feedstock'!F159,'BD Feedstock'!H159,'BD Feedstock'!I159,'BD Feedstock'!L159,'BD Feedstock'!M159,'BD Feedstock'!N159,'BD Feedstock'!O159,'BD Feedstock'!U159)</f>
        <v>14.83106625085966</v>
      </c>
      <c r="AD161" s="251">
        <f>'BD Feedstock'!J159</f>
        <v>0.90199999999999991</v>
      </c>
      <c r="AE161" s="251">
        <f>SUM('BD Feedstock'!B159,'BD Feedstock'!P159,'BD Feedstock'!Q159,'BD Feedstock'!R159)</f>
        <v>70.93020833333334</v>
      </c>
      <c r="AF161" s="251">
        <f>'BD Feedstock'!S159</f>
        <v>1.40625</v>
      </c>
      <c r="AG161" s="251">
        <f t="shared" si="41"/>
        <v>115.69482059462075</v>
      </c>
      <c r="AK161" s="237">
        <f t="shared" si="70"/>
        <v>0.23877729243578771</v>
      </c>
      <c r="AL161" s="237">
        <f t="shared" si="70"/>
        <v>0.12819127230272254</v>
      </c>
      <c r="AM161" s="237">
        <f t="shared" si="70"/>
        <v>7.7963732115587771E-3</v>
      </c>
      <c r="AN161" s="237">
        <f t="shared" si="70"/>
        <v>0.61308023962337388</v>
      </c>
      <c r="AO161" s="237">
        <f t="shared" si="70"/>
        <v>1.2154822426557129E-2</v>
      </c>
      <c r="AP161" s="237">
        <f t="shared" si="42"/>
        <v>1</v>
      </c>
      <c r="AQ161" s="237"/>
      <c r="AR161" s="237">
        <f t="shared" si="43"/>
        <v>0.63713882558458734</v>
      </c>
      <c r="AS161" s="237">
        <f t="shared" si="44"/>
        <v>0.34205780563122429</v>
      </c>
      <c r="AT161" s="237">
        <f t="shared" si="45"/>
        <v>2.0803368784188425E-2</v>
      </c>
      <c r="AU161" s="237">
        <f t="shared" si="35"/>
        <v>0.98055959563958928</v>
      </c>
      <c r="AV161" s="237">
        <f t="shared" si="35"/>
        <v>1.9440404360410696E-2</v>
      </c>
      <c r="AX161" s="251">
        <f t="shared" si="54"/>
        <v>3864.8841159961066</v>
      </c>
      <c r="AY161" s="251">
        <f t="shared" si="55"/>
        <v>2074.9226489590064</v>
      </c>
      <c r="AZ161" s="251">
        <f t="shared" si="56"/>
        <v>126.19323504488693</v>
      </c>
      <c r="BA161" s="251">
        <f t="shared" si="57"/>
        <v>34261.732831242887</v>
      </c>
      <c r="BB161" s="251">
        <f t="shared" si="58"/>
        <v>679.26716875711281</v>
      </c>
      <c r="BC161" s="251">
        <f t="shared" si="66"/>
        <v>41007</v>
      </c>
      <c r="BD161" s="270">
        <f t="shared" si="67"/>
        <v>8.0454166380965262</v>
      </c>
      <c r="BE161" s="251">
        <f t="shared" si="68"/>
        <v>6066</v>
      </c>
      <c r="BF161" s="251">
        <f t="shared" si="69"/>
        <v>34941</v>
      </c>
      <c r="BG161" s="251">
        <f>Data!T26</f>
        <v>6066</v>
      </c>
      <c r="BH161" s="251">
        <f>Data!S26</f>
        <v>34941</v>
      </c>
      <c r="BI161" s="270">
        <f t="shared" si="62"/>
        <v>8.0454166380965262</v>
      </c>
      <c r="BJ161" s="13">
        <v>9069.2003401341681</v>
      </c>
      <c r="BK161" s="13">
        <v>-11196.353085480863</v>
      </c>
      <c r="BL161" s="13"/>
      <c r="BM161" s="13">
        <f t="shared" si="49"/>
        <v>0</v>
      </c>
      <c r="BN161" s="13">
        <f t="shared" si="49"/>
        <v>0</v>
      </c>
      <c r="BO161" s="13"/>
      <c r="BP161" s="252">
        <f>'Total RD Feedstock'!C107</f>
        <v>8.0787699882190989</v>
      </c>
      <c r="BQ161" s="252">
        <f t="shared" si="50"/>
        <v>3.3353350122572678E-2</v>
      </c>
      <c r="BS161" s="274">
        <f t="shared" si="63"/>
        <v>9.424937488711943E-2</v>
      </c>
      <c r="BT161" s="274">
        <f t="shared" si="63"/>
        <v>5.0599230593776828E-2</v>
      </c>
      <c r="BU161" s="274">
        <f t="shared" si="63"/>
        <v>3.0773583789325465E-3</v>
      </c>
      <c r="BV161" s="274">
        <f t="shared" si="63"/>
        <v>0.83550937233259903</v>
      </c>
      <c r="BW161" s="274">
        <f t="shared" si="63"/>
        <v>1.656466380757219E-2</v>
      </c>
      <c r="BY161" s="252">
        <f t="shared" si="64"/>
        <v>0.75827548884702756</v>
      </c>
      <c r="BZ161" s="252">
        <f t="shared" si="64"/>
        <v>0.40709189169405491</v>
      </c>
      <c r="CA161" s="252">
        <f t="shared" si="64"/>
        <v>2.4758630303249662E-2</v>
      </c>
      <c r="CB161" s="252">
        <f t="shared" si="64"/>
        <v>6.7220210054502774</v>
      </c>
      <c r="CC161" s="252">
        <f t="shared" si="64"/>
        <v>0.13326962180191668</v>
      </c>
    </row>
    <row r="162" spans="1:81">
      <c r="A162" s="11">
        <v>44562</v>
      </c>
      <c r="B162" s="268">
        <v>70</v>
      </c>
      <c r="C162" s="268">
        <v>13</v>
      </c>
      <c r="D162" s="268">
        <f t="shared" ref="D162:D225" si="71">$D$3</f>
        <v>20</v>
      </c>
      <c r="E162" s="268">
        <v>3</v>
      </c>
      <c r="F162" s="269">
        <v>0.2</v>
      </c>
      <c r="G162" s="269">
        <v>1.32</v>
      </c>
      <c r="H162" s="269"/>
      <c r="I162" s="269">
        <v>5</v>
      </c>
      <c r="J162" s="269"/>
      <c r="K162" s="269"/>
      <c r="L162" s="269"/>
      <c r="M162" s="269">
        <f t="shared" si="65"/>
        <v>1.5</v>
      </c>
      <c r="N162" s="269">
        <v>45</v>
      </c>
      <c r="O162" s="269">
        <f t="shared" si="38"/>
        <v>17.699535849485258</v>
      </c>
      <c r="Q162" s="251">
        <f t="shared" si="46"/>
        <v>176.71953584948523</v>
      </c>
      <c r="R162" s="251">
        <f>'RD Plant List'!N30</f>
        <v>0</v>
      </c>
      <c r="S162" s="251">
        <f>SUM(B162:O162)+'RD Plant List'!N30</f>
        <v>176.71953584948523</v>
      </c>
      <c r="U162" s="251">
        <f>'Renewable Fuel Ex Ethanol'!K22*'Renewable Fuel Ex Ethanol'!$I$121*12/1000000</f>
        <v>70.220114245199994</v>
      </c>
      <c r="V162" s="271">
        <f t="shared" si="51"/>
        <v>0.39735343298438469</v>
      </c>
      <c r="W162" s="251">
        <f t="shared" si="47"/>
        <v>5.8516761870999998</v>
      </c>
      <c r="X162" s="272">
        <f t="shared" si="52"/>
        <v>7.5851180596506724</v>
      </c>
      <c r="Y162" s="273">
        <f t="shared" si="53"/>
        <v>-0.24752508643473359</v>
      </c>
      <c r="AB162" s="251">
        <f>SUM('BD Feedstock'!C160,'BD Feedstock'!E160,'BD Feedstock'!G160,'BD Feedstock'!K160,'BD Feedstock'!T160)</f>
        <v>21.812796010427753</v>
      </c>
      <c r="AC162" s="251">
        <f>SUM('BD Feedstock'!D160,'BD Feedstock'!F160,'BD Feedstock'!H160,'BD Feedstock'!I160,'BD Feedstock'!L160,'BD Feedstock'!M160,'BD Feedstock'!N160,'BD Feedstock'!O160,'BD Feedstock'!U160)</f>
        <v>12.773566250859661</v>
      </c>
      <c r="AD162" s="251">
        <f>'BD Feedstock'!J160</f>
        <v>0.90199999999999991</v>
      </c>
      <c r="AE162" s="251">
        <f>SUM('BD Feedstock'!B160,'BD Feedstock'!P160,'BD Feedstock'!Q160,'BD Feedstock'!R160)</f>
        <v>70.93020833333334</v>
      </c>
      <c r="AF162" s="251">
        <f>'BD Feedstock'!S160</f>
        <v>1.40625</v>
      </c>
      <c r="AG162" s="251">
        <f t="shared" si="41"/>
        <v>107.82482059462075</v>
      </c>
      <c r="AK162" s="237">
        <f t="shared" si="70"/>
        <v>0.20229846792359021</v>
      </c>
      <c r="AL162" s="237">
        <f t="shared" si="70"/>
        <v>0.11846591703484753</v>
      </c>
      <c r="AM162" s="237">
        <f t="shared" si="70"/>
        <v>8.3654208282077092E-3</v>
      </c>
      <c r="AN162" s="237">
        <f t="shared" si="70"/>
        <v>0.65782820636449979</v>
      </c>
      <c r="AO162" s="237">
        <f t="shared" si="70"/>
        <v>1.304198784885487E-2</v>
      </c>
      <c r="AP162" s="237">
        <f t="shared" si="42"/>
        <v>1</v>
      </c>
      <c r="AQ162" s="237"/>
      <c r="AR162" s="237">
        <f t="shared" si="43"/>
        <v>0.61464645366918802</v>
      </c>
      <c r="AS162" s="237">
        <f t="shared" si="44"/>
        <v>0.35993676340465403</v>
      </c>
      <c r="AT162" s="237">
        <f t="shared" si="45"/>
        <v>2.5416782926158003E-2</v>
      </c>
      <c r="AU162" s="237">
        <f t="shared" si="35"/>
        <v>0.98055959563958928</v>
      </c>
      <c r="AV162" s="237">
        <f t="shared" si="35"/>
        <v>1.9440404360410696E-2</v>
      </c>
      <c r="AX162" s="251">
        <f t="shared" si="54"/>
        <v>2652.8140940362155</v>
      </c>
      <c r="AY162" s="251">
        <f t="shared" si="55"/>
        <v>1553.4870708544868</v>
      </c>
      <c r="AZ162" s="251">
        <f t="shared" si="56"/>
        <v>109.69883510929776</v>
      </c>
      <c r="BA162" s="251">
        <f t="shared" si="57"/>
        <v>15509.511124231383</v>
      </c>
      <c r="BB162" s="251">
        <f t="shared" si="58"/>
        <v>307.48887576861671</v>
      </c>
      <c r="BC162" s="251">
        <f t="shared" si="66"/>
        <v>20133</v>
      </c>
      <c r="BD162" s="270">
        <f t="shared" si="67"/>
        <v>7.5851180596506733</v>
      </c>
      <c r="BE162" s="251">
        <f t="shared" si="68"/>
        <v>4316</v>
      </c>
      <c r="BF162" s="251">
        <f t="shared" si="69"/>
        <v>15817</v>
      </c>
      <c r="BG162" s="251">
        <f>Data!T27</f>
        <v>4316</v>
      </c>
      <c r="BH162" s="251">
        <f>Data!S27</f>
        <v>15817</v>
      </c>
      <c r="BI162" s="270">
        <f t="shared" si="62"/>
        <v>7.5851180596506733</v>
      </c>
      <c r="BJ162" s="13">
        <v>2615.3351692556794</v>
      </c>
      <c r="BK162" s="13">
        <v>-2549.2408701666282</v>
      </c>
      <c r="BM162" s="13">
        <f t="shared" si="49"/>
        <v>0</v>
      </c>
      <c r="BN162" s="13">
        <f t="shared" si="49"/>
        <v>0</v>
      </c>
      <c r="BP162" s="252">
        <f>'Total RD Feedstock'!D96</f>
        <v>7.832643146085406</v>
      </c>
      <c r="BQ162" s="252">
        <f>BP162-BI162</f>
        <v>0.2475250864347327</v>
      </c>
      <c r="BS162" s="274">
        <f t="shared" si="63"/>
        <v>0.13176447096986119</v>
      </c>
      <c r="BT162" s="274">
        <f t="shared" si="63"/>
        <v>7.716123135421879E-2</v>
      </c>
      <c r="BU162" s="274">
        <f t="shared" si="63"/>
        <v>5.4487078482738666E-3</v>
      </c>
      <c r="BV162" s="274">
        <f t="shared" si="63"/>
        <v>0.77035271068551048</v>
      </c>
      <c r="BW162" s="274">
        <f t="shared" si="63"/>
        <v>1.5272879142135633E-2</v>
      </c>
      <c r="BY162" s="252">
        <f t="shared" si="64"/>
        <v>0.99944906837381098</v>
      </c>
      <c r="BZ162" s="252">
        <f t="shared" si="64"/>
        <v>0.58527704944976866</v>
      </c>
      <c r="CA162" s="252">
        <f t="shared" si="64"/>
        <v>4.1329092301702466E-2</v>
      </c>
      <c r="CB162" s="252">
        <f t="shared" si="64"/>
        <v>5.8432162581215152</v>
      </c>
      <c r="CC162" s="252">
        <f t="shared" si="64"/>
        <v>0.11584659140387507</v>
      </c>
    </row>
    <row r="163" spans="1:81">
      <c r="A163" s="11">
        <v>44593</v>
      </c>
      <c r="B163" s="268">
        <v>70</v>
      </c>
      <c r="C163" s="268">
        <v>13</v>
      </c>
      <c r="D163" s="268">
        <f t="shared" si="71"/>
        <v>20</v>
      </c>
      <c r="E163" s="268">
        <v>3</v>
      </c>
      <c r="F163" s="269">
        <v>0.2</v>
      </c>
      <c r="G163" s="269">
        <v>1.32</v>
      </c>
      <c r="H163" s="269"/>
      <c r="I163" s="269">
        <v>5</v>
      </c>
      <c r="J163" s="269"/>
      <c r="K163" s="269"/>
      <c r="L163" s="269"/>
      <c r="M163" s="269">
        <f t="shared" si="65"/>
        <v>1.5</v>
      </c>
      <c r="N163" s="269">
        <v>45</v>
      </c>
      <c r="O163" s="269">
        <f t="shared" si="38"/>
        <v>17.699535849485258</v>
      </c>
      <c r="Q163" s="251">
        <f t="shared" si="46"/>
        <v>176.71953584948523</v>
      </c>
      <c r="R163" s="251">
        <f>'RD Plant List'!N31</f>
        <v>0</v>
      </c>
      <c r="S163" s="251">
        <f>SUM(B163:O163)+'RD Plant List'!N31</f>
        <v>176.71953584948523</v>
      </c>
      <c r="U163" s="251">
        <f>'Renewable Fuel Ex Ethanol'!K23*'Renewable Fuel Ex Ethanol'!$I$121*12/1000000</f>
        <v>67.490688108000001</v>
      </c>
      <c r="V163" s="271">
        <f t="shared" si="51"/>
        <v>0.381908473127062</v>
      </c>
      <c r="W163" s="251">
        <f t="shared" si="47"/>
        <v>5.6242240089999997</v>
      </c>
      <c r="X163" s="272">
        <f t="shared" si="52"/>
        <v>8.2207487664099546</v>
      </c>
      <c r="Y163" s="273">
        <f t="shared" si="53"/>
        <v>-5.9190018297153202E-2</v>
      </c>
      <c r="AB163" s="251">
        <f>SUM('BD Feedstock'!C161,'BD Feedstock'!E161,'BD Feedstock'!G161,'BD Feedstock'!K161,'BD Feedstock'!T161)</f>
        <v>21.812796010427753</v>
      </c>
      <c r="AC163" s="251">
        <f>SUM('BD Feedstock'!D161,'BD Feedstock'!F161,'BD Feedstock'!H161,'BD Feedstock'!I161,'BD Feedstock'!L161,'BD Feedstock'!M161,'BD Feedstock'!N161,'BD Feedstock'!O161,'BD Feedstock'!U161)</f>
        <v>12.773566250859661</v>
      </c>
      <c r="AD163" s="251">
        <f>'BD Feedstock'!J161</f>
        <v>0.90199999999999991</v>
      </c>
      <c r="AE163" s="251">
        <f>SUM('BD Feedstock'!B161,'BD Feedstock'!P161,'BD Feedstock'!Q161,'BD Feedstock'!R161)</f>
        <v>70.93020833333334</v>
      </c>
      <c r="AF163" s="251">
        <f>'BD Feedstock'!S161</f>
        <v>1.40625</v>
      </c>
      <c r="AG163" s="251">
        <f t="shared" si="41"/>
        <v>107.82482059462075</v>
      </c>
      <c r="AK163" s="237">
        <f t="shared" si="70"/>
        <v>0.20229846792359021</v>
      </c>
      <c r="AL163" s="237">
        <f t="shared" si="70"/>
        <v>0.11846591703484753</v>
      </c>
      <c r="AM163" s="237">
        <f t="shared" si="70"/>
        <v>8.3654208282077092E-3</v>
      </c>
      <c r="AN163" s="237">
        <f t="shared" si="70"/>
        <v>0.65782820636449979</v>
      </c>
      <c r="AO163" s="237">
        <f t="shared" si="70"/>
        <v>1.304198784885487E-2</v>
      </c>
      <c r="AP163" s="237">
        <f t="shared" si="42"/>
        <v>1</v>
      </c>
      <c r="AQ163" s="237"/>
      <c r="AR163" s="237">
        <f t="shared" si="43"/>
        <v>0.61464645366918802</v>
      </c>
      <c r="AS163" s="237">
        <f t="shared" si="44"/>
        <v>0.35993676340465403</v>
      </c>
      <c r="AT163" s="237">
        <f t="shared" si="45"/>
        <v>2.5416782926158003E-2</v>
      </c>
      <c r="AU163" s="237">
        <f t="shared" ref="AU163:AV226" si="72">AE163/SUM($AE163:$AF163)</f>
        <v>0.98055959563958928</v>
      </c>
      <c r="AV163" s="237">
        <f t="shared" si="72"/>
        <v>1.9440404360410696E-2</v>
      </c>
      <c r="AX163" s="251">
        <f t="shared" si="54"/>
        <v>1481.2979533427431</v>
      </c>
      <c r="AY163" s="251">
        <f t="shared" si="55"/>
        <v>867.44759980521621</v>
      </c>
      <c r="AZ163" s="251">
        <f t="shared" si="56"/>
        <v>61.254446852040928</v>
      </c>
      <c r="BA163" s="251">
        <f t="shared" si="57"/>
        <v>18201.147214262055</v>
      </c>
      <c r="BB163" s="251">
        <f t="shared" si="58"/>
        <v>360.85278573794494</v>
      </c>
      <c r="BC163" s="251">
        <f t="shared" si="66"/>
        <v>20972</v>
      </c>
      <c r="BD163" s="270">
        <f t="shared" si="67"/>
        <v>8.2207487664099546</v>
      </c>
      <c r="BE163" s="251">
        <f t="shared" si="68"/>
        <v>2410</v>
      </c>
      <c r="BF163" s="251">
        <f t="shared" si="69"/>
        <v>18562</v>
      </c>
      <c r="BG163" s="251">
        <f>Data!T28</f>
        <v>2410</v>
      </c>
      <c r="BH163" s="251">
        <f>Data!S28</f>
        <v>18562</v>
      </c>
      <c r="BI163" s="270">
        <f t="shared" si="62"/>
        <v>8.2207487664099546</v>
      </c>
      <c r="BJ163" s="13">
        <v>4251.9171032212289</v>
      </c>
      <c r="BK163" s="13">
        <v>-5809.953055205071</v>
      </c>
      <c r="BM163" s="13">
        <f t="shared" si="49"/>
        <v>0</v>
      </c>
      <c r="BN163" s="13">
        <f t="shared" si="49"/>
        <v>0</v>
      </c>
      <c r="BP163" s="252">
        <f>'Total RD Feedstock'!D97</f>
        <v>8.2799387847071078</v>
      </c>
      <c r="BQ163" s="252">
        <f t="shared" ref="BQ163:BQ173" si="73">BP163-BI163</f>
        <v>5.9190018297153202E-2</v>
      </c>
      <c r="BS163" s="274">
        <f t="shared" si="63"/>
        <v>7.063217401023951E-2</v>
      </c>
      <c r="BT163" s="274">
        <f t="shared" si="63"/>
        <v>4.1362178132997147E-2</v>
      </c>
      <c r="BU163" s="274">
        <f t="shared" si="63"/>
        <v>2.9207727852394111E-3</v>
      </c>
      <c r="BV163" s="274">
        <f t="shared" si="63"/>
        <v>0.8678784672068498</v>
      </c>
      <c r="BW163" s="274">
        <f t="shared" si="63"/>
        <v>1.7206407864674086E-2</v>
      </c>
      <c r="BY163" s="252">
        <f t="shared" si="64"/>
        <v>0.58064935736352974</v>
      </c>
      <c r="BZ163" s="252">
        <f t="shared" si="64"/>
        <v>0.34002807486286513</v>
      </c>
      <c r="CA163" s="252">
        <f t="shared" si="64"/>
        <v>2.4010939271220656E-2</v>
      </c>
      <c r="CB163" s="252">
        <f t="shared" si="64"/>
        <v>7.1346108386844733</v>
      </c>
      <c r="CC163" s="252">
        <f t="shared" si="64"/>
        <v>0.14144955622786604</v>
      </c>
    </row>
    <row r="164" spans="1:81">
      <c r="A164" s="11">
        <v>44621</v>
      </c>
      <c r="B164" s="268">
        <v>70</v>
      </c>
      <c r="C164" s="268">
        <v>13</v>
      </c>
      <c r="D164" s="268">
        <f t="shared" si="71"/>
        <v>20</v>
      </c>
      <c r="E164" s="268">
        <v>3</v>
      </c>
      <c r="F164" s="269">
        <v>0.2</v>
      </c>
      <c r="G164" s="269">
        <v>1.32</v>
      </c>
      <c r="H164" s="269"/>
      <c r="I164" s="269">
        <v>5</v>
      </c>
      <c r="J164" s="269"/>
      <c r="K164" s="269"/>
      <c r="L164" s="269"/>
      <c r="M164" s="269">
        <f t="shared" si="65"/>
        <v>1.5</v>
      </c>
      <c r="N164" s="269">
        <v>45</v>
      </c>
      <c r="O164" s="269">
        <f t="shared" si="38"/>
        <v>17.699535849485258</v>
      </c>
      <c r="Q164" s="251">
        <f t="shared" si="46"/>
        <v>176.71953584948523</v>
      </c>
      <c r="R164" s="251">
        <f>'RD Plant List'!N32</f>
        <v>0</v>
      </c>
      <c r="S164" s="251">
        <f>SUM(B164:O164)+'RD Plant List'!N32</f>
        <v>176.71953584948523</v>
      </c>
      <c r="U164" s="251">
        <f>'Renewable Fuel Ex Ethanol'!K24*'Renewable Fuel Ex Ethanol'!$I$121*12/1000000</f>
        <v>88.368737515199996</v>
      </c>
      <c r="V164" s="271">
        <f t="shared" si="51"/>
        <v>0.50005075607750027</v>
      </c>
      <c r="W164" s="251">
        <f t="shared" si="47"/>
        <v>7.3640614595999994</v>
      </c>
      <c r="X164" s="272">
        <f t="shared" si="52"/>
        <v>8.2148727318315924</v>
      </c>
      <c r="Y164" s="273">
        <f t="shared" si="53"/>
        <v>0.23980003856403442</v>
      </c>
      <c r="AB164" s="251">
        <f>SUM('BD Feedstock'!C162,'BD Feedstock'!E162,'BD Feedstock'!G162,'BD Feedstock'!K162,'BD Feedstock'!T162)</f>
        <v>21.812796010427753</v>
      </c>
      <c r="AC164" s="251">
        <f>SUM('BD Feedstock'!D162,'BD Feedstock'!F162,'BD Feedstock'!H162,'BD Feedstock'!I162,'BD Feedstock'!L162,'BD Feedstock'!M162,'BD Feedstock'!N162,'BD Feedstock'!O162,'BD Feedstock'!U162)</f>
        <v>12.773566250859661</v>
      </c>
      <c r="AD164" s="251">
        <f>'BD Feedstock'!J162</f>
        <v>0.90199999999999991</v>
      </c>
      <c r="AE164" s="251">
        <f>SUM('BD Feedstock'!B162,'BD Feedstock'!P162,'BD Feedstock'!Q162,'BD Feedstock'!R162)</f>
        <v>70.93020833333334</v>
      </c>
      <c r="AF164" s="251">
        <f>'BD Feedstock'!S162</f>
        <v>1.40625</v>
      </c>
      <c r="AG164" s="251">
        <f t="shared" si="41"/>
        <v>107.82482059462075</v>
      </c>
      <c r="AK164" s="237">
        <f t="shared" si="70"/>
        <v>0.20229846792359021</v>
      </c>
      <c r="AL164" s="237">
        <f t="shared" si="70"/>
        <v>0.11846591703484753</v>
      </c>
      <c r="AM164" s="237">
        <f t="shared" si="70"/>
        <v>8.3654208282077092E-3</v>
      </c>
      <c r="AN164" s="237">
        <f t="shared" si="70"/>
        <v>0.65782820636449979</v>
      </c>
      <c r="AO164" s="237">
        <f t="shared" si="70"/>
        <v>1.304198784885487E-2</v>
      </c>
      <c r="AP164" s="237">
        <f t="shared" si="42"/>
        <v>1</v>
      </c>
      <c r="AQ164" s="237"/>
      <c r="AR164" s="237">
        <f t="shared" si="43"/>
        <v>0.61464645366918802</v>
      </c>
      <c r="AS164" s="237">
        <f t="shared" si="44"/>
        <v>0.35993676340465403</v>
      </c>
      <c r="AT164" s="237">
        <f t="shared" si="45"/>
        <v>2.5416782926158003E-2</v>
      </c>
      <c r="AU164" s="237">
        <f t="shared" si="72"/>
        <v>0.98055959563958928</v>
      </c>
      <c r="AV164" s="237">
        <f t="shared" si="72"/>
        <v>1.9440404360410696E-2</v>
      </c>
      <c r="AX164" s="251">
        <f t="shared" si="54"/>
        <v>2258.825717234266</v>
      </c>
      <c r="AY164" s="251">
        <f t="shared" si="55"/>
        <v>1322.7676055121035</v>
      </c>
      <c r="AZ164" s="251">
        <f t="shared" si="56"/>
        <v>93.406677253630733</v>
      </c>
      <c r="BA164" s="251">
        <f t="shared" si="57"/>
        <v>23302.998790374841</v>
      </c>
      <c r="BB164" s="251">
        <f t="shared" si="58"/>
        <v>462.00120962515939</v>
      </c>
      <c r="BC164" s="251">
        <f t="shared" si="66"/>
        <v>27440</v>
      </c>
      <c r="BD164" s="270">
        <f t="shared" si="67"/>
        <v>8.2148727318315924</v>
      </c>
      <c r="BE164" s="251">
        <f t="shared" si="68"/>
        <v>3675</v>
      </c>
      <c r="BF164" s="251">
        <f t="shared" si="69"/>
        <v>23765</v>
      </c>
      <c r="BG164" s="251">
        <f>Data!T29</f>
        <v>3675</v>
      </c>
      <c r="BH164" s="251">
        <f>Data!S29</f>
        <v>23765</v>
      </c>
      <c r="BI164" s="270">
        <f t="shared" si="62"/>
        <v>8.2148727318315924</v>
      </c>
      <c r="BJ164" s="13">
        <v>5047.761914955141</v>
      </c>
      <c r="BK164" s="13">
        <v>-7068.1441694174064</v>
      </c>
      <c r="BM164" s="13">
        <f t="shared" si="49"/>
        <v>0</v>
      </c>
      <c r="BN164" s="13">
        <f t="shared" si="49"/>
        <v>0</v>
      </c>
      <c r="BP164" s="252">
        <f>'Total RD Feedstock'!D98</f>
        <v>7.975072693267558</v>
      </c>
      <c r="BQ164" s="252">
        <f t="shared" si="73"/>
        <v>-0.23980003856403442</v>
      </c>
      <c r="BS164" s="274">
        <f t="shared" si="63"/>
        <v>8.2318721473551973E-2</v>
      </c>
      <c r="BT164" s="274">
        <f t="shared" si="63"/>
        <v>4.8205816527409018E-2</v>
      </c>
      <c r="BU164" s="274">
        <f t="shared" si="63"/>
        <v>3.4040334276104495E-3</v>
      </c>
      <c r="BV164" s="274">
        <f t="shared" si="63"/>
        <v>0.84923464979500152</v>
      </c>
      <c r="BW164" s="274">
        <f t="shared" si="63"/>
        <v>1.6836778776427093E-2</v>
      </c>
      <c r="BY164" s="252">
        <f t="shared" si="64"/>
        <v>0.67623782035232183</v>
      </c>
      <c r="BZ164" s="252">
        <f t="shared" si="64"/>
        <v>0.39600464770668908</v>
      </c>
      <c r="CA164" s="252">
        <f t="shared" si="64"/>
        <v>2.7963701382720314E-2</v>
      </c>
      <c r="CB164" s="252">
        <f t="shared" si="64"/>
        <v>6.9763545675275092</v>
      </c>
      <c r="CC164" s="252">
        <f t="shared" si="64"/>
        <v>0.13831199486235179</v>
      </c>
    </row>
    <row r="165" spans="1:81">
      <c r="A165" s="11">
        <v>44652</v>
      </c>
      <c r="B165" s="268">
        <v>70</v>
      </c>
      <c r="C165" s="268">
        <v>13</v>
      </c>
      <c r="D165" s="268">
        <f t="shared" si="71"/>
        <v>20</v>
      </c>
      <c r="E165" s="268">
        <v>3</v>
      </c>
      <c r="F165" s="269">
        <v>0.2</v>
      </c>
      <c r="G165" s="269">
        <v>1.32</v>
      </c>
      <c r="H165" s="269"/>
      <c r="I165" s="269">
        <v>5</v>
      </c>
      <c r="J165" s="269"/>
      <c r="K165" s="269"/>
      <c r="L165" s="269"/>
      <c r="M165" s="269">
        <f t="shared" si="65"/>
        <v>1.5</v>
      </c>
      <c r="N165" s="269">
        <v>45</v>
      </c>
      <c r="O165" s="269">
        <f t="shared" si="38"/>
        <v>17.699535849485258</v>
      </c>
      <c r="Q165" s="251">
        <f t="shared" si="46"/>
        <v>176.71953584948523</v>
      </c>
      <c r="R165" s="251">
        <f>'RD Plant List'!N33</f>
        <v>0</v>
      </c>
      <c r="S165" s="251">
        <f>SUM(B165:O165)+'RD Plant List'!N33</f>
        <v>176.71953584948523</v>
      </c>
      <c r="U165" s="251">
        <f>'Renewable Fuel Ex Ethanol'!K25*'Renewable Fuel Ex Ethanol'!$I$121*12/1000000</f>
        <v>87.015119674800005</v>
      </c>
      <c r="V165" s="271">
        <f t="shared" si="51"/>
        <v>0.49239106053850284</v>
      </c>
      <c r="W165" s="251">
        <f t="shared" si="47"/>
        <v>7.2512599729000007</v>
      </c>
      <c r="X165" s="272">
        <f t="shared" si="52"/>
        <v>7.8379695904448292</v>
      </c>
      <c r="Y165" s="273">
        <f t="shared" si="53"/>
        <v>-0.29035147241562509</v>
      </c>
      <c r="AB165" s="251">
        <f>SUM('BD Feedstock'!C163,'BD Feedstock'!E163,'BD Feedstock'!G163,'BD Feedstock'!K163,'BD Feedstock'!T163)</f>
        <v>21.812796010427753</v>
      </c>
      <c r="AC165" s="251">
        <f>SUM('BD Feedstock'!D163,'BD Feedstock'!F163,'BD Feedstock'!H163,'BD Feedstock'!I163,'BD Feedstock'!L163,'BD Feedstock'!M163,'BD Feedstock'!N163,'BD Feedstock'!O163,'BD Feedstock'!U163)</f>
        <v>12.773566250859661</v>
      </c>
      <c r="AD165" s="251">
        <f>'BD Feedstock'!J163</f>
        <v>0.90199999999999991</v>
      </c>
      <c r="AE165" s="251">
        <f>SUM('BD Feedstock'!B163,'BD Feedstock'!P163,'BD Feedstock'!Q163,'BD Feedstock'!R163)</f>
        <v>70.93020833333334</v>
      </c>
      <c r="AF165" s="251">
        <f>'BD Feedstock'!S163</f>
        <v>1.40625</v>
      </c>
      <c r="AG165" s="251">
        <f t="shared" si="41"/>
        <v>107.82482059462075</v>
      </c>
      <c r="AK165" s="237">
        <f t="shared" si="70"/>
        <v>0.20229846792359021</v>
      </c>
      <c r="AL165" s="237">
        <f t="shared" si="70"/>
        <v>0.11846591703484753</v>
      </c>
      <c r="AM165" s="237">
        <f t="shared" si="70"/>
        <v>8.3654208282077092E-3</v>
      </c>
      <c r="AN165" s="237">
        <f t="shared" si="70"/>
        <v>0.65782820636449979</v>
      </c>
      <c r="AO165" s="237">
        <f t="shared" si="70"/>
        <v>1.304198784885487E-2</v>
      </c>
      <c r="AP165" s="237">
        <f t="shared" si="42"/>
        <v>1</v>
      </c>
      <c r="AQ165" s="237"/>
      <c r="AR165" s="237">
        <f t="shared" si="43"/>
        <v>0.61464645366918802</v>
      </c>
      <c r="AS165" s="237">
        <f t="shared" si="44"/>
        <v>0.35993676340465403</v>
      </c>
      <c r="AT165" s="237">
        <f t="shared" si="45"/>
        <v>2.5416782926158003E-2</v>
      </c>
      <c r="AU165" s="237">
        <f t="shared" si="72"/>
        <v>0.98055959563958928</v>
      </c>
      <c r="AV165" s="237">
        <f t="shared" si="72"/>
        <v>1.9440404360410696E-2</v>
      </c>
      <c r="AX165" s="251">
        <f t="shared" si="54"/>
        <v>2086.7247102068932</v>
      </c>
      <c r="AY165" s="251">
        <f t="shared" si="55"/>
        <v>1221.9853117588004</v>
      </c>
      <c r="AZ165" s="251">
        <f t="shared" si="56"/>
        <v>86.289978034306387</v>
      </c>
      <c r="BA165" s="251">
        <f t="shared" si="57"/>
        <v>21949.826548392208</v>
      </c>
      <c r="BB165" s="251">
        <f t="shared" si="58"/>
        <v>435.17345160779223</v>
      </c>
      <c r="BC165" s="251">
        <f t="shared" si="66"/>
        <v>25780</v>
      </c>
      <c r="BD165" s="270">
        <f t="shared" si="67"/>
        <v>7.8379695904448292</v>
      </c>
      <c r="BE165" s="251">
        <f t="shared" si="68"/>
        <v>3395</v>
      </c>
      <c r="BF165" s="251">
        <f t="shared" si="69"/>
        <v>22385</v>
      </c>
      <c r="BG165" s="251">
        <f>Data!T30</f>
        <v>3395</v>
      </c>
      <c r="BH165" s="251">
        <f>Data!S30</f>
        <v>22385</v>
      </c>
      <c r="BI165" s="270">
        <f t="shared" si="62"/>
        <v>7.8379695904448292</v>
      </c>
      <c r="BJ165" s="13">
        <v>5194.1480773283001</v>
      </c>
      <c r="BK165" s="13">
        <v>-5943.9038709405322</v>
      </c>
      <c r="BM165" s="13">
        <f t="shared" si="49"/>
        <v>0</v>
      </c>
      <c r="BN165" s="13">
        <f t="shared" si="49"/>
        <v>0</v>
      </c>
      <c r="BP165" s="252">
        <f>'Total RD Feedstock'!D99</f>
        <v>8.1283210628604543</v>
      </c>
      <c r="BQ165" s="252">
        <f t="shared" si="73"/>
        <v>0.29035147241562509</v>
      </c>
      <c r="BS165" s="274">
        <f t="shared" si="63"/>
        <v>8.0943549658917507E-2</v>
      </c>
      <c r="BT165" s="274">
        <f t="shared" si="63"/>
        <v>4.7400516359922436E-2</v>
      </c>
      <c r="BU165" s="274">
        <f t="shared" si="63"/>
        <v>3.3471674955122726E-3</v>
      </c>
      <c r="BV165" s="274">
        <f t="shared" si="63"/>
        <v>0.8514284929554774</v>
      </c>
      <c r="BW165" s="274">
        <f t="shared" si="63"/>
        <v>1.6880273530170374E-2</v>
      </c>
      <c r="BY165" s="252">
        <f t="shared" si="64"/>
        <v>0.63443308076925631</v>
      </c>
      <c r="BZ165" s="252">
        <f t="shared" si="64"/>
        <v>0.37152380580045469</v>
      </c>
      <c r="CA165" s="252">
        <f t="shared" si="64"/>
        <v>2.6234997043950572E-2</v>
      </c>
      <c r="CB165" s="252">
        <f t="shared" si="64"/>
        <v>6.6734706362233007</v>
      </c>
      <c r="CC165" s="252">
        <f t="shared" si="64"/>
        <v>0.13230707060786617</v>
      </c>
    </row>
    <row r="166" spans="1:81">
      <c r="A166" s="11">
        <v>44682</v>
      </c>
      <c r="B166" s="268">
        <v>70</v>
      </c>
      <c r="C166" s="268">
        <v>13</v>
      </c>
      <c r="D166" s="268">
        <f t="shared" si="71"/>
        <v>20</v>
      </c>
      <c r="E166" s="268">
        <v>3</v>
      </c>
      <c r="F166" s="269">
        <v>0.2</v>
      </c>
      <c r="G166" s="269">
        <v>1.32</v>
      </c>
      <c r="H166" s="269"/>
      <c r="I166" s="269">
        <v>5</v>
      </c>
      <c r="J166" s="269"/>
      <c r="K166" s="269"/>
      <c r="L166" s="269"/>
      <c r="M166" s="269">
        <f t="shared" si="65"/>
        <v>1.5</v>
      </c>
      <c r="N166" s="269">
        <v>45</v>
      </c>
      <c r="O166" s="269">
        <f t="shared" si="38"/>
        <v>17.699535849485258</v>
      </c>
      <c r="Q166" s="251">
        <f t="shared" si="46"/>
        <v>176.71953584948523</v>
      </c>
      <c r="R166" s="251">
        <f>'RD Plant List'!N34</f>
        <v>0</v>
      </c>
      <c r="S166" s="251">
        <f>SUM(B166:O166)+'RD Plant List'!N34</f>
        <v>176.71953584948523</v>
      </c>
      <c r="U166" s="251">
        <f>'Renewable Fuel Ex Ethanol'!K26*'Renewable Fuel Ex Ethanol'!$I$121*12/1000000</f>
        <v>86.175052396799998</v>
      </c>
      <c r="V166" s="271">
        <f t="shared" si="51"/>
        <v>0.48763738532109224</v>
      </c>
      <c r="W166" s="251">
        <f t="shared" si="47"/>
        <v>7.1812543664000001</v>
      </c>
      <c r="X166" s="272">
        <f t="shared" si="52"/>
        <v>7.7961833453430867</v>
      </c>
      <c r="Y166" s="273">
        <f t="shared" si="53"/>
        <v>-0.28243704184743379</v>
      </c>
      <c r="AB166" s="251">
        <f>SUM('BD Feedstock'!C164,'BD Feedstock'!E164,'BD Feedstock'!G164,'BD Feedstock'!K164,'BD Feedstock'!T164)</f>
        <v>21.812796010427753</v>
      </c>
      <c r="AC166" s="251">
        <f>SUM('BD Feedstock'!D164,'BD Feedstock'!F164,'BD Feedstock'!H164,'BD Feedstock'!I164,'BD Feedstock'!L164,'BD Feedstock'!M164,'BD Feedstock'!N164,'BD Feedstock'!O164,'BD Feedstock'!U164)</f>
        <v>12.773566250859661</v>
      </c>
      <c r="AD166" s="251">
        <f>'BD Feedstock'!J164</f>
        <v>0.90199999999999991</v>
      </c>
      <c r="AE166" s="251">
        <f>SUM('BD Feedstock'!B164,'BD Feedstock'!P164,'BD Feedstock'!Q164,'BD Feedstock'!R164)</f>
        <v>70.93020833333334</v>
      </c>
      <c r="AF166" s="251">
        <f>'BD Feedstock'!S164</f>
        <v>1.40625</v>
      </c>
      <c r="AG166" s="251">
        <f t="shared" si="41"/>
        <v>107.82482059462075</v>
      </c>
      <c r="AK166" s="237">
        <f t="shared" si="70"/>
        <v>0.20229846792359021</v>
      </c>
      <c r="AL166" s="237">
        <f t="shared" si="70"/>
        <v>0.11846591703484753</v>
      </c>
      <c r="AM166" s="237">
        <f t="shared" si="70"/>
        <v>8.3654208282077092E-3</v>
      </c>
      <c r="AN166" s="237">
        <f t="shared" si="70"/>
        <v>0.65782820636449979</v>
      </c>
      <c r="AO166" s="237">
        <f t="shared" si="70"/>
        <v>1.304198784885487E-2</v>
      </c>
      <c r="AP166" s="237">
        <f t="shared" si="42"/>
        <v>1</v>
      </c>
      <c r="AQ166" s="237"/>
      <c r="AR166" s="237">
        <f t="shared" si="43"/>
        <v>0.61464645366918802</v>
      </c>
      <c r="AS166" s="237">
        <f t="shared" si="44"/>
        <v>0.35993676340465403</v>
      </c>
      <c r="AT166" s="237">
        <f t="shared" si="45"/>
        <v>2.5416782926158003E-2</v>
      </c>
      <c r="AU166" s="237">
        <f t="shared" si="72"/>
        <v>0.98055959563958928</v>
      </c>
      <c r="AV166" s="237">
        <f t="shared" si="72"/>
        <v>1.9440404360410696E-2</v>
      </c>
      <c r="AX166" s="251">
        <f t="shared" si="54"/>
        <v>1495.4348217771344</v>
      </c>
      <c r="AY166" s="251">
        <f t="shared" si="55"/>
        <v>875.72614536352319</v>
      </c>
      <c r="AZ166" s="251">
        <f t="shared" si="56"/>
        <v>61.839032859342296</v>
      </c>
      <c r="BA166" s="251">
        <f t="shared" si="57"/>
        <v>22515.609435076251</v>
      </c>
      <c r="BB166" s="251">
        <f t="shared" si="58"/>
        <v>446.39056492374948</v>
      </c>
      <c r="BC166" s="251">
        <f t="shared" si="66"/>
        <v>25395</v>
      </c>
      <c r="BD166" s="270">
        <f t="shared" si="67"/>
        <v>7.7961833453430858</v>
      </c>
      <c r="BE166" s="251">
        <f t="shared" si="68"/>
        <v>2433</v>
      </c>
      <c r="BF166" s="251">
        <f t="shared" si="69"/>
        <v>22962</v>
      </c>
      <c r="BG166" s="251">
        <f>Data!T31</f>
        <v>2433</v>
      </c>
      <c r="BH166" s="251">
        <f>Data!S31</f>
        <v>22962</v>
      </c>
      <c r="BI166" s="270">
        <f t="shared" si="62"/>
        <v>7.7961833453430858</v>
      </c>
      <c r="BJ166" s="13">
        <v>6073.2261406278012</v>
      </c>
      <c r="BK166" s="13">
        <v>-6679.6306177874412</v>
      </c>
      <c r="BM166" s="13">
        <f t="shared" si="49"/>
        <v>0</v>
      </c>
      <c r="BN166" s="13">
        <f t="shared" si="49"/>
        <v>0</v>
      </c>
      <c r="BP166" s="252">
        <f>'Total RD Feedstock'!D100</f>
        <v>8.0786203871905204</v>
      </c>
      <c r="BQ166" s="252">
        <f t="shared" si="73"/>
        <v>0.28243704184743468</v>
      </c>
      <c r="BS166" s="274">
        <f t="shared" si="63"/>
        <v>5.8886978609062196E-2</v>
      </c>
      <c r="BT166" s="274">
        <f t="shared" si="63"/>
        <v>3.4484195525242102E-2</v>
      </c>
      <c r="BU166" s="274">
        <f t="shared" si="63"/>
        <v>2.4350869407104665E-3</v>
      </c>
      <c r="BV166" s="274">
        <f t="shared" si="63"/>
        <v>0.88661584702013196</v>
      </c>
      <c r="BW166" s="274">
        <f t="shared" si="63"/>
        <v>1.7577891904853298E-2</v>
      </c>
      <c r="BY166" s="252">
        <f t="shared" si="64"/>
        <v>0.45909368188954525</v>
      </c>
      <c r="BZ166" s="252">
        <f t="shared" si="64"/>
        <v>0.26884511083144708</v>
      </c>
      <c r="CA166" s="252">
        <f t="shared" si="64"/>
        <v>1.8984384251629387E-2</v>
      </c>
      <c r="CB166" s="252">
        <f t="shared" si="64"/>
        <v>6.9122197002556067</v>
      </c>
      <c r="CC166" s="252">
        <f t="shared" si="64"/>
        <v>0.13704046811485834</v>
      </c>
    </row>
    <row r="167" spans="1:81">
      <c r="A167" s="11">
        <v>44713</v>
      </c>
      <c r="B167" s="268">
        <v>70</v>
      </c>
      <c r="C167" s="268">
        <v>13</v>
      </c>
      <c r="D167" s="268">
        <f t="shared" si="71"/>
        <v>20</v>
      </c>
      <c r="E167" s="268">
        <v>3</v>
      </c>
      <c r="F167" s="269">
        <v>0.2</v>
      </c>
      <c r="G167" s="269">
        <v>1.32</v>
      </c>
      <c r="H167" s="269"/>
      <c r="I167" s="269">
        <v>5</v>
      </c>
      <c r="J167" s="269"/>
      <c r="K167" s="269"/>
      <c r="L167" s="269"/>
      <c r="M167" s="269">
        <f t="shared" si="65"/>
        <v>1.5</v>
      </c>
      <c r="N167" s="269">
        <v>45</v>
      </c>
      <c r="O167" s="269">
        <f t="shared" si="38"/>
        <v>17.699535849485258</v>
      </c>
      <c r="Q167" s="251">
        <f t="shared" si="46"/>
        <v>176.71953584948523</v>
      </c>
      <c r="R167" s="251">
        <f>'RD Plant List'!N35</f>
        <v>0</v>
      </c>
      <c r="S167" s="251">
        <f>SUM(B167:O167)+'RD Plant List'!N35</f>
        <v>176.71953584948523</v>
      </c>
      <c r="U167" s="251">
        <f>'Renewable Fuel Ex Ethanol'!K27*'Renewable Fuel Ex Ethanol'!$I$121*12/1000000</f>
        <v>88.89179827320001</v>
      </c>
      <c r="V167" s="271">
        <f t="shared" si="51"/>
        <v>0.50301059159022765</v>
      </c>
      <c r="W167" s="251">
        <f t="shared" si="47"/>
        <v>7.4076498561000008</v>
      </c>
      <c r="X167" s="272">
        <f t="shared" si="52"/>
        <v>8.1266541347695309</v>
      </c>
      <c r="Y167" s="273">
        <f t="shared" si="53"/>
        <v>-0.11666477773492012</v>
      </c>
      <c r="AB167" s="251">
        <f>SUM('BD Feedstock'!C165,'BD Feedstock'!E165,'BD Feedstock'!G165,'BD Feedstock'!K165,'BD Feedstock'!T165)</f>
        <v>21.812796010427753</v>
      </c>
      <c r="AC167" s="251">
        <f>SUM('BD Feedstock'!D165,'BD Feedstock'!F165,'BD Feedstock'!H165,'BD Feedstock'!I165,'BD Feedstock'!L165,'BD Feedstock'!M165,'BD Feedstock'!N165,'BD Feedstock'!O165,'BD Feedstock'!U165)</f>
        <v>12.773566250859661</v>
      </c>
      <c r="AD167" s="251">
        <f>'BD Feedstock'!J165</f>
        <v>0.90199999999999991</v>
      </c>
      <c r="AE167" s="251">
        <f>SUM('BD Feedstock'!B165,'BD Feedstock'!P165,'BD Feedstock'!Q165,'BD Feedstock'!R165)</f>
        <v>70.93020833333334</v>
      </c>
      <c r="AF167" s="251">
        <f>'BD Feedstock'!S165</f>
        <v>1.40625</v>
      </c>
      <c r="AG167" s="251">
        <f t="shared" si="41"/>
        <v>107.82482059462075</v>
      </c>
      <c r="AK167" s="237">
        <f t="shared" si="70"/>
        <v>0.20229846792359021</v>
      </c>
      <c r="AL167" s="237">
        <f t="shared" si="70"/>
        <v>0.11846591703484753</v>
      </c>
      <c r="AM167" s="237">
        <f t="shared" si="70"/>
        <v>8.3654208282077092E-3</v>
      </c>
      <c r="AN167" s="237">
        <f t="shared" si="70"/>
        <v>0.65782820636449979</v>
      </c>
      <c r="AO167" s="237">
        <f t="shared" si="70"/>
        <v>1.304198784885487E-2</v>
      </c>
      <c r="AP167" s="237">
        <f t="shared" si="42"/>
        <v>1</v>
      </c>
      <c r="AQ167" s="237"/>
      <c r="AR167" s="237">
        <f t="shared" si="43"/>
        <v>0.61464645366918802</v>
      </c>
      <c r="AS167" s="237">
        <f t="shared" si="44"/>
        <v>0.35993676340465403</v>
      </c>
      <c r="AT167" s="237">
        <f t="shared" si="45"/>
        <v>2.5416782926158003E-2</v>
      </c>
      <c r="AU167" s="237">
        <f t="shared" si="72"/>
        <v>0.98055959563958928</v>
      </c>
      <c r="AV167" s="237">
        <f t="shared" si="72"/>
        <v>1.9440404360410696E-2</v>
      </c>
      <c r="AX167" s="251">
        <f t="shared" si="54"/>
        <v>1673.0676468875297</v>
      </c>
      <c r="AY167" s="251">
        <f t="shared" si="55"/>
        <v>979.74786998746822</v>
      </c>
      <c r="AZ167" s="251">
        <f t="shared" si="56"/>
        <v>69.184483125001861</v>
      </c>
      <c r="BA167" s="251">
        <f t="shared" si="57"/>
        <v>24106.077099203663</v>
      </c>
      <c r="BB167" s="251">
        <f t="shared" si="58"/>
        <v>477.92290079633676</v>
      </c>
      <c r="BC167" s="251">
        <f t="shared" si="66"/>
        <v>27306</v>
      </c>
      <c r="BD167" s="270">
        <f t="shared" si="67"/>
        <v>8.1266541347695309</v>
      </c>
      <c r="BE167" s="251">
        <f t="shared" si="68"/>
        <v>2722</v>
      </c>
      <c r="BF167" s="251">
        <f t="shared" si="69"/>
        <v>24584</v>
      </c>
      <c r="BG167" s="251">
        <f>Data!T32</f>
        <v>2722</v>
      </c>
      <c r="BH167" s="251">
        <f>Data!S32</f>
        <v>24584</v>
      </c>
      <c r="BI167" s="270">
        <f t="shared" si="62"/>
        <v>8.1266541347695309</v>
      </c>
      <c r="BJ167" s="13">
        <v>6052.3925547875278</v>
      </c>
      <c r="BK167" s="13">
        <v>-7788.3143081731032</v>
      </c>
      <c r="BM167" s="13">
        <f t="shared" si="49"/>
        <v>0</v>
      </c>
      <c r="BN167" s="13">
        <f t="shared" si="49"/>
        <v>0</v>
      </c>
      <c r="BP167" s="252">
        <f>'Total RD Feedstock'!D101</f>
        <v>8.243318912504451</v>
      </c>
      <c r="BQ167" s="252">
        <f t="shared" si="73"/>
        <v>0.11666477773492012</v>
      </c>
      <c r="BS167" s="274">
        <f t="shared" si="63"/>
        <v>6.1271063022322186E-2</v>
      </c>
      <c r="BT167" s="274">
        <f t="shared" si="63"/>
        <v>3.5880314582416618E-2</v>
      </c>
      <c r="BU167" s="274">
        <f t="shared" si="63"/>
        <v>2.5336732998242828E-3</v>
      </c>
      <c r="BV167" s="274">
        <f t="shared" si="63"/>
        <v>0.88281246243329903</v>
      </c>
      <c r="BW167" s="274">
        <f t="shared" si="63"/>
        <v>1.7502486662137873E-2</v>
      </c>
      <c r="BY167" s="252">
        <f t="shared" si="64"/>
        <v>0.49792873765207918</v>
      </c>
      <c r="BZ167" s="252">
        <f t="shared" si="64"/>
        <v>0.29158690685802757</v>
      </c>
      <c r="CA167" s="252">
        <f t="shared" si="64"/>
        <v>2.0590286598172171E-2</v>
      </c>
      <c r="CB167" s="252">
        <f t="shared" si="64"/>
        <v>7.1743115480596416</v>
      </c>
      <c r="CC167" s="252">
        <f t="shared" si="64"/>
        <v>0.14223665560161133</v>
      </c>
    </row>
    <row r="168" spans="1:81">
      <c r="A168" s="11">
        <v>44743</v>
      </c>
      <c r="B168" s="268">
        <v>70</v>
      </c>
      <c r="C168" s="268">
        <v>13</v>
      </c>
      <c r="D168" s="268">
        <f t="shared" si="71"/>
        <v>20</v>
      </c>
      <c r="E168" s="268">
        <v>3</v>
      </c>
      <c r="F168" s="269">
        <v>0.2</v>
      </c>
      <c r="G168" s="269">
        <v>1.32</v>
      </c>
      <c r="H168" s="269"/>
      <c r="I168" s="269">
        <v>5</v>
      </c>
      <c r="J168" s="269"/>
      <c r="K168" s="269"/>
      <c r="L168" s="269"/>
      <c r="M168" s="269">
        <f t="shared" si="65"/>
        <v>1.5</v>
      </c>
      <c r="N168" s="269">
        <v>45</v>
      </c>
      <c r="O168" s="269">
        <f t="shared" si="38"/>
        <v>17.699535849485258</v>
      </c>
      <c r="Q168" s="251">
        <f t="shared" si="46"/>
        <v>176.71953584948523</v>
      </c>
      <c r="R168" s="251">
        <f>'RD Plant List'!N36</f>
        <v>0</v>
      </c>
      <c r="S168" s="251">
        <f>SUM(B168:O168)+'RD Plant List'!N36</f>
        <v>176.71953584948523</v>
      </c>
      <c r="U168" s="251">
        <f>'Renewable Fuel Ex Ethanol'!K28*'Renewable Fuel Ex Ethanol'!$I$121*12/1000000</f>
        <v>85.154291402400005</v>
      </c>
      <c r="V168" s="271">
        <f t="shared" si="51"/>
        <v>0.48186122147201221</v>
      </c>
      <c r="W168" s="251">
        <f t="shared" si="47"/>
        <v>7.0961909502000005</v>
      </c>
      <c r="X168" s="272">
        <f t="shared" si="52"/>
        <v>8.2071494105381362</v>
      </c>
      <c r="Y168" s="273">
        <f t="shared" si="53"/>
        <v>-9.8173873404629575E-2</v>
      </c>
      <c r="AB168" s="251">
        <f>SUM('BD Feedstock'!C166,'BD Feedstock'!E166,'BD Feedstock'!G166,'BD Feedstock'!K166,'BD Feedstock'!T166)</f>
        <v>21.812796010427753</v>
      </c>
      <c r="AC168" s="251">
        <f>SUM('BD Feedstock'!D166,'BD Feedstock'!F166,'BD Feedstock'!H166,'BD Feedstock'!I166,'BD Feedstock'!L166,'BD Feedstock'!M166,'BD Feedstock'!N166,'BD Feedstock'!O166,'BD Feedstock'!U166)</f>
        <v>12.773566250859661</v>
      </c>
      <c r="AD168" s="251">
        <f>'BD Feedstock'!J166</f>
        <v>0.90199999999999991</v>
      </c>
      <c r="AE168" s="251">
        <f>SUM('BD Feedstock'!B166,'BD Feedstock'!P166,'BD Feedstock'!Q166,'BD Feedstock'!R166)</f>
        <v>70.93020833333334</v>
      </c>
      <c r="AF168" s="251">
        <f>'BD Feedstock'!S166</f>
        <v>1.40625</v>
      </c>
      <c r="AG168" s="251">
        <f t="shared" si="41"/>
        <v>107.82482059462075</v>
      </c>
      <c r="AK168" s="237">
        <f t="shared" si="70"/>
        <v>0.20229846792359021</v>
      </c>
      <c r="AL168" s="237">
        <f t="shared" si="70"/>
        <v>0.11846591703484753</v>
      </c>
      <c r="AM168" s="237">
        <f t="shared" si="70"/>
        <v>8.3654208282077092E-3</v>
      </c>
      <c r="AN168" s="237">
        <f t="shared" si="70"/>
        <v>0.65782820636449979</v>
      </c>
      <c r="AO168" s="237">
        <f t="shared" si="70"/>
        <v>1.304198784885487E-2</v>
      </c>
      <c r="AP168" s="237">
        <f t="shared" si="42"/>
        <v>1</v>
      </c>
      <c r="AQ168" s="237"/>
      <c r="AR168" s="237">
        <f t="shared" si="43"/>
        <v>0.61464645366918802</v>
      </c>
      <c r="AS168" s="237">
        <f t="shared" si="44"/>
        <v>0.35993676340465403</v>
      </c>
      <c r="AT168" s="237">
        <f t="shared" si="45"/>
        <v>2.5416782926158003E-2</v>
      </c>
      <c r="AU168" s="237">
        <f t="shared" si="72"/>
        <v>0.98055959563958928</v>
      </c>
      <c r="AV168" s="237">
        <f t="shared" si="72"/>
        <v>1.9440404360410696E-2</v>
      </c>
      <c r="AX168" s="251">
        <f t="shared" si="54"/>
        <v>1615.9055266962953</v>
      </c>
      <c r="AY168" s="251">
        <f t="shared" si="55"/>
        <v>946.27375099083542</v>
      </c>
      <c r="AZ168" s="251">
        <f t="shared" si="56"/>
        <v>66.820722312869293</v>
      </c>
      <c r="BA168" s="251">
        <f t="shared" si="57"/>
        <v>23325.551661074551</v>
      </c>
      <c r="BB168" s="251">
        <f t="shared" si="58"/>
        <v>462.44833892544921</v>
      </c>
      <c r="BC168" s="251">
        <f t="shared" si="66"/>
        <v>26417</v>
      </c>
      <c r="BD168" s="270">
        <f t="shared" si="67"/>
        <v>8.207149410538138</v>
      </c>
      <c r="BE168" s="251">
        <f t="shared" si="68"/>
        <v>2629</v>
      </c>
      <c r="BF168" s="251">
        <f t="shared" si="69"/>
        <v>23788</v>
      </c>
      <c r="BG168" s="251">
        <f>Data!T33</f>
        <v>2629</v>
      </c>
      <c r="BH168" s="251">
        <f>Data!S33</f>
        <v>23788</v>
      </c>
      <c r="BI168" s="270">
        <f t="shared" si="62"/>
        <v>8.207149410538138</v>
      </c>
      <c r="BJ168" s="13">
        <v>5776.468164712478</v>
      </c>
      <c r="BK168" s="13">
        <v>-7698.4985894278361</v>
      </c>
      <c r="BM168" s="13">
        <f t="shared" si="49"/>
        <v>0</v>
      </c>
      <c r="BN168" s="13">
        <f t="shared" si="49"/>
        <v>0</v>
      </c>
      <c r="BP168" s="252">
        <f>'Total RD Feedstock'!D102</f>
        <v>8.3053232839427658</v>
      </c>
      <c r="BQ168" s="252">
        <f t="shared" si="73"/>
        <v>9.8173873404627798E-2</v>
      </c>
      <c r="BS168" s="274">
        <f t="shared" si="63"/>
        <v>6.1169153450289407E-2</v>
      </c>
      <c r="BT168" s="274">
        <f t="shared" si="63"/>
        <v>3.5820636370172063E-2</v>
      </c>
      <c r="BU168" s="274">
        <f t="shared" si="63"/>
        <v>2.5294591480058029E-3</v>
      </c>
      <c r="BV168" s="274">
        <f t="shared" si="63"/>
        <v>0.88297504111271341</v>
      </c>
      <c r="BW168" s="274">
        <f t="shared" si="63"/>
        <v>1.7505709918819289E-2</v>
      </c>
      <c r="BY168" s="252">
        <f t="shared" si="64"/>
        <v>0.5020243816826595</v>
      </c>
      <c r="BZ168" s="252">
        <f t="shared" si="64"/>
        <v>0.29398531467055861</v>
      </c>
      <c r="CA168" s="252">
        <f t="shared" si="64"/>
        <v>2.075964915553612E-2</v>
      </c>
      <c r="CB168" s="252">
        <f t="shared" si="64"/>
        <v>7.2467080881880932</v>
      </c>
      <c r="CC168" s="252">
        <f t="shared" si="64"/>
        <v>0.14367197684128935</v>
      </c>
    </row>
    <row r="169" spans="1:81">
      <c r="A169" s="11">
        <v>44774</v>
      </c>
      <c r="B169" s="268">
        <v>70</v>
      </c>
      <c r="C169" s="268">
        <v>13</v>
      </c>
      <c r="D169" s="268">
        <f t="shared" si="71"/>
        <v>20</v>
      </c>
      <c r="E169" s="268">
        <v>3</v>
      </c>
      <c r="F169" s="269">
        <v>0.2</v>
      </c>
      <c r="G169" s="269">
        <v>1.32</v>
      </c>
      <c r="H169" s="269"/>
      <c r="I169" s="269">
        <v>5</v>
      </c>
      <c r="J169" s="269"/>
      <c r="K169" s="269"/>
      <c r="L169" s="269"/>
      <c r="M169" s="269">
        <f t="shared" si="65"/>
        <v>1.5</v>
      </c>
      <c r="N169" s="269">
        <v>45</v>
      </c>
      <c r="O169" s="269">
        <f t="shared" si="38"/>
        <v>17.699535849485258</v>
      </c>
      <c r="Q169" s="251">
        <f t="shared" si="46"/>
        <v>176.71953584948523</v>
      </c>
      <c r="R169" s="251">
        <f>'RD Plant List'!N37</f>
        <v>0</v>
      </c>
      <c r="S169" s="251">
        <f>SUM(B169:O169)+'RD Plant List'!N37</f>
        <v>176.71953584948523</v>
      </c>
      <c r="U169" s="251">
        <f>'Renewable Fuel Ex Ethanol'!K29*'Renewable Fuel Ex Ethanol'!$I$121*12/1000000</f>
        <v>89.646273790800009</v>
      </c>
      <c r="V169" s="271">
        <f t="shared" si="51"/>
        <v>0.50727993008737382</v>
      </c>
      <c r="W169" s="251">
        <f t="shared" si="47"/>
        <v>7.4705228159000008</v>
      </c>
      <c r="X169" s="272">
        <f t="shared" si="52"/>
        <v>7.8587650833547595</v>
      </c>
      <c r="Y169" s="273">
        <f t="shared" si="53"/>
        <v>0.29658501347245725</v>
      </c>
      <c r="AB169" s="251">
        <f>SUM('BD Feedstock'!C167,'BD Feedstock'!E167,'BD Feedstock'!G167,'BD Feedstock'!K167,'BD Feedstock'!T167)</f>
        <v>21.812796010427753</v>
      </c>
      <c r="AC169" s="251">
        <f>SUM('BD Feedstock'!D167,'BD Feedstock'!F167,'BD Feedstock'!H167,'BD Feedstock'!I167,'BD Feedstock'!L167,'BD Feedstock'!M167,'BD Feedstock'!N167,'BD Feedstock'!O167,'BD Feedstock'!U167)</f>
        <v>12.773566250859661</v>
      </c>
      <c r="AD169" s="251">
        <f>'BD Feedstock'!J167</f>
        <v>0.90199999999999991</v>
      </c>
      <c r="AE169" s="251">
        <f>SUM('BD Feedstock'!B167,'BD Feedstock'!P167,'BD Feedstock'!Q167,'BD Feedstock'!R167)</f>
        <v>70.93020833333334</v>
      </c>
      <c r="AF169" s="251">
        <f>'BD Feedstock'!S167</f>
        <v>1.40625</v>
      </c>
      <c r="AG169" s="251">
        <f t="shared" si="41"/>
        <v>107.82482059462075</v>
      </c>
      <c r="AK169" s="237">
        <f t="shared" si="70"/>
        <v>0.20229846792359021</v>
      </c>
      <c r="AL169" s="237">
        <f>AC169/$AG169</f>
        <v>0.11846591703484753</v>
      </c>
      <c r="AM169" s="237">
        <f t="shared" si="70"/>
        <v>8.3654208282077092E-3</v>
      </c>
      <c r="AN169" s="237">
        <f t="shared" si="70"/>
        <v>0.65782820636449979</v>
      </c>
      <c r="AO169" s="237">
        <f t="shared" si="70"/>
        <v>1.304198784885487E-2</v>
      </c>
      <c r="AP169" s="237">
        <f t="shared" si="42"/>
        <v>1</v>
      </c>
      <c r="AQ169" s="237"/>
      <c r="AR169" s="237">
        <f t="shared" si="43"/>
        <v>0.61464645366918802</v>
      </c>
      <c r="AS169" s="237">
        <f>AC169/SUM($AB169:$AD169)</f>
        <v>0.35993676340465403</v>
      </c>
      <c r="AT169" s="237">
        <f t="shared" si="45"/>
        <v>2.5416782926158003E-2</v>
      </c>
      <c r="AU169" s="237">
        <f t="shared" si="72"/>
        <v>0.98055959563958928</v>
      </c>
      <c r="AV169" s="237">
        <f t="shared" si="72"/>
        <v>1.9440404360410696E-2</v>
      </c>
      <c r="AX169" s="251">
        <f t="shared" si="54"/>
        <v>1811.9777454167663</v>
      </c>
      <c r="AY169" s="251">
        <f t="shared" si="55"/>
        <v>1061.0935785169202</v>
      </c>
      <c r="AZ169" s="251">
        <f t="shared" si="56"/>
        <v>74.928676066313528</v>
      </c>
      <c r="BA169" s="251">
        <f t="shared" si="57"/>
        <v>23221.612343936755</v>
      </c>
      <c r="BB169" s="251">
        <f t="shared" si="58"/>
        <v>460.38765606324523</v>
      </c>
      <c r="BC169" s="251">
        <f t="shared" si="66"/>
        <v>26630</v>
      </c>
      <c r="BD169" s="270">
        <f t="shared" si="67"/>
        <v>7.8587650833547595</v>
      </c>
      <c r="BE169" s="251">
        <f t="shared" si="68"/>
        <v>2948</v>
      </c>
      <c r="BF169" s="251">
        <f t="shared" si="69"/>
        <v>23682</v>
      </c>
      <c r="BG169" s="251">
        <f>Data!T34</f>
        <v>2948</v>
      </c>
      <c r="BH169" s="251">
        <f>Data!S34</f>
        <v>23682</v>
      </c>
      <c r="BI169" s="270">
        <f t="shared" si="62"/>
        <v>7.8587650833547595</v>
      </c>
      <c r="BJ169" s="13">
        <v>5900.865841333637</v>
      </c>
      <c r="BK169" s="13">
        <v>-6743.7597204388985</v>
      </c>
      <c r="BM169" s="13">
        <f t="shared" si="49"/>
        <v>0</v>
      </c>
      <c r="BN169" s="13">
        <f t="shared" si="49"/>
        <v>0</v>
      </c>
      <c r="BP169" s="252">
        <f>'Total RD Feedstock'!D103</f>
        <v>7.5621800698823023</v>
      </c>
      <c r="BQ169" s="252">
        <f t="shared" si="73"/>
        <v>-0.29658501347245725</v>
      </c>
      <c r="BS169" s="274">
        <f t="shared" si="63"/>
        <v>6.8042724198902227E-2</v>
      </c>
      <c r="BT169" s="274">
        <f t="shared" si="63"/>
        <v>3.984579716548705E-2</v>
      </c>
      <c r="BU169" s="274">
        <f t="shared" si="63"/>
        <v>2.8136941819869895E-3</v>
      </c>
      <c r="BV169" s="274">
        <f t="shared" si="63"/>
        <v>0.87200947592702793</v>
      </c>
      <c r="BW169" s="274">
        <f t="shared" si="63"/>
        <v>1.7288308526595766E-2</v>
      </c>
      <c r="BY169" s="252">
        <f t="shared" si="64"/>
        <v>0.53473178511067065</v>
      </c>
      <c r="BZ169" s="252">
        <f t="shared" si="64"/>
        <v>0.31313875948256564</v>
      </c>
      <c r="CA169" s="252">
        <f t="shared" si="64"/>
        <v>2.2112161592637781E-2</v>
      </c>
      <c r="CB169" s="252">
        <f t="shared" si="64"/>
        <v>6.8529176217698096</v>
      </c>
      <c r="CC169" s="252">
        <f t="shared" si="64"/>
        <v>0.13586475539907517</v>
      </c>
    </row>
    <row r="170" spans="1:81">
      <c r="A170" s="11">
        <v>44805</v>
      </c>
      <c r="B170" s="268">
        <v>70</v>
      </c>
      <c r="C170" s="268">
        <v>13</v>
      </c>
      <c r="D170" s="268">
        <f t="shared" si="71"/>
        <v>20</v>
      </c>
      <c r="E170" s="268">
        <v>3</v>
      </c>
      <c r="F170" s="269">
        <v>0.2</v>
      </c>
      <c r="G170" s="269">
        <v>1.32</v>
      </c>
      <c r="H170" s="269"/>
      <c r="I170" s="269">
        <v>5</v>
      </c>
      <c r="J170" s="269"/>
      <c r="K170" s="269"/>
      <c r="L170" s="269"/>
      <c r="M170" s="269">
        <f t="shared" si="65"/>
        <v>1.5</v>
      </c>
      <c r="N170" s="269">
        <v>45</v>
      </c>
      <c r="O170" s="269">
        <f t="shared" si="38"/>
        <v>17.699535849485258</v>
      </c>
      <c r="Q170" s="251">
        <f t="shared" si="46"/>
        <v>176.71953584948523</v>
      </c>
      <c r="R170" s="251">
        <f>'RD Plant List'!N38</f>
        <v>0</v>
      </c>
      <c r="S170" s="251">
        <f>SUM(B170:O170)+'RD Plant List'!N38</f>
        <v>176.71953584948523</v>
      </c>
      <c r="U170" s="251">
        <f>'Renewable Fuel Ex Ethanol'!K30*'Renewable Fuel Ex Ethanol'!$I$121*12/1000000</f>
        <v>116.0275563852</v>
      </c>
      <c r="V170" s="271">
        <f t="shared" si="51"/>
        <v>0.65656327031111306</v>
      </c>
      <c r="W170" s="251">
        <f t="shared" si="47"/>
        <v>9.6689630321000006</v>
      </c>
      <c r="X170" s="242">
        <f t="shared" si="52"/>
        <v>8.4664739985276771</v>
      </c>
      <c r="Y170" s="273">
        <f t="shared" si="53"/>
        <v>-7.7523461152111395E-3</v>
      </c>
      <c r="AA170" s="275"/>
      <c r="AB170" s="251">
        <f>SUM('BD Feedstock'!C168,'BD Feedstock'!E168,'BD Feedstock'!G168,'BD Feedstock'!K168,'BD Feedstock'!T168)</f>
        <v>21.812796010427753</v>
      </c>
      <c r="AC170" s="251">
        <f>SUM('BD Feedstock'!D168,'BD Feedstock'!F168,'BD Feedstock'!H168,'BD Feedstock'!I168,'BD Feedstock'!L168,'BD Feedstock'!M168,'BD Feedstock'!N168,'BD Feedstock'!O168,'BD Feedstock'!U168)</f>
        <v>12.773566250859661</v>
      </c>
      <c r="AD170" s="251">
        <f>'BD Feedstock'!J168</f>
        <v>0.90199999999999991</v>
      </c>
      <c r="AE170" s="251">
        <f>SUM('BD Feedstock'!B168,'BD Feedstock'!P168,'BD Feedstock'!Q168,'BD Feedstock'!R168)</f>
        <v>70.93020833333334</v>
      </c>
      <c r="AF170" s="251">
        <f>'BD Feedstock'!S168</f>
        <v>1.40625</v>
      </c>
      <c r="AG170" s="251">
        <f t="shared" si="41"/>
        <v>107.82482059462075</v>
      </c>
      <c r="AK170" s="237">
        <f t="shared" si="70"/>
        <v>0.20229846792359021</v>
      </c>
      <c r="AL170" s="237">
        <f t="shared" si="70"/>
        <v>0.11846591703484753</v>
      </c>
      <c r="AM170" s="237">
        <f t="shared" si="70"/>
        <v>8.3654208282077092E-3</v>
      </c>
      <c r="AN170" s="237">
        <f t="shared" si="70"/>
        <v>0.65782820636449979</v>
      </c>
      <c r="AO170" s="237">
        <f t="shared" si="70"/>
        <v>1.304198784885487E-2</v>
      </c>
      <c r="AP170" s="237">
        <f t="shared" si="42"/>
        <v>1</v>
      </c>
      <c r="AQ170" s="237"/>
      <c r="AR170" s="237">
        <f t="shared" si="43"/>
        <v>0.61464645366918802</v>
      </c>
      <c r="AS170" s="237">
        <f t="shared" si="44"/>
        <v>0.35993676340465403</v>
      </c>
      <c r="AT170" s="237">
        <f t="shared" si="45"/>
        <v>2.5416782926158003E-2</v>
      </c>
      <c r="AU170" s="237">
        <f t="shared" si="72"/>
        <v>0.98055959563958928</v>
      </c>
      <c r="AV170" s="237">
        <f t="shared" si="72"/>
        <v>1.9440404360410696E-2</v>
      </c>
      <c r="AX170" s="251">
        <f t="shared" si="54"/>
        <v>2817.5393436195577</v>
      </c>
      <c r="AY170" s="251">
        <f t="shared" si="55"/>
        <v>1649.950123446934</v>
      </c>
      <c r="AZ170" s="251">
        <f t="shared" si="56"/>
        <v>116.51053293350833</v>
      </c>
      <c r="BA170" s="251">
        <f t="shared" si="57"/>
        <v>31915.253718877353</v>
      </c>
      <c r="BB170" s="251">
        <f t="shared" si="58"/>
        <v>632.74628112264691</v>
      </c>
      <c r="BC170" s="251">
        <f t="shared" si="66"/>
        <v>37132</v>
      </c>
      <c r="BD170" s="270">
        <f>(BC170*2204.622/1000000)/(U170/12)</f>
        <v>8.4664739985276771</v>
      </c>
      <c r="BE170" s="251">
        <f>AX170+AY170+AZ170</f>
        <v>4584</v>
      </c>
      <c r="BF170" s="251">
        <f>BA170+BB170</f>
        <v>32548</v>
      </c>
      <c r="BG170" s="251">
        <f>Data!T35</f>
        <v>4584</v>
      </c>
      <c r="BH170" s="251">
        <f>Data!S35</f>
        <v>32548</v>
      </c>
      <c r="BI170" s="270">
        <f t="shared" si="62"/>
        <v>8.4664739985276771</v>
      </c>
      <c r="BJ170" s="13">
        <v>6868.9275666979902</v>
      </c>
      <c r="BK170" s="13">
        <v>-10625.140900589984</v>
      </c>
      <c r="BM170" s="13">
        <f t="shared" si="49"/>
        <v>0</v>
      </c>
      <c r="BN170" s="13">
        <f t="shared" si="49"/>
        <v>0</v>
      </c>
      <c r="BP170" s="252">
        <f>'Total RD Feedstock'!D104</f>
        <v>8.4742263446428883</v>
      </c>
      <c r="BQ170" s="252">
        <f t="shared" si="73"/>
        <v>7.7523461152111395E-3</v>
      </c>
      <c r="BS170" s="274">
        <f t="shared" si="63"/>
        <v>7.5879008499934231E-2</v>
      </c>
      <c r="BT170" s="274">
        <f t="shared" si="63"/>
        <v>4.4434722704054019E-2</v>
      </c>
      <c r="BU170" s="274">
        <f t="shared" si="63"/>
        <v>3.1377392258296975E-3</v>
      </c>
      <c r="BV170" s="274">
        <f t="shared" si="63"/>
        <v>0.85950807171381427</v>
      </c>
      <c r="BW170" s="274">
        <f t="shared" si="63"/>
        <v>1.7040457856367739E-2</v>
      </c>
      <c r="BY170" s="252">
        <f t="shared" si="64"/>
        <v>0.64242765249875378</v>
      </c>
      <c r="BZ170" s="252">
        <f t="shared" si="64"/>
        <v>0.37620542440566085</v>
      </c>
      <c r="CA170" s="252">
        <f t="shared" si="64"/>
        <v>2.6565587569647501E-2</v>
      </c>
      <c r="CB170" s="252">
        <f t="shared" si="64"/>
        <v>7.2770027406896709</v>
      </c>
      <c r="CC170" s="252">
        <f t="shared" si="64"/>
        <v>0.14427259336394416</v>
      </c>
    </row>
    <row r="171" spans="1:81">
      <c r="A171" s="11">
        <v>44835</v>
      </c>
      <c r="B171" s="268">
        <v>70</v>
      </c>
      <c r="C171" s="268">
        <v>13</v>
      </c>
      <c r="D171" s="268">
        <f t="shared" si="71"/>
        <v>20</v>
      </c>
      <c r="E171" s="268">
        <v>3</v>
      </c>
      <c r="F171" s="269">
        <v>0.2</v>
      </c>
      <c r="G171" s="269">
        <v>1.32</v>
      </c>
      <c r="H171" s="269"/>
      <c r="I171" s="269">
        <v>5</v>
      </c>
      <c r="J171" s="269"/>
      <c r="K171" s="269"/>
      <c r="L171" s="269"/>
      <c r="M171" s="269">
        <f t="shared" si="65"/>
        <v>1.5</v>
      </c>
      <c r="N171" s="269">
        <v>45</v>
      </c>
      <c r="O171" s="269">
        <f t="shared" si="38"/>
        <v>17.699535849485258</v>
      </c>
      <c r="Q171" s="251">
        <f t="shared" si="46"/>
        <v>176.71953584948523</v>
      </c>
      <c r="R171" s="251">
        <f>'RD Plant List'!N39</f>
        <v>0</v>
      </c>
      <c r="S171" s="251">
        <f>SUM(B171:O171)+'RD Plant List'!N39</f>
        <v>176.71953584948523</v>
      </c>
      <c r="U171" s="251">
        <f>'Renewable Fuel Ex Ethanol'!K31*'Renewable Fuel Ex Ethanol'!$I$121*12/1000000</f>
        <v>132.77184077160001</v>
      </c>
      <c r="V171" s="271">
        <f t="shared" si="51"/>
        <v>0.75131388351248185</v>
      </c>
      <c r="W171" s="251">
        <f t="shared" si="47"/>
        <v>11.0643200643</v>
      </c>
      <c r="X171" s="242">
        <f t="shared" si="52"/>
        <v>13.367425675909095</v>
      </c>
      <c r="Y171" s="273">
        <f>X171-BP171</f>
        <v>5.2983918814091968</v>
      </c>
      <c r="AA171" s="275"/>
      <c r="AB171" s="251">
        <f>SUM('BD Feedstock'!C169,'BD Feedstock'!E169,'BD Feedstock'!G169,'BD Feedstock'!K169,'BD Feedstock'!T169)</f>
        <v>21.812796010427753</v>
      </c>
      <c r="AC171" s="251">
        <f>SUM('BD Feedstock'!D169,'BD Feedstock'!F169,'BD Feedstock'!H169,'BD Feedstock'!I169,'BD Feedstock'!L169,'BD Feedstock'!M169,'BD Feedstock'!N169,'BD Feedstock'!O169,'BD Feedstock'!U169)</f>
        <v>12.773566250859661</v>
      </c>
      <c r="AD171" s="251">
        <f>'BD Feedstock'!J169</f>
        <v>0.90199999999999991</v>
      </c>
      <c r="AE171" s="251">
        <f>SUM('BD Feedstock'!B169,'BD Feedstock'!P169,'BD Feedstock'!Q169,'BD Feedstock'!R169)</f>
        <v>70.93020833333334</v>
      </c>
      <c r="AF171" s="251">
        <f>'BD Feedstock'!S169</f>
        <v>1.40625</v>
      </c>
      <c r="AG171" s="251">
        <f t="shared" si="41"/>
        <v>107.82482059462075</v>
      </c>
      <c r="AK171" s="237">
        <f t="shared" si="70"/>
        <v>0.20229846792359021</v>
      </c>
      <c r="AL171" s="237">
        <f t="shared" si="70"/>
        <v>0.11846591703484753</v>
      </c>
      <c r="AM171" s="237">
        <f t="shared" si="70"/>
        <v>8.3654208282077092E-3</v>
      </c>
      <c r="AN171" s="237">
        <f t="shared" si="70"/>
        <v>0.65782820636449979</v>
      </c>
      <c r="AO171" s="237">
        <f t="shared" si="70"/>
        <v>1.304198784885487E-2</v>
      </c>
      <c r="AP171" s="237">
        <f t="shared" si="42"/>
        <v>1</v>
      </c>
      <c r="AQ171" s="237"/>
      <c r="AR171" s="237">
        <f t="shared" si="43"/>
        <v>0.61464645366918802</v>
      </c>
      <c r="AS171" s="237">
        <f t="shared" si="44"/>
        <v>0.35993676340465403</v>
      </c>
      <c r="AT171" s="237">
        <f t="shared" si="45"/>
        <v>2.5416782926158003E-2</v>
      </c>
      <c r="AU171" s="237">
        <f t="shared" si="72"/>
        <v>0.98055959563958928</v>
      </c>
      <c r="AV171" s="237">
        <f t="shared" si="72"/>
        <v>1.9440404360410696E-2</v>
      </c>
      <c r="AX171" s="251">
        <f t="shared" si="54"/>
        <v>2355.3252104603284</v>
      </c>
      <c r="AY171" s="251">
        <f t="shared" si="55"/>
        <v>1379.2776773666342</v>
      </c>
      <c r="AZ171" s="251">
        <f t="shared" si="56"/>
        <v>97.397112173037385</v>
      </c>
      <c r="BA171" s="251">
        <f t="shared" si="57"/>
        <v>62025.29722218222</v>
      </c>
      <c r="BB171" s="251">
        <f t="shared" si="58"/>
        <v>1229.7027778177799</v>
      </c>
      <c r="BC171" s="251">
        <f t="shared" si="66"/>
        <v>67087</v>
      </c>
      <c r="BD171" s="270">
        <f t="shared" si="67"/>
        <v>13.367425675909095</v>
      </c>
      <c r="BE171" s="251">
        <f>AX171+AY171+AZ171</f>
        <v>3832</v>
      </c>
      <c r="BF171" s="251">
        <f t="shared" si="69"/>
        <v>63255</v>
      </c>
      <c r="BG171" s="251">
        <f>Data!T36</f>
        <v>3832</v>
      </c>
      <c r="BH171" s="251">
        <f>Data!S36</f>
        <v>63255</v>
      </c>
      <c r="BI171" s="270">
        <f t="shared" si="62"/>
        <v>13.367425675909095</v>
      </c>
      <c r="BJ171" s="13">
        <v>9273.7338672717124</v>
      </c>
      <c r="BK171" s="13">
        <v>-38168.387403060304</v>
      </c>
      <c r="BM171" s="13">
        <f t="shared" si="49"/>
        <v>0</v>
      </c>
      <c r="BN171" s="13">
        <f t="shared" si="49"/>
        <v>0</v>
      </c>
      <c r="BP171" s="252">
        <f>'Total RD Feedstock'!D105</f>
        <v>8.069033794499898</v>
      </c>
      <c r="BQ171" s="252">
        <f t="shared" si="73"/>
        <v>-5.2983918814091968</v>
      </c>
      <c r="BS171" s="274">
        <f t="shared" si="63"/>
        <v>3.5108518944956972E-2</v>
      </c>
      <c r="BT171" s="274">
        <f t="shared" si="63"/>
        <v>2.0559537277961962E-2</v>
      </c>
      <c r="BU171" s="274">
        <f t="shared" si="63"/>
        <v>1.4518030642753049E-3</v>
      </c>
      <c r="BV171" s="274">
        <f t="shared" si="63"/>
        <v>0.92455016951394786</v>
      </c>
      <c r="BW171" s="274">
        <f t="shared" si="63"/>
        <v>1.8329971198857899E-2</v>
      </c>
      <c r="BY171" s="252">
        <f t="shared" si="64"/>
        <v>0.46931051758795872</v>
      </c>
      <c r="BZ171" s="252">
        <f t="shared" si="64"/>
        <v>0.2748280864942389</v>
      </c>
      <c r="CA171" s="252">
        <f t="shared" si="64"/>
        <v>1.9406869557757212E-2</v>
      </c>
      <c r="CB171" s="252">
        <f t="shared" si="64"/>
        <v>12.358855674626852</v>
      </c>
      <c r="CC171" s="252">
        <f t="shared" si="64"/>
        <v>0.2450245276422873</v>
      </c>
    </row>
    <row r="172" spans="1:81">
      <c r="A172" s="11">
        <v>44866</v>
      </c>
      <c r="B172" s="268">
        <v>70</v>
      </c>
      <c r="C172" s="268">
        <v>13</v>
      </c>
      <c r="D172" s="268">
        <f t="shared" si="71"/>
        <v>20</v>
      </c>
      <c r="E172" s="268">
        <v>3</v>
      </c>
      <c r="F172" s="269">
        <v>0.2</v>
      </c>
      <c r="G172" s="269">
        <v>1.32</v>
      </c>
      <c r="H172" s="269"/>
      <c r="I172" s="269">
        <v>5</v>
      </c>
      <c r="J172" s="269"/>
      <c r="K172" s="269"/>
      <c r="L172" s="269"/>
      <c r="M172" s="269">
        <f t="shared" si="65"/>
        <v>1.5</v>
      </c>
      <c r="N172" s="269">
        <v>45</v>
      </c>
      <c r="O172" s="269">
        <f t="shared" si="38"/>
        <v>17.699535849485258</v>
      </c>
      <c r="Q172" s="251">
        <f t="shared" si="46"/>
        <v>176.71953584948523</v>
      </c>
      <c r="R172" s="251">
        <f>'RD Plant List'!N40</f>
        <v>0</v>
      </c>
      <c r="S172" s="251">
        <f>SUM(B172:O172)+'RD Plant List'!N40</f>
        <v>176.71953584948523</v>
      </c>
      <c r="U172" s="251">
        <f>'Renewable Fuel Ex Ethanol'!K32*'Renewable Fuel Ex Ethanol'!$I$121*12/1000000</f>
        <v>138.9534679116</v>
      </c>
      <c r="V172" s="271">
        <f t="shared" si="51"/>
        <v>0.78629375775380506</v>
      </c>
      <c r="W172" s="251">
        <f t="shared" si="47"/>
        <v>11.579455659300001</v>
      </c>
      <c r="X172" s="242">
        <f t="shared" si="52"/>
        <v>7.9202579031719491</v>
      </c>
      <c r="Y172" s="273">
        <f t="shared" si="53"/>
        <v>-0.10890354616861586</v>
      </c>
      <c r="AB172" s="251">
        <f>SUM('BD Feedstock'!C170,'BD Feedstock'!E170,'BD Feedstock'!G170,'BD Feedstock'!K170,'BD Feedstock'!T170)</f>
        <v>21.812796010427753</v>
      </c>
      <c r="AC172" s="251">
        <f>SUM('BD Feedstock'!D170,'BD Feedstock'!F170,'BD Feedstock'!H170,'BD Feedstock'!I170,'BD Feedstock'!L170,'BD Feedstock'!M170,'BD Feedstock'!N170,'BD Feedstock'!O170,'BD Feedstock'!U170)</f>
        <v>12.773566250859661</v>
      </c>
      <c r="AD172" s="251">
        <f>'BD Feedstock'!J170</f>
        <v>0.90199999999999991</v>
      </c>
      <c r="AE172" s="251">
        <f>SUM('BD Feedstock'!B170,'BD Feedstock'!P170,'BD Feedstock'!Q170,'BD Feedstock'!R170)</f>
        <v>70.93020833333334</v>
      </c>
      <c r="AF172" s="251">
        <f>'BD Feedstock'!S170</f>
        <v>1.40625</v>
      </c>
      <c r="AG172" s="251">
        <f t="shared" si="41"/>
        <v>107.82482059462075</v>
      </c>
      <c r="AK172" s="237">
        <f t="shared" si="70"/>
        <v>0.20229846792359021</v>
      </c>
      <c r="AL172" s="237">
        <f t="shared" si="70"/>
        <v>0.11846591703484753</v>
      </c>
      <c r="AM172" s="237">
        <f t="shared" si="70"/>
        <v>8.3654208282077092E-3</v>
      </c>
      <c r="AN172" s="237">
        <f t="shared" si="70"/>
        <v>0.65782820636449979</v>
      </c>
      <c r="AO172" s="237">
        <f t="shared" si="70"/>
        <v>1.304198784885487E-2</v>
      </c>
      <c r="AP172" s="237">
        <f t="shared" si="42"/>
        <v>1</v>
      </c>
      <c r="AQ172" s="237"/>
      <c r="AR172" s="237">
        <f t="shared" si="43"/>
        <v>0.61464645366918802</v>
      </c>
      <c r="AS172" s="237">
        <f t="shared" si="44"/>
        <v>0.35993676340465403</v>
      </c>
      <c r="AT172" s="237">
        <f t="shared" si="45"/>
        <v>2.5416782926158003E-2</v>
      </c>
      <c r="AU172" s="237">
        <f t="shared" si="72"/>
        <v>0.98055959563958928</v>
      </c>
      <c r="AV172" s="237">
        <f t="shared" si="72"/>
        <v>1.9440404360410696E-2</v>
      </c>
      <c r="AX172" s="251">
        <f t="shared" si="54"/>
        <v>2479.4837941015044</v>
      </c>
      <c r="AY172" s="251">
        <f t="shared" si="55"/>
        <v>1451.9849035743744</v>
      </c>
      <c r="AZ172" s="251">
        <f t="shared" si="56"/>
        <v>102.5313023241215</v>
      </c>
      <c r="BA172" s="251">
        <f t="shared" si="57"/>
        <v>36835.701769796811</v>
      </c>
      <c r="BB172" s="251">
        <f t="shared" si="58"/>
        <v>730.29823020318872</v>
      </c>
      <c r="BC172" s="251">
        <f t="shared" si="66"/>
        <v>41600</v>
      </c>
      <c r="BD172" s="270">
        <f>(BC172*2204.622/1000000)/(U172/12)</f>
        <v>7.92025790317195</v>
      </c>
      <c r="BE172" s="251">
        <f>AX172+AY172+AZ172</f>
        <v>4034</v>
      </c>
      <c r="BF172" s="251">
        <f>BA172+BB172</f>
        <v>37566</v>
      </c>
      <c r="BG172" s="251">
        <f>Data!T37</f>
        <v>4034</v>
      </c>
      <c r="BH172" s="251">
        <f>Data!S37</f>
        <v>37566</v>
      </c>
      <c r="BI172" s="270">
        <f t="shared" si="62"/>
        <v>7.92025790317195</v>
      </c>
      <c r="BJ172" s="13">
        <v>9681.9141561999113</v>
      </c>
      <c r="BK172" s="13">
        <v>-11311.398133809482</v>
      </c>
      <c r="BM172" s="13">
        <f t="shared" si="49"/>
        <v>0</v>
      </c>
      <c r="BN172" s="13">
        <f t="shared" si="49"/>
        <v>0</v>
      </c>
      <c r="BP172" s="252">
        <f>'Total RD Feedstock'!D106</f>
        <v>8.029161449340565</v>
      </c>
      <c r="BQ172" s="252">
        <f t="shared" si="73"/>
        <v>0.10890354616861497</v>
      </c>
      <c r="BS172" s="274">
        <f t="shared" si="63"/>
        <v>5.9602975819747703E-2</v>
      </c>
      <c r="BT172" s="274">
        <f t="shared" si="63"/>
        <v>3.4903483258999383E-2</v>
      </c>
      <c r="BU172" s="274">
        <f t="shared" si="63"/>
        <v>2.464694767406767E-3</v>
      </c>
      <c r="BV172" s="274">
        <f t="shared" si="63"/>
        <v>0.88547360023550026</v>
      </c>
      <c r="BW172" s="274">
        <f t="shared" si="63"/>
        <v>1.7555245918345883E-2</v>
      </c>
      <c r="BY172" s="252">
        <f t="shared" si="64"/>
        <v>0.47207094028892338</v>
      </c>
      <c r="BZ172" s="252">
        <f t="shared" si="64"/>
        <v>0.27644458913031972</v>
      </c>
      <c r="CA172" s="252">
        <f t="shared" si="64"/>
        <v>1.9521018210459994E-2</v>
      </c>
      <c r="CB172" s="252">
        <f t="shared" si="64"/>
        <v>7.0131792803153399</v>
      </c>
      <c r="CC172" s="252">
        <f t="shared" si="64"/>
        <v>0.13904207522690609</v>
      </c>
    </row>
    <row r="173" spans="1:81">
      <c r="A173" s="11">
        <v>44896</v>
      </c>
      <c r="B173" s="268">
        <v>70</v>
      </c>
      <c r="C173" s="268">
        <v>13</v>
      </c>
      <c r="D173" s="268">
        <f t="shared" si="71"/>
        <v>20</v>
      </c>
      <c r="E173" s="268">
        <v>3</v>
      </c>
      <c r="F173" s="269">
        <v>0.2</v>
      </c>
      <c r="G173" s="269">
        <v>1.32</v>
      </c>
      <c r="H173" s="269"/>
      <c r="I173" s="269">
        <v>5</v>
      </c>
      <c r="J173" s="269"/>
      <c r="K173" s="269"/>
      <c r="L173" s="269"/>
      <c r="M173" s="269">
        <f t="shared" si="65"/>
        <v>1.5</v>
      </c>
      <c r="N173" s="269">
        <v>45</v>
      </c>
      <c r="O173" s="269">
        <f t="shared" si="38"/>
        <v>17.699535849485258</v>
      </c>
      <c r="Q173" s="251">
        <f t="shared" si="46"/>
        <v>176.71953584948523</v>
      </c>
      <c r="R173" s="251">
        <f>'RD Plant List'!N41</f>
        <v>0</v>
      </c>
      <c r="S173" s="251">
        <f>SUM(B173:O173)+'RD Plant List'!N41</f>
        <v>176.71953584948523</v>
      </c>
      <c r="U173" s="251">
        <f>'Renewable Fuel Ex Ethanol'!K33*'Renewable Fuel Ex Ethanol'!$I$121*12/1000000</f>
        <v>119.6477708436</v>
      </c>
      <c r="V173" s="271">
        <f>U173/S173</f>
        <v>0.6770489197385956</v>
      </c>
      <c r="W173" s="251">
        <f t="shared" si="47"/>
        <v>9.9706475703000006</v>
      </c>
      <c r="X173" s="242">
        <f t="shared" si="52"/>
        <v>8.1503805012691757</v>
      </c>
      <c r="Y173" s="273">
        <f t="shared" si="53"/>
        <v>-3.0071125259015119E-2</v>
      </c>
      <c r="AB173" s="251">
        <f>SUM('BD Feedstock'!C171,'BD Feedstock'!E171,'BD Feedstock'!G171,'BD Feedstock'!K171,'BD Feedstock'!T171)</f>
        <v>21.812796010427753</v>
      </c>
      <c r="AC173" s="251">
        <f>SUM('BD Feedstock'!D171,'BD Feedstock'!F171,'BD Feedstock'!H171,'BD Feedstock'!I171,'BD Feedstock'!L171,'BD Feedstock'!M171,'BD Feedstock'!N171,'BD Feedstock'!O171,'BD Feedstock'!U171)</f>
        <v>12.773566250859661</v>
      </c>
      <c r="AD173" s="251">
        <f>'BD Feedstock'!J171</f>
        <v>0.90199999999999991</v>
      </c>
      <c r="AE173" s="251">
        <f>SUM('BD Feedstock'!B171,'BD Feedstock'!P171,'BD Feedstock'!Q171,'BD Feedstock'!R171)</f>
        <v>70.93020833333334</v>
      </c>
      <c r="AF173" s="251">
        <f>'BD Feedstock'!S171</f>
        <v>1.40625</v>
      </c>
      <c r="AG173" s="251">
        <f t="shared" si="41"/>
        <v>107.82482059462075</v>
      </c>
      <c r="AK173" s="237">
        <f t="shared" si="70"/>
        <v>0.20229846792359021</v>
      </c>
      <c r="AL173" s="237">
        <f t="shared" si="70"/>
        <v>0.11846591703484753</v>
      </c>
      <c r="AM173" s="237">
        <f t="shared" si="70"/>
        <v>8.3654208282077092E-3</v>
      </c>
      <c r="AN173" s="237">
        <f t="shared" si="70"/>
        <v>0.65782820636449979</v>
      </c>
      <c r="AO173" s="237">
        <f t="shared" si="70"/>
        <v>1.304198784885487E-2</v>
      </c>
      <c r="AP173" s="237">
        <f t="shared" si="42"/>
        <v>1</v>
      </c>
      <c r="AQ173" s="237"/>
      <c r="AR173" s="237">
        <f t="shared" si="43"/>
        <v>0.61464645366918802</v>
      </c>
      <c r="AS173" s="237">
        <f t="shared" si="44"/>
        <v>0.35993676340465403</v>
      </c>
      <c r="AT173" s="237">
        <f t="shared" si="45"/>
        <v>2.5416782926158003E-2</v>
      </c>
      <c r="AU173" s="237">
        <f t="shared" si="72"/>
        <v>0.98055959563958928</v>
      </c>
      <c r="AV173" s="237">
        <f t="shared" si="72"/>
        <v>1.9440404360410696E-2</v>
      </c>
      <c r="AX173" s="251">
        <f t="shared" si="54"/>
        <v>2234.8545055411678</v>
      </c>
      <c r="AY173" s="251">
        <f t="shared" si="55"/>
        <v>1308.7300717393221</v>
      </c>
      <c r="AZ173" s="251">
        <f t="shared" si="56"/>
        <v>92.415422719510389</v>
      </c>
      <c r="BA173" s="251">
        <f t="shared" si="57"/>
        <v>32579.092565125353</v>
      </c>
      <c r="BB173" s="251">
        <f t="shared" si="58"/>
        <v>645.90743487464715</v>
      </c>
      <c r="BC173" s="251">
        <f t="shared" si="66"/>
        <v>36861</v>
      </c>
      <c r="BD173" s="270">
        <f t="shared" ref="BD173:BD236" si="74">(BC173*2204.622/1000000)/(U173/12)</f>
        <v>8.1503805012691757</v>
      </c>
      <c r="BE173" s="251">
        <f>AX173+AY173+AZ173</f>
        <v>3636</v>
      </c>
      <c r="BF173" s="251">
        <f>BA173+BB173</f>
        <v>33225</v>
      </c>
      <c r="BG173" s="251">
        <f>Data!T38</f>
        <v>3636</v>
      </c>
      <c r="BH173" s="251">
        <f>Data!S38</f>
        <v>33225</v>
      </c>
      <c r="BI173" s="270">
        <f t="shared" si="62"/>
        <v>8.1503805012691757</v>
      </c>
      <c r="BJ173" s="13">
        <v>8174.2741769318372</v>
      </c>
      <c r="BK173" s="13">
        <v>-10618.118467008215</v>
      </c>
      <c r="BM173" s="13">
        <f t="shared" si="49"/>
        <v>0</v>
      </c>
      <c r="BN173" s="13">
        <f t="shared" si="49"/>
        <v>0</v>
      </c>
      <c r="BP173" s="252">
        <f>'Total RD Feedstock'!D107</f>
        <v>8.1804516265281908</v>
      </c>
      <c r="BQ173" s="252">
        <f t="shared" si="73"/>
        <v>3.0071125259015119E-2</v>
      </c>
      <c r="BS173" s="274">
        <f t="shared" si="63"/>
        <v>6.0629242438923737E-2</v>
      </c>
      <c r="BT173" s="274">
        <f t="shared" si="63"/>
        <v>3.5504464657478689E-2</v>
      </c>
      <c r="BU173" s="274">
        <f t="shared" si="63"/>
        <v>2.5071328156998016E-3</v>
      </c>
      <c r="BV173" s="274">
        <f t="shared" si="63"/>
        <v>0.88383637354182887</v>
      </c>
      <c r="BW173" s="274">
        <f t="shared" si="63"/>
        <v>1.7522786546068939E-2</v>
      </c>
      <c r="BY173" s="252">
        <f t="shared" si="64"/>
        <v>0.49415139538092562</v>
      </c>
      <c r="BZ173" s="252">
        <f t="shared" si="64"/>
        <v>0.2893748964523149</v>
      </c>
      <c r="CA173" s="252">
        <f t="shared" si="64"/>
        <v>2.0434086415171748E-2</v>
      </c>
      <c r="CB173" s="252">
        <f t="shared" si="64"/>
        <v>7.2036027452277809</v>
      </c>
      <c r="CC173" s="252">
        <f t="shared" si="64"/>
        <v>0.14281737779298212</v>
      </c>
    </row>
    <row r="174" spans="1:81">
      <c r="A174" s="11">
        <v>44927</v>
      </c>
      <c r="B174" s="268">
        <v>70</v>
      </c>
      <c r="C174" s="268">
        <v>13</v>
      </c>
      <c r="D174" s="268">
        <f t="shared" si="71"/>
        <v>20</v>
      </c>
      <c r="E174" s="268">
        <v>3</v>
      </c>
      <c r="F174" s="269">
        <v>0.2</v>
      </c>
      <c r="G174" s="269">
        <v>1.32</v>
      </c>
      <c r="H174" s="269"/>
      <c r="I174" s="269">
        <v>5</v>
      </c>
      <c r="J174" s="269"/>
      <c r="K174" s="269"/>
      <c r="L174" s="269"/>
      <c r="M174" s="269">
        <f t="shared" si="65"/>
        <v>1.5</v>
      </c>
      <c r="N174" s="269">
        <v>45</v>
      </c>
      <c r="O174" s="269">
        <f t="shared" si="38"/>
        <v>17.699535849485258</v>
      </c>
      <c r="Q174" s="251">
        <f t="shared" si="46"/>
        <v>176.71953584948523</v>
      </c>
      <c r="R174" s="251">
        <f>'RD Plant List'!N42</f>
        <v>0</v>
      </c>
      <c r="S174" s="251">
        <f>SUM(B174:O174)+'RD Plant List'!N42</f>
        <v>176.71953584948523</v>
      </c>
      <c r="U174" s="251">
        <f>'Renewable Fuel Ex Ethanol'!L22*'Renewable Fuel Ex Ethanol'!$I$121*12/1000000</f>
        <v>116.2494609492</v>
      </c>
      <c r="V174" s="271">
        <f t="shared" si="51"/>
        <v>0.65781895810439128</v>
      </c>
      <c r="W174" s="251">
        <f t="shared" si="47"/>
        <v>9.6874550790999994</v>
      </c>
      <c r="X174" s="242">
        <f t="shared" si="52"/>
        <v>8.5991466501581169</v>
      </c>
      <c r="Y174" s="273">
        <f t="shared" si="53"/>
        <v>0.40440066684303666</v>
      </c>
      <c r="AB174" s="251">
        <f>SUM('BD Feedstock'!C172,'BD Feedstock'!E172,'BD Feedstock'!G172,'BD Feedstock'!K172,'BD Feedstock'!T172)</f>
        <v>21.812796010427753</v>
      </c>
      <c r="AC174" s="251">
        <f>SUM('BD Feedstock'!D172,'BD Feedstock'!F172,'BD Feedstock'!H172,'BD Feedstock'!I172,'BD Feedstock'!L172,'BD Feedstock'!M172,'BD Feedstock'!N172,'BD Feedstock'!O172,'BD Feedstock'!U172)</f>
        <v>12.773566250859661</v>
      </c>
      <c r="AD174" s="251">
        <f>'BD Feedstock'!J172</f>
        <v>0.90199999999999991</v>
      </c>
      <c r="AE174" s="251">
        <f>SUM('BD Feedstock'!B172,'BD Feedstock'!P172,'BD Feedstock'!Q172,'BD Feedstock'!R172)</f>
        <v>70.93020833333334</v>
      </c>
      <c r="AF174" s="251">
        <f>'BD Feedstock'!S172</f>
        <v>1.40625</v>
      </c>
      <c r="AG174" s="251">
        <f t="shared" si="41"/>
        <v>107.82482059462075</v>
      </c>
      <c r="AK174" s="237">
        <f t="shared" si="70"/>
        <v>0.20229846792359021</v>
      </c>
      <c r="AL174" s="237">
        <f t="shared" si="70"/>
        <v>0.11846591703484753</v>
      </c>
      <c r="AM174" s="237">
        <f t="shared" si="70"/>
        <v>8.3654208282077092E-3</v>
      </c>
      <c r="AN174" s="237">
        <f t="shared" si="70"/>
        <v>0.65782820636449979</v>
      </c>
      <c r="AO174" s="237">
        <f t="shared" si="70"/>
        <v>1.304198784885487E-2</v>
      </c>
      <c r="AP174" s="237">
        <f t="shared" si="42"/>
        <v>1</v>
      </c>
      <c r="AQ174" s="237"/>
      <c r="AR174" s="237">
        <f t="shared" si="43"/>
        <v>0.61464645366918802</v>
      </c>
      <c r="AS174" s="237">
        <f t="shared" si="44"/>
        <v>0.35993676340465403</v>
      </c>
      <c r="AT174" s="237">
        <f t="shared" si="45"/>
        <v>2.5416782926158003E-2</v>
      </c>
      <c r="AU174" s="237">
        <f t="shared" si="72"/>
        <v>0.98055959563958928</v>
      </c>
      <c r="AV174" s="237">
        <f t="shared" si="72"/>
        <v>1.9440404360410696E-2</v>
      </c>
      <c r="AX174" s="251">
        <f t="shared" si="54"/>
        <v>2600.5691454743346</v>
      </c>
      <c r="AY174" s="251">
        <f t="shared" si="55"/>
        <v>1522.8924459650912</v>
      </c>
      <c r="AZ174" s="251">
        <f t="shared" si="56"/>
        <v>107.53840856057468</v>
      </c>
      <c r="BA174" s="251">
        <f t="shared" si="57"/>
        <v>32902.677231686415</v>
      </c>
      <c r="BB174" s="251">
        <f t="shared" si="58"/>
        <v>652.32276831358467</v>
      </c>
      <c r="BC174" s="251">
        <f t="shared" si="66"/>
        <v>37786</v>
      </c>
      <c r="BD174" s="270">
        <f t="shared" si="74"/>
        <v>8.5991466501581169</v>
      </c>
      <c r="BE174" s="251">
        <f>AX174+AY174+AZ174</f>
        <v>4231</v>
      </c>
      <c r="BF174" s="251">
        <f>BA174+BB174</f>
        <v>33555</v>
      </c>
      <c r="BG174" s="251">
        <f>Data!T39</f>
        <v>4231</v>
      </c>
      <c r="BH174" s="251">
        <f>Data!S39</f>
        <v>33555</v>
      </c>
      <c r="BI174" s="270">
        <f t="shared" si="62"/>
        <v>8.5991466501581169</v>
      </c>
      <c r="BJ174" s="13">
        <v>7243.8314745056668</v>
      </c>
      <c r="BK174" s="13">
        <v>-11590.213080668167</v>
      </c>
      <c r="BM174" s="13">
        <f t="shared" si="49"/>
        <v>0</v>
      </c>
      <c r="BN174" s="13">
        <f t="shared" si="49"/>
        <v>0</v>
      </c>
      <c r="BP174" s="252">
        <f>'Total RD Feedstock'!E96</f>
        <v>8.1947459833150802</v>
      </c>
      <c r="BQ174" s="252">
        <f>BP174-BI174</f>
        <v>-0.40440066684303666</v>
      </c>
      <c r="BS174" s="274">
        <f t="shared" si="63"/>
        <v>6.8823615769711924E-2</v>
      </c>
      <c r="BT174" s="274">
        <f t="shared" si="63"/>
        <v>4.0303087015431407E-2</v>
      </c>
      <c r="BU174" s="274">
        <f t="shared" si="63"/>
        <v>2.8459855121096352E-3</v>
      </c>
      <c r="BV174" s="274">
        <f t="shared" si="63"/>
        <v>0.87076370168015704</v>
      </c>
      <c r="BW174" s="274">
        <f t="shared" si="63"/>
        <v>1.726361002258997E-2</v>
      </c>
      <c r="BY174" s="252">
        <f t="shared" si="64"/>
        <v>0.5918243649978876</v>
      </c>
      <c r="BZ174" s="252">
        <f t="shared" si="64"/>
        <v>0.34657215569977806</v>
      </c>
      <c r="CA174" s="252">
        <f t="shared" si="64"/>
        <v>2.4473046782856101E-2</v>
      </c>
      <c r="CB174" s="252">
        <f t="shared" si="64"/>
        <v>7.487824768382203</v>
      </c>
      <c r="CC174" s="252">
        <f t="shared" si="64"/>
        <v>0.14845231429539066</v>
      </c>
    </row>
    <row r="175" spans="1:81">
      <c r="A175" s="11">
        <v>44958</v>
      </c>
      <c r="B175" s="268">
        <v>70</v>
      </c>
      <c r="C175" s="268">
        <v>13</v>
      </c>
      <c r="D175" s="268">
        <f t="shared" si="71"/>
        <v>20</v>
      </c>
      <c r="E175" s="268">
        <v>3</v>
      </c>
      <c r="F175" s="269">
        <v>0.2</v>
      </c>
      <c r="G175" s="269">
        <v>1.32</v>
      </c>
      <c r="H175" s="269"/>
      <c r="I175" s="269">
        <v>5</v>
      </c>
      <c r="J175" s="269"/>
      <c r="K175" s="269"/>
      <c r="L175" s="269"/>
      <c r="M175" s="269">
        <f t="shared" si="65"/>
        <v>1.5</v>
      </c>
      <c r="N175" s="269">
        <v>45</v>
      </c>
      <c r="O175" s="269">
        <f t="shared" si="38"/>
        <v>17.699535849485258</v>
      </c>
      <c r="Q175" s="251">
        <f t="shared" si="46"/>
        <v>176.71953584948523</v>
      </c>
      <c r="R175" s="251">
        <f>'RD Plant List'!N43</f>
        <v>0</v>
      </c>
      <c r="S175" s="251">
        <f>SUM(B175:O175)+'RD Plant List'!N43</f>
        <v>176.71953584948523</v>
      </c>
      <c r="U175" s="251">
        <f>'Renewable Fuel Ex Ethanol'!L23*'Renewable Fuel Ex Ethanol'!$I$121*12/1000000</f>
        <v>117.8852145924</v>
      </c>
      <c r="V175" s="271">
        <f t="shared" ref="V175:V185" si="75">AVERAGE(V151,V139,V163)</f>
        <v>0.54465984251236887</v>
      </c>
      <c r="W175" s="251">
        <f t="shared" si="47"/>
        <v>9.8237678827000003</v>
      </c>
      <c r="X175" s="242">
        <f t="shared" si="52"/>
        <v>7.9647891049818931</v>
      </c>
      <c r="Y175" s="273">
        <f t="shared" si="53"/>
        <v>-0.23114966549636051</v>
      </c>
      <c r="AB175" s="251">
        <f>SUM('BD Feedstock'!C173,'BD Feedstock'!E173,'BD Feedstock'!G173,'BD Feedstock'!K173,'BD Feedstock'!T173)</f>
        <v>21.812796010427753</v>
      </c>
      <c r="AC175" s="251">
        <f>SUM('BD Feedstock'!D173,'BD Feedstock'!F173,'BD Feedstock'!H173,'BD Feedstock'!I173,'BD Feedstock'!L173,'BD Feedstock'!M173,'BD Feedstock'!N173,'BD Feedstock'!O173,'BD Feedstock'!U173)</f>
        <v>12.773566250859661</v>
      </c>
      <c r="AD175" s="251">
        <f>'BD Feedstock'!J173</f>
        <v>0.90199999999999991</v>
      </c>
      <c r="AE175" s="251">
        <f>SUM('BD Feedstock'!B173,'BD Feedstock'!P173,'BD Feedstock'!Q173,'BD Feedstock'!R173)</f>
        <v>70.93020833333334</v>
      </c>
      <c r="AF175" s="251">
        <f>'BD Feedstock'!S173</f>
        <v>1.40625</v>
      </c>
      <c r="AG175" s="251">
        <f t="shared" si="41"/>
        <v>107.82482059462075</v>
      </c>
      <c r="AK175" s="237">
        <f t="shared" si="70"/>
        <v>0.20229846792359021</v>
      </c>
      <c r="AL175" s="237">
        <f t="shared" si="70"/>
        <v>0.11846591703484753</v>
      </c>
      <c r="AM175" s="237">
        <f t="shared" si="70"/>
        <v>8.3654208282077092E-3</v>
      </c>
      <c r="AN175" s="237">
        <f t="shared" si="70"/>
        <v>0.65782820636449979</v>
      </c>
      <c r="AO175" s="237">
        <f t="shared" si="70"/>
        <v>1.304198784885487E-2</v>
      </c>
      <c r="AP175" s="237">
        <f t="shared" si="42"/>
        <v>1</v>
      </c>
      <c r="AQ175" s="237"/>
      <c r="AR175" s="237">
        <f t="shared" si="43"/>
        <v>0.61464645366918802</v>
      </c>
      <c r="AS175" s="237">
        <f t="shared" si="44"/>
        <v>0.35993676340465403</v>
      </c>
      <c r="AT175" s="237">
        <f t="shared" si="45"/>
        <v>2.5416782926158003E-2</v>
      </c>
      <c r="AU175" s="237">
        <f t="shared" si="72"/>
        <v>0.98055959563958928</v>
      </c>
      <c r="AV175" s="237">
        <f t="shared" si="72"/>
        <v>1.9440404360410696E-2</v>
      </c>
      <c r="AX175" s="251">
        <f t="shared" si="54"/>
        <v>2063.9827914211332</v>
      </c>
      <c r="AY175" s="251">
        <f t="shared" si="55"/>
        <v>1208.6676515128281</v>
      </c>
      <c r="AZ175" s="251">
        <f t="shared" si="56"/>
        <v>85.349557066038869</v>
      </c>
      <c r="BA175" s="251">
        <f t="shared" si="57"/>
        <v>31508.321486686924</v>
      </c>
      <c r="BB175" s="251">
        <f t="shared" si="58"/>
        <v>624.67851331307611</v>
      </c>
      <c r="BC175" s="251">
        <f t="shared" si="66"/>
        <v>35491</v>
      </c>
      <c r="BD175" s="270">
        <f t="shared" si="74"/>
        <v>7.9647891049818922</v>
      </c>
      <c r="BE175" s="251">
        <f t="shared" ref="BE175:BE181" si="76">AX175+AY175+AZ175</f>
        <v>3358</v>
      </c>
      <c r="BF175" s="251">
        <f t="shared" ref="BF175:BF198" si="77">BA175+BB175</f>
        <v>32133</v>
      </c>
      <c r="BG175" s="251">
        <f>Data!T40</f>
        <v>3358</v>
      </c>
      <c r="BH175" s="251">
        <f>Data!S40</f>
        <v>32133</v>
      </c>
      <c r="BI175" s="270">
        <f>((BH175+BG175)*2204.622/1000000)/(U175/12)</f>
        <v>7.9647891049818922</v>
      </c>
      <c r="BJ175" s="13">
        <v>6142.9118037130465</v>
      </c>
      <c r="BK175" s="13">
        <v>-13946.63240309271</v>
      </c>
      <c r="BM175" s="13">
        <f t="shared" si="49"/>
        <v>0</v>
      </c>
      <c r="BN175" s="13">
        <f t="shared" si="49"/>
        <v>0</v>
      </c>
      <c r="BP175" s="252">
        <f>'Total RD Feedstock'!E97</f>
        <v>8.1959387704782536</v>
      </c>
      <c r="BQ175" s="252">
        <f>BP175-BI175</f>
        <v>0.2311496654963614</v>
      </c>
      <c r="BS175" s="274">
        <f t="shared" ref="BS175:BW190" si="78">AX175/$BC175</f>
        <v>5.8155103869181858E-2</v>
      </c>
      <c r="BT175" s="274">
        <f t="shared" si="78"/>
        <v>3.4055609915551212E-2</v>
      </c>
      <c r="BU175" s="274">
        <f t="shared" si="78"/>
        <v>2.4048225484218214E-3</v>
      </c>
      <c r="BV175" s="274">
        <f t="shared" si="78"/>
        <v>0.88778342359152806</v>
      </c>
      <c r="BW175" s="274">
        <f t="shared" si="78"/>
        <v>1.7601040075317011E-2</v>
      </c>
      <c r="BY175" s="252">
        <f>(AX175*2204.622)/($W175*1000000)</f>
        <v>0.46319313769634995</v>
      </c>
      <c r="BZ175" s="252">
        <f t="shared" ref="BZ175:CC211" si="79">(AY175*2204.622)/($W175*1000000)</f>
        <v>0.27124575081889563</v>
      </c>
      <c r="CA175" s="252">
        <f t="shared" si="79"/>
        <v>1.9153904433084915E-2</v>
      </c>
      <c r="CB175" s="252">
        <f t="shared" si="79"/>
        <v>7.0710077398053279</v>
      </c>
      <c r="CC175" s="252">
        <f t="shared" si="79"/>
        <v>0.14018857222823461</v>
      </c>
    </row>
    <row r="176" spans="1:81">
      <c r="A176" s="11">
        <v>44986</v>
      </c>
      <c r="B176" s="268">
        <v>70</v>
      </c>
      <c r="C176" s="268">
        <v>13</v>
      </c>
      <c r="D176" s="268">
        <f t="shared" si="71"/>
        <v>20</v>
      </c>
      <c r="E176" s="268">
        <v>3</v>
      </c>
      <c r="F176" s="269">
        <v>0.2</v>
      </c>
      <c r="G176" s="269">
        <v>1.32</v>
      </c>
      <c r="H176" s="269"/>
      <c r="I176" s="269">
        <v>5</v>
      </c>
      <c r="J176" s="269"/>
      <c r="K176" s="269"/>
      <c r="L176" s="269"/>
      <c r="M176" s="269">
        <f t="shared" si="65"/>
        <v>1.5</v>
      </c>
      <c r="N176" s="269">
        <v>45</v>
      </c>
      <c r="O176" s="269">
        <f t="shared" si="38"/>
        <v>17.699535849485258</v>
      </c>
      <c r="Q176" s="251">
        <f t="shared" si="46"/>
        <v>176.71953584948523</v>
      </c>
      <c r="R176" s="251">
        <f>'RD Plant List'!N44</f>
        <v>0</v>
      </c>
      <c r="S176" s="251">
        <f>SUM(B176:O176)+'RD Plant List'!N44</f>
        <v>176.71953584948523</v>
      </c>
      <c r="U176" s="251">
        <f>'Renewable Fuel Ex Ethanol'!L24*'Renewable Fuel Ex Ethanol'!$I$121*12/1000000</f>
        <v>135.78023264640001</v>
      </c>
      <c r="V176" s="271">
        <f t="shared" si="75"/>
        <v>0.59090673034021091</v>
      </c>
      <c r="W176" s="251">
        <f t="shared" si="47"/>
        <v>11.315019387200001</v>
      </c>
      <c r="X176" s="242">
        <f t="shared" si="52"/>
        <v>8.0280057114845462</v>
      </c>
      <c r="Y176" s="273">
        <f t="shared" si="53"/>
        <v>3.974742531230202E-2</v>
      </c>
      <c r="AB176" s="251">
        <f>SUM('BD Feedstock'!C174,'BD Feedstock'!E174,'BD Feedstock'!G174,'BD Feedstock'!K174,'BD Feedstock'!T174)</f>
        <v>21.812796010427753</v>
      </c>
      <c r="AC176" s="251">
        <f>SUM('BD Feedstock'!D174,'BD Feedstock'!F174,'BD Feedstock'!H174,'BD Feedstock'!I174,'BD Feedstock'!L174,'BD Feedstock'!M174,'BD Feedstock'!N174,'BD Feedstock'!O174,'BD Feedstock'!U174)</f>
        <v>12.773566250859661</v>
      </c>
      <c r="AD176" s="251">
        <f>'BD Feedstock'!J174</f>
        <v>0.90199999999999991</v>
      </c>
      <c r="AE176" s="251">
        <f>SUM('BD Feedstock'!B174,'BD Feedstock'!P174,'BD Feedstock'!Q174,'BD Feedstock'!R174)</f>
        <v>70.93020833333334</v>
      </c>
      <c r="AF176" s="251">
        <f>'BD Feedstock'!S174</f>
        <v>1.40625</v>
      </c>
      <c r="AG176" s="251">
        <f t="shared" si="41"/>
        <v>107.82482059462075</v>
      </c>
      <c r="AK176" s="237">
        <f t="shared" si="70"/>
        <v>0.20229846792359021</v>
      </c>
      <c r="AL176" s="237">
        <f t="shared" si="70"/>
        <v>0.11846591703484753</v>
      </c>
      <c r="AM176" s="237">
        <f t="shared" si="70"/>
        <v>8.3654208282077092E-3</v>
      </c>
      <c r="AN176" s="237">
        <f t="shared" si="70"/>
        <v>0.65782820636449979</v>
      </c>
      <c r="AO176" s="237">
        <f t="shared" si="70"/>
        <v>1.304198784885487E-2</v>
      </c>
      <c r="AP176" s="237">
        <f t="shared" si="42"/>
        <v>1</v>
      </c>
      <c r="AQ176" s="237"/>
      <c r="AR176" s="237">
        <f t="shared" si="43"/>
        <v>0.61464645366918802</v>
      </c>
      <c r="AS176" s="237">
        <f t="shared" si="44"/>
        <v>0.35993676340465403</v>
      </c>
      <c r="AT176" s="237">
        <f t="shared" si="45"/>
        <v>2.5416782926158003E-2</v>
      </c>
      <c r="AU176" s="237">
        <f t="shared" si="72"/>
        <v>0.98055959563958928</v>
      </c>
      <c r="AV176" s="237">
        <f t="shared" si="72"/>
        <v>1.9440404360410696E-2</v>
      </c>
      <c r="AX176" s="251">
        <f t="shared" si="54"/>
        <v>2602.413084835342</v>
      </c>
      <c r="AY176" s="251">
        <f t="shared" si="55"/>
        <v>1523.9722562553052</v>
      </c>
      <c r="AZ176" s="251">
        <f t="shared" si="56"/>
        <v>107.61465890935324</v>
      </c>
      <c r="BA176" s="251">
        <f t="shared" si="57"/>
        <v>36250.307691199974</v>
      </c>
      <c r="BB176" s="251">
        <f t="shared" si="58"/>
        <v>718.69230880002578</v>
      </c>
      <c r="BC176" s="251">
        <f t="shared" si="66"/>
        <v>41203</v>
      </c>
      <c r="BD176" s="270">
        <f t="shared" si="74"/>
        <v>8.0280057114845462</v>
      </c>
      <c r="BE176" s="251">
        <f t="shared" si="76"/>
        <v>4234</v>
      </c>
      <c r="BF176" s="251">
        <f t="shared" si="77"/>
        <v>36969</v>
      </c>
      <c r="BG176" s="251">
        <f>Data!T41</f>
        <v>4234</v>
      </c>
      <c r="BH176" s="251">
        <f>Data!S41</f>
        <v>36969</v>
      </c>
      <c r="BI176" s="270">
        <f t="shared" si="62"/>
        <v>8.0280057114845462</v>
      </c>
      <c r="BJ176" s="13">
        <v>6073.6310955590588</v>
      </c>
      <c r="BK176" s="13">
        <v>-17238.433920659198</v>
      </c>
      <c r="BM176" s="13">
        <f t="shared" si="49"/>
        <v>0</v>
      </c>
      <c r="BN176" s="13">
        <f t="shared" si="49"/>
        <v>0</v>
      </c>
      <c r="BP176" s="252">
        <f>'Total RD Feedstock'!E98</f>
        <v>7.9882582861722442</v>
      </c>
      <c r="BQ176" s="252">
        <f t="shared" ref="BQ176:BQ199" si="80">BP176-BI176</f>
        <v>-3.974742531230202E-2</v>
      </c>
      <c r="BS176" s="274">
        <f t="shared" si="78"/>
        <v>6.316076705180064E-2</v>
      </c>
      <c r="BT176" s="274">
        <f t="shared" si="78"/>
        <v>3.6986924647605883E-2</v>
      </c>
      <c r="BU176" s="274">
        <f t="shared" si="78"/>
        <v>2.611816103423373E-3</v>
      </c>
      <c r="BV176" s="274">
        <f t="shared" si="78"/>
        <v>0.87979777422032313</v>
      </c>
      <c r="BW176" s="274">
        <f t="shared" si="78"/>
        <v>1.7442717976846971E-2</v>
      </c>
      <c r="BY176" s="252">
        <f t="shared" ref="BY176:CC212" si="81">(AX176*2204.622)/($W176*1000000)</f>
        <v>0.5070549986336006</v>
      </c>
      <c r="BZ176" s="252">
        <f t="shared" si="79"/>
        <v>0.29693124232122858</v>
      </c>
      <c r="CA176" s="252">
        <f t="shared" si="79"/>
        <v>2.0967674595630155E-2</v>
      </c>
      <c r="CB176" s="252">
        <f t="shared" si="79"/>
        <v>7.0630215563921466</v>
      </c>
      <c r="CC176" s="252">
        <f t="shared" si="79"/>
        <v>0.14003023954194169</v>
      </c>
    </row>
    <row r="177" spans="1:81">
      <c r="A177" s="11">
        <v>45017</v>
      </c>
      <c r="B177" s="268">
        <v>70</v>
      </c>
      <c r="C177" s="268">
        <v>13</v>
      </c>
      <c r="D177" s="268">
        <f t="shared" si="71"/>
        <v>20</v>
      </c>
      <c r="E177" s="268">
        <v>3</v>
      </c>
      <c r="F177" s="269">
        <v>0.2</v>
      </c>
      <c r="G177" s="269">
        <v>1.32</v>
      </c>
      <c r="H177" s="269"/>
      <c r="I177" s="269">
        <v>5</v>
      </c>
      <c r="J177" s="269"/>
      <c r="K177" s="269"/>
      <c r="L177" s="269"/>
      <c r="M177" s="269">
        <f t="shared" si="65"/>
        <v>1.5</v>
      </c>
      <c r="N177" s="269">
        <v>45</v>
      </c>
      <c r="O177" s="269">
        <f t="shared" si="38"/>
        <v>17.699535849485258</v>
      </c>
      <c r="Q177" s="251">
        <f t="shared" si="46"/>
        <v>176.71953584948523</v>
      </c>
      <c r="R177" s="251">
        <f>'RD Plant List'!N45</f>
        <v>11</v>
      </c>
      <c r="S177" s="251">
        <f>SUM(B177:O177)+'RD Plant List'!N45</f>
        <v>187.71953584948523</v>
      </c>
      <c r="T177" s="237">
        <f>R177/S177</f>
        <v>5.8598056671202686E-2</v>
      </c>
      <c r="U177" s="251">
        <f>'Renewable Fuel Ex Ethanol'!L25*'Renewable Fuel Ex Ethanol'!$I$121*12/1000000</f>
        <v>109.3799296608</v>
      </c>
      <c r="V177" s="271">
        <f t="shared" si="75"/>
        <v>0.6049584291419311</v>
      </c>
      <c r="W177" s="251">
        <f t="shared" si="47"/>
        <v>9.1149941384000002</v>
      </c>
      <c r="X177" s="242">
        <f t="shared" si="52"/>
        <v>7.6725248554329886</v>
      </c>
      <c r="Y177" s="273">
        <f t="shared" si="53"/>
        <v>-0.31781406153580871</v>
      </c>
      <c r="AB177" s="251">
        <f>SUM('BD Feedstock'!C175,'BD Feedstock'!E175,'BD Feedstock'!G175,'BD Feedstock'!K175,'BD Feedstock'!T175)</f>
        <v>21.812796010427753</v>
      </c>
      <c r="AC177" s="251">
        <f>SUM('BD Feedstock'!D175,'BD Feedstock'!F175,'BD Feedstock'!H175,'BD Feedstock'!I175,'BD Feedstock'!L175,'BD Feedstock'!M175,'BD Feedstock'!N175,'BD Feedstock'!O175,'BD Feedstock'!U175)</f>
        <v>12.773566250859661</v>
      </c>
      <c r="AD177" s="251">
        <f>'BD Feedstock'!J175</f>
        <v>0.90199999999999991</v>
      </c>
      <c r="AE177" s="251">
        <f>SUM('BD Feedstock'!B175,'BD Feedstock'!P175,'BD Feedstock'!Q175,'BD Feedstock'!R175)</f>
        <v>70.93020833333334</v>
      </c>
      <c r="AF177" s="251">
        <f>'BD Feedstock'!S175</f>
        <v>1.40625</v>
      </c>
      <c r="AG177" s="251">
        <f t="shared" si="41"/>
        <v>107.82482059462075</v>
      </c>
      <c r="AK177" s="237">
        <f t="shared" si="70"/>
        <v>0.20229846792359021</v>
      </c>
      <c r="AL177" s="237">
        <f t="shared" si="70"/>
        <v>0.11846591703484753</v>
      </c>
      <c r="AM177" s="237">
        <f t="shared" si="70"/>
        <v>8.3654208282077092E-3</v>
      </c>
      <c r="AN177" s="237">
        <f t="shared" si="70"/>
        <v>0.65782820636449979</v>
      </c>
      <c r="AO177" s="237">
        <f t="shared" si="70"/>
        <v>1.304198784885487E-2</v>
      </c>
      <c r="AP177" s="237">
        <f t="shared" si="42"/>
        <v>1</v>
      </c>
      <c r="AQ177" s="237"/>
      <c r="AR177" s="237">
        <f t="shared" si="43"/>
        <v>0.61464645366918802</v>
      </c>
      <c r="AS177" s="237">
        <f t="shared" si="44"/>
        <v>0.35993676340465403</v>
      </c>
      <c r="AT177" s="237">
        <f t="shared" si="45"/>
        <v>2.5416782926158003E-2</v>
      </c>
      <c r="AU177" s="237">
        <f t="shared" si="72"/>
        <v>0.98055959563958928</v>
      </c>
      <c r="AV177" s="237">
        <f t="shared" si="72"/>
        <v>1.9440404360410696E-2</v>
      </c>
      <c r="AX177" s="251">
        <f t="shared" si="54"/>
        <v>2121.1449116123677</v>
      </c>
      <c r="AY177" s="251">
        <f t="shared" si="55"/>
        <v>1242.1417705094611</v>
      </c>
      <c r="AZ177" s="251">
        <f t="shared" si="56"/>
        <v>87.713317878171438</v>
      </c>
      <c r="BA177" s="251">
        <f t="shared" si="57"/>
        <v>27721.400328326828</v>
      </c>
      <c r="BB177" s="251">
        <f t="shared" si="58"/>
        <v>549.59967167317154</v>
      </c>
      <c r="BC177" s="251">
        <f t="shared" si="66"/>
        <v>31722</v>
      </c>
      <c r="BD177" s="270">
        <f t="shared" si="74"/>
        <v>7.6725248554329877</v>
      </c>
      <c r="BE177" s="251">
        <f t="shared" si="76"/>
        <v>3451</v>
      </c>
      <c r="BF177" s="251">
        <f t="shared" si="77"/>
        <v>28271</v>
      </c>
      <c r="BG177" s="251">
        <f>Data!T42</f>
        <v>3451</v>
      </c>
      <c r="BH177" s="251">
        <f>Data!S42</f>
        <v>28271</v>
      </c>
      <c r="BI177" s="270">
        <f t="shared" si="62"/>
        <v>7.6725248554329877</v>
      </c>
      <c r="BJ177" s="13">
        <v>7758.6066239818329</v>
      </c>
      <c r="BK177" s="13">
        <v>-6813.898735173043</v>
      </c>
      <c r="BM177" s="13">
        <f t="shared" si="49"/>
        <v>0</v>
      </c>
      <c r="BN177" s="13">
        <f t="shared" si="49"/>
        <v>0</v>
      </c>
      <c r="BP177" s="252">
        <f>'Total RD Feedstock'!E99</f>
        <v>7.9903389169687973</v>
      </c>
      <c r="BQ177" s="252">
        <f t="shared" si="80"/>
        <v>0.3178140615358096</v>
      </c>
      <c r="BS177" s="274">
        <f t="shared" si="78"/>
        <v>6.6866682794665136E-2</v>
      </c>
      <c r="BT177" s="274">
        <f t="shared" si="78"/>
        <v>3.9157107701578119E-2</v>
      </c>
      <c r="BU177" s="274">
        <f t="shared" si="78"/>
        <v>2.7650626656002598E-3</v>
      </c>
      <c r="BV177" s="274">
        <f t="shared" si="78"/>
        <v>0.87388564177311734</v>
      </c>
      <c r="BW177" s="274">
        <f t="shared" si="78"/>
        <v>1.7325505065039139E-2</v>
      </c>
      <c r="BY177" s="252">
        <f t="shared" si="81"/>
        <v>0.51303628574242166</v>
      </c>
      <c r="BZ177" s="252">
        <f t="shared" si="79"/>
        <v>0.30043388210722466</v>
      </c>
      <c r="CA177" s="252">
        <f t="shared" si="79"/>
        <v>2.1215012028647787E-2</v>
      </c>
      <c r="CB177" s="252">
        <f t="shared" si="79"/>
        <v>6.7049093073102517</v>
      </c>
      <c r="CC177" s="252">
        <f t="shared" si="79"/>
        <v>0.13293036824444293</v>
      </c>
    </row>
    <row r="178" spans="1:81">
      <c r="A178" s="11">
        <v>45047</v>
      </c>
      <c r="B178" s="268">
        <v>70</v>
      </c>
      <c r="C178" s="268">
        <v>13</v>
      </c>
      <c r="D178" s="268">
        <f t="shared" si="71"/>
        <v>20</v>
      </c>
      <c r="E178" s="268">
        <v>3</v>
      </c>
      <c r="F178" s="269">
        <v>0.2</v>
      </c>
      <c r="G178" s="269">
        <v>1.32</v>
      </c>
      <c r="H178" s="269"/>
      <c r="I178" s="269">
        <v>5</v>
      </c>
      <c r="J178" s="269"/>
      <c r="K178" s="269"/>
      <c r="L178" s="269"/>
      <c r="M178" s="269">
        <f t="shared" si="65"/>
        <v>1.5</v>
      </c>
      <c r="N178" s="269">
        <v>45</v>
      </c>
      <c r="O178" s="269">
        <f t="shared" si="38"/>
        <v>17.699535849485258</v>
      </c>
      <c r="Q178" s="251">
        <f t="shared" si="46"/>
        <v>176.71953584948523</v>
      </c>
      <c r="R178" s="251">
        <f>'RD Plant List'!N46</f>
        <v>28</v>
      </c>
      <c r="S178" s="251">
        <f>SUM(B178:O178)+'RD Plant List'!N46</f>
        <v>204.71953584948523</v>
      </c>
      <c r="T178" s="237">
        <f t="shared" ref="T178:T241" si="82">R178/S178</f>
        <v>0.13677248672831244</v>
      </c>
      <c r="U178" s="251">
        <f>'Renewable Fuel Ex Ethanol'!L26*'Renewable Fuel Ex Ethanol'!$I$121*12/1000000</f>
        <v>134.78800223879998</v>
      </c>
      <c r="V178" s="271">
        <f t="shared" si="75"/>
        <v>0.59483555685778045</v>
      </c>
      <c r="W178" s="251">
        <f t="shared" si="47"/>
        <v>11.232333519899997</v>
      </c>
      <c r="X178" s="242">
        <f t="shared" si="52"/>
        <v>8.1552104856672329</v>
      </c>
      <c r="Y178" s="273">
        <f t="shared" si="53"/>
        <v>-1.1776477235617477E-2</v>
      </c>
      <c r="AB178" s="251">
        <f>SUM('BD Feedstock'!C176,'BD Feedstock'!E176,'BD Feedstock'!G176,'BD Feedstock'!K176,'BD Feedstock'!T176)</f>
        <v>21.812796010427753</v>
      </c>
      <c r="AC178" s="251">
        <f>SUM('BD Feedstock'!D176,'BD Feedstock'!F176,'BD Feedstock'!H176,'BD Feedstock'!I176,'BD Feedstock'!L176,'BD Feedstock'!M176,'BD Feedstock'!N176,'BD Feedstock'!O176,'BD Feedstock'!U176)</f>
        <v>12.773566250859661</v>
      </c>
      <c r="AD178" s="251">
        <f>'BD Feedstock'!J176</f>
        <v>0.90199999999999991</v>
      </c>
      <c r="AE178" s="251">
        <f>SUM('BD Feedstock'!B176,'BD Feedstock'!P176,'BD Feedstock'!Q176,'BD Feedstock'!R176)</f>
        <v>70.93020833333334</v>
      </c>
      <c r="AF178" s="251">
        <f>'BD Feedstock'!S176</f>
        <v>1.40625</v>
      </c>
      <c r="AG178" s="251">
        <f t="shared" si="41"/>
        <v>107.82482059462075</v>
      </c>
      <c r="AK178" s="237">
        <f t="shared" si="70"/>
        <v>0.20229846792359021</v>
      </c>
      <c r="AL178" s="237">
        <f t="shared" si="70"/>
        <v>0.11846591703484753</v>
      </c>
      <c r="AM178" s="237">
        <f t="shared" si="70"/>
        <v>8.3654208282077092E-3</v>
      </c>
      <c r="AN178" s="237">
        <f t="shared" si="70"/>
        <v>0.65782820636449979</v>
      </c>
      <c r="AO178" s="237">
        <f t="shared" si="70"/>
        <v>1.304198784885487E-2</v>
      </c>
      <c r="AP178" s="237">
        <f t="shared" si="42"/>
        <v>1</v>
      </c>
      <c r="AQ178" s="237"/>
      <c r="AR178" s="237">
        <f t="shared" si="43"/>
        <v>0.61464645366918802</v>
      </c>
      <c r="AS178" s="237">
        <f t="shared" si="44"/>
        <v>0.35993676340465403</v>
      </c>
      <c r="AT178" s="237">
        <f t="shared" si="45"/>
        <v>2.5416782926158003E-2</v>
      </c>
      <c r="AU178" s="237">
        <f t="shared" si="72"/>
        <v>0.98055959563958928</v>
      </c>
      <c r="AV178" s="237">
        <f t="shared" si="72"/>
        <v>1.9440404360410696E-2</v>
      </c>
      <c r="AX178" s="251">
        <f t="shared" si="54"/>
        <v>3363.9600409314662</v>
      </c>
      <c r="AY178" s="251">
        <f t="shared" si="55"/>
        <v>1969.9339061136716</v>
      </c>
      <c r="AZ178" s="251">
        <f t="shared" si="56"/>
        <v>139.10605295486221</v>
      </c>
      <c r="BA178" s="251">
        <f t="shared" si="57"/>
        <v>35375.648531889463</v>
      </c>
      <c r="BB178" s="251">
        <f t="shared" si="58"/>
        <v>701.3514681105371</v>
      </c>
      <c r="BC178" s="251">
        <f t="shared" si="66"/>
        <v>41550</v>
      </c>
      <c r="BD178" s="270">
        <f t="shared" si="74"/>
        <v>8.1552104856672329</v>
      </c>
      <c r="BE178" s="251">
        <f t="shared" si="76"/>
        <v>5473</v>
      </c>
      <c r="BF178" s="251">
        <f t="shared" si="77"/>
        <v>36077</v>
      </c>
      <c r="BG178" s="251">
        <f>Data!T43</f>
        <v>5473</v>
      </c>
      <c r="BH178" s="251">
        <f>Data!S43</f>
        <v>36077</v>
      </c>
      <c r="BI178" s="270">
        <f t="shared" si="62"/>
        <v>8.1552104856672329</v>
      </c>
      <c r="BJ178" s="13">
        <v>6547.1967797427624</v>
      </c>
      <c r="BK178" s="13">
        <v>-13068.290758205891</v>
      </c>
      <c r="BM178" s="13">
        <f t="shared" si="49"/>
        <v>0</v>
      </c>
      <c r="BN178" s="13">
        <f t="shared" si="49"/>
        <v>0</v>
      </c>
      <c r="BP178" s="252">
        <f>'Total RD Feedstock'!E100</f>
        <v>8.1669869629028504</v>
      </c>
      <c r="BQ178" s="252">
        <f t="shared" si="80"/>
        <v>1.1776477235617477E-2</v>
      </c>
      <c r="BS178" s="274">
        <f t="shared" si="78"/>
        <v>8.0961733837099065E-2</v>
      </c>
      <c r="BT178" s="274">
        <f t="shared" si="78"/>
        <v>4.7411165008752629E-2</v>
      </c>
      <c r="BU178" s="274">
        <f t="shared" si="78"/>
        <v>3.3479194453637112E-3</v>
      </c>
      <c r="BV178" s="274">
        <f t="shared" si="78"/>
        <v>0.85139948331863935</v>
      </c>
      <c r="BW178" s="274">
        <f t="shared" si="78"/>
        <v>1.6879698390145297E-2</v>
      </c>
      <c r="BY178" s="252">
        <f t="shared" si="81"/>
        <v>0.66025998072610981</v>
      </c>
      <c r="BZ178" s="252">
        <f t="shared" si="79"/>
        <v>0.38664803001707876</v>
      </c>
      <c r="CA178" s="252">
        <f t="shared" si="79"/>
        <v>2.7302987765999362E-2</v>
      </c>
      <c r="CB178" s="252">
        <f t="shared" si="79"/>
        <v>6.9433419938518313</v>
      </c>
      <c r="CC178" s="252">
        <f t="shared" si="79"/>
        <v>0.13765749330621324</v>
      </c>
    </row>
    <row r="179" spans="1:81">
      <c r="A179" s="11">
        <v>45078</v>
      </c>
      <c r="B179" s="268">
        <v>70</v>
      </c>
      <c r="C179" s="268">
        <v>13</v>
      </c>
      <c r="D179" s="268">
        <f t="shared" si="71"/>
        <v>20</v>
      </c>
      <c r="E179" s="268">
        <v>3</v>
      </c>
      <c r="F179" s="269">
        <v>0.2</v>
      </c>
      <c r="G179" s="269">
        <v>1.32</v>
      </c>
      <c r="H179" s="269"/>
      <c r="I179" s="269">
        <v>5</v>
      </c>
      <c r="J179" s="269"/>
      <c r="K179" s="269"/>
      <c r="L179" s="269"/>
      <c r="M179" s="269">
        <f t="shared" si="65"/>
        <v>1.5</v>
      </c>
      <c r="N179" s="269">
        <v>45</v>
      </c>
      <c r="O179" s="269">
        <f t="shared" si="38"/>
        <v>17.699535849485258</v>
      </c>
      <c r="Q179" s="251">
        <f t="shared" si="46"/>
        <v>176.71953584948523</v>
      </c>
      <c r="R179" s="251">
        <f>'RD Plant List'!N47</f>
        <v>49</v>
      </c>
      <c r="S179" s="251">
        <f>SUM(B179:O179)+'RD Plant List'!N47</f>
        <v>225.71953584948523</v>
      </c>
      <c r="T179" s="237">
        <f t="shared" si="82"/>
        <v>0.2170835582112586</v>
      </c>
      <c r="U179" s="251">
        <f>'Renewable Fuel Ex Ethanol'!L27*'Renewable Fuel Ex Ethanol'!$I$121*12/1000000</f>
        <v>150.96484495440001</v>
      </c>
      <c r="V179" s="271">
        <f t="shared" si="75"/>
        <v>0.65721935431309575</v>
      </c>
      <c r="W179" s="251">
        <f t="shared" si="47"/>
        <v>12.5804037462</v>
      </c>
      <c r="X179" s="242">
        <f t="shared" si="52"/>
        <v>8.157891067287883</v>
      </c>
      <c r="Y179" s="273">
        <f t="shared" si="53"/>
        <v>-6.3262559617006886E-2</v>
      </c>
      <c r="AB179" s="251">
        <f>SUM('BD Feedstock'!C177,'BD Feedstock'!E177,'BD Feedstock'!G177,'BD Feedstock'!K177,'BD Feedstock'!T177)</f>
        <v>21.812796010427753</v>
      </c>
      <c r="AC179" s="251">
        <f>SUM('BD Feedstock'!D177,'BD Feedstock'!F177,'BD Feedstock'!H177,'BD Feedstock'!I177,'BD Feedstock'!L177,'BD Feedstock'!M177,'BD Feedstock'!N177,'BD Feedstock'!O177,'BD Feedstock'!U177)</f>
        <v>12.773566250859661</v>
      </c>
      <c r="AD179" s="251">
        <f>'BD Feedstock'!J177</f>
        <v>0.90199999999999991</v>
      </c>
      <c r="AE179" s="251">
        <f>SUM('BD Feedstock'!B177,'BD Feedstock'!P177,'BD Feedstock'!Q177,'BD Feedstock'!R177)</f>
        <v>70.93020833333334</v>
      </c>
      <c r="AF179" s="251">
        <f>'BD Feedstock'!S177</f>
        <v>1.40625</v>
      </c>
      <c r="AG179" s="251">
        <f t="shared" si="41"/>
        <v>107.82482059462075</v>
      </c>
      <c r="AK179" s="237">
        <f t="shared" si="70"/>
        <v>0.20229846792359021</v>
      </c>
      <c r="AL179" s="237">
        <f t="shared" si="70"/>
        <v>0.11846591703484753</v>
      </c>
      <c r="AM179" s="237">
        <f t="shared" si="70"/>
        <v>8.3654208282077092E-3</v>
      </c>
      <c r="AN179" s="237">
        <f t="shared" si="70"/>
        <v>0.65782820636449979</v>
      </c>
      <c r="AO179" s="237">
        <f t="shared" si="70"/>
        <v>1.304198784885487E-2</v>
      </c>
      <c r="AP179" s="237">
        <f t="shared" si="42"/>
        <v>1</v>
      </c>
      <c r="AQ179" s="237"/>
      <c r="AR179" s="237">
        <f t="shared" si="43"/>
        <v>0.61464645366918802</v>
      </c>
      <c r="AS179" s="237">
        <f t="shared" si="44"/>
        <v>0.35993676340465403</v>
      </c>
      <c r="AT179" s="237">
        <f t="shared" si="45"/>
        <v>2.5416782926158003E-2</v>
      </c>
      <c r="AU179" s="237">
        <f t="shared" si="72"/>
        <v>0.98055959563958928</v>
      </c>
      <c r="AV179" s="237">
        <f t="shared" si="72"/>
        <v>1.9440404360410696E-2</v>
      </c>
      <c r="AX179" s="251">
        <f t="shared" si="54"/>
        <v>3844.613567700771</v>
      </c>
      <c r="AY179" s="251">
        <f t="shared" si="55"/>
        <v>2251.4044550961107</v>
      </c>
      <c r="AZ179" s="251">
        <f t="shared" si="56"/>
        <v>158.98197720311873</v>
      </c>
      <c r="BA179" s="251">
        <f t="shared" si="57"/>
        <v>39513.610025488531</v>
      </c>
      <c r="BB179" s="251">
        <f t="shared" si="58"/>
        <v>783.38997451146861</v>
      </c>
      <c r="BC179" s="251">
        <f t="shared" si="66"/>
        <v>46552</v>
      </c>
      <c r="BD179" s="270">
        <f t="shared" si="74"/>
        <v>8.157891067287883</v>
      </c>
      <c r="BE179" s="251">
        <f t="shared" si="76"/>
        <v>6255</v>
      </c>
      <c r="BF179" s="251">
        <f t="shared" si="77"/>
        <v>40297</v>
      </c>
      <c r="BG179" s="251">
        <f>Data!T44</f>
        <v>6255</v>
      </c>
      <c r="BH179" s="251">
        <f>Data!S44</f>
        <v>40297</v>
      </c>
      <c r="BI179" s="270">
        <f t="shared" si="62"/>
        <v>8.157891067287883</v>
      </c>
      <c r="BJ179" s="13">
        <v>8388.1618013200459</v>
      </c>
      <c r="BK179" s="13">
        <v>-12267.487801421055</v>
      </c>
      <c r="BM179" s="13">
        <f t="shared" si="49"/>
        <v>0</v>
      </c>
      <c r="BN179" s="13">
        <f t="shared" si="49"/>
        <v>0</v>
      </c>
      <c r="BP179" s="252">
        <f>'Total RD Feedstock'!E101</f>
        <v>8.2211536269048899</v>
      </c>
      <c r="BQ179" s="252">
        <f t="shared" si="80"/>
        <v>6.3262559617006886E-2</v>
      </c>
      <c r="BS179" s="274">
        <f t="shared" si="78"/>
        <v>8.258750575057508E-2</v>
      </c>
      <c r="BT179" s="274">
        <f t="shared" si="78"/>
        <v>4.8363216512633415E-2</v>
      </c>
      <c r="BU179" s="274">
        <f t="shared" si="78"/>
        <v>3.4151481612630765E-3</v>
      </c>
      <c r="BV179" s="274">
        <f t="shared" si="78"/>
        <v>0.84880585206840808</v>
      </c>
      <c r="BW179" s="274">
        <f t="shared" si="78"/>
        <v>1.6828277507120393E-2</v>
      </c>
      <c r="BY179" s="252">
        <f t="shared" si="81"/>
        <v>0.67373987543220293</v>
      </c>
      <c r="BZ179" s="252">
        <f t="shared" si="79"/>
        <v>0.39454185197372194</v>
      </c>
      <c r="CA179" s="252">
        <f t="shared" si="79"/>
        <v>2.7860406678232686E-2</v>
      </c>
      <c r="CB179" s="252">
        <f t="shared" si="79"/>
        <v>6.9244656784505452</v>
      </c>
      <c r="CC179" s="252">
        <f t="shared" si="79"/>
        <v>0.13728325475317907</v>
      </c>
    </row>
    <row r="180" spans="1:81">
      <c r="A180" s="11">
        <v>45108</v>
      </c>
      <c r="B180" s="268">
        <v>70</v>
      </c>
      <c r="C180" s="268">
        <v>13</v>
      </c>
      <c r="D180" s="268">
        <f t="shared" si="71"/>
        <v>20</v>
      </c>
      <c r="E180" s="268">
        <v>3</v>
      </c>
      <c r="F180" s="269">
        <v>0.2</v>
      </c>
      <c r="G180" s="269">
        <v>1.32</v>
      </c>
      <c r="H180" s="269"/>
      <c r="I180" s="269">
        <v>5</v>
      </c>
      <c r="J180" s="269"/>
      <c r="K180" s="269"/>
      <c r="L180" s="269"/>
      <c r="M180" s="269">
        <f t="shared" si="65"/>
        <v>1.5</v>
      </c>
      <c r="N180" s="269">
        <v>45</v>
      </c>
      <c r="O180" s="269">
        <f t="shared" si="38"/>
        <v>17.699535849485258</v>
      </c>
      <c r="Q180" s="251">
        <f t="shared" si="46"/>
        <v>176.71953584948523</v>
      </c>
      <c r="R180" s="251">
        <f>'RD Plant List'!N48</f>
        <v>49</v>
      </c>
      <c r="S180" s="251">
        <f>SUM(B180:O180)+'RD Plant List'!N48</f>
        <v>225.71953584948523</v>
      </c>
      <c r="T180" s="237">
        <f t="shared" si="82"/>
        <v>0.2170835582112586</v>
      </c>
      <c r="U180" s="251">
        <f>'Renewable Fuel Ex Ethanol'!L28*'Renewable Fuel Ex Ethanol'!$I$121*12/1000000</f>
        <v>146.31118924079999</v>
      </c>
      <c r="V180" s="271">
        <f t="shared" si="75"/>
        <v>0.68711669183830704</v>
      </c>
      <c r="W180" s="251">
        <f t="shared" si="47"/>
        <v>12.192599103399999</v>
      </c>
      <c r="X180" s="242">
        <f t="shared" si="52"/>
        <v>7.8637056764429651</v>
      </c>
      <c r="Y180" s="273">
        <f>X180-BP180</f>
        <v>-6.2562477904100078E-2</v>
      </c>
      <c r="AB180" s="251">
        <f>SUM('BD Feedstock'!C178,'BD Feedstock'!E178,'BD Feedstock'!G178,'BD Feedstock'!K178,'BD Feedstock'!T178)</f>
        <v>21.812796010427753</v>
      </c>
      <c r="AC180" s="251">
        <f>SUM('BD Feedstock'!D178,'BD Feedstock'!F178,'BD Feedstock'!H178,'BD Feedstock'!I178,'BD Feedstock'!L178,'BD Feedstock'!M178,'BD Feedstock'!N178,'BD Feedstock'!O178,'BD Feedstock'!U178)</f>
        <v>12.773566250859661</v>
      </c>
      <c r="AD180" s="251">
        <f>'BD Feedstock'!J178</f>
        <v>0.90199999999999991</v>
      </c>
      <c r="AE180" s="251">
        <f>SUM('BD Feedstock'!B178,'BD Feedstock'!P178,'BD Feedstock'!Q178,'BD Feedstock'!R178)</f>
        <v>70.93020833333334</v>
      </c>
      <c r="AF180" s="251">
        <f>'BD Feedstock'!S178</f>
        <v>1.40625</v>
      </c>
      <c r="AG180" s="251">
        <f t="shared" si="41"/>
        <v>107.82482059462075</v>
      </c>
      <c r="AK180" s="237">
        <f t="shared" si="70"/>
        <v>0.20229846792359021</v>
      </c>
      <c r="AL180" s="237">
        <f t="shared" si="70"/>
        <v>0.11846591703484753</v>
      </c>
      <c r="AM180" s="237">
        <f t="shared" si="70"/>
        <v>8.3654208282077092E-3</v>
      </c>
      <c r="AN180" s="237">
        <f t="shared" si="70"/>
        <v>0.65782820636449979</v>
      </c>
      <c r="AO180" s="237">
        <f t="shared" si="70"/>
        <v>1.304198784885487E-2</v>
      </c>
      <c r="AP180" s="237">
        <f t="shared" si="42"/>
        <v>1</v>
      </c>
      <c r="AQ180" s="237"/>
      <c r="AR180" s="237">
        <f t="shared" si="43"/>
        <v>0.61464645366918802</v>
      </c>
      <c r="AS180" s="237">
        <f t="shared" si="44"/>
        <v>0.35993676340465403</v>
      </c>
      <c r="AT180" s="237">
        <f t="shared" si="45"/>
        <v>2.5416782926158003E-2</v>
      </c>
      <c r="AU180" s="237">
        <f t="shared" si="72"/>
        <v>0.98055959563958928</v>
      </c>
      <c r="AV180" s="237">
        <f t="shared" si="72"/>
        <v>1.9440404360410696E-2</v>
      </c>
      <c r="AX180" s="251">
        <f t="shared" si="54"/>
        <v>3777.0024577971603</v>
      </c>
      <c r="AY180" s="251">
        <f t="shared" si="55"/>
        <v>2211.8114111215991</v>
      </c>
      <c r="AZ180" s="251">
        <f t="shared" si="56"/>
        <v>156.18613108124009</v>
      </c>
      <c r="BA180" s="251">
        <f t="shared" si="57"/>
        <v>36618.998099160461</v>
      </c>
      <c r="BB180" s="251">
        <f t="shared" si="58"/>
        <v>726.0019008395393</v>
      </c>
      <c r="BC180" s="251">
        <f t="shared" si="66"/>
        <v>43490</v>
      </c>
      <c r="BD180" s="270">
        <f t="shared" si="74"/>
        <v>7.863705676442966</v>
      </c>
      <c r="BE180" s="251">
        <f t="shared" si="76"/>
        <v>6145</v>
      </c>
      <c r="BF180" s="251">
        <f t="shared" si="77"/>
        <v>37345</v>
      </c>
      <c r="BG180" s="251">
        <f>Data!T45</f>
        <v>6145</v>
      </c>
      <c r="BH180" s="251">
        <f>Data!S45</f>
        <v>37345</v>
      </c>
      <c r="BI180" s="270">
        <f t="shared" si="62"/>
        <v>7.863705676442966</v>
      </c>
      <c r="BJ180" s="13">
        <v>9164.2887921599813</v>
      </c>
      <c r="BK180" s="13">
        <v>-8040.4069910821709</v>
      </c>
      <c r="BM180" s="13">
        <f t="shared" si="49"/>
        <v>0</v>
      </c>
      <c r="BN180" s="13">
        <f t="shared" si="49"/>
        <v>0</v>
      </c>
      <c r="BP180" s="252">
        <f>'Total RD Feedstock'!E102</f>
        <v>7.9262681543470652</v>
      </c>
      <c r="BQ180" s="252">
        <f t="shared" si="80"/>
        <v>6.256247790409919E-2</v>
      </c>
      <c r="BS180" s="274">
        <f t="shared" si="78"/>
        <v>8.6847607675262367E-2</v>
      </c>
      <c r="BT180" s="274">
        <f t="shared" si="78"/>
        <v>5.085793081447687E-2</v>
      </c>
      <c r="BU180" s="274">
        <f t="shared" si="78"/>
        <v>3.5913113608011058E-3</v>
      </c>
      <c r="BV180" s="274">
        <f t="shared" si="78"/>
        <v>0.84200961368499561</v>
      </c>
      <c r="BW180" s="274">
        <f t="shared" si="78"/>
        <v>1.6693536464464E-2</v>
      </c>
      <c r="BY180" s="252">
        <f t="shared" si="81"/>
        <v>0.68294402546145239</v>
      </c>
      <c r="BZ180" s="252">
        <f>(AY180*2204.622)/($W180*1000000)</f>
        <v>0.39993179923794542</v>
      </c>
      <c r="CA180" s="252">
        <f t="shared" si="79"/>
        <v>2.8241015533805768E-2</v>
      </c>
      <c r="CB180" s="252">
        <f t="shared" si="79"/>
        <v>6.6213157787542487</v>
      </c>
      <c r="CC180" s="252">
        <f t="shared" si="79"/>
        <v>0.13127305745551318</v>
      </c>
    </row>
    <row r="181" spans="1:81">
      <c r="A181" s="11">
        <v>45139</v>
      </c>
      <c r="B181" s="268">
        <v>70</v>
      </c>
      <c r="C181" s="268">
        <v>13</v>
      </c>
      <c r="D181" s="268">
        <f t="shared" si="71"/>
        <v>20</v>
      </c>
      <c r="E181" s="268">
        <v>3</v>
      </c>
      <c r="F181" s="269">
        <v>0.2</v>
      </c>
      <c r="G181" s="269">
        <v>1.32</v>
      </c>
      <c r="H181" s="269"/>
      <c r="I181" s="269">
        <v>5</v>
      </c>
      <c r="J181" s="269"/>
      <c r="K181" s="269"/>
      <c r="L181" s="269"/>
      <c r="M181" s="269">
        <f t="shared" si="65"/>
        <v>1.5</v>
      </c>
      <c r="N181" s="269">
        <v>45</v>
      </c>
      <c r="O181" s="269">
        <f t="shared" si="38"/>
        <v>17.699535849485258</v>
      </c>
      <c r="Q181" s="251">
        <f t="shared" si="46"/>
        <v>176.71953584948523</v>
      </c>
      <c r="R181" s="251">
        <f>'RD Plant List'!N49</f>
        <v>49</v>
      </c>
      <c r="S181" s="251">
        <f>SUM(B181:O181)+'RD Plant List'!N49</f>
        <v>225.71953584948523</v>
      </c>
      <c r="T181" s="237">
        <f t="shared" si="82"/>
        <v>0.2170835582112586</v>
      </c>
      <c r="U181" s="251">
        <f>'Renewable Fuel Ex Ethanol'!L29*'Renewable Fuel Ex Ethanol'!$I$121*12/1000000</f>
        <v>131.86520212439999</v>
      </c>
      <c r="V181" s="271">
        <f t="shared" si="75"/>
        <v>0.63738943618303645</v>
      </c>
      <c r="W181" s="251">
        <f t="shared" si="47"/>
        <v>10.988766843699999</v>
      </c>
      <c r="X181" s="242">
        <f t="shared" si="52"/>
        <v>7.7583716694178237</v>
      </c>
      <c r="Y181" s="273">
        <f t="shared" si="53"/>
        <v>-0.23031756811283977</v>
      </c>
      <c r="AB181" s="251">
        <f>SUM('BD Feedstock'!C179,'BD Feedstock'!E179,'BD Feedstock'!G179,'BD Feedstock'!K179,'BD Feedstock'!T179)</f>
        <v>21.812796010427753</v>
      </c>
      <c r="AC181" s="251">
        <f>SUM('BD Feedstock'!D179,'BD Feedstock'!F179,'BD Feedstock'!H179,'BD Feedstock'!I179,'BD Feedstock'!L179,'BD Feedstock'!M179,'BD Feedstock'!N179,'BD Feedstock'!O179,'BD Feedstock'!U179)</f>
        <v>12.773566250859661</v>
      </c>
      <c r="AD181" s="251">
        <f>'BD Feedstock'!J179</f>
        <v>0.90199999999999991</v>
      </c>
      <c r="AE181" s="251">
        <f>SUM('BD Feedstock'!B179,'BD Feedstock'!P179,'BD Feedstock'!Q179,'BD Feedstock'!R179)</f>
        <v>70.93020833333334</v>
      </c>
      <c r="AF181" s="251">
        <f>'BD Feedstock'!S179</f>
        <v>1.40625</v>
      </c>
      <c r="AG181" s="251">
        <f t="shared" si="41"/>
        <v>107.82482059462075</v>
      </c>
      <c r="AK181" s="237">
        <f t="shared" si="70"/>
        <v>0.20229846792359021</v>
      </c>
      <c r="AL181" s="237">
        <f t="shared" si="70"/>
        <v>0.11846591703484753</v>
      </c>
      <c r="AM181" s="237">
        <f t="shared" si="70"/>
        <v>8.3654208282077092E-3</v>
      </c>
      <c r="AN181" s="237">
        <f t="shared" si="70"/>
        <v>0.65782820636449979</v>
      </c>
      <c r="AO181" s="237">
        <f t="shared" si="70"/>
        <v>1.304198784885487E-2</v>
      </c>
      <c r="AP181" s="237">
        <f t="shared" si="42"/>
        <v>1</v>
      </c>
      <c r="AQ181" s="237"/>
      <c r="AR181" s="237">
        <f t="shared" si="43"/>
        <v>0.61464645366918802</v>
      </c>
      <c r="AS181" s="237">
        <f t="shared" si="44"/>
        <v>0.35993676340465403</v>
      </c>
      <c r="AT181" s="237">
        <f t="shared" si="45"/>
        <v>2.5416782926158003E-2</v>
      </c>
      <c r="AU181" s="237">
        <f t="shared" si="72"/>
        <v>0.98055959563958928</v>
      </c>
      <c r="AV181" s="237">
        <f t="shared" si="72"/>
        <v>1.9440404360410696E-2</v>
      </c>
      <c r="AX181" s="251">
        <f t="shared" si="54"/>
        <v>3800.9736694902585</v>
      </c>
      <c r="AY181" s="251">
        <f t="shared" si="55"/>
        <v>2225.8489448943806</v>
      </c>
      <c r="AZ181" s="251">
        <f t="shared" si="56"/>
        <v>157.17738561536135</v>
      </c>
      <c r="BA181" s="251">
        <f t="shared" si="57"/>
        <v>31855.439583543335</v>
      </c>
      <c r="BB181" s="251">
        <f t="shared" si="58"/>
        <v>631.56041645666483</v>
      </c>
      <c r="BC181" s="251">
        <f t="shared" si="66"/>
        <v>38671</v>
      </c>
      <c r="BD181" s="270">
        <f t="shared" si="74"/>
        <v>7.7583716694178237</v>
      </c>
      <c r="BE181" s="251">
        <f t="shared" si="76"/>
        <v>6184</v>
      </c>
      <c r="BF181" s="251">
        <f t="shared" si="77"/>
        <v>32487</v>
      </c>
      <c r="BG181" s="251">
        <f>Data!T46</f>
        <v>6184</v>
      </c>
      <c r="BH181" s="251">
        <f>Data!S46</f>
        <v>32487</v>
      </c>
      <c r="BI181" s="270">
        <f t="shared" si="62"/>
        <v>7.7583716694178237</v>
      </c>
      <c r="BJ181" s="13">
        <v>8017.3417335150198</v>
      </c>
      <c r="BK181" s="13">
        <v>-5303.2068577386381</v>
      </c>
      <c r="BM181" s="13">
        <f t="shared" si="49"/>
        <v>0</v>
      </c>
      <c r="BN181" s="13">
        <f t="shared" si="49"/>
        <v>0</v>
      </c>
      <c r="BP181" s="252">
        <f>'Total RD Feedstock'!E103</f>
        <v>7.9886892375306635</v>
      </c>
      <c r="BQ181" s="252">
        <f t="shared" si="80"/>
        <v>0.23031756811283977</v>
      </c>
      <c r="BS181" s="274">
        <f t="shared" si="78"/>
        <v>9.8290027914723146E-2</v>
      </c>
      <c r="BT181" s="274">
        <f t="shared" si="78"/>
        <v>5.7558608385983825E-2</v>
      </c>
      <c r="BU181" s="274">
        <f t="shared" si="78"/>
        <v>4.0644768848843152E-3</v>
      </c>
      <c r="BV181" s="274">
        <f t="shared" si="78"/>
        <v>0.82375525803685801</v>
      </c>
      <c r="BW181" s="274">
        <f t="shared" si="78"/>
        <v>1.6331628777550743E-2</v>
      </c>
      <c r="BY181" s="252">
        <f t="shared" si="81"/>
        <v>0.7625705679598751</v>
      </c>
      <c r="BZ181" s="252">
        <f t="shared" si="79"/>
        <v>0.44656107663293204</v>
      </c>
      <c r="CA181" s="252">
        <f t="shared" si="79"/>
        <v>3.153372231469008E-2</v>
      </c>
      <c r="CB181" s="252">
        <f t="shared" si="79"/>
        <v>6.3909994564871289</v>
      </c>
      <c r="CC181" s="252">
        <f t="shared" si="79"/>
        <v>0.12670684602319854</v>
      </c>
    </row>
    <row r="182" spans="1:81">
      <c r="A182" s="11">
        <v>45170</v>
      </c>
      <c r="B182" s="268">
        <v>70</v>
      </c>
      <c r="C182" s="268">
        <v>13</v>
      </c>
      <c r="D182" s="268">
        <f t="shared" si="71"/>
        <v>20</v>
      </c>
      <c r="E182" s="268">
        <v>3</v>
      </c>
      <c r="F182" s="269">
        <v>0.2</v>
      </c>
      <c r="G182" s="269">
        <v>1.32</v>
      </c>
      <c r="H182" s="269"/>
      <c r="I182" s="269">
        <v>5</v>
      </c>
      <c r="J182" s="269"/>
      <c r="K182" s="269"/>
      <c r="L182" s="269"/>
      <c r="M182" s="269">
        <f t="shared" si="65"/>
        <v>1.5</v>
      </c>
      <c r="N182" s="269">
        <v>45</v>
      </c>
      <c r="O182" s="269">
        <f t="shared" si="38"/>
        <v>17.699535849485258</v>
      </c>
      <c r="Q182" s="251">
        <f t="shared" si="46"/>
        <v>176.71953584948523</v>
      </c>
      <c r="R182" s="251">
        <f>'RD Plant List'!N50</f>
        <v>49</v>
      </c>
      <c r="S182" s="251">
        <f>SUM(B182:O182)+'RD Plant List'!N50</f>
        <v>225.71953584948523</v>
      </c>
      <c r="T182" s="237">
        <f t="shared" si="82"/>
        <v>0.2170835582112586</v>
      </c>
      <c r="U182" s="251">
        <f>'Renewable Fuel Ex Ethanol'!L30*'Renewable Fuel Ex Ethanol'!$I$121*12/1000000</f>
        <v>121.33424553</v>
      </c>
      <c r="V182" s="271">
        <f t="shared" si="75"/>
        <v>0.67758070418407035</v>
      </c>
      <c r="W182" s="251">
        <f t="shared" si="47"/>
        <v>10.111187127500001</v>
      </c>
      <c r="X182" s="242">
        <f t="shared" si="52"/>
        <v>14.092661578822112</v>
      </c>
      <c r="Y182" s="273">
        <f t="shared" si="53"/>
        <v>6.1004823825519656</v>
      </c>
      <c r="AB182" s="251">
        <f>SUM('BD Feedstock'!C180,'BD Feedstock'!E180,'BD Feedstock'!G180,'BD Feedstock'!K180,'BD Feedstock'!T180)</f>
        <v>21.812796010427753</v>
      </c>
      <c r="AC182" s="251">
        <f>SUM('BD Feedstock'!D180,'BD Feedstock'!F180,'BD Feedstock'!H180,'BD Feedstock'!I180,'BD Feedstock'!L180,'BD Feedstock'!M180,'BD Feedstock'!N180,'BD Feedstock'!O180,'BD Feedstock'!U180)</f>
        <v>12.773566250859661</v>
      </c>
      <c r="AD182" s="251">
        <f>'BD Feedstock'!J180</f>
        <v>0.90199999999999991</v>
      </c>
      <c r="AE182" s="251">
        <f>SUM('BD Feedstock'!B180,'BD Feedstock'!P180,'BD Feedstock'!Q180,'BD Feedstock'!R180)</f>
        <v>70.93020833333334</v>
      </c>
      <c r="AF182" s="251">
        <f>'BD Feedstock'!S180</f>
        <v>1.40625</v>
      </c>
      <c r="AG182" s="251">
        <f t="shared" si="41"/>
        <v>107.82482059462075</v>
      </c>
      <c r="AK182" s="237">
        <f t="shared" si="70"/>
        <v>0.20229846792359021</v>
      </c>
      <c r="AL182" s="237">
        <f t="shared" si="70"/>
        <v>0.11846591703484753</v>
      </c>
      <c r="AM182" s="237">
        <f t="shared" si="70"/>
        <v>8.3654208282077092E-3</v>
      </c>
      <c r="AN182" s="237">
        <f t="shared" si="70"/>
        <v>0.65782820636449979</v>
      </c>
      <c r="AO182" s="237">
        <f t="shared" si="70"/>
        <v>1.304198784885487E-2</v>
      </c>
      <c r="AP182" s="237">
        <f t="shared" si="42"/>
        <v>1</v>
      </c>
      <c r="AQ182" s="237"/>
      <c r="AR182" s="237">
        <f t="shared" si="43"/>
        <v>0.61464645366918802</v>
      </c>
      <c r="AS182" s="237">
        <f t="shared" si="44"/>
        <v>0.35993676340465403</v>
      </c>
      <c r="AT182" s="237">
        <f t="shared" si="45"/>
        <v>2.5416782926158003E-2</v>
      </c>
      <c r="AU182" s="237">
        <f t="shared" si="72"/>
        <v>0.98055959563958928</v>
      </c>
      <c r="AV182" s="237">
        <f t="shared" si="72"/>
        <v>1.9440404360410696E-2</v>
      </c>
      <c r="AX182" s="251">
        <f t="shared" si="54"/>
        <v>3477.0549884065967</v>
      </c>
      <c r="AY182" s="251">
        <f t="shared" si="55"/>
        <v>2036.1622705801278</v>
      </c>
      <c r="AZ182" s="251">
        <f t="shared" si="56"/>
        <v>143.78274101327588</v>
      </c>
      <c r="BA182" s="251">
        <f t="shared" si="57"/>
        <v>57830.463272036053</v>
      </c>
      <c r="BB182" s="251">
        <f t="shared" si="58"/>
        <v>1146.5367279639468</v>
      </c>
      <c r="BC182" s="251">
        <f t="shared" si="66"/>
        <v>64634</v>
      </c>
      <c r="BD182" s="270">
        <f t="shared" si="74"/>
        <v>14.092661578822113</v>
      </c>
      <c r="BE182" s="251">
        <f>AX182+AY182+AZ182</f>
        <v>5657</v>
      </c>
      <c r="BF182" s="251">
        <f t="shared" si="77"/>
        <v>58977</v>
      </c>
      <c r="BG182" s="251">
        <f>Data!T47</f>
        <v>5657</v>
      </c>
      <c r="BH182" s="251">
        <f>Data!S47</f>
        <v>58977</v>
      </c>
      <c r="BI182" s="270">
        <f t="shared" si="62"/>
        <v>14.092661578822113</v>
      </c>
      <c r="BJ182" s="13">
        <v>9439.8224226898928</v>
      </c>
      <c r="BK182" s="13">
        <v>-30079.103903651467</v>
      </c>
      <c r="BM182" s="13">
        <f t="shared" si="49"/>
        <v>0</v>
      </c>
      <c r="BN182" s="13">
        <f t="shared" si="49"/>
        <v>0</v>
      </c>
      <c r="BP182" s="252">
        <f>'Total RD Feedstock'!E104</f>
        <v>7.9921791962701461</v>
      </c>
      <c r="BQ182" s="252">
        <f t="shared" si="80"/>
        <v>-6.1004823825519674</v>
      </c>
      <c r="BS182" s="274">
        <f t="shared" si="78"/>
        <v>5.3796066906064872E-2</v>
      </c>
      <c r="BT182" s="274">
        <f t="shared" si="78"/>
        <v>3.1502959287373948E-2</v>
      </c>
      <c r="BU182" s="274">
        <f t="shared" si="78"/>
        <v>2.2245681996050978E-3</v>
      </c>
      <c r="BV182" s="274">
        <f t="shared" si="78"/>
        <v>0.8947374953126227</v>
      </c>
      <c r="BW182" s="274">
        <f t="shared" si="78"/>
        <v>1.7738910294333429E-2</v>
      </c>
      <c r="BY182" s="252">
        <f>(AX182*2204.622)/($W182*1000000)</f>
        <v>0.75812976517884412</v>
      </c>
      <c r="BZ182" s="252">
        <f t="shared" si="79"/>
        <v>0.44396054396837209</v>
      </c>
      <c r="CA182" s="252">
        <f t="shared" si="79"/>
        <v>3.1350086796044237E-2</v>
      </c>
      <c r="CB182" s="252">
        <f t="shared" si="79"/>
        <v>12.609232723323727</v>
      </c>
      <c r="CC182" s="252">
        <f t="shared" si="79"/>
        <v>0.24998845955512475</v>
      </c>
    </row>
    <row r="183" spans="1:81">
      <c r="A183" s="11">
        <v>45200</v>
      </c>
      <c r="B183" s="268">
        <v>70</v>
      </c>
      <c r="C183" s="268">
        <v>13</v>
      </c>
      <c r="D183" s="268">
        <f t="shared" si="71"/>
        <v>20</v>
      </c>
      <c r="E183" s="268">
        <v>3</v>
      </c>
      <c r="F183" s="269">
        <v>0.2</v>
      </c>
      <c r="G183" s="269">
        <v>1.32</v>
      </c>
      <c r="H183" s="269"/>
      <c r="I183" s="269">
        <v>5</v>
      </c>
      <c r="J183" s="269"/>
      <c r="K183" s="269"/>
      <c r="L183" s="269"/>
      <c r="M183" s="269">
        <f t="shared" si="65"/>
        <v>1.5</v>
      </c>
      <c r="N183" s="269">
        <v>45</v>
      </c>
      <c r="O183" s="269">
        <f t="shared" si="38"/>
        <v>17.699535849485258</v>
      </c>
      <c r="Q183" s="251">
        <f t="shared" si="46"/>
        <v>176.71953584948523</v>
      </c>
      <c r="R183" s="251">
        <f>'RD Plant List'!N51</f>
        <v>49</v>
      </c>
      <c r="S183" s="251">
        <f>SUM(B183:O183)+'RD Plant List'!N51</f>
        <v>225.71953584948523</v>
      </c>
      <c r="T183" s="237">
        <f t="shared" si="82"/>
        <v>0.2170835582112586</v>
      </c>
      <c r="U183" s="251">
        <f>'Renewable Fuel Ex Ethanol'!L31*'Renewable Fuel Ex Ethanol'!$I$121*12/1000000</f>
        <v>129.12626579159999</v>
      </c>
      <c r="V183" s="271">
        <f t="shared" si="75"/>
        <v>0.70476136147215573</v>
      </c>
      <c r="W183" s="251">
        <f t="shared" si="47"/>
        <v>10.7605221493</v>
      </c>
      <c r="X183" s="242">
        <f t="shared" si="52"/>
        <v>8.2855754641794874</v>
      </c>
      <c r="Y183" s="273">
        <f t="shared" si="53"/>
        <v>-5.9005606530096344E-2</v>
      </c>
      <c r="AB183" s="251">
        <f>SUM('BD Feedstock'!C181,'BD Feedstock'!E181,'BD Feedstock'!G181,'BD Feedstock'!K181,'BD Feedstock'!T181)</f>
        <v>21.812796010427753</v>
      </c>
      <c r="AC183" s="251">
        <f>SUM('BD Feedstock'!D181,'BD Feedstock'!F181,'BD Feedstock'!H181,'BD Feedstock'!I181,'BD Feedstock'!L181,'BD Feedstock'!M181,'BD Feedstock'!N181,'BD Feedstock'!O181,'BD Feedstock'!U181)</f>
        <v>12.773566250859661</v>
      </c>
      <c r="AD183" s="251">
        <f>'BD Feedstock'!J181</f>
        <v>0.90199999999999991</v>
      </c>
      <c r="AE183" s="251">
        <f>SUM('BD Feedstock'!B181,'BD Feedstock'!P181,'BD Feedstock'!Q181,'BD Feedstock'!R181)</f>
        <v>70.93020833333334</v>
      </c>
      <c r="AF183" s="251">
        <f>'BD Feedstock'!S181</f>
        <v>1.40625</v>
      </c>
      <c r="AG183" s="251">
        <f t="shared" si="41"/>
        <v>107.82482059462075</v>
      </c>
      <c r="AK183" s="237">
        <f t="shared" si="70"/>
        <v>0.20229846792359021</v>
      </c>
      <c r="AL183" s="237">
        <f t="shared" si="70"/>
        <v>0.11846591703484753</v>
      </c>
      <c r="AM183" s="237">
        <f t="shared" si="70"/>
        <v>8.3654208282077092E-3</v>
      </c>
      <c r="AN183" s="237">
        <f t="shared" si="70"/>
        <v>0.65782820636449979</v>
      </c>
      <c r="AO183" s="237">
        <f t="shared" si="70"/>
        <v>1.304198784885487E-2</v>
      </c>
      <c r="AP183" s="237">
        <f t="shared" si="42"/>
        <v>1</v>
      </c>
      <c r="AQ183" s="237"/>
      <c r="AR183" s="237">
        <f t="shared" si="43"/>
        <v>0.61464645366918802</v>
      </c>
      <c r="AS183" s="237">
        <f t="shared" si="44"/>
        <v>0.35993676340465403</v>
      </c>
      <c r="AT183" s="237">
        <f t="shared" si="45"/>
        <v>2.5416782926158003E-2</v>
      </c>
      <c r="AU183" s="237">
        <f t="shared" si="72"/>
        <v>0.98055959563958928</v>
      </c>
      <c r="AV183" s="237">
        <f t="shared" si="72"/>
        <v>1.9440404360410696E-2</v>
      </c>
      <c r="AX183" s="251">
        <f t="shared" si="54"/>
        <v>2705.6736890517655</v>
      </c>
      <c r="AY183" s="251">
        <f t="shared" si="55"/>
        <v>1584.4416325072871</v>
      </c>
      <c r="AZ183" s="251">
        <f t="shared" si="56"/>
        <v>111.88467844094703</v>
      </c>
      <c r="BA183" s="251">
        <f t="shared" si="57"/>
        <v>35338.387267255159</v>
      </c>
      <c r="BB183" s="251">
        <f t="shared" si="58"/>
        <v>700.6127327448412</v>
      </c>
      <c r="BC183" s="251">
        <f t="shared" si="66"/>
        <v>40441</v>
      </c>
      <c r="BD183" s="270">
        <f t="shared" si="74"/>
        <v>8.2855754641794874</v>
      </c>
      <c r="BE183" s="251">
        <f t="shared" ref="BE183:BE199" si="83">AX183+AY183+AZ183</f>
        <v>4402</v>
      </c>
      <c r="BF183" s="251">
        <f t="shared" si="77"/>
        <v>36039</v>
      </c>
      <c r="BG183" s="251">
        <f>Data!T48</f>
        <v>4402</v>
      </c>
      <c r="BH183" s="251">
        <f>Data!S48</f>
        <v>36039</v>
      </c>
      <c r="BI183" s="270">
        <f t="shared" si="62"/>
        <v>8.2855754641794874</v>
      </c>
      <c r="BJ183" s="13">
        <v>11300.420477469717</v>
      </c>
      <c r="BK183" s="13">
        <v>-5981.8858130368717</v>
      </c>
      <c r="BM183" s="13">
        <f>BE183-BG183</f>
        <v>0</v>
      </c>
      <c r="BN183" s="13">
        <f t="shared" ref="BN183:BN243" si="84">BF183-BH183</f>
        <v>0</v>
      </c>
      <c r="BP183" s="252">
        <f>'Total RD Feedstock'!E105</f>
        <v>8.3445810707095838</v>
      </c>
      <c r="BQ183" s="252">
        <f t="shared" si="80"/>
        <v>5.9005606530096344E-2</v>
      </c>
      <c r="BS183" s="274">
        <f t="shared" si="78"/>
        <v>6.6904223165890203E-2</v>
      </c>
      <c r="BT183" s="274">
        <f t="shared" si="78"/>
        <v>3.9179091330760543E-2</v>
      </c>
      <c r="BU183" s="274">
        <f t="shared" si="78"/>
        <v>2.7666150303144589E-3</v>
      </c>
      <c r="BV183" s="274">
        <f t="shared" si="78"/>
        <v>0.87382575275723051</v>
      </c>
      <c r="BW183" s="274">
        <f t="shared" si="78"/>
        <v>1.7324317715804286E-2</v>
      </c>
      <c r="BY183" s="252">
        <f t="shared" si="81"/>
        <v>0.55433998991328859</v>
      </c>
      <c r="BZ183" s="252">
        <f t="shared" si="79"/>
        <v>0.32462131783899678</v>
      </c>
      <c r="CA183" s="252">
        <f t="shared" si="79"/>
        <v>2.2922997614003664E-2</v>
      </c>
      <c r="CB183" s="252">
        <f t="shared" si="79"/>
        <v>7.2401492170134789</v>
      </c>
      <c r="CC183" s="252">
        <f t="shared" si="79"/>
        <v>0.14354194179971802</v>
      </c>
    </row>
    <row r="184" spans="1:81">
      <c r="A184" s="11">
        <v>45231</v>
      </c>
      <c r="B184" s="268">
        <v>70</v>
      </c>
      <c r="C184" s="268">
        <v>13</v>
      </c>
      <c r="D184" s="268">
        <f t="shared" si="71"/>
        <v>20</v>
      </c>
      <c r="E184" s="268">
        <v>3</v>
      </c>
      <c r="F184" s="269">
        <v>0.2</v>
      </c>
      <c r="G184" s="269">
        <v>1.32</v>
      </c>
      <c r="H184" s="269"/>
      <c r="I184" s="269">
        <v>5</v>
      </c>
      <c r="J184" s="269"/>
      <c r="K184" s="269"/>
      <c r="L184" s="269"/>
      <c r="M184" s="269">
        <f t="shared" si="65"/>
        <v>1.5</v>
      </c>
      <c r="N184" s="269">
        <v>45</v>
      </c>
      <c r="O184" s="269">
        <f t="shared" ref="O184:O247" si="85">$O$3</f>
        <v>17.699535849485258</v>
      </c>
      <c r="Q184" s="251">
        <f t="shared" si="46"/>
        <v>176.71953584948523</v>
      </c>
      <c r="R184" s="251">
        <f>'RD Plant List'!N52</f>
        <v>49</v>
      </c>
      <c r="S184" s="251">
        <f>SUM(B184:O184)+'RD Plant List'!N52</f>
        <v>225.71953584948523</v>
      </c>
      <c r="T184" s="237">
        <f t="shared" si="82"/>
        <v>0.2170835582112586</v>
      </c>
      <c r="U184" s="251">
        <f>'Renewable Fuel Ex Ethanol'!L32*'Renewable Fuel Ex Ethanol'!$I$121*12/1000000</f>
        <v>169.2688014192</v>
      </c>
      <c r="V184" s="271">
        <f t="shared" si="75"/>
        <v>0.76470674873213484</v>
      </c>
      <c r="W184" s="251">
        <f t="shared" si="47"/>
        <v>14.105733451600001</v>
      </c>
      <c r="X184" s="242">
        <f t="shared" si="52"/>
        <v>11.300425108197356</v>
      </c>
      <c r="Y184" s="273">
        <f t="shared" si="53"/>
        <v>3.5730055239547429</v>
      </c>
      <c r="AB184" s="251">
        <f>SUM('BD Feedstock'!C182,'BD Feedstock'!E182,'BD Feedstock'!G182,'BD Feedstock'!K182,'BD Feedstock'!T182)</f>
        <v>21.812796010427753</v>
      </c>
      <c r="AC184" s="251">
        <f>SUM('BD Feedstock'!D182,'BD Feedstock'!F182,'BD Feedstock'!H182,'BD Feedstock'!I182,'BD Feedstock'!L182,'BD Feedstock'!M182,'BD Feedstock'!N182,'BD Feedstock'!O182,'BD Feedstock'!U182)</f>
        <v>12.773566250859661</v>
      </c>
      <c r="AD184" s="251">
        <f>'BD Feedstock'!J182</f>
        <v>0.90199999999999991</v>
      </c>
      <c r="AE184" s="251">
        <f>SUM('BD Feedstock'!B182,'BD Feedstock'!P182,'BD Feedstock'!Q182,'BD Feedstock'!R182)</f>
        <v>70.93020833333334</v>
      </c>
      <c r="AF184" s="251">
        <f>'BD Feedstock'!S182</f>
        <v>1.40625</v>
      </c>
      <c r="AG184" s="251">
        <f t="shared" si="41"/>
        <v>107.82482059462075</v>
      </c>
      <c r="AK184" s="237">
        <f t="shared" si="70"/>
        <v>0.20229846792359021</v>
      </c>
      <c r="AL184" s="237">
        <f t="shared" si="70"/>
        <v>0.11846591703484753</v>
      </c>
      <c r="AM184" s="237">
        <f t="shared" si="70"/>
        <v>8.3654208282077092E-3</v>
      </c>
      <c r="AN184" s="237">
        <f t="shared" si="70"/>
        <v>0.65782820636449979</v>
      </c>
      <c r="AO184" s="237">
        <f t="shared" si="70"/>
        <v>1.304198784885487E-2</v>
      </c>
      <c r="AP184" s="237">
        <f t="shared" si="42"/>
        <v>1</v>
      </c>
      <c r="AQ184" s="237"/>
      <c r="AR184" s="237">
        <f t="shared" si="43"/>
        <v>0.61464645366918802</v>
      </c>
      <c r="AS184" s="237">
        <f t="shared" si="44"/>
        <v>0.35993676340465403</v>
      </c>
      <c r="AT184" s="237">
        <f t="shared" si="45"/>
        <v>2.5416782926158003E-2</v>
      </c>
      <c r="AU184" s="237">
        <f t="shared" si="72"/>
        <v>0.98055959563958928</v>
      </c>
      <c r="AV184" s="237">
        <f t="shared" si="72"/>
        <v>1.9440404360410696E-2</v>
      </c>
      <c r="AX184" s="251">
        <f t="shared" si="54"/>
        <v>2844.5837875810021</v>
      </c>
      <c r="AY184" s="251">
        <f t="shared" si="55"/>
        <v>1665.7873410367388</v>
      </c>
      <c r="AZ184" s="251">
        <f t="shared" si="56"/>
        <v>117.6288713822596</v>
      </c>
      <c r="BA184" s="251">
        <f t="shared" si="57"/>
        <v>66359.37063490921</v>
      </c>
      <c r="BB184" s="251">
        <f t="shared" si="58"/>
        <v>1315.6293650907901</v>
      </c>
      <c r="BC184" s="251">
        <f t="shared" si="66"/>
        <v>72303</v>
      </c>
      <c r="BD184" s="270">
        <f t="shared" si="74"/>
        <v>11.300425108197356</v>
      </c>
      <c r="BE184" s="251">
        <f t="shared" si="83"/>
        <v>4628</v>
      </c>
      <c r="BF184" s="251">
        <f t="shared" si="77"/>
        <v>67675</v>
      </c>
      <c r="BG184" s="251">
        <f>Data!T49</f>
        <v>4628</v>
      </c>
      <c r="BH184" s="251">
        <f>Data!S49</f>
        <v>67675</v>
      </c>
      <c r="BI184" s="270">
        <f t="shared" si="62"/>
        <v>11.300425108197356</v>
      </c>
      <c r="BJ184" s="13">
        <v>12410.03239931901</v>
      </c>
      <c r="BK184" s="13">
        <v>-35061.296521462747</v>
      </c>
      <c r="BM184" s="13">
        <f t="shared" ref="BM184:BM199" si="86">BE184-BG184</f>
        <v>0</v>
      </c>
      <c r="BN184" s="13">
        <f t="shared" si="84"/>
        <v>0</v>
      </c>
      <c r="BP184" s="252">
        <f>'Total RD Feedstock'!E106</f>
        <v>7.7274195842426128</v>
      </c>
      <c r="BQ184" s="252">
        <f t="shared" si="80"/>
        <v>-3.5730055239547429</v>
      </c>
      <c r="BS184" s="274">
        <f t="shared" si="78"/>
        <v>3.9342541631481431E-2</v>
      </c>
      <c r="BT184" s="274">
        <f t="shared" si="78"/>
        <v>2.3038979586417419E-2</v>
      </c>
      <c r="BU184" s="274">
        <f t="shared" si="78"/>
        <v>1.6268878384335312E-3</v>
      </c>
      <c r="BV184" s="274">
        <f t="shared" si="78"/>
        <v>0.91779553593777863</v>
      </c>
      <c r="BW184" s="274">
        <f t="shared" si="78"/>
        <v>1.8196055005888969E-2</v>
      </c>
      <c r="BY184" s="252">
        <f t="shared" si="81"/>
        <v>0.44458744527269256</v>
      </c>
      <c r="BZ184" s="252">
        <f t="shared" si="79"/>
        <v>0.26035026338559775</v>
      </c>
      <c r="CA184" s="252">
        <f t="shared" si="79"/>
        <v>1.8384524177655199E-2</v>
      </c>
      <c r="CB184" s="252">
        <f t="shared" si="79"/>
        <v>10.371479718502721</v>
      </c>
      <c r="CC184" s="252">
        <f t="shared" si="79"/>
        <v>0.20562315685868787</v>
      </c>
    </row>
    <row r="185" spans="1:81">
      <c r="A185" s="11">
        <v>45261</v>
      </c>
      <c r="B185" s="268">
        <v>70</v>
      </c>
      <c r="C185" s="268">
        <v>13</v>
      </c>
      <c r="D185" s="268">
        <f t="shared" si="71"/>
        <v>20</v>
      </c>
      <c r="E185" s="268">
        <v>3</v>
      </c>
      <c r="F185" s="269">
        <v>0.2</v>
      </c>
      <c r="G185" s="269">
        <v>1.32</v>
      </c>
      <c r="H185" s="269"/>
      <c r="I185" s="269">
        <v>5</v>
      </c>
      <c r="J185" s="269"/>
      <c r="K185" s="269"/>
      <c r="L185" s="269"/>
      <c r="M185" s="269">
        <f t="shared" si="65"/>
        <v>1.5</v>
      </c>
      <c r="N185" s="269">
        <v>45</v>
      </c>
      <c r="O185" s="269">
        <f t="shared" si="85"/>
        <v>17.699535849485258</v>
      </c>
      <c r="Q185" s="251">
        <f t="shared" si="46"/>
        <v>176.71953584948523</v>
      </c>
      <c r="R185" s="251">
        <f>'RD Plant List'!N53</f>
        <v>49</v>
      </c>
      <c r="S185" s="251">
        <f>SUM(B185:O185)+'RD Plant List'!N53</f>
        <v>225.71953584948523</v>
      </c>
      <c r="T185" s="237">
        <f t="shared" si="82"/>
        <v>0.2170835582112586</v>
      </c>
      <c r="U185" s="251">
        <f>'Renewable Fuel Ex Ethanol'!L33*'Renewable Fuel Ex Ethanol'!$I$121*12/1000000</f>
        <v>147.7757593632</v>
      </c>
      <c r="V185" s="271">
        <f t="shared" si="75"/>
        <v>0.69397375461028465</v>
      </c>
      <c r="W185" s="251">
        <f t="shared" si="47"/>
        <v>12.314646613599999</v>
      </c>
      <c r="X185" s="242">
        <f t="shared" si="52"/>
        <v>8.3817425425759531</v>
      </c>
      <c r="Y185" s="273">
        <f t="shared" si="53"/>
        <v>2.0766828316258312E-2</v>
      </c>
      <c r="AB185" s="251">
        <f>SUM('BD Feedstock'!C183,'BD Feedstock'!E183,'BD Feedstock'!G183,'BD Feedstock'!K183,'BD Feedstock'!T183)</f>
        <v>21.812796010427753</v>
      </c>
      <c r="AC185" s="251">
        <f>SUM('BD Feedstock'!D183,'BD Feedstock'!F183,'BD Feedstock'!H183,'BD Feedstock'!I183,'BD Feedstock'!L183,'BD Feedstock'!M183,'BD Feedstock'!N183,'BD Feedstock'!O183,'BD Feedstock'!U183)</f>
        <v>12.773566250859661</v>
      </c>
      <c r="AD185" s="251">
        <f>'BD Feedstock'!J183</f>
        <v>0.90199999999999991</v>
      </c>
      <c r="AE185" s="251">
        <f>SUM('BD Feedstock'!B183,'BD Feedstock'!P183,'BD Feedstock'!Q183,'BD Feedstock'!R183)</f>
        <v>70.93020833333334</v>
      </c>
      <c r="AF185" s="251">
        <f>'BD Feedstock'!S183</f>
        <v>1.40625</v>
      </c>
      <c r="AG185" s="251">
        <f t="shared" si="41"/>
        <v>107.82482059462075</v>
      </c>
      <c r="AK185" s="237">
        <f t="shared" si="70"/>
        <v>0.20229846792359021</v>
      </c>
      <c r="AL185" s="237">
        <f t="shared" si="70"/>
        <v>0.11846591703484753</v>
      </c>
      <c r="AM185" s="237">
        <f t="shared" si="70"/>
        <v>8.3654208282077092E-3</v>
      </c>
      <c r="AN185" s="237">
        <f t="shared" si="70"/>
        <v>0.65782820636449979</v>
      </c>
      <c r="AO185" s="237">
        <f t="shared" si="70"/>
        <v>1.304198784885487E-2</v>
      </c>
      <c r="AP185" s="237">
        <f t="shared" si="42"/>
        <v>1</v>
      </c>
      <c r="AQ185" s="237"/>
      <c r="AR185" s="237">
        <f t="shared" si="43"/>
        <v>0.61464645366918802</v>
      </c>
      <c r="AS185" s="237">
        <f t="shared" si="44"/>
        <v>0.35993676340465403</v>
      </c>
      <c r="AT185" s="237">
        <f t="shared" si="45"/>
        <v>2.5416782926158003E-2</v>
      </c>
      <c r="AU185" s="237">
        <f t="shared" si="72"/>
        <v>0.98055959563958928</v>
      </c>
      <c r="AV185" s="237">
        <f t="shared" si="72"/>
        <v>1.9440404360410696E-2</v>
      </c>
      <c r="AX185" s="251">
        <f t="shared" si="54"/>
        <v>3288.3585271301558</v>
      </c>
      <c r="AY185" s="251">
        <f t="shared" si="55"/>
        <v>1925.661684214899</v>
      </c>
      <c r="AZ185" s="251">
        <f t="shared" si="56"/>
        <v>135.97978865494497</v>
      </c>
      <c r="BA185" s="251">
        <f t="shared" si="57"/>
        <v>40662.825871578127</v>
      </c>
      <c r="BB185" s="251">
        <f t="shared" si="58"/>
        <v>806.17412842187332</v>
      </c>
      <c r="BC185" s="251">
        <f t="shared" si="66"/>
        <v>46819</v>
      </c>
      <c r="BD185" s="270">
        <f t="shared" si="74"/>
        <v>8.3817425425759531</v>
      </c>
      <c r="BE185" s="251">
        <f t="shared" si="83"/>
        <v>5350</v>
      </c>
      <c r="BF185" s="251">
        <f t="shared" si="77"/>
        <v>41469</v>
      </c>
      <c r="BG185" s="251">
        <f>Data!T50</f>
        <v>5350</v>
      </c>
      <c r="BH185" s="251">
        <f>Data!S50</f>
        <v>41469</v>
      </c>
      <c r="BI185" s="270">
        <f t="shared" si="62"/>
        <v>8.3817425425759531</v>
      </c>
      <c r="BJ185" s="13">
        <v>10112.067432948519</v>
      </c>
      <c r="BK185" s="13">
        <v>-11871.962583667468</v>
      </c>
      <c r="BM185" s="13">
        <f t="shared" si="86"/>
        <v>0</v>
      </c>
      <c r="BN185" s="13">
        <f t="shared" si="84"/>
        <v>0</v>
      </c>
      <c r="BP185" s="252">
        <f>'Total RD Feedstock'!E107</f>
        <v>8.3609757142596948</v>
      </c>
      <c r="BQ185" s="252">
        <f t="shared" si="80"/>
        <v>-2.0766828316258312E-2</v>
      </c>
      <c r="BS185" s="274">
        <f t="shared" si="78"/>
        <v>7.0235556657129702E-2</v>
      </c>
      <c r="BT185" s="274">
        <f t="shared" si="78"/>
        <v>4.1129919139983748E-2</v>
      </c>
      <c r="BU185" s="274">
        <f t="shared" si="78"/>
        <v>2.9043719142857593E-3</v>
      </c>
      <c r="BV185" s="274">
        <f t="shared" si="78"/>
        <v>0.86851119997390214</v>
      </c>
      <c r="BW185" s="274">
        <f t="shared" si="78"/>
        <v>1.7218952314698589E-2</v>
      </c>
      <c r="BY185" s="252">
        <f t="shared" si="81"/>
        <v>0.5886963532345677</v>
      </c>
      <c r="BZ185" s="252">
        <f t="shared" si="79"/>
        <v>0.34474039302831067</v>
      </c>
      <c r="CA185" s="252">
        <f t="shared" si="79"/>
        <v>2.4343697633431704E-2</v>
      </c>
      <c r="CB185" s="252">
        <f t="shared" si="79"/>
        <v>7.2796372735249468</v>
      </c>
      <c r="CC185" s="252">
        <f t="shared" si="79"/>
        <v>0.14432482515469583</v>
      </c>
    </row>
    <row r="186" spans="1:81">
      <c r="A186" s="11">
        <v>45292</v>
      </c>
      <c r="B186" s="268">
        <v>70</v>
      </c>
      <c r="C186" s="268">
        <v>13</v>
      </c>
      <c r="D186" s="268">
        <f t="shared" si="71"/>
        <v>20</v>
      </c>
      <c r="E186" s="268">
        <v>3</v>
      </c>
      <c r="F186" s="269">
        <v>0.2</v>
      </c>
      <c r="G186" s="269">
        <v>1.32</v>
      </c>
      <c r="H186" s="269"/>
      <c r="I186" s="269">
        <v>5</v>
      </c>
      <c r="J186" s="269"/>
      <c r="K186" s="269"/>
      <c r="L186" s="269"/>
      <c r="M186" s="269">
        <f t="shared" si="65"/>
        <v>1.5</v>
      </c>
      <c r="N186" s="269">
        <v>45</v>
      </c>
      <c r="O186" s="269">
        <f t="shared" si="85"/>
        <v>17.699535849485258</v>
      </c>
      <c r="Q186" s="251">
        <f t="shared" si="46"/>
        <v>176.71953584948523</v>
      </c>
      <c r="R186" s="251">
        <f>'RD Plant List'!N54</f>
        <v>49</v>
      </c>
      <c r="S186" s="251">
        <f>SUM(B186:O186)+'RD Plant List'!N54</f>
        <v>225.71953584948523</v>
      </c>
      <c r="T186" s="237">
        <f t="shared" si="82"/>
        <v>0.2170835582112586</v>
      </c>
      <c r="U186" s="251">
        <f>'Renewable Fuel Ex Ethanol'!M22*'Renewable Fuel Ex Ethanol'!$I$121*12/1000000</f>
        <v>142.03160122080001</v>
      </c>
      <c r="V186" s="271">
        <f>AVERAGE(V162,V150,V174,V138)</f>
        <v>0.57919991030785045</v>
      </c>
      <c r="W186" s="251">
        <f>U186/12</f>
        <v>11.835966768400001</v>
      </c>
      <c r="X186" s="242">
        <f>(BC186*2204.622)/(W186*1000000)</f>
        <v>14.659399104366953</v>
      </c>
      <c r="Y186" s="273">
        <f t="shared" si="53"/>
        <v>5.3286586055974396</v>
      </c>
      <c r="AB186" s="251">
        <f>SUM('BD Feedstock'!C184,'BD Feedstock'!E184,'BD Feedstock'!G184,'BD Feedstock'!K184,'BD Feedstock'!T184)</f>
        <v>21.812796010427753</v>
      </c>
      <c r="AC186" s="251">
        <f>SUM('BD Feedstock'!D184,'BD Feedstock'!F184,'BD Feedstock'!H184,'BD Feedstock'!I184,'BD Feedstock'!L184,'BD Feedstock'!M184,'BD Feedstock'!N184,'BD Feedstock'!O184,'BD Feedstock'!U184)</f>
        <v>12.773566250859661</v>
      </c>
      <c r="AD186" s="251">
        <f>'BD Feedstock'!J184</f>
        <v>0.90199999999999991</v>
      </c>
      <c r="AE186" s="251">
        <f>SUM('BD Feedstock'!B184,'BD Feedstock'!P184,'BD Feedstock'!Q184,'BD Feedstock'!R184)</f>
        <v>70.93020833333334</v>
      </c>
      <c r="AF186" s="251">
        <f>'BD Feedstock'!S184</f>
        <v>1.40625</v>
      </c>
      <c r="AG186" s="251">
        <f t="shared" si="41"/>
        <v>107.82482059462075</v>
      </c>
      <c r="AK186" s="237">
        <f t="shared" si="70"/>
        <v>0.20229846792359021</v>
      </c>
      <c r="AL186" s="237">
        <f t="shared" si="70"/>
        <v>0.11846591703484753</v>
      </c>
      <c r="AM186" s="237">
        <f t="shared" si="70"/>
        <v>8.3654208282077092E-3</v>
      </c>
      <c r="AN186" s="237">
        <f t="shared" si="70"/>
        <v>0.65782820636449979</v>
      </c>
      <c r="AO186" s="237">
        <f t="shared" si="70"/>
        <v>1.304198784885487E-2</v>
      </c>
      <c r="AP186" s="237">
        <f t="shared" si="42"/>
        <v>1</v>
      </c>
      <c r="AQ186" s="237"/>
      <c r="AR186" s="237">
        <f t="shared" si="43"/>
        <v>0.61464645366918802</v>
      </c>
      <c r="AS186" s="237">
        <f t="shared" si="44"/>
        <v>0.35993676340465403</v>
      </c>
      <c r="AT186" s="237">
        <f t="shared" si="45"/>
        <v>2.5416782926158003E-2</v>
      </c>
      <c r="AU186" s="237">
        <f t="shared" si="72"/>
        <v>0.98055959563958928</v>
      </c>
      <c r="AV186" s="237">
        <f t="shared" si="72"/>
        <v>1.9440404360410696E-2</v>
      </c>
      <c r="AX186" s="251">
        <f t="shared" si="54"/>
        <v>3205.3812558848153</v>
      </c>
      <c r="AY186" s="251">
        <f t="shared" si="55"/>
        <v>1877.0702211552707</v>
      </c>
      <c r="AZ186" s="251">
        <f t="shared" si="56"/>
        <v>132.54852295991441</v>
      </c>
      <c r="BA186" s="251">
        <f t="shared" si="57"/>
        <v>72058.383004766496</v>
      </c>
      <c r="BB186" s="251">
        <f t="shared" si="58"/>
        <v>1428.616995233504</v>
      </c>
      <c r="BC186" s="251">
        <f t="shared" si="66"/>
        <v>78702</v>
      </c>
      <c r="BD186" s="270">
        <f>(BC186*2204.622/1000000)/(U186/12)</f>
        <v>14.659399104366953</v>
      </c>
      <c r="BE186" s="251">
        <f t="shared" si="83"/>
        <v>5215</v>
      </c>
      <c r="BF186" s="251">
        <f t="shared" si="77"/>
        <v>73487</v>
      </c>
      <c r="BG186" s="251">
        <f>Data!T51</f>
        <v>5215</v>
      </c>
      <c r="BH186" s="251">
        <f>Data!S51</f>
        <v>73487</v>
      </c>
      <c r="BI186" s="270">
        <f t="shared" si="62"/>
        <v>14.659399104366953</v>
      </c>
      <c r="BJ186" s="13">
        <v>7689.8512437864965</v>
      </c>
      <c r="BK186" s="13">
        <v>-48784.911047738875</v>
      </c>
      <c r="BM186" s="13">
        <f t="shared" si="86"/>
        <v>0</v>
      </c>
      <c r="BN186" s="13">
        <f t="shared" si="84"/>
        <v>0</v>
      </c>
      <c r="BP186" s="252">
        <f>'Total RD Feedstock'!F96</f>
        <v>9.3307404987695133</v>
      </c>
      <c r="BQ186" s="252">
        <f>BP186-BI186</f>
        <v>-5.3286586055974396</v>
      </c>
      <c r="BS186" s="274">
        <f t="shared" si="78"/>
        <v>4.0728078776712348E-2</v>
      </c>
      <c r="BT186" s="274">
        <f t="shared" si="78"/>
        <v>2.3850349688130806E-2</v>
      </c>
      <c r="BU186" s="274">
        <f t="shared" si="78"/>
        <v>1.6841823963801988E-3</v>
      </c>
      <c r="BV186" s="274">
        <f t="shared" si="78"/>
        <v>0.91558515672748464</v>
      </c>
      <c r="BW186" s="274">
        <f t="shared" si="78"/>
        <v>1.8152232411292012E-2</v>
      </c>
      <c r="BY186" s="252">
        <f t="shared" si="81"/>
        <v>0.59704916154192378</v>
      </c>
      <c r="BZ186" s="252">
        <f t="shared" si="79"/>
        <v>0.34963179485702339</v>
      </c>
      <c r="CA186" s="252">
        <f t="shared" si="79"/>
        <v>2.4689101913086479E-2</v>
      </c>
      <c r="CB186" s="252">
        <f t="shared" si="79"/>
        <v>13.421928226502564</v>
      </c>
      <c r="CC186" s="252">
        <f t="shared" si="79"/>
        <v>0.26610081955235493</v>
      </c>
    </row>
    <row r="187" spans="1:81">
      <c r="A187" s="11">
        <v>45323</v>
      </c>
      <c r="B187" s="268">
        <v>70</v>
      </c>
      <c r="C187" s="268">
        <v>13</v>
      </c>
      <c r="D187" s="268">
        <f t="shared" si="71"/>
        <v>20</v>
      </c>
      <c r="E187" s="268">
        <v>3</v>
      </c>
      <c r="F187" s="269">
        <v>0.2</v>
      </c>
      <c r="G187" s="269">
        <v>1.32</v>
      </c>
      <c r="H187" s="269"/>
      <c r="I187" s="269">
        <v>5</v>
      </c>
      <c r="J187" s="269"/>
      <c r="K187" s="269"/>
      <c r="L187" s="269"/>
      <c r="M187" s="269">
        <f t="shared" si="65"/>
        <v>1.5</v>
      </c>
      <c r="N187" s="269">
        <v>45</v>
      </c>
      <c r="O187" s="269">
        <f t="shared" si="85"/>
        <v>17.699535849485258</v>
      </c>
      <c r="Q187" s="251">
        <f t="shared" si="46"/>
        <v>176.71953584948523</v>
      </c>
      <c r="R187" s="251">
        <f>'RD Plant List'!N55</f>
        <v>49</v>
      </c>
      <c r="S187" s="251">
        <f>SUM(B187:O187)+'RD Plant List'!N55</f>
        <v>225.71953584948523</v>
      </c>
      <c r="T187" s="237">
        <f t="shared" si="82"/>
        <v>0.2170835582112586</v>
      </c>
      <c r="U187" s="251">
        <f>'Renewable Fuel Ex Ethanol'!M23*'Renewable Fuel Ex Ethanol'!$I$121*12/1000000</f>
        <v>204.4343346828</v>
      </c>
      <c r="V187" s="271">
        <f t="shared" ref="V187:V197" si="87">AVERAGE(V163,V151,V175,V139)</f>
        <v>0.54465984251236876</v>
      </c>
      <c r="W187" s="251">
        <f t="shared" si="47"/>
        <v>17.0361945569</v>
      </c>
      <c r="X187" s="242">
        <f t="shared" si="52"/>
        <v>6.1868730628760389</v>
      </c>
      <c r="Y187" s="273">
        <f t="shared" si="53"/>
        <v>-2.1704330776748488</v>
      </c>
      <c r="AB187" s="251">
        <f>SUM('BD Feedstock'!C185,'BD Feedstock'!E185,'BD Feedstock'!G185,'BD Feedstock'!K185,'BD Feedstock'!T185)</f>
        <v>21.812796010427753</v>
      </c>
      <c r="AC187" s="251">
        <f>SUM('BD Feedstock'!D185,'BD Feedstock'!F185,'BD Feedstock'!H185,'BD Feedstock'!I185,'BD Feedstock'!L185,'BD Feedstock'!M185,'BD Feedstock'!N185,'BD Feedstock'!O185,'BD Feedstock'!U185)</f>
        <v>12.773566250859661</v>
      </c>
      <c r="AD187" s="251">
        <f>'BD Feedstock'!J185</f>
        <v>0.90199999999999991</v>
      </c>
      <c r="AE187" s="251">
        <f>SUM('BD Feedstock'!B185,'BD Feedstock'!P185,'BD Feedstock'!Q185,'BD Feedstock'!R185)</f>
        <v>70.93020833333334</v>
      </c>
      <c r="AF187" s="251">
        <f>'BD Feedstock'!S185</f>
        <v>1.40625</v>
      </c>
      <c r="AG187" s="251">
        <f t="shared" si="41"/>
        <v>107.82482059462075</v>
      </c>
      <c r="AK187" s="237">
        <f t="shared" si="70"/>
        <v>0.20229846792359021</v>
      </c>
      <c r="AL187" s="237">
        <f t="shared" si="70"/>
        <v>0.11846591703484753</v>
      </c>
      <c r="AM187" s="237">
        <f t="shared" si="70"/>
        <v>8.3654208282077092E-3</v>
      </c>
      <c r="AN187" s="237">
        <f t="shared" si="70"/>
        <v>0.65782820636449979</v>
      </c>
      <c r="AO187" s="237">
        <f t="shared" si="70"/>
        <v>1.304198784885487E-2</v>
      </c>
      <c r="AP187" s="237">
        <f t="shared" si="42"/>
        <v>1</v>
      </c>
      <c r="AQ187" s="237"/>
      <c r="AR187" s="237">
        <f t="shared" si="43"/>
        <v>0.61464645366918802</v>
      </c>
      <c r="AS187" s="237">
        <f t="shared" si="44"/>
        <v>0.35993676340465403</v>
      </c>
      <c r="AT187" s="237">
        <f t="shared" si="45"/>
        <v>2.5416782926158003E-2</v>
      </c>
      <c r="AU187" s="237">
        <f t="shared" si="72"/>
        <v>0.98055959563958928</v>
      </c>
      <c r="AV187" s="237">
        <f t="shared" si="72"/>
        <v>1.9440404360410696E-2</v>
      </c>
      <c r="AX187" s="251">
        <f t="shared" si="54"/>
        <v>2993.942875822615</v>
      </c>
      <c r="AY187" s="251">
        <f t="shared" si="55"/>
        <v>1753.2519745440698</v>
      </c>
      <c r="AZ187" s="251">
        <f t="shared" si="56"/>
        <v>123.80514963331552</v>
      </c>
      <c r="BA187" s="251">
        <f t="shared" si="57"/>
        <v>42103.267917572681</v>
      </c>
      <c r="BB187" s="251">
        <f t="shared" si="58"/>
        <v>834.73208242731926</v>
      </c>
      <c r="BC187" s="251">
        <f t="shared" si="66"/>
        <v>47809</v>
      </c>
      <c r="BD187" s="270">
        <f t="shared" si="74"/>
        <v>6.186873062876038</v>
      </c>
      <c r="BE187" s="251">
        <f t="shared" si="83"/>
        <v>4871</v>
      </c>
      <c r="BF187" s="251">
        <f t="shared" si="77"/>
        <v>42938</v>
      </c>
      <c r="BG187" s="251">
        <f>Data!T52</f>
        <v>4871</v>
      </c>
      <c r="BH187" s="251">
        <f>Data!S52</f>
        <v>42938</v>
      </c>
      <c r="BI187" s="270">
        <f t="shared" si="62"/>
        <v>6.186873062876038</v>
      </c>
      <c r="BJ187" s="13">
        <v>7264.2820002172457</v>
      </c>
      <c r="BK187" s="13">
        <v>-19708.9979939154</v>
      </c>
      <c r="BM187" s="13">
        <f t="shared" si="86"/>
        <v>0</v>
      </c>
      <c r="BN187" s="13">
        <f t="shared" si="84"/>
        <v>0</v>
      </c>
      <c r="BP187" s="252">
        <f>'Total RD Feedstock'!F97</f>
        <v>8.3573061405508877</v>
      </c>
      <c r="BQ187" s="252">
        <f t="shared" si="80"/>
        <v>2.1704330776748497</v>
      </c>
      <c r="BS187" s="274">
        <f t="shared" si="78"/>
        <v>6.2622997256219851E-2</v>
      </c>
      <c r="BT187" s="274">
        <f t="shared" si="78"/>
        <v>3.6672006830179876E-2</v>
      </c>
      <c r="BU187" s="274">
        <f t="shared" si="78"/>
        <v>2.5895783144034706E-3</v>
      </c>
      <c r="BV187" s="274">
        <f t="shared" si="78"/>
        <v>0.88065569071874916</v>
      </c>
      <c r="BW187" s="274">
        <f t="shared" si="78"/>
        <v>1.7459726880447599E-2</v>
      </c>
      <c r="BY187" s="252">
        <f t="shared" si="81"/>
        <v>0.38744053484106666</v>
      </c>
      <c r="BZ187" s="252">
        <f t="shared" si="79"/>
        <v>0.22688505121924599</v>
      </c>
      <c r="CA187" s="252">
        <f t="shared" si="79"/>
        <v>1.6021392317590772E-2</v>
      </c>
      <c r="CB187" s="252">
        <f t="shared" si="79"/>
        <v>5.4485049705763213</v>
      </c>
      <c r="CC187" s="252">
        <f t="shared" si="79"/>
        <v>0.10802111392181393</v>
      </c>
    </row>
    <row r="188" spans="1:81">
      <c r="A188" s="11">
        <v>45352</v>
      </c>
      <c r="B188" s="268">
        <v>70</v>
      </c>
      <c r="C188" s="268">
        <v>13</v>
      </c>
      <c r="D188" s="268">
        <f t="shared" si="71"/>
        <v>20</v>
      </c>
      <c r="E188" s="268">
        <v>3</v>
      </c>
      <c r="F188" s="269">
        <v>0.2</v>
      </c>
      <c r="G188" s="269">
        <v>1.32</v>
      </c>
      <c r="H188" s="269"/>
      <c r="I188" s="269">
        <v>5</v>
      </c>
      <c r="J188" s="269"/>
      <c r="K188" s="269"/>
      <c r="L188" s="269"/>
      <c r="M188" s="269">
        <f t="shared" si="65"/>
        <v>1.5</v>
      </c>
      <c r="N188" s="269">
        <v>45</v>
      </c>
      <c r="O188" s="269">
        <f t="shared" si="85"/>
        <v>17.699535849485258</v>
      </c>
      <c r="Q188" s="251">
        <f t="shared" si="46"/>
        <v>176.71953584948523</v>
      </c>
      <c r="R188" s="251">
        <f>'RD Plant List'!N56</f>
        <v>49</v>
      </c>
      <c r="S188" s="251">
        <f>SUM(B188:O188)+'RD Plant List'!N56</f>
        <v>225.71953584948523</v>
      </c>
      <c r="T188" s="237">
        <f t="shared" si="82"/>
        <v>0.2170835582112586</v>
      </c>
      <c r="U188" s="251">
        <f>'Renewable Fuel Ex Ethanol'!M24*'Renewable Fuel Ex Ethanol'!$I$121*12/1000000</f>
        <v>351.00229920480001</v>
      </c>
      <c r="V188" s="271">
        <f t="shared" si="87"/>
        <v>0.59090673034021091</v>
      </c>
      <c r="W188" s="251">
        <f t="shared" si="47"/>
        <v>29.250191600400001</v>
      </c>
      <c r="X188" s="242">
        <f t="shared" si="52"/>
        <v>6.8807874619613658</v>
      </c>
      <c r="Y188" s="273">
        <f t="shared" si="53"/>
        <v>-1.4831544459150399</v>
      </c>
      <c r="AB188" s="251">
        <f>SUM('BD Feedstock'!C186,'BD Feedstock'!E186,'BD Feedstock'!G186,'BD Feedstock'!K186,'BD Feedstock'!T186)</f>
        <v>21.812796010427753</v>
      </c>
      <c r="AC188" s="251">
        <f>SUM('BD Feedstock'!D186,'BD Feedstock'!F186,'BD Feedstock'!H186,'BD Feedstock'!I186,'BD Feedstock'!L186,'BD Feedstock'!M186,'BD Feedstock'!N186,'BD Feedstock'!O186,'BD Feedstock'!U186)</f>
        <v>12.773566250859661</v>
      </c>
      <c r="AD188" s="251">
        <f>'BD Feedstock'!J186</f>
        <v>0.90199999999999991</v>
      </c>
      <c r="AE188" s="251">
        <f>SUM('BD Feedstock'!B186,'BD Feedstock'!P186,'BD Feedstock'!Q186,'BD Feedstock'!R186)</f>
        <v>70.93020833333334</v>
      </c>
      <c r="AF188" s="251">
        <f>'BD Feedstock'!S186</f>
        <v>1.40625</v>
      </c>
      <c r="AG188" s="251">
        <f t="shared" si="41"/>
        <v>107.82482059462075</v>
      </c>
      <c r="AK188" s="237">
        <f t="shared" si="70"/>
        <v>0.20229846792359021</v>
      </c>
      <c r="AL188" s="237">
        <f t="shared" si="70"/>
        <v>0.11846591703484753</v>
      </c>
      <c r="AM188" s="237">
        <f t="shared" si="70"/>
        <v>8.3654208282077092E-3</v>
      </c>
      <c r="AN188" s="237">
        <f t="shared" si="70"/>
        <v>0.65782820636449979</v>
      </c>
      <c r="AO188" s="237">
        <f t="shared" si="70"/>
        <v>1.304198784885487E-2</v>
      </c>
      <c r="AP188" s="237">
        <f t="shared" si="42"/>
        <v>1</v>
      </c>
      <c r="AQ188" s="237"/>
      <c r="AR188" s="237">
        <f t="shared" si="43"/>
        <v>0.61464645366918802</v>
      </c>
      <c r="AS188" s="237">
        <f t="shared" si="44"/>
        <v>0.35993676340465403</v>
      </c>
      <c r="AT188" s="237">
        <f t="shared" si="45"/>
        <v>2.5416782926158003E-2</v>
      </c>
      <c r="AU188" s="237">
        <f t="shared" si="72"/>
        <v>0.98055959563958928</v>
      </c>
      <c r="AV188" s="237">
        <f t="shared" si="72"/>
        <v>1.9440404360410696E-2</v>
      </c>
      <c r="AX188" s="251">
        <f t="shared" si="54"/>
        <v>2769.5969202333613</v>
      </c>
      <c r="AY188" s="251">
        <f t="shared" si="55"/>
        <v>1621.8750559013711</v>
      </c>
      <c r="AZ188" s="251">
        <f t="shared" si="56"/>
        <v>114.52802386526764</v>
      </c>
      <c r="BA188" s="251">
        <f t="shared" si="57"/>
        <v>85098.84506717739</v>
      </c>
      <c r="BB188" s="251">
        <f t="shared" si="58"/>
        <v>1687.1549328226101</v>
      </c>
      <c r="BC188" s="251">
        <f t="shared" si="66"/>
        <v>91292</v>
      </c>
      <c r="BD188" s="270">
        <f t="shared" si="74"/>
        <v>6.8807874619613658</v>
      </c>
      <c r="BE188" s="251">
        <f t="shared" si="83"/>
        <v>4506</v>
      </c>
      <c r="BF188" s="251">
        <f t="shared" si="77"/>
        <v>86786</v>
      </c>
      <c r="BG188" s="251">
        <f>Data!T53</f>
        <v>4506</v>
      </c>
      <c r="BH188" s="251">
        <f>Data!S53</f>
        <v>86786</v>
      </c>
      <c r="BI188" s="270">
        <f t="shared" si="62"/>
        <v>6.8807874619613658</v>
      </c>
      <c r="BJ188" s="13">
        <v>8659.6847977404213</v>
      </c>
      <c r="BK188" s="13">
        <v>-61584.631084739944</v>
      </c>
      <c r="BM188" s="13">
        <f t="shared" si="86"/>
        <v>0</v>
      </c>
      <c r="BN188" s="13">
        <f t="shared" si="84"/>
        <v>0</v>
      </c>
      <c r="BP188" s="252">
        <f>'Total RD Feedstock'!F98</f>
        <v>8.3639419078764057</v>
      </c>
      <c r="BQ188" s="252">
        <f t="shared" si="80"/>
        <v>1.4831544459150399</v>
      </c>
      <c r="BS188" s="274">
        <f t="shared" si="78"/>
        <v>3.0337783378974734E-2</v>
      </c>
      <c r="BT188" s="274">
        <f t="shared" si="78"/>
        <v>1.7765796081818462E-2</v>
      </c>
      <c r="BU188" s="274">
        <f t="shared" si="78"/>
        <v>1.2545242065599136E-3</v>
      </c>
      <c r="BV188" s="274">
        <f t="shared" si="78"/>
        <v>0.93216103346599255</v>
      </c>
      <c r="BW188" s="274">
        <f t="shared" si="78"/>
        <v>1.8480862866654364E-2</v>
      </c>
      <c r="BY188" s="252">
        <f t="shared" si="81"/>
        <v>0.20874783949774925</v>
      </c>
      <c r="BZ188" s="252">
        <f t="shared" si="79"/>
        <v>0.12224266693153885</v>
      </c>
      <c r="CA188" s="252">
        <f t="shared" si="79"/>
        <v>8.6321144312244847E-3</v>
      </c>
      <c r="CB188" s="252">
        <f t="shared" si="79"/>
        <v>6.4140019516017501</v>
      </c>
      <c r="CC188" s="252">
        <f t="shared" si="79"/>
        <v>0.12716288949910273</v>
      </c>
    </row>
    <row r="189" spans="1:81">
      <c r="A189" s="11">
        <v>45383</v>
      </c>
      <c r="B189" s="268">
        <v>70</v>
      </c>
      <c r="C189" s="268">
        <v>13</v>
      </c>
      <c r="D189" s="268">
        <f t="shared" si="71"/>
        <v>20</v>
      </c>
      <c r="E189" s="268">
        <v>3</v>
      </c>
      <c r="F189" s="269">
        <v>0.2</v>
      </c>
      <c r="G189" s="269">
        <v>1.32</v>
      </c>
      <c r="H189" s="269"/>
      <c r="I189" s="269">
        <v>5</v>
      </c>
      <c r="J189" s="269"/>
      <c r="K189" s="269"/>
      <c r="L189" s="269"/>
      <c r="M189" s="269">
        <f t="shared" si="65"/>
        <v>1.5</v>
      </c>
      <c r="N189" s="269">
        <v>45</v>
      </c>
      <c r="O189" s="269">
        <f t="shared" si="85"/>
        <v>17.699535849485258</v>
      </c>
      <c r="Q189" s="251">
        <f t="shared" si="46"/>
        <v>176.71953584948523</v>
      </c>
      <c r="R189" s="251">
        <f>'RD Plant List'!N57</f>
        <v>49</v>
      </c>
      <c r="S189" s="251">
        <f>SUM(B189:O189)+'RD Plant List'!N57</f>
        <v>225.71953584948523</v>
      </c>
      <c r="T189" s="237">
        <f t="shared" si="82"/>
        <v>0.2170835582112586</v>
      </c>
      <c r="U189" s="251">
        <f>'Renewable Fuel Ex Ethanol'!M25*'Renewable Fuel Ex Ethanol'!$I$121*12/1000000</f>
        <v>292.89183402359998</v>
      </c>
      <c r="V189" s="271">
        <f t="shared" si="87"/>
        <v>0.60495842914193099</v>
      </c>
      <c r="W189" s="251">
        <f t="shared" si="47"/>
        <v>24.407652835299999</v>
      </c>
      <c r="X189" s="242">
        <f t="shared" si="52"/>
        <v>6.1803095989564003</v>
      </c>
      <c r="Y189" s="273">
        <f t="shared" si="53"/>
        <v>-2.1018634723370138</v>
      </c>
      <c r="AB189" s="251">
        <f>SUM('BD Feedstock'!C187,'BD Feedstock'!E187,'BD Feedstock'!G187,'BD Feedstock'!K187,'BD Feedstock'!T187)</f>
        <v>21.812796010427753</v>
      </c>
      <c r="AC189" s="251">
        <f>SUM('BD Feedstock'!D187,'BD Feedstock'!F187,'BD Feedstock'!H187,'BD Feedstock'!I187,'BD Feedstock'!L187,'BD Feedstock'!M187,'BD Feedstock'!N187,'BD Feedstock'!O187,'BD Feedstock'!U187)</f>
        <v>12.773566250859661</v>
      </c>
      <c r="AD189" s="251">
        <f>'BD Feedstock'!J187</f>
        <v>0.90199999999999991</v>
      </c>
      <c r="AE189" s="251">
        <f>SUM('BD Feedstock'!B187,'BD Feedstock'!P187,'BD Feedstock'!Q187,'BD Feedstock'!R187)</f>
        <v>70.93020833333334</v>
      </c>
      <c r="AF189" s="251">
        <f>'BD Feedstock'!S187</f>
        <v>1.40625</v>
      </c>
      <c r="AG189" s="251">
        <f t="shared" si="41"/>
        <v>107.82482059462075</v>
      </c>
      <c r="AK189" s="237">
        <f t="shared" si="70"/>
        <v>0.20229846792359021</v>
      </c>
      <c r="AL189" s="237">
        <f t="shared" si="70"/>
        <v>0.11846591703484753</v>
      </c>
      <c r="AM189" s="237">
        <f t="shared" si="70"/>
        <v>8.3654208282077092E-3</v>
      </c>
      <c r="AN189" s="237">
        <f t="shared" si="70"/>
        <v>0.65782820636449979</v>
      </c>
      <c r="AO189" s="237">
        <f t="shared" si="70"/>
        <v>1.304198784885487E-2</v>
      </c>
      <c r="AP189" s="237">
        <f t="shared" si="42"/>
        <v>1</v>
      </c>
      <c r="AQ189" s="237"/>
      <c r="AR189" s="237">
        <f t="shared" si="43"/>
        <v>0.61464645366918802</v>
      </c>
      <c r="AS189" s="237">
        <f t="shared" si="44"/>
        <v>0.35993676340465403</v>
      </c>
      <c r="AT189" s="237">
        <f t="shared" si="45"/>
        <v>2.5416782926158003E-2</v>
      </c>
      <c r="AU189" s="237">
        <f t="shared" si="72"/>
        <v>0.98055959563958928</v>
      </c>
      <c r="AV189" s="237">
        <f t="shared" si="72"/>
        <v>1.9440404360410696E-2</v>
      </c>
      <c r="AX189" s="251">
        <f t="shared" si="54"/>
        <v>3652.8438741559844</v>
      </c>
      <c r="AY189" s="251">
        <f t="shared" si="55"/>
        <v>2139.1041849138587</v>
      </c>
      <c r="AZ189" s="251">
        <f t="shared" si="56"/>
        <v>151.05194093015689</v>
      </c>
      <c r="BA189" s="251">
        <f t="shared" si="57"/>
        <v>61265.363535561541</v>
      </c>
      <c r="BB189" s="251">
        <f t="shared" si="58"/>
        <v>1214.6364644384594</v>
      </c>
      <c r="BC189" s="251">
        <f t="shared" si="66"/>
        <v>68423</v>
      </c>
      <c r="BD189" s="270">
        <f t="shared" si="74"/>
        <v>6.1803095989564003</v>
      </c>
      <c r="BE189" s="251">
        <f t="shared" si="83"/>
        <v>5943</v>
      </c>
      <c r="BF189" s="251">
        <f t="shared" si="77"/>
        <v>62480</v>
      </c>
      <c r="BG189" s="251">
        <f>Data!T54</f>
        <v>5943</v>
      </c>
      <c r="BH189" s="251">
        <f>Data!S54</f>
        <v>62480</v>
      </c>
      <c r="BI189" s="270">
        <f t="shared" si="62"/>
        <v>6.1803095989564003</v>
      </c>
      <c r="BJ189" s="13">
        <v>7535.7633730846592</v>
      </c>
      <c r="BK189" s="13">
        <v>-36679.345229281193</v>
      </c>
      <c r="BM189" s="13">
        <f>BE189-BG189</f>
        <v>0</v>
      </c>
      <c r="BN189" s="13">
        <f t="shared" si="84"/>
        <v>0</v>
      </c>
      <c r="BP189" s="252">
        <f>'Total RD Feedstock'!F99</f>
        <v>8.2821730712934141</v>
      </c>
      <c r="BQ189" s="252">
        <f t="shared" si="80"/>
        <v>2.1018634723370138</v>
      </c>
      <c r="BS189" s="274">
        <f t="shared" si="78"/>
        <v>5.3386198707393487E-2</v>
      </c>
      <c r="BT189" s="274">
        <f t="shared" si="78"/>
        <v>3.1262940603508448E-2</v>
      </c>
      <c r="BU189" s="274">
        <f t="shared" si="78"/>
        <v>2.2076193813506699E-3</v>
      </c>
      <c r="BV189" s="274">
        <f t="shared" si="78"/>
        <v>0.89539136745774872</v>
      </c>
      <c r="BW189" s="274">
        <f t="shared" si="78"/>
        <v>1.7751873849998677E-2</v>
      </c>
      <c r="BY189" s="252">
        <f t="shared" si="81"/>
        <v>0.32994323632309774</v>
      </c>
      <c r="BZ189" s="252">
        <f t="shared" si="79"/>
        <v>0.19321465190346709</v>
      </c>
      <c r="CA189" s="252">
        <f t="shared" si="79"/>
        <v>1.3643771253403736E-2</v>
      </c>
      <c r="CB189" s="252">
        <f t="shared" si="79"/>
        <v>5.5337958631218216</v>
      </c>
      <c r="CC189" s="252">
        <f t="shared" si="79"/>
        <v>0.10971207635460993</v>
      </c>
    </row>
    <row r="190" spans="1:81">
      <c r="A190" s="11">
        <v>45413</v>
      </c>
      <c r="B190" s="268">
        <v>70</v>
      </c>
      <c r="C190" s="268">
        <v>13</v>
      </c>
      <c r="D190" s="268">
        <f t="shared" si="71"/>
        <v>20</v>
      </c>
      <c r="E190" s="268">
        <v>3</v>
      </c>
      <c r="F190" s="269">
        <v>0.2</v>
      </c>
      <c r="G190" s="269">
        <v>1.32</v>
      </c>
      <c r="H190" s="269"/>
      <c r="I190" s="269">
        <v>5</v>
      </c>
      <c r="J190" s="269"/>
      <c r="K190" s="269"/>
      <c r="L190" s="269"/>
      <c r="M190" s="269">
        <f t="shared" si="65"/>
        <v>1.5</v>
      </c>
      <c r="N190" s="269">
        <v>45</v>
      </c>
      <c r="O190" s="269">
        <f t="shared" si="85"/>
        <v>17.699535849485258</v>
      </c>
      <c r="Q190" s="251">
        <f t="shared" si="46"/>
        <v>176.71953584948523</v>
      </c>
      <c r="R190" s="251">
        <f>'RD Plant List'!N58</f>
        <v>49</v>
      </c>
      <c r="S190" s="251">
        <f>SUM(B190:O190)+'RD Plant List'!N58</f>
        <v>225.71953584948523</v>
      </c>
      <c r="T190" s="237">
        <f t="shared" si="82"/>
        <v>0.2170835582112586</v>
      </c>
      <c r="U190" s="251">
        <f>'Renewable Fuel Ex Ethanol'!M26*'Renewable Fuel Ex Ethanol'!$I$121*12/1000000</f>
        <v>313.3958157372</v>
      </c>
      <c r="V190" s="271">
        <f t="shared" si="87"/>
        <v>0.59483555685778045</v>
      </c>
      <c r="W190" s="251">
        <f t="shared" si="47"/>
        <v>26.1163179781</v>
      </c>
      <c r="X190" s="242">
        <f t="shared" si="52"/>
        <v>8.1720955746889317</v>
      </c>
      <c r="Y190" s="273">
        <f t="shared" si="53"/>
        <v>-9.6908992229391089E-2</v>
      </c>
      <c r="AB190" s="251">
        <f>SUM('BD Feedstock'!C188,'BD Feedstock'!E188,'BD Feedstock'!G188,'BD Feedstock'!K188,'BD Feedstock'!T188)</f>
        <v>21.812796010427753</v>
      </c>
      <c r="AC190" s="251">
        <f>SUM('BD Feedstock'!D188,'BD Feedstock'!F188,'BD Feedstock'!H188,'BD Feedstock'!I188,'BD Feedstock'!L188,'BD Feedstock'!M188,'BD Feedstock'!N188,'BD Feedstock'!O188,'BD Feedstock'!U188)</f>
        <v>12.773566250859661</v>
      </c>
      <c r="AD190" s="251">
        <f>'BD Feedstock'!J188</f>
        <v>0.90199999999999991</v>
      </c>
      <c r="AE190" s="251">
        <f>SUM('BD Feedstock'!B188,'BD Feedstock'!P188,'BD Feedstock'!Q188,'BD Feedstock'!R188)</f>
        <v>70.93020833333334</v>
      </c>
      <c r="AF190" s="251">
        <f>'BD Feedstock'!S188</f>
        <v>1.40625</v>
      </c>
      <c r="AG190" s="251">
        <f t="shared" si="41"/>
        <v>107.82482059462075</v>
      </c>
      <c r="AK190" s="237">
        <f t="shared" si="70"/>
        <v>0.20229846792359021</v>
      </c>
      <c r="AL190" s="237">
        <f t="shared" si="70"/>
        <v>0.11846591703484753</v>
      </c>
      <c r="AM190" s="237">
        <f t="shared" si="70"/>
        <v>8.3654208282077092E-3</v>
      </c>
      <c r="AN190" s="237">
        <f t="shared" si="70"/>
        <v>0.65782820636449979</v>
      </c>
      <c r="AO190" s="237">
        <f t="shared" si="70"/>
        <v>1.304198784885487E-2</v>
      </c>
      <c r="AP190" s="237">
        <f t="shared" si="42"/>
        <v>1</v>
      </c>
      <c r="AQ190" s="237"/>
      <c r="AR190" s="237">
        <f t="shared" si="43"/>
        <v>0.61464645366918802</v>
      </c>
      <c r="AS190" s="237">
        <f t="shared" si="44"/>
        <v>0.35993676340465403</v>
      </c>
      <c r="AT190" s="237">
        <f t="shared" si="45"/>
        <v>2.5416782926158003E-2</v>
      </c>
      <c r="AU190" s="237">
        <f t="shared" si="72"/>
        <v>0.98055959563958928</v>
      </c>
      <c r="AV190" s="237">
        <f t="shared" si="72"/>
        <v>1.9440404360410696E-2</v>
      </c>
      <c r="AX190" s="251">
        <f t="shared" si="54"/>
        <v>3862.4383148571774</v>
      </c>
      <c r="AY190" s="251">
        <f t="shared" si="55"/>
        <v>2261.8426212348459</v>
      </c>
      <c r="AZ190" s="251">
        <f t="shared" si="56"/>
        <v>159.71906390797631</v>
      </c>
      <c r="BA190" s="251">
        <f t="shared" si="57"/>
        <v>88764.176835678183</v>
      </c>
      <c r="BB190" s="251">
        <f t="shared" si="58"/>
        <v>1759.8231643218169</v>
      </c>
      <c r="BC190" s="251">
        <f t="shared" si="66"/>
        <v>96808</v>
      </c>
      <c r="BD190" s="270">
        <f t="shared" si="74"/>
        <v>8.1720955746889299</v>
      </c>
      <c r="BE190" s="251">
        <f t="shared" si="83"/>
        <v>6284</v>
      </c>
      <c r="BF190" s="251">
        <f t="shared" si="77"/>
        <v>90524</v>
      </c>
      <c r="BG190" s="251">
        <f>Data!T55</f>
        <v>6284</v>
      </c>
      <c r="BH190" s="251">
        <f>Data!S55</f>
        <v>90524</v>
      </c>
      <c r="BI190" s="270">
        <f t="shared" si="62"/>
        <v>8.1720955746889299</v>
      </c>
      <c r="BJ190" s="13">
        <v>-866.99080253436205</v>
      </c>
      <c r="BK190" s="13">
        <v>-65155.071973649217</v>
      </c>
      <c r="BM190" s="13">
        <f>BE190-BG190</f>
        <v>0</v>
      </c>
      <c r="BN190" s="13">
        <f t="shared" si="84"/>
        <v>0</v>
      </c>
      <c r="BP190" s="252">
        <f>'Total RD Feedstock'!F100</f>
        <v>8.2690045669183228</v>
      </c>
      <c r="BQ190" s="252">
        <f t="shared" si="80"/>
        <v>9.6908992229392865E-2</v>
      </c>
      <c r="BS190" s="274">
        <f t="shared" si="78"/>
        <v>3.9897924911754992E-2</v>
      </c>
      <c r="BT190" s="274">
        <f t="shared" si="78"/>
        <v>2.3364211854752147E-2</v>
      </c>
      <c r="BU190" s="274">
        <f t="shared" si="78"/>
        <v>1.6498539780594196E-3</v>
      </c>
      <c r="BV190" s="274">
        <f t="shared" si="78"/>
        <v>0.91690952024293637</v>
      </c>
      <c r="BW190" s="274">
        <f t="shared" si="78"/>
        <v>1.8178489012497075E-2</v>
      </c>
      <c r="BY190" s="252">
        <f t="shared" si="81"/>
        <v>0.32604965561062427</v>
      </c>
      <c r="BZ190" s="252">
        <f t="shared" si="79"/>
        <v>0.19093457230431471</v>
      </c>
      <c r="CA190" s="252">
        <f t="shared" si="79"/>
        <v>1.3482764392982315E-2</v>
      </c>
      <c r="CB190" s="252">
        <f t="shared" si="79"/>
        <v>7.4930722327674522</v>
      </c>
      <c r="CC190" s="252">
        <f t="shared" si="79"/>
        <v>0.14855634961355874</v>
      </c>
    </row>
    <row r="191" spans="1:81">
      <c r="A191" s="11">
        <v>45444</v>
      </c>
      <c r="B191" s="268">
        <v>70</v>
      </c>
      <c r="C191" s="268">
        <v>13</v>
      </c>
      <c r="D191" s="268">
        <f t="shared" si="71"/>
        <v>20</v>
      </c>
      <c r="E191" s="268">
        <v>3</v>
      </c>
      <c r="F191" s="269">
        <v>0.2</v>
      </c>
      <c r="G191" s="269">
        <v>1.32</v>
      </c>
      <c r="H191" s="269"/>
      <c r="I191" s="269">
        <v>5</v>
      </c>
      <c r="J191" s="269"/>
      <c r="K191" s="269"/>
      <c r="L191" s="269"/>
      <c r="M191" s="269">
        <f t="shared" si="65"/>
        <v>1.5</v>
      </c>
      <c r="N191" s="269">
        <v>45</v>
      </c>
      <c r="O191" s="269">
        <f t="shared" si="85"/>
        <v>17.699535849485258</v>
      </c>
      <c r="Q191" s="251">
        <f t="shared" si="46"/>
        <v>176.71953584948523</v>
      </c>
      <c r="R191" s="251">
        <f>'RD Plant List'!N59</f>
        <v>49</v>
      </c>
      <c r="S191" s="251">
        <f>SUM(B191:O191)+'RD Plant List'!N59</f>
        <v>225.71953584948523</v>
      </c>
      <c r="T191" s="237">
        <f t="shared" si="82"/>
        <v>0.2170835582112586</v>
      </c>
      <c r="U191" s="251">
        <f>'Renewable Fuel Ex Ethanol'!M27*'Renewable Fuel Ex Ethanol'!$I$121*12/1000000</f>
        <v>418.27425281400002</v>
      </c>
      <c r="V191" s="271">
        <f t="shared" si="87"/>
        <v>0.65721935431309575</v>
      </c>
      <c r="W191" s="251">
        <f t="shared" si="47"/>
        <v>34.856187734500004</v>
      </c>
      <c r="X191" s="242">
        <f t="shared" si="52"/>
        <v>8.8498752993770236</v>
      </c>
      <c r="Y191" s="273">
        <f t="shared" si="53"/>
        <v>0.45115572723505437</v>
      </c>
      <c r="AB191" s="251">
        <f>SUM('BD Feedstock'!C189,'BD Feedstock'!E189,'BD Feedstock'!G189,'BD Feedstock'!K189,'BD Feedstock'!T189)</f>
        <v>21.812796010427753</v>
      </c>
      <c r="AC191" s="251">
        <f>SUM('BD Feedstock'!D189,'BD Feedstock'!F189,'BD Feedstock'!H189,'BD Feedstock'!I189,'BD Feedstock'!L189,'BD Feedstock'!M189,'BD Feedstock'!N189,'BD Feedstock'!O189,'BD Feedstock'!U189)</f>
        <v>12.773566250859661</v>
      </c>
      <c r="AD191" s="251">
        <f>'BD Feedstock'!J189</f>
        <v>0.90199999999999991</v>
      </c>
      <c r="AE191" s="251">
        <f>SUM('BD Feedstock'!B189,'BD Feedstock'!P189,'BD Feedstock'!Q189,'BD Feedstock'!R189)</f>
        <v>70.93020833333334</v>
      </c>
      <c r="AF191" s="251">
        <f>'BD Feedstock'!S189</f>
        <v>1.40625</v>
      </c>
      <c r="AG191" s="251">
        <f t="shared" si="41"/>
        <v>107.82482059462075</v>
      </c>
      <c r="AK191" s="237">
        <f t="shared" si="70"/>
        <v>0.20229846792359021</v>
      </c>
      <c r="AL191" s="237">
        <f t="shared" si="70"/>
        <v>0.11846591703484753</v>
      </c>
      <c r="AM191" s="237">
        <f t="shared" si="70"/>
        <v>8.3654208282077092E-3</v>
      </c>
      <c r="AN191" s="237">
        <f t="shared" si="70"/>
        <v>0.65782820636449979</v>
      </c>
      <c r="AO191" s="237">
        <f t="shared" si="70"/>
        <v>1.304198784885487E-2</v>
      </c>
      <c r="AP191" s="237">
        <f t="shared" si="42"/>
        <v>1</v>
      </c>
      <c r="AQ191" s="237"/>
      <c r="AR191" s="237">
        <f t="shared" si="43"/>
        <v>0.61464645366918802</v>
      </c>
      <c r="AS191" s="237">
        <f t="shared" si="44"/>
        <v>0.35993676340465403</v>
      </c>
      <c r="AT191" s="237">
        <f t="shared" si="45"/>
        <v>2.5416782926158003E-2</v>
      </c>
      <c r="AU191" s="237">
        <f t="shared" si="72"/>
        <v>0.98055959563958928</v>
      </c>
      <c r="AV191" s="237">
        <f t="shared" si="72"/>
        <v>1.9440404360410696E-2</v>
      </c>
      <c r="AX191" s="251">
        <f t="shared" si="54"/>
        <v>3539.7489266808539</v>
      </c>
      <c r="AY191" s="251">
        <f t="shared" si="55"/>
        <v>2072.8758204474025</v>
      </c>
      <c r="AZ191" s="251">
        <f t="shared" si="56"/>
        <v>146.37525287174321</v>
      </c>
      <c r="BA191" s="251">
        <f t="shared" si="57"/>
        <v>131553.83647019858</v>
      </c>
      <c r="BB191" s="251">
        <f t="shared" si="58"/>
        <v>2608.1635298014153</v>
      </c>
      <c r="BC191" s="251">
        <f t="shared" si="66"/>
        <v>139921</v>
      </c>
      <c r="BD191" s="270">
        <f t="shared" si="74"/>
        <v>8.8498752993770236</v>
      </c>
      <c r="BE191" s="251">
        <f t="shared" si="83"/>
        <v>5759</v>
      </c>
      <c r="BF191" s="251">
        <f t="shared" si="77"/>
        <v>134162</v>
      </c>
      <c r="BG191" s="251">
        <f>Data!T56</f>
        <v>5759</v>
      </c>
      <c r="BH191" s="251">
        <f>Data!S56</f>
        <v>134162</v>
      </c>
      <c r="BI191" s="270">
        <f t="shared" si="62"/>
        <v>8.8498752993770236</v>
      </c>
      <c r="BJ191" s="13">
        <v>-86.010269016072016</v>
      </c>
      <c r="BK191" s="13">
        <v>-106132.48780142106</v>
      </c>
      <c r="BM191" s="13">
        <f t="shared" si="86"/>
        <v>0</v>
      </c>
      <c r="BN191" s="13">
        <f t="shared" si="84"/>
        <v>0</v>
      </c>
      <c r="BP191" s="252">
        <f>'Total RD Feedstock'!F101</f>
        <v>8.3987195721419692</v>
      </c>
      <c r="BQ191" s="252">
        <f t="shared" si="80"/>
        <v>-0.45115572723505437</v>
      </c>
      <c r="BS191" s="274">
        <f t="shared" ref="BS191:BW207" si="88">AX191/$BC191</f>
        <v>2.5298196315641355E-2</v>
      </c>
      <c r="BT191" s="274">
        <f t="shared" si="88"/>
        <v>1.4814615536248328E-2</v>
      </c>
      <c r="BU191" s="274">
        <f t="shared" si="88"/>
        <v>1.0461278355053437E-3</v>
      </c>
      <c r="BV191" s="274">
        <f t="shared" si="88"/>
        <v>0.94020080238276305</v>
      </c>
      <c r="BW191" s="274">
        <f t="shared" si="88"/>
        <v>1.8640257929841947E-2</v>
      </c>
      <c r="BY191" s="252">
        <f t="shared" si="81"/>
        <v>0.22388588269258522</v>
      </c>
      <c r="BZ191" s="252">
        <f t="shared" si="79"/>
        <v>0.13110750010401118</v>
      </c>
      <c r="CA191" s="252">
        <f t="shared" si="79"/>
        <v>9.2581008914294927E-3</v>
      </c>
      <c r="CB191" s="252">
        <f t="shared" si="79"/>
        <v>8.3206598574616724</v>
      </c>
      <c r="CC191" s="252">
        <f t="shared" si="79"/>
        <v>0.16496395822732496</v>
      </c>
    </row>
    <row r="192" spans="1:81">
      <c r="A192" s="11">
        <v>45474</v>
      </c>
      <c r="B192" s="268">
        <v>70</v>
      </c>
      <c r="C192" s="268">
        <v>13</v>
      </c>
      <c r="D192" s="268">
        <f t="shared" si="71"/>
        <v>20</v>
      </c>
      <c r="E192" s="268">
        <v>3</v>
      </c>
      <c r="F192" s="269">
        <v>0.2</v>
      </c>
      <c r="G192" s="269">
        <v>1.32</v>
      </c>
      <c r="H192" s="269"/>
      <c r="I192" s="269">
        <v>5</v>
      </c>
      <c r="J192" s="269"/>
      <c r="K192" s="269"/>
      <c r="L192" s="269"/>
      <c r="M192" s="269">
        <f t="shared" si="65"/>
        <v>1.5</v>
      </c>
      <c r="N192" s="269">
        <v>45</v>
      </c>
      <c r="O192" s="269">
        <f t="shared" si="85"/>
        <v>17.699535849485258</v>
      </c>
      <c r="Q192" s="251">
        <f t="shared" si="46"/>
        <v>176.71953584948523</v>
      </c>
      <c r="R192" s="251">
        <f>'RD Plant List'!N60</f>
        <v>49</v>
      </c>
      <c r="S192" s="251">
        <f>SUM(B192:O192)+'RD Plant List'!N60</f>
        <v>225.71953584948523</v>
      </c>
      <c r="T192" s="237">
        <f t="shared" si="82"/>
        <v>0.2170835582112586</v>
      </c>
      <c r="U192" s="251">
        <f>'Renewable Fuel Ex Ethanol'!M28*'Renewable Fuel Ex Ethanol'!$I$121*12/1000000</f>
        <v>339.10504450919996</v>
      </c>
      <c r="V192" s="271">
        <f t="shared" si="87"/>
        <v>0.68711669183830704</v>
      </c>
      <c r="W192" s="251">
        <f t="shared" si="47"/>
        <v>28.258753709099995</v>
      </c>
      <c r="X192" s="242">
        <f t="shared" si="52"/>
        <v>7.5713303806848673</v>
      </c>
      <c r="Y192" s="273">
        <f t="shared" si="53"/>
        <v>-0.63457842241023155</v>
      </c>
      <c r="AB192" s="251">
        <f>SUM('BD Feedstock'!C190,'BD Feedstock'!E190,'BD Feedstock'!G190,'BD Feedstock'!K190,'BD Feedstock'!T190)</f>
        <v>21.812796010427753</v>
      </c>
      <c r="AC192" s="251">
        <f>SUM('BD Feedstock'!D190,'BD Feedstock'!F190,'BD Feedstock'!H190,'BD Feedstock'!I190,'BD Feedstock'!L190,'BD Feedstock'!M190,'BD Feedstock'!N190,'BD Feedstock'!O190,'BD Feedstock'!U190)</f>
        <v>12.773566250859661</v>
      </c>
      <c r="AD192" s="251">
        <f>'BD Feedstock'!J190</f>
        <v>0.90199999999999991</v>
      </c>
      <c r="AE192" s="251">
        <f>SUM('BD Feedstock'!B190,'BD Feedstock'!P190,'BD Feedstock'!Q190,'BD Feedstock'!R190)</f>
        <v>70.93020833333334</v>
      </c>
      <c r="AF192" s="251">
        <f>'BD Feedstock'!S190</f>
        <v>1.40625</v>
      </c>
      <c r="AG192" s="251">
        <f t="shared" si="41"/>
        <v>107.82482059462075</v>
      </c>
      <c r="AK192" s="237">
        <f t="shared" si="70"/>
        <v>0.20229846792359021</v>
      </c>
      <c r="AL192" s="237">
        <f t="shared" si="70"/>
        <v>0.11846591703484753</v>
      </c>
      <c r="AM192" s="237">
        <f t="shared" si="70"/>
        <v>8.3654208282077092E-3</v>
      </c>
      <c r="AN192" s="237">
        <f t="shared" si="70"/>
        <v>0.65782820636449979</v>
      </c>
      <c r="AO192" s="237">
        <f t="shared" si="70"/>
        <v>1.304198784885487E-2</v>
      </c>
      <c r="AP192" s="237">
        <f t="shared" si="42"/>
        <v>1</v>
      </c>
      <c r="AQ192" s="237"/>
      <c r="AR192" s="237">
        <f t="shared" si="43"/>
        <v>0.61464645366918802</v>
      </c>
      <c r="AS192" s="237">
        <f t="shared" si="44"/>
        <v>0.35993676340465403</v>
      </c>
      <c r="AT192" s="237">
        <f t="shared" si="45"/>
        <v>2.5416782926158003E-2</v>
      </c>
      <c r="AU192" s="237">
        <f t="shared" si="72"/>
        <v>0.98055959563958928</v>
      </c>
      <c r="AV192" s="237">
        <f t="shared" si="72"/>
        <v>1.9440404360410696E-2</v>
      </c>
      <c r="AX192" s="251">
        <f t="shared" si="54"/>
        <v>4124.2777041202517</v>
      </c>
      <c r="AY192" s="251">
        <f t="shared" si="55"/>
        <v>2415.1756824452286</v>
      </c>
      <c r="AZ192" s="251">
        <f t="shared" si="56"/>
        <v>170.54661343451971</v>
      </c>
      <c r="BA192" s="251">
        <f t="shared" si="57"/>
        <v>88582.773310484859</v>
      </c>
      <c r="BB192" s="251">
        <f t="shared" si="58"/>
        <v>1756.2266895151406</v>
      </c>
      <c r="BC192" s="251">
        <f t="shared" si="66"/>
        <v>97049</v>
      </c>
      <c r="BD192" s="270">
        <f t="shared" si="74"/>
        <v>7.5713303806848682</v>
      </c>
      <c r="BE192" s="251">
        <f t="shared" si="83"/>
        <v>6710</v>
      </c>
      <c r="BF192" s="251">
        <f t="shared" si="77"/>
        <v>90339</v>
      </c>
      <c r="BG192" s="251">
        <f>Data!T57</f>
        <v>6710</v>
      </c>
      <c r="BH192" s="251">
        <f>Data!S57</f>
        <v>90339</v>
      </c>
      <c r="BI192" s="270">
        <f t="shared" si="62"/>
        <v>7.5713303806848682</v>
      </c>
      <c r="BJ192" s="13">
        <v>-625.0182199892588</v>
      </c>
      <c r="BK192" s="13">
        <v>2671.3296768557921</v>
      </c>
      <c r="BM192" s="13">
        <f t="shared" si="86"/>
        <v>0</v>
      </c>
      <c r="BN192" s="13">
        <f t="shared" si="84"/>
        <v>0</v>
      </c>
      <c r="BP192" s="252">
        <f>'Total RD Feedstock'!F102</f>
        <v>8.2059088030950988</v>
      </c>
      <c r="BQ192" s="252">
        <f t="shared" si="80"/>
        <v>0.63457842241023066</v>
      </c>
      <c r="BS192" s="274">
        <f t="shared" si="88"/>
        <v>4.2496859360943974E-2</v>
      </c>
      <c r="BT192" s="274">
        <f t="shared" si="88"/>
        <v>2.4886147023104089E-2</v>
      </c>
      <c r="BU192" s="274">
        <f t="shared" si="88"/>
        <v>1.7573247888645913E-3</v>
      </c>
      <c r="BV192" s="274">
        <f t="shared" si="88"/>
        <v>0.91276338046229077</v>
      </c>
      <c r="BW192" s="274">
        <f t="shared" si="88"/>
        <v>1.8096288364796553E-2</v>
      </c>
      <c r="BY192" s="252">
        <f t="shared" si="81"/>
        <v>0.32175776236320719</v>
      </c>
      <c r="BZ192" s="252">
        <f t="shared" si="79"/>
        <v>0.18842124101421825</v>
      </c>
      <c r="CA192" s="252">
        <f t="shared" si="79"/>
        <v>1.33052865626611E-2</v>
      </c>
      <c r="CB192" s="252">
        <f t="shared" si="79"/>
        <v>6.9108331128707627</v>
      </c>
      <c r="CC192" s="252">
        <f t="shared" si="79"/>
        <v>0.13701297787401823</v>
      </c>
    </row>
    <row r="193" spans="1:81">
      <c r="A193" s="11">
        <v>45505</v>
      </c>
      <c r="B193" s="268">
        <v>70</v>
      </c>
      <c r="C193" s="268">
        <v>13</v>
      </c>
      <c r="D193" s="268">
        <f t="shared" si="71"/>
        <v>20</v>
      </c>
      <c r="E193" s="268">
        <v>3</v>
      </c>
      <c r="F193" s="269">
        <v>0.2</v>
      </c>
      <c r="G193" s="269">
        <v>1.32</v>
      </c>
      <c r="H193" s="269"/>
      <c r="I193" s="269">
        <v>5</v>
      </c>
      <c r="J193" s="269"/>
      <c r="K193" s="269"/>
      <c r="L193" s="269"/>
      <c r="M193" s="269">
        <f t="shared" si="65"/>
        <v>1.5</v>
      </c>
      <c r="N193" s="269">
        <v>45</v>
      </c>
      <c r="O193" s="269">
        <f t="shared" si="85"/>
        <v>17.699535849485258</v>
      </c>
      <c r="Q193" s="251">
        <f t="shared" si="46"/>
        <v>176.71953584948523</v>
      </c>
      <c r="R193" s="251">
        <f>'RD Plant List'!N61</f>
        <v>49</v>
      </c>
      <c r="S193" s="251">
        <f>SUM(B193:O193)+'RD Plant List'!N61</f>
        <v>225.71953584948523</v>
      </c>
      <c r="T193" s="237">
        <f t="shared" si="82"/>
        <v>0.2170835582112586</v>
      </c>
      <c r="U193" s="251">
        <f>'Renewable Fuel Ex Ethanol'!M29*'Renewable Fuel Ex Ethanol'!$I$121*12/1000000</f>
        <v>290.07998619120002</v>
      </c>
      <c r="V193" s="271">
        <f t="shared" si="87"/>
        <v>0.63738943618303656</v>
      </c>
      <c r="W193" s="251">
        <f t="shared" si="47"/>
        <v>24.173332182600003</v>
      </c>
      <c r="X193" s="242">
        <f t="shared" si="52"/>
        <v>12.822072434312718</v>
      </c>
      <c r="Y193" s="273">
        <f t="shared" si="53"/>
        <v>4.4257819157016574</v>
      </c>
      <c r="AB193" s="251">
        <f>SUM('BD Feedstock'!C191,'BD Feedstock'!E191,'BD Feedstock'!G191,'BD Feedstock'!K191,'BD Feedstock'!T191)</f>
        <v>21.812796010427753</v>
      </c>
      <c r="AC193" s="251">
        <f>SUM('BD Feedstock'!D191,'BD Feedstock'!F191,'BD Feedstock'!H191,'BD Feedstock'!I191,'BD Feedstock'!L191,'BD Feedstock'!M191,'BD Feedstock'!N191,'BD Feedstock'!O191,'BD Feedstock'!U191)</f>
        <v>12.773566250859661</v>
      </c>
      <c r="AD193" s="251">
        <f>'BD Feedstock'!J191</f>
        <v>0.90199999999999991</v>
      </c>
      <c r="AE193" s="251">
        <f>SUM('BD Feedstock'!B191,'BD Feedstock'!P191,'BD Feedstock'!Q191,'BD Feedstock'!R191)</f>
        <v>70.93020833333334</v>
      </c>
      <c r="AF193" s="251">
        <f>'BD Feedstock'!S191</f>
        <v>1.40625</v>
      </c>
      <c r="AG193" s="251">
        <f t="shared" si="41"/>
        <v>107.82482059462075</v>
      </c>
      <c r="AK193" s="237">
        <f t="shared" si="70"/>
        <v>0.20229846792359021</v>
      </c>
      <c r="AL193" s="237">
        <f t="shared" si="70"/>
        <v>0.11846591703484753</v>
      </c>
      <c r="AM193" s="237">
        <f t="shared" si="70"/>
        <v>8.3654208282077092E-3</v>
      </c>
      <c r="AN193" s="237">
        <f t="shared" si="70"/>
        <v>0.65782820636449979</v>
      </c>
      <c r="AO193" s="237">
        <f t="shared" si="70"/>
        <v>1.304198784885487E-2</v>
      </c>
      <c r="AP193" s="237">
        <f t="shared" si="42"/>
        <v>1</v>
      </c>
      <c r="AQ193" s="237"/>
      <c r="AR193" s="237">
        <f t="shared" si="43"/>
        <v>0.61464645366918802</v>
      </c>
      <c r="AS193" s="237">
        <f t="shared" si="44"/>
        <v>0.35993676340465403</v>
      </c>
      <c r="AT193" s="237">
        <f t="shared" si="45"/>
        <v>2.5416782926158003E-2</v>
      </c>
      <c r="AU193" s="237">
        <f t="shared" si="72"/>
        <v>0.98055959563958928</v>
      </c>
      <c r="AV193" s="237">
        <f t="shared" si="72"/>
        <v>1.9440404360410696E-2</v>
      </c>
      <c r="AX193" s="251">
        <f t="shared" si="54"/>
        <v>3302.4953955645474</v>
      </c>
      <c r="AY193" s="251">
        <f t="shared" si="55"/>
        <v>1933.9402297732061</v>
      </c>
      <c r="AZ193" s="251">
        <f t="shared" si="56"/>
        <v>136.56437466224634</v>
      </c>
      <c r="BA193" s="251">
        <f t="shared" si="57"/>
        <v>132590.28796278962</v>
      </c>
      <c r="BB193" s="251">
        <f t="shared" si="58"/>
        <v>2628.7120372103818</v>
      </c>
      <c r="BC193" s="251">
        <f t="shared" si="66"/>
        <v>140592</v>
      </c>
      <c r="BD193" s="270">
        <f t="shared" si="74"/>
        <v>12.822072434312718</v>
      </c>
      <c r="BE193" s="251">
        <f>AX193+AY193+AZ193</f>
        <v>5373</v>
      </c>
      <c r="BF193" s="251">
        <f t="shared" si="77"/>
        <v>135219</v>
      </c>
      <c r="BG193" s="251">
        <f>Data!T58</f>
        <v>5373</v>
      </c>
      <c r="BH193" s="251">
        <f>Data!S58</f>
        <v>135219</v>
      </c>
      <c r="BI193" s="270">
        <f t="shared" si="62"/>
        <v>12.822072434312718</v>
      </c>
      <c r="BJ193" s="13">
        <v>255.88603779596542</v>
      </c>
      <c r="BK193" s="13">
        <v>-48038.380164229427</v>
      </c>
      <c r="BM193" s="13">
        <f t="shared" si="86"/>
        <v>0</v>
      </c>
      <c r="BN193" s="13">
        <f t="shared" si="84"/>
        <v>0</v>
      </c>
      <c r="BP193" s="252">
        <f>'Total RD Feedstock'!F103</f>
        <v>8.3962905186110603</v>
      </c>
      <c r="BQ193" s="252">
        <f t="shared" si="80"/>
        <v>-4.4257819157016574</v>
      </c>
      <c r="BS193" s="274">
        <f t="shared" si="88"/>
        <v>2.34899240039586E-2</v>
      </c>
      <c r="BT193" s="274">
        <f t="shared" si="88"/>
        <v>1.3755691858521154E-2</v>
      </c>
      <c r="BU193" s="274">
        <f t="shared" si="88"/>
        <v>9.7135238606923819E-4</v>
      </c>
      <c r="BV193" s="274">
        <f t="shared" si="88"/>
        <v>0.94308558070722104</v>
      </c>
      <c r="BW193" s="274">
        <f t="shared" si="88"/>
        <v>1.8697451044229985E-2</v>
      </c>
      <c r="BY193" s="252">
        <f t="shared" si="81"/>
        <v>0.30118950705525815</v>
      </c>
      <c r="BZ193" s="252">
        <f t="shared" si="79"/>
        <v>0.17637647739404397</v>
      </c>
      <c r="CA193" s="252">
        <f t="shared" si="79"/>
        <v>1.2454750653422265E-2</v>
      </c>
      <c r="CB193" s="252">
        <f t="shared" si="79"/>
        <v>12.092311627583861</v>
      </c>
      <c r="CC193" s="252">
        <f t="shared" si="79"/>
        <v>0.23974007162613281</v>
      </c>
    </row>
    <row r="194" spans="1:81">
      <c r="A194" s="11">
        <v>45536</v>
      </c>
      <c r="B194" s="268">
        <v>70</v>
      </c>
      <c r="C194" s="268">
        <v>13</v>
      </c>
      <c r="D194" s="268">
        <f t="shared" si="71"/>
        <v>20</v>
      </c>
      <c r="E194" s="268">
        <v>3</v>
      </c>
      <c r="F194" s="269">
        <v>0.2</v>
      </c>
      <c r="G194" s="269">
        <v>1.32</v>
      </c>
      <c r="H194" s="269"/>
      <c r="I194" s="269">
        <v>5</v>
      </c>
      <c r="J194" s="269"/>
      <c r="K194" s="269"/>
      <c r="L194" s="269"/>
      <c r="M194" s="269">
        <f t="shared" si="65"/>
        <v>1.5</v>
      </c>
      <c r="N194" s="269">
        <v>45</v>
      </c>
      <c r="O194" s="269">
        <f t="shared" si="85"/>
        <v>17.699535849485258</v>
      </c>
      <c r="Q194" s="251">
        <f t="shared" si="46"/>
        <v>176.71953584948523</v>
      </c>
      <c r="R194" s="251">
        <f>'RD Plant List'!N62</f>
        <v>49</v>
      </c>
      <c r="S194" s="251">
        <f>SUM(B194:O194)+'RD Plant List'!N62</f>
        <v>225.71953584948523</v>
      </c>
      <c r="T194" s="237">
        <f t="shared" si="82"/>
        <v>0.2170835582112586</v>
      </c>
      <c r="U194" s="251">
        <f>'Renewable Fuel Ex Ethanol'!M30*'Renewable Fuel Ex Ethanol'!$I$121*12/1000000</f>
        <v>335.78915631000001</v>
      </c>
      <c r="V194" s="271">
        <f t="shared" si="87"/>
        <v>0.67758070418407035</v>
      </c>
      <c r="W194" s="251">
        <f t="shared" si="47"/>
        <v>27.982429692500002</v>
      </c>
      <c r="X194" s="242">
        <f t="shared" si="52"/>
        <v>6.9218962464118761</v>
      </c>
      <c r="Y194" s="273">
        <f t="shared" si="53"/>
        <v>-1.3415669700069603</v>
      </c>
      <c r="AB194" s="251">
        <f>SUM('BD Feedstock'!C192,'BD Feedstock'!E192,'BD Feedstock'!G192,'BD Feedstock'!K192,'BD Feedstock'!T192)</f>
        <v>21.812796010427753</v>
      </c>
      <c r="AC194" s="251">
        <f>SUM('BD Feedstock'!D192,'BD Feedstock'!F192,'BD Feedstock'!H192,'BD Feedstock'!I192,'BD Feedstock'!L192,'BD Feedstock'!M192,'BD Feedstock'!N192,'BD Feedstock'!O192,'BD Feedstock'!U192)</f>
        <v>12.773566250859661</v>
      </c>
      <c r="AD194" s="251">
        <f>'BD Feedstock'!J192</f>
        <v>0.90199999999999991</v>
      </c>
      <c r="AE194" s="251">
        <f>SUM('BD Feedstock'!B192,'BD Feedstock'!P192,'BD Feedstock'!Q192,'BD Feedstock'!R192)</f>
        <v>70.93020833333334</v>
      </c>
      <c r="AF194" s="251">
        <f>'BD Feedstock'!S192</f>
        <v>1.40625</v>
      </c>
      <c r="AG194" s="251">
        <f t="shared" si="41"/>
        <v>107.82482059462075</v>
      </c>
      <c r="AK194" s="237">
        <f t="shared" si="70"/>
        <v>0.20229846792359021</v>
      </c>
      <c r="AL194" s="237">
        <f t="shared" si="70"/>
        <v>0.11846591703484753</v>
      </c>
      <c r="AM194" s="237">
        <f t="shared" si="70"/>
        <v>8.3654208282077092E-3</v>
      </c>
      <c r="AN194" s="237">
        <f t="shared" si="70"/>
        <v>0.65782820636449979</v>
      </c>
      <c r="AO194" s="237">
        <f t="shared" si="70"/>
        <v>1.304198784885487E-2</v>
      </c>
      <c r="AP194" s="237">
        <f t="shared" si="42"/>
        <v>1</v>
      </c>
      <c r="AQ194" s="237"/>
      <c r="AR194" s="237">
        <f t="shared" si="43"/>
        <v>0.61464645366918802</v>
      </c>
      <c r="AS194" s="237">
        <f t="shared" si="44"/>
        <v>0.35993676340465403</v>
      </c>
      <c r="AT194" s="237">
        <f t="shared" si="45"/>
        <v>2.5416782926158003E-2</v>
      </c>
      <c r="AU194" s="237">
        <f t="shared" si="72"/>
        <v>0.98055959563958928</v>
      </c>
      <c r="AV194" s="237">
        <f t="shared" si="72"/>
        <v>1.9440404360410696E-2</v>
      </c>
      <c r="AX194" s="251">
        <f t="shared" si="54"/>
        <v>3282.8267090471331</v>
      </c>
      <c r="AY194" s="251">
        <f t="shared" si="55"/>
        <v>1922.4222533442571</v>
      </c>
      <c r="AZ194" s="251">
        <f t="shared" si="56"/>
        <v>135.7510376086102</v>
      </c>
      <c r="BA194" s="251">
        <f t="shared" si="57"/>
        <v>80911.855593796354</v>
      </c>
      <c r="BB194" s="251">
        <f t="shared" si="58"/>
        <v>1604.1444062036462</v>
      </c>
      <c r="BC194" s="251">
        <f t="shared" si="66"/>
        <v>87857</v>
      </c>
      <c r="BD194" s="270">
        <f t="shared" si="74"/>
        <v>6.9218962464118761</v>
      </c>
      <c r="BE194" s="251">
        <f t="shared" si="83"/>
        <v>5341</v>
      </c>
      <c r="BF194" s="251">
        <f t="shared" si="77"/>
        <v>82516</v>
      </c>
      <c r="BG194" s="251">
        <f>Data!T59</f>
        <v>5341</v>
      </c>
      <c r="BH194" s="251">
        <f>Data!S59</f>
        <v>82516</v>
      </c>
      <c r="BI194" s="270">
        <f t="shared" si="62"/>
        <v>6.9218962464118761</v>
      </c>
      <c r="BJ194" s="13">
        <v>630.1687666670432</v>
      </c>
      <c r="BK194" s="13">
        <v>16705.408670736957</v>
      </c>
      <c r="BM194" s="13">
        <f t="shared" si="86"/>
        <v>0</v>
      </c>
      <c r="BN194" s="13">
        <f t="shared" si="84"/>
        <v>0</v>
      </c>
      <c r="BP194" s="252">
        <f>'Total RD Feedstock'!F104</f>
        <v>8.2634632164188364</v>
      </c>
      <c r="BQ194" s="252">
        <f t="shared" si="80"/>
        <v>1.3415669700069603</v>
      </c>
      <c r="BS194" s="274">
        <f t="shared" si="88"/>
        <v>3.7365568014468206E-2</v>
      </c>
      <c r="BT194" s="274">
        <f t="shared" si="88"/>
        <v>2.1881264479145169E-2</v>
      </c>
      <c r="BU194" s="274">
        <f t="shared" si="88"/>
        <v>1.5451362738155207E-3</v>
      </c>
      <c r="BV194" s="274">
        <f t="shared" si="88"/>
        <v>0.92094944732686468</v>
      </c>
      <c r="BW194" s="274">
        <f t="shared" si="88"/>
        <v>1.825858390570639E-2</v>
      </c>
      <c r="BY194" s="252">
        <f t="shared" si="81"/>
        <v>0.25864058498439513</v>
      </c>
      <c r="BZ194" s="252">
        <f t="shared" si="79"/>
        <v>0.15145984246494046</v>
      </c>
      <c r="CA194" s="252">
        <f t="shared" si="79"/>
        <v>1.0695272973918485E-2</v>
      </c>
      <c r="CB194" s="252">
        <f t="shared" si="79"/>
        <v>6.3747165225869171</v>
      </c>
      <c r="CC194" s="252">
        <f t="shared" si="79"/>
        <v>0.12638402340170535</v>
      </c>
    </row>
    <row r="195" spans="1:81">
      <c r="A195" s="11">
        <v>45566</v>
      </c>
      <c r="B195" s="268">
        <v>70</v>
      </c>
      <c r="C195" s="268">
        <v>13</v>
      </c>
      <c r="D195" s="268">
        <f t="shared" si="71"/>
        <v>20</v>
      </c>
      <c r="E195" s="268">
        <v>3</v>
      </c>
      <c r="F195" s="269">
        <v>0.2</v>
      </c>
      <c r="G195" s="269">
        <v>1.32</v>
      </c>
      <c r="H195" s="269"/>
      <c r="I195" s="269">
        <v>5</v>
      </c>
      <c r="J195" s="269"/>
      <c r="K195" s="269"/>
      <c r="L195" s="269"/>
      <c r="M195" s="269">
        <f t="shared" si="65"/>
        <v>1.5</v>
      </c>
      <c r="N195" s="269">
        <v>45</v>
      </c>
      <c r="O195" s="269">
        <f t="shared" si="85"/>
        <v>17.699535849485258</v>
      </c>
      <c r="Q195" s="251">
        <f t="shared" si="46"/>
        <v>176.71953584948523</v>
      </c>
      <c r="R195" s="251">
        <f>'RD Plant List'!N63</f>
        <v>49</v>
      </c>
      <c r="S195" s="251">
        <f>SUM(B195:O195)+'RD Plant List'!N63</f>
        <v>225.71953584948523</v>
      </c>
      <c r="T195" s="237">
        <f t="shared" si="82"/>
        <v>0.2170835582112586</v>
      </c>
      <c r="U195" s="251">
        <f>'Renewable Fuel Ex Ethanol'!M31*'Renewable Fuel Ex Ethanol'!$I$121*12/1000000</f>
        <v>216.07164403199999</v>
      </c>
      <c r="V195" s="271">
        <f t="shared" si="87"/>
        <v>0.70476136147215573</v>
      </c>
      <c r="W195" s="251">
        <f t="shared" si="47"/>
        <v>18.005970336000001</v>
      </c>
      <c r="X195" s="242">
        <f t="shared" si="52"/>
        <v>10.970479652799535</v>
      </c>
      <c r="Y195" s="273">
        <f t="shared" si="53"/>
        <v>2.6312009792261382</v>
      </c>
      <c r="AB195" s="251">
        <f>SUM('BD Feedstock'!C193,'BD Feedstock'!E193,'BD Feedstock'!G193,'BD Feedstock'!K193,'BD Feedstock'!T193)</f>
        <v>21.812796010427753</v>
      </c>
      <c r="AC195" s="251">
        <f>SUM('BD Feedstock'!D193,'BD Feedstock'!F193,'BD Feedstock'!H193,'BD Feedstock'!I193,'BD Feedstock'!L193,'BD Feedstock'!M193,'BD Feedstock'!N193,'BD Feedstock'!O193,'BD Feedstock'!U193)</f>
        <v>12.773566250859661</v>
      </c>
      <c r="AD195" s="251">
        <f>'BD Feedstock'!J193</f>
        <v>0.90199999999999991</v>
      </c>
      <c r="AE195" s="251">
        <f>SUM('BD Feedstock'!B193,'BD Feedstock'!P193,'BD Feedstock'!Q193,'BD Feedstock'!R193)</f>
        <v>70.93020833333334</v>
      </c>
      <c r="AF195" s="251">
        <f>'BD Feedstock'!S193</f>
        <v>1.40625</v>
      </c>
      <c r="AG195" s="251">
        <f t="shared" si="41"/>
        <v>107.82482059462075</v>
      </c>
      <c r="AK195" s="237">
        <f t="shared" si="70"/>
        <v>0.20229846792359021</v>
      </c>
      <c r="AL195" s="237">
        <f t="shared" si="70"/>
        <v>0.11846591703484753</v>
      </c>
      <c r="AM195" s="237">
        <f t="shared" si="70"/>
        <v>8.3654208282077092E-3</v>
      </c>
      <c r="AN195" s="237">
        <f t="shared" si="70"/>
        <v>0.65782820636449979</v>
      </c>
      <c r="AO195" s="237">
        <f t="shared" si="70"/>
        <v>1.304198784885487E-2</v>
      </c>
      <c r="AP195" s="237">
        <f t="shared" si="42"/>
        <v>1</v>
      </c>
      <c r="AQ195" s="237"/>
      <c r="AR195" s="237">
        <f t="shared" si="43"/>
        <v>0.61464645366918802</v>
      </c>
      <c r="AS195" s="237">
        <f t="shared" si="44"/>
        <v>0.35993676340465403</v>
      </c>
      <c r="AT195" s="237">
        <f t="shared" si="45"/>
        <v>2.5416782926158003E-2</v>
      </c>
      <c r="AU195" s="237">
        <f t="shared" si="72"/>
        <v>0.98055959563958928</v>
      </c>
      <c r="AV195" s="237">
        <f t="shared" si="72"/>
        <v>1.9440404360410696E-2</v>
      </c>
      <c r="AX195" s="251">
        <f t="shared" si="54"/>
        <v>3205.9959023384845</v>
      </c>
      <c r="AY195" s="251">
        <f t="shared" si="55"/>
        <v>1877.4301579186754</v>
      </c>
      <c r="AZ195" s="251">
        <f t="shared" si="56"/>
        <v>132.57393974284059</v>
      </c>
      <c r="BA195" s="251">
        <f t="shared" si="57"/>
        <v>82743.540918451108</v>
      </c>
      <c r="BB195" s="251">
        <f t="shared" si="58"/>
        <v>1640.4590815488918</v>
      </c>
      <c r="BC195" s="251">
        <f t="shared" si="66"/>
        <v>89600</v>
      </c>
      <c r="BD195" s="270">
        <f t="shared" si="74"/>
        <v>10.970479652799535</v>
      </c>
      <c r="BE195" s="251">
        <f t="shared" si="83"/>
        <v>5216</v>
      </c>
      <c r="BF195" s="251">
        <f t="shared" si="77"/>
        <v>84384</v>
      </c>
      <c r="BG195" s="251">
        <f>Data!T60</f>
        <v>5216</v>
      </c>
      <c r="BH195" s="251">
        <f>Data!S60</f>
        <v>84384</v>
      </c>
      <c r="BI195" s="270">
        <f t="shared" si="62"/>
        <v>10.970479652799535</v>
      </c>
      <c r="BJ195" s="13">
        <v>1134.1131140385305</v>
      </c>
      <c r="BK195" s="13">
        <v>18766.580754834053</v>
      </c>
      <c r="BM195" s="13">
        <f t="shared" si="86"/>
        <v>0</v>
      </c>
      <c r="BN195" s="13">
        <f t="shared" si="84"/>
        <v>0</v>
      </c>
      <c r="BP195" s="252">
        <f>'Total RD Feedstock'!F105</f>
        <v>8.3392786735733964</v>
      </c>
      <c r="BQ195" s="252">
        <f t="shared" si="80"/>
        <v>-2.6312009792261382</v>
      </c>
      <c r="BS195" s="274">
        <f t="shared" si="88"/>
        <v>3.5781204267170588E-2</v>
      </c>
      <c r="BT195" s="274">
        <f t="shared" si="88"/>
        <v>2.0953461583913788E-2</v>
      </c>
      <c r="BU195" s="274">
        <f t="shared" si="88"/>
        <v>1.4796198632013458E-3</v>
      </c>
      <c r="BV195" s="274">
        <f t="shared" si="88"/>
        <v>0.92347701917914182</v>
      </c>
      <c r="BW195" s="274">
        <f t="shared" si="88"/>
        <v>1.8308695106572452E-2</v>
      </c>
      <c r="BY195" s="252">
        <f t="shared" si="81"/>
        <v>0.39253697336565879</v>
      </c>
      <c r="BZ195" s="252">
        <f t="shared" si="79"/>
        <v>0.22986952396204291</v>
      </c>
      <c r="CA195" s="252">
        <f t="shared" si="79"/>
        <v>1.6232139603128394E-2</v>
      </c>
      <c r="CB195" s="252">
        <f t="shared" si="79"/>
        <v>10.13098584873274</v>
      </c>
      <c r="CC195" s="252">
        <f t="shared" si="79"/>
        <v>0.20085516713596349</v>
      </c>
    </row>
    <row r="196" spans="1:81">
      <c r="A196" s="11">
        <v>45597</v>
      </c>
      <c r="B196" s="268">
        <v>70</v>
      </c>
      <c r="C196" s="268">
        <v>13</v>
      </c>
      <c r="D196" s="268">
        <f t="shared" si="71"/>
        <v>20</v>
      </c>
      <c r="E196" s="268">
        <v>3</v>
      </c>
      <c r="F196" s="269">
        <v>0.2</v>
      </c>
      <c r="G196" s="269">
        <v>1.32</v>
      </c>
      <c r="H196" s="269"/>
      <c r="I196" s="269">
        <v>5</v>
      </c>
      <c r="J196" s="269"/>
      <c r="K196" s="269"/>
      <c r="L196" s="269"/>
      <c r="M196" s="269">
        <f t="shared" si="65"/>
        <v>1.5</v>
      </c>
      <c r="N196" s="269">
        <v>45</v>
      </c>
      <c r="O196" s="269">
        <f t="shared" si="85"/>
        <v>17.699535849485258</v>
      </c>
      <c r="Q196" s="251">
        <f t="shared" si="46"/>
        <v>176.71953584948523</v>
      </c>
      <c r="R196" s="251">
        <f>'RD Plant List'!N64</f>
        <v>49</v>
      </c>
      <c r="S196" s="251">
        <f>SUM(B196:O196)+'RD Plant List'!N64</f>
        <v>225.71953584948523</v>
      </c>
      <c r="T196" s="237">
        <f t="shared" si="82"/>
        <v>0.2170835582112586</v>
      </c>
      <c r="U196" s="251">
        <f>'Renewable Fuel Ex Ethanol'!M32*'Renewable Fuel Ex Ethanol'!$I$121*12/1000000</f>
        <v>298.23339388560004</v>
      </c>
      <c r="V196" s="271">
        <f t="shared" si="87"/>
        <v>0.76470674873213484</v>
      </c>
      <c r="W196" s="251">
        <f t="shared" si="47"/>
        <v>24.852782823800002</v>
      </c>
      <c r="X196" s="242">
        <f t="shared" si="52"/>
        <v>7.8253986980385752</v>
      </c>
      <c r="Y196" s="273">
        <f t="shared" si="53"/>
        <v>-0.56018627888493722</v>
      </c>
      <c r="AB196" s="251">
        <f>SUM('BD Feedstock'!C194,'BD Feedstock'!E194,'BD Feedstock'!G194,'BD Feedstock'!K194,'BD Feedstock'!T194)</f>
        <v>21.812796010427753</v>
      </c>
      <c r="AC196" s="251">
        <f>SUM('BD Feedstock'!D194,'BD Feedstock'!F194,'BD Feedstock'!H194,'BD Feedstock'!I194,'BD Feedstock'!L194,'BD Feedstock'!M194,'BD Feedstock'!N194,'BD Feedstock'!O194,'BD Feedstock'!U194)</f>
        <v>12.773566250859661</v>
      </c>
      <c r="AD196" s="251">
        <f>'BD Feedstock'!J194</f>
        <v>0.90199999999999991</v>
      </c>
      <c r="AE196" s="251">
        <f>SUM('BD Feedstock'!B194,'BD Feedstock'!P194,'BD Feedstock'!Q194,'BD Feedstock'!R194)</f>
        <v>70.93020833333334</v>
      </c>
      <c r="AF196" s="251">
        <f>'BD Feedstock'!S194</f>
        <v>1.40625</v>
      </c>
      <c r="AG196" s="251">
        <f t="shared" si="41"/>
        <v>107.82482059462075</v>
      </c>
      <c r="AK196" s="237">
        <f t="shared" si="70"/>
        <v>0.20229846792359021</v>
      </c>
      <c r="AL196" s="237">
        <f t="shared" si="70"/>
        <v>0.11846591703484753</v>
      </c>
      <c r="AM196" s="237">
        <f t="shared" si="70"/>
        <v>8.3654208282077092E-3</v>
      </c>
      <c r="AN196" s="237">
        <f t="shared" si="70"/>
        <v>0.65782820636449979</v>
      </c>
      <c r="AO196" s="237">
        <f t="shared" si="70"/>
        <v>1.304198784885487E-2</v>
      </c>
      <c r="AP196" s="237">
        <f t="shared" si="42"/>
        <v>1</v>
      </c>
      <c r="AQ196" s="237"/>
      <c r="AR196" s="237">
        <f t="shared" si="43"/>
        <v>0.61464645366918802</v>
      </c>
      <c r="AS196" s="237">
        <f t="shared" si="44"/>
        <v>0.35993676340465403</v>
      </c>
      <c r="AT196" s="237">
        <f t="shared" si="45"/>
        <v>2.5416782926158003E-2</v>
      </c>
      <c r="AU196" s="237">
        <f t="shared" si="72"/>
        <v>0.98055959563958928</v>
      </c>
      <c r="AV196" s="237">
        <f t="shared" si="72"/>
        <v>1.9440404360410696E-2</v>
      </c>
      <c r="AX196" s="251">
        <f t="shared" si="54"/>
        <v>2868.5549992741003</v>
      </c>
      <c r="AY196" s="251">
        <f t="shared" si="55"/>
        <v>1679.8248748095202</v>
      </c>
      <c r="AZ196" s="251">
        <f t="shared" si="56"/>
        <v>118.62012591637904</v>
      </c>
      <c r="BA196" s="251">
        <f t="shared" si="57"/>
        <v>81924.773656092046</v>
      </c>
      <c r="BB196" s="251">
        <f t="shared" si="58"/>
        <v>1624.2263439079543</v>
      </c>
      <c r="BC196" s="251">
        <f t="shared" si="66"/>
        <v>88216</v>
      </c>
      <c r="BD196" s="270">
        <f t="shared" si="74"/>
        <v>7.8253986980385752</v>
      </c>
      <c r="BE196" s="251">
        <f t="shared" si="83"/>
        <v>4667</v>
      </c>
      <c r="BF196" s="251">
        <f t="shared" si="77"/>
        <v>83549</v>
      </c>
      <c r="BG196" s="251">
        <f>Data!T61</f>
        <v>4667</v>
      </c>
      <c r="BH196" s="251">
        <f>Data!S61</f>
        <v>83549</v>
      </c>
      <c r="BI196" s="270">
        <f t="shared" si="62"/>
        <v>7.8253986980385752</v>
      </c>
      <c r="BJ196" s="13">
        <v>2119.5560535080922</v>
      </c>
      <c r="BK196" s="13">
        <v>33866.258669288625</v>
      </c>
      <c r="BM196" s="13">
        <f t="shared" si="86"/>
        <v>0</v>
      </c>
      <c r="BN196" s="13">
        <f t="shared" si="84"/>
        <v>0</v>
      </c>
      <c r="BP196" s="252">
        <f>'Total RD Feedstock'!F106</f>
        <v>8.3855849769235125</v>
      </c>
      <c r="BQ196" s="252">
        <f t="shared" si="80"/>
        <v>0.56018627888493722</v>
      </c>
      <c r="BS196" s="274">
        <f t="shared" si="88"/>
        <v>3.2517400463341117E-2</v>
      </c>
      <c r="BT196" s="274">
        <f t="shared" si="88"/>
        <v>1.9042179137679336E-2</v>
      </c>
      <c r="BU196" s="274">
        <f t="shared" si="88"/>
        <v>1.3446554583791948E-3</v>
      </c>
      <c r="BV196" s="274">
        <f t="shared" si="88"/>
        <v>0.92868384030212259</v>
      </c>
      <c r="BW196" s="274">
        <f t="shared" si="88"/>
        <v>1.8411924638477763E-2</v>
      </c>
      <c r="BY196" s="252">
        <f t="shared" si="81"/>
        <v>0.25446162324942856</v>
      </c>
      <c r="BZ196" s="252">
        <f t="shared" si="79"/>
        <v>0.14901264383181317</v>
      </c>
      <c r="CA196" s="252">
        <f t="shared" si="79"/>
        <v>1.0522465073311013E-2</v>
      </c>
      <c r="CB196" s="252">
        <f t="shared" si="79"/>
        <v>7.2673213147896938</v>
      </c>
      <c r="CC196" s="252">
        <f t="shared" si="79"/>
        <v>0.14408065109432824</v>
      </c>
    </row>
    <row r="197" spans="1:81">
      <c r="A197" s="11">
        <v>45627</v>
      </c>
      <c r="B197" s="268">
        <v>70</v>
      </c>
      <c r="C197" s="268">
        <v>13</v>
      </c>
      <c r="D197" s="268">
        <f t="shared" si="71"/>
        <v>20</v>
      </c>
      <c r="E197" s="268">
        <v>3</v>
      </c>
      <c r="F197" s="269">
        <v>0.2</v>
      </c>
      <c r="G197" s="269">
        <v>1.32</v>
      </c>
      <c r="H197" s="269"/>
      <c r="I197" s="269">
        <v>5</v>
      </c>
      <c r="J197" s="269"/>
      <c r="K197" s="269"/>
      <c r="L197" s="269"/>
      <c r="M197" s="269">
        <f t="shared" si="65"/>
        <v>1.5</v>
      </c>
      <c r="N197" s="269">
        <v>45</v>
      </c>
      <c r="O197" s="269">
        <f t="shared" si="85"/>
        <v>17.699535849485258</v>
      </c>
      <c r="Q197" s="251">
        <f t="shared" si="46"/>
        <v>176.71953584948523</v>
      </c>
      <c r="R197" s="251">
        <f>'RD Plant List'!N65</f>
        <v>49</v>
      </c>
      <c r="S197" s="251">
        <f>SUM(B197:O197)+'RD Plant List'!N65</f>
        <v>225.71953584948523</v>
      </c>
      <c r="T197" s="237">
        <f t="shared" si="82"/>
        <v>0.2170835582112586</v>
      </c>
      <c r="U197" s="251">
        <f>'Renewable Fuel Ex Ethanol'!M33*'Renewable Fuel Ex Ethanol'!$I$121*12/1000000</f>
        <v>350.1273612096</v>
      </c>
      <c r="V197" s="271">
        <f t="shared" si="87"/>
        <v>0.69397375461028465</v>
      </c>
      <c r="W197" s="251">
        <f t="shared" si="47"/>
        <v>29.177280100800001</v>
      </c>
      <c r="X197" s="242">
        <f t="shared" si="52"/>
        <v>7.1524665012993447</v>
      </c>
      <c r="Y197" s="273">
        <f t="shared" si="53"/>
        <v>-1.1004492090103914</v>
      </c>
      <c r="AB197" s="251">
        <f>SUM('BD Feedstock'!C195,'BD Feedstock'!E195,'BD Feedstock'!G195,'BD Feedstock'!K195,'BD Feedstock'!T195)</f>
        <v>21.812796010427753</v>
      </c>
      <c r="AC197" s="251">
        <f>SUM('BD Feedstock'!D195,'BD Feedstock'!F195,'BD Feedstock'!H195,'BD Feedstock'!I195,'BD Feedstock'!L195,'BD Feedstock'!M195,'BD Feedstock'!N195,'BD Feedstock'!O195,'BD Feedstock'!U195)</f>
        <v>12.773566250859661</v>
      </c>
      <c r="AD197" s="251">
        <f>'BD Feedstock'!J195</f>
        <v>0.90199999999999991</v>
      </c>
      <c r="AE197" s="251">
        <f>SUM('BD Feedstock'!B195,'BD Feedstock'!P195,'BD Feedstock'!Q195,'BD Feedstock'!R195)</f>
        <v>70.93020833333334</v>
      </c>
      <c r="AF197" s="251">
        <f>'BD Feedstock'!S195</f>
        <v>1.40625</v>
      </c>
      <c r="AG197" s="251">
        <f t="shared" si="41"/>
        <v>107.82482059462075</v>
      </c>
      <c r="AK197" s="237">
        <f t="shared" si="70"/>
        <v>0.20229846792359021</v>
      </c>
      <c r="AL197" s="237">
        <f t="shared" si="70"/>
        <v>0.11846591703484753</v>
      </c>
      <c r="AM197" s="237">
        <f t="shared" si="70"/>
        <v>8.3654208282077092E-3</v>
      </c>
      <c r="AN197" s="237">
        <f t="shared" si="70"/>
        <v>0.65782820636449979</v>
      </c>
      <c r="AO197" s="237">
        <f t="shared" si="70"/>
        <v>1.304198784885487E-2</v>
      </c>
      <c r="AP197" s="237">
        <f t="shared" si="42"/>
        <v>1</v>
      </c>
      <c r="AQ197" s="237"/>
      <c r="AR197" s="237">
        <f t="shared" si="43"/>
        <v>0.61464645366918802</v>
      </c>
      <c r="AS197" s="237">
        <f t="shared" si="44"/>
        <v>0.35993676340465403</v>
      </c>
      <c r="AT197" s="237">
        <f t="shared" si="45"/>
        <v>2.5416782926158003E-2</v>
      </c>
      <c r="AU197" s="237">
        <f t="shared" si="72"/>
        <v>0.98055959563958928</v>
      </c>
      <c r="AV197" s="237">
        <f t="shared" si="72"/>
        <v>1.9440404360410696E-2</v>
      </c>
      <c r="AX197" s="251">
        <f t="shared" si="54"/>
        <v>1349.1489658038677</v>
      </c>
      <c r="AY197" s="251">
        <f t="shared" si="55"/>
        <v>790.06119567321559</v>
      </c>
      <c r="AZ197" s="251">
        <f t="shared" si="56"/>
        <v>55.789838522916853</v>
      </c>
      <c r="BA197" s="251">
        <f t="shared" si="57"/>
        <v>90667.443010814619</v>
      </c>
      <c r="BB197" s="251">
        <f t="shared" si="58"/>
        <v>1797.5569891853811</v>
      </c>
      <c r="BC197" s="251">
        <f t="shared" si="66"/>
        <v>94660</v>
      </c>
      <c r="BD197" s="270">
        <f t="shared" si="74"/>
        <v>7.1524665012993447</v>
      </c>
      <c r="BE197" s="251">
        <f t="shared" si="83"/>
        <v>2195</v>
      </c>
      <c r="BF197" s="251">
        <f t="shared" si="77"/>
        <v>92465</v>
      </c>
      <c r="BG197" s="251">
        <f>Data!T62</f>
        <v>2195</v>
      </c>
      <c r="BH197" s="251">
        <f>Data!S62</f>
        <v>92465</v>
      </c>
      <c r="BI197" s="270">
        <f t="shared" si="62"/>
        <v>7.1524665012993447</v>
      </c>
      <c r="BJ197" s="13">
        <v>3936.9851327106608</v>
      </c>
      <c r="BK197" s="13">
        <v>14246.96951831867</v>
      </c>
      <c r="BM197" s="13">
        <f t="shared" si="86"/>
        <v>0</v>
      </c>
      <c r="BN197" s="13">
        <f t="shared" si="84"/>
        <v>0</v>
      </c>
      <c r="BP197" s="252">
        <f>'Total RD Feedstock'!F107</f>
        <v>8.2529157103097361</v>
      </c>
      <c r="BQ197" s="252">
        <f t="shared" si="80"/>
        <v>1.1004492090103914</v>
      </c>
      <c r="BS197" s="274">
        <f t="shared" si="88"/>
        <v>1.425257728506093E-2</v>
      </c>
      <c r="BT197" s="274">
        <f t="shared" si="88"/>
        <v>8.346304623634223E-3</v>
      </c>
      <c r="BU197" s="274">
        <f t="shared" si="88"/>
        <v>5.8937078515652712E-4</v>
      </c>
      <c r="BV197" s="274">
        <f t="shared" si="88"/>
        <v>0.95782213195451738</v>
      </c>
      <c r="BW197" s="274">
        <f t="shared" si="88"/>
        <v>1.8989615351630903E-2</v>
      </c>
      <c r="BY197" s="252">
        <f t="shared" si="81"/>
        <v>0.10194108158857827</v>
      </c>
      <c r="BZ197" s="252">
        <f t="shared" si="79"/>
        <v>5.9696664230183626E-2</v>
      </c>
      <c r="CA197" s="252">
        <f t="shared" si="79"/>
        <v>4.2154547976765528E-3</v>
      </c>
      <c r="CB197" s="252">
        <f t="shared" si="79"/>
        <v>6.8507907130078074</v>
      </c>
      <c r="CC197" s="252">
        <f t="shared" si="79"/>
        <v>0.1358225876750998</v>
      </c>
    </row>
    <row r="198" spans="1:81">
      <c r="A198" s="11">
        <v>45658</v>
      </c>
      <c r="B198" s="268">
        <v>70</v>
      </c>
      <c r="C198" s="268">
        <v>13</v>
      </c>
      <c r="D198" s="268">
        <f t="shared" si="71"/>
        <v>20</v>
      </c>
      <c r="E198" s="268">
        <v>3</v>
      </c>
      <c r="F198" s="269">
        <v>0.2</v>
      </c>
      <c r="G198" s="269">
        <v>1.32</v>
      </c>
      <c r="H198" s="269"/>
      <c r="I198" s="269">
        <v>5</v>
      </c>
      <c r="J198" s="269"/>
      <c r="K198" s="269"/>
      <c r="L198" s="269"/>
      <c r="M198" s="269">
        <f t="shared" si="65"/>
        <v>1.5</v>
      </c>
      <c r="N198" s="269">
        <v>45</v>
      </c>
      <c r="O198" s="269">
        <f t="shared" si="85"/>
        <v>17.699535849485258</v>
      </c>
      <c r="Q198" s="251">
        <f t="shared" si="46"/>
        <v>176.71953584948523</v>
      </c>
      <c r="R198" s="251">
        <f>'RD Plant List'!N66</f>
        <v>49</v>
      </c>
      <c r="S198" s="251">
        <f>SUM(B198:O198)+'RD Plant List'!N66</f>
        <v>225.71953584948523</v>
      </c>
      <c r="T198" s="237">
        <f t="shared" si="82"/>
        <v>0.2170835582112586</v>
      </c>
      <c r="U198" s="251">
        <f>'Renewable Fuel Ex Ethanol'!N22*'Renewable Fuel Ex Ethanol'!$I$121*12/1000000</f>
        <v>120.5924502732</v>
      </c>
      <c r="V198" s="271">
        <f>AVERAGE(V174,V162,V186,V150,V138)</f>
        <v>0.57919991030785045</v>
      </c>
      <c r="W198" s="251">
        <f t="shared" si="47"/>
        <v>10.049370856099999</v>
      </c>
      <c r="X198" s="242">
        <f>(BC198*2204.622)/(W198*1000000)</f>
        <v>5.1016611232811533</v>
      </c>
      <c r="Y198" s="273">
        <f t="shared" si="53"/>
        <v>-3.4894440690995454</v>
      </c>
      <c r="AB198" s="251">
        <f>SUM('BD Feedstock'!C196,'BD Feedstock'!E196,'BD Feedstock'!G196,'BD Feedstock'!K196,'BD Feedstock'!T196)</f>
        <v>21.812796010427753</v>
      </c>
      <c r="AC198" s="251">
        <f>SUM('BD Feedstock'!D196,'BD Feedstock'!F196,'BD Feedstock'!H196,'BD Feedstock'!I196,'BD Feedstock'!L196,'BD Feedstock'!M196,'BD Feedstock'!N196,'BD Feedstock'!O196,'BD Feedstock'!U196)</f>
        <v>12.773566250859661</v>
      </c>
      <c r="AD198" s="251">
        <f>'BD Feedstock'!J196</f>
        <v>0.90199999999999991</v>
      </c>
      <c r="AE198" s="251">
        <f>SUM('BD Feedstock'!B196,'BD Feedstock'!P196,'BD Feedstock'!Q196,'BD Feedstock'!R196)</f>
        <v>70.93020833333334</v>
      </c>
      <c r="AF198" s="251">
        <f>'BD Feedstock'!S196</f>
        <v>1.40625</v>
      </c>
      <c r="AG198" s="251">
        <f t="shared" si="41"/>
        <v>107.82482059462075</v>
      </c>
      <c r="AK198" s="237">
        <f t="shared" si="70"/>
        <v>0.20229846792359021</v>
      </c>
      <c r="AL198" s="237">
        <f t="shared" si="70"/>
        <v>0.11846591703484753</v>
      </c>
      <c r="AM198" s="237">
        <f t="shared" si="70"/>
        <v>8.3654208282077092E-3</v>
      </c>
      <c r="AN198" s="237">
        <f t="shared" si="70"/>
        <v>0.65782820636449979</v>
      </c>
      <c r="AO198" s="237">
        <f t="shared" si="70"/>
        <v>1.304198784885487E-2</v>
      </c>
      <c r="AP198" s="237">
        <f t="shared" si="42"/>
        <v>1</v>
      </c>
      <c r="AQ198" s="237"/>
      <c r="AR198" s="237">
        <f t="shared" si="43"/>
        <v>0.61464645366918802</v>
      </c>
      <c r="AS198" s="237">
        <f t="shared" si="44"/>
        <v>0.35993676340465403</v>
      </c>
      <c r="AT198" s="237">
        <f t="shared" si="45"/>
        <v>2.5416782926158003E-2</v>
      </c>
      <c r="AU198" s="237">
        <f t="shared" si="72"/>
        <v>0.98055959563958928</v>
      </c>
      <c r="AV198" s="237">
        <f t="shared" si="72"/>
        <v>1.9440404360410696E-2</v>
      </c>
      <c r="AX198" s="251">
        <f t="shared" si="54"/>
        <v>1111.8954346875612</v>
      </c>
      <c r="AY198" s="251">
        <f t="shared" si="55"/>
        <v>651.12560499901917</v>
      </c>
      <c r="AZ198" s="251">
        <f>BG198-SUM(AX198:AY198)</f>
        <v>45.97896031341952</v>
      </c>
      <c r="BA198" s="251">
        <f t="shared" si="57"/>
        <v>21029.08108808663</v>
      </c>
      <c r="BB198" s="251">
        <f t="shared" si="58"/>
        <v>416.91891191336981</v>
      </c>
      <c r="BC198" s="251">
        <f t="shared" si="66"/>
        <v>23255</v>
      </c>
      <c r="BD198" s="270">
        <f t="shared" si="74"/>
        <v>5.1016611232811524</v>
      </c>
      <c r="BE198" s="251">
        <f t="shared" si="83"/>
        <v>1809</v>
      </c>
      <c r="BF198" s="251">
        <f t="shared" si="77"/>
        <v>21446</v>
      </c>
      <c r="BG198" s="251">
        <f>Data!T63</f>
        <v>1809</v>
      </c>
      <c r="BH198" s="251">
        <f>Data!S63</f>
        <v>21446</v>
      </c>
      <c r="BI198" s="270">
        <f t="shared" si="62"/>
        <v>5.1016611232811524</v>
      </c>
      <c r="BJ198" s="13">
        <v>3328.5541350203239</v>
      </c>
      <c r="BK198" s="13">
        <v>-15311.443513919632</v>
      </c>
      <c r="BM198" s="13">
        <f t="shared" si="86"/>
        <v>0</v>
      </c>
      <c r="BN198" s="13">
        <f t="shared" si="84"/>
        <v>0</v>
      </c>
      <c r="BP198" s="252">
        <f>'Total RD Feedstock'!G96</f>
        <v>8.5911051923806987</v>
      </c>
      <c r="BQ198" s="252">
        <f t="shared" si="80"/>
        <v>3.4894440690995463</v>
      </c>
      <c r="BS198" s="274">
        <f t="shared" si="88"/>
        <v>4.7813177152765479E-2</v>
      </c>
      <c r="BT198" s="274">
        <f t="shared" si="88"/>
        <v>2.7999380993292591E-2</v>
      </c>
      <c r="BU198" s="274">
        <f t="shared" si="88"/>
        <v>1.9771644942343375E-3</v>
      </c>
      <c r="BV198" s="274">
        <f t="shared" si="88"/>
        <v>0.90428213666250834</v>
      </c>
      <c r="BW198" s="274">
        <f t="shared" si="88"/>
        <v>1.7928140697199304E-2</v>
      </c>
      <c r="BY198" s="252">
        <f t="shared" si="81"/>
        <v>0.24392662706081827</v>
      </c>
      <c r="BZ198" s="252">
        <f t="shared" si="79"/>
        <v>0.14284335348941801</v>
      </c>
      <c r="CA198" s="252">
        <f t="shared" si="79"/>
        <v>1.0086823234567163E-2</v>
      </c>
      <c r="CB198" s="252">
        <f t="shared" si="79"/>
        <v>4.6133410210887327</v>
      </c>
      <c r="CC198" s="252">
        <f t="shared" si="79"/>
        <v>9.1463298407616342E-2</v>
      </c>
    </row>
    <row r="199" spans="1:81">
      <c r="A199" s="11">
        <v>45689</v>
      </c>
      <c r="B199" s="268">
        <v>70</v>
      </c>
      <c r="C199" s="268">
        <v>13</v>
      </c>
      <c r="D199" s="268">
        <f t="shared" si="71"/>
        <v>20</v>
      </c>
      <c r="E199" s="268">
        <v>3</v>
      </c>
      <c r="F199" s="269">
        <v>0.2</v>
      </c>
      <c r="G199" s="269">
        <v>1.32</v>
      </c>
      <c r="H199" s="269"/>
      <c r="I199" s="269">
        <v>5</v>
      </c>
      <c r="J199" s="269"/>
      <c r="K199" s="269"/>
      <c r="L199" s="269"/>
      <c r="M199" s="269">
        <f t="shared" si="65"/>
        <v>1.5</v>
      </c>
      <c r="N199" s="269">
        <v>45</v>
      </c>
      <c r="O199" s="269">
        <f t="shared" si="85"/>
        <v>17.699535849485258</v>
      </c>
      <c r="Q199" s="251">
        <f t="shared" si="46"/>
        <v>176.71953584948523</v>
      </c>
      <c r="R199" s="251">
        <f>'RD Plant List'!N67</f>
        <v>49</v>
      </c>
      <c r="S199" s="251">
        <f>SUM(B199:O199)+'RD Plant List'!N67</f>
        <v>225.71953584948523</v>
      </c>
      <c r="T199" s="237">
        <f t="shared" si="82"/>
        <v>0.2170835582112586</v>
      </c>
      <c r="U199" s="251">
        <f>'Renewable Fuel Ex Ethanol'!N23*'Renewable Fuel Ex Ethanol'!$I$121*12/1000000</f>
        <v>121.39447676879999</v>
      </c>
      <c r="V199" s="271">
        <f t="shared" ref="V199:V262" si="89">AVERAGE(V175,V163,V187,V151,V139)</f>
        <v>0.54465984251236876</v>
      </c>
      <c r="W199" s="251">
        <f t="shared" si="47"/>
        <v>10.116206397399999</v>
      </c>
      <c r="X199" s="242">
        <f t="shared" si="52"/>
        <v>7.1300065598244435</v>
      </c>
      <c r="Y199" s="273">
        <f t="shared" si="53"/>
        <v>-1.0488957292060723</v>
      </c>
      <c r="AB199" s="251">
        <f>SUM('BD Feedstock'!C197,'BD Feedstock'!E197,'BD Feedstock'!G197,'BD Feedstock'!K197,'BD Feedstock'!T197)</f>
        <v>21.812796010427753</v>
      </c>
      <c r="AC199" s="251">
        <f>SUM('BD Feedstock'!D197,'BD Feedstock'!F197,'BD Feedstock'!H197,'BD Feedstock'!I197,'BD Feedstock'!L197,'BD Feedstock'!M197,'BD Feedstock'!N197,'BD Feedstock'!O197,'BD Feedstock'!U197)</f>
        <v>12.773566250859661</v>
      </c>
      <c r="AD199" s="251">
        <f>'BD Feedstock'!J197</f>
        <v>0.90199999999999991</v>
      </c>
      <c r="AE199" s="251">
        <f>SUM('BD Feedstock'!B197,'BD Feedstock'!P197,'BD Feedstock'!Q197,'BD Feedstock'!R197)</f>
        <v>70.93020833333334</v>
      </c>
      <c r="AF199" s="251">
        <f>'BD Feedstock'!S197</f>
        <v>1.40625</v>
      </c>
      <c r="AG199" s="251">
        <f t="shared" ref="AG199:AG262" si="90">SUM(AB199:AF199)</f>
        <v>107.82482059462075</v>
      </c>
      <c r="AK199" s="237">
        <f t="shared" si="70"/>
        <v>0.20229846792359021</v>
      </c>
      <c r="AL199" s="237">
        <f t="shared" si="70"/>
        <v>0.11846591703484753</v>
      </c>
      <c r="AM199" s="237">
        <f t="shared" si="70"/>
        <v>8.3654208282077092E-3</v>
      </c>
      <c r="AN199" s="237">
        <f t="shared" si="70"/>
        <v>0.65782820636449979</v>
      </c>
      <c r="AO199" s="237">
        <f t="shared" si="70"/>
        <v>1.304198784885487E-2</v>
      </c>
      <c r="AP199" s="237">
        <f t="shared" ref="AP199:AP262" si="91">SUM(AK199:AO199)</f>
        <v>1</v>
      </c>
      <c r="AQ199" s="237"/>
      <c r="AR199" s="237">
        <f t="shared" ref="AR199:AR262" si="92">AB199/SUM($AB199:$AD199)</f>
        <v>0.61464645366918802</v>
      </c>
      <c r="AS199" s="237">
        <f t="shared" ref="AS199:AS262" si="93">AC199/SUM($AB199:$AD199)</f>
        <v>0.35993676340465403</v>
      </c>
      <c r="AT199" s="237">
        <f t="shared" ref="AT199:AT262" si="94">AD199/SUM($AB199:$AD199)</f>
        <v>2.5416782926158003E-2</v>
      </c>
      <c r="AU199" s="237">
        <f t="shared" si="72"/>
        <v>0.98055959563958928</v>
      </c>
      <c r="AV199" s="237">
        <f t="shared" si="72"/>
        <v>1.9440404360410696E-2</v>
      </c>
      <c r="AX199" s="251">
        <f t="shared" si="54"/>
        <v>1993.913095702846</v>
      </c>
      <c r="AY199" s="251">
        <f t="shared" si="55"/>
        <v>1167.6348604846976</v>
      </c>
      <c r="AZ199" s="251">
        <f t="shared" si="56"/>
        <v>82.452043812456395</v>
      </c>
      <c r="BA199" s="251">
        <f t="shared" si="57"/>
        <v>28900.032962285615</v>
      </c>
      <c r="BB199" s="251">
        <f t="shared" si="58"/>
        <v>572.96703771438479</v>
      </c>
      <c r="BC199" s="251">
        <f t="shared" si="66"/>
        <v>32717</v>
      </c>
      <c r="BD199" s="270">
        <f t="shared" si="74"/>
        <v>7.1300065598244435</v>
      </c>
      <c r="BE199" s="251">
        <f t="shared" si="83"/>
        <v>3244</v>
      </c>
      <c r="BF199" s="251">
        <f>BA199+BB199</f>
        <v>29473</v>
      </c>
      <c r="BG199" s="251">
        <f>Data!T64</f>
        <v>3244</v>
      </c>
      <c r="BH199" s="251">
        <f>Data!S64</f>
        <v>29473</v>
      </c>
      <c r="BI199" s="270">
        <f t="shared" si="62"/>
        <v>7.1300065598244435</v>
      </c>
      <c r="BJ199" s="13">
        <v>1588.4758864341966</v>
      </c>
      <c r="BK199" s="13">
        <v>38380.59860170586</v>
      </c>
      <c r="BM199" s="13">
        <f t="shared" si="86"/>
        <v>0</v>
      </c>
      <c r="BN199" s="13">
        <f t="shared" si="84"/>
        <v>0</v>
      </c>
      <c r="BP199" s="252">
        <f>'Total RD Feedstock'!G97</f>
        <v>8.1789022890305159</v>
      </c>
      <c r="BQ199" s="252">
        <f t="shared" si="80"/>
        <v>1.0488957292060723</v>
      </c>
      <c r="BS199" s="274">
        <f t="shared" si="88"/>
        <v>6.0944252092271479E-2</v>
      </c>
      <c r="BT199" s="274">
        <f t="shared" si="88"/>
        <v>3.568893420804773E-2</v>
      </c>
      <c r="BU199" s="274">
        <f t="shared" si="88"/>
        <v>2.5201590553063057E-3</v>
      </c>
      <c r="BV199" s="274">
        <f t="shared" si="88"/>
        <v>0.88333383141136457</v>
      </c>
      <c r="BW199" s="274">
        <f t="shared" si="88"/>
        <v>1.7512823233009896E-2</v>
      </c>
      <c r="BY199" s="252">
        <f>(AX199*2204.622)/($W199*1000000)</f>
        <v>0.43453291720149023</v>
      </c>
      <c r="BZ199" s="252">
        <f t="shared" si="79"/>
        <v>0.25446233501652327</v>
      </c>
      <c r="CA199" s="252">
        <f t="shared" si="79"/>
        <v>1.7968750596134928E-2</v>
      </c>
      <c r="CB199" s="252">
        <f t="shared" si="79"/>
        <v>6.2981760124778887</v>
      </c>
      <c r="CC199" s="252">
        <f t="shared" si="79"/>
        <v>0.12486654453240649</v>
      </c>
    </row>
    <row r="200" spans="1:81">
      <c r="A200" s="11">
        <v>45717</v>
      </c>
      <c r="B200" s="268">
        <v>70</v>
      </c>
      <c r="C200" s="268">
        <v>13</v>
      </c>
      <c r="D200" s="268">
        <f t="shared" si="71"/>
        <v>20</v>
      </c>
      <c r="E200" s="268">
        <v>3</v>
      </c>
      <c r="F200" s="269">
        <v>0.2</v>
      </c>
      <c r="G200" s="269">
        <v>1.32</v>
      </c>
      <c r="H200" s="269"/>
      <c r="I200" s="269">
        <v>5</v>
      </c>
      <c r="J200" s="269"/>
      <c r="K200" s="269"/>
      <c r="L200" s="269"/>
      <c r="M200" s="269">
        <f t="shared" si="65"/>
        <v>1.5</v>
      </c>
      <c r="N200" s="269">
        <v>45</v>
      </c>
      <c r="O200" s="269">
        <f t="shared" si="85"/>
        <v>17.699535849485258</v>
      </c>
      <c r="Q200" s="251">
        <f t="shared" ref="Q200:Q263" si="95">SUM(B200:O200)</f>
        <v>176.71953584948523</v>
      </c>
      <c r="R200" s="251">
        <f>'RD Plant List'!N68</f>
        <v>49</v>
      </c>
      <c r="S200" s="251">
        <f>SUM(B200:O200)+'RD Plant List'!N68</f>
        <v>225.71953584948523</v>
      </c>
      <c r="T200" s="237">
        <f t="shared" si="82"/>
        <v>0.2170835582112586</v>
      </c>
      <c r="U200" s="251">
        <f>'Renewable Fuel Ex Ethanol'!N24*'Renewable Fuel Ex Ethanol'!$I$121*12/1000000</f>
        <v>311.10897062318924</v>
      </c>
      <c r="V200" s="271">
        <f t="shared" si="89"/>
        <v>0.59090673034021091</v>
      </c>
      <c r="W200" s="251">
        <f t="shared" si="47"/>
        <v>25.925747551932435</v>
      </c>
      <c r="X200" s="242">
        <f t="shared" si="52"/>
        <v>7.5169847969424888</v>
      </c>
      <c r="Y200" s="273">
        <f t="shared" si="53"/>
        <v>7.5169847969424888</v>
      </c>
      <c r="AB200" s="251">
        <f>SUM('BD Feedstock'!C198,'BD Feedstock'!E198,'BD Feedstock'!G198,'BD Feedstock'!K198,'BD Feedstock'!T198)</f>
        <v>21.812796010427753</v>
      </c>
      <c r="AC200" s="251">
        <f>SUM('BD Feedstock'!D198,'BD Feedstock'!F198,'BD Feedstock'!H198,'BD Feedstock'!I198,'BD Feedstock'!L198,'BD Feedstock'!M198,'BD Feedstock'!N198,'BD Feedstock'!O198,'BD Feedstock'!U198)</f>
        <v>12.773566250859661</v>
      </c>
      <c r="AD200" s="251">
        <f>'BD Feedstock'!J198</f>
        <v>0.90199999999999991</v>
      </c>
      <c r="AE200" s="251">
        <f>SUM('BD Feedstock'!B198,'BD Feedstock'!P198,'BD Feedstock'!Q198,'BD Feedstock'!R198)</f>
        <v>70.93020833333334</v>
      </c>
      <c r="AF200" s="251">
        <f>'BD Feedstock'!S198</f>
        <v>1.40625</v>
      </c>
      <c r="AG200" s="251">
        <f t="shared" si="90"/>
        <v>107.82482059462075</v>
      </c>
      <c r="AK200" s="237">
        <f t="shared" si="70"/>
        <v>0.20229846792359021</v>
      </c>
      <c r="AL200" s="237">
        <f t="shared" si="70"/>
        <v>0.11846591703484753</v>
      </c>
      <c r="AM200" s="237">
        <f t="shared" si="70"/>
        <v>8.3654208282077092E-3</v>
      </c>
      <c r="AN200" s="237">
        <f t="shared" si="70"/>
        <v>0.65782820636449979</v>
      </c>
      <c r="AO200" s="237">
        <f t="shared" si="70"/>
        <v>1.304198784885487E-2</v>
      </c>
      <c r="AP200" s="237">
        <f t="shared" si="91"/>
        <v>1</v>
      </c>
      <c r="AQ200" s="237"/>
      <c r="AR200" s="237">
        <f t="shared" si="92"/>
        <v>0.61464645366918802</v>
      </c>
      <c r="AS200" s="237">
        <f t="shared" si="93"/>
        <v>0.35993676340465403</v>
      </c>
      <c r="AT200" s="237">
        <f t="shared" si="94"/>
        <v>2.5416782926158003E-2</v>
      </c>
      <c r="AU200" s="237">
        <f t="shared" si="72"/>
        <v>0.98055959563958928</v>
      </c>
      <c r="AV200" s="237">
        <f t="shared" si="72"/>
        <v>1.9440404360410696E-2</v>
      </c>
      <c r="AX200" s="251">
        <f>AVERAGE(BY194:BY199)*$W200/2204.622*1000000</f>
        <v>3304.5606314421134</v>
      </c>
      <c r="AY200" s="251">
        <f>AVERAGE(BZ194:BZ199)*$W200/2204.622*1000000</f>
        <v>1935.1496312315578</v>
      </c>
      <c r="AZ200" s="251">
        <f>AVERAGE(CA194:CA199)*$W200/2204.622*1000000</f>
        <v>136.64977603677369</v>
      </c>
      <c r="BA200" s="251">
        <f>AVERAGE(CB194:CB199)*$W200/2204.622*1000000</f>
        <v>81407.343088717258</v>
      </c>
      <c r="BB200" s="251">
        <f>AVERAGE(CC194:CC199)*$W200/2204.622*1000000</f>
        <v>1613.9678552827502</v>
      </c>
      <c r="BC200" s="251">
        <f t="shared" si="66"/>
        <v>88397.67098271045</v>
      </c>
      <c r="BD200" s="270">
        <f t="shared" si="74"/>
        <v>7.5169847969424888</v>
      </c>
      <c r="BY200" s="252">
        <f t="shared" si="81"/>
        <v>0.28100663457506153</v>
      </c>
      <c r="BZ200" s="252">
        <f t="shared" si="79"/>
        <v>0.16455739383248691</v>
      </c>
      <c r="CA200" s="252">
        <f t="shared" si="79"/>
        <v>1.1620151046456088E-2</v>
      </c>
      <c r="CB200" s="252">
        <f t="shared" si="79"/>
        <v>6.9225552387806317</v>
      </c>
      <c r="CC200" s="252">
        <f t="shared" si="79"/>
        <v>0.13724537870785328</v>
      </c>
    </row>
    <row r="201" spans="1:81">
      <c r="A201" s="11">
        <v>45748</v>
      </c>
      <c r="B201" s="268">
        <v>70</v>
      </c>
      <c r="C201" s="268">
        <v>13</v>
      </c>
      <c r="D201" s="268">
        <f t="shared" si="71"/>
        <v>20</v>
      </c>
      <c r="E201" s="268">
        <v>3</v>
      </c>
      <c r="F201" s="269">
        <v>0.2</v>
      </c>
      <c r="G201" s="269">
        <v>1.32</v>
      </c>
      <c r="H201" s="269"/>
      <c r="I201" s="269">
        <v>5</v>
      </c>
      <c r="J201" s="269"/>
      <c r="K201" s="269"/>
      <c r="L201" s="269"/>
      <c r="M201" s="269">
        <f t="shared" si="65"/>
        <v>1.5</v>
      </c>
      <c r="N201" s="269">
        <v>45</v>
      </c>
      <c r="O201" s="269">
        <f t="shared" si="85"/>
        <v>17.699535849485258</v>
      </c>
      <c r="Q201" s="251">
        <f t="shared" si="95"/>
        <v>176.71953584948523</v>
      </c>
      <c r="R201" s="251">
        <f>'RD Plant List'!N69</f>
        <v>49</v>
      </c>
      <c r="S201" s="251">
        <f>SUM(B201:O201)+'RD Plant List'!N69</f>
        <v>225.71953584948523</v>
      </c>
      <c r="T201" s="237">
        <f t="shared" si="82"/>
        <v>0.2170835582112586</v>
      </c>
      <c r="U201" s="251">
        <f>'Renewable Fuel Ex Ethanol'!N25*'Renewable Fuel Ex Ethanol'!$I$121*12/1000000</f>
        <v>280.65778887751662</v>
      </c>
      <c r="V201" s="271">
        <f t="shared" si="89"/>
        <v>0.6049584291419311</v>
      </c>
      <c r="W201" s="251">
        <f t="shared" si="47"/>
        <v>23.388149073126385</v>
      </c>
      <c r="X201" s="242">
        <f t="shared" si="52"/>
        <v>7.6161662220309223</v>
      </c>
      <c r="Y201" s="273">
        <f t="shared" si="53"/>
        <v>7.6161662220309223</v>
      </c>
      <c r="AB201" s="251">
        <f>SUM('BD Feedstock'!C199,'BD Feedstock'!E199,'BD Feedstock'!G199,'BD Feedstock'!K199,'BD Feedstock'!T199)</f>
        <v>21.812796010427753</v>
      </c>
      <c r="AC201" s="251">
        <f>SUM('BD Feedstock'!D199,'BD Feedstock'!F199,'BD Feedstock'!H199,'BD Feedstock'!I199,'BD Feedstock'!L199,'BD Feedstock'!M199,'BD Feedstock'!N199,'BD Feedstock'!O199,'BD Feedstock'!U199)</f>
        <v>12.773566250859661</v>
      </c>
      <c r="AD201" s="251">
        <f>'BD Feedstock'!J199</f>
        <v>0.90199999999999991</v>
      </c>
      <c r="AE201" s="251">
        <f>SUM('BD Feedstock'!B199,'BD Feedstock'!P199,'BD Feedstock'!Q199,'BD Feedstock'!R199)</f>
        <v>70.93020833333334</v>
      </c>
      <c r="AF201" s="251">
        <f>'BD Feedstock'!S199</f>
        <v>1.40625</v>
      </c>
      <c r="AG201" s="251">
        <f t="shared" si="90"/>
        <v>107.82482059462075</v>
      </c>
      <c r="AK201" s="237">
        <f t="shared" si="70"/>
        <v>0.20229846792359021</v>
      </c>
      <c r="AL201" s="237">
        <f t="shared" si="70"/>
        <v>0.11846591703484753</v>
      </c>
      <c r="AM201" s="237">
        <f t="shared" si="70"/>
        <v>8.3654208282077092E-3</v>
      </c>
      <c r="AN201" s="237">
        <f t="shared" si="70"/>
        <v>0.65782820636449979</v>
      </c>
      <c r="AO201" s="237">
        <f t="shared" si="70"/>
        <v>1.304198784885487E-2</v>
      </c>
      <c r="AP201" s="237">
        <f t="shared" si="91"/>
        <v>1</v>
      </c>
      <c r="AQ201" s="237"/>
      <c r="AR201" s="237">
        <f t="shared" si="92"/>
        <v>0.61464645366918802</v>
      </c>
      <c r="AS201" s="237">
        <f t="shared" si="93"/>
        <v>0.35993676340465403</v>
      </c>
      <c r="AT201" s="237">
        <f t="shared" si="94"/>
        <v>2.5416782926158003E-2</v>
      </c>
      <c r="AU201" s="237">
        <f t="shared" si="72"/>
        <v>0.98055959563958928</v>
      </c>
      <c r="AV201" s="237">
        <f t="shared" si="72"/>
        <v>1.9440404360410696E-2</v>
      </c>
      <c r="AX201" s="251">
        <f t="shared" ref="AX201:BB216" si="96">AVERAGE(BY195:BY200)*$W201/2204.622*1000000</f>
        <v>3020.6577258957154</v>
      </c>
      <c r="AY201" s="251">
        <f t="shared" si="96"/>
        <v>1768.8961820600341</v>
      </c>
      <c r="AZ201" s="251">
        <f t="shared" si="96"/>
        <v>124.90985875700679</v>
      </c>
      <c r="BA201" s="251">
        <f t="shared" si="96"/>
        <v>74407.877095762844</v>
      </c>
      <c r="BB201" s="251">
        <f t="shared" si="96"/>
        <v>1475.1976573110292</v>
      </c>
      <c r="BC201" s="251">
        <f t="shared" ref="BC201:BC231" si="97">SUM(AX201:BB201)</f>
        <v>80797.538519786627</v>
      </c>
      <c r="BD201" s="270">
        <f t="shared" si="74"/>
        <v>7.6161662220309232</v>
      </c>
      <c r="BY201" s="252">
        <f t="shared" si="81"/>
        <v>0.2847343095068392</v>
      </c>
      <c r="BZ201" s="252">
        <f t="shared" si="79"/>
        <v>0.16674031906041129</v>
      </c>
      <c r="CA201" s="252">
        <f t="shared" si="79"/>
        <v>1.1774297391879022E-2</v>
      </c>
      <c r="CB201" s="252">
        <f t="shared" si="79"/>
        <v>7.0138616914795824</v>
      </c>
      <c r="CC201" s="252">
        <f t="shared" si="79"/>
        <v>0.13905560459221128</v>
      </c>
    </row>
    <row r="202" spans="1:81">
      <c r="A202" s="11">
        <v>45778</v>
      </c>
      <c r="B202" s="268">
        <v>70</v>
      </c>
      <c r="C202" s="268">
        <v>13</v>
      </c>
      <c r="D202" s="268">
        <f t="shared" si="71"/>
        <v>20</v>
      </c>
      <c r="E202" s="268">
        <v>3</v>
      </c>
      <c r="F202" s="269">
        <v>0.2</v>
      </c>
      <c r="G202" s="269">
        <v>1.32</v>
      </c>
      <c r="H202" s="269"/>
      <c r="I202" s="269">
        <v>5</v>
      </c>
      <c r="J202" s="269"/>
      <c r="K202" s="269"/>
      <c r="L202" s="269"/>
      <c r="M202" s="269">
        <f t="shared" si="65"/>
        <v>1.5</v>
      </c>
      <c r="N202" s="269">
        <v>45</v>
      </c>
      <c r="O202" s="269">
        <f t="shared" si="85"/>
        <v>17.699535849485258</v>
      </c>
      <c r="Q202" s="251">
        <f t="shared" si="95"/>
        <v>176.71953584948523</v>
      </c>
      <c r="R202" s="251">
        <f>'RD Plant List'!N70</f>
        <v>49</v>
      </c>
      <c r="S202" s="251">
        <f>SUM(B202:O202)+'RD Plant List'!N70</f>
        <v>225.71953584948523</v>
      </c>
      <c r="T202" s="237">
        <f t="shared" si="82"/>
        <v>0.2170835582112586</v>
      </c>
      <c r="U202" s="251">
        <f>'Renewable Fuel Ex Ethanol'!N26*'Renewable Fuel Ex Ethanol'!$I$121*12/1000000</f>
        <v>296.74216968325328</v>
      </c>
      <c r="V202" s="271">
        <f t="shared" si="89"/>
        <v>0.59483555685778045</v>
      </c>
      <c r="W202" s="251">
        <f t="shared" si="47"/>
        <v>24.728514140271106</v>
      </c>
      <c r="X202" s="242">
        <f t="shared" si="52"/>
        <v>7.0571139835694892</v>
      </c>
      <c r="Y202" s="273">
        <f t="shared" si="53"/>
        <v>7.0571139835694892</v>
      </c>
      <c r="AB202" s="251">
        <f>SUM('BD Feedstock'!C200,'BD Feedstock'!E200,'BD Feedstock'!G200,'BD Feedstock'!K200,'BD Feedstock'!T200)</f>
        <v>21.812796010427753</v>
      </c>
      <c r="AC202" s="251">
        <f>SUM('BD Feedstock'!D200,'BD Feedstock'!F200,'BD Feedstock'!H200,'BD Feedstock'!I200,'BD Feedstock'!L200,'BD Feedstock'!M200,'BD Feedstock'!N200,'BD Feedstock'!O200,'BD Feedstock'!U200)</f>
        <v>12.773566250859661</v>
      </c>
      <c r="AD202" s="251">
        <f>'BD Feedstock'!J200</f>
        <v>0.90199999999999991</v>
      </c>
      <c r="AE202" s="251">
        <f>SUM('BD Feedstock'!B200,'BD Feedstock'!P200,'BD Feedstock'!Q200,'BD Feedstock'!R200)</f>
        <v>70.93020833333334</v>
      </c>
      <c r="AF202" s="251">
        <f>'BD Feedstock'!S200</f>
        <v>1.40625</v>
      </c>
      <c r="AG202" s="251">
        <f t="shared" si="90"/>
        <v>107.82482059462075</v>
      </c>
      <c r="AK202" s="237">
        <f t="shared" si="70"/>
        <v>0.20229846792359021</v>
      </c>
      <c r="AL202" s="237">
        <f t="shared" si="70"/>
        <v>0.11846591703484753</v>
      </c>
      <c r="AM202" s="237">
        <f t="shared" si="70"/>
        <v>8.3654208282077092E-3</v>
      </c>
      <c r="AN202" s="237">
        <f t="shared" si="70"/>
        <v>0.65782820636449979</v>
      </c>
      <c r="AO202" s="237">
        <f t="shared" si="70"/>
        <v>1.304198784885487E-2</v>
      </c>
      <c r="AP202" s="237">
        <f t="shared" si="91"/>
        <v>1</v>
      </c>
      <c r="AQ202" s="237"/>
      <c r="AR202" s="237">
        <f t="shared" si="92"/>
        <v>0.61464645366918802</v>
      </c>
      <c r="AS202" s="237">
        <f t="shared" si="93"/>
        <v>0.35993676340465403</v>
      </c>
      <c r="AT202" s="237">
        <f t="shared" si="94"/>
        <v>2.5416782926158003E-2</v>
      </c>
      <c r="AU202" s="237">
        <f t="shared" si="72"/>
        <v>0.98055959563958928</v>
      </c>
      <c r="AV202" s="237">
        <f t="shared" si="72"/>
        <v>1.9440404360410696E-2</v>
      </c>
      <c r="AX202" s="251">
        <f t="shared" si="96"/>
        <v>2992.2392361418811</v>
      </c>
      <c r="AY202" s="251">
        <f t="shared" si="96"/>
        <v>1752.2543237010027</v>
      </c>
      <c r="AZ202" s="251">
        <f t="shared" si="96"/>
        <v>123.73470093928786</v>
      </c>
      <c r="BA202" s="251">
        <f t="shared" si="96"/>
        <v>72844.870102776258</v>
      </c>
      <c r="BB202" s="251">
        <f t="shared" si="96"/>
        <v>1444.209751938497</v>
      </c>
      <c r="BC202" s="251">
        <f t="shared" si="97"/>
        <v>79157.308115496926</v>
      </c>
      <c r="BD202" s="270">
        <f t="shared" si="74"/>
        <v>7.0571139835694892</v>
      </c>
      <c r="BY202" s="252">
        <f t="shared" si="81"/>
        <v>0.26676719886370265</v>
      </c>
      <c r="BZ202" s="252">
        <f t="shared" si="79"/>
        <v>0.15621878491013935</v>
      </c>
      <c r="CA202" s="252">
        <f t="shared" si="79"/>
        <v>1.1031323690004128E-2</v>
      </c>
      <c r="CB202" s="252">
        <f t="shared" si="79"/>
        <v>6.4943409986040574</v>
      </c>
      <c r="CC202" s="252">
        <f t="shared" si="79"/>
        <v>0.1287556775015859</v>
      </c>
    </row>
    <row r="203" spans="1:81">
      <c r="A203" s="11">
        <v>45809</v>
      </c>
      <c r="B203" s="268">
        <v>70</v>
      </c>
      <c r="C203" s="268">
        <v>13</v>
      </c>
      <c r="D203" s="268">
        <f t="shared" si="71"/>
        <v>20</v>
      </c>
      <c r="E203" s="268">
        <v>3</v>
      </c>
      <c r="F203" s="269">
        <v>0.2</v>
      </c>
      <c r="G203" s="269">
        <v>1.32</v>
      </c>
      <c r="H203" s="269"/>
      <c r="I203" s="269">
        <v>5</v>
      </c>
      <c r="J203" s="269"/>
      <c r="K203" s="269"/>
      <c r="L203" s="269"/>
      <c r="M203" s="269">
        <f t="shared" si="65"/>
        <v>1.5</v>
      </c>
      <c r="N203" s="269">
        <v>45</v>
      </c>
      <c r="O203" s="269">
        <f t="shared" si="85"/>
        <v>17.699535849485258</v>
      </c>
      <c r="Q203" s="251">
        <f t="shared" si="95"/>
        <v>176.71953584948523</v>
      </c>
      <c r="R203" s="251">
        <f>'RD Plant List'!N71</f>
        <v>49</v>
      </c>
      <c r="S203" s="251">
        <f>SUM(B203:O203)+'RD Plant List'!N71</f>
        <v>225.71953584948523</v>
      </c>
      <c r="T203" s="237">
        <f t="shared" si="82"/>
        <v>0.2170835582112586</v>
      </c>
      <c r="U203" s="251">
        <f>'Renewable Fuel Ex Ethanol'!N27*'Renewable Fuel Ex Ethanol'!$I$121*12/1000000</f>
        <v>356.8187976109383</v>
      </c>
      <c r="V203" s="271">
        <f t="shared" si="89"/>
        <v>0.65721935431309575</v>
      </c>
      <c r="W203" s="251">
        <f t="shared" ref="W203:W266" si="98">U203/12</f>
        <v>29.734899800911524</v>
      </c>
      <c r="X203" s="242">
        <f t="shared" ref="X203:X266" si="99">(BC203*2204.622)/(W203*1000000)</f>
        <v>6.9290665311579742</v>
      </c>
      <c r="Y203" s="273">
        <f t="shared" ref="Y203:Y266" si="100">X203-BP203</f>
        <v>6.9290665311579742</v>
      </c>
      <c r="AB203" s="251">
        <f>SUM('BD Feedstock'!C201,'BD Feedstock'!E201,'BD Feedstock'!G201,'BD Feedstock'!K201,'BD Feedstock'!T201)</f>
        <v>21.812796010427753</v>
      </c>
      <c r="AC203" s="251">
        <f>SUM('BD Feedstock'!D201,'BD Feedstock'!F201,'BD Feedstock'!H201,'BD Feedstock'!I201,'BD Feedstock'!L201,'BD Feedstock'!M201,'BD Feedstock'!N201,'BD Feedstock'!O201,'BD Feedstock'!U201)</f>
        <v>12.773566250859661</v>
      </c>
      <c r="AD203" s="251">
        <f>'BD Feedstock'!J201</f>
        <v>0.90199999999999991</v>
      </c>
      <c r="AE203" s="251">
        <f>SUM('BD Feedstock'!B201,'BD Feedstock'!P201,'BD Feedstock'!Q201,'BD Feedstock'!R201)</f>
        <v>70.93020833333334</v>
      </c>
      <c r="AF203" s="251">
        <f>'BD Feedstock'!S201</f>
        <v>1.40625</v>
      </c>
      <c r="AG203" s="251">
        <f t="shared" si="90"/>
        <v>107.82482059462075</v>
      </c>
      <c r="AK203" s="237">
        <f t="shared" si="70"/>
        <v>0.20229846792359021</v>
      </c>
      <c r="AL203" s="237">
        <f t="shared" si="70"/>
        <v>0.11846591703484753</v>
      </c>
      <c r="AM203" s="237">
        <f t="shared" si="70"/>
        <v>8.3654208282077092E-3</v>
      </c>
      <c r="AN203" s="237">
        <f t="shared" si="70"/>
        <v>0.65782820636449979</v>
      </c>
      <c r="AO203" s="237">
        <f t="shared" si="70"/>
        <v>1.304198784885487E-2</v>
      </c>
      <c r="AP203" s="237">
        <f t="shared" si="91"/>
        <v>1</v>
      </c>
      <c r="AQ203" s="237"/>
      <c r="AR203" s="237">
        <f t="shared" si="92"/>
        <v>0.61464645366918802</v>
      </c>
      <c r="AS203" s="237">
        <f t="shared" si="93"/>
        <v>0.35993676340465403</v>
      </c>
      <c r="AT203" s="237">
        <f t="shared" si="94"/>
        <v>2.5416782926158003E-2</v>
      </c>
      <c r="AU203" s="237">
        <f t="shared" si="72"/>
        <v>0.98055959563958928</v>
      </c>
      <c r="AV203" s="237">
        <f t="shared" si="72"/>
        <v>1.9440404360410696E-2</v>
      </c>
      <c r="AX203" s="251">
        <f t="shared" si="96"/>
        <v>3625.6918894467481</v>
      </c>
      <c r="AY203" s="251">
        <f t="shared" si="96"/>
        <v>2123.2039914971156</v>
      </c>
      <c r="AZ203" s="251">
        <f t="shared" si="96"/>
        <v>149.92915546991475</v>
      </c>
      <c r="BA203" s="251">
        <f t="shared" si="96"/>
        <v>85855.003786650879</v>
      </c>
      <c r="BB203" s="251">
        <f t="shared" si="96"/>
        <v>1702.1464043584347</v>
      </c>
      <c r="BC203" s="251">
        <f t="shared" si="97"/>
        <v>93455.9752274231</v>
      </c>
      <c r="BD203" s="270">
        <f t="shared" si="74"/>
        <v>6.9290665311579742</v>
      </c>
      <c r="BY203" s="252">
        <f t="shared" si="81"/>
        <v>0.26881812813274836</v>
      </c>
      <c r="BZ203" s="252">
        <f t="shared" si="79"/>
        <v>0.15741980842319375</v>
      </c>
      <c r="CA203" s="252">
        <f t="shared" si="79"/>
        <v>1.1116133459452981E-2</v>
      </c>
      <c r="CB203" s="252">
        <f t="shared" si="79"/>
        <v>6.3655109459064505</v>
      </c>
      <c r="CC203" s="252">
        <f t="shared" si="79"/>
        <v>0.12620151523612885</v>
      </c>
    </row>
    <row r="204" spans="1:81">
      <c r="A204" s="11">
        <v>45839</v>
      </c>
      <c r="B204" s="268">
        <v>70</v>
      </c>
      <c r="C204" s="268">
        <v>13</v>
      </c>
      <c r="D204" s="268">
        <f t="shared" si="71"/>
        <v>20</v>
      </c>
      <c r="E204" s="268">
        <v>3</v>
      </c>
      <c r="F204" s="269">
        <v>0.2</v>
      </c>
      <c r="G204" s="269">
        <v>1.32</v>
      </c>
      <c r="H204" s="269"/>
      <c r="I204" s="269">
        <v>5</v>
      </c>
      <c r="J204" s="269"/>
      <c r="K204" s="269"/>
      <c r="L204" s="269"/>
      <c r="M204" s="269">
        <f t="shared" si="65"/>
        <v>1.5</v>
      </c>
      <c r="N204" s="269">
        <v>45</v>
      </c>
      <c r="O204" s="269">
        <f t="shared" si="85"/>
        <v>17.699535849485258</v>
      </c>
      <c r="Q204" s="251">
        <f t="shared" si="95"/>
        <v>176.71953584948523</v>
      </c>
      <c r="R204" s="251">
        <f>'RD Plant List'!N72</f>
        <v>49</v>
      </c>
      <c r="S204" s="251">
        <f>SUM(B204:O204)+'RD Plant List'!N72</f>
        <v>225.71953584948523</v>
      </c>
      <c r="T204" s="237">
        <f t="shared" si="82"/>
        <v>0.2170835582112586</v>
      </c>
      <c r="U204" s="251">
        <f>'Renewable Fuel Ex Ethanol'!N28*'Renewable Fuel Ex Ethanol'!$I$121*12/1000000</f>
        <v>329.81150693968516</v>
      </c>
      <c r="V204" s="271">
        <f t="shared" si="89"/>
        <v>0.68711669183830704</v>
      </c>
      <c r="W204" s="251">
        <f t="shared" si="98"/>
        <v>27.484292244973762</v>
      </c>
      <c r="X204" s="242">
        <f t="shared" si="99"/>
        <v>6.8918332028010783</v>
      </c>
      <c r="Y204" s="273">
        <f t="shared" si="100"/>
        <v>6.8918332028010783</v>
      </c>
      <c r="AB204" s="251">
        <f>SUM('BD Feedstock'!C202,'BD Feedstock'!E202,'BD Feedstock'!G202,'BD Feedstock'!K202,'BD Feedstock'!T202)</f>
        <v>21.812796010427753</v>
      </c>
      <c r="AC204" s="251">
        <f>SUM('BD Feedstock'!D202,'BD Feedstock'!F202,'BD Feedstock'!H202,'BD Feedstock'!I202,'BD Feedstock'!L202,'BD Feedstock'!M202,'BD Feedstock'!N202,'BD Feedstock'!O202,'BD Feedstock'!U202)</f>
        <v>12.773566250859661</v>
      </c>
      <c r="AD204" s="251">
        <f>'BD Feedstock'!J202</f>
        <v>0.90199999999999991</v>
      </c>
      <c r="AE204" s="251">
        <f>SUM('BD Feedstock'!B202,'BD Feedstock'!P202,'BD Feedstock'!Q202,'BD Feedstock'!R202)</f>
        <v>70.93020833333334</v>
      </c>
      <c r="AF204" s="251">
        <f>'BD Feedstock'!S202</f>
        <v>1.40625</v>
      </c>
      <c r="AG204" s="251">
        <f t="shared" si="90"/>
        <v>107.82482059462075</v>
      </c>
      <c r="AK204" s="237">
        <f t="shared" si="70"/>
        <v>0.20229846792359021</v>
      </c>
      <c r="AL204" s="237">
        <f t="shared" si="70"/>
        <v>0.11846591703484753</v>
      </c>
      <c r="AM204" s="237">
        <f t="shared" si="70"/>
        <v>8.3654208282077092E-3</v>
      </c>
      <c r="AN204" s="237">
        <f t="shared" si="70"/>
        <v>0.65782820636449979</v>
      </c>
      <c r="AO204" s="237">
        <f t="shared" si="70"/>
        <v>1.304198784885487E-2</v>
      </c>
      <c r="AP204" s="237">
        <f t="shared" si="91"/>
        <v>1</v>
      </c>
      <c r="AQ204" s="237"/>
      <c r="AR204" s="237">
        <f t="shared" si="92"/>
        <v>0.61464645366918802</v>
      </c>
      <c r="AS204" s="237">
        <f t="shared" si="93"/>
        <v>0.35993676340465403</v>
      </c>
      <c r="AT204" s="237">
        <f t="shared" si="94"/>
        <v>2.5416782926158003E-2</v>
      </c>
      <c r="AU204" s="237">
        <f t="shared" si="72"/>
        <v>0.98055959563958928</v>
      </c>
      <c r="AV204" s="237">
        <f t="shared" si="72"/>
        <v>1.9440404360410696E-2</v>
      </c>
      <c r="AX204" s="251">
        <f t="shared" si="96"/>
        <v>3698.0000412982072</v>
      </c>
      <c r="AY204" s="251">
        <f t="shared" si="96"/>
        <v>2165.5476217089549</v>
      </c>
      <c r="AZ204" s="251">
        <f t="shared" si="96"/>
        <v>152.91923308026946</v>
      </c>
      <c r="BA204" s="251">
        <f t="shared" si="96"/>
        <v>78348.412850793102</v>
      </c>
      <c r="BB204" s="251">
        <f t="shared" si="96"/>
        <v>1553.3220352836684</v>
      </c>
      <c r="BC204" s="251">
        <f t="shared" si="97"/>
        <v>85918.201782164193</v>
      </c>
      <c r="BD204" s="270">
        <f t="shared" si="74"/>
        <v>6.8918332028010783</v>
      </c>
      <c r="BY204" s="252">
        <f t="shared" si="81"/>
        <v>0.29663096922344334</v>
      </c>
      <c r="BZ204" s="252">
        <f t="shared" si="79"/>
        <v>0.17370699912202875</v>
      </c>
      <c r="CA204" s="252">
        <f t="shared" si="79"/>
        <v>1.2266246569749048E-2</v>
      </c>
      <c r="CB204" s="252">
        <f t="shared" si="79"/>
        <v>6.2846309847228907</v>
      </c>
      <c r="CC204" s="252">
        <f t="shared" si="79"/>
        <v>0.12459800316296703</v>
      </c>
    </row>
    <row r="205" spans="1:81">
      <c r="A205" s="11">
        <v>45870</v>
      </c>
      <c r="B205" s="268">
        <v>70</v>
      </c>
      <c r="C205" s="268">
        <v>13</v>
      </c>
      <c r="D205" s="268">
        <f t="shared" si="71"/>
        <v>20</v>
      </c>
      <c r="E205" s="268">
        <v>3</v>
      </c>
      <c r="F205" s="269">
        <v>0.2</v>
      </c>
      <c r="G205" s="269">
        <v>1.32</v>
      </c>
      <c r="H205" s="269"/>
      <c r="I205" s="269">
        <v>5</v>
      </c>
      <c r="J205" s="269"/>
      <c r="K205" s="269"/>
      <c r="L205" s="269"/>
      <c r="M205" s="269">
        <f t="shared" si="65"/>
        <v>1.5</v>
      </c>
      <c r="N205" s="269">
        <v>45</v>
      </c>
      <c r="O205" s="269">
        <f t="shared" si="85"/>
        <v>17.699535849485258</v>
      </c>
      <c r="Q205" s="251">
        <f t="shared" si="95"/>
        <v>176.71953584948523</v>
      </c>
      <c r="R205" s="251">
        <f>'RD Plant List'!N73</f>
        <v>49</v>
      </c>
      <c r="S205" s="251">
        <f>SUM(B205:O205)+'RD Plant List'!N73</f>
        <v>225.71953584948523</v>
      </c>
      <c r="T205" s="237">
        <f t="shared" si="82"/>
        <v>0.2170835582112586</v>
      </c>
      <c r="U205" s="251">
        <f>'Renewable Fuel Ex Ethanol'!N29*'Renewable Fuel Ex Ethanol'!$I$121*12/1000000</f>
        <v>294.56307598277851</v>
      </c>
      <c r="V205" s="271">
        <f t="shared" si="89"/>
        <v>0.63738943618303656</v>
      </c>
      <c r="W205" s="251">
        <f t="shared" si="98"/>
        <v>24.546922998564877</v>
      </c>
      <c r="X205" s="242">
        <f t="shared" si="99"/>
        <v>7.1901952160543985</v>
      </c>
      <c r="Y205" s="273">
        <f t="shared" si="100"/>
        <v>7.1901952160543985</v>
      </c>
      <c r="AB205" s="251">
        <f>SUM('BD Feedstock'!C203,'BD Feedstock'!E203,'BD Feedstock'!G203,'BD Feedstock'!K203,'BD Feedstock'!T203)</f>
        <v>21.812796010427753</v>
      </c>
      <c r="AC205" s="251">
        <f>SUM('BD Feedstock'!D203,'BD Feedstock'!F203,'BD Feedstock'!H203,'BD Feedstock'!I203,'BD Feedstock'!L203,'BD Feedstock'!M203,'BD Feedstock'!N203,'BD Feedstock'!O203,'BD Feedstock'!U203)</f>
        <v>12.773566250859661</v>
      </c>
      <c r="AD205" s="251">
        <f>'BD Feedstock'!J203</f>
        <v>0.90199999999999991</v>
      </c>
      <c r="AE205" s="251">
        <f>SUM('BD Feedstock'!B203,'BD Feedstock'!P203,'BD Feedstock'!Q203,'BD Feedstock'!R203)</f>
        <v>70.93020833333334</v>
      </c>
      <c r="AF205" s="251">
        <f>'BD Feedstock'!S203</f>
        <v>1.40625</v>
      </c>
      <c r="AG205" s="251">
        <f t="shared" si="90"/>
        <v>107.82482059462075</v>
      </c>
      <c r="AK205" s="237">
        <f t="shared" si="70"/>
        <v>0.20229846792359021</v>
      </c>
      <c r="AL205" s="237">
        <f t="shared" si="70"/>
        <v>0.11846591703484753</v>
      </c>
      <c r="AM205" s="237">
        <f t="shared" si="70"/>
        <v>8.3654208282077092E-3</v>
      </c>
      <c r="AN205" s="237">
        <f t="shared" si="70"/>
        <v>0.65782820636449979</v>
      </c>
      <c r="AO205" s="237">
        <f t="shared" si="70"/>
        <v>1.304198784885487E-2</v>
      </c>
      <c r="AP205" s="237">
        <f t="shared" si="91"/>
        <v>1</v>
      </c>
      <c r="AQ205" s="237"/>
      <c r="AR205" s="237">
        <f t="shared" si="92"/>
        <v>0.61464645366918802</v>
      </c>
      <c r="AS205" s="237">
        <f t="shared" si="93"/>
        <v>0.35993676340465403</v>
      </c>
      <c r="AT205" s="237">
        <f t="shared" si="94"/>
        <v>2.5416782926158003E-2</v>
      </c>
      <c r="AU205" s="237">
        <f t="shared" si="72"/>
        <v>0.98055959563958928</v>
      </c>
      <c r="AV205" s="237">
        <f t="shared" si="72"/>
        <v>1.9440404360410696E-2</v>
      </c>
      <c r="AX205" s="251">
        <f t="shared" si="96"/>
        <v>3400.5825633495724</v>
      </c>
      <c r="AY205" s="251">
        <f t="shared" si="96"/>
        <v>1991.380043333203</v>
      </c>
      <c r="AZ205" s="251">
        <f t="shared" si="96"/>
        <v>140.62046290053567</v>
      </c>
      <c r="BA205" s="251">
        <f t="shared" si="96"/>
        <v>73076.408199374491</v>
      </c>
      <c r="BB205" s="251">
        <f t="shared" si="96"/>
        <v>1448.8001860566533</v>
      </c>
      <c r="BC205" s="251">
        <f t="shared" si="97"/>
        <v>80057.791455014463</v>
      </c>
      <c r="BD205" s="270">
        <f t="shared" si="74"/>
        <v>7.1901952160543985</v>
      </c>
      <c r="BY205" s="252">
        <f t="shared" si="81"/>
        <v>0.30541502625054751</v>
      </c>
      <c r="BZ205" s="252">
        <f t="shared" si="79"/>
        <v>0.17885094006079727</v>
      </c>
      <c r="CA205" s="252">
        <f t="shared" si="79"/>
        <v>1.2629483792279366E-2</v>
      </c>
      <c r="CB205" s="252">
        <f t="shared" si="79"/>
        <v>6.5631793119952491</v>
      </c>
      <c r="CC205" s="252">
        <f t="shared" si="79"/>
        <v>0.13012045395552549</v>
      </c>
    </row>
    <row r="206" spans="1:81">
      <c r="A206" s="11">
        <v>45901</v>
      </c>
      <c r="B206" s="268">
        <v>70</v>
      </c>
      <c r="C206" s="268">
        <v>13</v>
      </c>
      <c r="D206" s="268">
        <f t="shared" si="71"/>
        <v>20</v>
      </c>
      <c r="E206" s="268">
        <v>3</v>
      </c>
      <c r="F206" s="269">
        <v>0.2</v>
      </c>
      <c r="G206" s="269">
        <v>1.32</v>
      </c>
      <c r="H206" s="269"/>
      <c r="I206" s="269">
        <v>5</v>
      </c>
      <c r="J206" s="269"/>
      <c r="K206" s="269"/>
      <c r="L206" s="269"/>
      <c r="M206" s="269">
        <f t="shared" si="65"/>
        <v>1.5</v>
      </c>
      <c r="N206" s="269">
        <v>45</v>
      </c>
      <c r="O206" s="269">
        <f t="shared" si="85"/>
        <v>17.699535849485258</v>
      </c>
      <c r="Q206" s="251">
        <f t="shared" si="95"/>
        <v>176.71953584948523</v>
      </c>
      <c r="R206" s="251">
        <f>'RD Plant List'!N74</f>
        <v>49</v>
      </c>
      <c r="S206" s="251">
        <f>SUM(B206:O206)+'RD Plant List'!N74</f>
        <v>225.71953584948523</v>
      </c>
      <c r="T206" s="237">
        <f t="shared" si="82"/>
        <v>0.2170835582112586</v>
      </c>
      <c r="U206" s="251">
        <f>'Renewable Fuel Ex Ethanol'!N30*'Renewable Fuel Ex Ethanol'!$I$121*12/1000000</f>
        <v>316.87914089130385</v>
      </c>
      <c r="V206" s="271">
        <f t="shared" si="89"/>
        <v>0.67758070418407035</v>
      </c>
      <c r="W206" s="251">
        <f t="shared" si="98"/>
        <v>26.406595074275319</v>
      </c>
      <c r="X206" s="242">
        <f t="shared" si="99"/>
        <v>7.2002266587593926</v>
      </c>
      <c r="Y206" s="273">
        <f t="shared" si="100"/>
        <v>7.2002266587593926</v>
      </c>
      <c r="AB206" s="251">
        <f>SUM('BD Feedstock'!C204,'BD Feedstock'!E204,'BD Feedstock'!G204,'BD Feedstock'!K204,'BD Feedstock'!T204)</f>
        <v>21.812796010427753</v>
      </c>
      <c r="AC206" s="251">
        <f>SUM('BD Feedstock'!D204,'BD Feedstock'!F204,'BD Feedstock'!H204,'BD Feedstock'!I204,'BD Feedstock'!L204,'BD Feedstock'!M204,'BD Feedstock'!N204,'BD Feedstock'!O204,'BD Feedstock'!U204)</f>
        <v>12.773566250859661</v>
      </c>
      <c r="AD206" s="251">
        <f>'BD Feedstock'!J204</f>
        <v>0.90199999999999991</v>
      </c>
      <c r="AE206" s="251">
        <f>SUM('BD Feedstock'!B204,'BD Feedstock'!P204,'BD Feedstock'!Q204,'BD Feedstock'!R204)</f>
        <v>70.93020833333334</v>
      </c>
      <c r="AF206" s="251">
        <f>'BD Feedstock'!S204</f>
        <v>1.40625</v>
      </c>
      <c r="AG206" s="251">
        <f t="shared" si="90"/>
        <v>107.82482059462075</v>
      </c>
      <c r="AK206" s="237">
        <f t="shared" si="70"/>
        <v>0.20229846792359021</v>
      </c>
      <c r="AL206" s="237">
        <f t="shared" si="70"/>
        <v>0.11846591703484753</v>
      </c>
      <c r="AM206" s="237">
        <f t="shared" si="70"/>
        <v>8.3654208282077092E-3</v>
      </c>
      <c r="AN206" s="237">
        <f t="shared" si="70"/>
        <v>0.65782820636449979</v>
      </c>
      <c r="AO206" s="237">
        <f t="shared" si="70"/>
        <v>1.304198784885487E-2</v>
      </c>
      <c r="AP206" s="237">
        <f t="shared" si="91"/>
        <v>1</v>
      </c>
      <c r="AQ206" s="237"/>
      <c r="AR206" s="237">
        <f t="shared" si="92"/>
        <v>0.61464645366918802</v>
      </c>
      <c r="AS206" s="237">
        <f t="shared" si="93"/>
        <v>0.35993676340465403</v>
      </c>
      <c r="AT206" s="237">
        <f t="shared" si="94"/>
        <v>2.5416782926158003E-2</v>
      </c>
      <c r="AU206" s="237">
        <f t="shared" si="72"/>
        <v>0.98055959563958928</v>
      </c>
      <c r="AV206" s="237">
        <f t="shared" si="72"/>
        <v>1.9440404360410696E-2</v>
      </c>
      <c r="AX206" s="251">
        <f t="shared" si="96"/>
        <v>3400.4515440438531</v>
      </c>
      <c r="AY206" s="251">
        <f t="shared" si="96"/>
        <v>1991.3033184703766</v>
      </c>
      <c r="AZ206" s="251">
        <f t="shared" si="96"/>
        <v>140.6150450066672</v>
      </c>
      <c r="BA206" s="251">
        <f t="shared" si="96"/>
        <v>79141.696080176</v>
      </c>
      <c r="BB206" s="251">
        <f t="shared" si="96"/>
        <v>1569.0495309097516</v>
      </c>
      <c r="BC206" s="251">
        <f t="shared" si="97"/>
        <v>86243.115518606646</v>
      </c>
      <c r="BD206" s="270">
        <f t="shared" si="74"/>
        <v>7.2002266587593926</v>
      </c>
      <c r="BY206" s="252">
        <f t="shared" si="81"/>
        <v>0.28389537775872381</v>
      </c>
      <c r="BZ206" s="252">
        <f t="shared" si="79"/>
        <v>0.16624904090150955</v>
      </c>
      <c r="CA206" s="252">
        <f t="shared" si="79"/>
        <v>1.1739605991636773E-2</v>
      </c>
      <c r="CB206" s="252">
        <f t="shared" si="79"/>
        <v>6.607346528581477</v>
      </c>
      <c r="CC206" s="252">
        <f t="shared" si="79"/>
        <v>0.13099610552604532</v>
      </c>
    </row>
    <row r="207" spans="1:81">
      <c r="A207" s="11">
        <v>45931</v>
      </c>
      <c r="B207" s="268">
        <v>70</v>
      </c>
      <c r="C207" s="268">
        <v>13</v>
      </c>
      <c r="D207" s="268">
        <f t="shared" si="71"/>
        <v>20</v>
      </c>
      <c r="E207" s="268">
        <v>3</v>
      </c>
      <c r="F207" s="269">
        <v>0.2</v>
      </c>
      <c r="G207" s="269">
        <v>1.32</v>
      </c>
      <c r="H207" s="269"/>
      <c r="I207" s="269">
        <v>5</v>
      </c>
      <c r="J207" s="269"/>
      <c r="K207" s="269"/>
      <c r="L207" s="269"/>
      <c r="M207" s="269">
        <f t="shared" si="65"/>
        <v>1.5</v>
      </c>
      <c r="N207" s="269">
        <v>45</v>
      </c>
      <c r="O207" s="269">
        <f t="shared" si="85"/>
        <v>17.699535849485258</v>
      </c>
      <c r="Q207" s="251">
        <f t="shared" si="95"/>
        <v>176.71953584948523</v>
      </c>
      <c r="R207" s="251">
        <f>'RD Plant List'!N75</f>
        <v>49</v>
      </c>
      <c r="S207" s="251">
        <f>SUM(B207:O207)+'RD Plant List'!N75</f>
        <v>225.71953584948523</v>
      </c>
      <c r="T207" s="237">
        <f t="shared" si="82"/>
        <v>0.2170835582112586</v>
      </c>
      <c r="U207" s="251">
        <f>'Renewable Fuel Ex Ethanol'!N31*'Renewable Fuel Ex Ethanol'!$I$121*12/1000000</f>
        <v>278.55104058896376</v>
      </c>
      <c r="V207" s="271">
        <f t="shared" si="89"/>
        <v>0.70476136147215573</v>
      </c>
      <c r="W207" s="251">
        <f t="shared" si="98"/>
        <v>23.21258671574698</v>
      </c>
      <c r="X207" s="242">
        <f t="shared" si="99"/>
        <v>7.147433635728877</v>
      </c>
      <c r="Y207" s="273">
        <f t="shared" si="100"/>
        <v>7.147433635728877</v>
      </c>
      <c r="AB207" s="251">
        <f>SUM('BD Feedstock'!C205,'BD Feedstock'!E205,'BD Feedstock'!G205,'BD Feedstock'!K205,'BD Feedstock'!T205)</f>
        <v>21.812796010427753</v>
      </c>
      <c r="AC207" s="251">
        <f>SUM('BD Feedstock'!D205,'BD Feedstock'!F205,'BD Feedstock'!H205,'BD Feedstock'!I205,'BD Feedstock'!L205,'BD Feedstock'!M205,'BD Feedstock'!N205,'BD Feedstock'!O205,'BD Feedstock'!U205)</f>
        <v>12.773566250859661</v>
      </c>
      <c r="AD207" s="251">
        <f>'BD Feedstock'!J205</f>
        <v>0.90199999999999991</v>
      </c>
      <c r="AE207" s="251">
        <f>SUM('BD Feedstock'!B205,'BD Feedstock'!P205,'BD Feedstock'!Q205,'BD Feedstock'!R205)</f>
        <v>70.93020833333334</v>
      </c>
      <c r="AF207" s="251">
        <f>'BD Feedstock'!S205</f>
        <v>1.40625</v>
      </c>
      <c r="AG207" s="251">
        <f t="shared" si="90"/>
        <v>107.82482059462075</v>
      </c>
      <c r="AK207" s="237">
        <f t="shared" si="70"/>
        <v>0.20229846792359021</v>
      </c>
      <c r="AL207" s="237">
        <f t="shared" si="70"/>
        <v>0.11846591703484753</v>
      </c>
      <c r="AM207" s="237">
        <f t="shared" si="70"/>
        <v>8.3654208282077092E-3</v>
      </c>
      <c r="AN207" s="237">
        <f t="shared" si="70"/>
        <v>0.65782820636449979</v>
      </c>
      <c r="AO207" s="237">
        <f t="shared" si="70"/>
        <v>1.304198784885487E-2</v>
      </c>
      <c r="AP207" s="237">
        <f t="shared" si="91"/>
        <v>1</v>
      </c>
      <c r="AQ207" s="237"/>
      <c r="AR207" s="237">
        <f t="shared" si="92"/>
        <v>0.61464645366918802</v>
      </c>
      <c r="AS207" s="237">
        <f t="shared" si="93"/>
        <v>0.35993676340465403</v>
      </c>
      <c r="AT207" s="237">
        <f t="shared" si="94"/>
        <v>2.5416782926158003E-2</v>
      </c>
      <c r="AU207" s="237">
        <f t="shared" si="72"/>
        <v>0.98055959563958928</v>
      </c>
      <c r="AV207" s="237">
        <f t="shared" si="72"/>
        <v>1.9440404360410696E-2</v>
      </c>
      <c r="AX207" s="251">
        <f t="shared" si="96"/>
        <v>2994.2193906101984</v>
      </c>
      <c r="AY207" s="251">
        <f t="shared" si="96"/>
        <v>1753.4139015137644</v>
      </c>
      <c r="AZ207" s="251">
        <f t="shared" si="96"/>
        <v>123.81658403806938</v>
      </c>
      <c r="BA207" s="251">
        <f t="shared" si="96"/>
        <v>69015.974621731628</v>
      </c>
      <c r="BB207" s="251">
        <f t="shared" si="96"/>
        <v>1368.2987346619743</v>
      </c>
      <c r="BC207" s="251">
        <f t="shared" si="97"/>
        <v>75255.72323255564</v>
      </c>
      <c r="BD207" s="270">
        <f t="shared" si="74"/>
        <v>7.147433635728877</v>
      </c>
      <c r="BY207" s="252">
        <f t="shared" si="81"/>
        <v>0.2843768349560008</v>
      </c>
      <c r="BZ207" s="252">
        <f t="shared" si="79"/>
        <v>0.16653098207967998</v>
      </c>
      <c r="CA207" s="252">
        <f t="shared" si="79"/>
        <v>1.1759515149166885E-2</v>
      </c>
      <c r="CB207" s="252">
        <f t="shared" si="79"/>
        <v>6.5548117435482842</v>
      </c>
      <c r="CC207" s="252">
        <f t="shared" si="79"/>
        <v>0.12995455999574398</v>
      </c>
    </row>
    <row r="208" spans="1:81">
      <c r="A208" s="11">
        <v>45962</v>
      </c>
      <c r="B208" s="268">
        <v>70</v>
      </c>
      <c r="C208" s="268">
        <v>13</v>
      </c>
      <c r="D208" s="268">
        <f t="shared" si="71"/>
        <v>20</v>
      </c>
      <c r="E208" s="268">
        <v>3</v>
      </c>
      <c r="F208" s="269">
        <v>0.2</v>
      </c>
      <c r="G208" s="269">
        <v>1.32</v>
      </c>
      <c r="H208" s="269"/>
      <c r="I208" s="269">
        <v>5</v>
      </c>
      <c r="J208" s="269"/>
      <c r="K208" s="269"/>
      <c r="L208" s="269"/>
      <c r="M208" s="269">
        <f t="shared" si="65"/>
        <v>1.5</v>
      </c>
      <c r="N208" s="269">
        <v>45</v>
      </c>
      <c r="O208" s="269">
        <f t="shared" si="85"/>
        <v>17.699535849485258</v>
      </c>
      <c r="Q208" s="251">
        <f t="shared" si="95"/>
        <v>176.71953584948523</v>
      </c>
      <c r="R208" s="251">
        <f>'RD Plant List'!N76</f>
        <v>49</v>
      </c>
      <c r="S208" s="251">
        <f>SUM(B208:O208)+'RD Plant List'!N76</f>
        <v>225.71953584948523</v>
      </c>
      <c r="T208" s="237">
        <f t="shared" si="82"/>
        <v>0.2170835582112586</v>
      </c>
      <c r="U208" s="251">
        <f>'Renewable Fuel Ex Ethanol'!N32*'Renewable Fuel Ex Ethanol'!$I$121*12/1000000</f>
        <v>342.75634633494963</v>
      </c>
      <c r="V208" s="271">
        <f t="shared" si="89"/>
        <v>0.76470674873213496</v>
      </c>
      <c r="W208" s="251">
        <f t="shared" si="98"/>
        <v>28.563028861245801</v>
      </c>
      <c r="X208" s="242">
        <f t="shared" si="99"/>
        <v>7.069311538011867</v>
      </c>
      <c r="Y208" s="273">
        <f t="shared" si="100"/>
        <v>7.069311538011867</v>
      </c>
      <c r="AB208" s="251">
        <f>SUM('BD Feedstock'!C206,'BD Feedstock'!E206,'BD Feedstock'!G206,'BD Feedstock'!K206,'BD Feedstock'!T206)</f>
        <v>21.812796010427753</v>
      </c>
      <c r="AC208" s="251">
        <f>SUM('BD Feedstock'!D206,'BD Feedstock'!F206,'BD Feedstock'!H206,'BD Feedstock'!I206,'BD Feedstock'!L206,'BD Feedstock'!M206,'BD Feedstock'!N206,'BD Feedstock'!O206,'BD Feedstock'!U206)</f>
        <v>12.773566250859661</v>
      </c>
      <c r="AD208" s="251">
        <f>'BD Feedstock'!J206</f>
        <v>0.90199999999999991</v>
      </c>
      <c r="AE208" s="251">
        <f>SUM('BD Feedstock'!B206,'BD Feedstock'!P206,'BD Feedstock'!Q206,'BD Feedstock'!R206)</f>
        <v>70.93020833333334</v>
      </c>
      <c r="AF208" s="251">
        <f>'BD Feedstock'!S206</f>
        <v>1.40625</v>
      </c>
      <c r="AG208" s="251">
        <f t="shared" si="90"/>
        <v>107.82482059462075</v>
      </c>
      <c r="AK208" s="237">
        <f t="shared" si="70"/>
        <v>0.20229846792359021</v>
      </c>
      <c r="AL208" s="237">
        <f t="shared" si="70"/>
        <v>0.11846591703484753</v>
      </c>
      <c r="AM208" s="237">
        <f t="shared" si="70"/>
        <v>8.3654208282077092E-3</v>
      </c>
      <c r="AN208" s="237">
        <f t="shared" si="70"/>
        <v>0.65782820636449979</v>
      </c>
      <c r="AO208" s="237">
        <f t="shared" si="70"/>
        <v>1.304198784885487E-2</v>
      </c>
      <c r="AP208" s="237">
        <f t="shared" si="91"/>
        <v>1</v>
      </c>
      <c r="AQ208" s="237"/>
      <c r="AR208" s="237">
        <f t="shared" si="92"/>
        <v>0.61464645366918802</v>
      </c>
      <c r="AS208" s="237">
        <f t="shared" si="93"/>
        <v>0.35993676340465403</v>
      </c>
      <c r="AT208" s="237">
        <f t="shared" si="94"/>
        <v>2.5416782926158003E-2</v>
      </c>
      <c r="AU208" s="237">
        <f t="shared" si="72"/>
        <v>0.98055959563958928</v>
      </c>
      <c r="AV208" s="237">
        <f t="shared" si="72"/>
        <v>1.9440404360410696E-2</v>
      </c>
      <c r="AX208" s="251">
        <f t="shared" si="96"/>
        <v>3683.6074324755859</v>
      </c>
      <c r="AY208" s="251">
        <f t="shared" si="96"/>
        <v>2157.1193146624601</v>
      </c>
      <c r="AZ208" s="251">
        <f t="shared" si="96"/>
        <v>152.3240717285658</v>
      </c>
      <c r="BA208" s="251">
        <f t="shared" si="96"/>
        <v>83932.741089288786</v>
      </c>
      <c r="BB208" s="251">
        <f t="shared" si="96"/>
        <v>1664.0359577422062</v>
      </c>
      <c r="BC208" s="251">
        <f t="shared" si="97"/>
        <v>91589.827865897605</v>
      </c>
      <c r="BD208" s="270">
        <f>(BC208*2204.622/1000000)/(U208/12)</f>
        <v>7.0693115380118661</v>
      </c>
      <c r="BY208" s="252">
        <f t="shared" si="81"/>
        <v>0.28431725586419437</v>
      </c>
      <c r="BZ208" s="252">
        <f t="shared" si="79"/>
        <v>0.16649609258289144</v>
      </c>
      <c r="CA208" s="252">
        <f t="shared" si="79"/>
        <v>1.1757051442048196E-2</v>
      </c>
      <c r="CB208" s="252">
        <f t="shared" si="79"/>
        <v>6.4783034188930673</v>
      </c>
      <c r="CC208" s="252">
        <f t="shared" si="79"/>
        <v>0.12843771922966613</v>
      </c>
    </row>
    <row r="209" spans="1:81">
      <c r="A209" s="11">
        <v>45992</v>
      </c>
      <c r="B209" s="268">
        <v>70</v>
      </c>
      <c r="C209" s="268">
        <v>13</v>
      </c>
      <c r="D209" s="268">
        <f t="shared" si="71"/>
        <v>20</v>
      </c>
      <c r="E209" s="268">
        <v>3</v>
      </c>
      <c r="F209" s="269">
        <v>0.2</v>
      </c>
      <c r="G209" s="269">
        <v>1.32</v>
      </c>
      <c r="H209" s="269"/>
      <c r="I209" s="269">
        <v>5</v>
      </c>
      <c r="J209" s="269"/>
      <c r="K209" s="269"/>
      <c r="L209" s="269"/>
      <c r="M209" s="269">
        <f t="shared" si="65"/>
        <v>1.5</v>
      </c>
      <c r="N209" s="269">
        <v>45</v>
      </c>
      <c r="O209" s="269">
        <f t="shared" si="85"/>
        <v>17.699535849485258</v>
      </c>
      <c r="Q209" s="251">
        <f t="shared" si="95"/>
        <v>176.71953584948523</v>
      </c>
      <c r="R209" s="251">
        <f>'RD Plant List'!N77</f>
        <v>49</v>
      </c>
      <c r="S209" s="251">
        <f>SUM(B209:O209)+'RD Plant List'!N77</f>
        <v>225.71953584948523</v>
      </c>
      <c r="T209" s="237">
        <f t="shared" si="82"/>
        <v>0.2170835582112586</v>
      </c>
      <c r="U209" s="251">
        <f>'Renewable Fuel Ex Ethanol'!N33*'Renewable Fuel Ex Ethanol'!$I$121*12/1000000</f>
        <v>550.1242354254224</v>
      </c>
      <c r="V209" s="271">
        <f t="shared" si="89"/>
        <v>0.69397375461028465</v>
      </c>
      <c r="W209" s="251">
        <f t="shared" si="98"/>
        <v>45.843686285451867</v>
      </c>
      <c r="X209" s="242">
        <f t="shared" si="99"/>
        <v>7.0713444637522658</v>
      </c>
      <c r="Y209" s="273">
        <f t="shared" si="100"/>
        <v>7.0713444637522658</v>
      </c>
      <c r="AB209" s="251">
        <f>SUM('BD Feedstock'!C207,'BD Feedstock'!E207,'BD Feedstock'!G207,'BD Feedstock'!K207,'BD Feedstock'!T207)</f>
        <v>21.812796010427753</v>
      </c>
      <c r="AC209" s="251">
        <f>SUM('BD Feedstock'!D207,'BD Feedstock'!F207,'BD Feedstock'!H207,'BD Feedstock'!I207,'BD Feedstock'!L207,'BD Feedstock'!M207,'BD Feedstock'!N207,'BD Feedstock'!O207,'BD Feedstock'!U207)</f>
        <v>12.773566250859661</v>
      </c>
      <c r="AD209" s="251">
        <f>'BD Feedstock'!J207</f>
        <v>0.90199999999999991</v>
      </c>
      <c r="AE209" s="251">
        <f>SUM('BD Feedstock'!B207,'BD Feedstock'!P207,'BD Feedstock'!Q207,'BD Feedstock'!R207)</f>
        <v>70.93020833333334</v>
      </c>
      <c r="AF209" s="251">
        <f>'BD Feedstock'!S207</f>
        <v>1.40625</v>
      </c>
      <c r="AG209" s="251">
        <f t="shared" si="90"/>
        <v>107.82482059462075</v>
      </c>
      <c r="AK209" s="237">
        <f t="shared" si="70"/>
        <v>0.20229846792359021</v>
      </c>
      <c r="AL209" s="237">
        <f t="shared" si="70"/>
        <v>0.11846591703484753</v>
      </c>
      <c r="AM209" s="237">
        <f t="shared" si="70"/>
        <v>8.3654208282077092E-3</v>
      </c>
      <c r="AN209" s="237">
        <f t="shared" si="70"/>
        <v>0.65782820636449979</v>
      </c>
      <c r="AO209" s="237">
        <f t="shared" si="70"/>
        <v>1.304198784885487E-2</v>
      </c>
      <c r="AP209" s="237">
        <f t="shared" si="91"/>
        <v>1</v>
      </c>
      <c r="AQ209" s="237"/>
      <c r="AR209" s="237">
        <f t="shared" si="92"/>
        <v>0.61464645366918802</v>
      </c>
      <c r="AS209" s="237">
        <f t="shared" si="93"/>
        <v>0.35993676340465403</v>
      </c>
      <c r="AT209" s="237">
        <f t="shared" si="94"/>
        <v>2.5416782926158003E-2</v>
      </c>
      <c r="AU209" s="237">
        <f t="shared" si="72"/>
        <v>0.98055959563958928</v>
      </c>
      <c r="AV209" s="237">
        <f t="shared" si="72"/>
        <v>1.9440404360410696E-2</v>
      </c>
      <c r="AX209" s="251">
        <f t="shared" si="96"/>
        <v>5973.0168261418075</v>
      </c>
      <c r="AY209" s="251">
        <f t="shared" si="96"/>
        <v>3497.7967111482503</v>
      </c>
      <c r="AZ209" s="251">
        <f t="shared" si="96"/>
        <v>246.99544132738833</v>
      </c>
      <c r="BA209" s="251">
        <f t="shared" si="96"/>
        <v>134656.54095601395</v>
      </c>
      <c r="BB209" s="251">
        <f t="shared" si="96"/>
        <v>2669.6772104418824</v>
      </c>
      <c r="BC209" s="251">
        <f t="shared" si="97"/>
        <v>147044.02714507328</v>
      </c>
      <c r="BD209" s="270">
        <f t="shared" si="74"/>
        <v>7.0713444637522658</v>
      </c>
      <c r="BY209" s="252">
        <f t="shared" si="81"/>
        <v>0.28724226536427638</v>
      </c>
      <c r="BZ209" s="252">
        <f t="shared" si="79"/>
        <v>0.16820897719501679</v>
      </c>
      <c r="CA209" s="252">
        <f t="shared" si="79"/>
        <v>1.1878006067388876E-2</v>
      </c>
      <c r="CB209" s="252">
        <f t="shared" si="79"/>
        <v>6.4756304889412384</v>
      </c>
      <c r="CC209" s="252">
        <f t="shared" si="79"/>
        <v>0.12838472618434615</v>
      </c>
    </row>
    <row r="210" spans="1:81">
      <c r="A210" s="11">
        <v>46023</v>
      </c>
      <c r="B210" s="268">
        <v>70</v>
      </c>
      <c r="C210" s="268">
        <v>13</v>
      </c>
      <c r="D210" s="268">
        <f t="shared" si="71"/>
        <v>20</v>
      </c>
      <c r="E210" s="268">
        <v>3</v>
      </c>
      <c r="F210" s="269">
        <v>0.2</v>
      </c>
      <c r="G210" s="269">
        <v>1.32</v>
      </c>
      <c r="H210" s="269"/>
      <c r="I210" s="269">
        <v>5</v>
      </c>
      <c r="J210" s="269"/>
      <c r="K210" s="269"/>
      <c r="L210" s="269"/>
      <c r="M210" s="269">
        <f t="shared" si="65"/>
        <v>1.5</v>
      </c>
      <c r="N210" s="269">
        <v>45</v>
      </c>
      <c r="O210" s="269">
        <f t="shared" si="85"/>
        <v>17.699535849485258</v>
      </c>
      <c r="Q210" s="251">
        <f t="shared" si="95"/>
        <v>176.71953584948523</v>
      </c>
      <c r="R210" s="251">
        <f>'RD Plant List'!N78</f>
        <v>124.33</v>
      </c>
      <c r="S210" s="251">
        <f>SUM(B210:O210)+'RD Plant List'!N78</f>
        <v>301.04953584948521</v>
      </c>
      <c r="T210" s="237">
        <f t="shared" si="82"/>
        <v>0.41298851250234409</v>
      </c>
      <c r="U210" s="251">
        <f t="shared" ref="U210:U273" si="101">S210*V210</f>
        <v>165.89835529848588</v>
      </c>
      <c r="V210" s="271">
        <f t="shared" si="89"/>
        <v>0.55106663702490999</v>
      </c>
      <c r="W210" s="251">
        <f t="shared" si="98"/>
        <v>13.82486294154049</v>
      </c>
      <c r="X210" s="242">
        <f t="shared" si="99"/>
        <v>7.0950574525179793</v>
      </c>
      <c r="Y210" s="273">
        <f t="shared" si="100"/>
        <v>7.0950574525179793</v>
      </c>
      <c r="AB210" s="251">
        <f>SUM('BD Feedstock'!C208,'BD Feedstock'!E208,'BD Feedstock'!G208,'BD Feedstock'!K208,'BD Feedstock'!T208)</f>
        <v>21.812796010427753</v>
      </c>
      <c r="AC210" s="251">
        <f>SUM('BD Feedstock'!D208,'BD Feedstock'!F208,'BD Feedstock'!H208,'BD Feedstock'!I208,'BD Feedstock'!L208,'BD Feedstock'!M208,'BD Feedstock'!N208,'BD Feedstock'!O208,'BD Feedstock'!U208)</f>
        <v>12.773566250859661</v>
      </c>
      <c r="AD210" s="251">
        <f>'BD Feedstock'!J208</f>
        <v>0.90199999999999991</v>
      </c>
      <c r="AE210" s="251">
        <f>SUM('BD Feedstock'!B208,'BD Feedstock'!P208,'BD Feedstock'!Q208,'BD Feedstock'!R208)</f>
        <v>70.93020833333334</v>
      </c>
      <c r="AF210" s="251">
        <f>'BD Feedstock'!S208</f>
        <v>1.40625</v>
      </c>
      <c r="AG210" s="251">
        <f t="shared" si="90"/>
        <v>107.82482059462075</v>
      </c>
      <c r="AK210" s="237">
        <f t="shared" si="70"/>
        <v>0.20229846792359021</v>
      </c>
      <c r="AL210" s="237">
        <f t="shared" si="70"/>
        <v>0.11846591703484753</v>
      </c>
      <c r="AM210" s="237">
        <f t="shared" si="70"/>
        <v>8.3654208282077092E-3</v>
      </c>
      <c r="AN210" s="237">
        <f t="shared" si="70"/>
        <v>0.65782820636449979</v>
      </c>
      <c r="AO210" s="237">
        <f t="shared" si="70"/>
        <v>1.304198784885487E-2</v>
      </c>
      <c r="AP210" s="237">
        <f t="shared" si="91"/>
        <v>1</v>
      </c>
      <c r="AQ210" s="237"/>
      <c r="AR210" s="237">
        <f t="shared" si="92"/>
        <v>0.61464645366918802</v>
      </c>
      <c r="AS210" s="237">
        <f t="shared" si="93"/>
        <v>0.35993676340465403</v>
      </c>
      <c r="AT210" s="237">
        <f t="shared" si="94"/>
        <v>2.5416782926158003E-2</v>
      </c>
      <c r="AU210" s="237">
        <f t="shared" si="72"/>
        <v>0.98055959563958928</v>
      </c>
      <c r="AV210" s="237">
        <f t="shared" si="72"/>
        <v>1.9440404360410696E-2</v>
      </c>
      <c r="AX210" s="251">
        <f t="shared" si="96"/>
        <v>1820.5101879985436</v>
      </c>
      <c r="AY210" s="251">
        <f t="shared" si="96"/>
        <v>1066.0901741183225</v>
      </c>
      <c r="AZ210" s="251">
        <f t="shared" si="96"/>
        <v>75.281508559914343</v>
      </c>
      <c r="BA210" s="251">
        <f t="shared" si="96"/>
        <v>40722.824699478457</v>
      </c>
      <c r="BB210" s="251">
        <f t="shared" si="96"/>
        <v>807.36365477062259</v>
      </c>
      <c r="BC210" s="251">
        <f t="shared" si="97"/>
        <v>44492.070224925854</v>
      </c>
      <c r="BD210" s="270">
        <f t="shared" si="74"/>
        <v>7.0950574525179793</v>
      </c>
      <c r="BY210" s="252">
        <f t="shared" si="81"/>
        <v>0.29031295490286441</v>
      </c>
      <c r="BZ210" s="252">
        <f t="shared" si="79"/>
        <v>0.17000717199032064</v>
      </c>
      <c r="CA210" s="252">
        <f t="shared" si="79"/>
        <v>1.2004984835378188E-2</v>
      </c>
      <c r="CB210" s="252">
        <f t="shared" si="79"/>
        <v>6.4939837461137007</v>
      </c>
      <c r="CC210" s="252">
        <f t="shared" si="79"/>
        <v>0.1287485946757157</v>
      </c>
    </row>
    <row r="211" spans="1:81">
      <c r="A211" s="11">
        <v>46054</v>
      </c>
      <c r="B211" s="268">
        <v>70</v>
      </c>
      <c r="C211" s="268">
        <v>13</v>
      </c>
      <c r="D211" s="268">
        <f t="shared" si="71"/>
        <v>20</v>
      </c>
      <c r="E211" s="268">
        <v>3</v>
      </c>
      <c r="F211" s="269">
        <v>0.2</v>
      </c>
      <c r="G211" s="269">
        <v>1.32</v>
      </c>
      <c r="H211" s="269"/>
      <c r="I211" s="269">
        <v>5</v>
      </c>
      <c r="J211" s="269"/>
      <c r="K211" s="269"/>
      <c r="L211" s="269"/>
      <c r="M211" s="269">
        <f t="shared" si="65"/>
        <v>1.5</v>
      </c>
      <c r="N211" s="269">
        <v>45</v>
      </c>
      <c r="O211" s="269">
        <f t="shared" si="85"/>
        <v>17.699535849485258</v>
      </c>
      <c r="Q211" s="251">
        <f t="shared" si="95"/>
        <v>176.71953584948523</v>
      </c>
      <c r="R211" s="251">
        <f>'RD Plant List'!N79</f>
        <v>274.33</v>
      </c>
      <c r="S211" s="251">
        <f>SUM(B211:O211)+'RD Plant List'!N79</f>
        <v>451.04953584948521</v>
      </c>
      <c r="T211" s="237">
        <f t="shared" si="82"/>
        <v>0.60820370756693043</v>
      </c>
      <c r="U211" s="251">
        <f t="shared" si="101"/>
        <v>234.28128299472615</v>
      </c>
      <c r="V211" s="271">
        <f t="shared" si="89"/>
        <v>0.51941364389942657</v>
      </c>
      <c r="W211" s="251">
        <f t="shared" si="98"/>
        <v>19.523440249560512</v>
      </c>
      <c r="X211" s="242">
        <f t="shared" si="99"/>
        <v>7.1289281608041284</v>
      </c>
      <c r="Y211" s="273">
        <f t="shared" si="100"/>
        <v>7.1289281608041284</v>
      </c>
      <c r="AB211" s="251">
        <f>SUM('BD Feedstock'!C209,'BD Feedstock'!E209,'BD Feedstock'!G209,'BD Feedstock'!K209,'BD Feedstock'!T209)</f>
        <v>21.812796010427753</v>
      </c>
      <c r="AC211" s="251">
        <f>SUM('BD Feedstock'!D209,'BD Feedstock'!F209,'BD Feedstock'!H209,'BD Feedstock'!I209,'BD Feedstock'!L209,'BD Feedstock'!M209,'BD Feedstock'!N209,'BD Feedstock'!O209,'BD Feedstock'!U209)</f>
        <v>12.773566250859661</v>
      </c>
      <c r="AD211" s="251">
        <f>'BD Feedstock'!J209</f>
        <v>0.90199999999999991</v>
      </c>
      <c r="AE211" s="251">
        <f>SUM('BD Feedstock'!B209,'BD Feedstock'!P209,'BD Feedstock'!Q209,'BD Feedstock'!R209)</f>
        <v>70.93020833333334</v>
      </c>
      <c r="AF211" s="251">
        <f>'BD Feedstock'!S209</f>
        <v>1.40625</v>
      </c>
      <c r="AG211" s="251">
        <f t="shared" si="90"/>
        <v>107.82482059462075</v>
      </c>
      <c r="AK211" s="237">
        <f t="shared" si="70"/>
        <v>0.20229846792359021</v>
      </c>
      <c r="AL211" s="237">
        <f t="shared" ref="AL211:AO274" si="102">AC211/$AG211</f>
        <v>0.11846591703484753</v>
      </c>
      <c r="AM211" s="237">
        <f t="shared" si="102"/>
        <v>8.3654208282077092E-3</v>
      </c>
      <c r="AN211" s="237">
        <f t="shared" si="102"/>
        <v>0.65782820636449979</v>
      </c>
      <c r="AO211" s="237">
        <f t="shared" si="102"/>
        <v>1.304198784885487E-2</v>
      </c>
      <c r="AP211" s="237">
        <f t="shared" si="91"/>
        <v>1</v>
      </c>
      <c r="AQ211" s="237"/>
      <c r="AR211" s="237">
        <f t="shared" si="92"/>
        <v>0.61464645366918802</v>
      </c>
      <c r="AS211" s="237">
        <f t="shared" si="93"/>
        <v>0.35993676340465403</v>
      </c>
      <c r="AT211" s="237">
        <f t="shared" si="94"/>
        <v>2.5416782926158003E-2</v>
      </c>
      <c r="AU211" s="237">
        <f t="shared" si="72"/>
        <v>0.98055959563958928</v>
      </c>
      <c r="AV211" s="237">
        <f t="shared" si="72"/>
        <v>1.9440404360410696E-2</v>
      </c>
      <c r="AX211" s="251">
        <f t="shared" si="96"/>
        <v>2561.5953208934743</v>
      </c>
      <c r="AY211" s="251">
        <f t="shared" si="96"/>
        <v>1500.069386963622</v>
      </c>
      <c r="AZ211" s="251">
        <f t="shared" si="96"/>
        <v>105.92676786329136</v>
      </c>
      <c r="BA211" s="251">
        <f t="shared" si="96"/>
        <v>57817.674868322232</v>
      </c>
      <c r="BB211" s="251">
        <f t="shared" si="96"/>
        <v>1146.2831872914269</v>
      </c>
      <c r="BC211" s="251">
        <f t="shared" si="97"/>
        <v>63131.549531334043</v>
      </c>
      <c r="BD211" s="270">
        <f t="shared" si="74"/>
        <v>7.1289281608041284</v>
      </c>
      <c r="BY211" s="252">
        <f t="shared" si="81"/>
        <v>0.2892599525161012</v>
      </c>
      <c r="BZ211" s="252">
        <f t="shared" si="79"/>
        <v>0.16939053413503591</v>
      </c>
      <c r="CA211" s="252">
        <f t="shared" si="79"/>
        <v>1.1961441212983044E-2</v>
      </c>
      <c r="CB211" s="252">
        <f t="shared" si="79"/>
        <v>6.5288758730121677</v>
      </c>
      <c r="CC211" s="252">
        <f t="shared" si="79"/>
        <v>0.12944035992784045</v>
      </c>
    </row>
    <row r="212" spans="1:81">
      <c r="A212" s="11">
        <v>46082</v>
      </c>
      <c r="B212" s="268">
        <v>70</v>
      </c>
      <c r="C212" s="268">
        <v>13</v>
      </c>
      <c r="D212" s="268">
        <f t="shared" si="71"/>
        <v>20</v>
      </c>
      <c r="E212" s="268">
        <v>3</v>
      </c>
      <c r="F212" s="269">
        <v>0.2</v>
      </c>
      <c r="G212" s="269">
        <v>1.32</v>
      </c>
      <c r="H212" s="269"/>
      <c r="I212" s="269">
        <v>5</v>
      </c>
      <c r="J212" s="269"/>
      <c r="K212" s="269"/>
      <c r="L212" s="269"/>
      <c r="M212" s="269">
        <f t="shared" si="65"/>
        <v>1.5</v>
      </c>
      <c r="N212" s="269">
        <v>45</v>
      </c>
      <c r="O212" s="269">
        <f t="shared" si="85"/>
        <v>17.699535849485258</v>
      </c>
      <c r="Q212" s="251">
        <f t="shared" si="95"/>
        <v>176.71953584948523</v>
      </c>
      <c r="R212" s="251">
        <f>'RD Plant List'!N80</f>
        <v>444.33</v>
      </c>
      <c r="S212" s="251">
        <f>SUM(B212:O212)+'RD Plant List'!N80</f>
        <v>621.04953584948521</v>
      </c>
      <c r="T212" s="237">
        <f t="shared" si="82"/>
        <v>0.7154501764375939</v>
      </c>
      <c r="U212" s="251">
        <f t="shared" si="101"/>
        <v>365.19170342511273</v>
      </c>
      <c r="V212" s="271">
        <f t="shared" si="89"/>
        <v>0.58802347050400017</v>
      </c>
      <c r="W212" s="251">
        <f t="shared" si="98"/>
        <v>30.432641952092727</v>
      </c>
      <c r="X212" s="242">
        <f t="shared" si="99"/>
        <v>7.1187169849290859</v>
      </c>
      <c r="Y212" s="273">
        <f t="shared" si="100"/>
        <v>7.1187169849290859</v>
      </c>
      <c r="AB212" s="251">
        <f>SUM('BD Feedstock'!C210,'BD Feedstock'!E210,'BD Feedstock'!G210,'BD Feedstock'!K210,'BD Feedstock'!T210)</f>
        <v>21.812796010427753</v>
      </c>
      <c r="AC212" s="251">
        <f>SUM('BD Feedstock'!D210,'BD Feedstock'!F210,'BD Feedstock'!H210,'BD Feedstock'!I210,'BD Feedstock'!L210,'BD Feedstock'!M210,'BD Feedstock'!N210,'BD Feedstock'!O210,'BD Feedstock'!U210)</f>
        <v>12.773566250859661</v>
      </c>
      <c r="AD212" s="251">
        <f>'BD Feedstock'!J210</f>
        <v>0.90199999999999991</v>
      </c>
      <c r="AE212" s="251">
        <f>SUM('BD Feedstock'!B210,'BD Feedstock'!P210,'BD Feedstock'!Q210,'BD Feedstock'!R210)</f>
        <v>70.93020833333334</v>
      </c>
      <c r="AF212" s="251">
        <f>'BD Feedstock'!S210</f>
        <v>1.40625</v>
      </c>
      <c r="AG212" s="251">
        <f t="shared" si="90"/>
        <v>107.82482059462075</v>
      </c>
      <c r="AK212" s="237">
        <f t="shared" ref="AK212:AN275" si="103">AB212/$AG212</f>
        <v>0.20229846792359021</v>
      </c>
      <c r="AL212" s="237">
        <f t="shared" si="102"/>
        <v>0.11846591703484753</v>
      </c>
      <c r="AM212" s="237">
        <f t="shared" si="102"/>
        <v>8.3654208282077092E-3</v>
      </c>
      <c r="AN212" s="237">
        <f t="shared" si="102"/>
        <v>0.65782820636449979</v>
      </c>
      <c r="AO212" s="237">
        <f t="shared" si="102"/>
        <v>1.304198784885487E-2</v>
      </c>
      <c r="AP212" s="237">
        <f t="shared" si="91"/>
        <v>1</v>
      </c>
      <c r="AQ212" s="237"/>
      <c r="AR212" s="237">
        <f t="shared" si="92"/>
        <v>0.61464645366918802</v>
      </c>
      <c r="AS212" s="237">
        <f t="shared" si="93"/>
        <v>0.35993676340465403</v>
      </c>
      <c r="AT212" s="237">
        <f t="shared" si="94"/>
        <v>2.5416782926158003E-2</v>
      </c>
      <c r="AU212" s="237">
        <f t="shared" si="72"/>
        <v>0.98055959563958928</v>
      </c>
      <c r="AV212" s="237">
        <f t="shared" si="72"/>
        <v>1.9440404360410696E-2</v>
      </c>
      <c r="AX212" s="251">
        <f t="shared" si="96"/>
        <v>3955.7821266216356</v>
      </c>
      <c r="AY212" s="251">
        <f t="shared" si="96"/>
        <v>2316.5047270515906</v>
      </c>
      <c r="AZ212" s="251">
        <f t="shared" si="96"/>
        <v>163.5790054840721</v>
      </c>
      <c r="BA212" s="251">
        <f t="shared" si="96"/>
        <v>90045.799724542318</v>
      </c>
      <c r="BB212" s="251">
        <f t="shared" si="96"/>
        <v>1785.2323972821332</v>
      </c>
      <c r="BC212" s="251">
        <f t="shared" si="97"/>
        <v>98266.897980981754</v>
      </c>
      <c r="BD212" s="270">
        <f t="shared" si="74"/>
        <v>7.1187169849290859</v>
      </c>
      <c r="BY212" s="252">
        <f t="shared" si="81"/>
        <v>0.2865674402270269</v>
      </c>
      <c r="BZ212" s="252">
        <f t="shared" si="81"/>
        <v>0.16781379981407574</v>
      </c>
      <c r="CA212" s="252">
        <f t="shared" si="81"/>
        <v>1.1850100783100332E-2</v>
      </c>
      <c r="CB212" s="252">
        <f t="shared" si="81"/>
        <v>6.523158633181656</v>
      </c>
      <c r="CC212" s="252">
        <f t="shared" si="81"/>
        <v>0.12932701092322629</v>
      </c>
    </row>
    <row r="213" spans="1:81">
      <c r="A213" s="11">
        <v>46113</v>
      </c>
      <c r="B213" s="268">
        <v>70</v>
      </c>
      <c r="C213" s="268">
        <v>13</v>
      </c>
      <c r="D213" s="268">
        <f t="shared" si="71"/>
        <v>20</v>
      </c>
      <c r="E213" s="268">
        <v>3</v>
      </c>
      <c r="F213" s="269">
        <v>0.2</v>
      </c>
      <c r="G213" s="269">
        <v>1.32</v>
      </c>
      <c r="H213" s="269"/>
      <c r="I213" s="269">
        <v>5</v>
      </c>
      <c r="J213" s="269"/>
      <c r="K213" s="269"/>
      <c r="L213" s="269"/>
      <c r="M213" s="269">
        <f t="shared" si="65"/>
        <v>1.5</v>
      </c>
      <c r="N213" s="269">
        <v>45</v>
      </c>
      <c r="O213" s="269">
        <f t="shared" si="85"/>
        <v>17.699535849485258</v>
      </c>
      <c r="Q213" s="251">
        <f t="shared" si="95"/>
        <v>176.71953584948523</v>
      </c>
      <c r="R213" s="251">
        <f>'RD Plant List'!N81</f>
        <v>444.33</v>
      </c>
      <c r="S213" s="251">
        <f>SUM(B213:O213)+'RD Plant List'!N81</f>
        <v>621.04953584948521</v>
      </c>
      <c r="T213" s="237">
        <f t="shared" si="82"/>
        <v>0.7154501764375939</v>
      </c>
      <c r="U213" s="251">
        <f t="shared" si="101"/>
        <v>369.18465203804288</v>
      </c>
      <c r="V213" s="271">
        <f t="shared" si="89"/>
        <v>0.59445282658985321</v>
      </c>
      <c r="W213" s="251">
        <f t="shared" si="98"/>
        <v>30.765387669836908</v>
      </c>
      <c r="X213" s="242">
        <f t="shared" si="99"/>
        <v>7.1051320392906998</v>
      </c>
      <c r="Y213" s="273">
        <f t="shared" si="100"/>
        <v>7.1051320392906998</v>
      </c>
      <c r="AB213" s="251">
        <f>SUM('BD Feedstock'!C211,'BD Feedstock'!E211,'BD Feedstock'!G211,'BD Feedstock'!K211,'BD Feedstock'!T211)</f>
        <v>21.812796010427753</v>
      </c>
      <c r="AC213" s="251">
        <f>SUM('BD Feedstock'!D211,'BD Feedstock'!F211,'BD Feedstock'!H211,'BD Feedstock'!I211,'BD Feedstock'!L211,'BD Feedstock'!M211,'BD Feedstock'!N211,'BD Feedstock'!O211,'BD Feedstock'!U211)</f>
        <v>12.773566250859661</v>
      </c>
      <c r="AD213" s="251">
        <f>'BD Feedstock'!J211</f>
        <v>0.90199999999999991</v>
      </c>
      <c r="AE213" s="251">
        <f>SUM('BD Feedstock'!B211,'BD Feedstock'!P211,'BD Feedstock'!Q211,'BD Feedstock'!R211)</f>
        <v>70.93020833333334</v>
      </c>
      <c r="AF213" s="251">
        <f>'BD Feedstock'!S211</f>
        <v>1.40625</v>
      </c>
      <c r="AG213" s="251">
        <f t="shared" si="90"/>
        <v>107.82482059462075</v>
      </c>
      <c r="AK213" s="237">
        <f t="shared" si="103"/>
        <v>0.20229846792359021</v>
      </c>
      <c r="AL213" s="237">
        <f t="shared" si="102"/>
        <v>0.11846591703484753</v>
      </c>
      <c r="AM213" s="237">
        <f t="shared" si="102"/>
        <v>8.3654208282077092E-3</v>
      </c>
      <c r="AN213" s="237">
        <f t="shared" si="102"/>
        <v>0.65782820636449979</v>
      </c>
      <c r="AO213" s="237">
        <f t="shared" si="102"/>
        <v>1.304198784885487E-2</v>
      </c>
      <c r="AP213" s="237">
        <f t="shared" si="91"/>
        <v>1</v>
      </c>
      <c r="AQ213" s="237"/>
      <c r="AR213" s="237">
        <f t="shared" si="92"/>
        <v>0.61464645366918802</v>
      </c>
      <c r="AS213" s="237">
        <f t="shared" si="93"/>
        <v>0.35993676340465403</v>
      </c>
      <c r="AT213" s="237">
        <f t="shared" si="94"/>
        <v>2.5416782926158003E-2</v>
      </c>
      <c r="AU213" s="237">
        <f t="shared" si="72"/>
        <v>0.98055959563958928</v>
      </c>
      <c r="AV213" s="237">
        <f t="shared" si="72"/>
        <v>1.9440404360410696E-2</v>
      </c>
      <c r="AX213" s="251">
        <f t="shared" si="96"/>
        <v>4005.2487751142189</v>
      </c>
      <c r="AY213" s="251">
        <f t="shared" si="96"/>
        <v>2345.4723803238226</v>
      </c>
      <c r="AZ213" s="251">
        <f t="shared" si="96"/>
        <v>165.62454411740356</v>
      </c>
      <c r="BA213" s="251">
        <f t="shared" si="96"/>
        <v>90834.540029309588</v>
      </c>
      <c r="BB213" s="251">
        <f t="shared" si="96"/>
        <v>1800.869825673243</v>
      </c>
      <c r="BC213" s="251">
        <f t="shared" si="97"/>
        <v>99151.755554538278</v>
      </c>
      <c r="BD213" s="270">
        <f t="shared" si="74"/>
        <v>7.1051320392906998</v>
      </c>
      <c r="BY213" s="252">
        <f t="shared" ref="BY213:CC276" si="104">(AX213*2204.622)/($W213*1000000)</f>
        <v>0.28701278397174407</v>
      </c>
      <c r="BZ213" s="252">
        <f t="shared" si="104"/>
        <v>0.16807459296617008</v>
      </c>
      <c r="CA213" s="252">
        <f t="shared" si="104"/>
        <v>1.1868516581677584E-2</v>
      </c>
      <c r="CB213" s="252">
        <f t="shared" si="104"/>
        <v>6.5091273172816848</v>
      </c>
      <c r="CC213" s="252">
        <f t="shared" si="104"/>
        <v>0.12904882848942312</v>
      </c>
    </row>
    <row r="214" spans="1:81">
      <c r="A214" s="11">
        <v>46143</v>
      </c>
      <c r="B214" s="268">
        <v>70</v>
      </c>
      <c r="C214" s="268">
        <v>13</v>
      </c>
      <c r="D214" s="268">
        <f t="shared" si="71"/>
        <v>20</v>
      </c>
      <c r="E214" s="268">
        <v>3</v>
      </c>
      <c r="F214" s="269">
        <v>0.2</v>
      </c>
      <c r="G214" s="269">
        <v>1.32</v>
      </c>
      <c r="H214" s="269"/>
      <c r="I214" s="269">
        <v>5</v>
      </c>
      <c r="J214" s="269"/>
      <c r="K214" s="269"/>
      <c r="L214" s="269"/>
      <c r="M214" s="269">
        <f t="shared" si="65"/>
        <v>1.5</v>
      </c>
      <c r="N214" s="269">
        <v>45</v>
      </c>
      <c r="O214" s="269">
        <f t="shared" si="85"/>
        <v>17.699535849485258</v>
      </c>
      <c r="Q214" s="251">
        <f t="shared" si="95"/>
        <v>176.71953584948523</v>
      </c>
      <c r="R214" s="251">
        <f>'RD Plant List'!N82</f>
        <v>444.33</v>
      </c>
      <c r="S214" s="251">
        <f>SUM(B214:O214)+'RD Plant List'!N82</f>
        <v>621.04953584948521</v>
      </c>
      <c r="T214" s="237">
        <f t="shared" si="82"/>
        <v>0.7154501764375939</v>
      </c>
      <c r="U214" s="251">
        <f t="shared" si="101"/>
        <v>349.61990236958121</v>
      </c>
      <c r="V214" s="271">
        <f t="shared" si="89"/>
        <v>0.56295010653435784</v>
      </c>
      <c r="W214" s="251">
        <f t="shared" si="98"/>
        <v>29.134991864131766</v>
      </c>
      <c r="X214" s="242">
        <f t="shared" si="99"/>
        <v>7.09808177321767</v>
      </c>
      <c r="Y214" s="273">
        <f t="shared" si="100"/>
        <v>7.09808177321767</v>
      </c>
      <c r="AB214" s="251">
        <f>SUM('BD Feedstock'!C212,'BD Feedstock'!E212,'BD Feedstock'!G212,'BD Feedstock'!K212,'BD Feedstock'!T212)</f>
        <v>21.812796010427753</v>
      </c>
      <c r="AC214" s="251">
        <f>SUM('BD Feedstock'!D212,'BD Feedstock'!F212,'BD Feedstock'!H212,'BD Feedstock'!I212,'BD Feedstock'!L212,'BD Feedstock'!M212,'BD Feedstock'!N212,'BD Feedstock'!O212,'BD Feedstock'!U212)</f>
        <v>12.773566250859661</v>
      </c>
      <c r="AD214" s="251">
        <f>'BD Feedstock'!J212</f>
        <v>0.90199999999999991</v>
      </c>
      <c r="AE214" s="251">
        <f>SUM('BD Feedstock'!B212,'BD Feedstock'!P212,'BD Feedstock'!Q212,'BD Feedstock'!R212)</f>
        <v>70.93020833333334</v>
      </c>
      <c r="AF214" s="251">
        <f>'BD Feedstock'!S212</f>
        <v>1.40625</v>
      </c>
      <c r="AG214" s="251">
        <f t="shared" si="90"/>
        <v>107.82482059462075</v>
      </c>
      <c r="AK214" s="237">
        <f t="shared" si="103"/>
        <v>0.20229846792359021</v>
      </c>
      <c r="AL214" s="237">
        <f t="shared" si="102"/>
        <v>0.11846591703484753</v>
      </c>
      <c r="AM214" s="237">
        <f t="shared" si="102"/>
        <v>8.3654208282077092E-3</v>
      </c>
      <c r="AN214" s="237">
        <f t="shared" si="102"/>
        <v>0.65782820636449979</v>
      </c>
      <c r="AO214" s="237">
        <f t="shared" si="102"/>
        <v>1.304198784885487E-2</v>
      </c>
      <c r="AP214" s="237">
        <f t="shared" si="91"/>
        <v>1</v>
      </c>
      <c r="AQ214" s="237"/>
      <c r="AR214" s="237">
        <f t="shared" si="92"/>
        <v>0.61464645366918802</v>
      </c>
      <c r="AS214" s="237">
        <f t="shared" si="93"/>
        <v>0.35993676340465403</v>
      </c>
      <c r="AT214" s="237">
        <f t="shared" si="94"/>
        <v>2.5416782926158003E-2</v>
      </c>
      <c r="AU214" s="237">
        <f t="shared" si="72"/>
        <v>0.98055959563958928</v>
      </c>
      <c r="AV214" s="237">
        <f t="shared" si="72"/>
        <v>1.9440404360410696E-2</v>
      </c>
      <c r="AX214" s="251">
        <f t="shared" si="96"/>
        <v>3798.7985475241994</v>
      </c>
      <c r="AY214" s="251">
        <f t="shared" si="96"/>
        <v>2224.5751941783383</v>
      </c>
      <c r="AZ214" s="251">
        <f t="shared" si="96"/>
        <v>157.08744024510884</v>
      </c>
      <c r="BA214" s="251">
        <f t="shared" si="96"/>
        <v>85920.187466906922</v>
      </c>
      <c r="BB214" s="251">
        <f t="shared" si="96"/>
        <v>1703.4387246901224</v>
      </c>
      <c r="BC214" s="251">
        <f t="shared" si="97"/>
        <v>93804.08737354468</v>
      </c>
      <c r="BD214" s="270">
        <f t="shared" si="74"/>
        <v>7.0980817732176709</v>
      </c>
      <c r="BY214" s="252">
        <f t="shared" si="104"/>
        <v>0.28745210880770122</v>
      </c>
      <c r="BZ214" s="252">
        <f t="shared" si="104"/>
        <v>0.16833186144725176</v>
      </c>
      <c r="CA214" s="252">
        <f t="shared" si="104"/>
        <v>1.1886683487096032E-2</v>
      </c>
      <c r="CB214" s="252">
        <f t="shared" si="104"/>
        <v>6.5015132462372529</v>
      </c>
      <c r="CC214" s="252">
        <f t="shared" si="104"/>
        <v>0.12889787323836963</v>
      </c>
    </row>
    <row r="215" spans="1:81">
      <c r="A215" s="11">
        <v>46174</v>
      </c>
      <c r="B215" s="268">
        <v>70</v>
      </c>
      <c r="C215" s="268">
        <v>13</v>
      </c>
      <c r="D215" s="268">
        <f t="shared" si="71"/>
        <v>20</v>
      </c>
      <c r="E215" s="268">
        <v>3</v>
      </c>
      <c r="F215" s="269">
        <v>0.2</v>
      </c>
      <c r="G215" s="269">
        <v>1.32</v>
      </c>
      <c r="H215" s="269"/>
      <c r="I215" s="269">
        <v>5</v>
      </c>
      <c r="J215" s="269"/>
      <c r="K215" s="269"/>
      <c r="L215" s="269"/>
      <c r="M215" s="269">
        <f t="shared" ref="M215:M278" si="105">$M$3</f>
        <v>1.5</v>
      </c>
      <c r="N215" s="269">
        <v>45</v>
      </c>
      <c r="O215" s="269">
        <f t="shared" si="85"/>
        <v>17.699535849485258</v>
      </c>
      <c r="Q215" s="251">
        <f t="shared" si="95"/>
        <v>176.71953584948523</v>
      </c>
      <c r="R215" s="251">
        <f>'RD Plant List'!N83</f>
        <v>444.33</v>
      </c>
      <c r="S215" s="251">
        <f>SUM(B215:O215)+'RD Plant List'!N83</f>
        <v>621.04953584948521</v>
      </c>
      <c r="T215" s="237">
        <f t="shared" si="82"/>
        <v>0.7154501764375939</v>
      </c>
      <c r="U215" s="251">
        <f t="shared" si="101"/>
        <v>402.82511063714634</v>
      </c>
      <c r="V215" s="271">
        <f t="shared" si="89"/>
        <v>0.6486199367110923</v>
      </c>
      <c r="W215" s="251">
        <f t="shared" si="98"/>
        <v>33.568759219762192</v>
      </c>
      <c r="X215" s="242">
        <f t="shared" si="99"/>
        <v>7.1028768124186392</v>
      </c>
      <c r="Y215" s="273">
        <f t="shared" si="100"/>
        <v>7.1028768124186392</v>
      </c>
      <c r="AB215" s="251">
        <f>SUM('BD Feedstock'!C213,'BD Feedstock'!E213,'BD Feedstock'!G213,'BD Feedstock'!K213,'BD Feedstock'!T213)</f>
        <v>21.812796010427753</v>
      </c>
      <c r="AC215" s="251">
        <f>SUM('BD Feedstock'!D213,'BD Feedstock'!F213,'BD Feedstock'!H213,'BD Feedstock'!I213,'BD Feedstock'!L213,'BD Feedstock'!M213,'BD Feedstock'!N213,'BD Feedstock'!O213,'BD Feedstock'!U213)</f>
        <v>12.773566250859661</v>
      </c>
      <c r="AD215" s="251">
        <f>'BD Feedstock'!J213</f>
        <v>0.90199999999999991</v>
      </c>
      <c r="AE215" s="251">
        <f>SUM('BD Feedstock'!B213,'BD Feedstock'!P213,'BD Feedstock'!Q213,'BD Feedstock'!R213)</f>
        <v>70.93020833333334</v>
      </c>
      <c r="AF215" s="251">
        <f>'BD Feedstock'!S213</f>
        <v>1.40625</v>
      </c>
      <c r="AG215" s="251">
        <f t="shared" si="90"/>
        <v>107.82482059462075</v>
      </c>
      <c r="AK215" s="237">
        <f t="shared" si="103"/>
        <v>0.20229846792359021</v>
      </c>
      <c r="AL215" s="237">
        <f t="shared" si="102"/>
        <v>0.11846591703484753</v>
      </c>
      <c r="AM215" s="237">
        <f t="shared" si="102"/>
        <v>8.3654208282077092E-3</v>
      </c>
      <c r="AN215" s="237">
        <f t="shared" si="102"/>
        <v>0.65782820636449979</v>
      </c>
      <c r="AO215" s="237">
        <f t="shared" si="102"/>
        <v>1.304198784885487E-2</v>
      </c>
      <c r="AP215" s="237">
        <f t="shared" si="91"/>
        <v>1</v>
      </c>
      <c r="AQ215" s="237"/>
      <c r="AR215" s="237">
        <f t="shared" si="92"/>
        <v>0.61464645366918802</v>
      </c>
      <c r="AS215" s="237">
        <f t="shared" si="93"/>
        <v>0.35993676340465403</v>
      </c>
      <c r="AT215" s="237">
        <f t="shared" si="94"/>
        <v>2.5416782926158003E-2</v>
      </c>
      <c r="AU215" s="237">
        <f t="shared" si="72"/>
        <v>0.98055959563958928</v>
      </c>
      <c r="AV215" s="237">
        <f t="shared" si="72"/>
        <v>1.9440404360410696E-2</v>
      </c>
      <c r="AX215" s="251">
        <f t="shared" si="96"/>
        <v>4384.8557629018778</v>
      </c>
      <c r="AY215" s="251">
        <f t="shared" si="96"/>
        <v>2567.7701089358206</v>
      </c>
      <c r="AZ215" s="251">
        <f t="shared" si="96"/>
        <v>181.32200458147148</v>
      </c>
      <c r="BA215" s="251">
        <f t="shared" si="96"/>
        <v>99054.435141855472</v>
      </c>
      <c r="BB215" s="251">
        <f t="shared" si="96"/>
        <v>1963.8360395562697</v>
      </c>
      <c r="BC215" s="251">
        <f t="shared" si="97"/>
        <v>108152.21905783091</v>
      </c>
      <c r="BD215" s="270">
        <f t="shared" si="74"/>
        <v>7.1028768124186383</v>
      </c>
      <c r="BY215" s="252">
        <f t="shared" si="104"/>
        <v>0.28797458429828571</v>
      </c>
      <c r="BZ215" s="252">
        <f t="shared" si="104"/>
        <v>0.16863782292464516</v>
      </c>
      <c r="CA215" s="252">
        <f t="shared" si="104"/>
        <v>1.1908288827937343E-2</v>
      </c>
      <c r="CB215" s="252">
        <f t="shared" si="104"/>
        <v>6.5053815507946178</v>
      </c>
      <c r="CC215" s="252">
        <f t="shared" si="104"/>
        <v>0.12897456557315357</v>
      </c>
    </row>
    <row r="216" spans="1:81">
      <c r="A216" s="11">
        <v>46204</v>
      </c>
      <c r="B216" s="268">
        <v>70</v>
      </c>
      <c r="C216" s="268">
        <v>13</v>
      </c>
      <c r="D216" s="268">
        <f t="shared" si="71"/>
        <v>20</v>
      </c>
      <c r="E216" s="268">
        <v>3</v>
      </c>
      <c r="F216" s="269">
        <v>0.2</v>
      </c>
      <c r="G216" s="269">
        <v>1.32</v>
      </c>
      <c r="H216" s="269"/>
      <c r="I216" s="269">
        <v>5</v>
      </c>
      <c r="J216" s="269"/>
      <c r="K216" s="269"/>
      <c r="L216" s="269"/>
      <c r="M216" s="269">
        <f t="shared" si="105"/>
        <v>1.5</v>
      </c>
      <c r="N216" s="269">
        <v>45</v>
      </c>
      <c r="O216" s="269">
        <f t="shared" si="85"/>
        <v>17.699535849485258</v>
      </c>
      <c r="Q216" s="251">
        <f t="shared" si="95"/>
        <v>176.71953584948523</v>
      </c>
      <c r="R216" s="251">
        <f>'RD Plant List'!N84</f>
        <v>444.33</v>
      </c>
      <c r="S216" s="251">
        <f>SUM(B216:O216)+'RD Plant List'!N84</f>
        <v>621.04953584948521</v>
      </c>
      <c r="T216" s="237">
        <f t="shared" si="82"/>
        <v>0.7154501764375939</v>
      </c>
      <c r="U216" s="251">
        <f t="shared" si="101"/>
        <v>404.30945435435768</v>
      </c>
      <c r="V216" s="271">
        <f t="shared" si="89"/>
        <v>0.65100999359307843</v>
      </c>
      <c r="W216" s="251">
        <f t="shared" si="98"/>
        <v>33.692454529529805</v>
      </c>
      <c r="X216" s="242">
        <f t="shared" si="99"/>
        <v>7.1081322038630352</v>
      </c>
      <c r="Y216" s="273">
        <f t="shared" si="100"/>
        <v>7.1081322038630352</v>
      </c>
      <c r="AB216" s="251">
        <f>SUM('BD Feedstock'!C214,'BD Feedstock'!E214,'BD Feedstock'!G214,'BD Feedstock'!K214,'BD Feedstock'!T214)</f>
        <v>21.812796010427753</v>
      </c>
      <c r="AC216" s="251">
        <f>SUM('BD Feedstock'!D214,'BD Feedstock'!F214,'BD Feedstock'!H214,'BD Feedstock'!I214,'BD Feedstock'!L214,'BD Feedstock'!M214,'BD Feedstock'!N214,'BD Feedstock'!O214,'BD Feedstock'!U214)</f>
        <v>12.773566250859661</v>
      </c>
      <c r="AD216" s="251">
        <f>'BD Feedstock'!J214</f>
        <v>0.90199999999999991</v>
      </c>
      <c r="AE216" s="251">
        <f>SUM('BD Feedstock'!B214,'BD Feedstock'!P214,'BD Feedstock'!Q214,'BD Feedstock'!R214)</f>
        <v>70.93020833333334</v>
      </c>
      <c r="AF216" s="251">
        <f>'BD Feedstock'!S214</f>
        <v>1.40625</v>
      </c>
      <c r="AG216" s="251">
        <f t="shared" si="90"/>
        <v>107.82482059462075</v>
      </c>
      <c r="AK216" s="237">
        <f t="shared" si="103"/>
        <v>0.20229846792359021</v>
      </c>
      <c r="AL216" s="237">
        <f t="shared" si="102"/>
        <v>0.11846591703484753</v>
      </c>
      <c r="AM216" s="237">
        <f t="shared" si="102"/>
        <v>8.3654208282077092E-3</v>
      </c>
      <c r="AN216" s="237">
        <f t="shared" si="102"/>
        <v>0.65782820636449979</v>
      </c>
      <c r="AO216" s="237">
        <f t="shared" si="102"/>
        <v>1.304198784885487E-2</v>
      </c>
      <c r="AP216" s="237">
        <f t="shared" si="91"/>
        <v>1</v>
      </c>
      <c r="AQ216" s="237"/>
      <c r="AR216" s="237">
        <f t="shared" si="92"/>
        <v>0.61464645366918802</v>
      </c>
      <c r="AS216" s="237">
        <f t="shared" si="93"/>
        <v>0.35993676340465403</v>
      </c>
      <c r="AT216" s="237">
        <f t="shared" si="94"/>
        <v>2.5416782926158003E-2</v>
      </c>
      <c r="AU216" s="237">
        <f t="shared" si="72"/>
        <v>0.98055959563958928</v>
      </c>
      <c r="AV216" s="237">
        <f t="shared" si="72"/>
        <v>1.9440404360410696E-2</v>
      </c>
      <c r="AX216" s="251">
        <f t="shared" si="96"/>
        <v>4402.8785240861134</v>
      </c>
      <c r="AY216" s="251">
        <f t="shared" si="96"/>
        <v>2578.3242320248651</v>
      </c>
      <c r="AZ216" s="251">
        <f t="shared" si="96"/>
        <v>182.0672795375298</v>
      </c>
      <c r="BA216" s="251">
        <f t="shared" si="96"/>
        <v>99495.213456323312</v>
      </c>
      <c r="BB216" s="251">
        <f t="shared" si="96"/>
        <v>1972.5748339188563</v>
      </c>
      <c r="BC216" s="251">
        <f t="shared" si="97"/>
        <v>108631.05832589068</v>
      </c>
      <c r="BD216" s="270">
        <f t="shared" si="74"/>
        <v>7.1081322038630343</v>
      </c>
      <c r="BY216" s="252">
        <f t="shared" si="104"/>
        <v>0.28809663745395392</v>
      </c>
      <c r="BZ216" s="252">
        <f t="shared" si="104"/>
        <v>0.16870929721291661</v>
      </c>
      <c r="CA216" s="252">
        <f t="shared" si="104"/>
        <v>1.1913335954695421E-2</v>
      </c>
      <c r="CB216" s="252">
        <f t="shared" si="104"/>
        <v>6.5103400611035127</v>
      </c>
      <c r="CC216" s="252">
        <f t="shared" si="104"/>
        <v>0.12907287213795482</v>
      </c>
    </row>
    <row r="217" spans="1:81">
      <c r="A217" s="11">
        <v>46235</v>
      </c>
      <c r="B217" s="268">
        <v>70</v>
      </c>
      <c r="C217" s="268">
        <v>13</v>
      </c>
      <c r="D217" s="268">
        <f t="shared" si="71"/>
        <v>20</v>
      </c>
      <c r="E217" s="268">
        <v>3</v>
      </c>
      <c r="F217" s="269">
        <v>0.2</v>
      </c>
      <c r="G217" s="269">
        <v>1.32</v>
      </c>
      <c r="H217" s="269"/>
      <c r="I217" s="269">
        <v>5</v>
      </c>
      <c r="J217" s="269"/>
      <c r="K217" s="269"/>
      <c r="L217" s="269"/>
      <c r="M217" s="269">
        <f t="shared" si="105"/>
        <v>1.5</v>
      </c>
      <c r="N217" s="269">
        <v>45</v>
      </c>
      <c r="O217" s="269">
        <f t="shared" si="85"/>
        <v>17.699535849485258</v>
      </c>
      <c r="Q217" s="251">
        <f t="shared" si="95"/>
        <v>176.71953584948523</v>
      </c>
      <c r="R217" s="251">
        <f>'RD Plant List'!N85</f>
        <v>444.33</v>
      </c>
      <c r="S217" s="251">
        <f>SUM(B217:O217)+'RD Plant List'!N85</f>
        <v>621.04953584948521</v>
      </c>
      <c r="T217" s="237">
        <f t="shared" si="82"/>
        <v>0.7154501764375939</v>
      </c>
      <c r="U217" s="251">
        <f t="shared" si="101"/>
        <v>387.44324010219049</v>
      </c>
      <c r="V217" s="271">
        <f t="shared" si="89"/>
        <v>0.62385239459560515</v>
      </c>
      <c r="W217" s="251">
        <f t="shared" si="98"/>
        <v>32.286936675182538</v>
      </c>
      <c r="X217" s="242">
        <f t="shared" si="99"/>
        <v>7.1103113290872093</v>
      </c>
      <c r="Y217" s="273">
        <f t="shared" si="100"/>
        <v>7.1103113290872093</v>
      </c>
      <c r="AB217" s="251">
        <f>SUM('BD Feedstock'!C215,'BD Feedstock'!E215,'BD Feedstock'!G215,'BD Feedstock'!K215,'BD Feedstock'!T215)</f>
        <v>21.812796010427753</v>
      </c>
      <c r="AC217" s="251">
        <f>SUM('BD Feedstock'!D215,'BD Feedstock'!F215,'BD Feedstock'!H215,'BD Feedstock'!I215,'BD Feedstock'!L215,'BD Feedstock'!M215,'BD Feedstock'!N215,'BD Feedstock'!O215,'BD Feedstock'!U215)</f>
        <v>12.773566250859661</v>
      </c>
      <c r="AD217" s="251">
        <f>'BD Feedstock'!J215</f>
        <v>0.90199999999999991</v>
      </c>
      <c r="AE217" s="251">
        <f>SUM('BD Feedstock'!B215,'BD Feedstock'!P215,'BD Feedstock'!Q215,'BD Feedstock'!R215)</f>
        <v>70.93020833333334</v>
      </c>
      <c r="AF217" s="251">
        <f>'BD Feedstock'!S215</f>
        <v>1.40625</v>
      </c>
      <c r="AG217" s="251">
        <f t="shared" si="90"/>
        <v>107.82482059462075</v>
      </c>
      <c r="AK217" s="237">
        <f t="shared" si="103"/>
        <v>0.20229846792359021</v>
      </c>
      <c r="AL217" s="237">
        <f t="shared" si="102"/>
        <v>0.11846591703484753</v>
      </c>
      <c r="AM217" s="237">
        <f t="shared" si="102"/>
        <v>8.3654208282077092E-3</v>
      </c>
      <c r="AN217" s="237">
        <f t="shared" si="102"/>
        <v>0.65782820636449979</v>
      </c>
      <c r="AO217" s="237">
        <f t="shared" si="102"/>
        <v>1.304198784885487E-2</v>
      </c>
      <c r="AP217" s="237">
        <f t="shared" si="91"/>
        <v>1</v>
      </c>
      <c r="AQ217" s="237"/>
      <c r="AR217" s="237">
        <f t="shared" si="92"/>
        <v>0.61464645366918802</v>
      </c>
      <c r="AS217" s="237">
        <f t="shared" si="93"/>
        <v>0.35993676340465403</v>
      </c>
      <c r="AT217" s="237">
        <f t="shared" si="94"/>
        <v>2.5416782926158003E-2</v>
      </c>
      <c r="AU217" s="237">
        <f t="shared" si="72"/>
        <v>0.98055959563958928</v>
      </c>
      <c r="AV217" s="237">
        <f t="shared" si="72"/>
        <v>1.9440404360410696E-2</v>
      </c>
      <c r="AX217" s="251">
        <f t="shared" ref="AX217:BB232" si="106">AVERAGE(BY211:BY216)*$W217/2204.622*1000000</f>
        <v>4213.7978935261099</v>
      </c>
      <c r="AY217" s="251">
        <f t="shared" si="106"/>
        <v>2467.5986762521011</v>
      </c>
      <c r="AZ217" s="251">
        <f t="shared" si="106"/>
        <v>174.24844105925357</v>
      </c>
      <c r="BA217" s="251">
        <f t="shared" si="106"/>
        <v>95384.584373710808</v>
      </c>
      <c r="BB217" s="251">
        <f t="shared" si="106"/>
        <v>1891.0782151544179</v>
      </c>
      <c r="BC217" s="251">
        <f t="shared" si="97"/>
        <v>104131.30759970269</v>
      </c>
      <c r="BD217" s="270">
        <f>(BC217*2204.622/1000000)/(U217/12)</f>
        <v>7.1103113290872093</v>
      </c>
      <c r="BY217" s="252">
        <f t="shared" si="104"/>
        <v>0.28772725121246884</v>
      </c>
      <c r="BZ217" s="252">
        <f t="shared" si="104"/>
        <v>0.16849298475001587</v>
      </c>
      <c r="CA217" s="252">
        <f t="shared" si="104"/>
        <v>1.1898061141248291E-2</v>
      </c>
      <c r="CB217" s="252">
        <f t="shared" si="104"/>
        <v>6.5130661136018153</v>
      </c>
      <c r="CC217" s="252">
        <f t="shared" si="104"/>
        <v>0.12912691838166129</v>
      </c>
    </row>
    <row r="218" spans="1:81">
      <c r="A218" s="11">
        <v>46266</v>
      </c>
      <c r="B218" s="268">
        <v>70</v>
      </c>
      <c r="C218" s="268">
        <v>13</v>
      </c>
      <c r="D218" s="268">
        <f t="shared" si="71"/>
        <v>20</v>
      </c>
      <c r="E218" s="268">
        <v>3</v>
      </c>
      <c r="F218" s="269">
        <v>0.2</v>
      </c>
      <c r="G218" s="269">
        <v>1.32</v>
      </c>
      <c r="H218" s="269"/>
      <c r="I218" s="269">
        <v>5</v>
      </c>
      <c r="J218" s="269"/>
      <c r="K218" s="269"/>
      <c r="L218" s="269"/>
      <c r="M218" s="269">
        <f t="shared" si="105"/>
        <v>1.5</v>
      </c>
      <c r="N218" s="269">
        <v>45</v>
      </c>
      <c r="O218" s="269">
        <f t="shared" si="85"/>
        <v>17.699535849485258</v>
      </c>
      <c r="Q218" s="251">
        <f t="shared" si="95"/>
        <v>176.71953584948523</v>
      </c>
      <c r="R218" s="251">
        <f>'RD Plant List'!N86</f>
        <v>444.33</v>
      </c>
      <c r="S218" s="251">
        <f>SUM(B218:O218)+'RD Plant List'!N86</f>
        <v>621.04953584948521</v>
      </c>
      <c r="T218" s="237">
        <f t="shared" si="82"/>
        <v>0.7154501764375939</v>
      </c>
      <c r="U218" s="251">
        <f t="shared" si="101"/>
        <v>421.65063468214868</v>
      </c>
      <c r="V218" s="271">
        <f t="shared" si="89"/>
        <v>0.67893237228718906</v>
      </c>
      <c r="W218" s="251">
        <f t="shared" si="98"/>
        <v>35.137552890179059</v>
      </c>
      <c r="X218" s="242">
        <f t="shared" si="99"/>
        <v>7.1072085238010567</v>
      </c>
      <c r="Y218" s="273">
        <f t="shared" si="100"/>
        <v>7.1072085238010567</v>
      </c>
      <c r="AB218" s="251">
        <f>SUM('BD Feedstock'!C216,'BD Feedstock'!E216,'BD Feedstock'!G216,'BD Feedstock'!K216,'BD Feedstock'!T216)</f>
        <v>21.812796010427753</v>
      </c>
      <c r="AC218" s="251">
        <f>SUM('BD Feedstock'!D216,'BD Feedstock'!F216,'BD Feedstock'!H216,'BD Feedstock'!I216,'BD Feedstock'!L216,'BD Feedstock'!M216,'BD Feedstock'!N216,'BD Feedstock'!O216,'BD Feedstock'!U216)</f>
        <v>12.773566250859661</v>
      </c>
      <c r="AD218" s="251">
        <f>'BD Feedstock'!J216</f>
        <v>0.90199999999999991</v>
      </c>
      <c r="AE218" s="251">
        <f>SUM('BD Feedstock'!B216,'BD Feedstock'!P216,'BD Feedstock'!Q216,'BD Feedstock'!R216)</f>
        <v>70.93020833333334</v>
      </c>
      <c r="AF218" s="251">
        <f>'BD Feedstock'!S216</f>
        <v>1.40625</v>
      </c>
      <c r="AG218" s="251">
        <f t="shared" si="90"/>
        <v>107.82482059462075</v>
      </c>
      <c r="AK218" s="237">
        <f t="shared" si="103"/>
        <v>0.20229846792359021</v>
      </c>
      <c r="AL218" s="237">
        <f t="shared" si="102"/>
        <v>0.11846591703484753</v>
      </c>
      <c r="AM218" s="237">
        <f t="shared" si="102"/>
        <v>8.3654208282077092E-3</v>
      </c>
      <c r="AN218" s="237">
        <f t="shared" si="102"/>
        <v>0.65782820636449979</v>
      </c>
      <c r="AO218" s="237">
        <f t="shared" si="102"/>
        <v>1.304198784885487E-2</v>
      </c>
      <c r="AP218" s="237">
        <f t="shared" si="91"/>
        <v>1</v>
      </c>
      <c r="AQ218" s="237"/>
      <c r="AR218" s="237">
        <f t="shared" si="92"/>
        <v>0.61464645366918802</v>
      </c>
      <c r="AS218" s="237">
        <f t="shared" si="93"/>
        <v>0.35993676340465403</v>
      </c>
      <c r="AT218" s="237">
        <f t="shared" si="94"/>
        <v>2.5416782926158003E-2</v>
      </c>
      <c r="AU218" s="237">
        <f t="shared" si="72"/>
        <v>0.98055959563958928</v>
      </c>
      <c r="AV218" s="237">
        <f t="shared" si="72"/>
        <v>1.9440404360410696E-2</v>
      </c>
      <c r="AX218" s="251">
        <f t="shared" si="106"/>
        <v>4581.7630468641592</v>
      </c>
      <c r="AY218" s="251">
        <f t="shared" si="106"/>
        <v>2683.0789503959722</v>
      </c>
      <c r="AZ218" s="251">
        <f t="shared" si="106"/>
        <v>189.46448984787511</v>
      </c>
      <c r="BA218" s="251">
        <f t="shared" si="106"/>
        <v>103764.1006036438</v>
      </c>
      <c r="BB218" s="251">
        <f t="shared" si="106"/>
        <v>2057.2090496074388</v>
      </c>
      <c r="BC218" s="251">
        <f t="shared" si="97"/>
        <v>113275.61614035926</v>
      </c>
      <c r="BD218" s="270">
        <f t="shared" si="74"/>
        <v>7.1072085238010576</v>
      </c>
      <c r="BY218" s="252">
        <f t="shared" si="104"/>
        <v>0.28747180099519676</v>
      </c>
      <c r="BZ218" s="252">
        <f t="shared" si="104"/>
        <v>0.16834339318584587</v>
      </c>
      <c r="CA218" s="252">
        <f t="shared" si="104"/>
        <v>1.1887497795959164E-2</v>
      </c>
      <c r="CB218" s="252">
        <f t="shared" si="104"/>
        <v>6.5104311537000905</v>
      </c>
      <c r="CC218" s="252">
        <f t="shared" si="104"/>
        <v>0.12907467812396478</v>
      </c>
    </row>
    <row r="219" spans="1:81">
      <c r="A219" s="11">
        <v>46296</v>
      </c>
      <c r="B219" s="268">
        <v>70</v>
      </c>
      <c r="C219" s="268">
        <v>13</v>
      </c>
      <c r="D219" s="268">
        <f t="shared" si="71"/>
        <v>20</v>
      </c>
      <c r="E219" s="268">
        <v>3</v>
      </c>
      <c r="F219" s="269">
        <v>0.2</v>
      </c>
      <c r="G219" s="269">
        <v>1.32</v>
      </c>
      <c r="H219" s="269"/>
      <c r="I219" s="269">
        <v>5</v>
      </c>
      <c r="J219" s="269"/>
      <c r="K219" s="269"/>
      <c r="L219" s="269"/>
      <c r="M219" s="269">
        <f t="shared" si="105"/>
        <v>1.5</v>
      </c>
      <c r="N219" s="269">
        <v>45</v>
      </c>
      <c r="O219" s="269">
        <f t="shared" si="85"/>
        <v>17.699535849485258</v>
      </c>
      <c r="Q219" s="251">
        <f t="shared" si="95"/>
        <v>176.71953584948523</v>
      </c>
      <c r="R219" s="251">
        <f>'RD Plant List'!N87</f>
        <v>444.33</v>
      </c>
      <c r="S219" s="251">
        <f>SUM(B219:O219)+'RD Plant List'!N87</f>
        <v>621.04953584948521</v>
      </c>
      <c r="T219" s="237">
        <f t="shared" si="82"/>
        <v>0.7154501764375939</v>
      </c>
      <c r="U219" s="251">
        <f t="shared" si="101"/>
        <v>438.73100785844133</v>
      </c>
      <c r="V219" s="271">
        <f t="shared" si="89"/>
        <v>0.70643480516950297</v>
      </c>
      <c r="W219" s="251">
        <f t="shared" si="98"/>
        <v>36.560917321536778</v>
      </c>
      <c r="X219" s="242">
        <f t="shared" si="99"/>
        <v>7.105290446946384</v>
      </c>
      <c r="Y219" s="273">
        <f t="shared" si="100"/>
        <v>7.105290446946384</v>
      </c>
      <c r="AB219" s="251">
        <f>SUM('BD Feedstock'!C217,'BD Feedstock'!E217,'BD Feedstock'!G217,'BD Feedstock'!K217,'BD Feedstock'!T217)</f>
        <v>21.812796010427753</v>
      </c>
      <c r="AC219" s="251">
        <f>SUM('BD Feedstock'!D217,'BD Feedstock'!F217,'BD Feedstock'!H217,'BD Feedstock'!I217,'BD Feedstock'!L217,'BD Feedstock'!M217,'BD Feedstock'!N217,'BD Feedstock'!O217,'BD Feedstock'!U217)</f>
        <v>12.773566250859661</v>
      </c>
      <c r="AD219" s="251">
        <f>'BD Feedstock'!J217</f>
        <v>0.90199999999999991</v>
      </c>
      <c r="AE219" s="251">
        <f>SUM('BD Feedstock'!B217,'BD Feedstock'!P217,'BD Feedstock'!Q217,'BD Feedstock'!R217)</f>
        <v>70.93020833333334</v>
      </c>
      <c r="AF219" s="251">
        <f>'BD Feedstock'!S217</f>
        <v>1.40625</v>
      </c>
      <c r="AG219" s="251">
        <f t="shared" si="90"/>
        <v>107.82482059462075</v>
      </c>
      <c r="AK219" s="237">
        <f t="shared" si="103"/>
        <v>0.20229846792359021</v>
      </c>
      <c r="AL219" s="237">
        <f t="shared" si="102"/>
        <v>0.11846591703484753</v>
      </c>
      <c r="AM219" s="237">
        <f t="shared" si="102"/>
        <v>8.3654208282077092E-3</v>
      </c>
      <c r="AN219" s="237">
        <f t="shared" si="102"/>
        <v>0.65782820636449979</v>
      </c>
      <c r="AO219" s="237">
        <f t="shared" si="102"/>
        <v>1.304198784885487E-2</v>
      </c>
      <c r="AP219" s="237">
        <f t="shared" si="91"/>
        <v>1</v>
      </c>
      <c r="AQ219" s="237"/>
      <c r="AR219" s="237">
        <f t="shared" si="92"/>
        <v>0.61464645366918802</v>
      </c>
      <c r="AS219" s="237">
        <f t="shared" si="93"/>
        <v>0.35993676340465403</v>
      </c>
      <c r="AT219" s="237">
        <f t="shared" si="94"/>
        <v>2.5416782926158003E-2</v>
      </c>
      <c r="AU219" s="237">
        <f t="shared" si="72"/>
        <v>0.98055959563958928</v>
      </c>
      <c r="AV219" s="237">
        <f t="shared" si="72"/>
        <v>1.9440404360410696E-2</v>
      </c>
      <c r="AX219" s="251">
        <f t="shared" si="106"/>
        <v>4769.8623429946938</v>
      </c>
      <c r="AY219" s="251">
        <f t="shared" si="106"/>
        <v>2793.2298370459371</v>
      </c>
      <c r="AZ219" s="251">
        <f t="shared" si="106"/>
        <v>197.24274830812172</v>
      </c>
      <c r="BA219" s="251">
        <f t="shared" si="106"/>
        <v>107932.23528439195</v>
      </c>
      <c r="BB219" s="251">
        <f t="shared" si="106"/>
        <v>2139.8457643800293</v>
      </c>
      <c r="BC219" s="251">
        <f t="shared" si="97"/>
        <v>117832.41597712073</v>
      </c>
      <c r="BD219" s="270">
        <f t="shared" si="74"/>
        <v>7.105290446946384</v>
      </c>
      <c r="BY219" s="252">
        <f t="shared" si="104"/>
        <v>0.28762252778989178</v>
      </c>
      <c r="BZ219" s="252">
        <f t="shared" si="104"/>
        <v>0.16843165874780752</v>
      </c>
      <c r="CA219" s="252">
        <f t="shared" si="104"/>
        <v>1.1893730631435642E-2</v>
      </c>
      <c r="CB219" s="252">
        <f t="shared" si="104"/>
        <v>6.5083099071198278</v>
      </c>
      <c r="CC219" s="252">
        <f t="shared" si="104"/>
        <v>0.12903262265742116</v>
      </c>
    </row>
    <row r="220" spans="1:81">
      <c r="A220" s="11">
        <v>46327</v>
      </c>
      <c r="B220" s="268">
        <v>70</v>
      </c>
      <c r="C220" s="268">
        <v>13</v>
      </c>
      <c r="D220" s="268">
        <f t="shared" si="71"/>
        <v>20</v>
      </c>
      <c r="E220" s="268">
        <v>3</v>
      </c>
      <c r="F220" s="269">
        <v>0.2</v>
      </c>
      <c r="G220" s="269">
        <v>1.32</v>
      </c>
      <c r="H220" s="269"/>
      <c r="I220" s="269">
        <v>5</v>
      </c>
      <c r="J220" s="269"/>
      <c r="K220" s="269"/>
      <c r="L220" s="269"/>
      <c r="M220" s="269">
        <f t="shared" si="105"/>
        <v>1.5</v>
      </c>
      <c r="N220" s="269">
        <v>45</v>
      </c>
      <c r="O220" s="269">
        <f t="shared" si="85"/>
        <v>17.699535849485258</v>
      </c>
      <c r="Q220" s="251">
        <f t="shared" si="95"/>
        <v>176.71953584948523</v>
      </c>
      <c r="R220" s="251">
        <f>'RD Plant List'!N88</f>
        <v>444.33</v>
      </c>
      <c r="S220" s="251">
        <f>SUM(B220:O220)+'RD Plant List'!N88</f>
        <v>621.04953584948521</v>
      </c>
      <c r="T220" s="237">
        <f t="shared" si="82"/>
        <v>0.7154501764375939</v>
      </c>
      <c r="U220" s="251">
        <f t="shared" si="101"/>
        <v>467.4941930234117</v>
      </c>
      <c r="V220" s="271">
        <f t="shared" si="89"/>
        <v>0.7527486392594479</v>
      </c>
      <c r="W220" s="251">
        <f t="shared" si="98"/>
        <v>38.957849418617641</v>
      </c>
      <c r="X220" s="242">
        <f t="shared" si="99"/>
        <v>7.1053168482223326</v>
      </c>
      <c r="Y220" s="273">
        <f t="shared" si="100"/>
        <v>7.1053168482223326</v>
      </c>
      <c r="AB220" s="251">
        <f>SUM('BD Feedstock'!C218,'BD Feedstock'!E218,'BD Feedstock'!G218,'BD Feedstock'!K218,'BD Feedstock'!T218)</f>
        <v>21.812796010427753</v>
      </c>
      <c r="AC220" s="251">
        <f>SUM('BD Feedstock'!D218,'BD Feedstock'!F218,'BD Feedstock'!H218,'BD Feedstock'!I218,'BD Feedstock'!L218,'BD Feedstock'!M218,'BD Feedstock'!N218,'BD Feedstock'!O218,'BD Feedstock'!U218)</f>
        <v>12.773566250859661</v>
      </c>
      <c r="AD220" s="251">
        <f>'BD Feedstock'!J218</f>
        <v>0.90199999999999991</v>
      </c>
      <c r="AE220" s="251">
        <f>SUM('BD Feedstock'!B218,'BD Feedstock'!P218,'BD Feedstock'!Q218,'BD Feedstock'!R218)</f>
        <v>70.93020833333334</v>
      </c>
      <c r="AF220" s="251">
        <f>'BD Feedstock'!S218</f>
        <v>1.40625</v>
      </c>
      <c r="AG220" s="251">
        <f t="shared" si="90"/>
        <v>107.82482059462075</v>
      </c>
      <c r="AK220" s="237">
        <f t="shared" si="103"/>
        <v>0.20229846792359021</v>
      </c>
      <c r="AL220" s="237">
        <f t="shared" si="102"/>
        <v>0.11846591703484753</v>
      </c>
      <c r="AM220" s="237">
        <f t="shared" si="102"/>
        <v>8.3654208282077092E-3</v>
      </c>
      <c r="AN220" s="237">
        <f t="shared" si="102"/>
        <v>0.65782820636449979</v>
      </c>
      <c r="AO220" s="237">
        <f t="shared" si="102"/>
        <v>1.304198784885487E-2</v>
      </c>
      <c r="AP220" s="237">
        <f t="shared" si="91"/>
        <v>1</v>
      </c>
      <c r="AQ220" s="237"/>
      <c r="AR220" s="237">
        <f t="shared" si="92"/>
        <v>0.61464645366918802</v>
      </c>
      <c r="AS220" s="237">
        <f t="shared" si="93"/>
        <v>0.35993676340465403</v>
      </c>
      <c r="AT220" s="237">
        <f t="shared" si="94"/>
        <v>2.5416782926158003E-2</v>
      </c>
      <c r="AU220" s="237">
        <f t="shared" si="72"/>
        <v>0.98055959563958928</v>
      </c>
      <c r="AV220" s="237">
        <f t="shared" si="72"/>
        <v>1.9440404360410696E-2</v>
      </c>
      <c r="AX220" s="251">
        <f t="shared" si="106"/>
        <v>5084.3700998852983</v>
      </c>
      <c r="AY220" s="251">
        <f t="shared" si="106"/>
        <v>2977.405477212877</v>
      </c>
      <c r="AZ220" s="251">
        <f t="shared" si="106"/>
        <v>210.24823355539155</v>
      </c>
      <c r="BA220" s="251">
        <f t="shared" si="106"/>
        <v>115005.86037316383</v>
      </c>
      <c r="BB220" s="251">
        <f t="shared" si="106"/>
        <v>2280.0862277146166</v>
      </c>
      <c r="BC220" s="251">
        <f t="shared" si="97"/>
        <v>125557.97041153202</v>
      </c>
      <c r="BD220" s="270">
        <f t="shared" si="74"/>
        <v>7.1053168482223326</v>
      </c>
      <c r="BY220" s="252">
        <f t="shared" si="104"/>
        <v>0.28772415175958299</v>
      </c>
      <c r="BZ220" s="252">
        <f t="shared" si="104"/>
        <v>0.16849116971141376</v>
      </c>
      <c r="CA220" s="252">
        <f t="shared" si="104"/>
        <v>1.1897932973061982E-2</v>
      </c>
      <c r="CB220" s="252">
        <f t="shared" si="104"/>
        <v>6.5081736720928518</v>
      </c>
      <c r="CC220" s="252">
        <f t="shared" si="104"/>
        <v>0.12902992168542085</v>
      </c>
    </row>
    <row r="221" spans="1:81">
      <c r="A221" s="11">
        <v>46357</v>
      </c>
      <c r="B221" s="268">
        <v>70</v>
      </c>
      <c r="C221" s="268">
        <v>13</v>
      </c>
      <c r="D221" s="268">
        <f t="shared" si="71"/>
        <v>20</v>
      </c>
      <c r="E221" s="268">
        <v>3</v>
      </c>
      <c r="F221" s="269">
        <v>0.2</v>
      </c>
      <c r="G221" s="269">
        <v>1.32</v>
      </c>
      <c r="H221" s="269"/>
      <c r="I221" s="269">
        <v>5</v>
      </c>
      <c r="J221" s="269"/>
      <c r="K221" s="269"/>
      <c r="L221" s="269"/>
      <c r="M221" s="269">
        <f t="shared" si="105"/>
        <v>1.5</v>
      </c>
      <c r="N221" s="269">
        <v>45</v>
      </c>
      <c r="O221" s="269">
        <f t="shared" si="85"/>
        <v>17.699535849485258</v>
      </c>
      <c r="Q221" s="251">
        <f t="shared" si="95"/>
        <v>176.71953584948523</v>
      </c>
      <c r="R221" s="251">
        <f>'RD Plant List'!N89</f>
        <v>444.33</v>
      </c>
      <c r="S221" s="251">
        <f>SUM(B221:O221)+'RD Plant List'!N89</f>
        <v>621.04953584948521</v>
      </c>
      <c r="T221" s="237">
        <f t="shared" si="82"/>
        <v>0.7154501764375939</v>
      </c>
      <c r="U221" s="251">
        <f t="shared" si="101"/>
        <v>431.44058388416045</v>
      </c>
      <c r="V221" s="271">
        <f t="shared" si="89"/>
        <v>0.6946959283916484</v>
      </c>
      <c r="W221" s="251">
        <f t="shared" si="98"/>
        <v>35.953381990346706</v>
      </c>
      <c r="X221" s="242">
        <f t="shared" si="99"/>
        <v>7.1065226940564417</v>
      </c>
      <c r="Y221" s="273">
        <f t="shared" si="100"/>
        <v>7.1065226940564417</v>
      </c>
      <c r="AB221" s="251">
        <f>SUM('BD Feedstock'!C219,'BD Feedstock'!E219,'BD Feedstock'!G219,'BD Feedstock'!K219,'BD Feedstock'!T219)</f>
        <v>21.812796010427753</v>
      </c>
      <c r="AC221" s="251">
        <f>SUM('BD Feedstock'!D219,'BD Feedstock'!F219,'BD Feedstock'!H219,'BD Feedstock'!I219,'BD Feedstock'!L219,'BD Feedstock'!M219,'BD Feedstock'!N219,'BD Feedstock'!O219,'BD Feedstock'!U219)</f>
        <v>12.773566250859661</v>
      </c>
      <c r="AD221" s="251">
        <f>'BD Feedstock'!J219</f>
        <v>0.90199999999999991</v>
      </c>
      <c r="AE221" s="251">
        <f>SUM('BD Feedstock'!B219,'BD Feedstock'!P219,'BD Feedstock'!Q219,'BD Feedstock'!R219)</f>
        <v>70.93020833333334</v>
      </c>
      <c r="AF221" s="251">
        <f>'BD Feedstock'!S219</f>
        <v>1.40625</v>
      </c>
      <c r="AG221" s="251">
        <f t="shared" si="90"/>
        <v>107.82482059462075</v>
      </c>
      <c r="AK221" s="237">
        <f t="shared" si="103"/>
        <v>0.20229846792359021</v>
      </c>
      <c r="AL221" s="237">
        <f t="shared" si="102"/>
        <v>0.11846591703484753</v>
      </c>
      <c r="AM221" s="237">
        <f t="shared" si="102"/>
        <v>8.3654208282077092E-3</v>
      </c>
      <c r="AN221" s="237">
        <f t="shared" si="102"/>
        <v>0.65782820636449979</v>
      </c>
      <c r="AO221" s="237">
        <f t="shared" si="102"/>
        <v>1.304198784885487E-2</v>
      </c>
      <c r="AP221" s="237">
        <f t="shared" si="91"/>
        <v>1</v>
      </c>
      <c r="AQ221" s="237"/>
      <c r="AR221" s="237">
        <f t="shared" si="92"/>
        <v>0.61464645366918802</v>
      </c>
      <c r="AS221" s="237">
        <f t="shared" si="93"/>
        <v>0.35993676340465403</v>
      </c>
      <c r="AT221" s="237">
        <f t="shared" si="94"/>
        <v>2.5416782926158003E-2</v>
      </c>
      <c r="AU221" s="237">
        <f t="shared" si="72"/>
        <v>0.98055959563958928</v>
      </c>
      <c r="AV221" s="237">
        <f t="shared" si="72"/>
        <v>1.9440404360410696E-2</v>
      </c>
      <c r="AX221" s="251">
        <f t="shared" si="106"/>
        <v>4692.9979289368312</v>
      </c>
      <c r="AY221" s="251">
        <f t="shared" si="106"/>
        <v>2748.218061167584</v>
      </c>
      <c r="AZ221" s="251">
        <f t="shared" si="106"/>
        <v>194.06426071546974</v>
      </c>
      <c r="BA221" s="251">
        <f t="shared" si="106"/>
        <v>106154.599245633</v>
      </c>
      <c r="BB221" s="251">
        <f t="shared" si="106"/>
        <v>2104.602660796334</v>
      </c>
      <c r="BC221" s="251">
        <f t="shared" si="97"/>
        <v>115894.48215724921</v>
      </c>
      <c r="BD221" s="270">
        <f t="shared" si="74"/>
        <v>7.1065226940564417</v>
      </c>
      <c r="BY221" s="252">
        <f t="shared" si="104"/>
        <v>0.28776949225156334</v>
      </c>
      <c r="BZ221" s="252">
        <f t="shared" si="104"/>
        <v>0.16851772108877411</v>
      </c>
      <c r="CA221" s="252">
        <f t="shared" si="104"/>
        <v>1.1899807887389638E-2</v>
      </c>
      <c r="CB221" s="252">
        <f t="shared" si="104"/>
        <v>6.509283743068786</v>
      </c>
      <c r="CC221" s="252">
        <f t="shared" si="104"/>
        <v>0.12905192975992943</v>
      </c>
    </row>
    <row r="222" spans="1:81">
      <c r="A222" s="11">
        <v>46388</v>
      </c>
      <c r="B222" s="268">
        <v>70</v>
      </c>
      <c r="C222" s="268">
        <v>13</v>
      </c>
      <c r="D222" s="268">
        <f t="shared" si="71"/>
        <v>20</v>
      </c>
      <c r="E222" s="268">
        <v>3</v>
      </c>
      <c r="F222" s="269">
        <v>0.2</v>
      </c>
      <c r="G222" s="269">
        <v>1.32</v>
      </c>
      <c r="H222" s="269"/>
      <c r="I222" s="269">
        <v>5</v>
      </c>
      <c r="J222" s="269"/>
      <c r="K222" s="269"/>
      <c r="L222" s="269"/>
      <c r="M222" s="269">
        <f t="shared" si="105"/>
        <v>1.5</v>
      </c>
      <c r="N222" s="269">
        <v>45</v>
      </c>
      <c r="O222" s="269">
        <f t="shared" si="85"/>
        <v>17.699535849485258</v>
      </c>
      <c r="Q222" s="251">
        <f t="shared" si="95"/>
        <v>176.71953584948523</v>
      </c>
      <c r="R222" s="251">
        <f>'RD Plant List'!N90</f>
        <v>444.33</v>
      </c>
      <c r="S222" s="251">
        <f>SUM(B222:O222)+'RD Plant List'!N90</f>
        <v>621.04953584948521</v>
      </c>
      <c r="T222" s="237">
        <f t="shared" si="82"/>
        <v>0.7154501764375939</v>
      </c>
      <c r="U222" s="251">
        <f t="shared" si="101"/>
        <v>343.39553475896821</v>
      </c>
      <c r="V222" s="271">
        <f t="shared" si="89"/>
        <v>0.55292776974587743</v>
      </c>
      <c r="W222" s="251">
        <f t="shared" si="98"/>
        <v>28.616294563247351</v>
      </c>
      <c r="X222" s="242">
        <f t="shared" si="99"/>
        <v>7.1071303409960773</v>
      </c>
      <c r="Y222" s="273">
        <f t="shared" si="100"/>
        <v>7.1071303409960773</v>
      </c>
      <c r="AB222" s="251">
        <f>SUM('BD Feedstock'!C220,'BD Feedstock'!E220,'BD Feedstock'!G220,'BD Feedstock'!K220,'BD Feedstock'!T220)</f>
        <v>21.812796010427753</v>
      </c>
      <c r="AC222" s="251">
        <f>SUM('BD Feedstock'!D220,'BD Feedstock'!F220,'BD Feedstock'!H220,'BD Feedstock'!I220,'BD Feedstock'!L220,'BD Feedstock'!M220,'BD Feedstock'!N220,'BD Feedstock'!O220,'BD Feedstock'!U220)</f>
        <v>12.773566250859661</v>
      </c>
      <c r="AD222" s="251">
        <f>'BD Feedstock'!J220</f>
        <v>0.90199999999999991</v>
      </c>
      <c r="AE222" s="251">
        <f>SUM('BD Feedstock'!B220,'BD Feedstock'!P220,'BD Feedstock'!Q220,'BD Feedstock'!R220)</f>
        <v>70.93020833333334</v>
      </c>
      <c r="AF222" s="251">
        <f>'BD Feedstock'!S220</f>
        <v>1.40625</v>
      </c>
      <c r="AG222" s="251">
        <f t="shared" si="90"/>
        <v>107.82482059462075</v>
      </c>
      <c r="AK222" s="237">
        <f t="shared" si="103"/>
        <v>0.20229846792359021</v>
      </c>
      <c r="AL222" s="237">
        <f t="shared" si="102"/>
        <v>0.11846591703484753</v>
      </c>
      <c r="AM222" s="237">
        <f t="shared" si="102"/>
        <v>8.3654208282077092E-3</v>
      </c>
      <c r="AN222" s="237">
        <f t="shared" si="102"/>
        <v>0.65782820636449979</v>
      </c>
      <c r="AO222" s="237">
        <f t="shared" si="102"/>
        <v>1.304198784885487E-2</v>
      </c>
      <c r="AP222" s="237">
        <f t="shared" si="91"/>
        <v>1</v>
      </c>
      <c r="AQ222" s="237"/>
      <c r="AR222" s="237">
        <f t="shared" si="92"/>
        <v>0.61464645366918802</v>
      </c>
      <c r="AS222" s="237">
        <f t="shared" si="93"/>
        <v>0.35993676340465403</v>
      </c>
      <c r="AT222" s="237">
        <f t="shared" si="94"/>
        <v>2.5416782926158003E-2</v>
      </c>
      <c r="AU222" s="237">
        <f t="shared" si="72"/>
        <v>0.98055959563958928</v>
      </c>
      <c r="AV222" s="237">
        <f t="shared" si="72"/>
        <v>1.9440404360410696E-2</v>
      </c>
      <c r="AX222" s="251">
        <f t="shared" si="106"/>
        <v>3734.8436122760568</v>
      </c>
      <c r="AY222" s="251">
        <f t="shared" si="106"/>
        <v>2187.1232048931934</v>
      </c>
      <c r="AZ222" s="251">
        <f t="shared" si="106"/>
        <v>154.44278379821196</v>
      </c>
      <c r="BA222" s="251">
        <f t="shared" si="106"/>
        <v>84499.833547280985</v>
      </c>
      <c r="BB222" s="251">
        <f t="shared" si="106"/>
        <v>1675.2790343916331</v>
      </c>
      <c r="BC222" s="251">
        <f t="shared" si="97"/>
        <v>92251.522182640081</v>
      </c>
      <c r="BD222" s="270">
        <f t="shared" si="74"/>
        <v>7.1071303409960773</v>
      </c>
      <c r="BY222" s="252">
        <f t="shared" si="104"/>
        <v>0.28773531024377624</v>
      </c>
      <c r="BZ222" s="252">
        <f t="shared" si="104"/>
        <v>0.16849770411612897</v>
      </c>
      <c r="CA222" s="252">
        <f t="shared" si="104"/>
        <v>1.1898394397298355E-2</v>
      </c>
      <c r="CB222" s="252">
        <f t="shared" si="104"/>
        <v>6.5099341084478155</v>
      </c>
      <c r="CC222" s="252">
        <f t="shared" si="104"/>
        <v>0.12906482379105871</v>
      </c>
    </row>
    <row r="223" spans="1:81">
      <c r="A223" s="11">
        <v>46419</v>
      </c>
      <c r="B223" s="268">
        <v>70</v>
      </c>
      <c r="C223" s="268">
        <v>13</v>
      </c>
      <c r="D223" s="268">
        <f t="shared" si="71"/>
        <v>20</v>
      </c>
      <c r="E223" s="268">
        <v>3</v>
      </c>
      <c r="F223" s="269">
        <v>0.2</v>
      </c>
      <c r="G223" s="269">
        <v>1.32</v>
      </c>
      <c r="H223" s="269"/>
      <c r="I223" s="269">
        <v>5</v>
      </c>
      <c r="J223" s="269"/>
      <c r="K223" s="269"/>
      <c r="L223" s="269"/>
      <c r="M223" s="269">
        <f t="shared" si="105"/>
        <v>1.5</v>
      </c>
      <c r="N223" s="269">
        <v>45</v>
      </c>
      <c r="O223" s="269">
        <f t="shared" si="85"/>
        <v>17.699535849485258</v>
      </c>
      <c r="Q223" s="251">
        <f t="shared" si="95"/>
        <v>176.71953584948523</v>
      </c>
      <c r="R223" s="251">
        <f>'RD Plant List'!N91</f>
        <v>444.33</v>
      </c>
      <c r="S223" s="251">
        <f>SUM(B223:O223)+'RD Plant List'!N91</f>
        <v>621.04953584948521</v>
      </c>
      <c r="T223" s="237">
        <f t="shared" si="82"/>
        <v>0.7154501764375939</v>
      </c>
      <c r="U223" s="251">
        <f t="shared" si="101"/>
        <v>314.90958191893145</v>
      </c>
      <c r="V223" s="271">
        <f t="shared" si="89"/>
        <v>0.50706032891271902</v>
      </c>
      <c r="W223" s="251">
        <f t="shared" si="98"/>
        <v>26.242465159910953</v>
      </c>
      <c r="X223" s="242">
        <f t="shared" si="99"/>
        <v>7.106963363851583</v>
      </c>
      <c r="Y223" s="273">
        <f t="shared" si="100"/>
        <v>7.106963363851583</v>
      </c>
      <c r="AB223" s="251">
        <f>SUM('BD Feedstock'!C221,'BD Feedstock'!E221,'BD Feedstock'!G221,'BD Feedstock'!K221,'BD Feedstock'!T221)</f>
        <v>21.812796010427753</v>
      </c>
      <c r="AC223" s="251">
        <f>SUM('BD Feedstock'!D221,'BD Feedstock'!F221,'BD Feedstock'!H221,'BD Feedstock'!I221,'BD Feedstock'!L221,'BD Feedstock'!M221,'BD Feedstock'!N221,'BD Feedstock'!O221,'BD Feedstock'!U221)</f>
        <v>12.773566250859661</v>
      </c>
      <c r="AD223" s="251">
        <f>'BD Feedstock'!J221</f>
        <v>0.90199999999999991</v>
      </c>
      <c r="AE223" s="251">
        <f>SUM('BD Feedstock'!B221,'BD Feedstock'!P221,'BD Feedstock'!Q221,'BD Feedstock'!R221)</f>
        <v>70.93020833333334</v>
      </c>
      <c r="AF223" s="251">
        <f>'BD Feedstock'!S221</f>
        <v>1.40625</v>
      </c>
      <c r="AG223" s="251">
        <f t="shared" si="90"/>
        <v>107.82482059462075</v>
      </c>
      <c r="AK223" s="237">
        <f t="shared" si="103"/>
        <v>0.20229846792359021</v>
      </c>
      <c r="AL223" s="237">
        <f t="shared" si="102"/>
        <v>0.11846591703484753</v>
      </c>
      <c r="AM223" s="237">
        <f t="shared" si="102"/>
        <v>8.3654208282077092E-3</v>
      </c>
      <c r="AN223" s="237">
        <f t="shared" si="102"/>
        <v>0.65782820636449979</v>
      </c>
      <c r="AO223" s="237">
        <f t="shared" si="102"/>
        <v>1.304198784885487E-2</v>
      </c>
      <c r="AP223" s="237">
        <f t="shared" si="91"/>
        <v>1</v>
      </c>
      <c r="AQ223" s="237"/>
      <c r="AR223" s="237">
        <f t="shared" si="92"/>
        <v>0.61464645366918802</v>
      </c>
      <c r="AS223" s="237">
        <f t="shared" si="93"/>
        <v>0.35993676340465403</v>
      </c>
      <c r="AT223" s="237">
        <f t="shared" si="94"/>
        <v>2.5416782926158003E-2</v>
      </c>
      <c r="AU223" s="237">
        <f t="shared" si="72"/>
        <v>0.98055959563958928</v>
      </c>
      <c r="AV223" s="237">
        <f t="shared" si="72"/>
        <v>1.9440404360410696E-2</v>
      </c>
      <c r="AX223" s="251">
        <f t="shared" si="106"/>
        <v>3424.3074330026034</v>
      </c>
      <c r="AY223" s="251">
        <f t="shared" si="106"/>
        <v>2005.2733192874234</v>
      </c>
      <c r="AZ223" s="251">
        <f t="shared" si="106"/>
        <v>141.60153072956601</v>
      </c>
      <c r="BA223" s="251">
        <f t="shared" si="106"/>
        <v>77489.448758647573</v>
      </c>
      <c r="BB223" s="251">
        <f t="shared" si="106"/>
        <v>1536.2923622718101</v>
      </c>
      <c r="BC223" s="251">
        <f t="shared" si="97"/>
        <v>84596.92340393897</v>
      </c>
      <c r="BD223" s="270">
        <f t="shared" si="74"/>
        <v>7.1069633638515839</v>
      </c>
      <c r="BY223" s="252">
        <f t="shared" si="104"/>
        <v>0.28767508904207995</v>
      </c>
      <c r="BZ223" s="252">
        <f t="shared" si="104"/>
        <v>0.16846243859999768</v>
      </c>
      <c r="CA223" s="252">
        <f t="shared" si="104"/>
        <v>1.1895904137732177E-2</v>
      </c>
      <c r="CB223" s="252">
        <f t="shared" si="104"/>
        <v>6.5098664496718639</v>
      </c>
      <c r="CC223" s="252">
        <f t="shared" si="104"/>
        <v>0.12906348239990936</v>
      </c>
    </row>
    <row r="224" spans="1:81">
      <c r="A224" s="11">
        <v>46447</v>
      </c>
      <c r="B224" s="268">
        <v>70</v>
      </c>
      <c r="C224" s="268">
        <v>13</v>
      </c>
      <c r="D224" s="268">
        <f t="shared" si="71"/>
        <v>20</v>
      </c>
      <c r="E224" s="268">
        <v>3</v>
      </c>
      <c r="F224" s="269">
        <v>0.2</v>
      </c>
      <c r="G224" s="269">
        <v>1.32</v>
      </c>
      <c r="H224" s="269"/>
      <c r="I224" s="269">
        <v>5</v>
      </c>
      <c r="J224" s="269"/>
      <c r="K224" s="269"/>
      <c r="L224" s="269"/>
      <c r="M224" s="269">
        <f t="shared" si="105"/>
        <v>1.5</v>
      </c>
      <c r="N224" s="269">
        <v>45</v>
      </c>
      <c r="O224" s="269">
        <f t="shared" si="85"/>
        <v>17.699535849485258</v>
      </c>
      <c r="Q224" s="251">
        <f t="shared" si="95"/>
        <v>176.71953584948523</v>
      </c>
      <c r="R224" s="251">
        <f>'RD Plant List'!N92</f>
        <v>444.33</v>
      </c>
      <c r="S224" s="251">
        <f>SUM(B224:O224)+'RD Plant List'!N92</f>
        <v>621.04953584948521</v>
      </c>
      <c r="T224" s="237">
        <f t="shared" si="82"/>
        <v>0.7154501764375939</v>
      </c>
      <c r="U224" s="251">
        <f t="shared" si="101"/>
        <v>355.33900904252056</v>
      </c>
      <c r="V224" s="271">
        <f t="shared" si="89"/>
        <v>0.57215888352042654</v>
      </c>
      <c r="W224" s="251">
        <f t="shared" si="98"/>
        <v>29.611584086876714</v>
      </c>
      <c r="X224" s="242">
        <f t="shared" si="99"/>
        <v>7.1064053696456462</v>
      </c>
      <c r="Y224" s="273">
        <f t="shared" si="100"/>
        <v>7.1064053696456462</v>
      </c>
      <c r="AB224" s="251">
        <f>SUM('BD Feedstock'!C222,'BD Feedstock'!E222,'BD Feedstock'!G222,'BD Feedstock'!K222,'BD Feedstock'!T222)</f>
        <v>21.812796010427753</v>
      </c>
      <c r="AC224" s="251">
        <f>SUM('BD Feedstock'!D222,'BD Feedstock'!F222,'BD Feedstock'!H222,'BD Feedstock'!I222,'BD Feedstock'!L222,'BD Feedstock'!M222,'BD Feedstock'!N222,'BD Feedstock'!O222,'BD Feedstock'!U222)</f>
        <v>12.773566250859661</v>
      </c>
      <c r="AD224" s="251">
        <f>'BD Feedstock'!J222</f>
        <v>0.90199999999999991</v>
      </c>
      <c r="AE224" s="251">
        <f>SUM('BD Feedstock'!B222,'BD Feedstock'!P222,'BD Feedstock'!Q222,'BD Feedstock'!R222)</f>
        <v>70.93020833333334</v>
      </c>
      <c r="AF224" s="251">
        <f>'BD Feedstock'!S222</f>
        <v>1.40625</v>
      </c>
      <c r="AG224" s="251">
        <f t="shared" si="90"/>
        <v>107.82482059462075</v>
      </c>
      <c r="AK224" s="237">
        <f t="shared" si="103"/>
        <v>0.20229846792359021</v>
      </c>
      <c r="AL224" s="237">
        <f t="shared" si="102"/>
        <v>0.11846591703484753</v>
      </c>
      <c r="AM224" s="237">
        <f t="shared" si="102"/>
        <v>8.3654208282077092E-3</v>
      </c>
      <c r="AN224" s="237">
        <f t="shared" si="102"/>
        <v>0.65782820636449979</v>
      </c>
      <c r="AO224" s="237">
        <f t="shared" si="102"/>
        <v>1.304198784885487E-2</v>
      </c>
      <c r="AP224" s="237">
        <f t="shared" si="91"/>
        <v>1</v>
      </c>
      <c r="AQ224" s="237"/>
      <c r="AR224" s="237">
        <f t="shared" si="92"/>
        <v>0.61464645366918802</v>
      </c>
      <c r="AS224" s="237">
        <f t="shared" si="93"/>
        <v>0.35993676340465403</v>
      </c>
      <c r="AT224" s="237">
        <f t="shared" si="94"/>
        <v>2.5416782926158003E-2</v>
      </c>
      <c r="AU224" s="237">
        <f t="shared" si="72"/>
        <v>0.98055959563958928</v>
      </c>
      <c r="AV224" s="237">
        <f t="shared" si="72"/>
        <v>1.9440404360410696E-2</v>
      </c>
      <c r="AX224" s="251">
        <f t="shared" si="106"/>
        <v>3863.8177677564954</v>
      </c>
      <c r="AY224" s="251">
        <f t="shared" si="106"/>
        <v>2262.6504284041307</v>
      </c>
      <c r="AZ224" s="251">
        <f t="shared" si="106"/>
        <v>159.7761068709506</v>
      </c>
      <c r="BA224" s="251">
        <f t="shared" si="106"/>
        <v>87430.709927844364</v>
      </c>
      <c r="BB224" s="251">
        <f t="shared" si="106"/>
        <v>1733.386080839294</v>
      </c>
      <c r="BC224" s="251">
        <f t="shared" si="97"/>
        <v>95450.340311715234</v>
      </c>
      <c r="BD224" s="270">
        <f t="shared" si="74"/>
        <v>7.1064053696456453</v>
      </c>
      <c r="BY224" s="252">
        <f t="shared" si="104"/>
        <v>0.28766639534701521</v>
      </c>
      <c r="BZ224" s="252">
        <f t="shared" si="104"/>
        <v>0.16845734757499467</v>
      </c>
      <c r="CA224" s="252">
        <f t="shared" si="104"/>
        <v>1.1895544637146158E-2</v>
      </c>
      <c r="CB224" s="252">
        <f t="shared" si="104"/>
        <v>6.5093331723502068</v>
      </c>
      <c r="CC224" s="252">
        <f t="shared" si="104"/>
        <v>0.12905290973628405</v>
      </c>
    </row>
    <row r="225" spans="1:81">
      <c r="A225" s="11">
        <v>46478</v>
      </c>
      <c r="B225" s="268">
        <v>70</v>
      </c>
      <c r="C225" s="268">
        <v>13</v>
      </c>
      <c r="D225" s="268">
        <f t="shared" si="71"/>
        <v>20</v>
      </c>
      <c r="E225" s="268">
        <v>3</v>
      </c>
      <c r="F225" s="269">
        <v>0.2</v>
      </c>
      <c r="G225" s="269">
        <v>1.32</v>
      </c>
      <c r="H225" s="269"/>
      <c r="I225" s="269">
        <v>5</v>
      </c>
      <c r="J225" s="269"/>
      <c r="K225" s="269"/>
      <c r="L225" s="269"/>
      <c r="M225" s="269">
        <f t="shared" si="105"/>
        <v>1.5</v>
      </c>
      <c r="N225" s="269">
        <v>45</v>
      </c>
      <c r="O225" s="269">
        <f t="shared" si="85"/>
        <v>17.699535849485258</v>
      </c>
      <c r="Q225" s="251">
        <f t="shared" si="95"/>
        <v>176.71953584948523</v>
      </c>
      <c r="R225" s="251">
        <f>'RD Plant List'!N93</f>
        <v>494.33</v>
      </c>
      <c r="S225" s="251">
        <f>SUM(B225:O225)+'RD Plant List'!N93</f>
        <v>671.04953584948521</v>
      </c>
      <c r="T225" s="237">
        <f t="shared" si="82"/>
        <v>0.73665202580644806</v>
      </c>
      <c r="U225" s="251">
        <f t="shared" si="101"/>
        <v>389.4394610500226</v>
      </c>
      <c r="V225" s="271">
        <f t="shared" si="89"/>
        <v>0.58034383491082975</v>
      </c>
      <c r="W225" s="251">
        <f t="shared" si="98"/>
        <v>32.453288420835214</v>
      </c>
      <c r="X225" s="242">
        <f t="shared" si="99"/>
        <v>7.1062715106197443</v>
      </c>
      <c r="Y225" s="273">
        <f t="shared" si="100"/>
        <v>7.1062715106197443</v>
      </c>
      <c r="AB225" s="251">
        <f>SUM('BD Feedstock'!C223,'BD Feedstock'!E223,'BD Feedstock'!G223,'BD Feedstock'!K223,'BD Feedstock'!T223)</f>
        <v>21.812796010427753</v>
      </c>
      <c r="AC225" s="251">
        <f>SUM('BD Feedstock'!D223,'BD Feedstock'!F223,'BD Feedstock'!H223,'BD Feedstock'!I223,'BD Feedstock'!L223,'BD Feedstock'!M223,'BD Feedstock'!N223,'BD Feedstock'!O223,'BD Feedstock'!U223)</f>
        <v>12.773566250859661</v>
      </c>
      <c r="AD225" s="251">
        <f>'BD Feedstock'!J223</f>
        <v>0.90199999999999991</v>
      </c>
      <c r="AE225" s="251">
        <f>SUM('BD Feedstock'!B223,'BD Feedstock'!P223,'BD Feedstock'!Q223,'BD Feedstock'!R223)</f>
        <v>70.93020833333334</v>
      </c>
      <c r="AF225" s="251">
        <f>'BD Feedstock'!S223</f>
        <v>1.40625</v>
      </c>
      <c r="AG225" s="251">
        <f t="shared" si="90"/>
        <v>107.82482059462075</v>
      </c>
      <c r="AK225" s="237">
        <f t="shared" si="103"/>
        <v>0.20229846792359021</v>
      </c>
      <c r="AL225" s="237">
        <f t="shared" si="102"/>
        <v>0.11846591703484753</v>
      </c>
      <c r="AM225" s="237">
        <f t="shared" si="102"/>
        <v>8.3654208282077092E-3</v>
      </c>
      <c r="AN225" s="237">
        <f t="shared" si="102"/>
        <v>0.65782820636449979</v>
      </c>
      <c r="AO225" s="237">
        <f t="shared" si="102"/>
        <v>1.304198784885487E-2</v>
      </c>
      <c r="AP225" s="237">
        <f t="shared" si="91"/>
        <v>1</v>
      </c>
      <c r="AQ225" s="237"/>
      <c r="AR225" s="237">
        <f t="shared" si="92"/>
        <v>0.61464645366918802</v>
      </c>
      <c r="AS225" s="237">
        <f t="shared" si="93"/>
        <v>0.35993676340465403</v>
      </c>
      <c r="AT225" s="237">
        <f t="shared" si="94"/>
        <v>2.5416782926158003E-2</v>
      </c>
      <c r="AU225" s="237">
        <f t="shared" si="72"/>
        <v>0.98055959563958928</v>
      </c>
      <c r="AV225" s="237">
        <f t="shared" si="72"/>
        <v>1.9440404360410696E-2</v>
      </c>
      <c r="AX225" s="251">
        <f t="shared" si="106"/>
        <v>4235.0902036491816</v>
      </c>
      <c r="AY225" s="251">
        <f t="shared" si="106"/>
        <v>2480.0674461365707</v>
      </c>
      <c r="AZ225" s="251">
        <f t="shared" si="106"/>
        <v>175.12891799223493</v>
      </c>
      <c r="BA225" s="251">
        <f t="shared" si="106"/>
        <v>95818.388829779782</v>
      </c>
      <c r="BB225" s="251">
        <f t="shared" si="106"/>
        <v>1899.6787470107481</v>
      </c>
      <c r="BC225" s="251">
        <f t="shared" si="97"/>
        <v>104608.35414456853</v>
      </c>
      <c r="BD225" s="270">
        <f t="shared" si="74"/>
        <v>7.1062715106197443</v>
      </c>
      <c r="BY225" s="252">
        <f t="shared" si="104"/>
        <v>0.28769882773898492</v>
      </c>
      <c r="BZ225" s="252">
        <f t="shared" si="104"/>
        <v>0.16847633997318615</v>
      </c>
      <c r="CA225" s="252">
        <f t="shared" si="104"/>
        <v>1.1896885777343992E-2</v>
      </c>
      <c r="CB225" s="252">
        <f t="shared" si="104"/>
        <v>6.5091501754585579</v>
      </c>
      <c r="CC225" s="252">
        <f t="shared" si="104"/>
        <v>0.1290492816716706</v>
      </c>
    </row>
    <row r="226" spans="1:81">
      <c r="A226" s="11">
        <v>46508</v>
      </c>
      <c r="B226" s="268">
        <v>70</v>
      </c>
      <c r="C226" s="268">
        <v>13</v>
      </c>
      <c r="D226" s="268">
        <f t="shared" ref="D226:D289" si="107">$D$3</f>
        <v>20</v>
      </c>
      <c r="E226" s="268">
        <v>3</v>
      </c>
      <c r="F226" s="269">
        <v>0.2</v>
      </c>
      <c r="G226" s="269">
        <v>1.32</v>
      </c>
      <c r="H226" s="269"/>
      <c r="I226" s="269">
        <v>5</v>
      </c>
      <c r="J226" s="269"/>
      <c r="K226" s="269"/>
      <c r="L226" s="269"/>
      <c r="M226" s="269">
        <f t="shared" si="105"/>
        <v>1.5</v>
      </c>
      <c r="N226" s="269">
        <v>45</v>
      </c>
      <c r="O226" s="269">
        <f t="shared" si="85"/>
        <v>17.699535849485258</v>
      </c>
      <c r="Q226" s="251">
        <f t="shared" si="95"/>
        <v>176.71953584948523</v>
      </c>
      <c r="R226" s="251">
        <f>'RD Plant List'!N94</f>
        <v>594.33000000000004</v>
      </c>
      <c r="S226" s="251">
        <f>SUM(B226:O226)+'RD Plant List'!N94</f>
        <v>771.04953584948521</v>
      </c>
      <c r="T226" s="237">
        <f t="shared" si="82"/>
        <v>0.77080650771057313</v>
      </c>
      <c r="U226" s="251">
        <f t="shared" si="101"/>
        <v>437.19960760606097</v>
      </c>
      <c r="V226" s="271">
        <f t="shared" si="89"/>
        <v>0.56701883248575835</v>
      </c>
      <c r="W226" s="251">
        <f t="shared" si="98"/>
        <v>36.433300633838414</v>
      </c>
      <c r="X226" s="242">
        <f t="shared" si="99"/>
        <v>7.1064350212319702</v>
      </c>
      <c r="Y226" s="273">
        <f t="shared" si="100"/>
        <v>7.1064350212319702</v>
      </c>
      <c r="AB226" s="251">
        <f>SUM('BD Feedstock'!C224,'BD Feedstock'!E224,'BD Feedstock'!G224,'BD Feedstock'!K224,'BD Feedstock'!T224)</f>
        <v>21.812796010427753</v>
      </c>
      <c r="AC226" s="251">
        <f>SUM('BD Feedstock'!D224,'BD Feedstock'!F224,'BD Feedstock'!H224,'BD Feedstock'!I224,'BD Feedstock'!L224,'BD Feedstock'!M224,'BD Feedstock'!N224,'BD Feedstock'!O224,'BD Feedstock'!U224)</f>
        <v>12.773566250859661</v>
      </c>
      <c r="AD226" s="251">
        <f>'BD Feedstock'!J224</f>
        <v>0.90199999999999991</v>
      </c>
      <c r="AE226" s="251">
        <f>SUM('BD Feedstock'!B224,'BD Feedstock'!P224,'BD Feedstock'!Q224,'BD Feedstock'!R224)</f>
        <v>70.93020833333334</v>
      </c>
      <c r="AF226" s="251">
        <f>'BD Feedstock'!S224</f>
        <v>1.40625</v>
      </c>
      <c r="AG226" s="251">
        <f t="shared" si="90"/>
        <v>107.82482059462075</v>
      </c>
      <c r="AK226" s="237">
        <f t="shared" si="103"/>
        <v>0.20229846792359021</v>
      </c>
      <c r="AL226" s="237">
        <f t="shared" si="102"/>
        <v>0.11846591703484753</v>
      </c>
      <c r="AM226" s="237">
        <f t="shared" si="102"/>
        <v>8.3654208282077092E-3</v>
      </c>
      <c r="AN226" s="237">
        <f t="shared" si="102"/>
        <v>0.65782820636449979</v>
      </c>
      <c r="AO226" s="237">
        <f t="shared" si="102"/>
        <v>1.304198784885487E-2</v>
      </c>
      <c r="AP226" s="237">
        <f t="shared" si="91"/>
        <v>1</v>
      </c>
      <c r="AQ226" s="237"/>
      <c r="AR226" s="237">
        <f t="shared" si="92"/>
        <v>0.61464645366918802</v>
      </c>
      <c r="AS226" s="237">
        <f t="shared" si="93"/>
        <v>0.35993676340465403</v>
      </c>
      <c r="AT226" s="237">
        <f t="shared" si="94"/>
        <v>2.5416782926158003E-2</v>
      </c>
      <c r="AU226" s="237">
        <f t="shared" si="72"/>
        <v>0.98055959563958928</v>
      </c>
      <c r="AV226" s="237">
        <f t="shared" si="72"/>
        <v>1.9440404360410696E-2</v>
      </c>
      <c r="AX226" s="251">
        <f t="shared" si="106"/>
        <v>4754.684110404386</v>
      </c>
      <c r="AY226" s="251">
        <f t="shared" si="106"/>
        <v>2784.3414689765459</v>
      </c>
      <c r="AZ226" s="251">
        <f t="shared" si="106"/>
        <v>196.61509994108462</v>
      </c>
      <c r="BA226" s="251">
        <f t="shared" si="106"/>
        <v>107571.69596637582</v>
      </c>
      <c r="BB226" s="251">
        <f t="shared" si="106"/>
        <v>2132.6977744350747</v>
      </c>
      <c r="BC226" s="251">
        <f t="shared" si="97"/>
        <v>117440.03442013291</v>
      </c>
      <c r="BD226" s="270">
        <f t="shared" si="74"/>
        <v>7.1064350212319702</v>
      </c>
      <c r="BY226" s="252">
        <f t="shared" si="104"/>
        <v>0.28771154439716712</v>
      </c>
      <c r="BZ226" s="252">
        <f t="shared" si="104"/>
        <v>0.16848378684408258</v>
      </c>
      <c r="CA226" s="252">
        <f t="shared" si="104"/>
        <v>1.1897411634995383E-2</v>
      </c>
      <c r="CB226" s="252">
        <f t="shared" si="104"/>
        <v>6.5092902201816791</v>
      </c>
      <c r="CC226" s="252">
        <f t="shared" si="104"/>
        <v>0.12905205817404547</v>
      </c>
    </row>
    <row r="227" spans="1:81">
      <c r="A227" s="11">
        <v>46539</v>
      </c>
      <c r="B227" s="268">
        <v>70</v>
      </c>
      <c r="C227" s="268">
        <v>13</v>
      </c>
      <c r="D227" s="268">
        <f t="shared" si="107"/>
        <v>20</v>
      </c>
      <c r="E227" s="268">
        <v>3</v>
      </c>
      <c r="F227" s="269">
        <v>0.2</v>
      </c>
      <c r="G227" s="269">
        <v>1.32</v>
      </c>
      <c r="H227" s="269"/>
      <c r="I227" s="269">
        <v>5</v>
      </c>
      <c r="J227" s="269"/>
      <c r="K227" s="269"/>
      <c r="L227" s="269"/>
      <c r="M227" s="269">
        <f t="shared" si="105"/>
        <v>1.5</v>
      </c>
      <c r="N227" s="269">
        <v>45</v>
      </c>
      <c r="O227" s="269">
        <f t="shared" si="85"/>
        <v>17.699535849485258</v>
      </c>
      <c r="Q227" s="251">
        <f t="shared" si="95"/>
        <v>176.71953584948523</v>
      </c>
      <c r="R227" s="251">
        <f>'RD Plant List'!N95</f>
        <v>664.33</v>
      </c>
      <c r="S227" s="251">
        <f>SUM(B227:O227)+'RD Plant List'!N95</f>
        <v>841.04953584948521</v>
      </c>
      <c r="T227" s="237">
        <f t="shared" si="82"/>
        <v>0.7898821314121609</v>
      </c>
      <c r="U227" s="251">
        <f t="shared" si="101"/>
        <v>525.36808399738106</v>
      </c>
      <c r="V227" s="271">
        <f t="shared" si="89"/>
        <v>0.62465771824812144</v>
      </c>
      <c r="W227" s="251">
        <f t="shared" si="98"/>
        <v>43.780673666448422</v>
      </c>
      <c r="X227" s="242">
        <f t="shared" si="99"/>
        <v>7.1066213834002445</v>
      </c>
      <c r="Y227" s="273">
        <f t="shared" si="100"/>
        <v>7.1066213834002445</v>
      </c>
      <c r="AB227" s="251">
        <f>SUM('BD Feedstock'!C225,'BD Feedstock'!E225,'BD Feedstock'!G225,'BD Feedstock'!K225,'BD Feedstock'!T225)</f>
        <v>21.812796010427753</v>
      </c>
      <c r="AC227" s="251">
        <f>SUM('BD Feedstock'!D225,'BD Feedstock'!F225,'BD Feedstock'!H225,'BD Feedstock'!I225,'BD Feedstock'!L225,'BD Feedstock'!M225,'BD Feedstock'!N225,'BD Feedstock'!O225,'BD Feedstock'!U225)</f>
        <v>12.773566250859661</v>
      </c>
      <c r="AD227" s="251">
        <f>'BD Feedstock'!J225</f>
        <v>0.90199999999999991</v>
      </c>
      <c r="AE227" s="251">
        <f>SUM('BD Feedstock'!B225,'BD Feedstock'!P225,'BD Feedstock'!Q225,'BD Feedstock'!R225)</f>
        <v>70.93020833333334</v>
      </c>
      <c r="AF227" s="251">
        <f>'BD Feedstock'!S225</f>
        <v>1.40625</v>
      </c>
      <c r="AG227" s="251">
        <f t="shared" si="90"/>
        <v>107.82482059462075</v>
      </c>
      <c r="AK227" s="237">
        <f t="shared" si="103"/>
        <v>0.20229846792359021</v>
      </c>
      <c r="AL227" s="237">
        <f t="shared" si="102"/>
        <v>0.11846591703484753</v>
      </c>
      <c r="AM227" s="237">
        <f t="shared" si="102"/>
        <v>8.3654208282077092E-3</v>
      </c>
      <c r="AN227" s="237">
        <f t="shared" si="102"/>
        <v>0.65782820636449979</v>
      </c>
      <c r="AO227" s="237">
        <f t="shared" si="102"/>
        <v>1.304198784885487E-2</v>
      </c>
      <c r="AP227" s="237">
        <f t="shared" si="91"/>
        <v>1</v>
      </c>
      <c r="AQ227" s="237"/>
      <c r="AR227" s="237">
        <f t="shared" si="92"/>
        <v>0.61464645366918802</v>
      </c>
      <c r="AS227" s="237">
        <f t="shared" si="93"/>
        <v>0.35993676340465403</v>
      </c>
      <c r="AT227" s="237">
        <f t="shared" si="94"/>
        <v>2.5416782926158003E-2</v>
      </c>
      <c r="AU227" s="237">
        <f t="shared" ref="AU227:AV290" si="108">AE227/SUM($AE227:$AF227)</f>
        <v>0.98055959563958928</v>
      </c>
      <c r="AV227" s="237">
        <f t="shared" si="108"/>
        <v>1.9440404360410696E-2</v>
      </c>
      <c r="AX227" s="251">
        <f t="shared" si="106"/>
        <v>5713.5024698953566</v>
      </c>
      <c r="AY227" s="251">
        <f t="shared" si="106"/>
        <v>3345.8251885163731</v>
      </c>
      <c r="AZ227" s="251">
        <f t="shared" si="106"/>
        <v>236.26403627402433</v>
      </c>
      <c r="BA227" s="251">
        <f t="shared" si="106"/>
        <v>129268.98948416706</v>
      </c>
      <c r="BB227" s="251">
        <f t="shared" si="106"/>
        <v>2562.8645500069874</v>
      </c>
      <c r="BC227" s="251">
        <f t="shared" si="97"/>
        <v>141127.44572885981</v>
      </c>
      <c r="BD227" s="270">
        <f t="shared" si="74"/>
        <v>7.1066213834002445</v>
      </c>
      <c r="BY227" s="252">
        <f t="shared" si="104"/>
        <v>0.28770944317009778</v>
      </c>
      <c r="BZ227" s="252">
        <f t="shared" si="104"/>
        <v>0.16848255636619403</v>
      </c>
      <c r="CA227" s="252">
        <f t="shared" si="104"/>
        <v>1.1897324745317614E-2</v>
      </c>
      <c r="CB227" s="252">
        <f t="shared" si="104"/>
        <v>6.5094763115298182</v>
      </c>
      <c r="CC227" s="252">
        <f t="shared" si="104"/>
        <v>0.1290557475888163</v>
      </c>
    </row>
    <row r="228" spans="1:81">
      <c r="A228" s="11">
        <v>46569</v>
      </c>
      <c r="B228" s="268">
        <v>70</v>
      </c>
      <c r="C228" s="268">
        <v>13</v>
      </c>
      <c r="D228" s="268">
        <f t="shared" si="107"/>
        <v>20</v>
      </c>
      <c r="E228" s="268">
        <v>3</v>
      </c>
      <c r="F228" s="269">
        <v>0.2</v>
      </c>
      <c r="G228" s="269">
        <v>1.32</v>
      </c>
      <c r="H228" s="269"/>
      <c r="I228" s="269">
        <v>5</v>
      </c>
      <c r="J228" s="269"/>
      <c r="K228" s="269"/>
      <c r="L228" s="269"/>
      <c r="M228" s="269">
        <f t="shared" si="105"/>
        <v>1.5</v>
      </c>
      <c r="N228" s="269">
        <v>45</v>
      </c>
      <c r="O228" s="269">
        <f t="shared" si="85"/>
        <v>17.699535849485258</v>
      </c>
      <c r="Q228" s="251">
        <f t="shared" si="95"/>
        <v>176.71953584948523</v>
      </c>
      <c r="R228" s="251">
        <f>'RD Plant List'!N96</f>
        <v>664.33</v>
      </c>
      <c r="S228" s="251">
        <f>SUM(B228:O228)+'RD Plant List'!N96</f>
        <v>841.04953584948521</v>
      </c>
      <c r="T228" s="237">
        <f t="shared" si="82"/>
        <v>0.7898821314121609</v>
      </c>
      <c r="U228" s="251">
        <f t="shared" si="101"/>
        <v>537.29966676857248</v>
      </c>
      <c r="V228" s="271">
        <f t="shared" si="89"/>
        <v>0.63884425811600232</v>
      </c>
      <c r="W228" s="251">
        <f t="shared" si="98"/>
        <v>44.774972230714376</v>
      </c>
      <c r="X228" s="242">
        <f t="shared" si="99"/>
        <v>7.1066378316242105</v>
      </c>
      <c r="Y228" s="273">
        <f t="shared" si="100"/>
        <v>7.1066378316242105</v>
      </c>
      <c r="AB228" s="251">
        <f>SUM('BD Feedstock'!C226,'BD Feedstock'!E226,'BD Feedstock'!G226,'BD Feedstock'!K226,'BD Feedstock'!T226)</f>
        <v>21.812796010427753</v>
      </c>
      <c r="AC228" s="251">
        <f>SUM('BD Feedstock'!D226,'BD Feedstock'!F226,'BD Feedstock'!H226,'BD Feedstock'!I226,'BD Feedstock'!L226,'BD Feedstock'!M226,'BD Feedstock'!N226,'BD Feedstock'!O226,'BD Feedstock'!U226)</f>
        <v>12.773566250859661</v>
      </c>
      <c r="AD228" s="251">
        <f>'BD Feedstock'!J226</f>
        <v>0.90199999999999991</v>
      </c>
      <c r="AE228" s="251">
        <f>SUM('BD Feedstock'!B226,'BD Feedstock'!P226,'BD Feedstock'!Q226,'BD Feedstock'!R226)</f>
        <v>70.93020833333334</v>
      </c>
      <c r="AF228" s="251">
        <f>'BD Feedstock'!S226</f>
        <v>1.40625</v>
      </c>
      <c r="AG228" s="251">
        <f t="shared" si="90"/>
        <v>107.82482059462075</v>
      </c>
      <c r="AK228" s="237">
        <f t="shared" si="103"/>
        <v>0.20229846792359021</v>
      </c>
      <c r="AL228" s="237">
        <f t="shared" si="102"/>
        <v>0.11846591703484753</v>
      </c>
      <c r="AM228" s="237">
        <f t="shared" si="102"/>
        <v>8.3654208282077092E-3</v>
      </c>
      <c r="AN228" s="237">
        <f t="shared" si="102"/>
        <v>0.65782820636449979</v>
      </c>
      <c r="AO228" s="237">
        <f t="shared" si="102"/>
        <v>1.304198784885487E-2</v>
      </c>
      <c r="AP228" s="237">
        <f t="shared" si="91"/>
        <v>1</v>
      </c>
      <c r="AQ228" s="237"/>
      <c r="AR228" s="237">
        <f t="shared" si="92"/>
        <v>0.61464645366918802</v>
      </c>
      <c r="AS228" s="237">
        <f t="shared" si="93"/>
        <v>0.35993676340465403</v>
      </c>
      <c r="AT228" s="237">
        <f t="shared" si="94"/>
        <v>2.5416782926158003E-2</v>
      </c>
      <c r="AU228" s="237">
        <f t="shared" si="108"/>
        <v>0.98055959563958928</v>
      </c>
      <c r="AV228" s="237">
        <f t="shared" si="108"/>
        <v>1.9440404360410696E-2</v>
      </c>
      <c r="AX228" s="251">
        <f t="shared" si="106"/>
        <v>5843.0579992683133</v>
      </c>
      <c r="AY228" s="251">
        <f t="shared" si="106"/>
        <v>3421.6928643897249</v>
      </c>
      <c r="AZ228" s="251">
        <f t="shared" si="106"/>
        <v>241.62140024692096</v>
      </c>
      <c r="BA228" s="251">
        <f t="shared" si="106"/>
        <v>132205.45659368811</v>
      </c>
      <c r="BB228" s="251">
        <f t="shared" si="106"/>
        <v>2621.0824372766533</v>
      </c>
      <c r="BC228" s="251">
        <f t="shared" si="97"/>
        <v>144332.91129486973</v>
      </c>
      <c r="BD228" s="270">
        <f t="shared" si="74"/>
        <v>7.1066378316242105</v>
      </c>
      <c r="BY228" s="252">
        <f t="shared" si="104"/>
        <v>0.28769943498985351</v>
      </c>
      <c r="BZ228" s="252">
        <f t="shared" si="104"/>
        <v>0.16847669557909736</v>
      </c>
      <c r="CA228" s="252">
        <f t="shared" si="104"/>
        <v>1.1896910888305613E-2</v>
      </c>
      <c r="CB228" s="252">
        <f t="shared" si="104"/>
        <v>6.5095084062733246</v>
      </c>
      <c r="CC228" s="252">
        <f t="shared" si="104"/>
        <v>0.12905638389363072</v>
      </c>
    </row>
    <row r="229" spans="1:81">
      <c r="A229" s="11">
        <v>46600</v>
      </c>
      <c r="B229" s="268">
        <v>70</v>
      </c>
      <c r="C229" s="268">
        <v>13</v>
      </c>
      <c r="D229" s="268">
        <f t="shared" si="107"/>
        <v>20</v>
      </c>
      <c r="E229" s="268">
        <v>3</v>
      </c>
      <c r="F229" s="269">
        <v>0.2</v>
      </c>
      <c r="G229" s="269">
        <v>1.32</v>
      </c>
      <c r="H229" s="269"/>
      <c r="I229" s="269">
        <v>5</v>
      </c>
      <c r="J229" s="269"/>
      <c r="K229" s="269"/>
      <c r="L229" s="269"/>
      <c r="M229" s="269">
        <f t="shared" si="105"/>
        <v>1.5</v>
      </c>
      <c r="N229" s="269">
        <v>45</v>
      </c>
      <c r="O229" s="269">
        <f t="shared" si="85"/>
        <v>17.699535849485258</v>
      </c>
      <c r="Q229" s="251">
        <f t="shared" si="95"/>
        <v>176.71953584948523</v>
      </c>
      <c r="R229" s="251">
        <f>'RD Plant List'!N97</f>
        <v>664.33</v>
      </c>
      <c r="S229" s="251">
        <f>SUM(B229:O229)+'RD Plant List'!N97</f>
        <v>841.04953584948521</v>
      </c>
      <c r="T229" s="237">
        <f t="shared" si="82"/>
        <v>0.7898821314121609</v>
      </c>
      <c r="U229" s="251">
        <f t="shared" si="101"/>
        <v>511.91331700605843</v>
      </c>
      <c r="V229" s="271">
        <f t="shared" si="89"/>
        <v>0.60866012664641767</v>
      </c>
      <c r="W229" s="251">
        <f t="shared" si="98"/>
        <v>42.659443083838205</v>
      </c>
      <c r="X229" s="242">
        <f t="shared" si="99"/>
        <v>7.1065557467289029</v>
      </c>
      <c r="Y229" s="273">
        <f t="shared" si="100"/>
        <v>7.1065557467289029</v>
      </c>
      <c r="AB229" s="251">
        <f>SUM('BD Feedstock'!C227,'BD Feedstock'!E227,'BD Feedstock'!G227,'BD Feedstock'!K227,'BD Feedstock'!T227)</f>
        <v>21.812796010427753</v>
      </c>
      <c r="AC229" s="251">
        <f>SUM('BD Feedstock'!D227,'BD Feedstock'!F227,'BD Feedstock'!H227,'BD Feedstock'!I227,'BD Feedstock'!L227,'BD Feedstock'!M227,'BD Feedstock'!N227,'BD Feedstock'!O227,'BD Feedstock'!U227)</f>
        <v>12.773566250859661</v>
      </c>
      <c r="AD229" s="251">
        <f>'BD Feedstock'!J227</f>
        <v>0.90199999999999991</v>
      </c>
      <c r="AE229" s="251">
        <f>SUM('BD Feedstock'!B227,'BD Feedstock'!P227,'BD Feedstock'!Q227,'BD Feedstock'!R227)</f>
        <v>70.93020833333334</v>
      </c>
      <c r="AF229" s="251">
        <f>'BD Feedstock'!S227</f>
        <v>1.40625</v>
      </c>
      <c r="AG229" s="251">
        <f t="shared" si="90"/>
        <v>107.82482059462075</v>
      </c>
      <c r="AK229" s="237">
        <f t="shared" si="103"/>
        <v>0.20229846792359021</v>
      </c>
      <c r="AL229" s="237">
        <f t="shared" si="102"/>
        <v>0.11846591703484753</v>
      </c>
      <c r="AM229" s="237">
        <f t="shared" si="102"/>
        <v>8.3654208282077092E-3</v>
      </c>
      <c r="AN229" s="237">
        <f t="shared" si="102"/>
        <v>0.65782820636449979</v>
      </c>
      <c r="AO229" s="237">
        <f t="shared" si="102"/>
        <v>1.304198784885487E-2</v>
      </c>
      <c r="AP229" s="237">
        <f t="shared" si="91"/>
        <v>1</v>
      </c>
      <c r="AQ229" s="237"/>
      <c r="AR229" s="237">
        <f t="shared" si="92"/>
        <v>0.61464645366918802</v>
      </c>
      <c r="AS229" s="237">
        <f t="shared" si="93"/>
        <v>0.35993676340465403</v>
      </c>
      <c r="AT229" s="237">
        <f t="shared" si="94"/>
        <v>2.5416782926158003E-2</v>
      </c>
      <c r="AU229" s="237">
        <f t="shared" si="108"/>
        <v>0.98055959563958928</v>
      </c>
      <c r="AV229" s="237">
        <f t="shared" si="108"/>
        <v>1.9440404360410696E-2</v>
      </c>
      <c r="AX229" s="251">
        <f t="shared" si="106"/>
        <v>5566.8693329181124</v>
      </c>
      <c r="AY229" s="251">
        <f t="shared" si="106"/>
        <v>3259.9568711830616</v>
      </c>
      <c r="AZ229" s="251">
        <f t="shared" si="106"/>
        <v>230.20048121715573</v>
      </c>
      <c r="BA229" s="251">
        <f t="shared" si="106"/>
        <v>125957.63657363305</v>
      </c>
      <c r="BB229" s="251">
        <f t="shared" si="106"/>
        <v>2497.2142419103989</v>
      </c>
      <c r="BC229" s="251">
        <f t="shared" si="97"/>
        <v>137511.8775008618</v>
      </c>
      <c r="BD229" s="270">
        <f t="shared" si="74"/>
        <v>7.1065557467289029</v>
      </c>
      <c r="BY229" s="252">
        <f t="shared" si="104"/>
        <v>0.28769345578086641</v>
      </c>
      <c r="BZ229" s="252">
        <f t="shared" si="104"/>
        <v>0.16847319415625875</v>
      </c>
      <c r="CA229" s="252">
        <f t="shared" si="104"/>
        <v>1.1896663636806823E-2</v>
      </c>
      <c r="CB229" s="252">
        <f t="shared" si="104"/>
        <v>6.5094374559109101</v>
      </c>
      <c r="CC229" s="252">
        <f t="shared" si="104"/>
        <v>0.12905497724405943</v>
      </c>
    </row>
    <row r="230" spans="1:81">
      <c r="A230" s="11">
        <v>46631</v>
      </c>
      <c r="B230" s="268">
        <v>70</v>
      </c>
      <c r="C230" s="268">
        <v>13</v>
      </c>
      <c r="D230" s="268">
        <f t="shared" si="107"/>
        <v>20</v>
      </c>
      <c r="E230" s="268">
        <v>3</v>
      </c>
      <c r="F230" s="269">
        <v>0.2</v>
      </c>
      <c r="G230" s="269">
        <v>1.32</v>
      </c>
      <c r="H230" s="269"/>
      <c r="I230" s="269">
        <v>5</v>
      </c>
      <c r="J230" s="269"/>
      <c r="K230" s="269"/>
      <c r="L230" s="269"/>
      <c r="M230" s="269">
        <f t="shared" si="105"/>
        <v>1.5</v>
      </c>
      <c r="N230" s="269">
        <v>45</v>
      </c>
      <c r="O230" s="269">
        <f t="shared" si="85"/>
        <v>17.699535849485258</v>
      </c>
      <c r="Q230" s="251">
        <f t="shared" si="95"/>
        <v>176.71953584948523</v>
      </c>
      <c r="R230" s="251">
        <f>'RD Plant List'!N98</f>
        <v>664.33</v>
      </c>
      <c r="S230" s="251">
        <f>SUM(B230:O230)+'RD Plant List'!N98</f>
        <v>841.04953584948521</v>
      </c>
      <c r="T230" s="237">
        <f t="shared" si="82"/>
        <v>0.7898821314121609</v>
      </c>
      <c r="U230" s="251">
        <f t="shared" si="101"/>
        <v>566.57096012001023</v>
      </c>
      <c r="V230" s="271">
        <f t="shared" si="89"/>
        <v>0.67364755103010265</v>
      </c>
      <c r="W230" s="251">
        <f t="shared" si="98"/>
        <v>47.214246676667521</v>
      </c>
      <c r="X230" s="242">
        <f t="shared" si="99"/>
        <v>7.1064878105417861</v>
      </c>
      <c r="Y230" s="273">
        <f t="shared" si="100"/>
        <v>7.1064878105417861</v>
      </c>
      <c r="AB230" s="251">
        <f>SUM('BD Feedstock'!C228,'BD Feedstock'!E228,'BD Feedstock'!G228,'BD Feedstock'!K228,'BD Feedstock'!T228)</f>
        <v>21.812796010427753</v>
      </c>
      <c r="AC230" s="251">
        <f>SUM('BD Feedstock'!D228,'BD Feedstock'!F228,'BD Feedstock'!H228,'BD Feedstock'!I228,'BD Feedstock'!L228,'BD Feedstock'!M228,'BD Feedstock'!N228,'BD Feedstock'!O228,'BD Feedstock'!U228)</f>
        <v>12.773566250859661</v>
      </c>
      <c r="AD230" s="251">
        <f>'BD Feedstock'!J228</f>
        <v>0.90199999999999991</v>
      </c>
      <c r="AE230" s="251">
        <f>SUM('BD Feedstock'!B228,'BD Feedstock'!P228,'BD Feedstock'!Q228,'BD Feedstock'!R228)</f>
        <v>70.93020833333334</v>
      </c>
      <c r="AF230" s="251">
        <f>'BD Feedstock'!S228</f>
        <v>1.40625</v>
      </c>
      <c r="AG230" s="251">
        <f t="shared" si="90"/>
        <v>107.82482059462075</v>
      </c>
      <c r="AK230" s="237">
        <f t="shared" si="103"/>
        <v>0.20229846792359021</v>
      </c>
      <c r="AL230" s="237">
        <f t="shared" si="102"/>
        <v>0.11846591703484753</v>
      </c>
      <c r="AM230" s="237">
        <f t="shared" si="102"/>
        <v>8.3654208282077092E-3</v>
      </c>
      <c r="AN230" s="237">
        <f t="shared" si="102"/>
        <v>0.65782820636449979</v>
      </c>
      <c r="AO230" s="237">
        <f t="shared" si="102"/>
        <v>1.304198784885487E-2</v>
      </c>
      <c r="AP230" s="237">
        <f t="shared" si="91"/>
        <v>1</v>
      </c>
      <c r="AQ230" s="237"/>
      <c r="AR230" s="237">
        <f t="shared" si="92"/>
        <v>0.61464645366918802</v>
      </c>
      <c r="AS230" s="237">
        <f t="shared" si="93"/>
        <v>0.35993676340465403</v>
      </c>
      <c r="AT230" s="237">
        <f t="shared" si="94"/>
        <v>2.5416782926158003E-2</v>
      </c>
      <c r="AU230" s="237">
        <f t="shared" si="108"/>
        <v>0.98055959563958928</v>
      </c>
      <c r="AV230" s="237">
        <f t="shared" si="108"/>
        <v>1.9440404360410696E-2</v>
      </c>
      <c r="AX230" s="251">
        <f t="shared" si="106"/>
        <v>6161.3166869982178</v>
      </c>
      <c r="AY230" s="251">
        <f t="shared" si="106"/>
        <v>3608.065048436471</v>
      </c>
      <c r="AZ230" s="251">
        <f t="shared" si="106"/>
        <v>254.78199351497963</v>
      </c>
      <c r="BA230" s="251">
        <f t="shared" si="106"/>
        <v>139404.76417280361</v>
      </c>
      <c r="BB230" s="251">
        <f t="shared" si="106"/>
        <v>2763.8146598517487</v>
      </c>
      <c r="BC230" s="251">
        <f t="shared" si="97"/>
        <v>152192.74256160503</v>
      </c>
      <c r="BD230" s="270">
        <f t="shared" si="74"/>
        <v>7.1064878105417861</v>
      </c>
      <c r="BY230" s="252">
        <f t="shared" si="104"/>
        <v>0.28769651690399745</v>
      </c>
      <c r="BZ230" s="252">
        <f t="shared" si="104"/>
        <v>0.16847498674896888</v>
      </c>
      <c r="CA230" s="252">
        <f t="shared" si="104"/>
        <v>1.1896790219985931E-2</v>
      </c>
      <c r="CB230" s="252">
        <f t="shared" si="104"/>
        <v>6.5093659569507505</v>
      </c>
      <c r="CC230" s="252">
        <f t="shared" si="104"/>
        <v>0.12905355971808444</v>
      </c>
    </row>
    <row r="231" spans="1:81">
      <c r="A231" s="11">
        <v>46661</v>
      </c>
      <c r="B231" s="268">
        <v>70</v>
      </c>
      <c r="C231" s="268">
        <v>13</v>
      </c>
      <c r="D231" s="268">
        <f t="shared" si="107"/>
        <v>20</v>
      </c>
      <c r="E231" s="268">
        <v>3</v>
      </c>
      <c r="F231" s="269">
        <v>0.2</v>
      </c>
      <c r="G231" s="269">
        <v>1.32</v>
      </c>
      <c r="H231" s="269"/>
      <c r="I231" s="269">
        <v>5</v>
      </c>
      <c r="J231" s="269"/>
      <c r="K231" s="269"/>
      <c r="L231" s="269"/>
      <c r="M231" s="269">
        <f t="shared" si="105"/>
        <v>1.5</v>
      </c>
      <c r="N231" s="269">
        <v>45</v>
      </c>
      <c r="O231" s="269">
        <f t="shared" si="85"/>
        <v>17.699535849485258</v>
      </c>
      <c r="Q231" s="251">
        <f t="shared" si="95"/>
        <v>176.71953584948523</v>
      </c>
      <c r="R231" s="251">
        <f>'RD Plant List'!N99</f>
        <v>664.33</v>
      </c>
      <c r="S231" s="251">
        <f>SUM(B231:O231)+'RD Plant List'!N99</f>
        <v>841.04953584948521</v>
      </c>
      <c r="T231" s="237">
        <f t="shared" si="82"/>
        <v>0.7898821314121609</v>
      </c>
      <c r="U231" s="251">
        <f t="shared" si="101"/>
        <v>600.85130117072049</v>
      </c>
      <c r="V231" s="271">
        <f t="shared" si="89"/>
        <v>0.71440655461969038</v>
      </c>
      <c r="W231" s="251">
        <f t="shared" si="98"/>
        <v>50.07094176422671</v>
      </c>
      <c r="X231" s="242">
        <f t="shared" si="99"/>
        <v>7.106501550691144</v>
      </c>
      <c r="Y231" s="273">
        <f t="shared" si="100"/>
        <v>7.106501550691144</v>
      </c>
      <c r="AB231" s="251">
        <f>SUM('BD Feedstock'!C229,'BD Feedstock'!E229,'BD Feedstock'!G229,'BD Feedstock'!K229,'BD Feedstock'!T229)</f>
        <v>21.812796010427753</v>
      </c>
      <c r="AC231" s="251">
        <f>SUM('BD Feedstock'!D229,'BD Feedstock'!F229,'BD Feedstock'!H229,'BD Feedstock'!I229,'BD Feedstock'!L229,'BD Feedstock'!M229,'BD Feedstock'!N229,'BD Feedstock'!O229,'BD Feedstock'!U229)</f>
        <v>12.773566250859661</v>
      </c>
      <c r="AD231" s="251">
        <f>'BD Feedstock'!J229</f>
        <v>0.90199999999999991</v>
      </c>
      <c r="AE231" s="251">
        <f>SUM('BD Feedstock'!B229,'BD Feedstock'!P229,'BD Feedstock'!Q229,'BD Feedstock'!R229)</f>
        <v>70.93020833333334</v>
      </c>
      <c r="AF231" s="251">
        <f>'BD Feedstock'!S229</f>
        <v>1.40625</v>
      </c>
      <c r="AG231" s="251">
        <f t="shared" si="90"/>
        <v>107.82482059462075</v>
      </c>
      <c r="AK231" s="237">
        <f t="shared" si="103"/>
        <v>0.20229846792359021</v>
      </c>
      <c r="AL231" s="237">
        <f t="shared" si="102"/>
        <v>0.11846591703484753</v>
      </c>
      <c r="AM231" s="237">
        <f t="shared" si="102"/>
        <v>8.3654208282077092E-3</v>
      </c>
      <c r="AN231" s="237">
        <f t="shared" si="102"/>
        <v>0.65782820636449979</v>
      </c>
      <c r="AO231" s="237">
        <f t="shared" si="102"/>
        <v>1.304198784885487E-2</v>
      </c>
      <c r="AP231" s="237">
        <f t="shared" si="91"/>
        <v>1</v>
      </c>
      <c r="AQ231" s="237"/>
      <c r="AR231" s="237">
        <f t="shared" si="92"/>
        <v>0.61464645366918802</v>
      </c>
      <c r="AS231" s="237">
        <f t="shared" si="93"/>
        <v>0.35993676340465403</v>
      </c>
      <c r="AT231" s="237">
        <f t="shared" si="94"/>
        <v>2.5416782926158003E-2</v>
      </c>
      <c r="AU231" s="237">
        <f t="shared" si="108"/>
        <v>0.98055959563958928</v>
      </c>
      <c r="AV231" s="237">
        <f t="shared" si="108"/>
        <v>1.9440404360410696E-2</v>
      </c>
      <c r="AX231" s="251">
        <f t="shared" si="106"/>
        <v>6534.2207928578418</v>
      </c>
      <c r="AY231" s="251">
        <f t="shared" si="106"/>
        <v>3826.4375715709825</v>
      </c>
      <c r="AZ231" s="251">
        <f t="shared" si="106"/>
        <v>270.20227724772911</v>
      </c>
      <c r="BA231" s="251">
        <f t="shared" si="106"/>
        <v>147839.56494363133</v>
      </c>
      <c r="BB231" s="251">
        <f t="shared" si="106"/>
        <v>2931.041556017542</v>
      </c>
      <c r="BC231" s="251">
        <f t="shared" si="97"/>
        <v>161401.46714132541</v>
      </c>
      <c r="BD231" s="270">
        <f t="shared" si="74"/>
        <v>7.106501550691144</v>
      </c>
      <c r="BY231" s="252">
        <f t="shared" si="104"/>
        <v>0.2877015371634945</v>
      </c>
      <c r="BZ231" s="252">
        <f t="shared" si="104"/>
        <v>0.16847792661129796</v>
      </c>
      <c r="CA231" s="252">
        <f t="shared" si="104"/>
        <v>1.1896997817125896E-2</v>
      </c>
      <c r="CB231" s="252">
        <f t="shared" si="104"/>
        <v>6.5093714210508411</v>
      </c>
      <c r="CC231" s="252">
        <f t="shared" si="104"/>
        <v>0.1290536680483845</v>
      </c>
    </row>
    <row r="232" spans="1:81">
      <c r="A232" s="11">
        <v>46692</v>
      </c>
      <c r="B232" s="268">
        <v>70</v>
      </c>
      <c r="C232" s="268">
        <v>13</v>
      </c>
      <c r="D232" s="268">
        <f t="shared" si="107"/>
        <v>20</v>
      </c>
      <c r="E232" s="268">
        <v>3</v>
      </c>
      <c r="F232" s="269">
        <v>0.2</v>
      </c>
      <c r="G232" s="269">
        <v>1.32</v>
      </c>
      <c r="H232" s="269"/>
      <c r="I232" s="269">
        <v>5</v>
      </c>
      <c r="J232" s="269"/>
      <c r="K232" s="269"/>
      <c r="L232" s="269"/>
      <c r="M232" s="269">
        <f t="shared" si="105"/>
        <v>1.5</v>
      </c>
      <c r="N232" s="269">
        <v>45</v>
      </c>
      <c r="O232" s="269">
        <f t="shared" si="85"/>
        <v>17.699535849485258</v>
      </c>
      <c r="Q232" s="251">
        <f t="shared" si="95"/>
        <v>176.71953584948523</v>
      </c>
      <c r="R232" s="251">
        <f>'RD Plant List'!N100</f>
        <v>664.33</v>
      </c>
      <c r="S232" s="251">
        <f>SUM(B232:O232)+'RD Plant List'!N100</f>
        <v>841.04953584948521</v>
      </c>
      <c r="T232" s="237">
        <f t="shared" si="82"/>
        <v>0.7898821314121609</v>
      </c>
      <c r="U232" s="251">
        <f t="shared" si="101"/>
        <v>644.77593238141367</v>
      </c>
      <c r="V232" s="271">
        <f t="shared" si="89"/>
        <v>0.76663252864193154</v>
      </c>
      <c r="W232" s="251">
        <f t="shared" si="98"/>
        <v>53.731327698451139</v>
      </c>
      <c r="X232" s="242">
        <f t="shared" si="99"/>
        <v>7.1065398907030435</v>
      </c>
      <c r="Y232" s="273">
        <f t="shared" si="100"/>
        <v>7.1065398907030435</v>
      </c>
      <c r="AB232" s="251">
        <f>SUM('BD Feedstock'!C230,'BD Feedstock'!E230,'BD Feedstock'!G230,'BD Feedstock'!K230,'BD Feedstock'!T230)</f>
        <v>21.812796010427753</v>
      </c>
      <c r="AC232" s="251">
        <f>SUM('BD Feedstock'!D230,'BD Feedstock'!F230,'BD Feedstock'!H230,'BD Feedstock'!I230,'BD Feedstock'!L230,'BD Feedstock'!M230,'BD Feedstock'!N230,'BD Feedstock'!O230,'BD Feedstock'!U230)</f>
        <v>12.773566250859661</v>
      </c>
      <c r="AD232" s="251">
        <f>'BD Feedstock'!J230</f>
        <v>0.90199999999999991</v>
      </c>
      <c r="AE232" s="251">
        <f>SUM('BD Feedstock'!B230,'BD Feedstock'!P230,'BD Feedstock'!Q230,'BD Feedstock'!R230)</f>
        <v>70.93020833333334</v>
      </c>
      <c r="AF232" s="251">
        <f>'BD Feedstock'!S230</f>
        <v>1.40625</v>
      </c>
      <c r="AG232" s="251">
        <f t="shared" si="90"/>
        <v>107.82482059462075</v>
      </c>
      <c r="AK232" s="237">
        <f t="shared" si="103"/>
        <v>0.20229846792359021</v>
      </c>
      <c r="AL232" s="237">
        <f t="shared" si="102"/>
        <v>0.11846591703484753</v>
      </c>
      <c r="AM232" s="237">
        <f t="shared" si="102"/>
        <v>8.3654208282077092E-3</v>
      </c>
      <c r="AN232" s="237">
        <f t="shared" si="102"/>
        <v>0.65782820636449979</v>
      </c>
      <c r="AO232" s="237">
        <f t="shared" si="102"/>
        <v>1.304198784885487E-2</v>
      </c>
      <c r="AP232" s="237">
        <f t="shared" si="91"/>
        <v>1</v>
      </c>
      <c r="AQ232" s="237"/>
      <c r="AR232" s="237">
        <f t="shared" si="92"/>
        <v>0.61464645366918802</v>
      </c>
      <c r="AS232" s="237">
        <f t="shared" si="93"/>
        <v>0.35993676340465403</v>
      </c>
      <c r="AT232" s="237">
        <f t="shared" si="94"/>
        <v>2.5416782926158003E-2</v>
      </c>
      <c r="AU232" s="237">
        <f t="shared" si="108"/>
        <v>0.98055959563958928</v>
      </c>
      <c r="AV232" s="237">
        <f t="shared" si="108"/>
        <v>1.9440404360410696E-2</v>
      </c>
      <c r="AX232" s="251">
        <f t="shared" si="106"/>
        <v>7011.9094503165979</v>
      </c>
      <c r="AY232" s="251">
        <f t="shared" si="106"/>
        <v>4106.1718940492474</v>
      </c>
      <c r="AZ232" s="251">
        <f t="shared" si="106"/>
        <v>289.95559859276955</v>
      </c>
      <c r="BA232" s="251">
        <f t="shared" si="106"/>
        <v>158648.12663515654</v>
      </c>
      <c r="BB232" s="251">
        <f t="shared" si="106"/>
        <v>3145.330224214847</v>
      </c>
      <c r="BC232" s="251">
        <f t="shared" ref="BC232:BC295" si="109">SUM(AX232:BB232)</f>
        <v>173201.49380233002</v>
      </c>
      <c r="BD232" s="270">
        <f t="shared" si="74"/>
        <v>7.1065398907030444</v>
      </c>
      <c r="BY232" s="252">
        <f t="shared" si="104"/>
        <v>0.28770198873424613</v>
      </c>
      <c r="BZ232" s="252">
        <f t="shared" si="104"/>
        <v>0.16847819105098327</v>
      </c>
      <c r="CA232" s="252">
        <f t="shared" si="104"/>
        <v>1.1897016490422877E-2</v>
      </c>
      <c r="CB232" s="252">
        <f t="shared" si="104"/>
        <v>6.5094082953162209</v>
      </c>
      <c r="CC232" s="252">
        <f t="shared" si="104"/>
        <v>0.12905439911117014</v>
      </c>
    </row>
    <row r="233" spans="1:81">
      <c r="A233" s="11">
        <v>46722</v>
      </c>
      <c r="B233" s="268">
        <v>70</v>
      </c>
      <c r="C233" s="268">
        <v>13</v>
      </c>
      <c r="D233" s="268">
        <f t="shared" si="107"/>
        <v>20</v>
      </c>
      <c r="E233" s="268">
        <v>3</v>
      </c>
      <c r="F233" s="269">
        <v>0.2</v>
      </c>
      <c r="G233" s="269">
        <v>1.32</v>
      </c>
      <c r="H233" s="269"/>
      <c r="I233" s="269">
        <v>5</v>
      </c>
      <c r="J233" s="269"/>
      <c r="K233" s="269"/>
      <c r="L233" s="269"/>
      <c r="M233" s="269">
        <f t="shared" si="105"/>
        <v>1.5</v>
      </c>
      <c r="N233" s="269">
        <v>45</v>
      </c>
      <c r="O233" s="269">
        <f t="shared" si="85"/>
        <v>17.699535849485258</v>
      </c>
      <c r="Q233" s="251">
        <f t="shared" si="95"/>
        <v>176.71953584948523</v>
      </c>
      <c r="R233" s="251">
        <f>'RD Plant List'!N101</f>
        <v>664.33</v>
      </c>
      <c r="S233" s="251">
        <f>SUM(B233:O233)+'RD Plant List'!N101</f>
        <v>841.04953584948521</v>
      </c>
      <c r="T233" s="237">
        <f t="shared" si="82"/>
        <v>0.7898821314121609</v>
      </c>
      <c r="U233" s="251">
        <f t="shared" si="101"/>
        <v>580.9408560887955</v>
      </c>
      <c r="V233" s="271">
        <f t="shared" si="89"/>
        <v>0.69073322239221957</v>
      </c>
      <c r="W233" s="251">
        <f t="shared" si="98"/>
        <v>48.411738007399627</v>
      </c>
      <c r="X233" s="242">
        <f t="shared" si="99"/>
        <v>7.1065573689482227</v>
      </c>
      <c r="Y233" s="273">
        <f t="shared" si="100"/>
        <v>7.1065573689482227</v>
      </c>
      <c r="AB233" s="251">
        <f>SUM('BD Feedstock'!C231,'BD Feedstock'!E231,'BD Feedstock'!G231,'BD Feedstock'!K231,'BD Feedstock'!T231)</f>
        <v>21.812796010427753</v>
      </c>
      <c r="AC233" s="251">
        <f>SUM('BD Feedstock'!D231,'BD Feedstock'!F231,'BD Feedstock'!H231,'BD Feedstock'!I231,'BD Feedstock'!L231,'BD Feedstock'!M231,'BD Feedstock'!N231,'BD Feedstock'!O231,'BD Feedstock'!U231)</f>
        <v>12.773566250859661</v>
      </c>
      <c r="AD233" s="251">
        <f>'BD Feedstock'!J231</f>
        <v>0.90199999999999991</v>
      </c>
      <c r="AE233" s="251">
        <f>SUM('BD Feedstock'!B231,'BD Feedstock'!P231,'BD Feedstock'!Q231,'BD Feedstock'!R231)</f>
        <v>70.93020833333334</v>
      </c>
      <c r="AF233" s="251">
        <f>'BD Feedstock'!S231</f>
        <v>1.40625</v>
      </c>
      <c r="AG233" s="251">
        <f t="shared" si="90"/>
        <v>107.82482059462075</v>
      </c>
      <c r="AK233" s="237">
        <f t="shared" si="103"/>
        <v>0.20229846792359021</v>
      </c>
      <c r="AL233" s="237">
        <f t="shared" si="102"/>
        <v>0.11846591703484753</v>
      </c>
      <c r="AM233" s="237">
        <f t="shared" si="102"/>
        <v>8.3654208282077092E-3</v>
      </c>
      <c r="AN233" s="237">
        <f t="shared" si="102"/>
        <v>0.65782820636449979</v>
      </c>
      <c r="AO233" s="237">
        <f t="shared" si="102"/>
        <v>1.304198784885487E-2</v>
      </c>
      <c r="AP233" s="237">
        <f t="shared" si="91"/>
        <v>1</v>
      </c>
      <c r="AQ233" s="237"/>
      <c r="AR233" s="237">
        <f t="shared" si="92"/>
        <v>0.61464645366918802</v>
      </c>
      <c r="AS233" s="237">
        <f t="shared" si="93"/>
        <v>0.35993676340465403</v>
      </c>
      <c r="AT233" s="237">
        <f t="shared" si="94"/>
        <v>2.5416782926158003E-2</v>
      </c>
      <c r="AU233" s="237">
        <f t="shared" si="108"/>
        <v>0.98055959563958928</v>
      </c>
      <c r="AV233" s="237">
        <f t="shared" si="108"/>
        <v>1.9440404360410696E-2</v>
      </c>
      <c r="AX233" s="251">
        <f t="shared" ref="AX233:BB248" si="110">AVERAGE(BY227:BY232)*$W233/2204.622*1000000</f>
        <v>6317.6708759000521</v>
      </c>
      <c r="AY233" s="251">
        <f t="shared" si="110"/>
        <v>3699.6260106158384</v>
      </c>
      <c r="AZ233" s="251">
        <f t="shared" si="110"/>
        <v>261.24753228965278</v>
      </c>
      <c r="BA233" s="251">
        <f t="shared" si="110"/>
        <v>142941.83841029854</v>
      </c>
      <c r="BB233" s="251">
        <f t="shared" si="110"/>
        <v>2833.9400798012016</v>
      </c>
      <c r="BC233" s="251">
        <f t="shared" si="109"/>
        <v>156054.32290890528</v>
      </c>
      <c r="BD233" s="270">
        <f t="shared" si="74"/>
        <v>7.1065573689482227</v>
      </c>
      <c r="BY233" s="252">
        <f t="shared" si="104"/>
        <v>0.28770039612375925</v>
      </c>
      <c r="BZ233" s="252">
        <f t="shared" si="104"/>
        <v>0.16847725841880004</v>
      </c>
      <c r="CA233" s="252">
        <f t="shared" si="104"/>
        <v>1.1896950632994126E-2</v>
      </c>
      <c r="CB233" s="252">
        <f t="shared" si="104"/>
        <v>6.5094279745053125</v>
      </c>
      <c r="CC233" s="252">
        <f t="shared" si="104"/>
        <v>0.12905478926735756</v>
      </c>
    </row>
    <row r="234" spans="1:81">
      <c r="A234" s="11">
        <v>46753</v>
      </c>
      <c r="B234" s="268">
        <v>70</v>
      </c>
      <c r="C234" s="268">
        <v>13</v>
      </c>
      <c r="D234" s="268">
        <f t="shared" si="107"/>
        <v>20</v>
      </c>
      <c r="E234" s="268">
        <v>3</v>
      </c>
      <c r="F234" s="269">
        <v>0.2</v>
      </c>
      <c r="G234" s="269">
        <v>1.32</v>
      </c>
      <c r="H234" s="269"/>
      <c r="I234" s="269">
        <v>5</v>
      </c>
      <c r="J234" s="269"/>
      <c r="K234" s="269"/>
      <c r="L234" s="269"/>
      <c r="M234" s="269">
        <f t="shared" si="105"/>
        <v>1.5</v>
      </c>
      <c r="N234" s="269">
        <v>45</v>
      </c>
      <c r="O234" s="269">
        <f t="shared" si="85"/>
        <v>17.699535849485258</v>
      </c>
      <c r="Q234" s="251">
        <f t="shared" si="95"/>
        <v>176.71953584948523</v>
      </c>
      <c r="R234" s="251">
        <f>'RD Plant List'!N102</f>
        <v>664.33</v>
      </c>
      <c r="S234" s="251">
        <f>SUM(B234:O234)+'RD Plant List'!N102</f>
        <v>841.04953584948521</v>
      </c>
      <c r="T234" s="237">
        <f t="shared" si="82"/>
        <v>0.7898821314121609</v>
      </c>
      <c r="U234" s="251">
        <f t="shared" si="101"/>
        <v>491.2087888477302</v>
      </c>
      <c r="V234" s="271">
        <f t="shared" si="89"/>
        <v>0.58404263709817594</v>
      </c>
      <c r="W234" s="251">
        <f t="shared" si="98"/>
        <v>40.934065737310853</v>
      </c>
      <c r="X234" s="242">
        <f t="shared" si="99"/>
        <v>7.1065466998728875</v>
      </c>
      <c r="Y234" s="273">
        <f t="shared" si="100"/>
        <v>7.1065466998728875</v>
      </c>
      <c r="AB234" s="251">
        <f>SUM('BD Feedstock'!C232,'BD Feedstock'!E232,'BD Feedstock'!G232,'BD Feedstock'!K232,'BD Feedstock'!T232)</f>
        <v>21.812796010427753</v>
      </c>
      <c r="AC234" s="251">
        <f>SUM('BD Feedstock'!D232,'BD Feedstock'!F232,'BD Feedstock'!H232,'BD Feedstock'!I232,'BD Feedstock'!L232,'BD Feedstock'!M232,'BD Feedstock'!N232,'BD Feedstock'!O232,'BD Feedstock'!U232)</f>
        <v>12.773566250859661</v>
      </c>
      <c r="AD234" s="251">
        <f>'BD Feedstock'!J232</f>
        <v>0.90199999999999991</v>
      </c>
      <c r="AE234" s="251">
        <f>SUM('BD Feedstock'!B232,'BD Feedstock'!P232,'BD Feedstock'!Q232,'BD Feedstock'!R232)</f>
        <v>70.93020833333334</v>
      </c>
      <c r="AF234" s="251">
        <f>'BD Feedstock'!S232</f>
        <v>1.40625</v>
      </c>
      <c r="AG234" s="251">
        <f t="shared" si="90"/>
        <v>107.82482059462075</v>
      </c>
      <c r="AK234" s="237">
        <f t="shared" si="103"/>
        <v>0.20229846792359021</v>
      </c>
      <c r="AL234" s="237">
        <f t="shared" si="102"/>
        <v>0.11846591703484753</v>
      </c>
      <c r="AM234" s="237">
        <f t="shared" si="102"/>
        <v>8.3654208282077092E-3</v>
      </c>
      <c r="AN234" s="237">
        <f t="shared" si="102"/>
        <v>0.65782820636449979</v>
      </c>
      <c r="AO234" s="237">
        <f t="shared" si="102"/>
        <v>1.304198784885487E-2</v>
      </c>
      <c r="AP234" s="237">
        <f t="shared" si="91"/>
        <v>1</v>
      </c>
      <c r="AQ234" s="237"/>
      <c r="AR234" s="237">
        <f t="shared" si="92"/>
        <v>0.61464645366918802</v>
      </c>
      <c r="AS234" s="237">
        <f t="shared" si="93"/>
        <v>0.35993676340465403</v>
      </c>
      <c r="AT234" s="237">
        <f t="shared" si="94"/>
        <v>2.5416782926158003E-2</v>
      </c>
      <c r="AU234" s="237">
        <f t="shared" si="108"/>
        <v>0.98055959563958928</v>
      </c>
      <c r="AV234" s="237">
        <f t="shared" si="108"/>
        <v>1.9440404360410696E-2</v>
      </c>
      <c r="AX234" s="251">
        <f t="shared" si="110"/>
        <v>5341.8160598576142</v>
      </c>
      <c r="AY234" s="251">
        <f t="shared" si="110"/>
        <v>3128.1657476591995</v>
      </c>
      <c r="AZ234" s="251">
        <f t="shared" si="110"/>
        <v>220.8941065459066</v>
      </c>
      <c r="BA234" s="251">
        <f t="shared" si="110"/>
        <v>120862.90658846169</v>
      </c>
      <c r="BB234" s="251">
        <f t="shared" si="110"/>
        <v>2396.2070094491864</v>
      </c>
      <c r="BC234" s="251">
        <f t="shared" si="109"/>
        <v>131949.9895119736</v>
      </c>
      <c r="BD234" s="270">
        <f t="shared" si="74"/>
        <v>7.1065466998728866</v>
      </c>
      <c r="BY234" s="252">
        <f t="shared" si="104"/>
        <v>0.28769888828270296</v>
      </c>
      <c r="BZ234" s="252">
        <f t="shared" si="104"/>
        <v>0.16847637542756772</v>
      </c>
      <c r="CA234" s="252">
        <f t="shared" si="104"/>
        <v>1.189688828094021E-2</v>
      </c>
      <c r="CB234" s="252">
        <f t="shared" si="104"/>
        <v>6.5094199183345616</v>
      </c>
      <c r="CC234" s="252">
        <f t="shared" si="104"/>
        <v>0.1290546295471145</v>
      </c>
    </row>
    <row r="235" spans="1:81">
      <c r="A235" s="11">
        <v>46784</v>
      </c>
      <c r="B235" s="268">
        <v>70</v>
      </c>
      <c r="C235" s="268">
        <v>13</v>
      </c>
      <c r="D235" s="268">
        <f t="shared" si="107"/>
        <v>20</v>
      </c>
      <c r="E235" s="268">
        <v>3</v>
      </c>
      <c r="F235" s="269">
        <v>0.2</v>
      </c>
      <c r="G235" s="269">
        <v>1.32</v>
      </c>
      <c r="H235" s="269"/>
      <c r="I235" s="269">
        <v>5</v>
      </c>
      <c r="J235" s="269"/>
      <c r="K235" s="269"/>
      <c r="L235" s="269"/>
      <c r="M235" s="269">
        <f t="shared" si="105"/>
        <v>1.5</v>
      </c>
      <c r="N235" s="269">
        <v>45</v>
      </c>
      <c r="O235" s="269">
        <f t="shared" si="85"/>
        <v>17.699535849485258</v>
      </c>
      <c r="Q235" s="251">
        <f t="shared" si="95"/>
        <v>176.71953584948523</v>
      </c>
      <c r="R235" s="251">
        <f>'RD Plant List'!N103</f>
        <v>664.33</v>
      </c>
      <c r="S235" s="251">
        <f>SUM(B235:O235)+'RD Plant List'!N103</f>
        <v>841.04953584948521</v>
      </c>
      <c r="T235" s="237">
        <f t="shared" si="82"/>
        <v>0.7898821314121609</v>
      </c>
      <c r="U235" s="251">
        <f t="shared" si="101"/>
        <v>447.5146363235753</v>
      </c>
      <c r="V235" s="271">
        <f t="shared" si="89"/>
        <v>0.53209070006985038</v>
      </c>
      <c r="W235" s="251">
        <f t="shared" si="98"/>
        <v>37.292886360297942</v>
      </c>
      <c r="X235" s="242">
        <f t="shared" si="99"/>
        <v>7.1065315112476641</v>
      </c>
      <c r="Y235" s="273">
        <f t="shared" si="100"/>
        <v>7.1065315112476641</v>
      </c>
      <c r="AB235" s="251">
        <f>SUM('BD Feedstock'!C233,'BD Feedstock'!E233,'BD Feedstock'!G233,'BD Feedstock'!K233,'BD Feedstock'!T233)</f>
        <v>21.812796010427753</v>
      </c>
      <c r="AC235" s="251">
        <f>SUM('BD Feedstock'!D233,'BD Feedstock'!F233,'BD Feedstock'!H233,'BD Feedstock'!I233,'BD Feedstock'!L233,'BD Feedstock'!M233,'BD Feedstock'!N233,'BD Feedstock'!O233,'BD Feedstock'!U233)</f>
        <v>12.773566250859661</v>
      </c>
      <c r="AD235" s="251">
        <f>'BD Feedstock'!J233</f>
        <v>0.90199999999999991</v>
      </c>
      <c r="AE235" s="251">
        <f>SUM('BD Feedstock'!B233,'BD Feedstock'!P233,'BD Feedstock'!Q233,'BD Feedstock'!R233)</f>
        <v>70.93020833333334</v>
      </c>
      <c r="AF235" s="251">
        <f>'BD Feedstock'!S233</f>
        <v>1.40625</v>
      </c>
      <c r="AG235" s="251">
        <f t="shared" si="90"/>
        <v>107.82482059462075</v>
      </c>
      <c r="AK235" s="237">
        <f t="shared" si="103"/>
        <v>0.20229846792359021</v>
      </c>
      <c r="AL235" s="237">
        <f t="shared" si="102"/>
        <v>0.11846591703484753</v>
      </c>
      <c r="AM235" s="237">
        <f t="shared" si="102"/>
        <v>8.3654208282077092E-3</v>
      </c>
      <c r="AN235" s="237">
        <f t="shared" si="102"/>
        <v>0.65782820636449979</v>
      </c>
      <c r="AO235" s="237">
        <f t="shared" si="102"/>
        <v>1.304198784885487E-2</v>
      </c>
      <c r="AP235" s="237">
        <f t="shared" si="91"/>
        <v>1</v>
      </c>
      <c r="AQ235" s="237"/>
      <c r="AR235" s="237">
        <f t="shared" si="92"/>
        <v>0.61464645366918802</v>
      </c>
      <c r="AS235" s="237">
        <f t="shared" si="93"/>
        <v>0.35993676340465403</v>
      </c>
      <c r="AT235" s="237">
        <f t="shared" si="94"/>
        <v>2.5416782926158003E-2</v>
      </c>
      <c r="AU235" s="237">
        <f t="shared" si="108"/>
        <v>0.98055959563958928</v>
      </c>
      <c r="AV235" s="237">
        <f t="shared" si="108"/>
        <v>1.9440404360410696E-2</v>
      </c>
      <c r="AX235" s="251">
        <f t="shared" si="110"/>
        <v>4866.6476832141534</v>
      </c>
      <c r="AY235" s="251">
        <f t="shared" si="110"/>
        <v>2849.907300806854</v>
      </c>
      <c r="AZ235" s="251">
        <f t="shared" si="110"/>
        <v>201.24500353648477</v>
      </c>
      <c r="BA235" s="251">
        <f t="shared" si="110"/>
        <v>110111.62334894745</v>
      </c>
      <c r="BB235" s="251">
        <f t="shared" si="110"/>
        <v>2183.0539339003894</v>
      </c>
      <c r="BC235" s="251">
        <f t="shared" si="109"/>
        <v>120212.47727040533</v>
      </c>
      <c r="BD235" s="270">
        <f t="shared" si="74"/>
        <v>7.1065315112476632</v>
      </c>
      <c r="BY235" s="252">
        <f t="shared" si="104"/>
        <v>0.28769879716484448</v>
      </c>
      <c r="BZ235" s="252">
        <f t="shared" si="104"/>
        <v>0.16847632206897947</v>
      </c>
      <c r="CA235" s="252">
        <f t="shared" si="104"/>
        <v>1.1896884513045975E-2</v>
      </c>
      <c r="CB235" s="252">
        <f t="shared" si="104"/>
        <v>6.509405170344766</v>
      </c>
      <c r="CC235" s="252">
        <f t="shared" si="104"/>
        <v>0.1290543371560284</v>
      </c>
    </row>
    <row r="236" spans="1:81">
      <c r="A236" s="11">
        <v>46813</v>
      </c>
      <c r="B236" s="268">
        <v>70</v>
      </c>
      <c r="C236" s="268">
        <v>13</v>
      </c>
      <c r="D236" s="268">
        <f t="shared" si="107"/>
        <v>20</v>
      </c>
      <c r="E236" s="268">
        <v>3</v>
      </c>
      <c r="F236" s="269">
        <v>0.2</v>
      </c>
      <c r="G236" s="269">
        <v>1.32</v>
      </c>
      <c r="H236" s="269"/>
      <c r="I236" s="269">
        <v>5</v>
      </c>
      <c r="J236" s="269"/>
      <c r="K236" s="269"/>
      <c r="L236" s="269"/>
      <c r="M236" s="269">
        <f t="shared" si="105"/>
        <v>1.5</v>
      </c>
      <c r="N236" s="269">
        <v>45</v>
      </c>
      <c r="O236" s="269">
        <f t="shared" si="85"/>
        <v>17.699535849485258</v>
      </c>
      <c r="Q236" s="251">
        <f t="shared" si="95"/>
        <v>176.71953584948523</v>
      </c>
      <c r="R236" s="251">
        <f>'RD Plant List'!N104</f>
        <v>664.33</v>
      </c>
      <c r="S236" s="251">
        <f>SUM(B236:O236)+'RD Plant List'!N104</f>
        <v>841.04953584948521</v>
      </c>
      <c r="T236" s="237">
        <f t="shared" si="82"/>
        <v>0.7898821314121609</v>
      </c>
      <c r="U236" s="251">
        <f t="shared" si="101"/>
        <v>493.34326484038417</v>
      </c>
      <c r="V236" s="271">
        <f t="shared" si="89"/>
        <v>0.58658050900901182</v>
      </c>
      <c r="W236" s="251">
        <f t="shared" si="98"/>
        <v>41.111938736698683</v>
      </c>
      <c r="X236" s="242">
        <f t="shared" si="99"/>
        <v>7.1065274720007903</v>
      </c>
      <c r="Y236" s="273">
        <f t="shared" si="100"/>
        <v>7.1065274720007903</v>
      </c>
      <c r="AB236" s="251">
        <f>SUM('BD Feedstock'!C234,'BD Feedstock'!E234,'BD Feedstock'!G234,'BD Feedstock'!K234,'BD Feedstock'!T234)</f>
        <v>21.812796010427753</v>
      </c>
      <c r="AC236" s="251">
        <f>SUM('BD Feedstock'!D234,'BD Feedstock'!F234,'BD Feedstock'!H234,'BD Feedstock'!I234,'BD Feedstock'!L234,'BD Feedstock'!M234,'BD Feedstock'!N234,'BD Feedstock'!O234,'BD Feedstock'!U234)</f>
        <v>12.773566250859661</v>
      </c>
      <c r="AD236" s="251">
        <f>'BD Feedstock'!J234</f>
        <v>0.90199999999999991</v>
      </c>
      <c r="AE236" s="251">
        <f>SUM('BD Feedstock'!B234,'BD Feedstock'!P234,'BD Feedstock'!Q234,'BD Feedstock'!R234)</f>
        <v>70.93020833333334</v>
      </c>
      <c r="AF236" s="251">
        <f>'BD Feedstock'!S234</f>
        <v>1.40625</v>
      </c>
      <c r="AG236" s="251">
        <f t="shared" si="90"/>
        <v>107.82482059462075</v>
      </c>
      <c r="AK236" s="237">
        <f t="shared" si="103"/>
        <v>0.20229846792359021</v>
      </c>
      <c r="AL236" s="237">
        <f t="shared" si="102"/>
        <v>0.11846591703484753</v>
      </c>
      <c r="AM236" s="237">
        <f t="shared" si="102"/>
        <v>8.3654208282077092E-3</v>
      </c>
      <c r="AN236" s="237">
        <f t="shared" si="102"/>
        <v>0.65782820636449979</v>
      </c>
      <c r="AO236" s="237">
        <f t="shared" si="102"/>
        <v>1.304198784885487E-2</v>
      </c>
      <c r="AP236" s="237">
        <f t="shared" si="91"/>
        <v>1</v>
      </c>
      <c r="AQ236" s="237"/>
      <c r="AR236" s="237">
        <f t="shared" si="92"/>
        <v>0.61464645366918802</v>
      </c>
      <c r="AS236" s="237">
        <f t="shared" si="93"/>
        <v>0.35993676340465403</v>
      </c>
      <c r="AT236" s="237">
        <f t="shared" si="94"/>
        <v>2.5416782926158003E-2</v>
      </c>
      <c r="AU236" s="237">
        <f t="shared" si="108"/>
        <v>0.98055959563958928</v>
      </c>
      <c r="AV236" s="237">
        <f t="shared" si="108"/>
        <v>1.9440404360410696E-2</v>
      </c>
      <c r="AX236" s="251">
        <f t="shared" si="110"/>
        <v>5365.0430426492458</v>
      </c>
      <c r="AY236" s="251">
        <f t="shared" si="110"/>
        <v>3141.7674612292826</v>
      </c>
      <c r="AZ236" s="251">
        <f t="shared" si="110"/>
        <v>221.85458582000041</v>
      </c>
      <c r="BA236" s="251">
        <f t="shared" si="110"/>
        <v>121387.72331728254</v>
      </c>
      <c r="BB236" s="251">
        <f t="shared" si="110"/>
        <v>2406.6119348293014</v>
      </c>
      <c r="BC236" s="251">
        <f t="shared" si="109"/>
        <v>132523.00034181037</v>
      </c>
      <c r="BD236" s="270">
        <f t="shared" si="74"/>
        <v>7.1065274720007894</v>
      </c>
      <c r="BY236" s="252">
        <f t="shared" si="104"/>
        <v>0.2876996873955075</v>
      </c>
      <c r="BZ236" s="252">
        <f t="shared" si="104"/>
        <v>0.16847684338776622</v>
      </c>
      <c r="CA236" s="252">
        <f t="shared" si="104"/>
        <v>1.1896921325752503E-2</v>
      </c>
      <c r="CB236" s="252">
        <f t="shared" si="104"/>
        <v>6.5093997894170741</v>
      </c>
      <c r="CC236" s="252">
        <f t="shared" si="104"/>
        <v>0.12905423047468992</v>
      </c>
    </row>
    <row r="237" spans="1:81">
      <c r="A237" s="11">
        <v>46844</v>
      </c>
      <c r="B237" s="268">
        <v>70</v>
      </c>
      <c r="C237" s="268">
        <v>13</v>
      </c>
      <c r="D237" s="268">
        <f t="shared" si="107"/>
        <v>20</v>
      </c>
      <c r="E237" s="268">
        <v>3</v>
      </c>
      <c r="F237" s="269">
        <v>0.2</v>
      </c>
      <c r="G237" s="269">
        <v>1.32</v>
      </c>
      <c r="H237" s="269"/>
      <c r="I237" s="269">
        <v>5</v>
      </c>
      <c r="J237" s="269"/>
      <c r="K237" s="269"/>
      <c r="L237" s="269"/>
      <c r="M237" s="269">
        <f t="shared" si="105"/>
        <v>1.5</v>
      </c>
      <c r="N237" s="269">
        <v>45</v>
      </c>
      <c r="O237" s="269">
        <f t="shared" si="85"/>
        <v>17.699535849485258</v>
      </c>
      <c r="Q237" s="251">
        <f t="shared" si="95"/>
        <v>176.71953584948523</v>
      </c>
      <c r="R237" s="251">
        <f>'RD Plant List'!N105</f>
        <v>664.33</v>
      </c>
      <c r="S237" s="251">
        <f>SUM(B237:O237)+'RD Plant List'!N105</f>
        <v>841.04953584948521</v>
      </c>
      <c r="T237" s="237">
        <f t="shared" si="82"/>
        <v>0.7898821314121609</v>
      </c>
      <c r="U237" s="251">
        <f t="shared" si="101"/>
        <v>502.89244099736771</v>
      </c>
      <c r="V237" s="271">
        <f t="shared" si="89"/>
        <v>0.59793438978529523</v>
      </c>
      <c r="W237" s="251">
        <f t="shared" si="98"/>
        <v>41.907703416447312</v>
      </c>
      <c r="X237" s="242">
        <f t="shared" si="99"/>
        <v>7.1065340822439591</v>
      </c>
      <c r="Y237" s="273">
        <f t="shared" si="100"/>
        <v>7.1065340822439591</v>
      </c>
      <c r="AB237" s="251">
        <f>SUM('BD Feedstock'!C235,'BD Feedstock'!E235,'BD Feedstock'!G235,'BD Feedstock'!K235,'BD Feedstock'!T235)</f>
        <v>21.812796010427753</v>
      </c>
      <c r="AC237" s="251">
        <f>SUM('BD Feedstock'!D235,'BD Feedstock'!F235,'BD Feedstock'!H235,'BD Feedstock'!I235,'BD Feedstock'!L235,'BD Feedstock'!M235,'BD Feedstock'!N235,'BD Feedstock'!O235,'BD Feedstock'!U235)</f>
        <v>12.773566250859661</v>
      </c>
      <c r="AD237" s="251">
        <f>'BD Feedstock'!J235</f>
        <v>0.90199999999999991</v>
      </c>
      <c r="AE237" s="251">
        <f>SUM('BD Feedstock'!B235,'BD Feedstock'!P235,'BD Feedstock'!Q235,'BD Feedstock'!R235)</f>
        <v>70.93020833333334</v>
      </c>
      <c r="AF237" s="251">
        <f>'BD Feedstock'!S235</f>
        <v>1.40625</v>
      </c>
      <c r="AG237" s="251">
        <f t="shared" si="90"/>
        <v>107.82482059462075</v>
      </c>
      <c r="AK237" s="237">
        <f t="shared" si="103"/>
        <v>0.20229846792359021</v>
      </c>
      <c r="AL237" s="237">
        <f t="shared" si="102"/>
        <v>0.11846591703484753</v>
      </c>
      <c r="AM237" s="237">
        <f t="shared" si="102"/>
        <v>8.3654208282077092E-3</v>
      </c>
      <c r="AN237" s="237">
        <f t="shared" si="102"/>
        <v>0.65782820636449979</v>
      </c>
      <c r="AO237" s="237">
        <f t="shared" si="102"/>
        <v>1.304198784885487E-2</v>
      </c>
      <c r="AP237" s="237">
        <f t="shared" si="91"/>
        <v>1</v>
      </c>
      <c r="AQ237" s="237"/>
      <c r="AR237" s="237">
        <f t="shared" si="92"/>
        <v>0.61464645366918802</v>
      </c>
      <c r="AS237" s="237">
        <f t="shared" si="93"/>
        <v>0.35993676340465403</v>
      </c>
      <c r="AT237" s="237">
        <f t="shared" si="94"/>
        <v>2.5416782926158003E-2</v>
      </c>
      <c r="AU237" s="237">
        <f t="shared" si="108"/>
        <v>0.98055959563958928</v>
      </c>
      <c r="AV237" s="237">
        <f t="shared" si="108"/>
        <v>1.9440404360410696E-2</v>
      </c>
      <c r="AX237" s="251">
        <f t="shared" si="110"/>
        <v>5468.899120595358</v>
      </c>
      <c r="AY237" s="251">
        <f t="shared" si="110"/>
        <v>3202.5855467037413</v>
      </c>
      <c r="AZ237" s="251">
        <f t="shared" si="110"/>
        <v>226.14922930644801</v>
      </c>
      <c r="BA237" s="251">
        <f t="shared" si="110"/>
        <v>123737.41716303422</v>
      </c>
      <c r="BB237" s="251">
        <f t="shared" si="110"/>
        <v>2453.1965572099393</v>
      </c>
      <c r="BC237" s="251">
        <f t="shared" si="109"/>
        <v>135088.24761684969</v>
      </c>
      <c r="BD237" s="270">
        <f t="shared" ref="BD237:BD300" si="111">(BC237*2204.622/1000000)/(U237/12)</f>
        <v>7.1065340822439582</v>
      </c>
      <c r="BY237" s="252">
        <f t="shared" si="104"/>
        <v>0.28770021581075911</v>
      </c>
      <c r="BZ237" s="252">
        <f t="shared" si="104"/>
        <v>0.16847715282756578</v>
      </c>
      <c r="CA237" s="252">
        <f t="shared" si="104"/>
        <v>1.1896943176713597E-2</v>
      </c>
      <c r="CB237" s="252">
        <f t="shared" si="104"/>
        <v>6.5094054281614619</v>
      </c>
      <c r="CC237" s="252">
        <f t="shared" si="104"/>
        <v>0.12905434226745752</v>
      </c>
    </row>
    <row r="238" spans="1:81">
      <c r="A238" s="11">
        <v>46874</v>
      </c>
      <c r="B238" s="268">
        <v>70</v>
      </c>
      <c r="C238" s="268">
        <v>13</v>
      </c>
      <c r="D238" s="268">
        <f t="shared" si="107"/>
        <v>20</v>
      </c>
      <c r="E238" s="268">
        <v>3</v>
      </c>
      <c r="F238" s="269">
        <v>0.2</v>
      </c>
      <c r="G238" s="269">
        <v>1.32</v>
      </c>
      <c r="H238" s="269"/>
      <c r="I238" s="269">
        <v>5</v>
      </c>
      <c r="J238" s="269"/>
      <c r="K238" s="269"/>
      <c r="L238" s="269"/>
      <c r="M238" s="269">
        <f t="shared" si="105"/>
        <v>1.5</v>
      </c>
      <c r="N238" s="269">
        <v>45</v>
      </c>
      <c r="O238" s="269">
        <f t="shared" si="85"/>
        <v>17.699535849485258</v>
      </c>
      <c r="Q238" s="251">
        <f t="shared" si="95"/>
        <v>176.71953584948523</v>
      </c>
      <c r="R238" s="251">
        <f>'RD Plant List'!N106</f>
        <v>664.33</v>
      </c>
      <c r="S238" s="251">
        <f>SUM(B238:O238)+'RD Plant List'!N106</f>
        <v>841.04953584948521</v>
      </c>
      <c r="T238" s="237">
        <f t="shared" si="82"/>
        <v>0.7898821314121609</v>
      </c>
      <c r="U238" s="251">
        <f t="shared" si="101"/>
        <v>490.24367173864459</v>
      </c>
      <c r="V238" s="271">
        <f t="shared" si="89"/>
        <v>0.58289512191869153</v>
      </c>
      <c r="W238" s="251">
        <f t="shared" si="98"/>
        <v>40.853639311553714</v>
      </c>
      <c r="X238" s="242">
        <f t="shared" si="99"/>
        <v>7.1065395041694277</v>
      </c>
      <c r="Y238" s="273">
        <f t="shared" si="100"/>
        <v>7.1065395041694277</v>
      </c>
      <c r="AB238" s="251">
        <f>SUM('BD Feedstock'!C236,'BD Feedstock'!E236,'BD Feedstock'!G236,'BD Feedstock'!K236,'BD Feedstock'!T236)</f>
        <v>21.812796010427753</v>
      </c>
      <c r="AC238" s="251">
        <f>SUM('BD Feedstock'!D236,'BD Feedstock'!F236,'BD Feedstock'!H236,'BD Feedstock'!I236,'BD Feedstock'!L236,'BD Feedstock'!M236,'BD Feedstock'!N236,'BD Feedstock'!O236,'BD Feedstock'!U236)</f>
        <v>12.773566250859661</v>
      </c>
      <c r="AD238" s="251">
        <f>'BD Feedstock'!J236</f>
        <v>0.90199999999999991</v>
      </c>
      <c r="AE238" s="251">
        <f>SUM('BD Feedstock'!B236,'BD Feedstock'!P236,'BD Feedstock'!Q236,'BD Feedstock'!R236)</f>
        <v>70.93020833333334</v>
      </c>
      <c r="AF238" s="251">
        <f>'BD Feedstock'!S236</f>
        <v>1.40625</v>
      </c>
      <c r="AG238" s="251">
        <f t="shared" si="90"/>
        <v>107.82482059462075</v>
      </c>
      <c r="AK238" s="237">
        <f t="shared" si="103"/>
        <v>0.20229846792359021</v>
      </c>
      <c r="AL238" s="237">
        <f t="shared" si="102"/>
        <v>0.11846591703484753</v>
      </c>
      <c r="AM238" s="237">
        <f t="shared" si="102"/>
        <v>8.3654208282077092E-3</v>
      </c>
      <c r="AN238" s="237">
        <f t="shared" si="102"/>
        <v>0.65782820636449979</v>
      </c>
      <c r="AO238" s="237">
        <f t="shared" si="102"/>
        <v>1.304198784885487E-2</v>
      </c>
      <c r="AP238" s="237">
        <f t="shared" si="91"/>
        <v>1</v>
      </c>
      <c r="AQ238" s="237"/>
      <c r="AR238" s="237">
        <f t="shared" si="92"/>
        <v>0.61464645366918802</v>
      </c>
      <c r="AS238" s="237">
        <f t="shared" si="93"/>
        <v>0.35993676340465403</v>
      </c>
      <c r="AT238" s="237">
        <f t="shared" si="94"/>
        <v>2.5416782926158003E-2</v>
      </c>
      <c r="AU238" s="237">
        <f t="shared" si="108"/>
        <v>0.98055959563958928</v>
      </c>
      <c r="AV238" s="237">
        <f t="shared" si="108"/>
        <v>1.9440404360410696E-2</v>
      </c>
      <c r="AX238" s="251">
        <f>AVERAGE(BY232:BY237)*$W238/2204.622*1000000</f>
        <v>5331.3410868518849</v>
      </c>
      <c r="AY238" s="251">
        <f t="shared" si="110"/>
        <v>3122.0316068731818</v>
      </c>
      <c r="AZ238" s="251">
        <f t="shared" si="110"/>
        <v>220.46094677827978</v>
      </c>
      <c r="BA238" s="251">
        <f t="shared" si="110"/>
        <v>120625.27410465386</v>
      </c>
      <c r="BB238" s="251">
        <f t="shared" si="110"/>
        <v>2391.4957490679344</v>
      </c>
      <c r="BC238" s="251">
        <f t="shared" si="109"/>
        <v>131690.60349422513</v>
      </c>
      <c r="BD238" s="270">
        <f t="shared" si="111"/>
        <v>7.1065395041694286</v>
      </c>
      <c r="BY238" s="252">
        <f t="shared" si="104"/>
        <v>0.28769999558530324</v>
      </c>
      <c r="BZ238" s="252">
        <f t="shared" si="104"/>
        <v>0.16847702386361041</v>
      </c>
      <c r="CA238" s="252">
        <f t="shared" si="104"/>
        <v>1.1896934069978212E-2</v>
      </c>
      <c r="CB238" s="252">
        <f t="shared" si="104"/>
        <v>6.509411096013233</v>
      </c>
      <c r="CC238" s="252">
        <f t="shared" si="104"/>
        <v>0.129054454637303</v>
      </c>
    </row>
    <row r="239" spans="1:81">
      <c r="A239" s="11">
        <v>46905</v>
      </c>
      <c r="B239" s="268">
        <v>70</v>
      </c>
      <c r="C239" s="268">
        <v>13</v>
      </c>
      <c r="D239" s="268">
        <f t="shared" si="107"/>
        <v>20</v>
      </c>
      <c r="E239" s="268">
        <v>3</v>
      </c>
      <c r="F239" s="269">
        <v>0.2</v>
      </c>
      <c r="G239" s="269">
        <v>1.32</v>
      </c>
      <c r="H239" s="269"/>
      <c r="I239" s="269">
        <v>5</v>
      </c>
      <c r="J239" s="269"/>
      <c r="K239" s="269"/>
      <c r="L239" s="269"/>
      <c r="M239" s="269">
        <f t="shared" si="105"/>
        <v>1.5</v>
      </c>
      <c r="N239" s="269">
        <v>45</v>
      </c>
      <c r="O239" s="269">
        <f t="shared" si="85"/>
        <v>17.699535849485258</v>
      </c>
      <c r="Q239" s="251">
        <f t="shared" si="95"/>
        <v>176.71953584948523</v>
      </c>
      <c r="R239" s="251">
        <f>'RD Plant List'!N107</f>
        <v>664.33</v>
      </c>
      <c r="S239" s="251">
        <f>SUM(B239:O239)+'RD Plant List'!N107</f>
        <v>841.04953584948521</v>
      </c>
      <c r="T239" s="237">
        <f t="shared" si="82"/>
        <v>0.7898821314121609</v>
      </c>
      <c r="U239" s="251">
        <f t="shared" si="101"/>
        <v>545.83033587999012</v>
      </c>
      <c r="V239" s="271">
        <f t="shared" si="89"/>
        <v>0.64898714357970022</v>
      </c>
      <c r="W239" s="251">
        <f t="shared" si="98"/>
        <v>45.485861323332507</v>
      </c>
      <c r="X239" s="242">
        <f t="shared" si="99"/>
        <v>7.1065394397471557</v>
      </c>
      <c r="Y239" s="273">
        <f t="shared" si="100"/>
        <v>7.1065394397471557</v>
      </c>
      <c r="AB239" s="251">
        <f>SUM('BD Feedstock'!C237,'BD Feedstock'!E237,'BD Feedstock'!G237,'BD Feedstock'!K237,'BD Feedstock'!T237)</f>
        <v>21.812796010427753</v>
      </c>
      <c r="AC239" s="251">
        <f>SUM('BD Feedstock'!D237,'BD Feedstock'!F237,'BD Feedstock'!H237,'BD Feedstock'!I237,'BD Feedstock'!L237,'BD Feedstock'!M237,'BD Feedstock'!N237,'BD Feedstock'!O237,'BD Feedstock'!U237)</f>
        <v>12.773566250859661</v>
      </c>
      <c r="AD239" s="251">
        <f>'BD Feedstock'!J237</f>
        <v>0.90199999999999991</v>
      </c>
      <c r="AE239" s="251">
        <f>SUM('BD Feedstock'!B237,'BD Feedstock'!P237,'BD Feedstock'!Q237,'BD Feedstock'!R237)</f>
        <v>70.93020833333334</v>
      </c>
      <c r="AF239" s="251">
        <f>'BD Feedstock'!S237</f>
        <v>1.40625</v>
      </c>
      <c r="AG239" s="251">
        <f t="shared" si="90"/>
        <v>107.82482059462075</v>
      </c>
      <c r="AK239" s="237">
        <f t="shared" si="103"/>
        <v>0.20229846792359021</v>
      </c>
      <c r="AL239" s="237">
        <f t="shared" si="102"/>
        <v>0.11846591703484753</v>
      </c>
      <c r="AM239" s="237">
        <f t="shared" si="102"/>
        <v>8.3654208282077092E-3</v>
      </c>
      <c r="AN239" s="237">
        <f t="shared" si="102"/>
        <v>0.65782820636449979</v>
      </c>
      <c r="AO239" s="237">
        <f t="shared" si="102"/>
        <v>1.304198784885487E-2</v>
      </c>
      <c r="AP239" s="237">
        <f t="shared" si="91"/>
        <v>1</v>
      </c>
      <c r="AQ239" s="237"/>
      <c r="AR239" s="237">
        <f t="shared" si="92"/>
        <v>0.61464645366918802</v>
      </c>
      <c r="AS239" s="237">
        <f t="shared" si="93"/>
        <v>0.35993676340465403</v>
      </c>
      <c r="AT239" s="237">
        <f t="shared" si="94"/>
        <v>2.5416782926158003E-2</v>
      </c>
      <c r="AU239" s="237">
        <f t="shared" si="108"/>
        <v>0.98055959563958928</v>
      </c>
      <c r="AV239" s="237">
        <f t="shared" si="108"/>
        <v>1.9440404360410696E-2</v>
      </c>
      <c r="AX239" s="251">
        <f>AVERAGE(BY233:BY238)*$W239/2204.622*1000000</f>
        <v>5935.8325336045864</v>
      </c>
      <c r="AY239" s="251">
        <f t="shared" si="110"/>
        <v>3476.021601529636</v>
      </c>
      <c r="AZ239" s="251">
        <f t="shared" si="110"/>
        <v>245.45780113433182</v>
      </c>
      <c r="BA239" s="251">
        <f t="shared" si="110"/>
        <v>134302.47527323916</v>
      </c>
      <c r="BB239" s="251">
        <f t="shared" si="110"/>
        <v>2662.6575656656787</v>
      </c>
      <c r="BC239" s="251">
        <f t="shared" si="109"/>
        <v>146622.44477517338</v>
      </c>
      <c r="BD239" s="270">
        <f t="shared" si="111"/>
        <v>7.1065394397471566</v>
      </c>
      <c r="BY239" s="252">
        <f t="shared" si="104"/>
        <v>0.28769966339381275</v>
      </c>
      <c r="BZ239" s="252">
        <f t="shared" si="104"/>
        <v>0.16847682933238159</v>
      </c>
      <c r="CA239" s="252">
        <f t="shared" si="104"/>
        <v>1.1896920333237438E-2</v>
      </c>
      <c r="CB239" s="252">
        <f t="shared" si="104"/>
        <v>6.5094115627960667</v>
      </c>
      <c r="CC239" s="252">
        <f t="shared" si="104"/>
        <v>0.12905446389165848</v>
      </c>
    </row>
    <row r="240" spans="1:81">
      <c r="A240" s="11">
        <v>46935</v>
      </c>
      <c r="B240" s="268">
        <v>70</v>
      </c>
      <c r="C240" s="268">
        <v>13</v>
      </c>
      <c r="D240" s="268">
        <f t="shared" si="107"/>
        <v>20</v>
      </c>
      <c r="E240" s="268">
        <v>3</v>
      </c>
      <c r="F240" s="269">
        <v>0.2</v>
      </c>
      <c r="G240" s="269">
        <v>1.32</v>
      </c>
      <c r="H240" s="269"/>
      <c r="I240" s="269">
        <v>5</v>
      </c>
      <c r="J240" s="269"/>
      <c r="K240" s="269"/>
      <c r="L240" s="269"/>
      <c r="M240" s="269">
        <f t="shared" si="105"/>
        <v>1.5</v>
      </c>
      <c r="N240" s="269">
        <v>45</v>
      </c>
      <c r="O240" s="269">
        <f t="shared" si="85"/>
        <v>17.699535849485258</v>
      </c>
      <c r="Q240" s="251">
        <f t="shared" si="95"/>
        <v>176.71953584948523</v>
      </c>
      <c r="R240" s="251">
        <f>'RD Plant List'!N108</f>
        <v>664.33</v>
      </c>
      <c r="S240" s="251">
        <f>SUM(B240:O240)+'RD Plant List'!N108</f>
        <v>841.04953584948521</v>
      </c>
      <c r="T240" s="237">
        <f t="shared" si="82"/>
        <v>0.7898821314121609</v>
      </c>
      <c r="U240" s="251">
        <f t="shared" si="101"/>
        <v>563.70576878970655</v>
      </c>
      <c r="V240" s="271">
        <f t="shared" si="89"/>
        <v>0.67024086544480033</v>
      </c>
      <c r="W240" s="251">
        <f t="shared" si="98"/>
        <v>46.975480732475546</v>
      </c>
      <c r="X240" s="242">
        <f t="shared" si="99"/>
        <v>7.1065364515469822</v>
      </c>
      <c r="Y240" s="273">
        <f t="shared" si="100"/>
        <v>7.1065364515469822</v>
      </c>
      <c r="AB240" s="251">
        <f>SUM('BD Feedstock'!C238,'BD Feedstock'!E238,'BD Feedstock'!G238,'BD Feedstock'!K238,'BD Feedstock'!T238)</f>
        <v>21.812796010427753</v>
      </c>
      <c r="AC240" s="251">
        <f>SUM('BD Feedstock'!D238,'BD Feedstock'!F238,'BD Feedstock'!H238,'BD Feedstock'!I238,'BD Feedstock'!L238,'BD Feedstock'!M238,'BD Feedstock'!N238,'BD Feedstock'!O238,'BD Feedstock'!U238)</f>
        <v>12.773566250859661</v>
      </c>
      <c r="AD240" s="251">
        <f>'BD Feedstock'!J238</f>
        <v>0.90199999999999991</v>
      </c>
      <c r="AE240" s="251">
        <f>SUM('BD Feedstock'!B238,'BD Feedstock'!P238,'BD Feedstock'!Q238,'BD Feedstock'!R238)</f>
        <v>70.93020833333334</v>
      </c>
      <c r="AF240" s="251">
        <f>'BD Feedstock'!S238</f>
        <v>1.40625</v>
      </c>
      <c r="AG240" s="251">
        <f t="shared" si="90"/>
        <v>107.82482059462075</v>
      </c>
      <c r="AK240" s="237">
        <f t="shared" si="103"/>
        <v>0.20229846792359021</v>
      </c>
      <c r="AL240" s="237">
        <f t="shared" si="102"/>
        <v>0.11846591703484753</v>
      </c>
      <c r="AM240" s="237">
        <f t="shared" si="102"/>
        <v>8.3654208282077092E-3</v>
      </c>
      <c r="AN240" s="237">
        <f t="shared" si="102"/>
        <v>0.65782820636449979</v>
      </c>
      <c r="AO240" s="237">
        <f t="shared" si="102"/>
        <v>1.304198784885487E-2</v>
      </c>
      <c r="AP240" s="237">
        <f t="shared" si="91"/>
        <v>1</v>
      </c>
      <c r="AQ240" s="237"/>
      <c r="AR240" s="237">
        <f t="shared" si="92"/>
        <v>0.61464645366918802</v>
      </c>
      <c r="AS240" s="237">
        <f t="shared" si="93"/>
        <v>0.35993676340465403</v>
      </c>
      <c r="AT240" s="237">
        <f t="shared" si="94"/>
        <v>2.5416782926158003E-2</v>
      </c>
      <c r="AU240" s="237">
        <f t="shared" si="108"/>
        <v>0.98055959563958928</v>
      </c>
      <c r="AV240" s="237">
        <f t="shared" si="108"/>
        <v>1.9440404360410696E-2</v>
      </c>
      <c r="AX240" s="251">
        <f>AVERAGE(BY234:BY239)*$W240/2204.622*1000000</f>
        <v>6130.2228943429618</v>
      </c>
      <c r="AY240" s="251">
        <f t="shared" si="110"/>
        <v>3589.8565335682943</v>
      </c>
      <c r="AZ240" s="251">
        <f t="shared" si="110"/>
        <v>253.49620690781421</v>
      </c>
      <c r="BA240" s="251">
        <f t="shared" si="110"/>
        <v>138700.69742412007</v>
      </c>
      <c r="BB240" s="251">
        <f t="shared" si="110"/>
        <v>2749.8559546878855</v>
      </c>
      <c r="BC240" s="251">
        <f t="shared" si="109"/>
        <v>151424.12901362704</v>
      </c>
      <c r="BD240" s="270">
        <f t="shared" si="111"/>
        <v>7.1065364515469831</v>
      </c>
      <c r="BY240" s="252">
        <f t="shared" si="104"/>
        <v>0.28769954127215491</v>
      </c>
      <c r="BZ240" s="252">
        <f t="shared" si="104"/>
        <v>0.16847675781797852</v>
      </c>
      <c r="CA240" s="252">
        <f t="shared" si="104"/>
        <v>1.1896915283277991E-2</v>
      </c>
      <c r="CB240" s="252">
        <f t="shared" si="104"/>
        <v>6.5094088275111952</v>
      </c>
      <c r="CC240" s="252">
        <f t="shared" si="104"/>
        <v>0.12905440966237525</v>
      </c>
    </row>
    <row r="241" spans="1:81">
      <c r="A241" s="11">
        <v>46966</v>
      </c>
      <c r="B241" s="268">
        <v>70</v>
      </c>
      <c r="C241" s="268">
        <v>13</v>
      </c>
      <c r="D241" s="268">
        <f t="shared" si="107"/>
        <v>20</v>
      </c>
      <c r="E241" s="268">
        <v>3</v>
      </c>
      <c r="F241" s="269">
        <v>0.2</v>
      </c>
      <c r="G241" s="269">
        <v>1.32</v>
      </c>
      <c r="H241" s="269"/>
      <c r="I241" s="269">
        <v>5</v>
      </c>
      <c r="J241" s="269"/>
      <c r="K241" s="269"/>
      <c r="L241" s="269"/>
      <c r="M241" s="269">
        <f t="shared" si="105"/>
        <v>1.5</v>
      </c>
      <c r="N241" s="269">
        <v>45</v>
      </c>
      <c r="O241" s="269">
        <f t="shared" si="85"/>
        <v>17.699535849485258</v>
      </c>
      <c r="Q241" s="251">
        <f t="shared" si="95"/>
        <v>176.71953584948523</v>
      </c>
      <c r="R241" s="251">
        <f>'RD Plant List'!N109</f>
        <v>664.33</v>
      </c>
      <c r="S241" s="251">
        <f>SUM(B241:O241)+'RD Plant List'!N109</f>
        <v>841.04953584948521</v>
      </c>
      <c r="T241" s="237">
        <f t="shared" si="82"/>
        <v>0.7898821314121609</v>
      </c>
      <c r="U241" s="251">
        <f t="shared" si="101"/>
        <v>528.96647045812119</v>
      </c>
      <c r="V241" s="271">
        <f t="shared" si="89"/>
        <v>0.62893616595822643</v>
      </c>
      <c r="W241" s="251">
        <f t="shared" si="98"/>
        <v>44.080539204843433</v>
      </c>
      <c r="X241" s="242">
        <f t="shared" si="99"/>
        <v>7.1065347434926647</v>
      </c>
      <c r="Y241" s="273">
        <f t="shared" si="100"/>
        <v>7.1065347434926647</v>
      </c>
      <c r="AB241" s="251">
        <f>SUM('BD Feedstock'!C239,'BD Feedstock'!E239,'BD Feedstock'!G239,'BD Feedstock'!K239,'BD Feedstock'!T239)</f>
        <v>21.812796010427753</v>
      </c>
      <c r="AC241" s="251">
        <f>SUM('BD Feedstock'!D239,'BD Feedstock'!F239,'BD Feedstock'!H239,'BD Feedstock'!I239,'BD Feedstock'!L239,'BD Feedstock'!M239,'BD Feedstock'!N239,'BD Feedstock'!O239,'BD Feedstock'!U239)</f>
        <v>12.773566250859661</v>
      </c>
      <c r="AD241" s="251">
        <f>'BD Feedstock'!J239</f>
        <v>0.90199999999999991</v>
      </c>
      <c r="AE241" s="251">
        <f>SUM('BD Feedstock'!B239,'BD Feedstock'!P239,'BD Feedstock'!Q239,'BD Feedstock'!R239)</f>
        <v>70.93020833333334</v>
      </c>
      <c r="AF241" s="251">
        <f>'BD Feedstock'!S239</f>
        <v>1.40625</v>
      </c>
      <c r="AG241" s="251">
        <f t="shared" si="90"/>
        <v>107.82482059462075</v>
      </c>
      <c r="AK241" s="237">
        <f t="shared" si="103"/>
        <v>0.20229846792359021</v>
      </c>
      <c r="AL241" s="237">
        <f t="shared" si="102"/>
        <v>0.11846591703484753</v>
      </c>
      <c r="AM241" s="237">
        <f t="shared" si="102"/>
        <v>8.3654208282077092E-3</v>
      </c>
      <c r="AN241" s="237">
        <f t="shared" si="102"/>
        <v>0.65782820636449979</v>
      </c>
      <c r="AO241" s="237">
        <f t="shared" si="102"/>
        <v>1.304198784885487E-2</v>
      </c>
      <c r="AP241" s="237">
        <f t="shared" si="91"/>
        <v>1</v>
      </c>
      <c r="AQ241" s="237"/>
      <c r="AR241" s="237">
        <f t="shared" si="92"/>
        <v>0.61464645366918802</v>
      </c>
      <c r="AS241" s="237">
        <f t="shared" si="93"/>
        <v>0.35993676340465403</v>
      </c>
      <c r="AT241" s="237">
        <f t="shared" si="94"/>
        <v>2.5416782926158003E-2</v>
      </c>
      <c r="AU241" s="237">
        <f t="shared" si="108"/>
        <v>0.98055959563958928</v>
      </c>
      <c r="AV241" s="237">
        <f t="shared" si="108"/>
        <v>1.9440404360410696E-2</v>
      </c>
      <c r="AX241" s="251">
        <f t="shared" ref="AX241:BB256" si="112">AVERAGE(BY235:BY240)*$W241/2204.622*1000000</f>
        <v>5752.4399673128655</v>
      </c>
      <c r="AY241" s="251">
        <f t="shared" si="110"/>
        <v>3368.6269743427965</v>
      </c>
      <c r="AZ241" s="251">
        <f t="shared" si="110"/>
        <v>237.87417477501265</v>
      </c>
      <c r="BA241" s="251">
        <f t="shared" si="110"/>
        <v>130153.00107677514</v>
      </c>
      <c r="BB241" s="251">
        <f t="shared" si="110"/>
        <v>2580.3908104158513</v>
      </c>
      <c r="BC241" s="251">
        <f t="shared" si="109"/>
        <v>142092.33300362166</v>
      </c>
      <c r="BD241" s="270">
        <f t="shared" si="111"/>
        <v>7.1065347434926647</v>
      </c>
      <c r="BY241" s="252">
        <f t="shared" si="104"/>
        <v>0.28769965010373033</v>
      </c>
      <c r="BZ241" s="252">
        <f t="shared" si="104"/>
        <v>0.16847682154971366</v>
      </c>
      <c r="CA241" s="252">
        <f t="shared" si="104"/>
        <v>1.1896919783667619E-2</v>
      </c>
      <c r="CB241" s="252">
        <f t="shared" si="104"/>
        <v>6.5094069790406346</v>
      </c>
      <c r="CC241" s="252">
        <f t="shared" si="104"/>
        <v>0.12905437301491876</v>
      </c>
    </row>
    <row r="242" spans="1:81">
      <c r="A242" s="11">
        <v>46997</v>
      </c>
      <c r="B242" s="268">
        <v>70</v>
      </c>
      <c r="C242" s="268">
        <v>13</v>
      </c>
      <c r="D242" s="268">
        <f t="shared" si="107"/>
        <v>20</v>
      </c>
      <c r="E242" s="268">
        <v>3</v>
      </c>
      <c r="F242" s="269">
        <v>0.2</v>
      </c>
      <c r="G242" s="269">
        <v>1.32</v>
      </c>
      <c r="H242" s="269"/>
      <c r="I242" s="269">
        <v>5</v>
      </c>
      <c r="J242" s="269"/>
      <c r="K242" s="269"/>
      <c r="L242" s="269"/>
      <c r="M242" s="269">
        <f t="shared" si="105"/>
        <v>1.5</v>
      </c>
      <c r="N242" s="269">
        <v>45</v>
      </c>
      <c r="O242" s="269">
        <f t="shared" si="85"/>
        <v>17.699535849485258</v>
      </c>
      <c r="Q242" s="251">
        <f t="shared" si="95"/>
        <v>176.71953584948523</v>
      </c>
      <c r="R242" s="251">
        <f>'RD Plant List'!N110</f>
        <v>664.33</v>
      </c>
      <c r="S242" s="251">
        <f>SUM(B242:O242)+'RD Plant List'!N110</f>
        <v>841.04953584948521</v>
      </c>
      <c r="T242" s="237">
        <f t="shared" ref="T242:T305" si="113">R242/S242</f>
        <v>0.7898821314121609</v>
      </c>
      <c r="U242" s="251">
        <f t="shared" si="101"/>
        <v>569.44470539381598</v>
      </c>
      <c r="V242" s="271">
        <f t="shared" si="89"/>
        <v>0.6770644071739006</v>
      </c>
      <c r="W242" s="251">
        <f t="shared" si="98"/>
        <v>47.453725449484665</v>
      </c>
      <c r="X242" s="242">
        <f t="shared" si="99"/>
        <v>7.1065352822001628</v>
      </c>
      <c r="Y242" s="273">
        <f t="shared" si="100"/>
        <v>7.1065352822001628</v>
      </c>
      <c r="AB242" s="251">
        <f>SUM('BD Feedstock'!C240,'BD Feedstock'!E240,'BD Feedstock'!G240,'BD Feedstock'!K240,'BD Feedstock'!T240)</f>
        <v>21.812796010427753</v>
      </c>
      <c r="AC242" s="251">
        <f>SUM('BD Feedstock'!D240,'BD Feedstock'!F240,'BD Feedstock'!H240,'BD Feedstock'!I240,'BD Feedstock'!L240,'BD Feedstock'!M240,'BD Feedstock'!N240,'BD Feedstock'!O240,'BD Feedstock'!U240)</f>
        <v>12.773566250859661</v>
      </c>
      <c r="AD242" s="251">
        <f>'BD Feedstock'!J240</f>
        <v>0.90199999999999991</v>
      </c>
      <c r="AE242" s="251">
        <f>SUM('BD Feedstock'!B240,'BD Feedstock'!P240,'BD Feedstock'!Q240,'BD Feedstock'!R240)</f>
        <v>70.93020833333334</v>
      </c>
      <c r="AF242" s="251">
        <f>'BD Feedstock'!S240</f>
        <v>1.40625</v>
      </c>
      <c r="AG242" s="251">
        <f t="shared" si="90"/>
        <v>107.82482059462075</v>
      </c>
      <c r="AK242" s="237">
        <f t="shared" si="103"/>
        <v>0.20229846792359021</v>
      </c>
      <c r="AL242" s="237">
        <f t="shared" si="102"/>
        <v>0.11846591703484753</v>
      </c>
      <c r="AM242" s="237">
        <f t="shared" si="102"/>
        <v>8.3654208282077092E-3</v>
      </c>
      <c r="AN242" s="237">
        <f t="shared" si="102"/>
        <v>0.65782820636449979</v>
      </c>
      <c r="AO242" s="237">
        <f t="shared" si="102"/>
        <v>1.304198784885487E-2</v>
      </c>
      <c r="AP242" s="237">
        <f t="shared" si="91"/>
        <v>1</v>
      </c>
      <c r="AQ242" s="237"/>
      <c r="AR242" s="237">
        <f t="shared" si="92"/>
        <v>0.61464645366918802</v>
      </c>
      <c r="AS242" s="237">
        <f t="shared" si="93"/>
        <v>0.35993676340465403</v>
      </c>
      <c r="AT242" s="237">
        <f t="shared" si="94"/>
        <v>2.5416782926158003E-2</v>
      </c>
      <c r="AU242" s="237">
        <f t="shared" si="108"/>
        <v>0.98055959563958928</v>
      </c>
      <c r="AV242" s="237">
        <f t="shared" si="108"/>
        <v>1.9440404360410696E-2</v>
      </c>
      <c r="AX242" s="251">
        <f t="shared" si="112"/>
        <v>6192.6384449533025</v>
      </c>
      <c r="AY242" s="251">
        <f t="shared" si="110"/>
        <v>3626.4070597101031</v>
      </c>
      <c r="AZ242" s="251">
        <f t="shared" si="110"/>
        <v>256.07720691458144</v>
      </c>
      <c r="BA242" s="251">
        <f t="shared" si="110"/>
        <v>140112.73856799328</v>
      </c>
      <c r="BB242" s="251">
        <f t="shared" si="110"/>
        <v>2777.8508373370396</v>
      </c>
      <c r="BC242" s="251">
        <f t="shared" si="109"/>
        <v>152965.71211690828</v>
      </c>
      <c r="BD242" s="270">
        <f t="shared" si="111"/>
        <v>7.1065352822001628</v>
      </c>
      <c r="BY242" s="252">
        <f t="shared" si="104"/>
        <v>0.28769979226021125</v>
      </c>
      <c r="BZ242" s="252">
        <f t="shared" si="104"/>
        <v>0.16847690479650271</v>
      </c>
      <c r="CA242" s="252">
        <f t="shared" si="104"/>
        <v>1.1896925662104558E-2</v>
      </c>
      <c r="CB242" s="252">
        <f t="shared" si="104"/>
        <v>6.5094072804899445</v>
      </c>
      <c r="CC242" s="252">
        <f t="shared" si="104"/>
        <v>0.12905437899140043</v>
      </c>
    </row>
    <row r="243" spans="1:81">
      <c r="A243" s="11">
        <v>47027</v>
      </c>
      <c r="B243" s="268">
        <v>70</v>
      </c>
      <c r="C243" s="268">
        <v>13</v>
      </c>
      <c r="D243" s="268">
        <f t="shared" si="107"/>
        <v>20</v>
      </c>
      <c r="E243" s="268">
        <v>3</v>
      </c>
      <c r="F243" s="269">
        <v>0.2</v>
      </c>
      <c r="G243" s="269">
        <v>1.32</v>
      </c>
      <c r="H243" s="269"/>
      <c r="I243" s="269">
        <v>5</v>
      </c>
      <c r="J243" s="269"/>
      <c r="K243" s="269"/>
      <c r="L243" s="269"/>
      <c r="M243" s="269">
        <f t="shared" si="105"/>
        <v>1.5</v>
      </c>
      <c r="N243" s="269">
        <v>45</v>
      </c>
      <c r="O243" s="269">
        <f t="shared" si="85"/>
        <v>17.699535849485258</v>
      </c>
      <c r="Q243" s="251">
        <f t="shared" si="95"/>
        <v>176.71953584948523</v>
      </c>
      <c r="R243" s="251">
        <f>'RD Plant List'!N111</f>
        <v>664.33</v>
      </c>
      <c r="S243" s="251">
        <f>SUM(B243:O243)+'RD Plant List'!N111</f>
        <v>841.04953584948521</v>
      </c>
      <c r="T243" s="237">
        <f t="shared" si="113"/>
        <v>0.7898821314121609</v>
      </c>
      <c r="U243" s="251">
        <f t="shared" si="101"/>
        <v>594.64312280377521</v>
      </c>
      <c r="V243" s="271">
        <f t="shared" si="89"/>
        <v>0.70702508884113213</v>
      </c>
      <c r="W243" s="251">
        <f t="shared" si="98"/>
        <v>49.55359356698127</v>
      </c>
      <c r="X243" s="242">
        <f t="shared" si="99"/>
        <v>7.1065365839000583</v>
      </c>
      <c r="Y243" s="273">
        <f t="shared" si="100"/>
        <v>7.1065365839000583</v>
      </c>
      <c r="AB243" s="251">
        <f>SUM('BD Feedstock'!C241,'BD Feedstock'!E241,'BD Feedstock'!G241,'BD Feedstock'!K241,'BD Feedstock'!T241)</f>
        <v>21.812796010427753</v>
      </c>
      <c r="AC243" s="251">
        <f>SUM('BD Feedstock'!D241,'BD Feedstock'!F241,'BD Feedstock'!H241,'BD Feedstock'!I241,'BD Feedstock'!L241,'BD Feedstock'!M241,'BD Feedstock'!N241,'BD Feedstock'!O241,'BD Feedstock'!U241)</f>
        <v>12.773566250859661</v>
      </c>
      <c r="AD243" s="251">
        <f>'BD Feedstock'!J241</f>
        <v>0.90199999999999991</v>
      </c>
      <c r="AE243" s="251">
        <f>SUM('BD Feedstock'!B241,'BD Feedstock'!P241,'BD Feedstock'!Q241,'BD Feedstock'!R241)</f>
        <v>70.93020833333334</v>
      </c>
      <c r="AF243" s="251">
        <f>'BD Feedstock'!S241</f>
        <v>1.40625</v>
      </c>
      <c r="AG243" s="251">
        <f t="shared" si="90"/>
        <v>107.82482059462075</v>
      </c>
      <c r="AK243" s="237">
        <f t="shared" si="103"/>
        <v>0.20229846792359021</v>
      </c>
      <c r="AL243" s="237">
        <f t="shared" si="102"/>
        <v>0.11846591703484753</v>
      </c>
      <c r="AM243" s="237">
        <f t="shared" si="102"/>
        <v>8.3654208282077092E-3</v>
      </c>
      <c r="AN243" s="237">
        <f t="shared" si="102"/>
        <v>0.65782820636449979</v>
      </c>
      <c r="AO243" s="237">
        <f t="shared" si="102"/>
        <v>1.304198784885487E-2</v>
      </c>
      <c r="AP243" s="237">
        <f t="shared" si="91"/>
        <v>1</v>
      </c>
      <c r="AQ243" s="237"/>
      <c r="AR243" s="237">
        <f t="shared" si="92"/>
        <v>0.61464645366918802</v>
      </c>
      <c r="AS243" s="237">
        <f t="shared" si="93"/>
        <v>0.35993676340465403</v>
      </c>
      <c r="AT243" s="237">
        <f t="shared" si="94"/>
        <v>2.5416782926158003E-2</v>
      </c>
      <c r="AU243" s="237">
        <f t="shared" si="108"/>
        <v>0.98055959563958928</v>
      </c>
      <c r="AV243" s="237">
        <f t="shared" si="108"/>
        <v>1.9440404360410696E-2</v>
      </c>
      <c r="AX243" s="251">
        <f t="shared" si="112"/>
        <v>6466.66840893266</v>
      </c>
      <c r="AY243" s="251">
        <f t="shared" si="110"/>
        <v>3786.8789175103439</v>
      </c>
      <c r="AZ243" s="251">
        <f t="shared" si="110"/>
        <v>267.40885955513312</v>
      </c>
      <c r="BA243" s="251">
        <f t="shared" si="110"/>
        <v>146312.87568009889</v>
      </c>
      <c r="BB243" s="251">
        <f t="shared" si="110"/>
        <v>2900.773679645979</v>
      </c>
      <c r="BC243" s="251">
        <f t="shared" si="109"/>
        <v>159734.60554574299</v>
      </c>
      <c r="BD243" s="270">
        <f t="shared" si="111"/>
        <v>7.1065365839000583</v>
      </c>
      <c r="BY243" s="252">
        <f t="shared" si="104"/>
        <v>0.2876998097376619</v>
      </c>
      <c r="BZ243" s="252">
        <f t="shared" si="104"/>
        <v>0.16847691503129214</v>
      </c>
      <c r="CA243" s="252">
        <f t="shared" si="104"/>
        <v>1.1896926384829899E-2</v>
      </c>
      <c r="CB243" s="252">
        <f t="shared" si="104"/>
        <v>6.5094085290020889</v>
      </c>
      <c r="CC243" s="252">
        <f t="shared" si="104"/>
        <v>0.12905440374418556</v>
      </c>
    </row>
    <row r="244" spans="1:81">
      <c r="A244" s="11">
        <v>47058</v>
      </c>
      <c r="B244" s="268">
        <v>70</v>
      </c>
      <c r="C244" s="268">
        <v>13</v>
      </c>
      <c r="D244" s="268">
        <f t="shared" si="107"/>
        <v>20</v>
      </c>
      <c r="E244" s="268">
        <v>3</v>
      </c>
      <c r="F244" s="269">
        <v>0.2</v>
      </c>
      <c r="G244" s="269">
        <v>1.32</v>
      </c>
      <c r="H244" s="269"/>
      <c r="I244" s="269">
        <v>5</v>
      </c>
      <c r="J244" s="269"/>
      <c r="K244" s="269"/>
      <c r="L244" s="269"/>
      <c r="M244" s="269">
        <f t="shared" si="105"/>
        <v>1.5</v>
      </c>
      <c r="N244" s="269">
        <v>45</v>
      </c>
      <c r="O244" s="269">
        <f t="shared" si="85"/>
        <v>17.699535849485258</v>
      </c>
      <c r="Q244" s="251">
        <f t="shared" si="95"/>
        <v>176.71953584948523</v>
      </c>
      <c r="R244" s="251">
        <f>'RD Plant List'!N112</f>
        <v>664.33</v>
      </c>
      <c r="S244" s="251">
        <f>SUM(B244:O244)+'RD Plant List'!N112</f>
        <v>841.04953584948521</v>
      </c>
      <c r="T244" s="237">
        <f t="shared" si="113"/>
        <v>0.7898821314121609</v>
      </c>
      <c r="U244" s="251">
        <f t="shared" si="101"/>
        <v>641.46871885765938</v>
      </c>
      <c r="V244" s="271">
        <f t="shared" si="89"/>
        <v>0.76270028281955682</v>
      </c>
      <c r="W244" s="251">
        <f t="shared" si="98"/>
        <v>53.455726571471615</v>
      </c>
      <c r="X244" s="242">
        <f t="shared" si="99"/>
        <v>7.1065370008427413</v>
      </c>
      <c r="Y244" s="273">
        <f t="shared" si="100"/>
        <v>7.1065370008427413</v>
      </c>
      <c r="AB244" s="251">
        <f>SUM('BD Feedstock'!C242,'BD Feedstock'!E242,'BD Feedstock'!G242,'BD Feedstock'!K242,'BD Feedstock'!T242)</f>
        <v>21.812796010427753</v>
      </c>
      <c r="AC244" s="251">
        <f>SUM('BD Feedstock'!D242,'BD Feedstock'!F242,'BD Feedstock'!H242,'BD Feedstock'!I242,'BD Feedstock'!L242,'BD Feedstock'!M242,'BD Feedstock'!N242,'BD Feedstock'!O242,'BD Feedstock'!U242)</f>
        <v>12.773566250859661</v>
      </c>
      <c r="AD244" s="251">
        <f>'BD Feedstock'!J242</f>
        <v>0.90199999999999991</v>
      </c>
      <c r="AE244" s="251">
        <f>SUM('BD Feedstock'!B242,'BD Feedstock'!P242,'BD Feedstock'!Q242,'BD Feedstock'!R242)</f>
        <v>70.93020833333334</v>
      </c>
      <c r="AF244" s="251">
        <f>'BD Feedstock'!S242</f>
        <v>1.40625</v>
      </c>
      <c r="AG244" s="251">
        <f t="shared" si="90"/>
        <v>107.82482059462075</v>
      </c>
      <c r="AK244" s="237">
        <f t="shared" si="103"/>
        <v>0.20229846792359021</v>
      </c>
      <c r="AL244" s="237">
        <f t="shared" si="102"/>
        <v>0.11846591703484753</v>
      </c>
      <c r="AM244" s="237">
        <f t="shared" si="102"/>
        <v>8.3654208282077092E-3</v>
      </c>
      <c r="AN244" s="237">
        <f t="shared" si="102"/>
        <v>0.65782820636449979</v>
      </c>
      <c r="AO244" s="237">
        <f t="shared" si="102"/>
        <v>1.304198784885487E-2</v>
      </c>
      <c r="AP244" s="237">
        <f t="shared" si="91"/>
        <v>1</v>
      </c>
      <c r="AQ244" s="237"/>
      <c r="AR244" s="237">
        <f t="shared" si="92"/>
        <v>0.61464645366918802</v>
      </c>
      <c r="AS244" s="237">
        <f t="shared" si="93"/>
        <v>0.35993676340465403</v>
      </c>
      <c r="AT244" s="237">
        <f t="shared" si="94"/>
        <v>2.5416782926158003E-2</v>
      </c>
      <c r="AU244" s="237">
        <f t="shared" si="108"/>
        <v>0.98055959563958928</v>
      </c>
      <c r="AV244" s="237">
        <f t="shared" si="108"/>
        <v>1.9440404360410696E-2</v>
      </c>
      <c r="AX244" s="251">
        <f t="shared" si="112"/>
        <v>6975.8891756404446</v>
      </c>
      <c r="AY244" s="251">
        <f t="shared" si="110"/>
        <v>4085.0784329115718</v>
      </c>
      <c r="AZ244" s="251">
        <f t="shared" si="110"/>
        <v>288.46609272005344</v>
      </c>
      <c r="BA244" s="251">
        <f t="shared" si="110"/>
        <v>157834.39977221601</v>
      </c>
      <c r="BB244" s="251">
        <f t="shared" si="110"/>
        <v>3129.1974166579794</v>
      </c>
      <c r="BC244" s="251">
        <f t="shared" si="109"/>
        <v>172313.03089014607</v>
      </c>
      <c r="BD244" s="270">
        <f t="shared" si="111"/>
        <v>7.1065370008427422</v>
      </c>
      <c r="BY244" s="252">
        <f t="shared" si="104"/>
        <v>0.28769974205881238</v>
      </c>
      <c r="BZ244" s="252">
        <f t="shared" si="104"/>
        <v>0.16847687539857978</v>
      </c>
      <c r="CA244" s="252">
        <f t="shared" si="104"/>
        <v>1.1896923586182618E-2</v>
      </c>
      <c r="CB244" s="252">
        <f t="shared" si="104"/>
        <v>6.5094090458088596</v>
      </c>
      <c r="CC244" s="252">
        <f t="shared" si="104"/>
        <v>0.1290544139903069</v>
      </c>
    </row>
    <row r="245" spans="1:81">
      <c r="A245" s="11">
        <v>47088</v>
      </c>
      <c r="B245" s="268">
        <v>70</v>
      </c>
      <c r="C245" s="268">
        <v>13</v>
      </c>
      <c r="D245" s="268">
        <f t="shared" si="107"/>
        <v>20</v>
      </c>
      <c r="E245" s="268">
        <v>3</v>
      </c>
      <c r="F245" s="269">
        <v>0.2</v>
      </c>
      <c r="G245" s="269">
        <v>1.32</v>
      </c>
      <c r="H245" s="269"/>
      <c r="I245" s="269">
        <v>5</v>
      </c>
      <c r="J245" s="269"/>
      <c r="K245" s="269"/>
      <c r="L245" s="269"/>
      <c r="M245" s="269">
        <f t="shared" si="105"/>
        <v>1.5</v>
      </c>
      <c r="N245" s="269">
        <v>45</v>
      </c>
      <c r="O245" s="269">
        <f t="shared" si="85"/>
        <v>17.699535849485258</v>
      </c>
      <c r="Q245" s="251">
        <f t="shared" si="95"/>
        <v>176.71953584948523</v>
      </c>
      <c r="R245" s="251">
        <f>'RD Plant List'!N113</f>
        <v>664.33</v>
      </c>
      <c r="S245" s="251">
        <f>SUM(B245:O245)+'RD Plant List'!N113</f>
        <v>841.04953584948521</v>
      </c>
      <c r="T245" s="237">
        <f t="shared" si="113"/>
        <v>0.7898821314121609</v>
      </c>
      <c r="U245" s="251">
        <f t="shared" si="101"/>
        <v>583.24269136784631</v>
      </c>
      <c r="V245" s="271">
        <f t="shared" si="89"/>
        <v>0.69347008292294432</v>
      </c>
      <c r="W245" s="251">
        <f t="shared" si="98"/>
        <v>48.603557613987192</v>
      </c>
      <c r="X245" s="242">
        <f t="shared" si="99"/>
        <v>7.1065365836216285</v>
      </c>
      <c r="Y245" s="273">
        <f t="shared" si="100"/>
        <v>7.1065365836216285</v>
      </c>
      <c r="AB245" s="251">
        <f>SUM('BD Feedstock'!C243,'BD Feedstock'!E243,'BD Feedstock'!G243,'BD Feedstock'!K243,'BD Feedstock'!T243)</f>
        <v>21.812796010427753</v>
      </c>
      <c r="AC245" s="251">
        <f>SUM('BD Feedstock'!D243,'BD Feedstock'!F243,'BD Feedstock'!H243,'BD Feedstock'!I243,'BD Feedstock'!L243,'BD Feedstock'!M243,'BD Feedstock'!N243,'BD Feedstock'!O243,'BD Feedstock'!U243)</f>
        <v>12.773566250859661</v>
      </c>
      <c r="AD245" s="251">
        <f>'BD Feedstock'!J243</f>
        <v>0.90199999999999991</v>
      </c>
      <c r="AE245" s="251">
        <f>SUM('BD Feedstock'!B243,'BD Feedstock'!P243,'BD Feedstock'!Q243,'BD Feedstock'!R243)</f>
        <v>70.93020833333334</v>
      </c>
      <c r="AF245" s="251">
        <f>'BD Feedstock'!S243</f>
        <v>1.40625</v>
      </c>
      <c r="AG245" s="251">
        <f t="shared" si="90"/>
        <v>107.82482059462075</v>
      </c>
      <c r="AK245" s="237">
        <f t="shared" si="103"/>
        <v>0.20229846792359021</v>
      </c>
      <c r="AL245" s="237">
        <f t="shared" si="102"/>
        <v>0.11846591703484753</v>
      </c>
      <c r="AM245" s="237">
        <f t="shared" si="102"/>
        <v>8.3654208282077092E-3</v>
      </c>
      <c r="AN245" s="237">
        <f t="shared" si="102"/>
        <v>0.65782820636449979</v>
      </c>
      <c r="AO245" s="237">
        <f t="shared" si="102"/>
        <v>1.304198784885487E-2</v>
      </c>
      <c r="AP245" s="237">
        <f t="shared" si="91"/>
        <v>1</v>
      </c>
      <c r="AQ245" s="237"/>
      <c r="AR245" s="237">
        <f t="shared" si="92"/>
        <v>0.61464645366918802</v>
      </c>
      <c r="AS245" s="237">
        <f t="shared" si="93"/>
        <v>0.35993676340465403</v>
      </c>
      <c r="AT245" s="237">
        <f t="shared" si="94"/>
        <v>2.5416782926158003E-2</v>
      </c>
      <c r="AU245" s="237">
        <f t="shared" si="108"/>
        <v>0.98055959563958928</v>
      </c>
      <c r="AV245" s="237">
        <f t="shared" si="108"/>
        <v>1.9440404360410696E-2</v>
      </c>
      <c r="AX245" s="251">
        <f t="shared" si="112"/>
        <v>6342.6877419212196</v>
      </c>
      <c r="AY245" s="251">
        <f t="shared" si="110"/>
        <v>3714.2758792231225</v>
      </c>
      <c r="AZ245" s="251">
        <f t="shared" si="110"/>
        <v>262.28202659016807</v>
      </c>
      <c r="BA245" s="251">
        <f t="shared" si="110"/>
        <v>143507.78545397319</v>
      </c>
      <c r="BB245" s="251">
        <f t="shared" si="110"/>
        <v>2845.1604476651637</v>
      </c>
      <c r="BC245" s="251">
        <f t="shared" si="109"/>
        <v>156672.19154937289</v>
      </c>
      <c r="BD245" s="270">
        <f t="shared" si="111"/>
        <v>7.1065365836216285</v>
      </c>
      <c r="BY245" s="252">
        <f t="shared" si="104"/>
        <v>0.28769969980439725</v>
      </c>
      <c r="BZ245" s="252">
        <f t="shared" si="104"/>
        <v>0.16847685065440807</v>
      </c>
      <c r="CA245" s="252">
        <f t="shared" si="104"/>
        <v>1.1896921838883353E-2</v>
      </c>
      <c r="CB245" s="252">
        <f t="shared" si="104"/>
        <v>6.5094087041081306</v>
      </c>
      <c r="CC245" s="252">
        <f t="shared" si="104"/>
        <v>0.12905440721580758</v>
      </c>
    </row>
    <row r="246" spans="1:81">
      <c r="A246" s="11">
        <v>47119</v>
      </c>
      <c r="B246" s="268">
        <v>70</v>
      </c>
      <c r="C246" s="268">
        <v>13</v>
      </c>
      <c r="D246" s="268">
        <f t="shared" si="107"/>
        <v>20</v>
      </c>
      <c r="E246" s="268">
        <v>3</v>
      </c>
      <c r="F246" s="269">
        <v>0.2</v>
      </c>
      <c r="G246" s="269">
        <v>1.32</v>
      </c>
      <c r="H246" s="269"/>
      <c r="I246" s="269">
        <v>5</v>
      </c>
      <c r="J246" s="269"/>
      <c r="K246" s="269"/>
      <c r="L246" s="269"/>
      <c r="M246" s="269">
        <f t="shared" si="105"/>
        <v>1.5</v>
      </c>
      <c r="N246" s="269">
        <v>45</v>
      </c>
      <c r="O246" s="269">
        <f t="shared" si="85"/>
        <v>17.699535849485258</v>
      </c>
      <c r="Q246" s="251">
        <f t="shared" si="95"/>
        <v>176.71953584948523</v>
      </c>
      <c r="R246" s="251">
        <f>'RD Plant List'!N114</f>
        <v>664.33</v>
      </c>
      <c r="S246" s="251">
        <f>SUM(B246:O246)+'RD Plant List'!N114</f>
        <v>841.04953584948521</v>
      </c>
      <c r="T246" s="237">
        <f t="shared" si="113"/>
        <v>0.7898821314121609</v>
      </c>
      <c r="U246" s="251">
        <f t="shared" si="101"/>
        <v>478.79888073993811</v>
      </c>
      <c r="V246" s="271">
        <f t="shared" si="89"/>
        <v>0.56928737289693276</v>
      </c>
      <c r="W246" s="251">
        <f t="shared" si="98"/>
        <v>39.899906728328176</v>
      </c>
      <c r="X246" s="242">
        <f t="shared" si="99"/>
        <v>7.1065361076007072</v>
      </c>
      <c r="Y246" s="273">
        <f t="shared" si="100"/>
        <v>7.1065361076007072</v>
      </c>
      <c r="AB246" s="251">
        <f>SUM('BD Feedstock'!C244,'BD Feedstock'!E244,'BD Feedstock'!G244,'BD Feedstock'!K244,'BD Feedstock'!T244)</f>
        <v>21.812796010427753</v>
      </c>
      <c r="AC246" s="251">
        <f>SUM('BD Feedstock'!D244,'BD Feedstock'!F244,'BD Feedstock'!H244,'BD Feedstock'!I244,'BD Feedstock'!L244,'BD Feedstock'!M244,'BD Feedstock'!N244,'BD Feedstock'!O244,'BD Feedstock'!U244)</f>
        <v>12.773566250859661</v>
      </c>
      <c r="AD246" s="251">
        <f>'BD Feedstock'!J244</f>
        <v>0.90199999999999991</v>
      </c>
      <c r="AE246" s="251">
        <f>SUM('BD Feedstock'!B244,'BD Feedstock'!P244,'BD Feedstock'!Q244,'BD Feedstock'!R244)</f>
        <v>70.93020833333334</v>
      </c>
      <c r="AF246" s="251">
        <f>'BD Feedstock'!S244</f>
        <v>1.40625</v>
      </c>
      <c r="AG246" s="251">
        <f t="shared" si="90"/>
        <v>107.82482059462075</v>
      </c>
      <c r="AK246" s="237">
        <f t="shared" si="103"/>
        <v>0.20229846792359021</v>
      </c>
      <c r="AL246" s="237">
        <f t="shared" si="102"/>
        <v>0.11846591703484753</v>
      </c>
      <c r="AM246" s="237">
        <f t="shared" si="102"/>
        <v>8.3654208282077092E-3</v>
      </c>
      <c r="AN246" s="237">
        <f t="shared" si="102"/>
        <v>0.65782820636449979</v>
      </c>
      <c r="AO246" s="237">
        <f t="shared" si="102"/>
        <v>1.304198784885487E-2</v>
      </c>
      <c r="AP246" s="237">
        <f t="shared" si="91"/>
        <v>1</v>
      </c>
      <c r="AQ246" s="237"/>
      <c r="AR246" s="237">
        <f t="shared" si="92"/>
        <v>0.61464645366918802</v>
      </c>
      <c r="AS246" s="237">
        <f t="shared" si="93"/>
        <v>0.35993676340465403</v>
      </c>
      <c r="AT246" s="237">
        <f t="shared" si="94"/>
        <v>2.5416782926158003E-2</v>
      </c>
      <c r="AU246" s="237">
        <f t="shared" si="108"/>
        <v>0.98055959563958928</v>
      </c>
      <c r="AV246" s="237">
        <f t="shared" si="108"/>
        <v>1.9440404360410696E-2</v>
      </c>
      <c r="AX246" s="251">
        <f t="shared" si="112"/>
        <v>5206.8751151414108</v>
      </c>
      <c r="AY246" s="251">
        <f t="shared" si="110"/>
        <v>3049.1443743120149</v>
      </c>
      <c r="AZ246" s="251">
        <f t="shared" si="110"/>
        <v>215.31404555437544</v>
      </c>
      <c r="BA246" s="251">
        <f t="shared" si="110"/>
        <v>117809.21225509486</v>
      </c>
      <c r="BB246" s="251">
        <f t="shared" si="110"/>
        <v>2335.6649955851285</v>
      </c>
      <c r="BC246" s="251">
        <f t="shared" si="109"/>
        <v>128616.21078568778</v>
      </c>
      <c r="BD246" s="270">
        <f t="shared" si="111"/>
        <v>7.1065361076007072</v>
      </c>
      <c r="BY246" s="252">
        <f t="shared" si="104"/>
        <v>0.287699705872828</v>
      </c>
      <c r="BZ246" s="252">
        <f t="shared" si="104"/>
        <v>0.16847685420807915</v>
      </c>
      <c r="CA246" s="252">
        <f t="shared" si="104"/>
        <v>1.189692208982434E-2</v>
      </c>
      <c r="CB246" s="252">
        <f t="shared" si="104"/>
        <v>6.5094082276601428</v>
      </c>
      <c r="CC246" s="252">
        <f t="shared" si="104"/>
        <v>0.12905439776983241</v>
      </c>
    </row>
    <row r="247" spans="1:81">
      <c r="A247" s="11">
        <v>47150</v>
      </c>
      <c r="B247" s="268">
        <v>70</v>
      </c>
      <c r="C247" s="268">
        <v>13</v>
      </c>
      <c r="D247" s="268">
        <f t="shared" si="107"/>
        <v>20</v>
      </c>
      <c r="E247" s="268">
        <v>3</v>
      </c>
      <c r="F247" s="269">
        <v>0.2</v>
      </c>
      <c r="G247" s="269">
        <v>1.32</v>
      </c>
      <c r="H247" s="269"/>
      <c r="I247" s="269">
        <v>5</v>
      </c>
      <c r="J247" s="269"/>
      <c r="K247" s="269"/>
      <c r="L247" s="269"/>
      <c r="M247" s="269">
        <f t="shared" si="105"/>
        <v>1.5</v>
      </c>
      <c r="N247" s="269">
        <v>45</v>
      </c>
      <c r="O247" s="269">
        <f t="shared" si="85"/>
        <v>17.699535849485258</v>
      </c>
      <c r="Q247" s="251">
        <f t="shared" si="95"/>
        <v>176.71953584948523</v>
      </c>
      <c r="R247" s="251">
        <f>'RD Plant List'!N115</f>
        <v>664.33</v>
      </c>
      <c r="S247" s="251">
        <f>SUM(B247:O247)+'RD Plant List'!N115</f>
        <v>841.04953584948521</v>
      </c>
      <c r="T247" s="237">
        <f t="shared" si="113"/>
        <v>0.7898821314121609</v>
      </c>
      <c r="U247" s="251">
        <f t="shared" si="101"/>
        <v>445.40038204011398</v>
      </c>
      <c r="V247" s="271">
        <f t="shared" si="89"/>
        <v>0.52957687158134659</v>
      </c>
      <c r="W247" s="251">
        <f t="shared" si="98"/>
        <v>37.116698503342832</v>
      </c>
      <c r="X247" s="242">
        <f t="shared" si="99"/>
        <v>7.1065360502763273</v>
      </c>
      <c r="Y247" s="273">
        <f t="shared" si="100"/>
        <v>7.1065360502763273</v>
      </c>
      <c r="AB247" s="251">
        <f>SUM('BD Feedstock'!C245,'BD Feedstock'!E245,'BD Feedstock'!G245,'BD Feedstock'!K245,'BD Feedstock'!T245)</f>
        <v>21.812796010427753</v>
      </c>
      <c r="AC247" s="251">
        <f>SUM('BD Feedstock'!D245,'BD Feedstock'!F245,'BD Feedstock'!H245,'BD Feedstock'!I245,'BD Feedstock'!L245,'BD Feedstock'!M245,'BD Feedstock'!N245,'BD Feedstock'!O245,'BD Feedstock'!U245)</f>
        <v>12.773566250859661</v>
      </c>
      <c r="AD247" s="251">
        <f>'BD Feedstock'!J245</f>
        <v>0.90199999999999991</v>
      </c>
      <c r="AE247" s="251">
        <f>SUM('BD Feedstock'!B245,'BD Feedstock'!P245,'BD Feedstock'!Q245,'BD Feedstock'!R245)</f>
        <v>70.93020833333334</v>
      </c>
      <c r="AF247" s="251">
        <f>'BD Feedstock'!S245</f>
        <v>1.40625</v>
      </c>
      <c r="AG247" s="251">
        <f t="shared" si="90"/>
        <v>107.82482059462075</v>
      </c>
      <c r="AK247" s="237">
        <f t="shared" si="103"/>
        <v>0.20229846792359021</v>
      </c>
      <c r="AL247" s="237">
        <f t="shared" si="102"/>
        <v>0.11846591703484753</v>
      </c>
      <c r="AM247" s="237">
        <f t="shared" si="102"/>
        <v>8.3654208282077092E-3</v>
      </c>
      <c r="AN247" s="237">
        <f t="shared" si="102"/>
        <v>0.65782820636449979</v>
      </c>
      <c r="AO247" s="237">
        <f t="shared" si="102"/>
        <v>1.304198784885487E-2</v>
      </c>
      <c r="AP247" s="237">
        <f t="shared" si="91"/>
        <v>1</v>
      </c>
      <c r="AQ247" s="237"/>
      <c r="AR247" s="237">
        <f t="shared" si="92"/>
        <v>0.61464645366918802</v>
      </c>
      <c r="AS247" s="237">
        <f t="shared" si="93"/>
        <v>0.35993676340465403</v>
      </c>
      <c r="AT247" s="237">
        <f t="shared" si="94"/>
        <v>2.5416782926158003E-2</v>
      </c>
      <c r="AU247" s="237">
        <f t="shared" si="108"/>
        <v>0.98055959563958928</v>
      </c>
      <c r="AV247" s="237">
        <f t="shared" si="108"/>
        <v>1.9440404360410696E-2</v>
      </c>
      <c r="AX247" s="251">
        <f t="shared" si="112"/>
        <v>4843.6712781697242</v>
      </c>
      <c r="AY247" s="251">
        <f t="shared" si="110"/>
        <v>2836.4523254840528</v>
      </c>
      <c r="AZ247" s="251">
        <f t="shared" si="110"/>
        <v>200.29488612190997</v>
      </c>
      <c r="BA247" s="251">
        <f t="shared" si="110"/>
        <v>109591.45781476022</v>
      </c>
      <c r="BB247" s="251">
        <f t="shared" si="110"/>
        <v>2172.7412222978342</v>
      </c>
      <c r="BC247" s="251">
        <f t="shared" si="109"/>
        <v>119644.61752683374</v>
      </c>
      <c r="BD247" s="270">
        <f t="shared" si="111"/>
        <v>7.1065360502763273</v>
      </c>
      <c r="BY247" s="252">
        <f t="shared" si="104"/>
        <v>0.28769973330627352</v>
      </c>
      <c r="BZ247" s="252">
        <f t="shared" si="104"/>
        <v>0.16847687027309594</v>
      </c>
      <c r="CA247" s="252">
        <f t="shared" si="104"/>
        <v>1.1896923224248729E-2</v>
      </c>
      <c r="CB247" s="252">
        <f t="shared" si="104"/>
        <v>6.5094081276849671</v>
      </c>
      <c r="CC247" s="252">
        <f t="shared" si="104"/>
        <v>0.12905439578774194</v>
      </c>
    </row>
    <row r="248" spans="1:81">
      <c r="A248" s="11">
        <v>47178</v>
      </c>
      <c r="B248" s="268">
        <v>70</v>
      </c>
      <c r="C248" s="268">
        <v>13</v>
      </c>
      <c r="D248" s="268">
        <f t="shared" si="107"/>
        <v>20</v>
      </c>
      <c r="E248" s="268">
        <v>3</v>
      </c>
      <c r="F248" s="269">
        <v>0.2</v>
      </c>
      <c r="G248" s="269">
        <v>1.32</v>
      </c>
      <c r="H248" s="269"/>
      <c r="I248" s="269">
        <v>5</v>
      </c>
      <c r="J248" s="269"/>
      <c r="K248" s="269"/>
      <c r="L248" s="269"/>
      <c r="M248" s="269">
        <f t="shared" si="105"/>
        <v>1.5</v>
      </c>
      <c r="N248" s="269">
        <v>45</v>
      </c>
      <c r="O248" s="269">
        <f t="shared" ref="O248:O311" si="114">$O$3</f>
        <v>17.699535849485258</v>
      </c>
      <c r="Q248" s="251">
        <f t="shared" si="95"/>
        <v>176.71953584948523</v>
      </c>
      <c r="R248" s="251">
        <f>'RD Plant List'!N116</f>
        <v>664.33</v>
      </c>
      <c r="S248" s="251">
        <f>SUM(B248:O248)+'RD Plant List'!N116</f>
        <v>841.04953584948521</v>
      </c>
      <c r="T248" s="237">
        <f t="shared" si="113"/>
        <v>0.7898821314121609</v>
      </c>
      <c r="U248" s="251">
        <f t="shared" si="101"/>
        <v>492.61555155186676</v>
      </c>
      <c r="V248" s="271">
        <f t="shared" si="89"/>
        <v>0.58571526474277202</v>
      </c>
      <c r="W248" s="251">
        <f t="shared" si="98"/>
        <v>41.051295962655566</v>
      </c>
      <c r="X248" s="242">
        <f t="shared" si="99"/>
        <v>7.1065362680736053</v>
      </c>
      <c r="Y248" s="273">
        <f t="shared" si="100"/>
        <v>7.1065362680736053</v>
      </c>
      <c r="AB248" s="251">
        <f>SUM('BD Feedstock'!C246,'BD Feedstock'!E246,'BD Feedstock'!G246,'BD Feedstock'!K246,'BD Feedstock'!T246)</f>
        <v>21.812796010427753</v>
      </c>
      <c r="AC248" s="251">
        <f>SUM('BD Feedstock'!D246,'BD Feedstock'!F246,'BD Feedstock'!H246,'BD Feedstock'!I246,'BD Feedstock'!L246,'BD Feedstock'!M246,'BD Feedstock'!N246,'BD Feedstock'!O246,'BD Feedstock'!U246)</f>
        <v>12.773566250859661</v>
      </c>
      <c r="AD248" s="251">
        <f>'BD Feedstock'!J246</f>
        <v>0.90199999999999991</v>
      </c>
      <c r="AE248" s="251">
        <f>SUM('BD Feedstock'!B246,'BD Feedstock'!P246,'BD Feedstock'!Q246,'BD Feedstock'!R246)</f>
        <v>70.93020833333334</v>
      </c>
      <c r="AF248" s="251">
        <f>'BD Feedstock'!S246</f>
        <v>1.40625</v>
      </c>
      <c r="AG248" s="251">
        <f t="shared" si="90"/>
        <v>107.82482059462075</v>
      </c>
      <c r="AK248" s="237">
        <f t="shared" si="103"/>
        <v>0.20229846792359021</v>
      </c>
      <c r="AL248" s="237">
        <f t="shared" si="102"/>
        <v>0.11846591703484753</v>
      </c>
      <c r="AM248" s="237">
        <f t="shared" si="102"/>
        <v>8.3654208282077092E-3</v>
      </c>
      <c r="AN248" s="237">
        <f t="shared" si="102"/>
        <v>0.65782820636449979</v>
      </c>
      <c r="AO248" s="237">
        <f t="shared" si="102"/>
        <v>1.304198784885487E-2</v>
      </c>
      <c r="AP248" s="237">
        <f t="shared" si="91"/>
        <v>1</v>
      </c>
      <c r="AQ248" s="237"/>
      <c r="AR248" s="237">
        <f t="shared" si="92"/>
        <v>0.61464645366918802</v>
      </c>
      <c r="AS248" s="237">
        <f t="shared" si="93"/>
        <v>0.35993676340465403</v>
      </c>
      <c r="AT248" s="237">
        <f t="shared" si="94"/>
        <v>2.5416782926158003E-2</v>
      </c>
      <c r="AU248" s="237">
        <f t="shared" si="108"/>
        <v>0.98055959563958928</v>
      </c>
      <c r="AV248" s="237">
        <f t="shared" si="108"/>
        <v>1.9440404360410696E-2</v>
      </c>
      <c r="AX248" s="251">
        <f t="shared" si="112"/>
        <v>5357.1303695576589</v>
      </c>
      <c r="AY248" s="251">
        <f t="shared" si="110"/>
        <v>3137.1338024398074</v>
      </c>
      <c r="AZ248" s="251">
        <f t="shared" si="110"/>
        <v>221.5273819564884</v>
      </c>
      <c r="BA248" s="251">
        <f t="shared" si="110"/>
        <v>121208.82738637326</v>
      </c>
      <c r="BB248" s="251">
        <f t="shared" si="110"/>
        <v>2403.0651751516898</v>
      </c>
      <c r="BC248" s="251">
        <f t="shared" si="109"/>
        <v>132327.68411547891</v>
      </c>
      <c r="BD248" s="270">
        <f t="shared" si="111"/>
        <v>7.1065362680736053</v>
      </c>
      <c r="BY248" s="252">
        <f t="shared" si="104"/>
        <v>0.287699747173364</v>
      </c>
      <c r="BZ248" s="252">
        <f t="shared" si="104"/>
        <v>0.16847687839365963</v>
      </c>
      <c r="CA248" s="252">
        <f t="shared" si="104"/>
        <v>1.1896923797678914E-2</v>
      </c>
      <c r="CB248" s="252">
        <f t="shared" si="104"/>
        <v>6.5094083191256891</v>
      </c>
      <c r="CC248" s="252">
        <f t="shared" si="104"/>
        <v>0.12905439958321246</v>
      </c>
    </row>
    <row r="249" spans="1:81">
      <c r="A249" s="11">
        <v>47209</v>
      </c>
      <c r="B249" s="268">
        <v>70</v>
      </c>
      <c r="C249" s="268">
        <v>13</v>
      </c>
      <c r="D249" s="268">
        <f t="shared" si="107"/>
        <v>20</v>
      </c>
      <c r="E249" s="268">
        <v>3</v>
      </c>
      <c r="F249" s="269">
        <v>0.2</v>
      </c>
      <c r="G249" s="269">
        <v>1.32</v>
      </c>
      <c r="H249" s="269"/>
      <c r="I249" s="269">
        <v>5</v>
      </c>
      <c r="J249" s="269"/>
      <c r="K249" s="269"/>
      <c r="L249" s="269"/>
      <c r="M249" s="269">
        <f t="shared" si="105"/>
        <v>1.5</v>
      </c>
      <c r="N249" s="269">
        <v>45</v>
      </c>
      <c r="O249" s="269">
        <f t="shared" si="114"/>
        <v>17.699535849485258</v>
      </c>
      <c r="Q249" s="251">
        <f t="shared" si="95"/>
        <v>176.71953584948523</v>
      </c>
      <c r="R249" s="251">
        <f>'RD Plant List'!N117</f>
        <v>664.33</v>
      </c>
      <c r="S249" s="251">
        <f>SUM(B249:O249)+'RD Plant List'!N117</f>
        <v>841.04953584948521</v>
      </c>
      <c r="T249" s="237">
        <f t="shared" si="113"/>
        <v>0.7898821314121609</v>
      </c>
      <c r="U249" s="251">
        <f t="shared" si="101"/>
        <v>501.71092798923024</v>
      </c>
      <c r="V249" s="271">
        <f t="shared" si="89"/>
        <v>0.59652958191396799</v>
      </c>
      <c r="W249" s="251">
        <f t="shared" si="98"/>
        <v>41.80924399910252</v>
      </c>
      <c r="X249" s="242">
        <f t="shared" si="99"/>
        <v>7.1065364323858438</v>
      </c>
      <c r="Y249" s="273">
        <f t="shared" si="100"/>
        <v>7.1065364323858438</v>
      </c>
      <c r="AB249" s="251">
        <f>SUM('BD Feedstock'!C247,'BD Feedstock'!E247,'BD Feedstock'!G247,'BD Feedstock'!K247,'BD Feedstock'!T247)</f>
        <v>21.812796010427753</v>
      </c>
      <c r="AC249" s="251">
        <f>SUM('BD Feedstock'!D247,'BD Feedstock'!F247,'BD Feedstock'!H247,'BD Feedstock'!I247,'BD Feedstock'!L247,'BD Feedstock'!M247,'BD Feedstock'!N247,'BD Feedstock'!O247,'BD Feedstock'!U247)</f>
        <v>12.773566250859661</v>
      </c>
      <c r="AD249" s="251">
        <f>'BD Feedstock'!J247</f>
        <v>0.90199999999999991</v>
      </c>
      <c r="AE249" s="251">
        <f>SUM('BD Feedstock'!B247,'BD Feedstock'!P247,'BD Feedstock'!Q247,'BD Feedstock'!R247)</f>
        <v>70.93020833333334</v>
      </c>
      <c r="AF249" s="251">
        <f>'BD Feedstock'!S247</f>
        <v>1.40625</v>
      </c>
      <c r="AG249" s="251">
        <f t="shared" si="90"/>
        <v>107.82482059462075</v>
      </c>
      <c r="AK249" s="237">
        <f t="shared" si="103"/>
        <v>0.20229846792359021</v>
      </c>
      <c r="AL249" s="237">
        <f t="shared" si="102"/>
        <v>0.11846591703484753</v>
      </c>
      <c r="AM249" s="237">
        <f t="shared" si="102"/>
        <v>8.3654208282077092E-3</v>
      </c>
      <c r="AN249" s="237">
        <f t="shared" si="102"/>
        <v>0.65782820636449979</v>
      </c>
      <c r="AO249" s="237">
        <f t="shared" si="102"/>
        <v>1.304198784885487E-2</v>
      </c>
      <c r="AP249" s="237">
        <f t="shared" si="91"/>
        <v>1</v>
      </c>
      <c r="AQ249" s="237"/>
      <c r="AR249" s="237">
        <f t="shared" si="92"/>
        <v>0.61464645366918802</v>
      </c>
      <c r="AS249" s="237">
        <f t="shared" si="93"/>
        <v>0.35993676340465403</v>
      </c>
      <c r="AT249" s="237">
        <f t="shared" si="94"/>
        <v>2.5416782926158003E-2</v>
      </c>
      <c r="AU249" s="237">
        <f t="shared" si="108"/>
        <v>0.98055959563958928</v>
      </c>
      <c r="AV249" s="237">
        <f t="shared" si="108"/>
        <v>1.9440404360410696E-2</v>
      </c>
      <c r="AX249" s="251">
        <f t="shared" si="112"/>
        <v>5456.0412686967566</v>
      </c>
      <c r="AY249" s="251">
        <f t="shared" si="112"/>
        <v>3195.0559928128969</v>
      </c>
      <c r="AZ249" s="251">
        <f t="shared" si="112"/>
        <v>225.61753303023499</v>
      </c>
      <c r="BA249" s="251">
        <f t="shared" si="112"/>
        <v>123446.76227559325</v>
      </c>
      <c r="BB249" s="251">
        <f t="shared" si="112"/>
        <v>2447.4340838566523</v>
      </c>
      <c r="BC249" s="251">
        <f t="shared" si="109"/>
        <v>134770.91115398979</v>
      </c>
      <c r="BD249" s="270">
        <f t="shared" si="111"/>
        <v>7.1065364323858429</v>
      </c>
      <c r="BY249" s="252">
        <f t="shared" si="104"/>
        <v>0.28769973965888945</v>
      </c>
      <c r="BZ249" s="252">
        <f t="shared" si="104"/>
        <v>0.16847687399318578</v>
      </c>
      <c r="CA249" s="252">
        <f t="shared" si="104"/>
        <v>1.1896923486941309E-2</v>
      </c>
      <c r="CB249" s="252">
        <f t="shared" si="104"/>
        <v>6.5094084922316462</v>
      </c>
      <c r="CC249" s="252">
        <f t="shared" si="104"/>
        <v>0.12905440301518115</v>
      </c>
    </row>
    <row r="250" spans="1:81">
      <c r="A250" s="11">
        <v>47239</v>
      </c>
      <c r="B250" s="268">
        <v>70</v>
      </c>
      <c r="C250" s="268">
        <v>13</v>
      </c>
      <c r="D250" s="268">
        <f t="shared" si="107"/>
        <v>20</v>
      </c>
      <c r="E250" s="268">
        <v>3</v>
      </c>
      <c r="F250" s="269">
        <v>0.2</v>
      </c>
      <c r="G250" s="269">
        <v>1.32</v>
      </c>
      <c r="H250" s="269"/>
      <c r="I250" s="269">
        <v>5</v>
      </c>
      <c r="J250" s="269"/>
      <c r="K250" s="269"/>
      <c r="L250" s="269"/>
      <c r="M250" s="269">
        <f t="shared" si="105"/>
        <v>1.5</v>
      </c>
      <c r="N250" s="269">
        <v>45</v>
      </c>
      <c r="O250" s="269">
        <f t="shared" si="114"/>
        <v>17.699535849485258</v>
      </c>
      <c r="Q250" s="251">
        <f t="shared" si="95"/>
        <v>176.71953584948523</v>
      </c>
      <c r="R250" s="251">
        <f>'RD Plant List'!N118</f>
        <v>664.33</v>
      </c>
      <c r="S250" s="251">
        <f>SUM(B250:O250)+'RD Plant List'!N118</f>
        <v>841.04953584948521</v>
      </c>
      <c r="T250" s="237">
        <f t="shared" si="113"/>
        <v>0.7898821314121609</v>
      </c>
      <c r="U250" s="251">
        <f t="shared" si="101"/>
        <v>488.23517228597228</v>
      </c>
      <c r="V250" s="271">
        <f t="shared" si="89"/>
        <v>0.58050703493087374</v>
      </c>
      <c r="W250" s="251">
        <f t="shared" si="98"/>
        <v>40.686264357164355</v>
      </c>
      <c r="X250" s="242">
        <f t="shared" si="99"/>
        <v>7.1065364071334765</v>
      </c>
      <c r="Y250" s="273">
        <f t="shared" si="100"/>
        <v>7.1065364071334765</v>
      </c>
      <c r="AB250" s="251">
        <f>SUM('BD Feedstock'!C248,'BD Feedstock'!E248,'BD Feedstock'!G248,'BD Feedstock'!K248,'BD Feedstock'!T248)</f>
        <v>21.812796010427753</v>
      </c>
      <c r="AC250" s="251">
        <f>SUM('BD Feedstock'!D248,'BD Feedstock'!F248,'BD Feedstock'!H248,'BD Feedstock'!I248,'BD Feedstock'!L248,'BD Feedstock'!M248,'BD Feedstock'!N248,'BD Feedstock'!O248,'BD Feedstock'!U248)</f>
        <v>12.773566250859661</v>
      </c>
      <c r="AD250" s="251">
        <f>'BD Feedstock'!J248</f>
        <v>0.90199999999999991</v>
      </c>
      <c r="AE250" s="251">
        <f>SUM('BD Feedstock'!B248,'BD Feedstock'!P248,'BD Feedstock'!Q248,'BD Feedstock'!R248)</f>
        <v>70.93020833333334</v>
      </c>
      <c r="AF250" s="251">
        <f>'BD Feedstock'!S248</f>
        <v>1.40625</v>
      </c>
      <c r="AG250" s="251">
        <f t="shared" si="90"/>
        <v>107.82482059462075</v>
      </c>
      <c r="AK250" s="237">
        <f t="shared" si="103"/>
        <v>0.20229846792359021</v>
      </c>
      <c r="AL250" s="237">
        <f t="shared" si="102"/>
        <v>0.11846591703484753</v>
      </c>
      <c r="AM250" s="237">
        <f t="shared" si="102"/>
        <v>8.3654208282077092E-3</v>
      </c>
      <c r="AN250" s="237">
        <f t="shared" si="102"/>
        <v>0.65782820636449979</v>
      </c>
      <c r="AO250" s="237">
        <f t="shared" si="102"/>
        <v>1.304198784885487E-2</v>
      </c>
      <c r="AP250" s="237">
        <f t="shared" si="91"/>
        <v>1</v>
      </c>
      <c r="AQ250" s="237"/>
      <c r="AR250" s="237">
        <f t="shared" si="92"/>
        <v>0.61464645366918802</v>
      </c>
      <c r="AS250" s="237">
        <f t="shared" si="93"/>
        <v>0.35993676340465403</v>
      </c>
      <c r="AT250" s="237">
        <f t="shared" si="94"/>
        <v>2.5416782926158003E-2</v>
      </c>
      <c r="AU250" s="237">
        <f t="shared" si="108"/>
        <v>0.98055959563958928</v>
      </c>
      <c r="AV250" s="237">
        <f t="shared" si="108"/>
        <v>1.9440404360410696E-2</v>
      </c>
      <c r="AX250" s="251">
        <f t="shared" si="112"/>
        <v>5309.4939577132482</v>
      </c>
      <c r="AY250" s="251">
        <f t="shared" si="112"/>
        <v>3109.2379351536083</v>
      </c>
      <c r="AZ250" s="251">
        <f t="shared" si="112"/>
        <v>219.55752703907581</v>
      </c>
      <c r="BA250" s="251">
        <f t="shared" si="112"/>
        <v>120131.03129441937</v>
      </c>
      <c r="BB250" s="251">
        <f t="shared" si="112"/>
        <v>2381.6969768914023</v>
      </c>
      <c r="BC250" s="251">
        <f t="shared" si="109"/>
        <v>131151.01769121672</v>
      </c>
      <c r="BD250" s="270">
        <f t="shared" si="111"/>
        <v>7.1065364071334756</v>
      </c>
      <c r="BY250" s="252">
        <f t="shared" si="104"/>
        <v>0.2876997279790941</v>
      </c>
      <c r="BZ250" s="252">
        <f t="shared" si="104"/>
        <v>0.16847686715350141</v>
      </c>
      <c r="CA250" s="252">
        <f t="shared" si="104"/>
        <v>1.1896923003959874E-2</v>
      </c>
      <c r="CB250" s="252">
        <f t="shared" si="104"/>
        <v>6.50940848610324</v>
      </c>
      <c r="CC250" s="252">
        <f t="shared" si="104"/>
        <v>0.12905440289368039</v>
      </c>
    </row>
    <row r="251" spans="1:81">
      <c r="A251" s="11">
        <v>47270</v>
      </c>
      <c r="B251" s="268">
        <v>70</v>
      </c>
      <c r="C251" s="268">
        <v>13</v>
      </c>
      <c r="D251" s="268">
        <f t="shared" si="107"/>
        <v>20</v>
      </c>
      <c r="E251" s="268">
        <v>3</v>
      </c>
      <c r="F251" s="269">
        <v>0.2</v>
      </c>
      <c r="G251" s="269">
        <v>1.32</v>
      </c>
      <c r="H251" s="269"/>
      <c r="I251" s="269">
        <v>5</v>
      </c>
      <c r="J251" s="269"/>
      <c r="K251" s="269"/>
      <c r="L251" s="269"/>
      <c r="M251" s="269">
        <f t="shared" si="105"/>
        <v>1.5</v>
      </c>
      <c r="N251" s="269">
        <v>45</v>
      </c>
      <c r="O251" s="269">
        <f t="shared" si="114"/>
        <v>17.699535849485258</v>
      </c>
      <c r="Q251" s="251">
        <f t="shared" si="95"/>
        <v>176.71953584948523</v>
      </c>
      <c r="R251" s="251">
        <f>'RD Plant List'!N119</f>
        <v>664.33</v>
      </c>
      <c r="S251" s="251">
        <f>SUM(B251:O251)+'RD Plant List'!N119</f>
        <v>841.04953584948521</v>
      </c>
      <c r="T251" s="237">
        <f t="shared" si="113"/>
        <v>0.7898821314121609</v>
      </c>
      <c r="U251" s="251">
        <f t="shared" si="101"/>
        <v>544.44559647672247</v>
      </c>
      <c r="V251" s="271">
        <f t="shared" si="89"/>
        <v>0.64734070143302103</v>
      </c>
      <c r="W251" s="251">
        <f t="shared" si="98"/>
        <v>45.370466373060204</v>
      </c>
      <c r="X251" s="242">
        <f t="shared" si="99"/>
        <v>7.1065363081819299</v>
      </c>
      <c r="Y251" s="273">
        <f t="shared" si="100"/>
        <v>7.1065363081819299</v>
      </c>
      <c r="AB251" s="251">
        <f>SUM('BD Feedstock'!C249,'BD Feedstock'!E249,'BD Feedstock'!G249,'BD Feedstock'!K249,'BD Feedstock'!T249)</f>
        <v>21.812796010427753</v>
      </c>
      <c r="AC251" s="251">
        <f>SUM('BD Feedstock'!D249,'BD Feedstock'!F249,'BD Feedstock'!H249,'BD Feedstock'!I249,'BD Feedstock'!L249,'BD Feedstock'!M249,'BD Feedstock'!N249,'BD Feedstock'!O249,'BD Feedstock'!U249)</f>
        <v>12.773566250859661</v>
      </c>
      <c r="AD251" s="251">
        <f>'BD Feedstock'!J249</f>
        <v>0.90199999999999991</v>
      </c>
      <c r="AE251" s="251">
        <f>SUM('BD Feedstock'!B249,'BD Feedstock'!P249,'BD Feedstock'!Q249,'BD Feedstock'!R249)</f>
        <v>70.93020833333334</v>
      </c>
      <c r="AF251" s="251">
        <f>'BD Feedstock'!S249</f>
        <v>1.40625</v>
      </c>
      <c r="AG251" s="251">
        <f t="shared" si="90"/>
        <v>107.82482059462075</v>
      </c>
      <c r="AK251" s="237">
        <f t="shared" si="103"/>
        <v>0.20229846792359021</v>
      </c>
      <c r="AL251" s="237">
        <f t="shared" si="102"/>
        <v>0.11846591703484753</v>
      </c>
      <c r="AM251" s="237">
        <f t="shared" si="102"/>
        <v>8.3654208282077092E-3</v>
      </c>
      <c r="AN251" s="237">
        <f t="shared" si="102"/>
        <v>0.65782820636449979</v>
      </c>
      <c r="AO251" s="237">
        <f t="shared" si="102"/>
        <v>1.304198784885487E-2</v>
      </c>
      <c r="AP251" s="237">
        <f t="shared" si="91"/>
        <v>1</v>
      </c>
      <c r="AQ251" s="237"/>
      <c r="AR251" s="237">
        <f t="shared" si="92"/>
        <v>0.61464645366918802</v>
      </c>
      <c r="AS251" s="237">
        <f t="shared" si="93"/>
        <v>0.35993676340465403</v>
      </c>
      <c r="AT251" s="237">
        <f t="shared" si="94"/>
        <v>2.5416782926158003E-2</v>
      </c>
      <c r="AU251" s="237">
        <f t="shared" si="108"/>
        <v>0.98055959563958928</v>
      </c>
      <c r="AV251" s="237">
        <f t="shared" si="108"/>
        <v>1.9440404360410696E-2</v>
      </c>
      <c r="AX251" s="251">
        <f t="shared" si="112"/>
        <v>5920.7749570433498</v>
      </c>
      <c r="AY251" s="251">
        <f t="shared" si="112"/>
        <v>3467.2038895916357</v>
      </c>
      <c r="AZ251" s="251">
        <f t="shared" si="112"/>
        <v>244.83514212024943</v>
      </c>
      <c r="BA251" s="251">
        <f t="shared" si="112"/>
        <v>133961.69256902495</v>
      </c>
      <c r="BB251" s="251">
        <f t="shared" si="112"/>
        <v>2655.9012669170666</v>
      </c>
      <c r="BC251" s="251">
        <f t="shared" si="109"/>
        <v>146250.40782469723</v>
      </c>
      <c r="BD251" s="270">
        <f t="shared" si="111"/>
        <v>7.1065363081819299</v>
      </c>
      <c r="BY251" s="252">
        <f t="shared" si="104"/>
        <v>0.28769972563247431</v>
      </c>
      <c r="BZ251" s="252">
        <f t="shared" si="104"/>
        <v>0.16847686577932167</v>
      </c>
      <c r="CA251" s="252">
        <f t="shared" si="104"/>
        <v>1.1896922906922755E-2</v>
      </c>
      <c r="CB251" s="252">
        <f t="shared" si="104"/>
        <v>6.509408392818969</v>
      </c>
      <c r="CC251" s="252">
        <f t="shared" si="104"/>
        <v>0.12905440104424265</v>
      </c>
    </row>
    <row r="252" spans="1:81">
      <c r="A252" s="11">
        <v>47300</v>
      </c>
      <c r="B252" s="268">
        <v>70</v>
      </c>
      <c r="C252" s="268">
        <v>13</v>
      </c>
      <c r="D252" s="268">
        <f t="shared" si="107"/>
        <v>20</v>
      </c>
      <c r="E252" s="268">
        <v>3</v>
      </c>
      <c r="F252" s="269">
        <v>0.2</v>
      </c>
      <c r="G252" s="269">
        <v>1.32</v>
      </c>
      <c r="H252" s="269"/>
      <c r="I252" s="269">
        <v>5</v>
      </c>
      <c r="J252" s="269"/>
      <c r="K252" s="269"/>
      <c r="L252" s="269"/>
      <c r="M252" s="269">
        <f t="shared" si="105"/>
        <v>1.5</v>
      </c>
      <c r="N252" s="269">
        <v>45</v>
      </c>
      <c r="O252" s="269">
        <f t="shared" si="114"/>
        <v>17.699535849485258</v>
      </c>
      <c r="Q252" s="251">
        <f t="shared" si="95"/>
        <v>176.71953584948523</v>
      </c>
      <c r="R252" s="251">
        <f>'RD Plant List'!N120</f>
        <v>664.33</v>
      </c>
      <c r="S252" s="251">
        <f>SUM(B252:O252)+'RD Plant List'!N120</f>
        <v>841.04953584948521</v>
      </c>
      <c r="T252" s="237">
        <f t="shared" si="113"/>
        <v>0.7898821314121609</v>
      </c>
      <c r="U252" s="251">
        <f t="shared" si="101"/>
        <v>560.86708759863961</v>
      </c>
      <c r="V252" s="271">
        <f t="shared" si="89"/>
        <v>0.66686570016609914</v>
      </c>
      <c r="W252" s="251">
        <f t="shared" si="98"/>
        <v>46.738923966553301</v>
      </c>
      <c r="X252" s="242">
        <f t="shared" si="99"/>
        <v>7.1065362622753145</v>
      </c>
      <c r="Y252" s="273">
        <f t="shared" si="100"/>
        <v>7.1065362622753145</v>
      </c>
      <c r="AB252" s="251">
        <f>SUM('BD Feedstock'!C250,'BD Feedstock'!E250,'BD Feedstock'!G250,'BD Feedstock'!K250,'BD Feedstock'!T250)</f>
        <v>21.812796010427753</v>
      </c>
      <c r="AC252" s="251">
        <f>SUM('BD Feedstock'!D250,'BD Feedstock'!F250,'BD Feedstock'!H250,'BD Feedstock'!I250,'BD Feedstock'!L250,'BD Feedstock'!M250,'BD Feedstock'!N250,'BD Feedstock'!O250,'BD Feedstock'!U250)</f>
        <v>12.773566250859661</v>
      </c>
      <c r="AD252" s="251">
        <f>'BD Feedstock'!J250</f>
        <v>0.90199999999999991</v>
      </c>
      <c r="AE252" s="251">
        <f>SUM('BD Feedstock'!B250,'BD Feedstock'!P250,'BD Feedstock'!Q250,'BD Feedstock'!R250)</f>
        <v>70.93020833333334</v>
      </c>
      <c r="AF252" s="251">
        <f>'BD Feedstock'!S250</f>
        <v>1.40625</v>
      </c>
      <c r="AG252" s="251">
        <f t="shared" si="90"/>
        <v>107.82482059462075</v>
      </c>
      <c r="AK252" s="237">
        <f t="shared" si="103"/>
        <v>0.20229846792359021</v>
      </c>
      <c r="AL252" s="237">
        <f t="shared" si="102"/>
        <v>0.11846591703484753</v>
      </c>
      <c r="AM252" s="237">
        <f t="shared" si="102"/>
        <v>8.3654208282077092E-3</v>
      </c>
      <c r="AN252" s="237">
        <f t="shared" si="102"/>
        <v>0.65782820636449979</v>
      </c>
      <c r="AO252" s="237">
        <f t="shared" si="102"/>
        <v>1.304198784885487E-2</v>
      </c>
      <c r="AP252" s="237">
        <f t="shared" si="91"/>
        <v>1</v>
      </c>
      <c r="AQ252" s="237"/>
      <c r="AR252" s="237">
        <f t="shared" si="92"/>
        <v>0.61464645366918802</v>
      </c>
      <c r="AS252" s="237">
        <f t="shared" si="93"/>
        <v>0.35993676340465403</v>
      </c>
      <c r="AT252" s="237">
        <f t="shared" si="94"/>
        <v>2.5416782926158003E-2</v>
      </c>
      <c r="AU252" s="237">
        <f t="shared" si="108"/>
        <v>0.98055959563958928</v>
      </c>
      <c r="AV252" s="237">
        <f t="shared" si="108"/>
        <v>1.9440404360410696E-2</v>
      </c>
      <c r="AX252" s="251">
        <f t="shared" si="112"/>
        <v>6099.3566256394761</v>
      </c>
      <c r="AY252" s="251">
        <f t="shared" si="112"/>
        <v>3571.7812566522912</v>
      </c>
      <c r="AZ252" s="251">
        <f t="shared" si="112"/>
        <v>252.21982884251548</v>
      </c>
      <c r="BA252" s="251">
        <f t="shared" si="112"/>
        <v>138002.22510449548</v>
      </c>
      <c r="BB252" s="251">
        <f t="shared" si="112"/>
        <v>2736.0081637035964</v>
      </c>
      <c r="BC252" s="251">
        <f t="shared" si="109"/>
        <v>150661.59097933336</v>
      </c>
      <c r="BD252" s="270">
        <f t="shared" si="111"/>
        <v>7.1065362622753154</v>
      </c>
      <c r="BY252" s="252">
        <f t="shared" si="104"/>
        <v>0.28769972993715387</v>
      </c>
      <c r="BZ252" s="252">
        <f t="shared" si="104"/>
        <v>0.16847686830014064</v>
      </c>
      <c r="CA252" s="252">
        <f t="shared" si="104"/>
        <v>1.1896923084929319E-2</v>
      </c>
      <c r="CB252" s="252">
        <f t="shared" si="104"/>
        <v>6.5094083409374424</v>
      </c>
      <c r="CC252" s="252">
        <f t="shared" si="104"/>
        <v>0.1290544000156485</v>
      </c>
    </row>
    <row r="253" spans="1:81">
      <c r="A253" s="11">
        <v>47331</v>
      </c>
      <c r="B253" s="268">
        <v>70</v>
      </c>
      <c r="C253" s="268">
        <v>13</v>
      </c>
      <c r="D253" s="268">
        <f t="shared" si="107"/>
        <v>20</v>
      </c>
      <c r="E253" s="268">
        <v>3</v>
      </c>
      <c r="F253" s="269">
        <v>0.2</v>
      </c>
      <c r="G253" s="269">
        <v>1.32</v>
      </c>
      <c r="H253" s="269"/>
      <c r="I253" s="269">
        <v>5</v>
      </c>
      <c r="J253" s="269"/>
      <c r="K253" s="269"/>
      <c r="L253" s="269"/>
      <c r="M253" s="269">
        <f t="shared" si="105"/>
        <v>1.5</v>
      </c>
      <c r="N253" s="269">
        <v>45</v>
      </c>
      <c r="O253" s="269">
        <f t="shared" si="114"/>
        <v>17.699535849485258</v>
      </c>
      <c r="Q253" s="251">
        <f t="shared" si="95"/>
        <v>176.71953584948523</v>
      </c>
      <c r="R253" s="251">
        <f>'RD Plant List'!N121</f>
        <v>664.33</v>
      </c>
      <c r="S253" s="251">
        <f>SUM(B253:O253)+'RD Plant List'!N121</f>
        <v>841.04953584948521</v>
      </c>
      <c r="T253" s="237">
        <f t="shared" si="113"/>
        <v>0.7898821314121609</v>
      </c>
      <c r="U253" s="251">
        <f t="shared" si="101"/>
        <v>527.54454665832384</v>
      </c>
      <c r="V253" s="271">
        <f t="shared" si="89"/>
        <v>0.6272455119132645</v>
      </c>
      <c r="W253" s="251">
        <f t="shared" si="98"/>
        <v>43.962045554860318</v>
      </c>
      <c r="X253" s="242">
        <f t="shared" si="99"/>
        <v>7.1065362880544169</v>
      </c>
      <c r="Y253" s="273">
        <f t="shared" si="100"/>
        <v>7.1065362880544169</v>
      </c>
      <c r="AB253" s="251">
        <f>SUM('BD Feedstock'!C251,'BD Feedstock'!E251,'BD Feedstock'!G251,'BD Feedstock'!K251,'BD Feedstock'!T251)</f>
        <v>21.812796010427753</v>
      </c>
      <c r="AC253" s="251">
        <f>SUM('BD Feedstock'!D251,'BD Feedstock'!F251,'BD Feedstock'!H251,'BD Feedstock'!I251,'BD Feedstock'!L251,'BD Feedstock'!M251,'BD Feedstock'!N251,'BD Feedstock'!O251,'BD Feedstock'!U251)</f>
        <v>12.773566250859661</v>
      </c>
      <c r="AD253" s="251">
        <f>'BD Feedstock'!J251</f>
        <v>0.90199999999999991</v>
      </c>
      <c r="AE253" s="251">
        <f>SUM('BD Feedstock'!B251,'BD Feedstock'!P251,'BD Feedstock'!Q251,'BD Feedstock'!R251)</f>
        <v>70.93020833333334</v>
      </c>
      <c r="AF253" s="251">
        <f>'BD Feedstock'!S251</f>
        <v>1.40625</v>
      </c>
      <c r="AG253" s="251">
        <f t="shared" si="90"/>
        <v>107.82482059462075</v>
      </c>
      <c r="AK253" s="237">
        <f t="shared" si="103"/>
        <v>0.20229846792359021</v>
      </c>
      <c r="AL253" s="237">
        <f t="shared" si="102"/>
        <v>0.11846591703484753</v>
      </c>
      <c r="AM253" s="237">
        <f t="shared" si="102"/>
        <v>8.3654208282077092E-3</v>
      </c>
      <c r="AN253" s="237">
        <f t="shared" si="102"/>
        <v>0.65782820636449979</v>
      </c>
      <c r="AO253" s="237">
        <f t="shared" si="102"/>
        <v>1.304198784885487E-2</v>
      </c>
      <c r="AP253" s="237">
        <f t="shared" si="91"/>
        <v>1</v>
      </c>
      <c r="AQ253" s="237"/>
      <c r="AR253" s="237">
        <f t="shared" si="92"/>
        <v>0.61464645366918802</v>
      </c>
      <c r="AS253" s="237">
        <f t="shared" si="93"/>
        <v>0.35993676340465403</v>
      </c>
      <c r="AT253" s="237">
        <f t="shared" si="94"/>
        <v>2.5416782926158003E-2</v>
      </c>
      <c r="AU253" s="237">
        <f t="shared" si="108"/>
        <v>0.98055959563958928</v>
      </c>
      <c r="AV253" s="237">
        <f t="shared" si="108"/>
        <v>1.9440404360410696E-2</v>
      </c>
      <c r="AX253" s="251">
        <f t="shared" si="112"/>
        <v>5736.9784071544555</v>
      </c>
      <c r="AY253" s="251">
        <f t="shared" si="112"/>
        <v>3359.5726897416534</v>
      </c>
      <c r="AZ253" s="251">
        <f t="shared" si="112"/>
        <v>237.23481028197753</v>
      </c>
      <c r="BA253" s="251">
        <f t="shared" si="112"/>
        <v>129803.16210645782</v>
      </c>
      <c r="BB253" s="251">
        <f t="shared" si="112"/>
        <v>2573.454963707255</v>
      </c>
      <c r="BC253" s="251">
        <f t="shared" si="109"/>
        <v>141710.40297734315</v>
      </c>
      <c r="BD253" s="270">
        <f t="shared" si="111"/>
        <v>7.1065362880544169</v>
      </c>
      <c r="BY253" s="252">
        <f t="shared" si="104"/>
        <v>0.2876997339478749</v>
      </c>
      <c r="BZ253" s="252">
        <f t="shared" si="104"/>
        <v>0.16847687064881747</v>
      </c>
      <c r="CA253" s="252">
        <f t="shared" si="104"/>
        <v>1.189692325078015E-2</v>
      </c>
      <c r="CB253" s="252">
        <f t="shared" si="104"/>
        <v>6.5094083598169927</v>
      </c>
      <c r="CC253" s="252">
        <f t="shared" si="104"/>
        <v>0.12905440038995117</v>
      </c>
    </row>
    <row r="254" spans="1:81">
      <c r="A254" s="11">
        <v>47362</v>
      </c>
      <c r="B254" s="268">
        <v>70</v>
      </c>
      <c r="C254" s="268">
        <v>13</v>
      </c>
      <c r="D254" s="268">
        <f t="shared" si="107"/>
        <v>20</v>
      </c>
      <c r="E254" s="268">
        <v>3</v>
      </c>
      <c r="F254" s="269">
        <v>0.2</v>
      </c>
      <c r="G254" s="269">
        <v>1.32</v>
      </c>
      <c r="H254" s="269"/>
      <c r="I254" s="269">
        <v>5</v>
      </c>
      <c r="J254" s="269"/>
      <c r="K254" s="269"/>
      <c r="L254" s="269"/>
      <c r="M254" s="269">
        <f t="shared" si="105"/>
        <v>1.5</v>
      </c>
      <c r="N254" s="269">
        <v>45</v>
      </c>
      <c r="O254" s="269">
        <f t="shared" si="114"/>
        <v>17.699535849485258</v>
      </c>
      <c r="Q254" s="251">
        <f t="shared" si="95"/>
        <v>176.71953584948523</v>
      </c>
      <c r="R254" s="251">
        <f>'RD Plant List'!N122</f>
        <v>664.33</v>
      </c>
      <c r="S254" s="251">
        <f>SUM(B254:O254)+'RD Plant List'!N122</f>
        <v>841.04953584948521</v>
      </c>
      <c r="T254" s="237">
        <f t="shared" si="113"/>
        <v>0.7898821314121609</v>
      </c>
      <c r="U254" s="251">
        <f t="shared" si="101"/>
        <v>569.35785912166318</v>
      </c>
      <c r="V254" s="271">
        <f t="shared" si="89"/>
        <v>0.67696114777186667</v>
      </c>
      <c r="W254" s="251">
        <f t="shared" si="98"/>
        <v>47.446488260138601</v>
      </c>
      <c r="X254" s="242">
        <f t="shared" si="99"/>
        <v>7.1065363276840978</v>
      </c>
      <c r="Y254" s="273">
        <f t="shared" si="100"/>
        <v>7.1065363276840978</v>
      </c>
      <c r="AB254" s="251">
        <f>SUM('BD Feedstock'!C252,'BD Feedstock'!E252,'BD Feedstock'!G252,'BD Feedstock'!K252,'BD Feedstock'!T252)</f>
        <v>21.812796010427753</v>
      </c>
      <c r="AC254" s="251">
        <f>SUM('BD Feedstock'!D252,'BD Feedstock'!F252,'BD Feedstock'!H252,'BD Feedstock'!I252,'BD Feedstock'!L252,'BD Feedstock'!M252,'BD Feedstock'!N252,'BD Feedstock'!O252,'BD Feedstock'!U252)</f>
        <v>12.773566250859661</v>
      </c>
      <c r="AD254" s="251">
        <f>'BD Feedstock'!J252</f>
        <v>0.90199999999999991</v>
      </c>
      <c r="AE254" s="251">
        <f>SUM('BD Feedstock'!B252,'BD Feedstock'!P252,'BD Feedstock'!Q252,'BD Feedstock'!R252)</f>
        <v>70.93020833333334</v>
      </c>
      <c r="AF254" s="251">
        <f>'BD Feedstock'!S252</f>
        <v>1.40625</v>
      </c>
      <c r="AG254" s="251">
        <f t="shared" si="90"/>
        <v>107.82482059462075</v>
      </c>
      <c r="AK254" s="237">
        <f t="shared" si="103"/>
        <v>0.20229846792359021</v>
      </c>
      <c r="AL254" s="237">
        <f t="shared" si="102"/>
        <v>0.11846591703484753</v>
      </c>
      <c r="AM254" s="237">
        <f t="shared" si="102"/>
        <v>8.3654208282077092E-3</v>
      </c>
      <c r="AN254" s="237">
        <f t="shared" si="102"/>
        <v>0.65782820636449979</v>
      </c>
      <c r="AO254" s="237">
        <f t="shared" si="102"/>
        <v>1.304198784885487E-2</v>
      </c>
      <c r="AP254" s="237">
        <f t="shared" si="91"/>
        <v>1</v>
      </c>
      <c r="AQ254" s="237"/>
      <c r="AR254" s="237">
        <f t="shared" si="92"/>
        <v>0.61464645366918802</v>
      </c>
      <c r="AS254" s="237">
        <f t="shared" si="93"/>
        <v>0.35993676340465403</v>
      </c>
      <c r="AT254" s="237">
        <f t="shared" si="94"/>
        <v>2.5416782926158003E-2</v>
      </c>
      <c r="AU254" s="237">
        <f t="shared" si="108"/>
        <v>0.98055959563958928</v>
      </c>
      <c r="AV254" s="237">
        <f t="shared" si="108"/>
        <v>1.9440404360410696E-2</v>
      </c>
      <c r="AX254" s="251">
        <f t="shared" si="112"/>
        <v>6191.6927501750715</v>
      </c>
      <c r="AY254" s="251">
        <f t="shared" si="112"/>
        <v>3625.8532611554824</v>
      </c>
      <c r="AZ254" s="251">
        <f t="shared" si="112"/>
        <v>256.03810066293181</v>
      </c>
      <c r="BA254" s="251">
        <f t="shared" si="112"/>
        <v>140091.39397145933</v>
      </c>
      <c r="BB254" s="251">
        <f t="shared" si="112"/>
        <v>2777.4276630706563</v>
      </c>
      <c r="BC254" s="251">
        <f t="shared" si="109"/>
        <v>152942.40574652347</v>
      </c>
      <c r="BD254" s="270">
        <f t="shared" si="111"/>
        <v>7.1065363276840969</v>
      </c>
      <c r="BY254" s="252">
        <f t="shared" si="104"/>
        <v>0.28769973405480842</v>
      </c>
      <c r="BZ254" s="252">
        <f t="shared" si="104"/>
        <v>0.16847687071143777</v>
      </c>
      <c r="CA254" s="252">
        <f t="shared" si="104"/>
        <v>1.1896923255202051E-2</v>
      </c>
      <c r="CB254" s="252">
        <f t="shared" si="104"/>
        <v>6.5094083985056637</v>
      </c>
      <c r="CC254" s="252">
        <f t="shared" si="104"/>
        <v>0.12905440115698605</v>
      </c>
    </row>
    <row r="255" spans="1:81">
      <c r="A255" s="11">
        <v>47392</v>
      </c>
      <c r="B255" s="268">
        <v>70</v>
      </c>
      <c r="C255" s="268">
        <v>13</v>
      </c>
      <c r="D255" s="268">
        <f t="shared" si="107"/>
        <v>20</v>
      </c>
      <c r="E255" s="268">
        <v>3</v>
      </c>
      <c r="F255" s="269">
        <v>0.2</v>
      </c>
      <c r="G255" s="269">
        <v>1.32</v>
      </c>
      <c r="H255" s="269"/>
      <c r="I255" s="269">
        <v>5</v>
      </c>
      <c r="J255" s="269"/>
      <c r="K255" s="269"/>
      <c r="L255" s="269"/>
      <c r="M255" s="269">
        <f t="shared" si="105"/>
        <v>1.5</v>
      </c>
      <c r="N255" s="269">
        <v>45</v>
      </c>
      <c r="O255" s="269">
        <f t="shared" si="114"/>
        <v>17.699535849485258</v>
      </c>
      <c r="Q255" s="251">
        <f t="shared" si="95"/>
        <v>176.71953584948523</v>
      </c>
      <c r="R255" s="251">
        <f>'RD Plant List'!N123</f>
        <v>664.33</v>
      </c>
      <c r="S255" s="251">
        <f>SUM(B255:O255)+'RD Plant List'!N123</f>
        <v>841.04953584948521</v>
      </c>
      <c r="T255" s="237">
        <f t="shared" si="113"/>
        <v>0.7898821314121609</v>
      </c>
      <c r="U255" s="251">
        <f t="shared" si="101"/>
        <v>595.02390417436868</v>
      </c>
      <c r="V255" s="271">
        <f t="shared" si="89"/>
        <v>0.70747783431492739</v>
      </c>
      <c r="W255" s="251">
        <f t="shared" si="98"/>
        <v>49.585325347864057</v>
      </c>
      <c r="X255" s="242">
        <f t="shared" si="99"/>
        <v>7.1065363376191817</v>
      </c>
      <c r="Y255" s="273">
        <f t="shared" si="100"/>
        <v>7.1065363376191817</v>
      </c>
      <c r="AB255" s="251">
        <f>SUM('BD Feedstock'!C253,'BD Feedstock'!E253,'BD Feedstock'!G253,'BD Feedstock'!K253,'BD Feedstock'!T253)</f>
        <v>21.812796010427753</v>
      </c>
      <c r="AC255" s="251">
        <f>SUM('BD Feedstock'!D253,'BD Feedstock'!F253,'BD Feedstock'!H253,'BD Feedstock'!I253,'BD Feedstock'!L253,'BD Feedstock'!M253,'BD Feedstock'!N253,'BD Feedstock'!O253,'BD Feedstock'!U253)</f>
        <v>12.773566250859661</v>
      </c>
      <c r="AD255" s="251">
        <f>'BD Feedstock'!J253</f>
        <v>0.90199999999999991</v>
      </c>
      <c r="AE255" s="251">
        <f>SUM('BD Feedstock'!B253,'BD Feedstock'!P253,'BD Feedstock'!Q253,'BD Feedstock'!R253)</f>
        <v>70.93020833333334</v>
      </c>
      <c r="AF255" s="251">
        <f>'BD Feedstock'!S253</f>
        <v>1.40625</v>
      </c>
      <c r="AG255" s="251">
        <f t="shared" si="90"/>
        <v>107.82482059462075</v>
      </c>
      <c r="AK255" s="237">
        <f t="shared" si="103"/>
        <v>0.20229846792359021</v>
      </c>
      <c r="AL255" s="237">
        <f t="shared" si="102"/>
        <v>0.11846591703484753</v>
      </c>
      <c r="AM255" s="237">
        <f t="shared" si="102"/>
        <v>8.3654208282077092E-3</v>
      </c>
      <c r="AN255" s="237">
        <f t="shared" si="102"/>
        <v>0.65782820636449979</v>
      </c>
      <c r="AO255" s="237">
        <f t="shared" si="102"/>
        <v>1.304198784885487E-2</v>
      </c>
      <c r="AP255" s="237">
        <f t="shared" si="91"/>
        <v>1</v>
      </c>
      <c r="AQ255" s="237"/>
      <c r="AR255" s="237">
        <f t="shared" si="92"/>
        <v>0.61464645366918802</v>
      </c>
      <c r="AS255" s="237">
        <f t="shared" si="93"/>
        <v>0.35993676340465403</v>
      </c>
      <c r="AT255" s="237">
        <f t="shared" si="94"/>
        <v>2.5416782926158003E-2</v>
      </c>
      <c r="AU255" s="237">
        <f t="shared" si="108"/>
        <v>0.98055959563958928</v>
      </c>
      <c r="AV255" s="237">
        <f t="shared" si="108"/>
        <v>1.9440404360410696E-2</v>
      </c>
      <c r="AX255" s="251">
        <f t="shared" si="112"/>
        <v>6470.8076065588566</v>
      </c>
      <c r="AY255" s="251">
        <f t="shared" si="112"/>
        <v>3789.3028302943053</v>
      </c>
      <c r="AZ255" s="251">
        <f t="shared" si="112"/>
        <v>267.58002313531074</v>
      </c>
      <c r="BA255" s="251">
        <f t="shared" si="112"/>
        <v>146406.56489776284</v>
      </c>
      <c r="BB255" s="251">
        <f t="shared" si="112"/>
        <v>2902.631145814988</v>
      </c>
      <c r="BC255" s="251">
        <f t="shared" si="109"/>
        <v>159836.88650356632</v>
      </c>
      <c r="BD255" s="270">
        <f t="shared" si="111"/>
        <v>7.1065363376191817</v>
      </c>
      <c r="BY255" s="252">
        <f t="shared" si="104"/>
        <v>0.28769973186838249</v>
      </c>
      <c r="BZ255" s="252">
        <f t="shared" si="104"/>
        <v>0.16847686943106746</v>
      </c>
      <c r="CA255" s="252">
        <f t="shared" si="104"/>
        <v>1.189692316478924E-2</v>
      </c>
      <c r="CB255" s="252">
        <f t="shared" si="104"/>
        <v>6.5094084117356594</v>
      </c>
      <c r="CC255" s="252">
        <f t="shared" si="104"/>
        <v>0.12905440141928165</v>
      </c>
    </row>
    <row r="256" spans="1:81">
      <c r="A256" s="11">
        <v>47423</v>
      </c>
      <c r="B256" s="268">
        <v>70</v>
      </c>
      <c r="C256" s="268">
        <v>13</v>
      </c>
      <c r="D256" s="268">
        <f t="shared" si="107"/>
        <v>20</v>
      </c>
      <c r="E256" s="268">
        <v>3</v>
      </c>
      <c r="F256" s="269">
        <v>0.2</v>
      </c>
      <c r="G256" s="269">
        <v>1.32</v>
      </c>
      <c r="H256" s="269"/>
      <c r="I256" s="269">
        <v>5</v>
      </c>
      <c r="J256" s="269"/>
      <c r="K256" s="269"/>
      <c r="L256" s="269"/>
      <c r="M256" s="269">
        <f t="shared" si="105"/>
        <v>1.5</v>
      </c>
      <c r="N256" s="269">
        <v>45</v>
      </c>
      <c r="O256" s="269">
        <f t="shared" si="114"/>
        <v>17.699535849485258</v>
      </c>
      <c r="Q256" s="251">
        <f t="shared" si="95"/>
        <v>176.71953584948523</v>
      </c>
      <c r="R256" s="251">
        <f>'RD Plant List'!N124</f>
        <v>664.33</v>
      </c>
      <c r="S256" s="251">
        <f>SUM(B256:O256)+'RD Plant List'!N124</f>
        <v>841.04953584948521</v>
      </c>
      <c r="T256" s="237">
        <f t="shared" si="113"/>
        <v>0.7898821314121609</v>
      </c>
      <c r="U256" s="251">
        <f t="shared" si="101"/>
        <v>641.13121141276508</v>
      </c>
      <c r="V256" s="271">
        <f t="shared" si="89"/>
        <v>0.76229898963704124</v>
      </c>
      <c r="W256" s="251">
        <f t="shared" si="98"/>
        <v>53.427600951063759</v>
      </c>
      <c r="X256" s="242">
        <f t="shared" si="99"/>
        <v>7.106536321824735</v>
      </c>
      <c r="Y256" s="273">
        <f t="shared" si="100"/>
        <v>7.106536321824735</v>
      </c>
      <c r="AB256" s="251">
        <f>SUM('BD Feedstock'!C254,'BD Feedstock'!E254,'BD Feedstock'!G254,'BD Feedstock'!K254,'BD Feedstock'!T254)</f>
        <v>21.812796010427753</v>
      </c>
      <c r="AC256" s="251">
        <f>SUM('BD Feedstock'!D254,'BD Feedstock'!F254,'BD Feedstock'!H254,'BD Feedstock'!I254,'BD Feedstock'!L254,'BD Feedstock'!M254,'BD Feedstock'!N254,'BD Feedstock'!O254,'BD Feedstock'!U254)</f>
        <v>12.773566250859661</v>
      </c>
      <c r="AD256" s="251">
        <f>'BD Feedstock'!J254</f>
        <v>0.90199999999999991</v>
      </c>
      <c r="AE256" s="251">
        <f>SUM('BD Feedstock'!B254,'BD Feedstock'!P254,'BD Feedstock'!Q254,'BD Feedstock'!R254)</f>
        <v>70.93020833333334</v>
      </c>
      <c r="AF256" s="251">
        <f>'BD Feedstock'!S254</f>
        <v>1.40625</v>
      </c>
      <c r="AG256" s="251">
        <f t="shared" si="90"/>
        <v>107.82482059462075</v>
      </c>
      <c r="AK256" s="237">
        <f t="shared" si="103"/>
        <v>0.20229846792359021</v>
      </c>
      <c r="AL256" s="237">
        <f t="shared" si="102"/>
        <v>0.11846591703484753</v>
      </c>
      <c r="AM256" s="237">
        <f t="shared" si="102"/>
        <v>8.3654208282077092E-3</v>
      </c>
      <c r="AN256" s="237">
        <f t="shared" si="102"/>
        <v>0.65782820636449979</v>
      </c>
      <c r="AO256" s="237">
        <f t="shared" si="102"/>
        <v>1.304198784885487E-2</v>
      </c>
      <c r="AP256" s="237">
        <f t="shared" si="91"/>
        <v>1</v>
      </c>
      <c r="AQ256" s="237"/>
      <c r="AR256" s="237">
        <f t="shared" si="92"/>
        <v>0.61464645366918802</v>
      </c>
      <c r="AS256" s="237">
        <f t="shared" si="93"/>
        <v>0.35993676340465403</v>
      </c>
      <c r="AT256" s="237">
        <f t="shared" si="94"/>
        <v>2.5416782926158003E-2</v>
      </c>
      <c r="AU256" s="237">
        <f t="shared" si="108"/>
        <v>0.98055959563958928</v>
      </c>
      <c r="AV256" s="237">
        <f t="shared" si="108"/>
        <v>1.9440404360410696E-2</v>
      </c>
      <c r="AX256" s="251">
        <f>AVERAGE(BY250:BY255)*$W256/2204.622*1000000</f>
        <v>6972.2185474973185</v>
      </c>
      <c r="AY256" s="251">
        <f t="shared" si="112"/>
        <v>4082.9289142645343</v>
      </c>
      <c r="AZ256" s="251">
        <f t="shared" si="112"/>
        <v>288.31430536626726</v>
      </c>
      <c r="BA256" s="251">
        <f t="shared" si="112"/>
        <v>157751.33983645539</v>
      </c>
      <c r="BB256" s="251">
        <f t="shared" si="112"/>
        <v>3127.5506847872016</v>
      </c>
      <c r="BC256" s="251">
        <f t="shared" si="109"/>
        <v>172222.35228837069</v>
      </c>
      <c r="BD256" s="270">
        <f t="shared" si="111"/>
        <v>7.106536321824735</v>
      </c>
      <c r="BY256" s="252">
        <f t="shared" si="104"/>
        <v>0.28769973056996467</v>
      </c>
      <c r="BZ256" s="252">
        <f t="shared" si="104"/>
        <v>0.16847686867071443</v>
      </c>
      <c r="CA256" s="252">
        <f t="shared" si="104"/>
        <v>1.1896923111097231E-2</v>
      </c>
      <c r="CB256" s="252">
        <f t="shared" si="104"/>
        <v>6.5094083983196604</v>
      </c>
      <c r="CC256" s="252">
        <f t="shared" si="104"/>
        <v>0.12905440115329841</v>
      </c>
    </row>
    <row r="257" spans="1:81">
      <c r="A257" s="11">
        <v>47453</v>
      </c>
      <c r="B257" s="268">
        <v>70</v>
      </c>
      <c r="C257" s="268">
        <v>13</v>
      </c>
      <c r="D257" s="268">
        <f t="shared" si="107"/>
        <v>20</v>
      </c>
      <c r="E257" s="268">
        <v>3</v>
      </c>
      <c r="F257" s="269">
        <v>0.2</v>
      </c>
      <c r="G257" s="269">
        <v>1.32</v>
      </c>
      <c r="H257" s="269"/>
      <c r="I257" s="269">
        <v>5</v>
      </c>
      <c r="J257" s="269"/>
      <c r="K257" s="269"/>
      <c r="L257" s="269"/>
      <c r="M257" s="269">
        <f t="shared" si="105"/>
        <v>1.5</v>
      </c>
      <c r="N257" s="269">
        <v>45</v>
      </c>
      <c r="O257" s="269">
        <f t="shared" si="114"/>
        <v>17.699535849485258</v>
      </c>
      <c r="Q257" s="251">
        <f t="shared" si="95"/>
        <v>176.71953584948523</v>
      </c>
      <c r="R257" s="251">
        <f>'RD Plant List'!N125</f>
        <v>664.33</v>
      </c>
      <c r="S257" s="251">
        <f>SUM(B257:O257)+'RD Plant List'!N125</f>
        <v>841.04953584948521</v>
      </c>
      <c r="T257" s="237">
        <f t="shared" si="113"/>
        <v>0.7898821314121609</v>
      </c>
      <c r="U257" s="251">
        <f t="shared" si="101"/>
        <v>583.15796880007474</v>
      </c>
      <c r="V257" s="271">
        <f t="shared" si="89"/>
        <v>0.69336934858547628</v>
      </c>
      <c r="W257" s="251">
        <f t="shared" si="98"/>
        <v>48.596497400006228</v>
      </c>
      <c r="X257" s="242">
        <f t="shared" si="99"/>
        <v>7.1065363076066124</v>
      </c>
      <c r="Y257" s="273">
        <f t="shared" si="100"/>
        <v>7.1065363076066124</v>
      </c>
      <c r="AB257" s="251">
        <f>SUM('BD Feedstock'!C255,'BD Feedstock'!E255,'BD Feedstock'!G255,'BD Feedstock'!K255,'BD Feedstock'!T255)</f>
        <v>21.812796010427753</v>
      </c>
      <c r="AC257" s="251">
        <f>SUM('BD Feedstock'!D255,'BD Feedstock'!F255,'BD Feedstock'!H255,'BD Feedstock'!I255,'BD Feedstock'!L255,'BD Feedstock'!M255,'BD Feedstock'!N255,'BD Feedstock'!O255,'BD Feedstock'!U255)</f>
        <v>12.773566250859661</v>
      </c>
      <c r="AD257" s="251">
        <f>'BD Feedstock'!J255</f>
        <v>0.90199999999999991</v>
      </c>
      <c r="AE257" s="251">
        <f>SUM('BD Feedstock'!B255,'BD Feedstock'!P255,'BD Feedstock'!Q255,'BD Feedstock'!R255)</f>
        <v>70.93020833333334</v>
      </c>
      <c r="AF257" s="251">
        <f>'BD Feedstock'!S255</f>
        <v>1.40625</v>
      </c>
      <c r="AG257" s="251">
        <f t="shared" si="90"/>
        <v>107.82482059462075</v>
      </c>
      <c r="AK257" s="237">
        <f t="shared" si="103"/>
        <v>0.20229846792359021</v>
      </c>
      <c r="AL257" s="237">
        <f t="shared" si="102"/>
        <v>0.11846591703484753</v>
      </c>
      <c r="AM257" s="237">
        <f t="shared" si="102"/>
        <v>8.3654208282077092E-3</v>
      </c>
      <c r="AN257" s="237">
        <f t="shared" si="102"/>
        <v>0.65782820636449979</v>
      </c>
      <c r="AO257" s="237">
        <f t="shared" si="102"/>
        <v>1.304198784885487E-2</v>
      </c>
      <c r="AP257" s="237">
        <f t="shared" si="91"/>
        <v>1</v>
      </c>
      <c r="AQ257" s="237"/>
      <c r="AR257" s="237">
        <f t="shared" si="92"/>
        <v>0.61464645366918802</v>
      </c>
      <c r="AS257" s="237">
        <f t="shared" si="93"/>
        <v>0.35993676340465403</v>
      </c>
      <c r="AT257" s="237">
        <f t="shared" si="94"/>
        <v>2.5416782926158003E-2</v>
      </c>
      <c r="AU257" s="237">
        <f t="shared" si="108"/>
        <v>0.98055959563958928</v>
      </c>
      <c r="AV257" s="237">
        <f t="shared" si="108"/>
        <v>1.9440404360410696E-2</v>
      </c>
      <c r="AX257" s="251">
        <f>AVERAGE(BY251:BY256)*$W257/2204.622*1000000</f>
        <v>6341.767082797106</v>
      </c>
      <c r="AY257" s="251">
        <f t="shared" ref="AY257:BB272" si="115">AVERAGE(BZ251:BZ256)*$W257/2204.622*1000000</f>
        <v>3713.7367415394133</v>
      </c>
      <c r="AZ257" s="251">
        <f t="shared" si="115"/>
        <v>262.24395560974204</v>
      </c>
      <c r="BA257" s="251">
        <f t="shared" si="115"/>
        <v>143486.93226935249</v>
      </c>
      <c r="BB257" s="251">
        <f t="shared" si="115"/>
        <v>2844.747016046083</v>
      </c>
      <c r="BC257" s="251">
        <f t="shared" si="109"/>
        <v>156649.42706534482</v>
      </c>
      <c r="BD257" s="270">
        <f t="shared" si="111"/>
        <v>7.1065363076066115</v>
      </c>
      <c r="BY257" s="252">
        <f t="shared" si="104"/>
        <v>0.28769973100177643</v>
      </c>
      <c r="BZ257" s="252">
        <f t="shared" si="104"/>
        <v>0.16847686892358327</v>
      </c>
      <c r="CA257" s="252">
        <f t="shared" si="104"/>
        <v>1.1896923128953459E-2</v>
      </c>
      <c r="CB257" s="252">
        <f t="shared" si="104"/>
        <v>6.509408383689065</v>
      </c>
      <c r="CC257" s="252">
        <f t="shared" si="104"/>
        <v>0.12905440086323469</v>
      </c>
    </row>
    <row r="258" spans="1:81">
      <c r="A258" s="11">
        <v>47484</v>
      </c>
      <c r="B258" s="268">
        <v>70</v>
      </c>
      <c r="C258" s="268">
        <v>13</v>
      </c>
      <c r="D258" s="268">
        <f t="shared" si="107"/>
        <v>20</v>
      </c>
      <c r="E258" s="268">
        <v>3</v>
      </c>
      <c r="F258" s="269">
        <v>0.2</v>
      </c>
      <c r="G258" s="269">
        <v>1.32</v>
      </c>
      <c r="H258" s="269"/>
      <c r="I258" s="269">
        <v>5</v>
      </c>
      <c r="J258" s="269"/>
      <c r="K258" s="269"/>
      <c r="L258" s="269"/>
      <c r="M258" s="269">
        <f t="shared" si="105"/>
        <v>1.5</v>
      </c>
      <c r="N258" s="269">
        <v>45</v>
      </c>
      <c r="O258" s="269">
        <f t="shared" si="114"/>
        <v>17.699535849485258</v>
      </c>
      <c r="Q258" s="251">
        <f t="shared" si="95"/>
        <v>176.71953584948523</v>
      </c>
      <c r="R258" s="251">
        <f>'RD Plant List'!N126</f>
        <v>664.33</v>
      </c>
      <c r="S258" s="251">
        <f>SUM(B258:O258)+'RD Plant List'!N126</f>
        <v>841.04953584948521</v>
      </c>
      <c r="T258" s="237">
        <f t="shared" si="113"/>
        <v>0.7898821314121609</v>
      </c>
      <c r="U258" s="251">
        <f t="shared" si="101"/>
        <v>477.13149374222962</v>
      </c>
      <c r="V258" s="271">
        <f t="shared" si="89"/>
        <v>0.56730486541474934</v>
      </c>
      <c r="W258" s="251">
        <f t="shared" si="98"/>
        <v>39.760957811852471</v>
      </c>
      <c r="X258" s="242">
        <f t="shared" si="99"/>
        <v>7.1065363075107264</v>
      </c>
      <c r="Y258" s="273">
        <f t="shared" si="100"/>
        <v>7.1065363075107264</v>
      </c>
      <c r="AB258" s="251">
        <f>SUM('BD Feedstock'!C256,'BD Feedstock'!E256,'BD Feedstock'!G256,'BD Feedstock'!K256,'BD Feedstock'!T256)</f>
        <v>21.812796010427753</v>
      </c>
      <c r="AC258" s="251">
        <f>SUM('BD Feedstock'!D256,'BD Feedstock'!F256,'BD Feedstock'!H256,'BD Feedstock'!I256,'BD Feedstock'!L256,'BD Feedstock'!M256,'BD Feedstock'!N256,'BD Feedstock'!O256,'BD Feedstock'!U256)</f>
        <v>12.773566250859661</v>
      </c>
      <c r="AD258" s="251">
        <f>'BD Feedstock'!J256</f>
        <v>0.90199999999999991</v>
      </c>
      <c r="AE258" s="251">
        <f>SUM('BD Feedstock'!B256,'BD Feedstock'!P256,'BD Feedstock'!Q256,'BD Feedstock'!R256)</f>
        <v>70.93020833333334</v>
      </c>
      <c r="AF258" s="251">
        <f>'BD Feedstock'!S256</f>
        <v>1.40625</v>
      </c>
      <c r="AG258" s="251">
        <f t="shared" si="90"/>
        <v>107.82482059462075</v>
      </c>
      <c r="AK258" s="237">
        <f t="shared" si="103"/>
        <v>0.20229846792359021</v>
      </c>
      <c r="AL258" s="237">
        <f t="shared" si="102"/>
        <v>0.11846591703484753</v>
      </c>
      <c r="AM258" s="237">
        <f t="shared" si="102"/>
        <v>8.3654208282077092E-3</v>
      </c>
      <c r="AN258" s="237">
        <f t="shared" si="102"/>
        <v>0.65782820636449979</v>
      </c>
      <c r="AO258" s="237">
        <f t="shared" si="102"/>
        <v>1.304198784885487E-2</v>
      </c>
      <c r="AP258" s="237">
        <f t="shared" si="91"/>
        <v>1</v>
      </c>
      <c r="AQ258" s="237"/>
      <c r="AR258" s="237">
        <f t="shared" si="92"/>
        <v>0.61464645366918802</v>
      </c>
      <c r="AS258" s="237">
        <f t="shared" si="93"/>
        <v>0.35993676340465403</v>
      </c>
      <c r="AT258" s="237">
        <f t="shared" si="94"/>
        <v>2.5416782926158003E-2</v>
      </c>
      <c r="AU258" s="237">
        <f t="shared" si="108"/>
        <v>0.98055959563958928</v>
      </c>
      <c r="AV258" s="237">
        <f t="shared" si="108"/>
        <v>1.9440404360410696E-2</v>
      </c>
      <c r="AX258" s="251">
        <f>AVERAGE(BY252:BY257)*$W258/2204.622*1000000-500</f>
        <v>4688.7429692819778</v>
      </c>
      <c r="AY258" s="251">
        <f>AVERAGE(BZ252:BZ257)*$W258/2204.622*1000000+500</f>
        <v>3538.5261955927449</v>
      </c>
      <c r="AZ258" s="251">
        <f t="shared" si="115"/>
        <v>214.56424733697173</v>
      </c>
      <c r="BA258" s="251">
        <f t="shared" si="115"/>
        <v>117398.95186724863</v>
      </c>
      <c r="BB258" s="251">
        <f t="shared" si="115"/>
        <v>2327.5312443391504</v>
      </c>
      <c r="BC258" s="251">
        <f t="shared" si="109"/>
        <v>128168.31652379947</v>
      </c>
      <c r="BD258" s="270">
        <f t="shared" si="111"/>
        <v>7.1065363075107264</v>
      </c>
      <c r="BY258" s="252">
        <f t="shared" si="104"/>
        <v>0.25997628003174034</v>
      </c>
      <c r="BZ258" s="252">
        <f t="shared" si="104"/>
        <v>0.19620032131254669</v>
      </c>
      <c r="CA258" s="252">
        <f t="shared" si="104"/>
        <v>1.1896923165958577E-2</v>
      </c>
      <c r="CB258" s="252">
        <f t="shared" si="104"/>
        <v>6.5094083821674138</v>
      </c>
      <c r="CC258" s="252">
        <f t="shared" si="104"/>
        <v>0.12905440083306677</v>
      </c>
    </row>
    <row r="259" spans="1:81">
      <c r="A259" s="11">
        <v>47515</v>
      </c>
      <c r="B259" s="268">
        <v>70</v>
      </c>
      <c r="C259" s="268">
        <v>13</v>
      </c>
      <c r="D259" s="268">
        <f t="shared" si="107"/>
        <v>20</v>
      </c>
      <c r="E259" s="268">
        <v>3</v>
      </c>
      <c r="F259" s="269">
        <v>0.2</v>
      </c>
      <c r="G259" s="269">
        <v>1.32</v>
      </c>
      <c r="H259" s="269"/>
      <c r="I259" s="269">
        <v>5</v>
      </c>
      <c r="J259" s="269"/>
      <c r="K259" s="269"/>
      <c r="L259" s="269"/>
      <c r="M259" s="269">
        <f t="shared" si="105"/>
        <v>1.5</v>
      </c>
      <c r="N259" s="269">
        <v>45</v>
      </c>
      <c r="O259" s="269">
        <f t="shared" si="114"/>
        <v>17.699535849485258</v>
      </c>
      <c r="Q259" s="251">
        <f t="shared" si="95"/>
        <v>176.71953584948523</v>
      </c>
      <c r="R259" s="251">
        <f>'RD Plant List'!N127</f>
        <v>664.33</v>
      </c>
      <c r="S259" s="251">
        <f>SUM(B259:O259)+'RD Plant List'!N127</f>
        <v>841.04953584948521</v>
      </c>
      <c r="T259" s="237">
        <f t="shared" si="113"/>
        <v>0.7898821314121609</v>
      </c>
      <c r="U259" s="251">
        <f t="shared" si="101"/>
        <v>442.86327689996045</v>
      </c>
      <c r="V259" s="271">
        <f t="shared" si="89"/>
        <v>0.52656027739514211</v>
      </c>
      <c r="W259" s="251">
        <f t="shared" si="98"/>
        <v>36.905273074996707</v>
      </c>
      <c r="X259" s="242">
        <f t="shared" si="99"/>
        <v>7.1065363150499614</v>
      </c>
      <c r="Y259" s="273">
        <f t="shared" si="100"/>
        <v>7.1065363150499614</v>
      </c>
      <c r="AB259" s="251">
        <f>SUM('BD Feedstock'!C257,'BD Feedstock'!E257,'BD Feedstock'!G257,'BD Feedstock'!K257,'BD Feedstock'!T257)</f>
        <v>21.812796010427753</v>
      </c>
      <c r="AC259" s="251">
        <f>SUM('BD Feedstock'!D257,'BD Feedstock'!F257,'BD Feedstock'!H257,'BD Feedstock'!I257,'BD Feedstock'!L257,'BD Feedstock'!M257,'BD Feedstock'!N257,'BD Feedstock'!O257,'BD Feedstock'!U257)</f>
        <v>12.773566250859661</v>
      </c>
      <c r="AD259" s="251">
        <f>'BD Feedstock'!J257</f>
        <v>0.90199999999999991</v>
      </c>
      <c r="AE259" s="251">
        <f>SUM('BD Feedstock'!B257,'BD Feedstock'!P257,'BD Feedstock'!Q257,'BD Feedstock'!R257)</f>
        <v>70.93020833333334</v>
      </c>
      <c r="AF259" s="251">
        <f>'BD Feedstock'!S257</f>
        <v>1.40625</v>
      </c>
      <c r="AG259" s="251">
        <f t="shared" si="90"/>
        <v>107.82482059462075</v>
      </c>
      <c r="AK259" s="237">
        <f t="shared" si="103"/>
        <v>0.20229846792359021</v>
      </c>
      <c r="AL259" s="237">
        <f t="shared" si="102"/>
        <v>0.11846591703484753</v>
      </c>
      <c r="AM259" s="237">
        <f t="shared" si="102"/>
        <v>8.3654208282077092E-3</v>
      </c>
      <c r="AN259" s="237">
        <f t="shared" si="102"/>
        <v>0.65782820636449979</v>
      </c>
      <c r="AO259" s="237">
        <f t="shared" si="102"/>
        <v>1.304198784885487E-2</v>
      </c>
      <c r="AP259" s="237">
        <f t="shared" si="91"/>
        <v>1</v>
      </c>
      <c r="AQ259" s="237"/>
      <c r="AR259" s="237">
        <f t="shared" si="92"/>
        <v>0.61464645366918802</v>
      </c>
      <c r="AS259" s="237">
        <f t="shared" si="93"/>
        <v>0.35993676340465403</v>
      </c>
      <c r="AT259" s="237">
        <f t="shared" si="94"/>
        <v>2.5416782926158003E-2</v>
      </c>
      <c r="AU259" s="237">
        <f t="shared" si="108"/>
        <v>0.98055959563958928</v>
      </c>
      <c r="AV259" s="237">
        <f t="shared" si="108"/>
        <v>1.9440404360410696E-2</v>
      </c>
      <c r="AX259" s="251">
        <f t="shared" ref="AX259:AX267" si="116">AVERAGE(BY253:BY258)*$W259/2204.622*1000000-500</f>
        <v>4238.7323485354273</v>
      </c>
      <c r="AY259" s="251">
        <f t="shared" ref="AY259:AY267" si="117">AVERAGE(BZ253:BZ258)*$W259/2204.622*1000000+500</f>
        <v>3397.6434393073669</v>
      </c>
      <c r="AZ259" s="251">
        <f t="shared" si="115"/>
        <v>199.15395867879246</v>
      </c>
      <c r="BA259" s="251">
        <f t="shared" si="115"/>
        <v>108967.20351795525</v>
      </c>
      <c r="BB259" s="251">
        <f t="shared" si="115"/>
        <v>2160.3648649529273</v>
      </c>
      <c r="BC259" s="251">
        <f t="shared" si="109"/>
        <v>118963.09812942975</v>
      </c>
      <c r="BD259" s="270">
        <f t="shared" si="111"/>
        <v>7.1065363150499614</v>
      </c>
      <c r="BY259" s="252">
        <f t="shared" si="104"/>
        <v>0.25321049836707388</v>
      </c>
      <c r="BZ259" s="252">
        <f t="shared" si="104"/>
        <v>0.20296610349504515</v>
      </c>
      <c r="CA259" s="252">
        <f t="shared" si="104"/>
        <v>1.1896923179463451E-2</v>
      </c>
      <c r="CB259" s="252">
        <f t="shared" si="104"/>
        <v>6.5094083890390761</v>
      </c>
      <c r="CC259" s="252">
        <f t="shared" si="104"/>
        <v>0.12905440096930312</v>
      </c>
    </row>
    <row r="260" spans="1:81">
      <c r="A260" s="11">
        <v>47543</v>
      </c>
      <c r="B260" s="268">
        <v>70</v>
      </c>
      <c r="C260" s="268">
        <v>13</v>
      </c>
      <c r="D260" s="268">
        <f t="shared" si="107"/>
        <v>20</v>
      </c>
      <c r="E260" s="268">
        <v>3</v>
      </c>
      <c r="F260" s="269">
        <v>0.2</v>
      </c>
      <c r="G260" s="269">
        <v>1.32</v>
      </c>
      <c r="H260" s="269"/>
      <c r="I260" s="269">
        <v>5</v>
      </c>
      <c r="J260" s="269"/>
      <c r="K260" s="269"/>
      <c r="L260" s="269"/>
      <c r="M260" s="269">
        <f t="shared" si="105"/>
        <v>1.5</v>
      </c>
      <c r="N260" s="269">
        <v>45</v>
      </c>
      <c r="O260" s="269">
        <f t="shared" si="114"/>
        <v>17.699535849485258</v>
      </c>
      <c r="Q260" s="251">
        <f t="shared" si="95"/>
        <v>176.71953584948523</v>
      </c>
      <c r="R260" s="251">
        <f>'RD Plant List'!N128</f>
        <v>664.33</v>
      </c>
      <c r="S260" s="251">
        <f>SUM(B260:O260)+'RD Plant List'!N128</f>
        <v>841.04953584948521</v>
      </c>
      <c r="T260" s="237">
        <f t="shared" si="113"/>
        <v>0.7898821314121609</v>
      </c>
      <c r="U260" s="251">
        <f t="shared" si="101"/>
        <v>491.74229560564595</v>
      </c>
      <c r="V260" s="271">
        <f t="shared" si="89"/>
        <v>0.58467697162328436</v>
      </c>
      <c r="W260" s="251">
        <f t="shared" si="98"/>
        <v>40.978524633803829</v>
      </c>
      <c r="X260" s="242">
        <f t="shared" si="99"/>
        <v>7.1065363195492175</v>
      </c>
      <c r="Y260" s="273">
        <f t="shared" si="100"/>
        <v>7.1065363195492175</v>
      </c>
      <c r="AB260" s="251">
        <f>SUM('BD Feedstock'!C258,'BD Feedstock'!E258,'BD Feedstock'!G258,'BD Feedstock'!K258,'BD Feedstock'!T258)</f>
        <v>21.812796010427753</v>
      </c>
      <c r="AC260" s="251">
        <f>SUM('BD Feedstock'!D258,'BD Feedstock'!F258,'BD Feedstock'!H258,'BD Feedstock'!I258,'BD Feedstock'!L258,'BD Feedstock'!M258,'BD Feedstock'!N258,'BD Feedstock'!O258,'BD Feedstock'!U258)</f>
        <v>12.773566250859661</v>
      </c>
      <c r="AD260" s="251">
        <f>'BD Feedstock'!J258</f>
        <v>0.90199999999999991</v>
      </c>
      <c r="AE260" s="251">
        <f>SUM('BD Feedstock'!B258,'BD Feedstock'!P258,'BD Feedstock'!Q258,'BD Feedstock'!R258)</f>
        <v>70.93020833333334</v>
      </c>
      <c r="AF260" s="251">
        <f>'BD Feedstock'!S258</f>
        <v>1.40625</v>
      </c>
      <c r="AG260" s="251">
        <f t="shared" si="90"/>
        <v>107.82482059462075</v>
      </c>
      <c r="AK260" s="237">
        <f t="shared" si="103"/>
        <v>0.20229846792359021</v>
      </c>
      <c r="AL260" s="237">
        <f t="shared" si="102"/>
        <v>0.11846591703484753</v>
      </c>
      <c r="AM260" s="237">
        <f t="shared" si="102"/>
        <v>8.3654208282077092E-3</v>
      </c>
      <c r="AN260" s="237">
        <f t="shared" si="102"/>
        <v>0.65782820636449979</v>
      </c>
      <c r="AO260" s="237">
        <f t="shared" si="102"/>
        <v>1.304198784885487E-2</v>
      </c>
      <c r="AP260" s="237">
        <f t="shared" si="91"/>
        <v>1</v>
      </c>
      <c r="AQ260" s="237"/>
      <c r="AR260" s="237">
        <f t="shared" si="92"/>
        <v>0.61464645366918802</v>
      </c>
      <c r="AS260" s="237">
        <f t="shared" si="93"/>
        <v>0.35993676340465403</v>
      </c>
      <c r="AT260" s="237">
        <f t="shared" si="94"/>
        <v>2.5416782926158003E-2</v>
      </c>
      <c r="AU260" s="237">
        <f t="shared" si="108"/>
        <v>0.98055959563958928</v>
      </c>
      <c r="AV260" s="237">
        <f t="shared" si="108"/>
        <v>1.9440404360410696E-2</v>
      </c>
      <c r="AX260" s="251">
        <f t="shared" si="116"/>
        <v>4654.9032925118481</v>
      </c>
      <c r="AY260" s="251">
        <f t="shared" si="117"/>
        <v>3824.3027111002466</v>
      </c>
      <c r="AZ260" s="251">
        <f t="shared" si="115"/>
        <v>221.13467029224935</v>
      </c>
      <c r="BA260" s="251">
        <f t="shared" si="115"/>
        <v>120993.96278423542</v>
      </c>
      <c r="BB260" s="251">
        <f t="shared" si="115"/>
        <v>2398.8053068409081</v>
      </c>
      <c r="BC260" s="251">
        <f t="shared" si="109"/>
        <v>132093.10876498069</v>
      </c>
      <c r="BD260" s="270">
        <f t="shared" si="111"/>
        <v>7.1065363195492184</v>
      </c>
      <c r="BY260" s="252">
        <f t="shared" si="104"/>
        <v>0.25043122704516602</v>
      </c>
      <c r="BZ260" s="252">
        <f t="shared" si="104"/>
        <v>0.20574537436119078</v>
      </c>
      <c r="CA260" s="252">
        <f t="shared" si="104"/>
        <v>1.1896923167577336E-2</v>
      </c>
      <c r="CB260" s="252">
        <f t="shared" si="104"/>
        <v>6.5094083939094212</v>
      </c>
      <c r="CC260" s="252">
        <f t="shared" si="104"/>
        <v>0.12905440106586177</v>
      </c>
    </row>
    <row r="261" spans="1:81">
      <c r="A261" s="11">
        <v>47574</v>
      </c>
      <c r="B261" s="268">
        <v>70</v>
      </c>
      <c r="C261" s="268">
        <v>13</v>
      </c>
      <c r="D261" s="268">
        <f t="shared" si="107"/>
        <v>20</v>
      </c>
      <c r="E261" s="268">
        <v>3</v>
      </c>
      <c r="F261" s="269">
        <v>0.2</v>
      </c>
      <c r="G261" s="269">
        <v>1.32</v>
      </c>
      <c r="H261" s="269"/>
      <c r="I261" s="269">
        <v>5</v>
      </c>
      <c r="J261" s="269"/>
      <c r="K261" s="269"/>
      <c r="L261" s="269"/>
      <c r="M261" s="269">
        <f t="shared" si="105"/>
        <v>1.5</v>
      </c>
      <c r="N261" s="269">
        <v>45</v>
      </c>
      <c r="O261" s="269">
        <f t="shared" si="114"/>
        <v>17.699535849485258</v>
      </c>
      <c r="Q261" s="251">
        <f t="shared" si="95"/>
        <v>176.71953584948523</v>
      </c>
      <c r="R261" s="251">
        <f>'RD Plant List'!N129</f>
        <v>664.33</v>
      </c>
      <c r="S261" s="251">
        <f>SUM(B261:O261)+'RD Plant List'!N129</f>
        <v>841.04953584948521</v>
      </c>
      <c r="T261" s="237">
        <f t="shared" si="113"/>
        <v>0.7898821314121609</v>
      </c>
      <c r="U261" s="251">
        <f t="shared" si="101"/>
        <v>500.29311237946541</v>
      </c>
      <c r="V261" s="271">
        <f t="shared" si="89"/>
        <v>0.59484381246837548</v>
      </c>
      <c r="W261" s="251">
        <f t="shared" si="98"/>
        <v>41.691092698288784</v>
      </c>
      <c r="X261" s="242">
        <f t="shared" si="99"/>
        <v>7.1065363181934043</v>
      </c>
      <c r="Y261" s="273">
        <f t="shared" si="100"/>
        <v>7.1065363181934043</v>
      </c>
      <c r="AB261" s="251">
        <f>SUM('BD Feedstock'!C259,'BD Feedstock'!E259,'BD Feedstock'!G259,'BD Feedstock'!K259,'BD Feedstock'!T259)</f>
        <v>21.812796010427753</v>
      </c>
      <c r="AC261" s="251">
        <f>SUM('BD Feedstock'!D259,'BD Feedstock'!F259,'BD Feedstock'!H259,'BD Feedstock'!I259,'BD Feedstock'!L259,'BD Feedstock'!M259,'BD Feedstock'!N259,'BD Feedstock'!O259,'BD Feedstock'!U259)</f>
        <v>12.773566250859661</v>
      </c>
      <c r="AD261" s="251">
        <f>'BD Feedstock'!J259</f>
        <v>0.90199999999999991</v>
      </c>
      <c r="AE261" s="251">
        <f>SUM('BD Feedstock'!B259,'BD Feedstock'!P259,'BD Feedstock'!Q259,'BD Feedstock'!R259)</f>
        <v>70.93020833333334</v>
      </c>
      <c r="AF261" s="251">
        <f>'BD Feedstock'!S259</f>
        <v>1.40625</v>
      </c>
      <c r="AG261" s="251">
        <f t="shared" si="90"/>
        <v>107.82482059462075</v>
      </c>
      <c r="AK261" s="237">
        <f t="shared" si="103"/>
        <v>0.20229846792359021</v>
      </c>
      <c r="AL261" s="237">
        <f t="shared" si="102"/>
        <v>0.11846591703484753</v>
      </c>
      <c r="AM261" s="237">
        <f t="shared" si="102"/>
        <v>8.3654208282077092E-3</v>
      </c>
      <c r="AN261" s="237">
        <f t="shared" si="102"/>
        <v>0.65782820636449979</v>
      </c>
      <c r="AO261" s="237">
        <f t="shared" si="102"/>
        <v>1.304198784885487E-2</v>
      </c>
      <c r="AP261" s="237">
        <f t="shared" si="91"/>
        <v>1</v>
      </c>
      <c r="AQ261" s="237"/>
      <c r="AR261" s="237">
        <f t="shared" si="92"/>
        <v>0.61464645366918802</v>
      </c>
      <c r="AS261" s="237">
        <f t="shared" si="93"/>
        <v>0.35993676340465403</v>
      </c>
      <c r="AT261" s="237">
        <f t="shared" si="94"/>
        <v>2.5416782926158003E-2</v>
      </c>
      <c r="AU261" s="237">
        <f t="shared" si="108"/>
        <v>0.98055959563958928</v>
      </c>
      <c r="AV261" s="237">
        <f t="shared" si="108"/>
        <v>1.9440404360410696E-2</v>
      </c>
      <c r="AX261" s="251">
        <f t="shared" si="116"/>
        <v>4627.0782876896701</v>
      </c>
      <c r="AY261" s="251">
        <f t="shared" si="117"/>
        <v>3999.5710665653978</v>
      </c>
      <c r="AZ261" s="251">
        <f t="shared" si="115"/>
        <v>224.97994032311408</v>
      </c>
      <c r="BA261" s="251">
        <f t="shared" si="115"/>
        <v>123097.90464286384</v>
      </c>
      <c r="BB261" s="251">
        <f t="shared" si="115"/>
        <v>2440.5176929767572</v>
      </c>
      <c r="BC261" s="251">
        <f t="shared" si="109"/>
        <v>134390.05163041878</v>
      </c>
      <c r="BD261" s="270">
        <f t="shared" si="111"/>
        <v>7.1065363181934043</v>
      </c>
      <c r="BY261" s="252">
        <f t="shared" si="104"/>
        <v>0.24467956890901241</v>
      </c>
      <c r="BZ261" s="252">
        <f t="shared" si="104"/>
        <v>0.21149703193736288</v>
      </c>
      <c r="CA261" s="252">
        <f t="shared" si="104"/>
        <v>1.1896923152973214E-2</v>
      </c>
      <c r="CB261" s="252">
        <f t="shared" si="104"/>
        <v>6.5094083931433806</v>
      </c>
      <c r="CC261" s="252">
        <f t="shared" si="104"/>
        <v>0.12905440105067439</v>
      </c>
    </row>
    <row r="262" spans="1:81">
      <c r="A262" s="11">
        <v>47604</v>
      </c>
      <c r="B262" s="268">
        <v>70</v>
      </c>
      <c r="C262" s="268">
        <v>13</v>
      </c>
      <c r="D262" s="268">
        <f t="shared" si="107"/>
        <v>20</v>
      </c>
      <c r="E262" s="268">
        <v>3</v>
      </c>
      <c r="F262" s="269">
        <v>0.2</v>
      </c>
      <c r="G262" s="269">
        <v>1.32</v>
      </c>
      <c r="H262" s="269"/>
      <c r="I262" s="269">
        <v>5</v>
      </c>
      <c r="J262" s="269"/>
      <c r="K262" s="269"/>
      <c r="L262" s="269"/>
      <c r="M262" s="269">
        <f t="shared" si="105"/>
        <v>1.5</v>
      </c>
      <c r="N262" s="269">
        <v>45</v>
      </c>
      <c r="O262" s="269">
        <f t="shared" si="114"/>
        <v>17.699535849485258</v>
      </c>
      <c r="Q262" s="251">
        <f t="shared" si="95"/>
        <v>176.71953584948523</v>
      </c>
      <c r="R262" s="251">
        <f>'RD Plant List'!N130</f>
        <v>664.33</v>
      </c>
      <c r="S262" s="251">
        <f>SUM(B262:O262)+'RD Plant List'!N130</f>
        <v>841.04953584948521</v>
      </c>
      <c r="T262" s="237">
        <f t="shared" si="113"/>
        <v>0.7898821314121609</v>
      </c>
      <c r="U262" s="251">
        <f t="shared" si="101"/>
        <v>485.82497294276544</v>
      </c>
      <c r="V262" s="271">
        <f t="shared" si="89"/>
        <v>0.57764133054549238</v>
      </c>
      <c r="W262" s="251">
        <f t="shared" si="98"/>
        <v>40.485414411897118</v>
      </c>
      <c r="X262" s="242">
        <f t="shared" si="99"/>
        <v>7.1065363149557772</v>
      </c>
      <c r="Y262" s="273">
        <f t="shared" si="100"/>
        <v>7.1065363149557772</v>
      </c>
      <c r="AB262" s="251">
        <f>SUM('BD Feedstock'!C260,'BD Feedstock'!E260,'BD Feedstock'!G260,'BD Feedstock'!K260,'BD Feedstock'!T260)</f>
        <v>21.812796010427753</v>
      </c>
      <c r="AC262" s="251">
        <f>SUM('BD Feedstock'!D260,'BD Feedstock'!F260,'BD Feedstock'!H260,'BD Feedstock'!I260,'BD Feedstock'!L260,'BD Feedstock'!M260,'BD Feedstock'!N260,'BD Feedstock'!O260,'BD Feedstock'!U260)</f>
        <v>12.773566250859661</v>
      </c>
      <c r="AD262" s="251">
        <f>'BD Feedstock'!J260</f>
        <v>0.90199999999999991</v>
      </c>
      <c r="AE262" s="251">
        <f>SUM('BD Feedstock'!B260,'BD Feedstock'!P260,'BD Feedstock'!Q260,'BD Feedstock'!R260)</f>
        <v>70.93020833333334</v>
      </c>
      <c r="AF262" s="251">
        <f>'BD Feedstock'!S260</f>
        <v>1.40625</v>
      </c>
      <c r="AG262" s="251">
        <f t="shared" si="90"/>
        <v>107.82482059462075</v>
      </c>
      <c r="AK262" s="237">
        <f t="shared" si="103"/>
        <v>0.20229846792359021</v>
      </c>
      <c r="AL262" s="237">
        <f t="shared" si="102"/>
        <v>0.11846591703484753</v>
      </c>
      <c r="AM262" s="237">
        <f t="shared" si="102"/>
        <v>8.3654208282077092E-3</v>
      </c>
      <c r="AN262" s="237">
        <f t="shared" si="102"/>
        <v>0.65782820636449979</v>
      </c>
      <c r="AO262" s="237">
        <f t="shared" si="102"/>
        <v>1.304198784885487E-2</v>
      </c>
      <c r="AP262" s="237">
        <f t="shared" si="91"/>
        <v>1</v>
      </c>
      <c r="AQ262" s="237"/>
      <c r="AR262" s="237">
        <f t="shared" si="92"/>
        <v>0.61464645366918802</v>
      </c>
      <c r="AS262" s="237">
        <f t="shared" si="93"/>
        <v>0.35993676340465403</v>
      </c>
      <c r="AT262" s="237">
        <f t="shared" si="94"/>
        <v>2.5416782926158003E-2</v>
      </c>
      <c r="AU262" s="237">
        <f t="shared" si="108"/>
        <v>0.98055959563958928</v>
      </c>
      <c r="AV262" s="237">
        <f t="shared" si="108"/>
        <v>1.9440404360410696E-2</v>
      </c>
      <c r="AX262" s="251">
        <f t="shared" si="116"/>
        <v>4347.1371208840619</v>
      </c>
      <c r="AY262" s="251">
        <f t="shared" si="117"/>
        <v>4030.0353500515134</v>
      </c>
      <c r="AZ262" s="251">
        <f t="shared" si="115"/>
        <v>218.47367212832174</v>
      </c>
      <c r="BA262" s="251">
        <f t="shared" si="115"/>
        <v>119537.99619492072</v>
      </c>
      <c r="BB262" s="251">
        <f t="shared" si="115"/>
        <v>2369.939565933988</v>
      </c>
      <c r="BC262" s="251">
        <f t="shared" si="109"/>
        <v>130503.58190391862</v>
      </c>
      <c r="BD262" s="270">
        <f t="shared" si="111"/>
        <v>7.1065363149557772</v>
      </c>
      <c r="BY262" s="252">
        <f t="shared" si="104"/>
        <v>0.23672214482510895</v>
      </c>
      <c r="BZ262" s="252">
        <f t="shared" si="104"/>
        <v>0.21945445594575391</v>
      </c>
      <c r="CA262" s="252">
        <f t="shared" si="104"/>
        <v>1.189692315100388E-2</v>
      </c>
      <c r="CB262" s="252">
        <f t="shared" si="104"/>
        <v>6.50940839004467</v>
      </c>
      <c r="CC262" s="252">
        <f t="shared" si="104"/>
        <v>0.12905440098923984</v>
      </c>
    </row>
    <row r="263" spans="1:81">
      <c r="A263" s="11">
        <v>47635</v>
      </c>
      <c r="B263" s="268">
        <v>70</v>
      </c>
      <c r="C263" s="268">
        <v>13</v>
      </c>
      <c r="D263" s="268">
        <f t="shared" si="107"/>
        <v>20</v>
      </c>
      <c r="E263" s="268">
        <v>3</v>
      </c>
      <c r="F263" s="269">
        <v>0.2</v>
      </c>
      <c r="G263" s="269">
        <v>1.32</v>
      </c>
      <c r="H263" s="269"/>
      <c r="I263" s="269">
        <v>5</v>
      </c>
      <c r="J263" s="269"/>
      <c r="K263" s="269"/>
      <c r="L263" s="269"/>
      <c r="M263" s="269">
        <f t="shared" si="105"/>
        <v>1.5</v>
      </c>
      <c r="N263" s="269">
        <v>45</v>
      </c>
      <c r="O263" s="269">
        <f t="shared" si="114"/>
        <v>17.699535849485258</v>
      </c>
      <c r="Q263" s="251">
        <f t="shared" si="95"/>
        <v>176.71953584948523</v>
      </c>
      <c r="R263" s="251">
        <f>'RD Plant List'!N131</f>
        <v>664.33</v>
      </c>
      <c r="S263" s="251">
        <f>SUM(B263:O263)+'RD Plant List'!N131</f>
        <v>841.04953584948521</v>
      </c>
      <c r="T263" s="237">
        <f t="shared" si="113"/>
        <v>0.7898821314121609</v>
      </c>
      <c r="U263" s="251">
        <f t="shared" si="101"/>
        <v>542.78390919280162</v>
      </c>
      <c r="V263" s="271">
        <f t="shared" ref="V263:V326" si="118">AVERAGE(V239,V227,V251,V215,V203)</f>
        <v>0.64536497085700617</v>
      </c>
      <c r="W263" s="251">
        <f t="shared" si="98"/>
        <v>45.23199243273347</v>
      </c>
      <c r="X263" s="242">
        <f t="shared" si="99"/>
        <v>7.1065363138109507</v>
      </c>
      <c r="Y263" s="273">
        <f t="shared" si="100"/>
        <v>7.1065363138109507</v>
      </c>
      <c r="AB263" s="251">
        <f>SUM('BD Feedstock'!C261,'BD Feedstock'!E261,'BD Feedstock'!G261,'BD Feedstock'!K261,'BD Feedstock'!T261)</f>
        <v>21.812796010427753</v>
      </c>
      <c r="AC263" s="251">
        <f>SUM('BD Feedstock'!D261,'BD Feedstock'!F261,'BD Feedstock'!H261,'BD Feedstock'!I261,'BD Feedstock'!L261,'BD Feedstock'!M261,'BD Feedstock'!N261,'BD Feedstock'!O261,'BD Feedstock'!U261)</f>
        <v>12.773566250859661</v>
      </c>
      <c r="AD263" s="251">
        <f>'BD Feedstock'!J261</f>
        <v>0.90199999999999991</v>
      </c>
      <c r="AE263" s="251">
        <f>SUM('BD Feedstock'!B261,'BD Feedstock'!P261,'BD Feedstock'!Q261,'BD Feedstock'!R261)</f>
        <v>70.93020833333334</v>
      </c>
      <c r="AF263" s="251">
        <f>'BD Feedstock'!S261</f>
        <v>1.40625</v>
      </c>
      <c r="AG263" s="251">
        <f t="shared" ref="AG263:AG326" si="119">SUM(AB263:AF263)</f>
        <v>107.82482059462075</v>
      </c>
      <c r="AK263" s="237">
        <f t="shared" si="103"/>
        <v>0.20229846792359021</v>
      </c>
      <c r="AL263" s="237">
        <f t="shared" si="102"/>
        <v>0.11846591703484753</v>
      </c>
      <c r="AM263" s="237">
        <f t="shared" si="102"/>
        <v>8.3654208282077092E-3</v>
      </c>
      <c r="AN263" s="237">
        <f t="shared" si="102"/>
        <v>0.65782820636449979</v>
      </c>
      <c r="AO263" s="237">
        <f t="shared" si="102"/>
        <v>1.304198784885487E-2</v>
      </c>
      <c r="AP263" s="237">
        <f t="shared" ref="AP263:AP326" si="120">SUM(AK263:AO263)</f>
        <v>1</v>
      </c>
      <c r="AQ263" s="237"/>
      <c r="AR263" s="237">
        <f t="shared" ref="AR263:AR326" si="121">AB263/SUM($AB263:$AD263)</f>
        <v>0.61464645366918802</v>
      </c>
      <c r="AS263" s="237">
        <f t="shared" ref="AS263:AS326" si="122">AC263/SUM($AB263:$AD263)</f>
        <v>0.35993676340465403</v>
      </c>
      <c r="AT263" s="237">
        <f t="shared" ref="AT263:AT326" si="123">AD263/SUM($AB263:$AD263)</f>
        <v>2.5416782926158003E-2</v>
      </c>
      <c r="AU263" s="237">
        <f t="shared" si="108"/>
        <v>0.98055959563958928</v>
      </c>
      <c r="AV263" s="237">
        <f t="shared" si="108"/>
        <v>1.9440404360410696E-2</v>
      </c>
      <c r="AX263" s="251">
        <f t="shared" si="116"/>
        <v>4741.1066819345642</v>
      </c>
      <c r="AY263" s="251">
        <f t="shared" si="117"/>
        <v>4618.219572449766</v>
      </c>
      <c r="AZ263" s="251">
        <f t="shared" si="115"/>
        <v>244.08789272712596</v>
      </c>
      <c r="BA263" s="251">
        <f t="shared" si="115"/>
        <v>133552.83172248572</v>
      </c>
      <c r="BB263" s="251">
        <f t="shared" si="115"/>
        <v>2647.7952627341406</v>
      </c>
      <c r="BC263" s="251">
        <f t="shared" si="109"/>
        <v>145804.04113233133</v>
      </c>
      <c r="BD263" s="270">
        <f t="shared" si="111"/>
        <v>7.1065363138109507</v>
      </c>
      <c r="BY263" s="252">
        <f t="shared" si="104"/>
        <v>0.2310830793245312</v>
      </c>
      <c r="BZ263" s="252">
        <f t="shared" si="104"/>
        <v>0.22509352170136229</v>
      </c>
      <c r="CA263" s="252">
        <f t="shared" si="104"/>
        <v>1.1896923157654985E-2</v>
      </c>
      <c r="CB263" s="252">
        <f t="shared" si="104"/>
        <v>6.5094083886655048</v>
      </c>
      <c r="CC263" s="252">
        <f t="shared" si="104"/>
        <v>0.12905440096189677</v>
      </c>
    </row>
    <row r="264" spans="1:81">
      <c r="A264" s="11">
        <v>47665</v>
      </c>
      <c r="B264" s="268">
        <v>70</v>
      </c>
      <c r="C264" s="268">
        <v>13</v>
      </c>
      <c r="D264" s="268">
        <f t="shared" si="107"/>
        <v>20</v>
      </c>
      <c r="E264" s="268">
        <v>3</v>
      </c>
      <c r="F264" s="269">
        <v>0.2</v>
      </c>
      <c r="G264" s="269">
        <v>1.32</v>
      </c>
      <c r="H264" s="269"/>
      <c r="I264" s="269">
        <v>5</v>
      </c>
      <c r="J264" s="269"/>
      <c r="K264" s="269"/>
      <c r="L264" s="269"/>
      <c r="M264" s="269">
        <f t="shared" si="105"/>
        <v>1.5</v>
      </c>
      <c r="N264" s="269">
        <v>45</v>
      </c>
      <c r="O264" s="269">
        <f t="shared" si="114"/>
        <v>17.699535849485258</v>
      </c>
      <c r="Q264" s="251">
        <f t="shared" ref="Q264:Q327" si="124">SUM(B264:O264)</f>
        <v>176.71953584948523</v>
      </c>
      <c r="R264" s="251">
        <f>'RD Plant List'!N132</f>
        <v>664.33</v>
      </c>
      <c r="S264" s="251">
        <f>SUM(B264:O264)+'RD Plant List'!N132</f>
        <v>841.04953584948521</v>
      </c>
      <c r="T264" s="237">
        <f t="shared" si="113"/>
        <v>0.7898821314121609</v>
      </c>
      <c r="U264" s="251">
        <f t="shared" si="101"/>
        <v>557.4606701693591</v>
      </c>
      <c r="V264" s="271">
        <f t="shared" si="118"/>
        <v>0.66281550183165749</v>
      </c>
      <c r="W264" s="251">
        <f t="shared" si="98"/>
        <v>46.455055847446594</v>
      </c>
      <c r="X264" s="242">
        <f t="shared" si="99"/>
        <v>7.1065363148450045</v>
      </c>
      <c r="Y264" s="273">
        <f t="shared" si="100"/>
        <v>7.1065363148450045</v>
      </c>
      <c r="AB264" s="251">
        <f>SUM('BD Feedstock'!C262,'BD Feedstock'!E262,'BD Feedstock'!G262,'BD Feedstock'!K262,'BD Feedstock'!T262)</f>
        <v>21.812796010427753</v>
      </c>
      <c r="AC264" s="251">
        <f>SUM('BD Feedstock'!D262,'BD Feedstock'!F262,'BD Feedstock'!H262,'BD Feedstock'!I262,'BD Feedstock'!L262,'BD Feedstock'!M262,'BD Feedstock'!N262,'BD Feedstock'!O262,'BD Feedstock'!U262)</f>
        <v>12.773566250859661</v>
      </c>
      <c r="AD264" s="251">
        <f>'BD Feedstock'!J262</f>
        <v>0.90199999999999991</v>
      </c>
      <c r="AE264" s="251">
        <f>SUM('BD Feedstock'!B262,'BD Feedstock'!P262,'BD Feedstock'!Q262,'BD Feedstock'!R262)</f>
        <v>70.93020833333334</v>
      </c>
      <c r="AF264" s="251">
        <f>'BD Feedstock'!S262</f>
        <v>1.40625</v>
      </c>
      <c r="AG264" s="251">
        <f t="shared" si="119"/>
        <v>107.82482059462075</v>
      </c>
      <c r="AK264" s="237">
        <f t="shared" si="103"/>
        <v>0.20229846792359021</v>
      </c>
      <c r="AL264" s="237">
        <f t="shared" si="102"/>
        <v>0.11846591703484753</v>
      </c>
      <c r="AM264" s="237">
        <f t="shared" si="102"/>
        <v>8.3654208282077092E-3</v>
      </c>
      <c r="AN264" s="237">
        <f t="shared" si="102"/>
        <v>0.65782820636449979</v>
      </c>
      <c r="AO264" s="237">
        <f t="shared" si="102"/>
        <v>1.304198784885487E-2</v>
      </c>
      <c r="AP264" s="237">
        <f t="shared" si="120"/>
        <v>1</v>
      </c>
      <c r="AQ264" s="237"/>
      <c r="AR264" s="237">
        <f t="shared" si="121"/>
        <v>0.61464645366918802</v>
      </c>
      <c r="AS264" s="237">
        <f t="shared" si="122"/>
        <v>0.35993676340465403</v>
      </c>
      <c r="AT264" s="237">
        <f t="shared" si="123"/>
        <v>2.5416782926158003E-2</v>
      </c>
      <c r="AU264" s="237">
        <f t="shared" si="108"/>
        <v>0.98055959563958928</v>
      </c>
      <c r="AV264" s="237">
        <f t="shared" si="108"/>
        <v>1.9440404360410696E-2</v>
      </c>
      <c r="AX264" s="251">
        <f t="shared" si="116"/>
        <v>4683.9905692836855</v>
      </c>
      <c r="AY264" s="251">
        <f t="shared" si="117"/>
        <v>4928.4098719153681</v>
      </c>
      <c r="AZ264" s="251">
        <f t="shared" si="115"/>
        <v>250.68797731487072</v>
      </c>
      <c r="BA264" s="251">
        <f t="shared" si="115"/>
        <v>137164.07178546867</v>
      </c>
      <c r="BB264" s="251">
        <f t="shared" si="115"/>
        <v>2719.3910814677402</v>
      </c>
      <c r="BC264" s="251">
        <f t="shared" si="109"/>
        <v>149746.55128545032</v>
      </c>
      <c r="BD264" s="270">
        <f t="shared" si="111"/>
        <v>7.1065363148450045</v>
      </c>
      <c r="BY264" s="252">
        <f t="shared" ref="BY264:CC327" si="125">(AX264*2204.622)/($W264*1000000)</f>
        <v>0.2222885855685163</v>
      </c>
      <c r="BZ264" s="252">
        <f t="shared" si="125"/>
        <v>0.23388801564079945</v>
      </c>
      <c r="CA264" s="252">
        <f t="shared" si="125"/>
        <v>1.1896923162438571E-2</v>
      </c>
      <c r="CB264" s="252">
        <f t="shared" si="125"/>
        <v>6.5094083894949097</v>
      </c>
      <c r="CC264" s="252">
        <f t="shared" si="125"/>
        <v>0.12905440097834045</v>
      </c>
    </row>
    <row r="265" spans="1:81">
      <c r="A265" s="11">
        <v>47696</v>
      </c>
      <c r="B265" s="268">
        <v>70</v>
      </c>
      <c r="C265" s="268">
        <v>13</v>
      </c>
      <c r="D265" s="268">
        <f t="shared" si="107"/>
        <v>20</v>
      </c>
      <c r="E265" s="268">
        <v>3</v>
      </c>
      <c r="F265" s="269">
        <v>0.2</v>
      </c>
      <c r="G265" s="269">
        <v>1.32</v>
      </c>
      <c r="H265" s="269"/>
      <c r="I265" s="269">
        <v>5</v>
      </c>
      <c r="J265" s="269"/>
      <c r="K265" s="269"/>
      <c r="L265" s="269"/>
      <c r="M265" s="269">
        <f t="shared" si="105"/>
        <v>1.5</v>
      </c>
      <c r="N265" s="269">
        <v>45</v>
      </c>
      <c r="O265" s="269">
        <f t="shared" si="114"/>
        <v>17.699535849485258</v>
      </c>
      <c r="Q265" s="251">
        <f t="shared" si="124"/>
        <v>176.71953584948523</v>
      </c>
      <c r="R265" s="251">
        <f>'RD Plant List'!N133</f>
        <v>664.33</v>
      </c>
      <c r="S265" s="251">
        <f>SUM(B265:O265)+'RD Plant List'!N133</f>
        <v>841.04953584948521</v>
      </c>
      <c r="T265" s="237">
        <f t="shared" si="113"/>
        <v>0.7898821314121609</v>
      </c>
      <c r="U265" s="251">
        <f t="shared" si="101"/>
        <v>525.83823809856699</v>
      </c>
      <c r="V265" s="271">
        <f t="shared" si="118"/>
        <v>0.62521672705931008</v>
      </c>
      <c r="W265" s="251">
        <f t="shared" si="98"/>
        <v>43.819853174880585</v>
      </c>
      <c r="X265" s="242">
        <f t="shared" si="99"/>
        <v>7.1065363160673867</v>
      </c>
      <c r="Y265" s="273">
        <f t="shared" si="100"/>
        <v>7.1065363160673867</v>
      </c>
      <c r="AB265" s="251">
        <f>SUM('BD Feedstock'!C263,'BD Feedstock'!E263,'BD Feedstock'!G263,'BD Feedstock'!K263,'BD Feedstock'!T263)</f>
        <v>21.812796010427753</v>
      </c>
      <c r="AC265" s="251">
        <f>SUM('BD Feedstock'!D263,'BD Feedstock'!F263,'BD Feedstock'!H263,'BD Feedstock'!I263,'BD Feedstock'!L263,'BD Feedstock'!M263,'BD Feedstock'!N263,'BD Feedstock'!O263,'BD Feedstock'!U263)</f>
        <v>12.773566250859661</v>
      </c>
      <c r="AD265" s="251">
        <f>'BD Feedstock'!J263</f>
        <v>0.90199999999999991</v>
      </c>
      <c r="AE265" s="251">
        <f>SUM('BD Feedstock'!B263,'BD Feedstock'!P263,'BD Feedstock'!Q263,'BD Feedstock'!R263)</f>
        <v>70.93020833333334</v>
      </c>
      <c r="AF265" s="251">
        <f>'BD Feedstock'!S263</f>
        <v>1.40625</v>
      </c>
      <c r="AG265" s="251">
        <f t="shared" si="119"/>
        <v>107.82482059462075</v>
      </c>
      <c r="AK265" s="237">
        <f t="shared" si="103"/>
        <v>0.20229846792359021</v>
      </c>
      <c r="AL265" s="237">
        <f t="shared" si="102"/>
        <v>0.11846591703484753</v>
      </c>
      <c r="AM265" s="237">
        <f t="shared" si="102"/>
        <v>8.3654208282077092E-3</v>
      </c>
      <c r="AN265" s="237">
        <f t="shared" si="102"/>
        <v>0.65782820636449979</v>
      </c>
      <c r="AO265" s="237">
        <f t="shared" si="102"/>
        <v>1.304198784885487E-2</v>
      </c>
      <c r="AP265" s="237">
        <f t="shared" si="120"/>
        <v>1</v>
      </c>
      <c r="AQ265" s="237"/>
      <c r="AR265" s="237">
        <f t="shared" si="121"/>
        <v>0.61464645366918802</v>
      </c>
      <c r="AS265" s="237">
        <f t="shared" si="122"/>
        <v>0.35993676340465403</v>
      </c>
      <c r="AT265" s="237">
        <f t="shared" si="123"/>
        <v>2.5416782926158003E-2</v>
      </c>
      <c r="AU265" s="237">
        <f t="shared" si="108"/>
        <v>0.98055959563958928</v>
      </c>
      <c r="AV265" s="237">
        <f t="shared" si="108"/>
        <v>1.9440404360410696E-2</v>
      </c>
      <c r="AX265" s="251">
        <f t="shared" si="116"/>
        <v>4265.0752724304875</v>
      </c>
      <c r="AY265" s="251">
        <f t="shared" si="117"/>
        <v>4802.0535532015419</v>
      </c>
      <c r="AZ265" s="251">
        <f t="shared" si="115"/>
        <v>236.46748793452423</v>
      </c>
      <c r="BA265" s="251">
        <f t="shared" si="115"/>
        <v>129383.32282655162</v>
      </c>
      <c r="BB265" s="251">
        <f t="shared" si="115"/>
        <v>2565.1313030097781</v>
      </c>
      <c r="BC265" s="251">
        <f t="shared" si="109"/>
        <v>141252.05044312796</v>
      </c>
      <c r="BD265" s="270">
        <f t="shared" si="111"/>
        <v>7.1065363160673867</v>
      </c>
      <c r="BY265" s="252">
        <f t="shared" si="125"/>
        <v>0.21458033507621099</v>
      </c>
      <c r="BZ265" s="252">
        <f t="shared" si="125"/>
        <v>0.24159626611060955</v>
      </c>
      <c r="CA265" s="252">
        <f t="shared" si="125"/>
        <v>1.1896923161851907E-2</v>
      </c>
      <c r="CB265" s="252">
        <f t="shared" si="125"/>
        <v>6.5094083907161613</v>
      </c>
      <c r="CC265" s="252">
        <f t="shared" si="125"/>
        <v>0.12905440100255272</v>
      </c>
    </row>
    <row r="266" spans="1:81">
      <c r="A266" s="11">
        <v>47727</v>
      </c>
      <c r="B266" s="268">
        <v>70</v>
      </c>
      <c r="C266" s="268">
        <v>13</v>
      </c>
      <c r="D266" s="268">
        <f t="shared" si="107"/>
        <v>20</v>
      </c>
      <c r="E266" s="268">
        <v>3</v>
      </c>
      <c r="F266" s="269">
        <v>0.2</v>
      </c>
      <c r="G266" s="269">
        <v>1.32</v>
      </c>
      <c r="H266" s="269"/>
      <c r="I266" s="269">
        <v>5</v>
      </c>
      <c r="J266" s="269"/>
      <c r="K266" s="269"/>
      <c r="L266" s="269"/>
      <c r="M266" s="269">
        <f t="shared" si="105"/>
        <v>1.5</v>
      </c>
      <c r="N266" s="269">
        <v>45</v>
      </c>
      <c r="O266" s="269">
        <f t="shared" si="114"/>
        <v>17.699535849485258</v>
      </c>
      <c r="Q266" s="251">
        <f t="shared" si="124"/>
        <v>176.71953584948523</v>
      </c>
      <c r="R266" s="251">
        <f>'RD Plant List'!N134</f>
        <v>664.33</v>
      </c>
      <c r="S266" s="251">
        <f>SUM(B266:O266)+'RD Plant List'!N134</f>
        <v>841.04953584948521</v>
      </c>
      <c r="T266" s="237">
        <f t="shared" si="113"/>
        <v>0.7898821314121609</v>
      </c>
      <c r="U266" s="251">
        <f t="shared" si="101"/>
        <v>569.25364359508001</v>
      </c>
      <c r="V266" s="271">
        <f t="shared" si="118"/>
        <v>0.67683723648942595</v>
      </c>
      <c r="W266" s="251">
        <f t="shared" si="98"/>
        <v>47.437803632923334</v>
      </c>
      <c r="X266" s="242">
        <f t="shared" si="99"/>
        <v>7.1065363162369568</v>
      </c>
      <c r="Y266" s="273">
        <f t="shared" si="100"/>
        <v>7.1065363162369568</v>
      </c>
      <c r="AB266" s="251">
        <f>SUM('BD Feedstock'!C264,'BD Feedstock'!E264,'BD Feedstock'!G264,'BD Feedstock'!K264,'BD Feedstock'!T264)</f>
        <v>21.812796010427753</v>
      </c>
      <c r="AC266" s="251">
        <f>SUM('BD Feedstock'!D264,'BD Feedstock'!F264,'BD Feedstock'!H264,'BD Feedstock'!I264,'BD Feedstock'!L264,'BD Feedstock'!M264,'BD Feedstock'!N264,'BD Feedstock'!O264,'BD Feedstock'!U264)</f>
        <v>12.773566250859661</v>
      </c>
      <c r="AD266" s="251">
        <f>'BD Feedstock'!J264</f>
        <v>0.90199999999999991</v>
      </c>
      <c r="AE266" s="251">
        <f>SUM('BD Feedstock'!B264,'BD Feedstock'!P264,'BD Feedstock'!Q264,'BD Feedstock'!R264)</f>
        <v>70.93020833333334</v>
      </c>
      <c r="AF266" s="251">
        <f>'BD Feedstock'!S264</f>
        <v>1.40625</v>
      </c>
      <c r="AG266" s="251">
        <f t="shared" si="119"/>
        <v>107.82482059462075</v>
      </c>
      <c r="AK266" s="237">
        <f t="shared" si="103"/>
        <v>0.20229846792359021</v>
      </c>
      <c r="AL266" s="237">
        <f t="shared" si="102"/>
        <v>0.11846591703484753</v>
      </c>
      <c r="AM266" s="237">
        <f t="shared" si="102"/>
        <v>8.3654208282077092E-3</v>
      </c>
      <c r="AN266" s="237">
        <f t="shared" si="102"/>
        <v>0.65782820636449979</v>
      </c>
      <c r="AO266" s="237">
        <f t="shared" si="102"/>
        <v>1.304198784885487E-2</v>
      </c>
      <c r="AP266" s="237">
        <f t="shared" si="120"/>
        <v>1</v>
      </c>
      <c r="AQ266" s="237"/>
      <c r="AR266" s="237">
        <f t="shared" si="121"/>
        <v>0.61464645366918802</v>
      </c>
      <c r="AS266" s="237">
        <f t="shared" si="122"/>
        <v>0.35993676340465403</v>
      </c>
      <c r="AT266" s="237">
        <f t="shared" si="123"/>
        <v>2.5416782926158003E-2</v>
      </c>
      <c r="AU266" s="237">
        <f t="shared" si="108"/>
        <v>0.98055959563958928</v>
      </c>
      <c r="AV266" s="237">
        <f t="shared" si="108"/>
        <v>1.9440404360410696E-2</v>
      </c>
      <c r="AX266" s="251">
        <f t="shared" si="116"/>
        <v>4519.9628437855217</v>
      </c>
      <c r="AY266" s="251">
        <f t="shared" si="117"/>
        <v>5295.7860799282325</v>
      </c>
      <c r="AZ266" s="251">
        <f t="shared" si="115"/>
        <v>255.99123325842979</v>
      </c>
      <c r="BA266" s="251">
        <f t="shared" si="115"/>
        <v>140065.75141614131</v>
      </c>
      <c r="BB266" s="251">
        <f t="shared" si="115"/>
        <v>2776.9192782193595</v>
      </c>
      <c r="BC266" s="251">
        <f t="shared" si="109"/>
        <v>152914.41085133285</v>
      </c>
      <c r="BD266" s="270">
        <f t="shared" si="111"/>
        <v>7.1065363162369577</v>
      </c>
      <c r="BY266" s="252">
        <f t="shared" si="125"/>
        <v>0.21006051632787298</v>
      </c>
      <c r="BZ266" s="252">
        <f t="shared" si="125"/>
        <v>0.24611608474639785</v>
      </c>
      <c r="CA266" s="252">
        <f t="shared" si="125"/>
        <v>1.1896923158916647E-2</v>
      </c>
      <c r="CB266" s="252">
        <f t="shared" si="125"/>
        <v>6.5094083909956755</v>
      </c>
      <c r="CC266" s="252">
        <f t="shared" si="125"/>
        <v>0.12905440100809429</v>
      </c>
    </row>
    <row r="267" spans="1:81">
      <c r="A267" s="11">
        <v>47757</v>
      </c>
      <c r="B267" s="268">
        <v>70</v>
      </c>
      <c r="C267" s="268">
        <v>13</v>
      </c>
      <c r="D267" s="268">
        <f t="shared" si="107"/>
        <v>20</v>
      </c>
      <c r="E267" s="268">
        <v>3</v>
      </c>
      <c r="F267" s="269">
        <v>0.2</v>
      </c>
      <c r="G267" s="269">
        <v>1.32</v>
      </c>
      <c r="H267" s="269"/>
      <c r="I267" s="269">
        <v>5</v>
      </c>
      <c r="J267" s="269"/>
      <c r="K267" s="269"/>
      <c r="L267" s="269"/>
      <c r="M267" s="269">
        <f t="shared" si="105"/>
        <v>1.5</v>
      </c>
      <c r="N267" s="269">
        <v>45</v>
      </c>
      <c r="O267" s="269">
        <f t="shared" si="114"/>
        <v>17.699535849485258</v>
      </c>
      <c r="Q267" s="251">
        <f t="shared" si="124"/>
        <v>176.71953584948523</v>
      </c>
      <c r="R267" s="251">
        <f>'RD Plant List'!N135</f>
        <v>664.33</v>
      </c>
      <c r="S267" s="251">
        <f>SUM(B267:O267)+'RD Plant List'!N135</f>
        <v>841.04953584948521</v>
      </c>
      <c r="T267" s="237">
        <f t="shared" si="113"/>
        <v>0.7898821314121609</v>
      </c>
      <c r="U267" s="251">
        <f t="shared" si="101"/>
        <v>595.48084181908087</v>
      </c>
      <c r="V267" s="271">
        <f t="shared" si="118"/>
        <v>0.70802112888348168</v>
      </c>
      <c r="W267" s="251">
        <f t="shared" ref="W267:W330" si="126">U267/12</f>
        <v>49.623403484923408</v>
      </c>
      <c r="X267" s="242">
        <f t="shared" ref="X267:X330" si="127">(BC267*2204.622)/(W267*1000000)</f>
        <v>7.1065363156849131</v>
      </c>
      <c r="Y267" s="273">
        <f t="shared" ref="Y267:Y330" si="128">X267-BP267</f>
        <v>7.1065363156849131</v>
      </c>
      <c r="AB267" s="251">
        <f>SUM('BD Feedstock'!C265,'BD Feedstock'!E265,'BD Feedstock'!G265,'BD Feedstock'!K265,'BD Feedstock'!T265)</f>
        <v>21.812796010427753</v>
      </c>
      <c r="AC267" s="251">
        <f>SUM('BD Feedstock'!D265,'BD Feedstock'!F265,'BD Feedstock'!H265,'BD Feedstock'!I265,'BD Feedstock'!L265,'BD Feedstock'!M265,'BD Feedstock'!N265,'BD Feedstock'!O265,'BD Feedstock'!U265)</f>
        <v>12.773566250859661</v>
      </c>
      <c r="AD267" s="251">
        <f>'BD Feedstock'!J265</f>
        <v>0.90199999999999991</v>
      </c>
      <c r="AE267" s="251">
        <f>SUM('BD Feedstock'!B265,'BD Feedstock'!P265,'BD Feedstock'!Q265,'BD Feedstock'!R265)</f>
        <v>70.93020833333334</v>
      </c>
      <c r="AF267" s="251">
        <f>'BD Feedstock'!S265</f>
        <v>1.40625</v>
      </c>
      <c r="AG267" s="251">
        <f t="shared" si="119"/>
        <v>107.82482059462075</v>
      </c>
      <c r="AK267" s="237">
        <f t="shared" si="103"/>
        <v>0.20229846792359021</v>
      </c>
      <c r="AL267" s="237">
        <f t="shared" si="102"/>
        <v>0.11846591703484753</v>
      </c>
      <c r="AM267" s="237">
        <f t="shared" si="102"/>
        <v>8.3654208282077092E-3</v>
      </c>
      <c r="AN267" s="237">
        <f t="shared" si="102"/>
        <v>0.65782820636449979</v>
      </c>
      <c r="AO267" s="237">
        <f t="shared" si="102"/>
        <v>1.304198784885487E-2</v>
      </c>
      <c r="AP267" s="237">
        <f t="shared" si="120"/>
        <v>1</v>
      </c>
      <c r="AQ267" s="237"/>
      <c r="AR267" s="237">
        <f t="shared" si="121"/>
        <v>0.61464645366918802</v>
      </c>
      <c r="AS267" s="237">
        <f t="shared" si="122"/>
        <v>0.35993676340465403</v>
      </c>
      <c r="AT267" s="237">
        <f t="shared" si="123"/>
        <v>2.5416782926158003E-2</v>
      </c>
      <c r="AU267" s="237">
        <f t="shared" si="108"/>
        <v>0.98055959563958928</v>
      </c>
      <c r="AV267" s="237">
        <f t="shared" si="108"/>
        <v>1.9440404360410696E-2</v>
      </c>
      <c r="AX267" s="251">
        <f t="shared" si="116"/>
        <v>4599.7979729244098</v>
      </c>
      <c r="AY267" s="251">
        <f t="shared" si="117"/>
        <v>5668.1915203959634</v>
      </c>
      <c r="AZ267" s="251">
        <f t="shared" si="115"/>
        <v>267.78550611960765</v>
      </c>
      <c r="BA267" s="251">
        <f t="shared" si="115"/>
        <v>146518.99464417307</v>
      </c>
      <c r="BB267" s="251">
        <f t="shared" si="115"/>
        <v>2904.8601584543749</v>
      </c>
      <c r="BC267" s="251">
        <f t="shared" si="109"/>
        <v>159959.62980206741</v>
      </c>
      <c r="BD267" s="270">
        <f t="shared" si="111"/>
        <v>7.1065363156849122</v>
      </c>
      <c r="BY267" s="252">
        <f t="shared" si="125"/>
        <v>0.20435550757306567</v>
      </c>
      <c r="BZ267" s="252">
        <f t="shared" si="125"/>
        <v>0.25182109344585751</v>
      </c>
      <c r="CA267" s="252">
        <f t="shared" si="125"/>
        <v>1.18969231574732E-2</v>
      </c>
      <c r="CB267" s="252">
        <f t="shared" si="125"/>
        <v>6.5094083905100506</v>
      </c>
      <c r="CC267" s="252">
        <f t="shared" si="125"/>
        <v>0.12905440099846641</v>
      </c>
    </row>
    <row r="268" spans="1:81">
      <c r="A268" s="11">
        <v>47788</v>
      </c>
      <c r="B268" s="268">
        <v>70</v>
      </c>
      <c r="C268" s="268">
        <v>13</v>
      </c>
      <c r="D268" s="268">
        <f t="shared" si="107"/>
        <v>20</v>
      </c>
      <c r="E268" s="268">
        <v>3</v>
      </c>
      <c r="F268" s="269">
        <v>0.2</v>
      </c>
      <c r="G268" s="269">
        <v>1.32</v>
      </c>
      <c r="H268" s="269"/>
      <c r="I268" s="269">
        <v>5</v>
      </c>
      <c r="J268" s="269"/>
      <c r="K268" s="269"/>
      <c r="L268" s="269"/>
      <c r="M268" s="269">
        <f t="shared" si="105"/>
        <v>1.5</v>
      </c>
      <c r="N268" s="269">
        <v>45</v>
      </c>
      <c r="O268" s="269">
        <f t="shared" si="114"/>
        <v>17.699535849485258</v>
      </c>
      <c r="Q268" s="251">
        <f t="shared" si="124"/>
        <v>176.71953584948523</v>
      </c>
      <c r="R268" s="251">
        <f>'RD Plant List'!N136</f>
        <v>664.33</v>
      </c>
      <c r="S268" s="251">
        <f>SUM(B268:O268)+'RD Plant List'!N136</f>
        <v>841.04953584948521</v>
      </c>
      <c r="T268" s="237">
        <f t="shared" si="113"/>
        <v>0.7898821314121609</v>
      </c>
      <c r="U268" s="251">
        <f t="shared" si="101"/>
        <v>640.72620247889188</v>
      </c>
      <c r="V268" s="271">
        <f t="shared" si="118"/>
        <v>0.76181743781802247</v>
      </c>
      <c r="W268" s="251">
        <f t="shared" si="126"/>
        <v>53.393850206574321</v>
      </c>
      <c r="X268" s="242">
        <f t="shared" si="127"/>
        <v>7.1065363152668324</v>
      </c>
      <c r="Y268" s="273">
        <f t="shared" si="128"/>
        <v>7.1065363152668324</v>
      </c>
      <c r="AB268" s="251">
        <f>SUM('BD Feedstock'!C266,'BD Feedstock'!E266,'BD Feedstock'!G266,'BD Feedstock'!K266,'BD Feedstock'!T266)</f>
        <v>21.812796010427753</v>
      </c>
      <c r="AC268" s="251">
        <f>SUM('BD Feedstock'!D266,'BD Feedstock'!F266,'BD Feedstock'!H266,'BD Feedstock'!I266,'BD Feedstock'!L266,'BD Feedstock'!M266,'BD Feedstock'!N266,'BD Feedstock'!O266,'BD Feedstock'!U266)</f>
        <v>12.773566250859661</v>
      </c>
      <c r="AD268" s="251">
        <f>'BD Feedstock'!J266</f>
        <v>0.90199999999999991</v>
      </c>
      <c r="AE268" s="251">
        <f>SUM('BD Feedstock'!B266,'BD Feedstock'!P266,'BD Feedstock'!Q266,'BD Feedstock'!R266)</f>
        <v>70.93020833333334</v>
      </c>
      <c r="AF268" s="251">
        <f>'BD Feedstock'!S266</f>
        <v>1.40625</v>
      </c>
      <c r="AG268" s="251">
        <f t="shared" si="119"/>
        <v>107.82482059462075</v>
      </c>
      <c r="AK268" s="237">
        <f t="shared" si="103"/>
        <v>0.20229846792359021</v>
      </c>
      <c r="AL268" s="237">
        <f t="shared" si="102"/>
        <v>0.11846591703484753</v>
      </c>
      <c r="AM268" s="237">
        <f t="shared" si="102"/>
        <v>8.3654208282077092E-3</v>
      </c>
      <c r="AN268" s="237">
        <f t="shared" si="102"/>
        <v>0.65782820636449979</v>
      </c>
      <c r="AO268" s="237">
        <f t="shared" si="102"/>
        <v>1.304198784885487E-2</v>
      </c>
      <c r="AP268" s="237">
        <f t="shared" si="120"/>
        <v>1</v>
      </c>
      <c r="AQ268" s="237"/>
      <c r="AR268" s="237">
        <f t="shared" si="121"/>
        <v>0.61464645366918802</v>
      </c>
      <c r="AS268" s="237">
        <f t="shared" si="122"/>
        <v>0.35993676340465403</v>
      </c>
      <c r="AT268" s="237">
        <f t="shared" si="123"/>
        <v>2.5416782926158003E-2</v>
      </c>
      <c r="AU268" s="237">
        <f t="shared" si="108"/>
        <v>0.98055959563958928</v>
      </c>
      <c r="AV268" s="237">
        <f t="shared" si="108"/>
        <v>1.9440404360410696E-2</v>
      </c>
      <c r="AX268" s="251">
        <f t="shared" ref="AX268:AY276" si="129">AVERAGE(BY262:BY267)*$W268/2204.622*1000000</f>
        <v>5324.5184341716358</v>
      </c>
      <c r="AY268" s="251">
        <f t="shared" si="115"/>
        <v>5723.6454252492094</v>
      </c>
      <c r="AZ268" s="251">
        <f t="shared" si="115"/>
        <v>288.13217550641093</v>
      </c>
      <c r="BA268" s="251">
        <f t="shared" si="115"/>
        <v>157651.68655346712</v>
      </c>
      <c r="BB268" s="251">
        <f t="shared" si="115"/>
        <v>3125.5749760941758</v>
      </c>
      <c r="BC268" s="251">
        <f t="shared" si="109"/>
        <v>172113.55756448855</v>
      </c>
      <c r="BD268" s="270">
        <f t="shared" si="111"/>
        <v>7.1065363152668324</v>
      </c>
      <c r="BY268" s="252">
        <f t="shared" si="125"/>
        <v>0.21984836144921771</v>
      </c>
      <c r="BZ268" s="252">
        <f t="shared" si="125"/>
        <v>0.23632823959846341</v>
      </c>
      <c r="CA268" s="252">
        <f t="shared" si="125"/>
        <v>1.18969231582232E-2</v>
      </c>
      <c r="CB268" s="252">
        <f t="shared" si="125"/>
        <v>6.5094083900711626</v>
      </c>
      <c r="CC268" s="252">
        <f t="shared" si="125"/>
        <v>0.12905440098976509</v>
      </c>
    </row>
    <row r="269" spans="1:81">
      <c r="A269" s="11">
        <v>47818</v>
      </c>
      <c r="B269" s="268">
        <v>70</v>
      </c>
      <c r="C269" s="268">
        <v>13</v>
      </c>
      <c r="D269" s="268">
        <f t="shared" si="107"/>
        <v>20</v>
      </c>
      <c r="E269" s="268">
        <v>3</v>
      </c>
      <c r="F269" s="269">
        <v>0.2</v>
      </c>
      <c r="G269" s="269">
        <v>1.32</v>
      </c>
      <c r="H269" s="269"/>
      <c r="I269" s="269">
        <v>5</v>
      </c>
      <c r="J269" s="269"/>
      <c r="K269" s="269"/>
      <c r="L269" s="269"/>
      <c r="M269" s="269">
        <f t="shared" si="105"/>
        <v>1.5</v>
      </c>
      <c r="N269" s="269">
        <v>45</v>
      </c>
      <c r="O269" s="269">
        <f t="shared" si="114"/>
        <v>17.699535849485258</v>
      </c>
      <c r="Q269" s="251">
        <f t="shared" si="124"/>
        <v>176.71953584948523</v>
      </c>
      <c r="R269" s="251">
        <f>'RD Plant List'!N137</f>
        <v>664.33</v>
      </c>
      <c r="S269" s="251">
        <f>SUM(B269:O269)+'RD Plant List'!N137</f>
        <v>841.04953584948521</v>
      </c>
      <c r="T269" s="237">
        <f t="shared" si="113"/>
        <v>0.7898821314121609</v>
      </c>
      <c r="U269" s="251">
        <f t="shared" si="101"/>
        <v>583.05630171874884</v>
      </c>
      <c r="V269" s="271">
        <f t="shared" si="118"/>
        <v>0.6932484673805146</v>
      </c>
      <c r="W269" s="251">
        <f t="shared" si="126"/>
        <v>48.588025143229068</v>
      </c>
      <c r="X269" s="242">
        <f t="shared" si="127"/>
        <v>7.1065363153186745</v>
      </c>
      <c r="Y269" s="273">
        <f t="shared" si="128"/>
        <v>7.1065363153186745</v>
      </c>
      <c r="AB269" s="251">
        <f>SUM('BD Feedstock'!C267,'BD Feedstock'!E267,'BD Feedstock'!G267,'BD Feedstock'!K267,'BD Feedstock'!T267)</f>
        <v>21.812796010427753</v>
      </c>
      <c r="AC269" s="251">
        <f>SUM('BD Feedstock'!D267,'BD Feedstock'!F267,'BD Feedstock'!H267,'BD Feedstock'!I267,'BD Feedstock'!L267,'BD Feedstock'!M267,'BD Feedstock'!N267,'BD Feedstock'!O267,'BD Feedstock'!U267)</f>
        <v>12.773566250859661</v>
      </c>
      <c r="AD269" s="251">
        <f>'BD Feedstock'!J267</f>
        <v>0.90199999999999991</v>
      </c>
      <c r="AE269" s="251">
        <f>SUM('BD Feedstock'!B267,'BD Feedstock'!P267,'BD Feedstock'!Q267,'BD Feedstock'!R267)</f>
        <v>70.93020833333334</v>
      </c>
      <c r="AF269" s="251">
        <f>'BD Feedstock'!S267</f>
        <v>1.40625</v>
      </c>
      <c r="AG269" s="251">
        <f t="shared" si="119"/>
        <v>107.82482059462075</v>
      </c>
      <c r="AK269" s="237">
        <f t="shared" si="103"/>
        <v>0.20229846792359021</v>
      </c>
      <c r="AL269" s="237">
        <f t="shared" si="102"/>
        <v>0.11846591703484753</v>
      </c>
      <c r="AM269" s="237">
        <f t="shared" si="102"/>
        <v>8.3654208282077092E-3</v>
      </c>
      <c r="AN269" s="237">
        <f t="shared" si="102"/>
        <v>0.65782820636449979</v>
      </c>
      <c r="AO269" s="237">
        <f t="shared" si="102"/>
        <v>1.304198784885487E-2</v>
      </c>
      <c r="AP269" s="237">
        <f t="shared" si="120"/>
        <v>1</v>
      </c>
      <c r="AQ269" s="237"/>
      <c r="AR269" s="237">
        <f t="shared" si="121"/>
        <v>0.61464645366918802</v>
      </c>
      <c r="AS269" s="237">
        <f t="shared" si="122"/>
        <v>0.35993676340465403</v>
      </c>
      <c r="AT269" s="237">
        <f t="shared" si="123"/>
        <v>2.5416782926158003E-2</v>
      </c>
      <c r="AU269" s="237">
        <f t="shared" si="108"/>
        <v>0.98055959563958928</v>
      </c>
      <c r="AV269" s="237">
        <f t="shared" si="108"/>
        <v>1.9440404360410696E-2</v>
      </c>
      <c r="AX269" s="251">
        <f t="shared" si="129"/>
        <v>4783.2933470246153</v>
      </c>
      <c r="AY269" s="251">
        <f t="shared" si="115"/>
        <v>5270.4574382343462</v>
      </c>
      <c r="AZ269" s="251">
        <f t="shared" si="115"/>
        <v>262.19823697544297</v>
      </c>
      <c r="BA269" s="251">
        <f t="shared" si="115"/>
        <v>143461.9170653919</v>
      </c>
      <c r="BB269" s="251">
        <f t="shared" si="115"/>
        <v>2844.2510689539185</v>
      </c>
      <c r="BC269" s="251">
        <f t="shared" si="109"/>
        <v>156622.11715658024</v>
      </c>
      <c r="BD269" s="270">
        <f>(BC269*2204.622/1000000)/(U269/12)</f>
        <v>7.1065363153186736</v>
      </c>
      <c r="BY269" s="252">
        <f t="shared" si="125"/>
        <v>0.21703606421990249</v>
      </c>
      <c r="BZ269" s="252">
        <f t="shared" si="125"/>
        <v>0.23914053687391498</v>
      </c>
      <c r="CA269" s="252">
        <f t="shared" si="125"/>
        <v>1.1896923159426418E-2</v>
      </c>
      <c r="CB269" s="252">
        <f t="shared" si="125"/>
        <v>6.5094083900755777</v>
      </c>
      <c r="CC269" s="252">
        <f t="shared" si="125"/>
        <v>0.12905440098985263</v>
      </c>
    </row>
    <row r="270" spans="1:81">
      <c r="A270" s="11">
        <v>47849</v>
      </c>
      <c r="B270" s="268">
        <v>70</v>
      </c>
      <c r="C270" s="268">
        <v>13</v>
      </c>
      <c r="D270" s="268">
        <f t="shared" si="107"/>
        <v>20</v>
      </c>
      <c r="E270" s="268">
        <v>3</v>
      </c>
      <c r="F270" s="269">
        <v>0.2</v>
      </c>
      <c r="G270" s="269">
        <v>1.32</v>
      </c>
      <c r="H270" s="269"/>
      <c r="I270" s="269">
        <v>5</v>
      </c>
      <c r="J270" s="269"/>
      <c r="K270" s="269"/>
      <c r="L270" s="269"/>
      <c r="M270" s="269">
        <f t="shared" si="105"/>
        <v>1.5</v>
      </c>
      <c r="N270" s="269">
        <v>45</v>
      </c>
      <c r="O270" s="269">
        <f t="shared" si="114"/>
        <v>17.699535849485258</v>
      </c>
      <c r="Q270" s="251">
        <f t="shared" si="124"/>
        <v>176.71953584948523</v>
      </c>
      <c r="R270" s="251">
        <f>'RD Plant List'!N138</f>
        <v>664.33</v>
      </c>
      <c r="S270" s="251">
        <f>SUM(B270:O270)+'RD Plant List'!N138</f>
        <v>841.04953584948521</v>
      </c>
      <c r="T270" s="237">
        <f t="shared" si="113"/>
        <v>0.7898821314121609</v>
      </c>
      <c r="U270" s="251">
        <f t="shared" si="101"/>
        <v>475.13062934497924</v>
      </c>
      <c r="V270" s="271">
        <f t="shared" si="118"/>
        <v>0.56492585643612903</v>
      </c>
      <c r="W270" s="251">
        <f t="shared" si="126"/>
        <v>39.594219112081603</v>
      </c>
      <c r="X270" s="242">
        <f t="shared" si="127"/>
        <v>5.5234080981783773</v>
      </c>
      <c r="Y270" s="273">
        <f t="shared" si="128"/>
        <v>5.5234080981783773</v>
      </c>
      <c r="AB270" s="251">
        <f>SUM('BD Feedstock'!C268,'BD Feedstock'!E268,'BD Feedstock'!G268,'BD Feedstock'!K268,'BD Feedstock'!T268)</f>
        <v>21.812796010427753</v>
      </c>
      <c r="AC270" s="251">
        <f>SUM('BD Feedstock'!D268,'BD Feedstock'!F268,'BD Feedstock'!H268,'BD Feedstock'!I268,'BD Feedstock'!L268,'BD Feedstock'!M268,'BD Feedstock'!N268,'BD Feedstock'!O268,'BD Feedstock'!U268)</f>
        <v>12.773566250859661</v>
      </c>
      <c r="AD270" s="251">
        <f>'BD Feedstock'!J268</f>
        <v>0.90199999999999991</v>
      </c>
      <c r="AE270" s="251">
        <f>SUM('BD Feedstock'!B268,'BD Feedstock'!P268,'BD Feedstock'!Q268,'BD Feedstock'!R268)</f>
        <v>70.93020833333334</v>
      </c>
      <c r="AF270" s="251">
        <f>'BD Feedstock'!S268</f>
        <v>1.40625</v>
      </c>
      <c r="AG270" s="251">
        <f t="shared" si="119"/>
        <v>107.82482059462075</v>
      </c>
      <c r="AK270" s="237">
        <f t="shared" si="103"/>
        <v>0.20229846792359021</v>
      </c>
      <c r="AL270" s="237">
        <f t="shared" si="102"/>
        <v>0.11846591703484753</v>
      </c>
      <c r="AM270" s="237">
        <f t="shared" si="102"/>
        <v>8.3654208282077092E-3</v>
      </c>
      <c r="AN270" s="237">
        <f t="shared" si="102"/>
        <v>0.65782820636449979</v>
      </c>
      <c r="AO270" s="237">
        <f t="shared" si="102"/>
        <v>1.304198784885487E-2</v>
      </c>
      <c r="AP270" s="237">
        <f t="shared" si="120"/>
        <v>1</v>
      </c>
      <c r="AQ270" s="237"/>
      <c r="AR270" s="237">
        <f t="shared" si="121"/>
        <v>0.61464645366918802</v>
      </c>
      <c r="AS270" s="237">
        <f t="shared" si="122"/>
        <v>0.35993676340465403</v>
      </c>
      <c r="AT270" s="237">
        <f t="shared" si="123"/>
        <v>2.5416782926158003E-2</v>
      </c>
      <c r="AU270" s="237">
        <f t="shared" si="108"/>
        <v>0.98055959563958928</v>
      </c>
      <c r="AV270" s="237">
        <f t="shared" si="108"/>
        <v>1.9440404360410696E-2</v>
      </c>
      <c r="AX270" s="251">
        <f t="shared" si="129"/>
        <v>3855.8431859487632</v>
      </c>
      <c r="AY270" s="251">
        <f t="shared" si="115"/>
        <v>4336.9246889801307</v>
      </c>
      <c r="AZ270" s="251">
        <f t="shared" ref="AZ270:AZ333" si="130">($U270/12*AM270*AD$5/2204.622*1000000)-($BJ270*AT270)</f>
        <v>1231.9676130157384</v>
      </c>
      <c r="BA270" s="251">
        <f t="shared" ref="BA270:BB307" si="131">($U270/12*AN270*AE$5/2204.622*1000000)-($BK270*AU270)</f>
        <v>88016.969053983921</v>
      </c>
      <c r="BB270" s="251">
        <f t="shared" si="131"/>
        <v>1756.7206233472184</v>
      </c>
      <c r="BC270" s="251">
        <f t="shared" si="109"/>
        <v>99198.425165275781</v>
      </c>
      <c r="BD270" s="270">
        <f t="shared" si="111"/>
        <v>5.5234080981783773</v>
      </c>
      <c r="BY270" s="252">
        <f>(AX270*2204.622)/($W270*1000000)</f>
        <v>0.21469489503579767</v>
      </c>
      <c r="BZ270" s="252">
        <f t="shared" si="125"/>
        <v>0.2414817060693405</v>
      </c>
      <c r="CA270" s="252">
        <f t="shared" si="125"/>
        <v>6.8596450791303221E-2</v>
      </c>
      <c r="CB270" s="252">
        <f t="shared" si="125"/>
        <v>4.9008201374155238</v>
      </c>
      <c r="CC270" s="252">
        <f t="shared" si="125"/>
        <v>9.7814908866411518E-2</v>
      </c>
    </row>
    <row r="271" spans="1:81">
      <c r="A271" s="11">
        <v>47880</v>
      </c>
      <c r="B271" s="268">
        <v>70</v>
      </c>
      <c r="C271" s="268">
        <v>13</v>
      </c>
      <c r="D271" s="268">
        <f t="shared" si="107"/>
        <v>20</v>
      </c>
      <c r="E271" s="268">
        <v>3</v>
      </c>
      <c r="F271" s="269">
        <v>0.2</v>
      </c>
      <c r="G271" s="269">
        <v>1.32</v>
      </c>
      <c r="H271" s="269"/>
      <c r="I271" s="269">
        <v>5</v>
      </c>
      <c r="J271" s="269"/>
      <c r="K271" s="269"/>
      <c r="L271" s="269"/>
      <c r="M271" s="269">
        <f t="shared" si="105"/>
        <v>1.5</v>
      </c>
      <c r="N271" s="269">
        <v>45</v>
      </c>
      <c r="O271" s="269">
        <f t="shared" si="114"/>
        <v>17.699535849485258</v>
      </c>
      <c r="Q271" s="251">
        <f t="shared" si="124"/>
        <v>176.71953584948523</v>
      </c>
      <c r="R271" s="251">
        <f>'RD Plant List'!N139</f>
        <v>664.33</v>
      </c>
      <c r="S271" s="251">
        <f>SUM(B271:O271)+'RD Plant List'!N139</f>
        <v>841.04953584948521</v>
      </c>
      <c r="T271" s="237">
        <f t="shared" si="113"/>
        <v>0.7898821314121609</v>
      </c>
      <c r="U271" s="251">
        <f t="shared" si="101"/>
        <v>439.81875073177633</v>
      </c>
      <c r="V271" s="271">
        <f t="shared" si="118"/>
        <v>0.52294036437169689</v>
      </c>
      <c r="W271" s="251">
        <f t="shared" si="126"/>
        <v>36.651562560981361</v>
      </c>
      <c r="X271" s="242">
        <f t="shared" si="127"/>
        <v>5.5234080981610125</v>
      </c>
      <c r="Y271" s="273">
        <f t="shared" si="128"/>
        <v>5.5234080981610125</v>
      </c>
      <c r="AB271" s="251">
        <f>SUM('BD Feedstock'!C269,'BD Feedstock'!E269,'BD Feedstock'!G269,'BD Feedstock'!K269,'BD Feedstock'!T269)</f>
        <v>21.812796010427753</v>
      </c>
      <c r="AC271" s="251">
        <f>SUM('BD Feedstock'!D269,'BD Feedstock'!F269,'BD Feedstock'!H269,'BD Feedstock'!I269,'BD Feedstock'!L269,'BD Feedstock'!M269,'BD Feedstock'!N269,'BD Feedstock'!O269,'BD Feedstock'!U269)</f>
        <v>12.773566250859661</v>
      </c>
      <c r="AD271" s="251">
        <f>'BD Feedstock'!J269</f>
        <v>0.90199999999999991</v>
      </c>
      <c r="AE271" s="251">
        <f>SUM('BD Feedstock'!B269,'BD Feedstock'!P269,'BD Feedstock'!Q269,'BD Feedstock'!R269)</f>
        <v>70.93020833333334</v>
      </c>
      <c r="AF271" s="251">
        <f>'BD Feedstock'!S269</f>
        <v>1.40625</v>
      </c>
      <c r="AG271" s="251">
        <f t="shared" si="119"/>
        <v>107.82482059462075</v>
      </c>
      <c r="AK271" s="237">
        <f t="shared" si="103"/>
        <v>0.20229846792359021</v>
      </c>
      <c r="AL271" s="237">
        <f t="shared" si="102"/>
        <v>0.11846591703484753</v>
      </c>
      <c r="AM271" s="237">
        <f t="shared" si="102"/>
        <v>8.3654208282077092E-3</v>
      </c>
      <c r="AN271" s="237">
        <f t="shared" si="102"/>
        <v>0.65782820636449979</v>
      </c>
      <c r="AO271" s="237">
        <f t="shared" si="102"/>
        <v>1.304198784885487E-2</v>
      </c>
      <c r="AP271" s="237">
        <f t="shared" si="120"/>
        <v>1</v>
      </c>
      <c r="AQ271" s="237"/>
      <c r="AR271" s="237">
        <f t="shared" si="121"/>
        <v>0.61464645366918802</v>
      </c>
      <c r="AS271" s="237">
        <f t="shared" si="122"/>
        <v>0.35993676340465403</v>
      </c>
      <c r="AT271" s="237">
        <f t="shared" si="123"/>
        <v>2.5416782926158003E-2</v>
      </c>
      <c r="AU271" s="237">
        <f t="shared" si="108"/>
        <v>0.98055959563958928</v>
      </c>
      <c r="AV271" s="237">
        <f t="shared" si="108"/>
        <v>1.9440404360410696E-2</v>
      </c>
      <c r="AX271" s="251">
        <f t="shared" si="129"/>
        <v>3548.2348476623602</v>
      </c>
      <c r="AY271" s="251">
        <f>AVERAGE(BZ265:BZ270)*$W271/2204.622*1000000</f>
        <v>4035.6435830275404</v>
      </c>
      <c r="AZ271" s="251">
        <f t="shared" si="130"/>
        <v>1140.4073385998729</v>
      </c>
      <c r="BA271" s="251">
        <f t="shared" si="131"/>
        <v>81475.516377230349</v>
      </c>
      <c r="BB271" s="251">
        <f t="shared" si="131"/>
        <v>1626.1605171834321</v>
      </c>
      <c r="BC271" s="251">
        <f t="shared" si="109"/>
        <v>91825.962663703554</v>
      </c>
      <c r="BD271" s="270">
        <f t="shared" si="111"/>
        <v>5.5234080981610134</v>
      </c>
      <c r="BY271" s="252">
        <f t="shared" si="125"/>
        <v>0.21342927994701125</v>
      </c>
      <c r="BZ271" s="252">
        <f t="shared" si="125"/>
        <v>0.24274732114076386</v>
      </c>
      <c r="CA271" s="252">
        <f t="shared" si="125"/>
        <v>6.8596450791303207E-2</v>
      </c>
      <c r="CB271" s="252">
        <f t="shared" si="125"/>
        <v>4.900820137415522</v>
      </c>
      <c r="CC271" s="252">
        <f t="shared" si="125"/>
        <v>9.7814908866411504E-2</v>
      </c>
    </row>
    <row r="272" spans="1:81">
      <c r="A272" s="11">
        <v>47908</v>
      </c>
      <c r="B272" s="268">
        <v>70</v>
      </c>
      <c r="C272" s="268">
        <v>13</v>
      </c>
      <c r="D272" s="268">
        <f t="shared" si="107"/>
        <v>20</v>
      </c>
      <c r="E272" s="268">
        <v>3</v>
      </c>
      <c r="F272" s="269">
        <v>0.2</v>
      </c>
      <c r="G272" s="269">
        <v>1.32</v>
      </c>
      <c r="H272" s="269"/>
      <c r="I272" s="269">
        <v>5</v>
      </c>
      <c r="J272" s="269"/>
      <c r="K272" s="269"/>
      <c r="L272" s="269"/>
      <c r="M272" s="269">
        <f t="shared" si="105"/>
        <v>1.5</v>
      </c>
      <c r="N272" s="269">
        <v>45</v>
      </c>
      <c r="O272" s="269">
        <f t="shared" si="114"/>
        <v>17.699535849485258</v>
      </c>
      <c r="Q272" s="251">
        <f t="shared" si="124"/>
        <v>176.71953584948523</v>
      </c>
      <c r="R272" s="251">
        <f>'RD Plant List'!N140</f>
        <v>664.33</v>
      </c>
      <c r="S272" s="251">
        <f>SUM(B272:O272)+'RD Plant List'!N140</f>
        <v>841.04953584948521</v>
      </c>
      <c r="T272" s="237">
        <f t="shared" si="113"/>
        <v>0.7898821314121609</v>
      </c>
      <c r="U272" s="251">
        <f t="shared" si="101"/>
        <v>490.6943884701808</v>
      </c>
      <c r="V272" s="271">
        <f t="shared" si="118"/>
        <v>0.58343101987989898</v>
      </c>
      <c r="W272" s="251">
        <f t="shared" si="126"/>
        <v>40.891199039181735</v>
      </c>
      <c r="X272" s="242">
        <f t="shared" si="127"/>
        <v>5.5234080981445048</v>
      </c>
      <c r="Y272" s="273">
        <f t="shared" si="128"/>
        <v>5.5234080981445048</v>
      </c>
      <c r="AB272" s="251">
        <f>SUM('BD Feedstock'!C270,'BD Feedstock'!E270,'BD Feedstock'!G270,'BD Feedstock'!K270,'BD Feedstock'!T270)</f>
        <v>21.812796010427753</v>
      </c>
      <c r="AC272" s="251">
        <f>SUM('BD Feedstock'!D270,'BD Feedstock'!F270,'BD Feedstock'!H270,'BD Feedstock'!I270,'BD Feedstock'!L270,'BD Feedstock'!M270,'BD Feedstock'!N270,'BD Feedstock'!O270,'BD Feedstock'!U270)</f>
        <v>12.773566250859661</v>
      </c>
      <c r="AD272" s="251">
        <f>'BD Feedstock'!J270</f>
        <v>0.90199999999999991</v>
      </c>
      <c r="AE272" s="251">
        <f>SUM('BD Feedstock'!B270,'BD Feedstock'!P270,'BD Feedstock'!Q270,'BD Feedstock'!R270)</f>
        <v>70.93020833333334</v>
      </c>
      <c r="AF272" s="251">
        <f>'BD Feedstock'!S270</f>
        <v>1.40625</v>
      </c>
      <c r="AG272" s="251">
        <f t="shared" si="119"/>
        <v>107.82482059462075</v>
      </c>
      <c r="AK272" s="237">
        <f t="shared" si="103"/>
        <v>0.20229846792359021</v>
      </c>
      <c r="AL272" s="237">
        <f t="shared" si="102"/>
        <v>0.11846591703484753</v>
      </c>
      <c r="AM272" s="237">
        <f t="shared" si="102"/>
        <v>8.3654208282077092E-3</v>
      </c>
      <c r="AN272" s="237">
        <f t="shared" si="102"/>
        <v>0.65782820636449979</v>
      </c>
      <c r="AO272" s="237">
        <f t="shared" si="102"/>
        <v>1.304198784885487E-2</v>
      </c>
      <c r="AP272" s="237">
        <f t="shared" si="120"/>
        <v>1</v>
      </c>
      <c r="AQ272" s="237"/>
      <c r="AR272" s="237">
        <f t="shared" si="121"/>
        <v>0.61464645366918802</v>
      </c>
      <c r="AS272" s="237">
        <f t="shared" si="122"/>
        <v>0.35993676340465403</v>
      </c>
      <c r="AT272" s="237">
        <f t="shared" si="123"/>
        <v>2.5416782926158003E-2</v>
      </c>
      <c r="AU272" s="237">
        <f t="shared" si="108"/>
        <v>0.98055959563958928</v>
      </c>
      <c r="AV272" s="237">
        <f t="shared" si="108"/>
        <v>1.9440404360410696E-2</v>
      </c>
      <c r="AX272" s="251">
        <f t="shared" si="129"/>
        <v>3955.1154331083881</v>
      </c>
      <c r="AY272" s="251">
        <f t="shared" si="115"/>
        <v>4506.0213020882184</v>
      </c>
      <c r="AZ272" s="251">
        <f t="shared" si="130"/>
        <v>1272.3229300481514</v>
      </c>
      <c r="BA272" s="251">
        <f t="shared" si="131"/>
        <v>90900.123329209338</v>
      </c>
      <c r="BB272" s="251">
        <f t="shared" si="131"/>
        <v>1814.2651699274779</v>
      </c>
      <c r="BC272" s="251">
        <f t="shared" si="109"/>
        <v>102447.84816438158</v>
      </c>
      <c r="BD272" s="270">
        <f t="shared" si="111"/>
        <v>5.5234080981445057</v>
      </c>
      <c r="BY272" s="252">
        <f t="shared" si="125"/>
        <v>0.21323743742547796</v>
      </c>
      <c r="BZ272" s="252">
        <f t="shared" si="125"/>
        <v>0.24293916364578971</v>
      </c>
      <c r="CA272" s="252">
        <f t="shared" si="125"/>
        <v>6.8596450791303221E-2</v>
      </c>
      <c r="CB272" s="252">
        <f t="shared" si="125"/>
        <v>4.9008201374155229</v>
      </c>
      <c r="CC272" s="252">
        <f t="shared" si="125"/>
        <v>9.7814908866411518E-2</v>
      </c>
    </row>
    <row r="273" spans="1:81">
      <c r="A273" s="11">
        <v>47939</v>
      </c>
      <c r="B273" s="268">
        <v>70</v>
      </c>
      <c r="C273" s="268">
        <v>13</v>
      </c>
      <c r="D273" s="268">
        <f t="shared" si="107"/>
        <v>20</v>
      </c>
      <c r="E273" s="268">
        <v>3</v>
      </c>
      <c r="F273" s="269">
        <v>0.2</v>
      </c>
      <c r="G273" s="269">
        <v>1.32</v>
      </c>
      <c r="H273" s="269"/>
      <c r="I273" s="269">
        <v>5</v>
      </c>
      <c r="J273" s="269"/>
      <c r="K273" s="269"/>
      <c r="L273" s="269"/>
      <c r="M273" s="269">
        <f t="shared" si="105"/>
        <v>1.5</v>
      </c>
      <c r="N273" s="269">
        <v>45</v>
      </c>
      <c r="O273" s="269">
        <f t="shared" si="114"/>
        <v>17.699535849485258</v>
      </c>
      <c r="Q273" s="251">
        <f t="shared" si="124"/>
        <v>176.71953584948523</v>
      </c>
      <c r="R273" s="251">
        <f>'RD Plant List'!N141</f>
        <v>664.33</v>
      </c>
      <c r="S273" s="251">
        <f>SUM(B273:O273)+'RD Plant List'!N141</f>
        <v>841.04953584948521</v>
      </c>
      <c r="T273" s="237">
        <f t="shared" si="113"/>
        <v>0.7898821314121609</v>
      </c>
      <c r="U273" s="251">
        <f t="shared" si="101"/>
        <v>498.59173364774756</v>
      </c>
      <c r="V273" s="271">
        <f t="shared" si="118"/>
        <v>0.59282088913366437</v>
      </c>
      <c r="W273" s="251">
        <f t="shared" si="126"/>
        <v>41.549311137312294</v>
      </c>
      <c r="X273" s="242">
        <f t="shared" si="127"/>
        <v>5.5234080981440057</v>
      </c>
      <c r="Y273" s="273">
        <f t="shared" si="128"/>
        <v>5.5234080981440057</v>
      </c>
      <c r="AB273" s="251">
        <f>SUM('BD Feedstock'!C271,'BD Feedstock'!E271,'BD Feedstock'!G271,'BD Feedstock'!K271,'BD Feedstock'!T271)</f>
        <v>21.812796010427753</v>
      </c>
      <c r="AC273" s="251">
        <f>SUM('BD Feedstock'!D271,'BD Feedstock'!F271,'BD Feedstock'!H271,'BD Feedstock'!I271,'BD Feedstock'!L271,'BD Feedstock'!M271,'BD Feedstock'!N271,'BD Feedstock'!O271,'BD Feedstock'!U271)</f>
        <v>12.773566250859661</v>
      </c>
      <c r="AD273" s="251">
        <f>'BD Feedstock'!J271</f>
        <v>0.90199999999999991</v>
      </c>
      <c r="AE273" s="251">
        <f>SUM('BD Feedstock'!B271,'BD Feedstock'!P271,'BD Feedstock'!Q271,'BD Feedstock'!R271)</f>
        <v>70.93020833333334</v>
      </c>
      <c r="AF273" s="251">
        <f>'BD Feedstock'!S271</f>
        <v>1.40625</v>
      </c>
      <c r="AG273" s="251">
        <f t="shared" si="119"/>
        <v>107.82482059462075</v>
      </c>
      <c r="AK273" s="237">
        <f t="shared" si="103"/>
        <v>0.20229846792359021</v>
      </c>
      <c r="AL273" s="237">
        <f t="shared" si="102"/>
        <v>0.11846591703484753</v>
      </c>
      <c r="AM273" s="237">
        <f t="shared" si="102"/>
        <v>8.3654208282077092E-3</v>
      </c>
      <c r="AN273" s="237">
        <f t="shared" si="102"/>
        <v>0.65782820636449979</v>
      </c>
      <c r="AO273" s="237">
        <f t="shared" si="102"/>
        <v>1.304198784885487E-2</v>
      </c>
      <c r="AP273" s="237">
        <f t="shared" si="120"/>
        <v>1</v>
      </c>
      <c r="AQ273" s="237"/>
      <c r="AR273" s="237">
        <f t="shared" si="121"/>
        <v>0.61464645366918802</v>
      </c>
      <c r="AS273" s="237">
        <f t="shared" si="122"/>
        <v>0.35993676340465403</v>
      </c>
      <c r="AT273" s="237">
        <f t="shared" si="123"/>
        <v>2.5416782926158003E-2</v>
      </c>
      <c r="AU273" s="237">
        <f t="shared" si="108"/>
        <v>0.98055959563958928</v>
      </c>
      <c r="AV273" s="237">
        <f t="shared" si="108"/>
        <v>1.9440404360410696E-2</v>
      </c>
      <c r="AX273" s="251">
        <f t="shared" si="129"/>
        <v>4028.7488955347112</v>
      </c>
      <c r="AY273" s="251">
        <f t="shared" si="129"/>
        <v>4568.5632656661182</v>
      </c>
      <c r="AZ273" s="251">
        <f t="shared" si="130"/>
        <v>1292.7999796986464</v>
      </c>
      <c r="BA273" s="251">
        <f t="shared" si="131"/>
        <v>92363.090233828378</v>
      </c>
      <c r="BB273" s="251">
        <f t="shared" si="131"/>
        <v>1843.4643591320325</v>
      </c>
      <c r="BC273" s="251">
        <f t="shared" si="109"/>
        <v>104096.66673385989</v>
      </c>
      <c r="BD273" s="270">
        <f t="shared" si="111"/>
        <v>5.5234080981440057</v>
      </c>
      <c r="BY273" s="252">
        <f t="shared" si="125"/>
        <v>0.21376692427507882</v>
      </c>
      <c r="BZ273" s="252">
        <f t="shared" si="125"/>
        <v>0.24240967679568837</v>
      </c>
      <c r="CA273" s="252">
        <f t="shared" si="125"/>
        <v>6.8596450791303207E-2</v>
      </c>
      <c r="CB273" s="252">
        <f t="shared" si="125"/>
        <v>4.9008201374155229</v>
      </c>
      <c r="CC273" s="252">
        <f t="shared" si="125"/>
        <v>9.7814908866411532E-2</v>
      </c>
    </row>
    <row r="274" spans="1:81">
      <c r="A274" s="11">
        <v>47969</v>
      </c>
      <c r="B274" s="268">
        <v>70</v>
      </c>
      <c r="C274" s="268">
        <v>13</v>
      </c>
      <c r="D274" s="268">
        <f t="shared" si="107"/>
        <v>20</v>
      </c>
      <c r="E274" s="268">
        <v>3</v>
      </c>
      <c r="F274" s="269">
        <v>0.2</v>
      </c>
      <c r="G274" s="269">
        <v>1.32</v>
      </c>
      <c r="H274" s="269"/>
      <c r="I274" s="269">
        <v>5</v>
      </c>
      <c r="J274" s="269"/>
      <c r="K274" s="269"/>
      <c r="L274" s="269"/>
      <c r="M274" s="269">
        <f t="shared" si="105"/>
        <v>1.5</v>
      </c>
      <c r="N274" s="269">
        <v>45</v>
      </c>
      <c r="O274" s="269">
        <f t="shared" si="114"/>
        <v>17.699535849485258</v>
      </c>
      <c r="Q274" s="251">
        <f t="shared" si="124"/>
        <v>176.71953584948523</v>
      </c>
      <c r="R274" s="251">
        <f>'RD Plant List'!N142</f>
        <v>664.33</v>
      </c>
      <c r="S274" s="251">
        <f>SUM(B274:O274)+'RD Plant List'!N142</f>
        <v>841.04953584948521</v>
      </c>
      <c r="T274" s="237">
        <f t="shared" si="113"/>
        <v>0.7898821314121609</v>
      </c>
      <c r="U274" s="251">
        <f t="shared" ref="U274:U337" si="132">S274*V274</f>
        <v>482.93273373091722</v>
      </c>
      <c r="V274" s="271">
        <f t="shared" si="118"/>
        <v>0.57420248528303475</v>
      </c>
      <c r="W274" s="251">
        <f t="shared" si="126"/>
        <v>40.244394477576435</v>
      </c>
      <c r="X274" s="242">
        <f t="shared" si="127"/>
        <v>5.5234080981526459</v>
      </c>
      <c r="Y274" s="273">
        <f t="shared" si="128"/>
        <v>5.5234080981526459</v>
      </c>
      <c r="AB274" s="251">
        <f>SUM('BD Feedstock'!C272,'BD Feedstock'!E272,'BD Feedstock'!G272,'BD Feedstock'!K272,'BD Feedstock'!T272)</f>
        <v>21.812796010427753</v>
      </c>
      <c r="AC274" s="251">
        <f>SUM('BD Feedstock'!D272,'BD Feedstock'!F272,'BD Feedstock'!H272,'BD Feedstock'!I272,'BD Feedstock'!L272,'BD Feedstock'!M272,'BD Feedstock'!N272,'BD Feedstock'!O272,'BD Feedstock'!U272)</f>
        <v>12.773566250859661</v>
      </c>
      <c r="AD274" s="251">
        <f>'BD Feedstock'!J272</f>
        <v>0.90199999999999991</v>
      </c>
      <c r="AE274" s="251">
        <f>SUM('BD Feedstock'!B272,'BD Feedstock'!P272,'BD Feedstock'!Q272,'BD Feedstock'!R272)</f>
        <v>70.93020833333334</v>
      </c>
      <c r="AF274" s="251">
        <f>'BD Feedstock'!S272</f>
        <v>1.40625</v>
      </c>
      <c r="AG274" s="251">
        <f t="shared" si="119"/>
        <v>107.82482059462075</v>
      </c>
      <c r="AK274" s="237">
        <f t="shared" si="103"/>
        <v>0.20229846792359021</v>
      </c>
      <c r="AL274" s="237">
        <f t="shared" si="102"/>
        <v>0.11846591703484753</v>
      </c>
      <c r="AM274" s="237">
        <f t="shared" si="102"/>
        <v>8.3654208282077092E-3</v>
      </c>
      <c r="AN274" s="237">
        <f t="shared" si="102"/>
        <v>0.65782820636449979</v>
      </c>
      <c r="AO274" s="237">
        <f t="shared" ref="AO274:AO337" si="133">AF274/$AG274</f>
        <v>1.304198784885487E-2</v>
      </c>
      <c r="AP274" s="237">
        <f t="shared" si="120"/>
        <v>1</v>
      </c>
      <c r="AQ274" s="237"/>
      <c r="AR274" s="237">
        <f t="shared" si="121"/>
        <v>0.61464645366918802</v>
      </c>
      <c r="AS274" s="237">
        <f t="shared" si="122"/>
        <v>0.35993676340465403</v>
      </c>
      <c r="AT274" s="237">
        <f t="shared" si="123"/>
        <v>2.5416782926158003E-2</v>
      </c>
      <c r="AU274" s="237">
        <f t="shared" si="108"/>
        <v>0.98055959563958928</v>
      </c>
      <c r="AV274" s="237">
        <f t="shared" si="108"/>
        <v>1.9440404360410696E-2</v>
      </c>
      <c r="AX274" s="251">
        <f t="shared" si="129"/>
        <v>3930.8537039498192</v>
      </c>
      <c r="AY274" s="251">
        <f t="shared" si="129"/>
        <v>4396.4473414356062</v>
      </c>
      <c r="AZ274" s="251">
        <f t="shared" si="130"/>
        <v>1252.1977125361475</v>
      </c>
      <c r="BA274" s="251">
        <f t="shared" si="131"/>
        <v>89462.292798402952</v>
      </c>
      <c r="BB274" s="251">
        <f t="shared" si="131"/>
        <v>1785.5676747342875</v>
      </c>
      <c r="BC274" s="251">
        <f t="shared" si="109"/>
        <v>100827.3592310588</v>
      </c>
      <c r="BD274" s="270">
        <f t="shared" si="111"/>
        <v>5.5234080981526459</v>
      </c>
      <c r="BY274" s="252">
        <f t="shared" si="125"/>
        <v>0.2153354937254143</v>
      </c>
      <c r="BZ274" s="252">
        <f t="shared" si="125"/>
        <v>0.2408411073539935</v>
      </c>
      <c r="CA274" s="252">
        <f t="shared" si="125"/>
        <v>6.8596450791303207E-2</v>
      </c>
      <c r="CB274" s="252">
        <f t="shared" si="125"/>
        <v>4.9008201374155238</v>
      </c>
      <c r="CC274" s="252">
        <f t="shared" si="125"/>
        <v>9.7814908866411518E-2</v>
      </c>
    </row>
    <row r="275" spans="1:81">
      <c r="A275" s="11">
        <v>48000</v>
      </c>
      <c r="B275" s="268">
        <v>70</v>
      </c>
      <c r="C275" s="268">
        <v>13</v>
      </c>
      <c r="D275" s="268">
        <f t="shared" si="107"/>
        <v>20</v>
      </c>
      <c r="E275" s="268">
        <v>3</v>
      </c>
      <c r="F275" s="269">
        <v>0.2</v>
      </c>
      <c r="G275" s="269">
        <v>1.32</v>
      </c>
      <c r="H275" s="269"/>
      <c r="I275" s="269">
        <v>5</v>
      </c>
      <c r="J275" s="269"/>
      <c r="K275" s="269"/>
      <c r="L275" s="269"/>
      <c r="M275" s="269">
        <f t="shared" si="105"/>
        <v>1.5</v>
      </c>
      <c r="N275" s="269">
        <v>45</v>
      </c>
      <c r="O275" s="269">
        <f t="shared" si="114"/>
        <v>17.699535849485258</v>
      </c>
      <c r="Q275" s="251">
        <f t="shared" si="124"/>
        <v>176.71953584948523</v>
      </c>
      <c r="R275" s="251">
        <f>'RD Plant List'!N143</f>
        <v>664.33</v>
      </c>
      <c r="S275" s="251">
        <f>SUM(B275:O275)+'RD Plant List'!N143</f>
        <v>841.04953584948521</v>
      </c>
      <c r="T275" s="237">
        <f t="shared" si="113"/>
        <v>0.7898821314121609</v>
      </c>
      <c r="U275" s="251">
        <f t="shared" si="132"/>
        <v>540.78988445209643</v>
      </c>
      <c r="V275" s="271">
        <f t="shared" si="118"/>
        <v>0.64299409416578823</v>
      </c>
      <c r="W275" s="251">
        <f t="shared" si="126"/>
        <v>45.065823704341369</v>
      </c>
      <c r="X275" s="242">
        <f t="shared" si="127"/>
        <v>6.3874374528827431</v>
      </c>
      <c r="Y275" s="273">
        <f t="shared" si="128"/>
        <v>6.3874374528827431</v>
      </c>
      <c r="AB275" s="251">
        <f>SUM('BD Feedstock'!C273,'BD Feedstock'!E273,'BD Feedstock'!G273,'BD Feedstock'!K273,'BD Feedstock'!T273)</f>
        <v>21.812796010427753</v>
      </c>
      <c r="AC275" s="251">
        <f>SUM('BD Feedstock'!D273,'BD Feedstock'!F273,'BD Feedstock'!H273,'BD Feedstock'!I273,'BD Feedstock'!L273,'BD Feedstock'!M273,'BD Feedstock'!N273,'BD Feedstock'!O273,'BD Feedstock'!U273)</f>
        <v>12.773566250859661</v>
      </c>
      <c r="AD275" s="251">
        <f>'BD Feedstock'!J273</f>
        <v>0.90199999999999991</v>
      </c>
      <c r="AE275" s="251">
        <f>SUM('BD Feedstock'!B273,'BD Feedstock'!P273,'BD Feedstock'!Q273,'BD Feedstock'!R273)</f>
        <v>70.93020833333334</v>
      </c>
      <c r="AF275" s="251">
        <f>'BD Feedstock'!S273</f>
        <v>1.40625</v>
      </c>
      <c r="AG275" s="251">
        <f t="shared" si="119"/>
        <v>107.82482059462075</v>
      </c>
      <c r="AK275" s="237">
        <f t="shared" si="103"/>
        <v>0.20229846792359021</v>
      </c>
      <c r="AL275" s="237">
        <f t="shared" si="103"/>
        <v>0.11846591703484753</v>
      </c>
      <c r="AM275" s="237">
        <f t="shared" si="103"/>
        <v>8.3654208282077092E-3</v>
      </c>
      <c r="AN275" s="237">
        <f t="shared" si="103"/>
        <v>0.65782820636449979</v>
      </c>
      <c r="AO275" s="237">
        <f t="shared" si="133"/>
        <v>1.304198784885487E-2</v>
      </c>
      <c r="AP275" s="237">
        <f t="shared" si="120"/>
        <v>1</v>
      </c>
      <c r="AQ275" s="237"/>
      <c r="AR275" s="237">
        <f t="shared" si="121"/>
        <v>0.61464645366918802</v>
      </c>
      <c r="AS275" s="237">
        <f t="shared" si="122"/>
        <v>0.35993676340465403</v>
      </c>
      <c r="AT275" s="237">
        <f t="shared" si="123"/>
        <v>2.5416782926158003E-2</v>
      </c>
      <c r="AU275" s="237">
        <f t="shared" si="108"/>
        <v>0.98055959563958928</v>
      </c>
      <c r="AV275" s="237">
        <f t="shared" si="108"/>
        <v>1.9440404360410696E-2</v>
      </c>
      <c r="AX275" s="251">
        <f>($U275/12*AK275*AB$5/2204.622*1000000)-($BJ275*AR275)-10000</f>
        <v>22048.482667798507</v>
      </c>
      <c r="AY275" s="251">
        <f t="shared" si="129"/>
        <v>4938.5331825071962</v>
      </c>
      <c r="AZ275" s="251">
        <f t="shared" si="130"/>
        <v>1402.2156896304214</v>
      </c>
      <c r="BA275" s="251">
        <f t="shared" si="131"/>
        <v>100180.2106299647</v>
      </c>
      <c r="BB275" s="251">
        <f t="shared" si="131"/>
        <v>1999.4853714740759</v>
      </c>
      <c r="BC275" s="251">
        <f t="shared" si="109"/>
        <v>130568.9275413749</v>
      </c>
      <c r="BD275" s="270">
        <f t="shared" si="111"/>
        <v>6.3874374528827431</v>
      </c>
      <c r="BY275" s="252">
        <f t="shared" si="125"/>
        <v>1.0786127038295901</v>
      </c>
      <c r="BZ275" s="252">
        <f t="shared" si="125"/>
        <v>0.24159325197991519</v>
      </c>
      <c r="CA275" s="252">
        <f t="shared" si="125"/>
        <v>6.8596450791303221E-2</v>
      </c>
      <c r="CB275" s="252">
        <f t="shared" si="125"/>
        <v>4.9008201374155238</v>
      </c>
      <c r="CC275" s="252">
        <f t="shared" si="125"/>
        <v>9.7814908866411532E-2</v>
      </c>
    </row>
    <row r="276" spans="1:81">
      <c r="A276" s="11">
        <v>48030</v>
      </c>
      <c r="B276" s="268">
        <v>70</v>
      </c>
      <c r="C276" s="268">
        <v>13</v>
      </c>
      <c r="D276" s="268">
        <f t="shared" si="107"/>
        <v>20</v>
      </c>
      <c r="E276" s="268">
        <v>3</v>
      </c>
      <c r="F276" s="269">
        <v>0.2</v>
      </c>
      <c r="G276" s="269">
        <v>1.32</v>
      </c>
      <c r="H276" s="269"/>
      <c r="I276" s="269">
        <v>5</v>
      </c>
      <c r="J276" s="269"/>
      <c r="K276" s="269"/>
      <c r="L276" s="269"/>
      <c r="M276" s="269">
        <f t="shared" si="105"/>
        <v>1.5</v>
      </c>
      <c r="N276" s="269">
        <v>45</v>
      </c>
      <c r="O276" s="269">
        <f t="shared" si="114"/>
        <v>17.699535849485258</v>
      </c>
      <c r="Q276" s="251">
        <f t="shared" si="124"/>
        <v>176.71953584948523</v>
      </c>
      <c r="R276" s="251">
        <f>'RD Plant List'!N144</f>
        <v>664.33</v>
      </c>
      <c r="S276" s="251">
        <f>SUM(B276:O276)+'RD Plant List'!N144</f>
        <v>841.04953584948521</v>
      </c>
      <c r="T276" s="237">
        <f t="shared" si="113"/>
        <v>0.7898821314121609</v>
      </c>
      <c r="U276" s="251">
        <f t="shared" si="132"/>
        <v>553.37296925422243</v>
      </c>
      <c r="V276" s="271">
        <f t="shared" si="118"/>
        <v>0.65795526383032743</v>
      </c>
      <c r="W276" s="251">
        <f t="shared" si="126"/>
        <v>46.114414104518538</v>
      </c>
      <c r="X276" s="242">
        <f t="shared" si="127"/>
        <v>6.398970111319775</v>
      </c>
      <c r="Y276" s="273">
        <f t="shared" si="128"/>
        <v>6.398970111319775</v>
      </c>
      <c r="AB276" s="251">
        <f>SUM('BD Feedstock'!C274,'BD Feedstock'!E274,'BD Feedstock'!G274,'BD Feedstock'!K274,'BD Feedstock'!T274)</f>
        <v>21.812796010427753</v>
      </c>
      <c r="AC276" s="251">
        <f>SUM('BD Feedstock'!D274,'BD Feedstock'!F274,'BD Feedstock'!H274,'BD Feedstock'!I274,'BD Feedstock'!L274,'BD Feedstock'!M274,'BD Feedstock'!N274,'BD Feedstock'!O274,'BD Feedstock'!U274)</f>
        <v>12.773566250859661</v>
      </c>
      <c r="AD276" s="251">
        <f>'BD Feedstock'!J274</f>
        <v>0.90199999999999991</v>
      </c>
      <c r="AE276" s="251">
        <f>SUM('BD Feedstock'!B274,'BD Feedstock'!P274,'BD Feedstock'!Q274,'BD Feedstock'!R274)</f>
        <v>70.93020833333334</v>
      </c>
      <c r="AF276" s="251">
        <f>'BD Feedstock'!S274</f>
        <v>1.40625</v>
      </c>
      <c r="AG276" s="251">
        <f t="shared" si="119"/>
        <v>107.82482059462075</v>
      </c>
      <c r="AK276" s="237">
        <f t="shared" ref="AK276:AO339" si="134">AB276/$AG276</f>
        <v>0.20229846792359021</v>
      </c>
      <c r="AL276" s="237">
        <f t="shared" si="134"/>
        <v>0.11846591703484753</v>
      </c>
      <c r="AM276" s="237">
        <f t="shared" si="134"/>
        <v>8.3654208282077092E-3</v>
      </c>
      <c r="AN276" s="237">
        <f t="shared" si="134"/>
        <v>0.65782820636449979</v>
      </c>
      <c r="AO276" s="237">
        <f t="shared" si="133"/>
        <v>1.304198784885487E-2</v>
      </c>
      <c r="AP276" s="237">
        <f t="shared" si="120"/>
        <v>1</v>
      </c>
      <c r="AQ276" s="237"/>
      <c r="AR276" s="237">
        <f t="shared" si="121"/>
        <v>0.61464645366918802</v>
      </c>
      <c r="AS276" s="237">
        <f t="shared" si="122"/>
        <v>0.35993676340465403</v>
      </c>
      <c r="AT276" s="237">
        <f t="shared" si="123"/>
        <v>2.5416782926158003E-2</v>
      </c>
      <c r="AU276" s="237">
        <f t="shared" si="108"/>
        <v>0.98055959563958928</v>
      </c>
      <c r="AV276" s="237">
        <f t="shared" si="108"/>
        <v>1.9440404360410696E-2</v>
      </c>
      <c r="AX276" s="251">
        <f>($U276/12*AK276*AB$5/2204.622*1000000)-($BJ276*AR276)-10000</f>
        <v>22794.185919250682</v>
      </c>
      <c r="AY276" s="251">
        <f t="shared" si="129"/>
        <v>5061.9934785519617</v>
      </c>
      <c r="AZ276" s="251">
        <f t="shared" si="130"/>
        <v>1434.842407401534</v>
      </c>
      <c r="BA276" s="251">
        <f t="shared" si="131"/>
        <v>102511.20113495325</v>
      </c>
      <c r="BB276" s="251">
        <f t="shared" si="131"/>
        <v>2046.0093444869203</v>
      </c>
      <c r="BC276" s="251">
        <f t="shared" si="109"/>
        <v>133848.23228464436</v>
      </c>
      <c r="BD276" s="270">
        <f t="shared" si="111"/>
        <v>6.398970111319775</v>
      </c>
      <c r="BY276" s="252">
        <f t="shared" si="125"/>
        <v>1.0897365764156213</v>
      </c>
      <c r="BZ276" s="252">
        <f t="shared" si="125"/>
        <v>0.24200203783091515</v>
      </c>
      <c r="CA276" s="252">
        <f t="shared" si="125"/>
        <v>6.8596450791303207E-2</v>
      </c>
      <c r="CB276" s="252">
        <f t="shared" si="125"/>
        <v>4.9008201374155229</v>
      </c>
      <c r="CC276" s="252">
        <f t="shared" si="125"/>
        <v>9.7814908866411518E-2</v>
      </c>
    </row>
    <row r="277" spans="1:81" s="279" customFormat="1">
      <c r="A277" s="276">
        <v>48061</v>
      </c>
      <c r="B277" s="277">
        <v>70</v>
      </c>
      <c r="C277" s="277">
        <v>13</v>
      </c>
      <c r="D277" s="277">
        <f t="shared" si="107"/>
        <v>20</v>
      </c>
      <c r="E277" s="277">
        <v>3</v>
      </c>
      <c r="F277" s="278">
        <v>0.2</v>
      </c>
      <c r="G277" s="278">
        <v>1.32</v>
      </c>
      <c r="H277" s="278"/>
      <c r="I277" s="278">
        <v>5</v>
      </c>
      <c r="J277" s="278"/>
      <c r="K277" s="278"/>
      <c r="L277" s="278"/>
      <c r="M277" s="278">
        <f t="shared" si="105"/>
        <v>1.5</v>
      </c>
      <c r="N277" s="278">
        <v>45</v>
      </c>
      <c r="O277" s="278">
        <f t="shared" si="114"/>
        <v>17.699535849485258</v>
      </c>
      <c r="Q277" s="180">
        <f t="shared" si="124"/>
        <v>176.71953584948523</v>
      </c>
      <c r="R277" s="180">
        <f>'RD Plant List'!N145</f>
        <v>664.33</v>
      </c>
      <c r="S277" s="180">
        <f>SUM(B277:O277)+'RD Plant List'!N145</f>
        <v>841.04953584948521</v>
      </c>
      <c r="T277" s="280">
        <f t="shared" si="113"/>
        <v>0.7898821314121609</v>
      </c>
      <c r="U277" s="180">
        <f t="shared" si="132"/>
        <v>523.79066782685879</v>
      </c>
      <c r="V277" s="281">
        <f t="shared" si="118"/>
        <v>0.62278218523456474</v>
      </c>
      <c r="W277" s="180">
        <f t="shared" si="126"/>
        <v>43.649222318904897</v>
      </c>
      <c r="X277" s="282">
        <f>(BC277*2204.622)/(W277*1000000)</f>
        <v>7.6100191206778574</v>
      </c>
      <c r="Y277" s="283">
        <f t="shared" si="128"/>
        <v>7.6100191206778574</v>
      </c>
      <c r="Z277" s="284"/>
      <c r="AA277" s="284"/>
      <c r="AB277" s="180">
        <f>SUM('BD Feedstock'!C275,'BD Feedstock'!E275,'BD Feedstock'!G275,'BD Feedstock'!K275,'BD Feedstock'!T275)</f>
        <v>21.812796010427753</v>
      </c>
      <c r="AC277" s="180">
        <f>SUM('BD Feedstock'!D275,'BD Feedstock'!F275,'BD Feedstock'!H275,'BD Feedstock'!I275,'BD Feedstock'!L275,'BD Feedstock'!M275,'BD Feedstock'!N275,'BD Feedstock'!O275,'BD Feedstock'!U275)</f>
        <v>12.773566250859661</v>
      </c>
      <c r="AD277" s="180">
        <f>'BD Feedstock'!J275</f>
        <v>0.90199999999999991</v>
      </c>
      <c r="AE277" s="180">
        <f>SUM('BD Feedstock'!B275,'BD Feedstock'!P275,'BD Feedstock'!Q275,'BD Feedstock'!R275)</f>
        <v>70.93020833333334</v>
      </c>
      <c r="AF277" s="180">
        <f>'BD Feedstock'!S275</f>
        <v>1.40625</v>
      </c>
      <c r="AG277" s="180">
        <f t="shared" si="119"/>
        <v>107.82482059462075</v>
      </c>
      <c r="AK277" s="280">
        <f t="shared" si="134"/>
        <v>0.20229846792359021</v>
      </c>
      <c r="AL277" s="280">
        <f t="shared" si="134"/>
        <v>0.11846591703484753</v>
      </c>
      <c r="AM277" s="280">
        <f t="shared" si="134"/>
        <v>8.3654208282077092E-3</v>
      </c>
      <c r="AN277" s="280">
        <f t="shared" si="134"/>
        <v>0.65782820636449979</v>
      </c>
      <c r="AO277" s="280">
        <f t="shared" si="133"/>
        <v>1.304198784885487E-2</v>
      </c>
      <c r="AP277" s="280">
        <f t="shared" si="120"/>
        <v>1</v>
      </c>
      <c r="AQ277" s="280"/>
      <c r="AR277" s="280">
        <f t="shared" si="121"/>
        <v>0.61464645366918802</v>
      </c>
      <c r="AS277" s="280">
        <f t="shared" si="122"/>
        <v>0.35993676340465403</v>
      </c>
      <c r="AT277" s="280">
        <f t="shared" si="123"/>
        <v>2.5416782926158003E-2</v>
      </c>
      <c r="AU277" s="280">
        <f t="shared" si="108"/>
        <v>0.98055959563958928</v>
      </c>
      <c r="AV277" s="280">
        <f t="shared" si="108"/>
        <v>1.9440404360410696E-2</v>
      </c>
      <c r="AX277" s="180">
        <f>($U277/12*AK277*AB$5/2204.622*1000000)-($BJ277*AR277)-10000</f>
        <v>21041.069039986203</v>
      </c>
      <c r="AY277" s="180">
        <f>($U277/12*AL277*AC$5/2204.622*1000000)-($BJ277*AS277)+10000</f>
        <v>29303.480861302043</v>
      </c>
      <c r="AZ277" s="180">
        <f t="shared" si="130"/>
        <v>1358.1383706038557</v>
      </c>
      <c r="BA277" s="180">
        <f t="shared" si="131"/>
        <v>97031.140813716032</v>
      </c>
      <c r="BB277" s="180">
        <f t="shared" si="131"/>
        <v>1936.6334470097001</v>
      </c>
      <c r="BC277" s="180">
        <f t="shared" si="109"/>
        <v>150670.46253261782</v>
      </c>
      <c r="BD277" s="285">
        <f t="shared" si="111"/>
        <v>7.6100191206778574</v>
      </c>
      <c r="BY277" s="286">
        <f t="shared" si="125"/>
        <v>1.0627360865712732</v>
      </c>
      <c r="BZ277" s="286">
        <f t="shared" si="125"/>
        <v>1.480051537033346</v>
      </c>
      <c r="CA277" s="286">
        <f t="shared" si="125"/>
        <v>6.8596450791303207E-2</v>
      </c>
      <c r="CB277" s="286">
        <f t="shared" si="125"/>
        <v>4.9008201374155238</v>
      </c>
      <c r="CC277" s="286">
        <f t="shared" si="125"/>
        <v>9.7814908866411532E-2</v>
      </c>
    </row>
    <row r="278" spans="1:81">
      <c r="A278" s="11">
        <v>48092</v>
      </c>
      <c r="B278" s="268">
        <v>70</v>
      </c>
      <c r="C278" s="268">
        <v>13</v>
      </c>
      <c r="D278" s="268">
        <f t="shared" si="107"/>
        <v>20</v>
      </c>
      <c r="E278" s="268">
        <v>3</v>
      </c>
      <c r="F278" s="269">
        <v>0.2</v>
      </c>
      <c r="G278" s="269">
        <v>1.32</v>
      </c>
      <c r="H278" s="269"/>
      <c r="I278" s="269">
        <v>5</v>
      </c>
      <c r="J278" s="269"/>
      <c r="K278" s="269"/>
      <c r="L278" s="269"/>
      <c r="M278" s="269">
        <f t="shared" si="105"/>
        <v>1.5</v>
      </c>
      <c r="N278" s="269">
        <v>45</v>
      </c>
      <c r="O278" s="269">
        <f t="shared" si="114"/>
        <v>17.699535849485258</v>
      </c>
      <c r="Q278" s="251">
        <f t="shared" si="124"/>
        <v>176.71953584948523</v>
      </c>
      <c r="R278" s="251">
        <f>'RD Plant List'!N146</f>
        <v>664.33</v>
      </c>
      <c r="S278" s="251">
        <f>SUM(B278:O278)+'RD Plant List'!N146</f>
        <v>841.04953584948521</v>
      </c>
      <c r="T278" s="237">
        <f t="shared" si="113"/>
        <v>0.7898821314121609</v>
      </c>
      <c r="U278" s="251">
        <f t="shared" si="132"/>
        <v>569.12858496317995</v>
      </c>
      <c r="V278" s="271">
        <f t="shared" si="118"/>
        <v>0.67668854295049696</v>
      </c>
      <c r="W278" s="251">
        <f t="shared" si="126"/>
        <v>47.427382080264998</v>
      </c>
      <c r="X278" s="242">
        <f t="shared" si="127"/>
        <v>7.6100191206778565</v>
      </c>
      <c r="Y278" s="273">
        <f t="shared" si="128"/>
        <v>7.6100191206778565</v>
      </c>
      <c r="AB278" s="251">
        <f>SUM('BD Feedstock'!C276,'BD Feedstock'!E276,'BD Feedstock'!G276,'BD Feedstock'!K276,'BD Feedstock'!T276)</f>
        <v>21.812796010427753</v>
      </c>
      <c r="AC278" s="251">
        <f>SUM('BD Feedstock'!D276,'BD Feedstock'!F276,'BD Feedstock'!H276,'BD Feedstock'!I276,'BD Feedstock'!L276,'BD Feedstock'!M276,'BD Feedstock'!N276,'BD Feedstock'!O276,'BD Feedstock'!U276)</f>
        <v>12.773566250859661</v>
      </c>
      <c r="AD278" s="251">
        <f>'BD Feedstock'!J276</f>
        <v>0.90199999999999991</v>
      </c>
      <c r="AE278" s="251">
        <f>SUM('BD Feedstock'!B276,'BD Feedstock'!P276,'BD Feedstock'!Q276,'BD Feedstock'!R276)</f>
        <v>70.93020833333334</v>
      </c>
      <c r="AF278" s="251">
        <f>'BD Feedstock'!S276</f>
        <v>1.40625</v>
      </c>
      <c r="AG278" s="251">
        <f t="shared" si="119"/>
        <v>107.82482059462075</v>
      </c>
      <c r="AK278" s="237">
        <f t="shared" si="134"/>
        <v>0.20229846792359021</v>
      </c>
      <c r="AL278" s="237">
        <f t="shared" si="134"/>
        <v>0.11846591703484753</v>
      </c>
      <c r="AM278" s="237">
        <f t="shared" si="134"/>
        <v>8.3654208282077092E-3</v>
      </c>
      <c r="AN278" s="237">
        <f t="shared" si="134"/>
        <v>0.65782820636449979</v>
      </c>
      <c r="AO278" s="237">
        <f t="shared" si="133"/>
        <v>1.304198784885487E-2</v>
      </c>
      <c r="AP278" s="237">
        <f t="shared" si="120"/>
        <v>1</v>
      </c>
      <c r="AQ278" s="237"/>
      <c r="AR278" s="237">
        <f t="shared" si="121"/>
        <v>0.61464645366918802</v>
      </c>
      <c r="AS278" s="237">
        <f t="shared" si="122"/>
        <v>0.35993676340465403</v>
      </c>
      <c r="AT278" s="237">
        <f t="shared" si="123"/>
        <v>2.5416782926158003E-2</v>
      </c>
      <c r="AU278" s="237">
        <f t="shared" si="108"/>
        <v>0.98055959563958928</v>
      </c>
      <c r="AV278" s="237">
        <f t="shared" si="108"/>
        <v>1.9440404360410696E-2</v>
      </c>
      <c r="AX278" s="251">
        <f>($U278/12*AK278*AB$5/2204.622*1000000)-($BJ278*AR278)-10000</f>
        <v>23727.900826807811</v>
      </c>
      <c r="AY278" s="251">
        <f>($U278/12*AL278*AC$5/2204.622*1000000)-($BJ278*AS278)+10000</f>
        <v>30974.338456690835</v>
      </c>
      <c r="AZ278" s="251">
        <f t="shared" si="130"/>
        <v>1475.6951899369751</v>
      </c>
      <c r="BA278" s="251">
        <f t="shared" si="131"/>
        <v>105429.89644658488</v>
      </c>
      <c r="BB278" s="251">
        <f t="shared" si="131"/>
        <v>2104.2632505497995</v>
      </c>
      <c r="BC278" s="251">
        <f t="shared" si="109"/>
        <v>163712.09417057029</v>
      </c>
      <c r="BD278" s="270">
        <f t="shared" si="111"/>
        <v>7.6100191206778565</v>
      </c>
      <c r="BY278" s="252">
        <f t="shared" si="125"/>
        <v>1.1029715299922873</v>
      </c>
      <c r="BZ278" s="252">
        <f t="shared" si="125"/>
        <v>1.4398160936123319</v>
      </c>
      <c r="CA278" s="252">
        <f t="shared" si="125"/>
        <v>6.8596450791303207E-2</v>
      </c>
      <c r="CB278" s="252">
        <f t="shared" si="125"/>
        <v>4.9008201374155238</v>
      </c>
      <c r="CC278" s="252">
        <f t="shared" si="125"/>
        <v>9.7814908866411518E-2</v>
      </c>
    </row>
    <row r="279" spans="1:81">
      <c r="A279" s="11">
        <v>48122</v>
      </c>
      <c r="B279" s="268">
        <v>70</v>
      </c>
      <c r="C279" s="268">
        <v>13</v>
      </c>
      <c r="D279" s="268">
        <f t="shared" si="107"/>
        <v>20</v>
      </c>
      <c r="E279" s="268">
        <v>3</v>
      </c>
      <c r="F279" s="269">
        <v>0.2</v>
      </c>
      <c r="G279" s="269">
        <v>1.32</v>
      </c>
      <c r="H279" s="269"/>
      <c r="I279" s="269">
        <v>5</v>
      </c>
      <c r="J279" s="269"/>
      <c r="K279" s="269"/>
      <c r="L279" s="269"/>
      <c r="M279" s="269">
        <f t="shared" ref="M279:M342" si="135">$M$3</f>
        <v>1.5</v>
      </c>
      <c r="N279" s="269">
        <v>45</v>
      </c>
      <c r="O279" s="269">
        <f t="shared" si="114"/>
        <v>17.699535849485258</v>
      </c>
      <c r="Q279" s="251">
        <f t="shared" si="124"/>
        <v>176.71953584948523</v>
      </c>
      <c r="R279" s="251">
        <f>'RD Plant List'!N147</f>
        <v>664.33</v>
      </c>
      <c r="S279" s="251">
        <f>SUM(B279:O279)+'RD Plant List'!N147</f>
        <v>841.04953584948521</v>
      </c>
      <c r="T279" s="237">
        <f t="shared" si="113"/>
        <v>0.7898821314121609</v>
      </c>
      <c r="U279" s="251">
        <f t="shared" si="132"/>
        <v>596.02916699273544</v>
      </c>
      <c r="V279" s="271">
        <f t="shared" si="118"/>
        <v>0.70867308236574689</v>
      </c>
      <c r="W279" s="251">
        <f t="shared" si="126"/>
        <v>49.669097249394618</v>
      </c>
      <c r="X279" s="242">
        <f t="shared" si="127"/>
        <v>7.6100191206778582</v>
      </c>
      <c r="Y279" s="273">
        <f t="shared" si="128"/>
        <v>7.6100191206778582</v>
      </c>
      <c r="AB279" s="251">
        <f>SUM('BD Feedstock'!C277,'BD Feedstock'!E277,'BD Feedstock'!G277,'BD Feedstock'!K277,'BD Feedstock'!T277)</f>
        <v>21.812796010427753</v>
      </c>
      <c r="AC279" s="251">
        <f>SUM('BD Feedstock'!D277,'BD Feedstock'!F277,'BD Feedstock'!H277,'BD Feedstock'!I277,'BD Feedstock'!L277,'BD Feedstock'!M277,'BD Feedstock'!N277,'BD Feedstock'!O277,'BD Feedstock'!U277)</f>
        <v>12.773566250859661</v>
      </c>
      <c r="AD279" s="251">
        <f>'BD Feedstock'!J277</f>
        <v>0.90199999999999991</v>
      </c>
      <c r="AE279" s="251">
        <f>SUM('BD Feedstock'!B277,'BD Feedstock'!P277,'BD Feedstock'!Q277,'BD Feedstock'!R277)</f>
        <v>70.93020833333334</v>
      </c>
      <c r="AF279" s="251">
        <f>'BD Feedstock'!S277</f>
        <v>1.40625</v>
      </c>
      <c r="AG279" s="251">
        <f t="shared" si="119"/>
        <v>107.82482059462075</v>
      </c>
      <c r="AK279" s="237">
        <f t="shared" si="134"/>
        <v>0.20229846792359021</v>
      </c>
      <c r="AL279" s="237">
        <f t="shared" si="134"/>
        <v>0.11846591703484753</v>
      </c>
      <c r="AM279" s="237">
        <f t="shared" si="134"/>
        <v>8.3654208282077092E-3</v>
      </c>
      <c r="AN279" s="237">
        <f t="shared" si="134"/>
        <v>0.65782820636449979</v>
      </c>
      <c r="AO279" s="237">
        <f t="shared" si="133"/>
        <v>1.304198784885487E-2</v>
      </c>
      <c r="AP279" s="237">
        <f t="shared" si="120"/>
        <v>1</v>
      </c>
      <c r="AQ279" s="237"/>
      <c r="AR279" s="237">
        <f t="shared" si="121"/>
        <v>0.61464645366918802</v>
      </c>
      <c r="AS279" s="237">
        <f t="shared" si="122"/>
        <v>0.35993676340465403</v>
      </c>
      <c r="AT279" s="237">
        <f t="shared" si="123"/>
        <v>2.5416782926158003E-2</v>
      </c>
      <c r="AU279" s="237">
        <f t="shared" si="108"/>
        <v>0.98055959563958928</v>
      </c>
      <c r="AV279" s="237">
        <f t="shared" si="108"/>
        <v>1.9440404360410696E-2</v>
      </c>
      <c r="AX279" s="251">
        <f>($U279/12*AK279*AB$5/2204.622*1000000)-($BJ279*AR279)-10000</f>
        <v>25322.092696356856</v>
      </c>
      <c r="AY279" s="251">
        <f>($U279/12*AL279*AC$5/2204.622*1000000)-($BJ279*AS279)+10000</f>
        <v>31965.717078459365</v>
      </c>
      <c r="AZ279" s="251">
        <f t="shared" si="130"/>
        <v>1545.4457885826014</v>
      </c>
      <c r="BA279" s="251">
        <f t="shared" si="131"/>
        <v>110413.17378084913</v>
      </c>
      <c r="BB279" s="251">
        <f t="shared" si="131"/>
        <v>2203.7239131817005</v>
      </c>
      <c r="BC279" s="251">
        <f t="shared" si="109"/>
        <v>171450.15325742966</v>
      </c>
      <c r="BD279" s="270">
        <f t="shared" si="111"/>
        <v>7.6100191206778582</v>
      </c>
      <c r="BY279" s="252">
        <f t="shared" si="125"/>
        <v>1.123951223919377</v>
      </c>
      <c r="BZ279" s="252">
        <f t="shared" si="125"/>
        <v>1.4188363996852424</v>
      </c>
      <c r="CA279" s="252">
        <f t="shared" si="125"/>
        <v>6.8596450791303207E-2</v>
      </c>
      <c r="CB279" s="252">
        <f t="shared" si="125"/>
        <v>4.9008201374155238</v>
      </c>
      <c r="CC279" s="252">
        <f t="shared" si="125"/>
        <v>9.7814908866411532E-2</v>
      </c>
    </row>
    <row r="280" spans="1:81">
      <c r="A280" s="11">
        <v>48153</v>
      </c>
      <c r="B280" s="268">
        <v>70</v>
      </c>
      <c r="C280" s="268">
        <v>13</v>
      </c>
      <c r="D280" s="268">
        <f t="shared" si="107"/>
        <v>20</v>
      </c>
      <c r="E280" s="268">
        <v>3</v>
      </c>
      <c r="F280" s="269">
        <v>0.2</v>
      </c>
      <c r="G280" s="269">
        <v>1.32</v>
      </c>
      <c r="H280" s="269"/>
      <c r="I280" s="269">
        <v>5</v>
      </c>
      <c r="J280" s="269"/>
      <c r="K280" s="269"/>
      <c r="L280" s="269"/>
      <c r="M280" s="269">
        <f t="shared" si="135"/>
        <v>1.5</v>
      </c>
      <c r="N280" s="269">
        <v>45</v>
      </c>
      <c r="O280" s="269">
        <f t="shared" si="114"/>
        <v>17.699535849485258</v>
      </c>
      <c r="Q280" s="251">
        <f t="shared" si="124"/>
        <v>176.71953584948523</v>
      </c>
      <c r="R280" s="251">
        <f>'RD Plant List'!N148</f>
        <v>664.33</v>
      </c>
      <c r="S280" s="251">
        <f>SUM(B280:O280)+'RD Plant List'!N148</f>
        <v>841.04953584948521</v>
      </c>
      <c r="T280" s="237">
        <f t="shared" si="113"/>
        <v>0.7898821314121609</v>
      </c>
      <c r="U280" s="251">
        <f t="shared" si="132"/>
        <v>640.24019175824401</v>
      </c>
      <c r="V280" s="271">
        <f t="shared" si="118"/>
        <v>0.76123957563519995</v>
      </c>
      <c r="W280" s="251">
        <f t="shared" si="126"/>
        <v>53.353349313187003</v>
      </c>
      <c r="X280" s="242">
        <f t="shared" si="127"/>
        <v>7.6100191206778582</v>
      </c>
      <c r="Y280" s="273">
        <f t="shared" si="128"/>
        <v>7.6100191206778582</v>
      </c>
      <c r="AB280" s="251">
        <f>SUM('BD Feedstock'!C278,'BD Feedstock'!E278,'BD Feedstock'!G278,'BD Feedstock'!K278,'BD Feedstock'!T278)</f>
        <v>21.812796010427753</v>
      </c>
      <c r="AC280" s="251">
        <f>SUM('BD Feedstock'!D278,'BD Feedstock'!F278,'BD Feedstock'!H278,'BD Feedstock'!I278,'BD Feedstock'!L278,'BD Feedstock'!M278,'BD Feedstock'!N278,'BD Feedstock'!O278,'BD Feedstock'!U278)</f>
        <v>12.773566250859661</v>
      </c>
      <c r="AD280" s="251">
        <f>'BD Feedstock'!J278</f>
        <v>0.90199999999999991</v>
      </c>
      <c r="AE280" s="251">
        <f>SUM('BD Feedstock'!B278,'BD Feedstock'!P278,'BD Feedstock'!Q278,'BD Feedstock'!R278)</f>
        <v>70.93020833333334</v>
      </c>
      <c r="AF280" s="251">
        <f>'BD Feedstock'!S278</f>
        <v>1.40625</v>
      </c>
      <c r="AG280" s="251">
        <f t="shared" si="119"/>
        <v>107.82482059462075</v>
      </c>
      <c r="AK280" s="237">
        <f t="shared" si="134"/>
        <v>0.20229846792359021</v>
      </c>
      <c r="AL280" s="237">
        <f t="shared" si="134"/>
        <v>0.11846591703484753</v>
      </c>
      <c r="AM280" s="237">
        <f t="shared" si="134"/>
        <v>8.3654208282077092E-3</v>
      </c>
      <c r="AN280" s="237">
        <f t="shared" si="134"/>
        <v>0.65782820636449979</v>
      </c>
      <c r="AO280" s="237">
        <f t="shared" si="133"/>
        <v>1.304198784885487E-2</v>
      </c>
      <c r="AP280" s="237">
        <f t="shared" si="120"/>
        <v>1</v>
      </c>
      <c r="AQ280" s="237"/>
      <c r="AR280" s="237">
        <f t="shared" si="121"/>
        <v>0.61464645366918802</v>
      </c>
      <c r="AS280" s="237">
        <f t="shared" si="122"/>
        <v>0.35993676340465403</v>
      </c>
      <c r="AT280" s="237">
        <f t="shared" si="123"/>
        <v>2.5416782926158003E-2</v>
      </c>
      <c r="AU280" s="237">
        <f t="shared" si="108"/>
        <v>0.98055959563958928</v>
      </c>
      <c r="AV280" s="237">
        <f t="shared" si="108"/>
        <v>1.9440404360410696E-2</v>
      </c>
      <c r="AX280" s="251">
        <f>($U280/12*AK280*AB$5/2204.622*1000000)-($BJ280*AR280)</f>
        <v>37942.142186296092</v>
      </c>
      <c r="AY280" s="251">
        <f>($U280/12*AL280*AC$5/2204.622*1000000)-($BJ280*AS280)</f>
        <v>23595.044828723239</v>
      </c>
      <c r="AZ280" s="251">
        <f t="shared" si="130"/>
        <v>1660.0806853570559</v>
      </c>
      <c r="BA280" s="251">
        <f t="shared" si="131"/>
        <v>118603.17492641893</v>
      </c>
      <c r="BB280" s="251">
        <f t="shared" si="131"/>
        <v>2367.1872097743772</v>
      </c>
      <c r="BC280" s="251">
        <f t="shared" si="109"/>
        <v>184167.62983656971</v>
      </c>
      <c r="BD280" s="270">
        <f t="shared" si="111"/>
        <v>7.6100191206778582</v>
      </c>
      <c r="BY280" s="252">
        <f t="shared" si="125"/>
        <v>1.5678131264078241</v>
      </c>
      <c r="BZ280" s="252">
        <f t="shared" si="125"/>
        <v>0.9749744971967953</v>
      </c>
      <c r="CA280" s="252">
        <f t="shared" si="125"/>
        <v>6.8596450791303207E-2</v>
      </c>
      <c r="CB280" s="252">
        <f t="shared" si="125"/>
        <v>4.9008201374155229</v>
      </c>
      <c r="CC280" s="252">
        <f t="shared" si="125"/>
        <v>9.7814908866411532E-2</v>
      </c>
    </row>
    <row r="281" spans="1:81">
      <c r="A281" s="11">
        <v>48183</v>
      </c>
      <c r="B281" s="268">
        <v>70</v>
      </c>
      <c r="C281" s="268">
        <v>13</v>
      </c>
      <c r="D281" s="268">
        <f t="shared" si="107"/>
        <v>20</v>
      </c>
      <c r="E281" s="268">
        <v>3</v>
      </c>
      <c r="F281" s="269">
        <v>0.2</v>
      </c>
      <c r="G281" s="269">
        <v>1.32</v>
      </c>
      <c r="H281" s="269"/>
      <c r="I281" s="269">
        <v>5</v>
      </c>
      <c r="J281" s="269"/>
      <c r="K281" s="269"/>
      <c r="L281" s="269"/>
      <c r="M281" s="269">
        <f t="shared" si="135"/>
        <v>1.5</v>
      </c>
      <c r="N281" s="269">
        <v>45</v>
      </c>
      <c r="O281" s="269">
        <f t="shared" si="114"/>
        <v>17.699535849485258</v>
      </c>
      <c r="Q281" s="251">
        <f t="shared" si="124"/>
        <v>176.71953584948523</v>
      </c>
      <c r="R281" s="251">
        <f>'RD Plant List'!N149</f>
        <v>664.33</v>
      </c>
      <c r="S281" s="251">
        <f>SUM(B281:O281)+'RD Plant List'!N149</f>
        <v>841.04953584948521</v>
      </c>
      <c r="T281" s="237">
        <f t="shared" si="113"/>
        <v>0.7898821314121609</v>
      </c>
      <c r="U281" s="251">
        <f t="shared" si="132"/>
        <v>582.93430122115774</v>
      </c>
      <c r="V281" s="271">
        <f t="shared" si="118"/>
        <v>0.69310340993456065</v>
      </c>
      <c r="W281" s="251">
        <f t="shared" si="126"/>
        <v>48.577858435096481</v>
      </c>
      <c r="X281" s="242">
        <f t="shared" si="127"/>
        <v>7.6100191206778582</v>
      </c>
      <c r="Y281" s="273">
        <f t="shared" si="128"/>
        <v>7.6100191206778582</v>
      </c>
      <c r="AB281" s="251">
        <f>SUM('BD Feedstock'!C279,'BD Feedstock'!E279,'BD Feedstock'!G279,'BD Feedstock'!K279,'BD Feedstock'!T279)</f>
        <v>21.812796010427753</v>
      </c>
      <c r="AC281" s="251">
        <f>SUM('BD Feedstock'!D279,'BD Feedstock'!F279,'BD Feedstock'!H279,'BD Feedstock'!I279,'BD Feedstock'!L279,'BD Feedstock'!M279,'BD Feedstock'!N279,'BD Feedstock'!O279,'BD Feedstock'!U279)</f>
        <v>12.773566250859661</v>
      </c>
      <c r="AD281" s="251">
        <f>'BD Feedstock'!J279</f>
        <v>0.90199999999999991</v>
      </c>
      <c r="AE281" s="251">
        <f>SUM('BD Feedstock'!B279,'BD Feedstock'!P279,'BD Feedstock'!Q279,'BD Feedstock'!R279)</f>
        <v>70.93020833333334</v>
      </c>
      <c r="AF281" s="251">
        <f>'BD Feedstock'!S279</f>
        <v>1.40625</v>
      </c>
      <c r="AG281" s="251">
        <f t="shared" si="119"/>
        <v>107.82482059462075</v>
      </c>
      <c r="AK281" s="237">
        <f t="shared" si="134"/>
        <v>0.20229846792359021</v>
      </c>
      <c r="AL281" s="237">
        <f t="shared" si="134"/>
        <v>0.11846591703484753</v>
      </c>
      <c r="AM281" s="237">
        <f t="shared" si="134"/>
        <v>8.3654208282077092E-3</v>
      </c>
      <c r="AN281" s="237">
        <f t="shared" si="134"/>
        <v>0.65782820636449979</v>
      </c>
      <c r="AO281" s="237">
        <f t="shared" si="133"/>
        <v>1.304198784885487E-2</v>
      </c>
      <c r="AP281" s="237">
        <f t="shared" si="120"/>
        <v>1</v>
      </c>
      <c r="AQ281" s="237"/>
      <c r="AR281" s="237">
        <f t="shared" si="121"/>
        <v>0.61464645366918802</v>
      </c>
      <c r="AS281" s="237">
        <f t="shared" si="122"/>
        <v>0.35993676340465403</v>
      </c>
      <c r="AT281" s="237">
        <f t="shared" si="123"/>
        <v>2.5416782926158003E-2</v>
      </c>
      <c r="AU281" s="237">
        <f t="shared" si="108"/>
        <v>0.98055959563958928</v>
      </c>
      <c r="AV281" s="237">
        <f t="shared" si="108"/>
        <v>1.9440404360410696E-2</v>
      </c>
      <c r="AX281" s="251">
        <f>($U281/12*AK281*AB$5/2204.622*1000000)-($BJ281*AR281)</f>
        <v>34546.060098885573</v>
      </c>
      <c r="AY281" s="251">
        <f>($U281/12*AL281*AC$5/2204.622*1000000)-($BJ281*AS281)</f>
        <v>21483.126405640189</v>
      </c>
      <c r="AZ281" s="251">
        <f t="shared" si="130"/>
        <v>1511.4920724232952</v>
      </c>
      <c r="BA281" s="251">
        <f t="shared" si="131"/>
        <v>107987.37690689896</v>
      </c>
      <c r="BB281" s="251">
        <f t="shared" si="131"/>
        <v>2155.3077106889086</v>
      </c>
      <c r="BC281" s="251">
        <f t="shared" si="109"/>
        <v>167683.36319453694</v>
      </c>
      <c r="BD281" s="270">
        <f t="shared" si="111"/>
        <v>7.6100191206778574</v>
      </c>
      <c r="BY281" s="252">
        <f t="shared" si="125"/>
        <v>1.5678131264078241</v>
      </c>
      <c r="BZ281" s="252">
        <f t="shared" si="125"/>
        <v>0.97497449719679519</v>
      </c>
      <c r="CA281" s="252">
        <f t="shared" si="125"/>
        <v>6.8596450791303221E-2</v>
      </c>
      <c r="CB281" s="252">
        <f t="shared" si="125"/>
        <v>4.9008201374155238</v>
      </c>
      <c r="CC281" s="252">
        <f t="shared" si="125"/>
        <v>9.7814908866411532E-2</v>
      </c>
    </row>
    <row r="282" spans="1:81">
      <c r="A282" s="11">
        <v>48214</v>
      </c>
      <c r="B282" s="268">
        <v>70</v>
      </c>
      <c r="C282" s="268">
        <v>13</v>
      </c>
      <c r="D282" s="268">
        <f t="shared" si="107"/>
        <v>20</v>
      </c>
      <c r="E282" s="268">
        <v>3</v>
      </c>
      <c r="F282" s="269">
        <v>0.2</v>
      </c>
      <c r="G282" s="269">
        <v>1.32</v>
      </c>
      <c r="H282" s="269"/>
      <c r="I282" s="269">
        <v>5</v>
      </c>
      <c r="J282" s="269"/>
      <c r="K282" s="269"/>
      <c r="L282" s="269"/>
      <c r="M282" s="269">
        <f t="shared" si="135"/>
        <v>1.5</v>
      </c>
      <c r="N282" s="269">
        <v>45</v>
      </c>
      <c r="O282" s="269">
        <f t="shared" si="114"/>
        <v>17.699535849485258</v>
      </c>
      <c r="Q282" s="251">
        <f t="shared" si="124"/>
        <v>176.71953584948523</v>
      </c>
      <c r="R282" s="251">
        <f>'RD Plant List'!N150</f>
        <v>664.33</v>
      </c>
      <c r="S282" s="251">
        <f>SUM(B282:O282)+'RD Plant List'!N150</f>
        <v>841.04953584948521</v>
      </c>
      <c r="T282" s="237">
        <f t="shared" si="113"/>
        <v>0.7898821314121609</v>
      </c>
      <c r="U282" s="251">
        <f t="shared" si="132"/>
        <v>477.46188735558775</v>
      </c>
      <c r="V282" s="271">
        <f t="shared" si="118"/>
        <v>0.56769770031837297</v>
      </c>
      <c r="W282" s="251">
        <f t="shared" si="126"/>
        <v>39.788490612965646</v>
      </c>
      <c r="X282" s="242">
        <f t="shared" si="127"/>
        <v>7.6100191206778591</v>
      </c>
      <c r="Y282" s="273">
        <f t="shared" si="128"/>
        <v>7.6100191206778591</v>
      </c>
      <c r="AB282" s="251">
        <f>SUM('BD Feedstock'!C280,'BD Feedstock'!E280,'BD Feedstock'!G280,'BD Feedstock'!K280,'BD Feedstock'!T280)</f>
        <v>21.812796010427753</v>
      </c>
      <c r="AC282" s="251">
        <f>SUM('BD Feedstock'!D280,'BD Feedstock'!F280,'BD Feedstock'!H280,'BD Feedstock'!I280,'BD Feedstock'!L280,'BD Feedstock'!M280,'BD Feedstock'!N280,'BD Feedstock'!O280,'BD Feedstock'!U280)</f>
        <v>12.773566250859661</v>
      </c>
      <c r="AD282" s="251">
        <f>'BD Feedstock'!J280</f>
        <v>0.90199999999999991</v>
      </c>
      <c r="AE282" s="251">
        <f>SUM('BD Feedstock'!B280,'BD Feedstock'!P280,'BD Feedstock'!Q280,'BD Feedstock'!R280)</f>
        <v>70.93020833333334</v>
      </c>
      <c r="AF282" s="251">
        <f>'BD Feedstock'!S280</f>
        <v>1.40625</v>
      </c>
      <c r="AG282" s="251">
        <f t="shared" si="119"/>
        <v>107.82482059462075</v>
      </c>
      <c r="AK282" s="237">
        <f t="shared" si="134"/>
        <v>0.20229846792359021</v>
      </c>
      <c r="AL282" s="237">
        <f t="shared" si="134"/>
        <v>0.11846591703484753</v>
      </c>
      <c r="AM282" s="237">
        <f t="shared" si="134"/>
        <v>8.3654208282077092E-3</v>
      </c>
      <c r="AN282" s="237">
        <f t="shared" si="134"/>
        <v>0.65782820636449979</v>
      </c>
      <c r="AO282" s="237">
        <f t="shared" si="133"/>
        <v>1.304198784885487E-2</v>
      </c>
      <c r="AP282" s="237">
        <f t="shared" si="120"/>
        <v>1</v>
      </c>
      <c r="AQ282" s="237"/>
      <c r="AR282" s="237">
        <f t="shared" si="121"/>
        <v>0.61464645366918802</v>
      </c>
      <c r="AS282" s="237">
        <f t="shared" si="122"/>
        <v>0.35993676340465403</v>
      </c>
      <c r="AT282" s="237">
        <f t="shared" si="123"/>
        <v>2.5416782926158003E-2</v>
      </c>
      <c r="AU282" s="237">
        <f t="shared" si="108"/>
        <v>0.98055959563958928</v>
      </c>
      <c r="AV282" s="237">
        <f t="shared" si="108"/>
        <v>1.9440404360410696E-2</v>
      </c>
      <c r="AX282" s="251">
        <f>($U282/12*AK282*AB$5/2204.622*1000000)-($BJ282*AR282)-15000</f>
        <v>13295.516357435437</v>
      </c>
      <c r="AY282" s="251">
        <f>($U282/12*AL282*AC$5/2204.622*1000000)-($BJ282*AS282)+15000</f>
        <v>32596.106556858995</v>
      </c>
      <c r="AZ282" s="251">
        <f t="shared" si="130"/>
        <v>1238.0123388011766</v>
      </c>
      <c r="BA282" s="251">
        <f t="shared" si="131"/>
        <v>88448.829791860277</v>
      </c>
      <c r="BB282" s="251">
        <f t="shared" si="131"/>
        <v>1765.3400824446574</v>
      </c>
      <c r="BC282" s="251">
        <f t="shared" si="109"/>
        <v>137343.80512740056</v>
      </c>
      <c r="BD282" s="270">
        <f t="shared" si="111"/>
        <v>7.6100191206778591</v>
      </c>
      <c r="BY282" s="252">
        <f t="shared" si="125"/>
        <v>0.73668509187957054</v>
      </c>
      <c r="BZ282" s="252">
        <f t="shared" si="125"/>
        <v>1.806102531725049</v>
      </c>
      <c r="CA282" s="252">
        <f t="shared" si="125"/>
        <v>6.8596450791303207E-2</v>
      </c>
      <c r="CB282" s="252">
        <f t="shared" si="125"/>
        <v>4.9008201374155247</v>
      </c>
      <c r="CC282" s="252">
        <f t="shared" si="125"/>
        <v>9.7814908866411532E-2</v>
      </c>
    </row>
    <row r="283" spans="1:81">
      <c r="A283" s="11">
        <v>48245</v>
      </c>
      <c r="B283" s="268">
        <v>70</v>
      </c>
      <c r="C283" s="268">
        <v>13</v>
      </c>
      <c r="D283" s="268">
        <f t="shared" si="107"/>
        <v>20</v>
      </c>
      <c r="E283" s="268">
        <v>3</v>
      </c>
      <c r="F283" s="269">
        <v>0.2</v>
      </c>
      <c r="G283" s="269">
        <v>1.32</v>
      </c>
      <c r="H283" s="269"/>
      <c r="I283" s="269">
        <v>5</v>
      </c>
      <c r="J283" s="269"/>
      <c r="K283" s="269"/>
      <c r="L283" s="269"/>
      <c r="M283" s="269">
        <f t="shared" si="135"/>
        <v>1.5</v>
      </c>
      <c r="N283" s="269">
        <v>45</v>
      </c>
      <c r="O283" s="269">
        <f t="shared" si="114"/>
        <v>17.699535849485258</v>
      </c>
      <c r="Q283" s="251">
        <f t="shared" si="124"/>
        <v>176.71953584948523</v>
      </c>
      <c r="R283" s="251">
        <f>'RD Plant List'!N151</f>
        <v>664.33</v>
      </c>
      <c r="S283" s="251">
        <f>SUM(B283:O283)+'RD Plant List'!N151</f>
        <v>841.04953584948521</v>
      </c>
      <c r="T283" s="237">
        <f t="shared" si="113"/>
        <v>0.7898821314121609</v>
      </c>
      <c r="U283" s="251">
        <f t="shared" si="132"/>
        <v>440.41198005503117</v>
      </c>
      <c r="V283" s="271">
        <f t="shared" si="118"/>
        <v>0.52364570846615099</v>
      </c>
      <c r="W283" s="251">
        <f t="shared" si="126"/>
        <v>36.700998337919266</v>
      </c>
      <c r="X283" s="242">
        <f t="shared" si="127"/>
        <v>7.6100191206778582</v>
      </c>
      <c r="Y283" s="273">
        <f t="shared" si="128"/>
        <v>7.6100191206778582</v>
      </c>
      <c r="AB283" s="251">
        <f>SUM('BD Feedstock'!C281,'BD Feedstock'!E281,'BD Feedstock'!G281,'BD Feedstock'!K281,'BD Feedstock'!T281)</f>
        <v>21.812796010427753</v>
      </c>
      <c r="AC283" s="251">
        <f>SUM('BD Feedstock'!D281,'BD Feedstock'!F281,'BD Feedstock'!H281,'BD Feedstock'!I281,'BD Feedstock'!L281,'BD Feedstock'!M281,'BD Feedstock'!N281,'BD Feedstock'!O281,'BD Feedstock'!U281)</f>
        <v>12.773566250859661</v>
      </c>
      <c r="AD283" s="251">
        <f>'BD Feedstock'!J281</f>
        <v>0.90199999999999991</v>
      </c>
      <c r="AE283" s="251">
        <f>SUM('BD Feedstock'!B281,'BD Feedstock'!P281,'BD Feedstock'!Q281,'BD Feedstock'!R281)</f>
        <v>70.93020833333334</v>
      </c>
      <c r="AF283" s="251">
        <f>'BD Feedstock'!S281</f>
        <v>1.40625</v>
      </c>
      <c r="AG283" s="251">
        <f t="shared" si="119"/>
        <v>107.82482059462075</v>
      </c>
      <c r="AK283" s="237">
        <f t="shared" si="134"/>
        <v>0.20229846792359021</v>
      </c>
      <c r="AL283" s="237">
        <f t="shared" si="134"/>
        <v>0.11846591703484753</v>
      </c>
      <c r="AM283" s="237">
        <f t="shared" si="134"/>
        <v>8.3654208282077092E-3</v>
      </c>
      <c r="AN283" s="237">
        <f t="shared" si="134"/>
        <v>0.65782820636449979</v>
      </c>
      <c r="AO283" s="237">
        <f t="shared" si="133"/>
        <v>1.304198784885487E-2</v>
      </c>
      <c r="AP283" s="237">
        <f t="shared" si="120"/>
        <v>1</v>
      </c>
      <c r="AQ283" s="237"/>
      <c r="AR283" s="237">
        <f t="shared" si="121"/>
        <v>0.61464645366918802</v>
      </c>
      <c r="AS283" s="237">
        <f t="shared" si="122"/>
        <v>0.35993676340465403</v>
      </c>
      <c r="AT283" s="237">
        <f t="shared" si="123"/>
        <v>2.5416782926158003E-2</v>
      </c>
      <c r="AU283" s="237">
        <f t="shared" si="108"/>
        <v>0.98055959563958928</v>
      </c>
      <c r="AV283" s="237">
        <f t="shared" si="108"/>
        <v>1.9440404360410696E-2</v>
      </c>
      <c r="AX283" s="251">
        <f t="shared" ref="AX283:AX290" si="136">($U283/12*AK283*AB$5/2204.622*1000000)-($BJ283*AR283)-15000</f>
        <v>11099.851560250041</v>
      </c>
      <c r="AY283" s="251">
        <f t="shared" ref="AY283:AY290" si="137">($U283/12*AL283*AC$5/2204.622*1000000)-($BJ283*AS283)+15000</f>
        <v>31230.690522517354</v>
      </c>
      <c r="AZ283" s="251">
        <f t="shared" si="130"/>
        <v>1141.9455246653531</v>
      </c>
      <c r="BA283" s="251">
        <f t="shared" si="131"/>
        <v>81585.410885733887</v>
      </c>
      <c r="BB283" s="251">
        <f t="shared" si="131"/>
        <v>1628.3538891156372</v>
      </c>
      <c r="BC283" s="251">
        <f t="shared" si="109"/>
        <v>126686.25238228227</v>
      </c>
      <c r="BD283" s="270">
        <f t="shared" si="111"/>
        <v>7.6100191206778582</v>
      </c>
      <c r="BY283" s="252">
        <f t="shared" si="125"/>
        <v>0.6667659751690812</v>
      </c>
      <c r="BZ283" s="252">
        <f t="shared" si="125"/>
        <v>1.8760216484355383</v>
      </c>
      <c r="CA283" s="252">
        <f t="shared" si="125"/>
        <v>6.8596450791303207E-2</v>
      </c>
      <c r="CB283" s="252">
        <f t="shared" si="125"/>
        <v>4.9008201374155238</v>
      </c>
      <c r="CC283" s="252">
        <f t="shared" si="125"/>
        <v>9.7814908866411546E-2</v>
      </c>
    </row>
    <row r="284" spans="1:81">
      <c r="A284" s="11">
        <v>48274</v>
      </c>
      <c r="B284" s="268">
        <v>70</v>
      </c>
      <c r="C284" s="268">
        <v>13</v>
      </c>
      <c r="D284" s="268">
        <f t="shared" si="107"/>
        <v>20</v>
      </c>
      <c r="E284" s="268">
        <v>3</v>
      </c>
      <c r="F284" s="269">
        <v>0.2</v>
      </c>
      <c r="G284" s="269">
        <v>1.32</v>
      </c>
      <c r="H284" s="269"/>
      <c r="I284" s="269">
        <v>5</v>
      </c>
      <c r="J284" s="269"/>
      <c r="K284" s="269"/>
      <c r="L284" s="269"/>
      <c r="M284" s="269">
        <f t="shared" si="135"/>
        <v>1.5</v>
      </c>
      <c r="N284" s="269">
        <v>45</v>
      </c>
      <c r="O284" s="269">
        <f t="shared" si="114"/>
        <v>17.699535849485258</v>
      </c>
      <c r="Q284" s="251">
        <f t="shared" si="124"/>
        <v>176.71953584948523</v>
      </c>
      <c r="R284" s="251">
        <f>'RD Plant List'!N152</f>
        <v>664.33</v>
      </c>
      <c r="S284" s="251">
        <f>SUM(B284:O284)+'RD Plant List'!N152</f>
        <v>841.04953584948521</v>
      </c>
      <c r="T284" s="237">
        <f t="shared" si="113"/>
        <v>0.7898821314121609</v>
      </c>
      <c r="U284" s="251">
        <f t="shared" si="132"/>
        <v>489.9218927770184</v>
      </c>
      <c r="V284" s="271">
        <f t="shared" si="118"/>
        <v>0.58251252975507872</v>
      </c>
      <c r="W284" s="251">
        <f t="shared" si="126"/>
        <v>40.826824398084867</v>
      </c>
      <c r="X284" s="242">
        <f t="shared" si="127"/>
        <v>7.6100191206778574</v>
      </c>
      <c r="Y284" s="273">
        <f t="shared" si="128"/>
        <v>7.6100191206778574</v>
      </c>
      <c r="AB284" s="251">
        <f>SUM('BD Feedstock'!C282,'BD Feedstock'!E282,'BD Feedstock'!G282,'BD Feedstock'!K282,'BD Feedstock'!T282)</f>
        <v>21.812796010427753</v>
      </c>
      <c r="AC284" s="251">
        <f>SUM('BD Feedstock'!D282,'BD Feedstock'!F282,'BD Feedstock'!H282,'BD Feedstock'!I282,'BD Feedstock'!L282,'BD Feedstock'!M282,'BD Feedstock'!N282,'BD Feedstock'!O282,'BD Feedstock'!U282)</f>
        <v>12.773566250859661</v>
      </c>
      <c r="AD284" s="251">
        <f>'BD Feedstock'!J282</f>
        <v>0.90199999999999991</v>
      </c>
      <c r="AE284" s="251">
        <f>SUM('BD Feedstock'!B282,'BD Feedstock'!P282,'BD Feedstock'!Q282,'BD Feedstock'!R282)</f>
        <v>70.93020833333334</v>
      </c>
      <c r="AF284" s="251">
        <f>'BD Feedstock'!S282</f>
        <v>1.40625</v>
      </c>
      <c r="AG284" s="251">
        <f t="shared" si="119"/>
        <v>107.82482059462075</v>
      </c>
      <c r="AK284" s="237">
        <f t="shared" si="134"/>
        <v>0.20229846792359021</v>
      </c>
      <c r="AL284" s="237">
        <f t="shared" si="134"/>
        <v>0.11846591703484753</v>
      </c>
      <c r="AM284" s="237">
        <f t="shared" si="134"/>
        <v>8.3654208282077092E-3</v>
      </c>
      <c r="AN284" s="237">
        <f t="shared" si="134"/>
        <v>0.65782820636449979</v>
      </c>
      <c r="AO284" s="237">
        <f t="shared" si="133"/>
        <v>1.304198784885487E-2</v>
      </c>
      <c r="AP284" s="237">
        <f t="shared" si="120"/>
        <v>1</v>
      </c>
      <c r="AQ284" s="237"/>
      <c r="AR284" s="237">
        <f t="shared" si="121"/>
        <v>0.61464645366918802</v>
      </c>
      <c r="AS284" s="237">
        <f t="shared" si="122"/>
        <v>0.35993676340465403</v>
      </c>
      <c r="AT284" s="237">
        <f t="shared" si="123"/>
        <v>2.5416782926158003E-2</v>
      </c>
      <c r="AU284" s="237">
        <f t="shared" si="108"/>
        <v>0.98055959563958928</v>
      </c>
      <c r="AV284" s="237">
        <f t="shared" si="108"/>
        <v>1.9440404360410696E-2</v>
      </c>
      <c r="AX284" s="251">
        <f t="shared" si="136"/>
        <v>14033.925634809359</v>
      </c>
      <c r="AY284" s="251">
        <f t="shared" si="137"/>
        <v>33055.300450446673</v>
      </c>
      <c r="AZ284" s="251">
        <f t="shared" si="130"/>
        <v>1270.3199236823391</v>
      </c>
      <c r="BA284" s="251">
        <f t="shared" si="131"/>
        <v>90757.02009544571</v>
      </c>
      <c r="BB284" s="251">
        <f t="shared" si="131"/>
        <v>1811.4089888441913</v>
      </c>
      <c r="BC284" s="251">
        <f t="shared" si="109"/>
        <v>140927.97509322828</v>
      </c>
      <c r="BD284" s="270">
        <f t="shared" si="111"/>
        <v>7.6100191206778574</v>
      </c>
      <c r="BY284" s="252">
        <f t="shared" si="125"/>
        <v>0.75782286908202467</v>
      </c>
      <c r="BZ284" s="252">
        <f t="shared" si="125"/>
        <v>1.7849647545225948</v>
      </c>
      <c r="CA284" s="252">
        <f t="shared" si="125"/>
        <v>6.8596450791303207E-2</v>
      </c>
      <c r="CB284" s="252">
        <f t="shared" si="125"/>
        <v>4.9008201374155229</v>
      </c>
      <c r="CC284" s="252">
        <f t="shared" si="125"/>
        <v>9.7814908866411546E-2</v>
      </c>
    </row>
    <row r="285" spans="1:81">
      <c r="A285" s="11">
        <v>48305</v>
      </c>
      <c r="B285" s="268">
        <v>70</v>
      </c>
      <c r="C285" s="268">
        <v>13</v>
      </c>
      <c r="D285" s="268">
        <f t="shared" si="107"/>
        <v>20</v>
      </c>
      <c r="E285" s="268">
        <v>3</v>
      </c>
      <c r="F285" s="269">
        <v>0.2</v>
      </c>
      <c r="G285" s="269">
        <v>1.32</v>
      </c>
      <c r="H285" s="269"/>
      <c r="I285" s="269">
        <v>5</v>
      </c>
      <c r="J285" s="269"/>
      <c r="K285" s="269"/>
      <c r="L285" s="269"/>
      <c r="M285" s="269">
        <f t="shared" si="135"/>
        <v>1.5</v>
      </c>
      <c r="N285" s="269">
        <v>45</v>
      </c>
      <c r="O285" s="269">
        <f t="shared" si="114"/>
        <v>17.699535849485258</v>
      </c>
      <c r="Q285" s="251">
        <f t="shared" si="124"/>
        <v>176.71953584948523</v>
      </c>
      <c r="R285" s="251">
        <f>'RD Plant List'!N153</f>
        <v>664.33</v>
      </c>
      <c r="S285" s="251">
        <f>SUM(B285:O285)+'RD Plant List'!N153</f>
        <v>841.04953584948521</v>
      </c>
      <c r="T285" s="237">
        <f t="shared" si="113"/>
        <v>0.7898821314121609</v>
      </c>
      <c r="U285" s="251">
        <f t="shared" si="132"/>
        <v>498.31722559973491</v>
      </c>
      <c r="V285" s="271">
        <f t="shared" si="118"/>
        <v>0.59249450164242656</v>
      </c>
      <c r="W285" s="251">
        <f t="shared" si="126"/>
        <v>41.526435466644578</v>
      </c>
      <c r="X285" s="242">
        <f t="shared" si="127"/>
        <v>7.6100191206778574</v>
      </c>
      <c r="Y285" s="273">
        <f t="shared" si="128"/>
        <v>7.6100191206778574</v>
      </c>
      <c r="AB285" s="251">
        <f>SUM('BD Feedstock'!C283,'BD Feedstock'!E283,'BD Feedstock'!G283,'BD Feedstock'!K283,'BD Feedstock'!T283)</f>
        <v>21.812796010427753</v>
      </c>
      <c r="AC285" s="251">
        <f>SUM('BD Feedstock'!D283,'BD Feedstock'!F283,'BD Feedstock'!H283,'BD Feedstock'!I283,'BD Feedstock'!L283,'BD Feedstock'!M283,'BD Feedstock'!N283,'BD Feedstock'!O283,'BD Feedstock'!U283)</f>
        <v>12.773566250859661</v>
      </c>
      <c r="AD285" s="251">
        <f>'BD Feedstock'!J283</f>
        <v>0.90199999999999991</v>
      </c>
      <c r="AE285" s="251">
        <f>SUM('BD Feedstock'!B283,'BD Feedstock'!P283,'BD Feedstock'!Q283,'BD Feedstock'!R283)</f>
        <v>70.93020833333334</v>
      </c>
      <c r="AF285" s="251">
        <f>'BD Feedstock'!S283</f>
        <v>1.40625</v>
      </c>
      <c r="AG285" s="251">
        <f t="shared" si="119"/>
        <v>107.82482059462075</v>
      </c>
      <c r="AK285" s="237">
        <f t="shared" si="134"/>
        <v>0.20229846792359021</v>
      </c>
      <c r="AL285" s="237">
        <f t="shared" si="134"/>
        <v>0.11846591703484753</v>
      </c>
      <c r="AM285" s="237">
        <f t="shared" si="134"/>
        <v>8.3654208282077092E-3</v>
      </c>
      <c r="AN285" s="237">
        <f t="shared" si="134"/>
        <v>0.65782820636449979</v>
      </c>
      <c r="AO285" s="237">
        <f t="shared" si="133"/>
        <v>1.304198784885487E-2</v>
      </c>
      <c r="AP285" s="237">
        <f t="shared" si="120"/>
        <v>1</v>
      </c>
      <c r="AQ285" s="237"/>
      <c r="AR285" s="237">
        <f t="shared" si="121"/>
        <v>0.61464645366918802</v>
      </c>
      <c r="AS285" s="237">
        <f t="shared" si="122"/>
        <v>0.35993676340465403</v>
      </c>
      <c r="AT285" s="237">
        <f t="shared" si="123"/>
        <v>2.5416782926158003E-2</v>
      </c>
      <c r="AU285" s="237">
        <f t="shared" si="108"/>
        <v>0.98055959563958928</v>
      </c>
      <c r="AV285" s="237">
        <f t="shared" si="108"/>
        <v>1.9440404360410696E-2</v>
      </c>
      <c r="AX285" s="251">
        <f t="shared" si="136"/>
        <v>14531.452837508103</v>
      </c>
      <c r="AY285" s="251">
        <f t="shared" si="137"/>
        <v>33364.697231301769</v>
      </c>
      <c r="AZ285" s="251">
        <f t="shared" si="130"/>
        <v>1292.0882069696816</v>
      </c>
      <c r="BA285" s="251">
        <f t="shared" si="131"/>
        <v>92312.238184150367</v>
      </c>
      <c r="BB285" s="251">
        <f t="shared" si="131"/>
        <v>1842.449408885858</v>
      </c>
      <c r="BC285" s="251">
        <f t="shared" si="109"/>
        <v>143342.92586881577</v>
      </c>
      <c r="BD285" s="270">
        <f t="shared" si="111"/>
        <v>7.6100191206778574</v>
      </c>
      <c r="BY285" s="252">
        <f t="shared" si="125"/>
        <v>0.77146907162945544</v>
      </c>
      <c r="BZ285" s="252">
        <f t="shared" si="125"/>
        <v>1.771318551975164</v>
      </c>
      <c r="CA285" s="252">
        <f t="shared" si="125"/>
        <v>6.8596450791303207E-2</v>
      </c>
      <c r="CB285" s="252">
        <f t="shared" si="125"/>
        <v>4.9008201374155229</v>
      </c>
      <c r="CC285" s="252">
        <f t="shared" si="125"/>
        <v>9.7814908866411504E-2</v>
      </c>
    </row>
    <row r="286" spans="1:81">
      <c r="A286" s="11">
        <v>48335</v>
      </c>
      <c r="B286" s="268">
        <v>70</v>
      </c>
      <c r="C286" s="268">
        <v>13</v>
      </c>
      <c r="D286" s="268">
        <f t="shared" si="107"/>
        <v>20</v>
      </c>
      <c r="E286" s="268">
        <v>3</v>
      </c>
      <c r="F286" s="269">
        <v>0.2</v>
      </c>
      <c r="G286" s="269">
        <v>1.32</v>
      </c>
      <c r="H286" s="269"/>
      <c r="I286" s="269">
        <v>5</v>
      </c>
      <c r="J286" s="269"/>
      <c r="K286" s="269"/>
      <c r="L286" s="269"/>
      <c r="M286" s="269">
        <f t="shared" si="135"/>
        <v>1.5</v>
      </c>
      <c r="N286" s="269">
        <v>45</v>
      </c>
      <c r="O286" s="269">
        <f t="shared" si="114"/>
        <v>17.699535849485258</v>
      </c>
      <c r="Q286" s="251">
        <f t="shared" si="124"/>
        <v>176.71953584948523</v>
      </c>
      <c r="R286" s="251">
        <f>'RD Plant List'!N154</f>
        <v>664.33</v>
      </c>
      <c r="S286" s="251">
        <f>SUM(B286:O286)+'RD Plant List'!N154</f>
        <v>841.04953584948521</v>
      </c>
      <c r="T286" s="237">
        <f t="shared" si="113"/>
        <v>0.7898821314121609</v>
      </c>
      <c r="U286" s="251">
        <f t="shared" si="132"/>
        <v>484.82549531567275</v>
      </c>
      <c r="V286" s="271">
        <f t="shared" si="118"/>
        <v>0.57645296103277022</v>
      </c>
      <c r="W286" s="251">
        <f t="shared" si="126"/>
        <v>40.402124609639394</v>
      </c>
      <c r="X286" s="242">
        <f t="shared" si="127"/>
        <v>7.6100191206778582</v>
      </c>
      <c r="Y286" s="273">
        <f t="shared" si="128"/>
        <v>7.6100191206778582</v>
      </c>
      <c r="AB286" s="251">
        <f>SUM('BD Feedstock'!C284,'BD Feedstock'!E284,'BD Feedstock'!G284,'BD Feedstock'!K284,'BD Feedstock'!T284)</f>
        <v>21.812796010427753</v>
      </c>
      <c r="AC286" s="251">
        <f>SUM('BD Feedstock'!D284,'BD Feedstock'!F284,'BD Feedstock'!H284,'BD Feedstock'!I284,'BD Feedstock'!L284,'BD Feedstock'!M284,'BD Feedstock'!N284,'BD Feedstock'!O284,'BD Feedstock'!U284)</f>
        <v>12.773566250859661</v>
      </c>
      <c r="AD286" s="251">
        <f>'BD Feedstock'!J284</f>
        <v>0.90199999999999991</v>
      </c>
      <c r="AE286" s="251">
        <f>SUM('BD Feedstock'!B284,'BD Feedstock'!P284,'BD Feedstock'!Q284,'BD Feedstock'!R284)</f>
        <v>70.93020833333334</v>
      </c>
      <c r="AF286" s="251">
        <f>'BD Feedstock'!S284</f>
        <v>1.40625</v>
      </c>
      <c r="AG286" s="251">
        <f t="shared" si="119"/>
        <v>107.82482059462075</v>
      </c>
      <c r="AK286" s="237">
        <f t="shared" si="134"/>
        <v>0.20229846792359021</v>
      </c>
      <c r="AL286" s="237">
        <f t="shared" si="134"/>
        <v>0.11846591703484753</v>
      </c>
      <c r="AM286" s="237">
        <f t="shared" si="134"/>
        <v>8.3654208282077092E-3</v>
      </c>
      <c r="AN286" s="237">
        <f t="shared" si="134"/>
        <v>0.65782820636449979</v>
      </c>
      <c r="AO286" s="237">
        <f t="shared" si="133"/>
        <v>1.304198784885487E-2</v>
      </c>
      <c r="AP286" s="237">
        <f t="shared" si="120"/>
        <v>1</v>
      </c>
      <c r="AQ286" s="237"/>
      <c r="AR286" s="237">
        <f t="shared" si="121"/>
        <v>0.61464645366918802</v>
      </c>
      <c r="AS286" s="237">
        <f t="shared" si="122"/>
        <v>0.35993676340465403</v>
      </c>
      <c r="AT286" s="237">
        <f t="shared" si="123"/>
        <v>2.5416782926158003E-2</v>
      </c>
      <c r="AU286" s="237">
        <f t="shared" si="108"/>
        <v>0.98055959563958928</v>
      </c>
      <c r="AV286" s="237">
        <f t="shared" si="108"/>
        <v>1.9440404360410696E-2</v>
      </c>
      <c r="AX286" s="251">
        <f t="shared" si="136"/>
        <v>13731.90111400378</v>
      </c>
      <c r="AY286" s="251">
        <f t="shared" si="137"/>
        <v>32867.480741354047</v>
      </c>
      <c r="AZ286" s="251">
        <f t="shared" si="130"/>
        <v>1257.1054596430724</v>
      </c>
      <c r="BA286" s="251">
        <f t="shared" si="131"/>
        <v>89812.922977858369</v>
      </c>
      <c r="BB286" s="251">
        <f t="shared" si="131"/>
        <v>1792.5658624023895</v>
      </c>
      <c r="BC286" s="251">
        <f t="shared" si="109"/>
        <v>139461.97615526165</v>
      </c>
      <c r="BD286" s="270">
        <f t="shared" si="111"/>
        <v>7.6100191206778574</v>
      </c>
      <c r="BY286" s="252">
        <f t="shared" si="125"/>
        <v>0.74930839876015731</v>
      </c>
      <c r="BZ286" s="252">
        <f t="shared" si="125"/>
        <v>1.7934792248444624</v>
      </c>
      <c r="CA286" s="252">
        <f t="shared" si="125"/>
        <v>6.8596450791303221E-2</v>
      </c>
      <c r="CB286" s="252">
        <f t="shared" si="125"/>
        <v>4.9008201374155238</v>
      </c>
      <c r="CC286" s="252">
        <f t="shared" si="125"/>
        <v>9.7814908866411546E-2</v>
      </c>
    </row>
    <row r="287" spans="1:81">
      <c r="A287" s="11">
        <v>48366</v>
      </c>
      <c r="B287" s="268">
        <v>70</v>
      </c>
      <c r="C287" s="268">
        <v>13</v>
      </c>
      <c r="D287" s="268">
        <f t="shared" si="107"/>
        <v>20</v>
      </c>
      <c r="E287" s="268">
        <v>3</v>
      </c>
      <c r="F287" s="269">
        <v>0.2</v>
      </c>
      <c r="G287" s="269">
        <v>1.32</v>
      </c>
      <c r="H287" s="269"/>
      <c r="I287" s="269">
        <v>5</v>
      </c>
      <c r="J287" s="269"/>
      <c r="K287" s="269"/>
      <c r="L287" s="269"/>
      <c r="M287" s="269">
        <f t="shared" si="135"/>
        <v>1.5</v>
      </c>
      <c r="N287" s="269">
        <v>45</v>
      </c>
      <c r="O287" s="269">
        <f t="shared" si="114"/>
        <v>17.699535849485258</v>
      </c>
      <c r="Q287" s="251">
        <f t="shared" si="124"/>
        <v>176.71953584948523</v>
      </c>
      <c r="R287" s="251">
        <f>'RD Plant List'!N155</f>
        <v>664.33</v>
      </c>
      <c r="S287" s="251">
        <f>SUM(B287:O287)+'RD Plant List'!N155</f>
        <v>841.04953584948521</v>
      </c>
      <c r="T287" s="237">
        <f t="shared" si="113"/>
        <v>0.7898821314121609</v>
      </c>
      <c r="U287" s="251">
        <f t="shared" si="132"/>
        <v>539.84356199979834</v>
      </c>
      <c r="V287" s="271">
        <f t="shared" si="118"/>
        <v>0.64186892565672737</v>
      </c>
      <c r="W287" s="251">
        <f t="shared" si="126"/>
        <v>44.986963499983197</v>
      </c>
      <c r="X287" s="242">
        <f t="shared" si="127"/>
        <v>7.6100191206778574</v>
      </c>
      <c r="Y287" s="273">
        <f t="shared" si="128"/>
        <v>7.6100191206778574</v>
      </c>
      <c r="AB287" s="251">
        <f>SUM('BD Feedstock'!C285,'BD Feedstock'!E285,'BD Feedstock'!G285,'BD Feedstock'!K285,'BD Feedstock'!T285)</f>
        <v>21.812796010427753</v>
      </c>
      <c r="AC287" s="251">
        <f>SUM('BD Feedstock'!D285,'BD Feedstock'!F285,'BD Feedstock'!H285,'BD Feedstock'!I285,'BD Feedstock'!L285,'BD Feedstock'!M285,'BD Feedstock'!N285,'BD Feedstock'!O285,'BD Feedstock'!U285)</f>
        <v>12.773566250859661</v>
      </c>
      <c r="AD287" s="251">
        <f>'BD Feedstock'!J285</f>
        <v>0.90199999999999991</v>
      </c>
      <c r="AE287" s="251">
        <f>SUM('BD Feedstock'!B285,'BD Feedstock'!P285,'BD Feedstock'!Q285,'BD Feedstock'!R285)</f>
        <v>70.93020833333334</v>
      </c>
      <c r="AF287" s="251">
        <f>'BD Feedstock'!S285</f>
        <v>1.40625</v>
      </c>
      <c r="AG287" s="251">
        <f t="shared" si="119"/>
        <v>107.82482059462075</v>
      </c>
      <c r="AK287" s="237">
        <f t="shared" si="134"/>
        <v>0.20229846792359021</v>
      </c>
      <c r="AL287" s="237">
        <f t="shared" si="134"/>
        <v>0.11846591703484753</v>
      </c>
      <c r="AM287" s="237">
        <f t="shared" si="134"/>
        <v>8.3654208282077092E-3</v>
      </c>
      <c r="AN287" s="237">
        <f t="shared" si="134"/>
        <v>0.65782820636449979</v>
      </c>
      <c r="AO287" s="237">
        <f t="shared" si="133"/>
        <v>1.304198784885487E-2</v>
      </c>
      <c r="AP287" s="237">
        <f t="shared" si="120"/>
        <v>1</v>
      </c>
      <c r="AQ287" s="237"/>
      <c r="AR287" s="237">
        <f t="shared" si="121"/>
        <v>0.61464645366918802</v>
      </c>
      <c r="AS287" s="237">
        <f t="shared" si="122"/>
        <v>0.35993676340465403</v>
      </c>
      <c r="AT287" s="237">
        <f t="shared" si="123"/>
        <v>2.5416782926158003E-2</v>
      </c>
      <c r="AU287" s="237">
        <f t="shared" si="108"/>
        <v>0.98055959563958928</v>
      </c>
      <c r="AV287" s="237">
        <f t="shared" si="108"/>
        <v>1.9440404360410696E-2</v>
      </c>
      <c r="AX287" s="251">
        <f t="shared" si="136"/>
        <v>16992.401369714771</v>
      </c>
      <c r="AY287" s="251">
        <f t="shared" si="137"/>
        <v>34895.085016300618</v>
      </c>
      <c r="AZ287" s="251">
        <f t="shared" si="130"/>
        <v>1399.761967347124</v>
      </c>
      <c r="BA287" s="251">
        <f t="shared" si="131"/>
        <v>100004.90634761643</v>
      </c>
      <c r="BB287" s="251">
        <f t="shared" si="131"/>
        <v>1995.9864933432755</v>
      </c>
      <c r="BC287" s="251">
        <f t="shared" si="109"/>
        <v>155288.14119432223</v>
      </c>
      <c r="BD287" s="270">
        <f t="shared" si="111"/>
        <v>7.6100191206778574</v>
      </c>
      <c r="BY287" s="252">
        <f t="shared" si="125"/>
        <v>0.83272617171677532</v>
      </c>
      <c r="BZ287" s="252">
        <f t="shared" si="125"/>
        <v>1.7100614518878434</v>
      </c>
      <c r="CA287" s="252">
        <f t="shared" si="125"/>
        <v>6.8596450791303207E-2</v>
      </c>
      <c r="CB287" s="252">
        <f t="shared" si="125"/>
        <v>4.9008201374155238</v>
      </c>
      <c r="CC287" s="252">
        <f t="shared" si="125"/>
        <v>9.7814908866411518E-2</v>
      </c>
    </row>
    <row r="288" spans="1:81">
      <c r="A288" s="11">
        <v>48396</v>
      </c>
      <c r="B288" s="268">
        <v>70</v>
      </c>
      <c r="C288" s="268">
        <v>13</v>
      </c>
      <c r="D288" s="268">
        <f t="shared" si="107"/>
        <v>20</v>
      </c>
      <c r="E288" s="268">
        <v>3</v>
      </c>
      <c r="F288" s="269">
        <v>0.2</v>
      </c>
      <c r="G288" s="269">
        <v>1.32</v>
      </c>
      <c r="H288" s="269"/>
      <c r="I288" s="269">
        <v>5</v>
      </c>
      <c r="J288" s="269"/>
      <c r="K288" s="269"/>
      <c r="L288" s="269"/>
      <c r="M288" s="269">
        <f t="shared" si="135"/>
        <v>1.5</v>
      </c>
      <c r="N288" s="269">
        <v>45</v>
      </c>
      <c r="O288" s="269">
        <f t="shared" si="114"/>
        <v>17.699535849485258</v>
      </c>
      <c r="Q288" s="251">
        <f t="shared" si="124"/>
        <v>176.71953584948523</v>
      </c>
      <c r="R288" s="251">
        <f>'RD Plant List'!N156</f>
        <v>664.33</v>
      </c>
      <c r="S288" s="251">
        <f>SUM(B288:O288)+'RD Plant List'!N156</f>
        <v>841.04953584948521</v>
      </c>
      <c r="T288" s="237">
        <f t="shared" si="113"/>
        <v>0.7898821314121609</v>
      </c>
      <c r="U288" s="251">
        <f t="shared" si="132"/>
        <v>554.54123251610008</v>
      </c>
      <c r="V288" s="271">
        <f t="shared" si="118"/>
        <v>0.65934431787777736</v>
      </c>
      <c r="W288" s="251">
        <f t="shared" si="126"/>
        <v>46.211769376341671</v>
      </c>
      <c r="X288" s="242">
        <f t="shared" si="127"/>
        <v>7.61001912067786</v>
      </c>
      <c r="Y288" s="273">
        <f t="shared" si="128"/>
        <v>7.61001912067786</v>
      </c>
      <c r="AB288" s="251">
        <f>SUM('BD Feedstock'!C286,'BD Feedstock'!E286,'BD Feedstock'!G286,'BD Feedstock'!K286,'BD Feedstock'!T286)</f>
        <v>21.812796010427753</v>
      </c>
      <c r="AC288" s="251">
        <f>SUM('BD Feedstock'!D286,'BD Feedstock'!F286,'BD Feedstock'!H286,'BD Feedstock'!I286,'BD Feedstock'!L286,'BD Feedstock'!M286,'BD Feedstock'!N286,'BD Feedstock'!O286,'BD Feedstock'!U286)</f>
        <v>12.773566250859661</v>
      </c>
      <c r="AD288" s="251">
        <f>'BD Feedstock'!J286</f>
        <v>0.90199999999999991</v>
      </c>
      <c r="AE288" s="251">
        <f>SUM('BD Feedstock'!B286,'BD Feedstock'!P286,'BD Feedstock'!Q286,'BD Feedstock'!R286)</f>
        <v>70.93020833333334</v>
      </c>
      <c r="AF288" s="251">
        <f>'BD Feedstock'!S286</f>
        <v>1.40625</v>
      </c>
      <c r="AG288" s="251">
        <f t="shared" si="119"/>
        <v>107.82482059462075</v>
      </c>
      <c r="AK288" s="237">
        <f t="shared" si="134"/>
        <v>0.20229846792359021</v>
      </c>
      <c r="AL288" s="237">
        <f t="shared" si="134"/>
        <v>0.11846591703484753</v>
      </c>
      <c r="AM288" s="237">
        <f t="shared" si="134"/>
        <v>8.3654208282077092E-3</v>
      </c>
      <c r="AN288" s="237">
        <f t="shared" si="134"/>
        <v>0.65782820636449979</v>
      </c>
      <c r="AO288" s="237">
        <f t="shared" si="133"/>
        <v>1.304198784885487E-2</v>
      </c>
      <c r="AP288" s="237">
        <f t="shared" si="120"/>
        <v>1</v>
      </c>
      <c r="AQ288" s="237"/>
      <c r="AR288" s="237">
        <f t="shared" si="121"/>
        <v>0.61464645366918802</v>
      </c>
      <c r="AS288" s="237">
        <f t="shared" si="122"/>
        <v>0.35993676340465403</v>
      </c>
      <c r="AT288" s="237">
        <f t="shared" si="123"/>
        <v>2.5416782926158003E-2</v>
      </c>
      <c r="AU288" s="237">
        <f t="shared" si="108"/>
        <v>0.98055959563958928</v>
      </c>
      <c r="AV288" s="237">
        <f t="shared" si="108"/>
        <v>1.9440404360410696E-2</v>
      </c>
      <c r="AX288" s="251">
        <f t="shared" si="136"/>
        <v>17863.41995260847</v>
      </c>
      <c r="AY288" s="251">
        <f t="shared" si="137"/>
        <v>35436.744535921796</v>
      </c>
      <c r="AZ288" s="251">
        <f t="shared" si="130"/>
        <v>1437.8716006659072</v>
      </c>
      <c r="BA288" s="251">
        <f t="shared" si="131"/>
        <v>102727.61949448808</v>
      </c>
      <c r="BB288" s="251">
        <f t="shared" si="131"/>
        <v>2050.3288137841719</v>
      </c>
      <c r="BC288" s="251">
        <f t="shared" si="109"/>
        <v>159515.98439746845</v>
      </c>
      <c r="BD288" s="270">
        <f t="shared" si="111"/>
        <v>7.6100191206778591</v>
      </c>
      <c r="BY288" s="252">
        <f t="shared" si="125"/>
        <v>0.85220906176601474</v>
      </c>
      <c r="BZ288" s="252">
        <f t="shared" si="125"/>
        <v>1.6905785618386047</v>
      </c>
      <c r="CA288" s="252">
        <f t="shared" si="125"/>
        <v>6.8596450791303193E-2</v>
      </c>
      <c r="CB288" s="252">
        <f t="shared" si="125"/>
        <v>4.9008201374155238</v>
      </c>
      <c r="CC288" s="252">
        <f t="shared" si="125"/>
        <v>9.7814908866411532E-2</v>
      </c>
    </row>
    <row r="289" spans="1:81">
      <c r="A289" s="11">
        <v>48427</v>
      </c>
      <c r="B289" s="268">
        <v>70</v>
      </c>
      <c r="C289" s="268">
        <v>13</v>
      </c>
      <c r="D289" s="268">
        <f t="shared" si="107"/>
        <v>20</v>
      </c>
      <c r="E289" s="268">
        <v>3</v>
      </c>
      <c r="F289" s="269">
        <v>0.2</v>
      </c>
      <c r="G289" s="269">
        <v>1.32</v>
      </c>
      <c r="H289" s="269"/>
      <c r="I289" s="269">
        <v>5</v>
      </c>
      <c r="J289" s="269"/>
      <c r="K289" s="269"/>
      <c r="L289" s="269"/>
      <c r="M289" s="269">
        <f t="shared" si="135"/>
        <v>1.5</v>
      </c>
      <c r="N289" s="269">
        <v>45</v>
      </c>
      <c r="O289" s="269">
        <f t="shared" si="114"/>
        <v>17.699535849485258</v>
      </c>
      <c r="Q289" s="251">
        <f t="shared" si="124"/>
        <v>176.71953584948523</v>
      </c>
      <c r="R289" s="251">
        <f>'RD Plant List'!N157</f>
        <v>664.33</v>
      </c>
      <c r="S289" s="251">
        <f>SUM(B289:O289)+'RD Plant List'!N157</f>
        <v>841.04953584948521</v>
      </c>
      <c r="T289" s="237">
        <f t="shared" si="113"/>
        <v>0.7898821314121609</v>
      </c>
      <c r="U289" s="251">
        <f t="shared" si="132"/>
        <v>523.61064800958582</v>
      </c>
      <c r="V289" s="271">
        <f t="shared" si="118"/>
        <v>0.62256814336235666</v>
      </c>
      <c r="W289" s="251">
        <f t="shared" si="126"/>
        <v>43.634220667465485</v>
      </c>
      <c r="X289" s="242">
        <f t="shared" si="127"/>
        <v>7.6100191206778591</v>
      </c>
      <c r="Y289" s="273">
        <f t="shared" si="128"/>
        <v>7.6100191206778591</v>
      </c>
      <c r="AB289" s="251">
        <f>SUM('BD Feedstock'!C287,'BD Feedstock'!E287,'BD Feedstock'!G287,'BD Feedstock'!K287,'BD Feedstock'!T287)</f>
        <v>21.812796010427753</v>
      </c>
      <c r="AC289" s="251">
        <f>SUM('BD Feedstock'!D287,'BD Feedstock'!F287,'BD Feedstock'!H287,'BD Feedstock'!I287,'BD Feedstock'!L287,'BD Feedstock'!M287,'BD Feedstock'!N287,'BD Feedstock'!O287,'BD Feedstock'!U287)</f>
        <v>12.773566250859661</v>
      </c>
      <c r="AD289" s="251">
        <f>'BD Feedstock'!J287</f>
        <v>0.90199999999999991</v>
      </c>
      <c r="AE289" s="251">
        <f>SUM('BD Feedstock'!B287,'BD Feedstock'!P287,'BD Feedstock'!Q287,'BD Feedstock'!R287)</f>
        <v>70.93020833333334</v>
      </c>
      <c r="AF289" s="251">
        <f>'BD Feedstock'!S287</f>
        <v>1.40625</v>
      </c>
      <c r="AG289" s="251">
        <f t="shared" si="119"/>
        <v>107.82482059462075</v>
      </c>
      <c r="AK289" s="237">
        <f t="shared" si="134"/>
        <v>0.20229846792359021</v>
      </c>
      <c r="AL289" s="237">
        <f t="shared" si="134"/>
        <v>0.11846591703484753</v>
      </c>
      <c r="AM289" s="237">
        <f t="shared" si="134"/>
        <v>8.3654208282077092E-3</v>
      </c>
      <c r="AN289" s="237">
        <f t="shared" si="134"/>
        <v>0.65782820636449979</v>
      </c>
      <c r="AO289" s="237">
        <f t="shared" si="133"/>
        <v>1.304198784885487E-2</v>
      </c>
      <c r="AP289" s="237">
        <f t="shared" si="120"/>
        <v>1</v>
      </c>
      <c r="AQ289" s="237"/>
      <c r="AR289" s="237">
        <f t="shared" si="121"/>
        <v>0.61464645366918802</v>
      </c>
      <c r="AS289" s="237">
        <f t="shared" si="122"/>
        <v>0.35993676340465403</v>
      </c>
      <c r="AT289" s="237">
        <f t="shared" si="123"/>
        <v>2.5416782926158003E-2</v>
      </c>
      <c r="AU289" s="237">
        <f t="shared" si="108"/>
        <v>0.98055959563958928</v>
      </c>
      <c r="AV289" s="237">
        <f t="shared" si="108"/>
        <v>1.9440404360410696E-2</v>
      </c>
      <c r="AX289" s="251">
        <f t="shared" si="136"/>
        <v>16030.400641483193</v>
      </c>
      <c r="AY289" s="251">
        <f t="shared" si="137"/>
        <v>34296.846514203418</v>
      </c>
      <c r="AZ289" s="251">
        <f t="shared" si="130"/>
        <v>1357.6715966876236</v>
      </c>
      <c r="BA289" s="251">
        <f t="shared" si="131"/>
        <v>96997.792513885594</v>
      </c>
      <c r="BB289" s="251">
        <f t="shared" si="131"/>
        <v>1935.9678521057247</v>
      </c>
      <c r="BC289" s="251">
        <f t="shared" si="109"/>
        <v>150618.67911836557</v>
      </c>
      <c r="BD289" s="270">
        <f t="shared" si="111"/>
        <v>7.6100191206778591</v>
      </c>
      <c r="BY289" s="252">
        <f t="shared" si="125"/>
        <v>0.80993709484030874</v>
      </c>
      <c r="BZ289" s="252">
        <f t="shared" si="125"/>
        <v>1.7328505287643103</v>
      </c>
      <c r="CA289" s="252">
        <f t="shared" si="125"/>
        <v>6.8596450791303221E-2</v>
      </c>
      <c r="CB289" s="252">
        <f t="shared" si="125"/>
        <v>4.9008201374155229</v>
      </c>
      <c r="CC289" s="252">
        <f t="shared" si="125"/>
        <v>9.7814908866411518E-2</v>
      </c>
    </row>
    <row r="290" spans="1:81">
      <c r="A290" s="11">
        <v>48458</v>
      </c>
      <c r="B290" s="268">
        <v>70</v>
      </c>
      <c r="C290" s="268">
        <v>13</v>
      </c>
      <c r="D290" s="268">
        <f t="shared" ref="D290:D353" si="138">$D$3</f>
        <v>20</v>
      </c>
      <c r="E290" s="268">
        <v>3</v>
      </c>
      <c r="F290" s="269">
        <v>0.2</v>
      </c>
      <c r="G290" s="269">
        <v>1.32</v>
      </c>
      <c r="H290" s="269"/>
      <c r="I290" s="269">
        <v>5</v>
      </c>
      <c r="J290" s="269"/>
      <c r="K290" s="269"/>
      <c r="L290" s="269"/>
      <c r="M290" s="269">
        <f t="shared" si="135"/>
        <v>1.5</v>
      </c>
      <c r="N290" s="269">
        <v>45</v>
      </c>
      <c r="O290" s="269">
        <f t="shared" si="114"/>
        <v>17.699535849485258</v>
      </c>
      <c r="Q290" s="251">
        <f t="shared" si="124"/>
        <v>176.71953584948523</v>
      </c>
      <c r="R290" s="251">
        <f>'RD Plant List'!N158</f>
        <v>664.33</v>
      </c>
      <c r="S290" s="251">
        <f>SUM(B290:O290)+'RD Plant List'!N158</f>
        <v>841.04953584948521</v>
      </c>
      <c r="T290" s="237">
        <f t="shared" si="113"/>
        <v>0.7898821314121609</v>
      </c>
      <c r="U290" s="251">
        <f t="shared" si="132"/>
        <v>568.75115063874989</v>
      </c>
      <c r="V290" s="271">
        <f t="shared" si="118"/>
        <v>0.67623977708315863</v>
      </c>
      <c r="W290" s="251">
        <f t="shared" si="126"/>
        <v>47.395929219895827</v>
      </c>
      <c r="X290" s="242">
        <f t="shared" si="127"/>
        <v>7.6100191206778565</v>
      </c>
      <c r="Y290" s="273">
        <f t="shared" si="128"/>
        <v>7.6100191206778565</v>
      </c>
      <c r="AB290" s="251">
        <f>SUM('BD Feedstock'!C288,'BD Feedstock'!E288,'BD Feedstock'!G288,'BD Feedstock'!K288,'BD Feedstock'!T288)</f>
        <v>21.812796010427753</v>
      </c>
      <c r="AC290" s="251">
        <f>SUM('BD Feedstock'!D288,'BD Feedstock'!F288,'BD Feedstock'!H288,'BD Feedstock'!I288,'BD Feedstock'!L288,'BD Feedstock'!M288,'BD Feedstock'!N288,'BD Feedstock'!O288,'BD Feedstock'!U288)</f>
        <v>12.773566250859661</v>
      </c>
      <c r="AD290" s="251">
        <f>'BD Feedstock'!J288</f>
        <v>0.90199999999999991</v>
      </c>
      <c r="AE290" s="251">
        <f>SUM('BD Feedstock'!B288,'BD Feedstock'!P288,'BD Feedstock'!Q288,'BD Feedstock'!R288)</f>
        <v>70.93020833333334</v>
      </c>
      <c r="AF290" s="251">
        <f>'BD Feedstock'!S288</f>
        <v>1.40625</v>
      </c>
      <c r="AG290" s="251">
        <f t="shared" si="119"/>
        <v>107.82482059462075</v>
      </c>
      <c r="AK290" s="237">
        <f t="shared" si="134"/>
        <v>0.20229846792359021</v>
      </c>
      <c r="AL290" s="237">
        <f t="shared" si="134"/>
        <v>0.11846591703484753</v>
      </c>
      <c r="AM290" s="237">
        <f t="shared" si="134"/>
        <v>8.3654208282077092E-3</v>
      </c>
      <c r="AN290" s="237">
        <f t="shared" si="134"/>
        <v>0.65782820636449979</v>
      </c>
      <c r="AO290" s="237">
        <f t="shared" si="133"/>
        <v>1.304198784885487E-2</v>
      </c>
      <c r="AP290" s="237">
        <f t="shared" si="120"/>
        <v>1</v>
      </c>
      <c r="AQ290" s="237"/>
      <c r="AR290" s="237">
        <f t="shared" si="121"/>
        <v>0.61464645366918802</v>
      </c>
      <c r="AS290" s="237">
        <f t="shared" si="122"/>
        <v>0.35993676340465403</v>
      </c>
      <c r="AT290" s="237">
        <f t="shared" si="123"/>
        <v>2.5416782926158003E-2</v>
      </c>
      <c r="AU290" s="237">
        <f t="shared" si="108"/>
        <v>0.98055959563958928</v>
      </c>
      <c r="AV290" s="237">
        <f t="shared" si="108"/>
        <v>1.9440404360410696E-2</v>
      </c>
      <c r="AX290" s="251">
        <f t="shared" si="136"/>
        <v>18705.533179496902</v>
      </c>
      <c r="AY290" s="251">
        <f t="shared" si="137"/>
        <v>35960.428708569008</v>
      </c>
      <c r="AZ290" s="251">
        <f t="shared" si="130"/>
        <v>1474.7165393617017</v>
      </c>
      <c r="BA290" s="251">
        <f t="shared" si="131"/>
        <v>105359.97751650227</v>
      </c>
      <c r="BB290" s="251">
        <f t="shared" si="131"/>
        <v>2102.8677466173349</v>
      </c>
      <c r="BC290" s="251">
        <f t="shared" si="109"/>
        <v>163603.52369054721</v>
      </c>
      <c r="BD290" s="270">
        <f t="shared" si="111"/>
        <v>7.6100191206778565</v>
      </c>
      <c r="BY290" s="252">
        <f t="shared" si="125"/>
        <v>0.87008801489934073</v>
      </c>
      <c r="BZ290" s="252">
        <f t="shared" si="125"/>
        <v>1.6726996087052786</v>
      </c>
      <c r="CA290" s="252">
        <f t="shared" si="125"/>
        <v>6.8596450791303207E-2</v>
      </c>
      <c r="CB290" s="252">
        <f t="shared" si="125"/>
        <v>4.9008201374155229</v>
      </c>
      <c r="CC290" s="252">
        <f t="shared" si="125"/>
        <v>9.7814908866411532E-2</v>
      </c>
    </row>
    <row r="291" spans="1:81">
      <c r="A291" s="11">
        <v>48488</v>
      </c>
      <c r="B291" s="268">
        <v>70</v>
      </c>
      <c r="C291" s="268">
        <v>13</v>
      </c>
      <c r="D291" s="268">
        <f t="shared" si="138"/>
        <v>20</v>
      </c>
      <c r="E291" s="268">
        <v>3</v>
      </c>
      <c r="F291" s="269">
        <v>0.2</v>
      </c>
      <c r="G291" s="269">
        <v>1.32</v>
      </c>
      <c r="H291" s="269"/>
      <c r="I291" s="269">
        <v>5</v>
      </c>
      <c r="J291" s="269"/>
      <c r="K291" s="269"/>
      <c r="L291" s="269"/>
      <c r="M291" s="269">
        <f t="shared" si="135"/>
        <v>1.5</v>
      </c>
      <c r="N291" s="269">
        <v>45</v>
      </c>
      <c r="O291" s="269">
        <f t="shared" si="114"/>
        <v>17.699535849485258</v>
      </c>
      <c r="Q291" s="251">
        <f t="shared" si="124"/>
        <v>176.71953584948523</v>
      </c>
      <c r="R291" s="251">
        <f>'RD Plant List'!N159</f>
        <v>664.33</v>
      </c>
      <c r="S291" s="251">
        <f>SUM(B291:O291)+'RD Plant List'!N159</f>
        <v>841.04953584948521</v>
      </c>
      <c r="T291" s="237">
        <f t="shared" si="113"/>
        <v>0.7898821314121609</v>
      </c>
      <c r="U291" s="251">
        <f t="shared" si="132"/>
        <v>596.40566739213602</v>
      </c>
      <c r="V291" s="271">
        <f t="shared" si="118"/>
        <v>0.70912073780499563</v>
      </c>
      <c r="W291" s="251">
        <f t="shared" si="126"/>
        <v>49.700472282678</v>
      </c>
      <c r="X291" s="242">
        <f t="shared" si="127"/>
        <v>7.6100191206778565</v>
      </c>
      <c r="Y291" s="273">
        <f t="shared" si="128"/>
        <v>7.6100191206778565</v>
      </c>
      <c r="AB291" s="251">
        <f>SUM('BD Feedstock'!C289,'BD Feedstock'!E289,'BD Feedstock'!G289,'BD Feedstock'!K289,'BD Feedstock'!T289)</f>
        <v>21.812796010427753</v>
      </c>
      <c r="AC291" s="251">
        <f>SUM('BD Feedstock'!D289,'BD Feedstock'!F289,'BD Feedstock'!H289,'BD Feedstock'!I289,'BD Feedstock'!L289,'BD Feedstock'!M289,'BD Feedstock'!N289,'BD Feedstock'!O289,'BD Feedstock'!U289)</f>
        <v>12.773566250859661</v>
      </c>
      <c r="AD291" s="251">
        <f>'BD Feedstock'!J289</f>
        <v>0.90199999999999991</v>
      </c>
      <c r="AE291" s="251">
        <f>SUM('BD Feedstock'!B289,'BD Feedstock'!P289,'BD Feedstock'!Q289,'BD Feedstock'!R289)</f>
        <v>70.93020833333334</v>
      </c>
      <c r="AF291" s="251">
        <f>'BD Feedstock'!S289</f>
        <v>1.40625</v>
      </c>
      <c r="AG291" s="251">
        <f t="shared" si="119"/>
        <v>107.82482059462075</v>
      </c>
      <c r="AK291" s="237">
        <f t="shared" si="134"/>
        <v>0.20229846792359021</v>
      </c>
      <c r="AL291" s="237">
        <f t="shared" si="134"/>
        <v>0.11846591703484753</v>
      </c>
      <c r="AM291" s="237">
        <f t="shared" si="134"/>
        <v>8.3654208282077092E-3</v>
      </c>
      <c r="AN291" s="237">
        <f t="shared" si="134"/>
        <v>0.65782820636449979</v>
      </c>
      <c r="AO291" s="237">
        <f t="shared" si="133"/>
        <v>1.304198784885487E-2</v>
      </c>
      <c r="AP291" s="237">
        <f t="shared" si="120"/>
        <v>1</v>
      </c>
      <c r="AQ291" s="237"/>
      <c r="AR291" s="237">
        <f t="shared" si="121"/>
        <v>0.61464645366918802</v>
      </c>
      <c r="AS291" s="237">
        <f t="shared" si="122"/>
        <v>0.35993676340465403</v>
      </c>
      <c r="AT291" s="237">
        <f t="shared" si="123"/>
        <v>2.5416782926158003E-2</v>
      </c>
      <c r="AU291" s="237">
        <f t="shared" ref="AU291:AV354" si="139">AE291/SUM($AE291:$AF291)</f>
        <v>0.98055959563958928</v>
      </c>
      <c r="AV291" s="237">
        <f t="shared" si="139"/>
        <v>1.9440404360410696E-2</v>
      </c>
      <c r="AX291" s="251">
        <f t="shared" ref="AX291:AY293" si="140">($U291/12*AK291*AB$5/2204.622*1000000)-($BJ291*AR291)</f>
        <v>35344.40499707016</v>
      </c>
      <c r="AY291" s="251">
        <f t="shared" si="140"/>
        <v>21979.592408243796</v>
      </c>
      <c r="AZ291" s="251">
        <f t="shared" si="130"/>
        <v>1546.4220175809055</v>
      </c>
      <c r="BA291" s="251">
        <f t="shared" si="131"/>
        <v>110482.91970324637</v>
      </c>
      <c r="BB291" s="251">
        <f t="shared" si="131"/>
        <v>2205.1159640735509</v>
      </c>
      <c r="BC291" s="251">
        <f t="shared" si="109"/>
        <v>171558.45509021476</v>
      </c>
      <c r="BD291" s="270">
        <f t="shared" si="111"/>
        <v>7.6100191206778565</v>
      </c>
      <c r="BY291" s="252">
        <f t="shared" si="125"/>
        <v>1.5678131264078243</v>
      </c>
      <c r="BZ291" s="252">
        <f t="shared" si="125"/>
        <v>0.9749744971967953</v>
      </c>
      <c r="CA291" s="252">
        <f t="shared" si="125"/>
        <v>6.8596450791303221E-2</v>
      </c>
      <c r="CB291" s="252">
        <f t="shared" si="125"/>
        <v>4.9008201374155238</v>
      </c>
      <c r="CC291" s="252">
        <f t="shared" si="125"/>
        <v>9.7814908866411504E-2</v>
      </c>
    </row>
    <row r="292" spans="1:81">
      <c r="A292" s="11">
        <v>48519</v>
      </c>
      <c r="B292" s="268">
        <v>70</v>
      </c>
      <c r="C292" s="268">
        <v>13</v>
      </c>
      <c r="D292" s="268">
        <f t="shared" si="138"/>
        <v>20</v>
      </c>
      <c r="E292" s="268">
        <v>3</v>
      </c>
      <c r="F292" s="269">
        <v>0.2</v>
      </c>
      <c r="G292" s="269">
        <v>1.32</v>
      </c>
      <c r="H292" s="269"/>
      <c r="I292" s="269">
        <v>5</v>
      </c>
      <c r="J292" s="269"/>
      <c r="K292" s="269"/>
      <c r="L292" s="269"/>
      <c r="M292" s="269">
        <f t="shared" si="135"/>
        <v>1.5</v>
      </c>
      <c r="N292" s="269">
        <v>45</v>
      </c>
      <c r="O292" s="269">
        <f t="shared" si="114"/>
        <v>17.699535849485258</v>
      </c>
      <c r="Q292" s="251">
        <f t="shared" si="124"/>
        <v>176.71953584948523</v>
      </c>
      <c r="R292" s="251">
        <f>'RD Plant List'!N160</f>
        <v>664.33</v>
      </c>
      <c r="S292" s="251">
        <f>SUM(B292:O292)+'RD Plant List'!N160</f>
        <v>841.04953584948521</v>
      </c>
      <c r="T292" s="237">
        <f t="shared" si="113"/>
        <v>0.7898821314121609</v>
      </c>
      <c r="U292" s="251">
        <f t="shared" si="132"/>
        <v>641.66845137779467</v>
      </c>
      <c r="V292" s="271">
        <f t="shared" si="118"/>
        <v>0.76293776291035031</v>
      </c>
      <c r="W292" s="251">
        <f t="shared" si="126"/>
        <v>53.472370948149553</v>
      </c>
      <c r="X292" s="242">
        <f t="shared" si="127"/>
        <v>7.6100191206778574</v>
      </c>
      <c r="Y292" s="273">
        <f t="shared" si="128"/>
        <v>7.6100191206778574</v>
      </c>
      <c r="AB292" s="251">
        <f>SUM('BD Feedstock'!C290,'BD Feedstock'!E290,'BD Feedstock'!G290,'BD Feedstock'!K290,'BD Feedstock'!T290)</f>
        <v>21.812796010427753</v>
      </c>
      <c r="AC292" s="251">
        <f>SUM('BD Feedstock'!D290,'BD Feedstock'!F290,'BD Feedstock'!H290,'BD Feedstock'!I290,'BD Feedstock'!L290,'BD Feedstock'!M290,'BD Feedstock'!N290,'BD Feedstock'!O290,'BD Feedstock'!U290)</f>
        <v>12.773566250859661</v>
      </c>
      <c r="AD292" s="251">
        <f>'BD Feedstock'!J290</f>
        <v>0.90199999999999991</v>
      </c>
      <c r="AE292" s="251">
        <f>SUM('BD Feedstock'!B290,'BD Feedstock'!P290,'BD Feedstock'!Q290,'BD Feedstock'!R290)</f>
        <v>70.93020833333334</v>
      </c>
      <c r="AF292" s="251">
        <f>'BD Feedstock'!S290</f>
        <v>1.40625</v>
      </c>
      <c r="AG292" s="251">
        <f t="shared" si="119"/>
        <v>107.82482059462075</v>
      </c>
      <c r="AK292" s="237">
        <f t="shared" si="134"/>
        <v>0.20229846792359021</v>
      </c>
      <c r="AL292" s="237">
        <f t="shared" si="134"/>
        <v>0.11846591703484753</v>
      </c>
      <c r="AM292" s="237">
        <f t="shared" si="134"/>
        <v>8.3654208282077092E-3</v>
      </c>
      <c r="AN292" s="237">
        <f t="shared" si="134"/>
        <v>0.65782820636449979</v>
      </c>
      <c r="AO292" s="237">
        <f t="shared" si="133"/>
        <v>1.304198784885487E-2</v>
      </c>
      <c r="AP292" s="237">
        <f t="shared" si="120"/>
        <v>1</v>
      </c>
      <c r="AQ292" s="237"/>
      <c r="AR292" s="237">
        <f t="shared" si="121"/>
        <v>0.61464645366918802</v>
      </c>
      <c r="AS292" s="237">
        <f t="shared" si="122"/>
        <v>0.35993676340465403</v>
      </c>
      <c r="AT292" s="237">
        <f t="shared" si="123"/>
        <v>2.5416782926158003E-2</v>
      </c>
      <c r="AU292" s="237">
        <f t="shared" si="139"/>
        <v>0.98055959563958928</v>
      </c>
      <c r="AV292" s="237">
        <f t="shared" si="139"/>
        <v>1.9440404360410696E-2</v>
      </c>
      <c r="AX292" s="251">
        <f t="shared" si="140"/>
        <v>38026.784216367822</v>
      </c>
      <c r="AY292" s="251">
        <f t="shared" si="140"/>
        <v>23647.681089589343</v>
      </c>
      <c r="AZ292" s="251">
        <f t="shared" si="130"/>
        <v>1663.7840239456254</v>
      </c>
      <c r="BA292" s="251">
        <f t="shared" si="131"/>
        <v>118867.757074929</v>
      </c>
      <c r="BB292" s="251">
        <f t="shared" si="131"/>
        <v>2372.4679746297556</v>
      </c>
      <c r="BC292" s="251">
        <f t="shared" si="109"/>
        <v>184578.47437946155</v>
      </c>
      <c r="BD292" s="270">
        <f t="shared" si="111"/>
        <v>7.6100191206778565</v>
      </c>
      <c r="BY292" s="252">
        <f t="shared" si="125"/>
        <v>1.5678131264078241</v>
      </c>
      <c r="BZ292" s="252">
        <f t="shared" si="125"/>
        <v>0.9749744971967953</v>
      </c>
      <c r="CA292" s="252">
        <f t="shared" si="125"/>
        <v>6.8596450791303207E-2</v>
      </c>
      <c r="CB292" s="252">
        <f t="shared" si="125"/>
        <v>4.9008201374155229</v>
      </c>
      <c r="CC292" s="252">
        <f t="shared" si="125"/>
        <v>9.7814908866411532E-2</v>
      </c>
    </row>
    <row r="293" spans="1:81">
      <c r="A293" s="11">
        <v>48549</v>
      </c>
      <c r="B293" s="268">
        <v>70</v>
      </c>
      <c r="C293" s="268">
        <v>13</v>
      </c>
      <c r="D293" s="268">
        <f t="shared" si="138"/>
        <v>20</v>
      </c>
      <c r="E293" s="268">
        <v>3</v>
      </c>
      <c r="F293" s="269">
        <v>0.2</v>
      </c>
      <c r="G293" s="269">
        <v>1.32</v>
      </c>
      <c r="H293" s="269"/>
      <c r="I293" s="269">
        <v>5</v>
      </c>
      <c r="J293" s="269"/>
      <c r="K293" s="269"/>
      <c r="L293" s="269"/>
      <c r="M293" s="269">
        <f t="shared" si="135"/>
        <v>1.5</v>
      </c>
      <c r="N293" s="269">
        <v>45</v>
      </c>
      <c r="O293" s="269">
        <f t="shared" si="114"/>
        <v>17.699535849485258</v>
      </c>
      <c r="Q293" s="251">
        <f t="shared" si="124"/>
        <v>176.71953584948523</v>
      </c>
      <c r="R293" s="251">
        <f>'RD Plant List'!N161</f>
        <v>664.33</v>
      </c>
      <c r="S293" s="251">
        <f>SUM(B293:O293)+'RD Plant List'!N161</f>
        <v>841.04953584948521</v>
      </c>
      <c r="T293" s="237">
        <f t="shared" si="113"/>
        <v>0.7898821314121609</v>
      </c>
      <c r="U293" s="251">
        <f t="shared" si="132"/>
        <v>582.66642383932469</v>
      </c>
      <c r="V293" s="271">
        <f t="shared" si="118"/>
        <v>0.69278490624314315</v>
      </c>
      <c r="W293" s="251">
        <f t="shared" si="126"/>
        <v>48.555535319943722</v>
      </c>
      <c r="X293" s="242">
        <f t="shared" si="127"/>
        <v>7.6100191206778582</v>
      </c>
      <c r="Y293" s="273">
        <f t="shared" si="128"/>
        <v>7.6100191206778582</v>
      </c>
      <c r="AB293" s="251">
        <f>SUM('BD Feedstock'!C291,'BD Feedstock'!E291,'BD Feedstock'!G291,'BD Feedstock'!K291,'BD Feedstock'!T291)</f>
        <v>21.812796010427753</v>
      </c>
      <c r="AC293" s="251">
        <f>SUM('BD Feedstock'!D291,'BD Feedstock'!F291,'BD Feedstock'!H291,'BD Feedstock'!I291,'BD Feedstock'!L291,'BD Feedstock'!M291,'BD Feedstock'!N291,'BD Feedstock'!O291,'BD Feedstock'!U291)</f>
        <v>12.773566250859661</v>
      </c>
      <c r="AD293" s="251">
        <f>'BD Feedstock'!J291</f>
        <v>0.90199999999999991</v>
      </c>
      <c r="AE293" s="251">
        <f>SUM('BD Feedstock'!B291,'BD Feedstock'!P291,'BD Feedstock'!Q291,'BD Feedstock'!R291)</f>
        <v>70.93020833333334</v>
      </c>
      <c r="AF293" s="251">
        <f>'BD Feedstock'!S291</f>
        <v>1.40625</v>
      </c>
      <c r="AG293" s="251">
        <f t="shared" si="119"/>
        <v>107.82482059462075</v>
      </c>
      <c r="AK293" s="237">
        <f t="shared" si="134"/>
        <v>0.20229846792359021</v>
      </c>
      <c r="AL293" s="237">
        <f t="shared" si="134"/>
        <v>0.11846591703484753</v>
      </c>
      <c r="AM293" s="237">
        <f t="shared" si="134"/>
        <v>8.3654208282077092E-3</v>
      </c>
      <c r="AN293" s="237">
        <f t="shared" si="134"/>
        <v>0.65782820636449979</v>
      </c>
      <c r="AO293" s="237">
        <f t="shared" si="133"/>
        <v>1.304198784885487E-2</v>
      </c>
      <c r="AP293" s="237">
        <f t="shared" si="120"/>
        <v>1</v>
      </c>
      <c r="AQ293" s="237"/>
      <c r="AR293" s="237">
        <f t="shared" si="121"/>
        <v>0.61464645366918802</v>
      </c>
      <c r="AS293" s="237">
        <f t="shared" si="122"/>
        <v>0.35993676340465403</v>
      </c>
      <c r="AT293" s="237">
        <f t="shared" si="123"/>
        <v>2.5416782926158003E-2</v>
      </c>
      <c r="AU293" s="237">
        <f t="shared" si="139"/>
        <v>0.98055959563958928</v>
      </c>
      <c r="AV293" s="237">
        <f t="shared" si="139"/>
        <v>1.9440404360410696E-2</v>
      </c>
      <c r="AX293" s="251">
        <f t="shared" si="140"/>
        <v>34530.185054112007</v>
      </c>
      <c r="AY293" s="251">
        <f t="shared" si="140"/>
        <v>21473.254206246405</v>
      </c>
      <c r="AZ293" s="251">
        <f t="shared" si="130"/>
        <v>1510.797492368263</v>
      </c>
      <c r="BA293" s="251">
        <f t="shared" si="131"/>
        <v>107937.7531744539</v>
      </c>
      <c r="BB293" s="251">
        <f t="shared" si="131"/>
        <v>2154.3172762859672</v>
      </c>
      <c r="BC293" s="251">
        <f t="shared" si="109"/>
        <v>167606.30720346654</v>
      </c>
      <c r="BD293" s="270">
        <f t="shared" si="111"/>
        <v>7.6100191206778574</v>
      </c>
      <c r="BY293" s="252">
        <f t="shared" si="125"/>
        <v>1.5678131264078246</v>
      </c>
      <c r="BZ293" s="252">
        <f t="shared" si="125"/>
        <v>0.97497449719679519</v>
      </c>
      <c r="CA293" s="252">
        <f t="shared" si="125"/>
        <v>6.8596450791303207E-2</v>
      </c>
      <c r="CB293" s="252">
        <f t="shared" si="125"/>
        <v>4.9008201374155238</v>
      </c>
      <c r="CC293" s="252">
        <f t="shared" si="125"/>
        <v>9.7814908866411532E-2</v>
      </c>
    </row>
    <row r="294" spans="1:81">
      <c r="A294" s="11">
        <v>48580</v>
      </c>
      <c r="B294" s="268">
        <v>70</v>
      </c>
      <c r="C294" s="268">
        <v>13</v>
      </c>
      <c r="D294" s="268">
        <f t="shared" si="138"/>
        <v>20</v>
      </c>
      <c r="E294" s="268">
        <v>3</v>
      </c>
      <c r="F294" s="269">
        <v>0.2</v>
      </c>
      <c r="G294" s="269">
        <v>1.32</v>
      </c>
      <c r="H294" s="269"/>
      <c r="I294" s="269">
        <v>5</v>
      </c>
      <c r="J294" s="269"/>
      <c r="K294" s="269"/>
      <c r="L294" s="269"/>
      <c r="M294" s="269">
        <f t="shared" si="135"/>
        <v>1.5</v>
      </c>
      <c r="N294" s="269">
        <v>45</v>
      </c>
      <c r="O294" s="269">
        <f t="shared" si="114"/>
        <v>17.699535849485258</v>
      </c>
      <c r="Q294" s="251">
        <f t="shared" si="124"/>
        <v>176.71953584948523</v>
      </c>
      <c r="R294" s="251">
        <f>'RD Plant List'!N162</f>
        <v>664.33</v>
      </c>
      <c r="S294" s="251">
        <f>SUM(B294:O294)+'RD Plant List'!N162</f>
        <v>841.04953584948521</v>
      </c>
      <c r="T294" s="237">
        <f t="shared" si="113"/>
        <v>0.7898821314121609</v>
      </c>
      <c r="U294" s="251">
        <f t="shared" si="132"/>
        <v>479.94633600609308</v>
      </c>
      <c r="V294" s="271">
        <f t="shared" si="118"/>
        <v>0.57065168643287212</v>
      </c>
      <c r="W294" s="251">
        <f t="shared" si="126"/>
        <v>39.995528000507754</v>
      </c>
      <c r="X294" s="242">
        <f t="shared" si="127"/>
        <v>7.6100191206778565</v>
      </c>
      <c r="Y294" s="273">
        <f t="shared" si="128"/>
        <v>7.6100191206778565</v>
      </c>
      <c r="AB294" s="251">
        <f>SUM('BD Feedstock'!C292,'BD Feedstock'!E292,'BD Feedstock'!G292,'BD Feedstock'!K292,'BD Feedstock'!T292)</f>
        <v>21.812796010427753</v>
      </c>
      <c r="AC294" s="251">
        <f>SUM('BD Feedstock'!D292,'BD Feedstock'!F292,'BD Feedstock'!H292,'BD Feedstock'!I292,'BD Feedstock'!L292,'BD Feedstock'!M292,'BD Feedstock'!N292,'BD Feedstock'!O292,'BD Feedstock'!U292)</f>
        <v>12.773566250859661</v>
      </c>
      <c r="AD294" s="251">
        <f>'BD Feedstock'!J292</f>
        <v>0.90199999999999991</v>
      </c>
      <c r="AE294" s="251">
        <f>SUM('BD Feedstock'!B292,'BD Feedstock'!P292,'BD Feedstock'!Q292,'BD Feedstock'!R292)</f>
        <v>70.93020833333334</v>
      </c>
      <c r="AF294" s="251">
        <f>'BD Feedstock'!S292</f>
        <v>1.40625</v>
      </c>
      <c r="AG294" s="251">
        <f t="shared" si="119"/>
        <v>107.82482059462075</v>
      </c>
      <c r="AK294" s="237">
        <f t="shared" si="134"/>
        <v>0.20229846792359021</v>
      </c>
      <c r="AL294" s="237">
        <f t="shared" si="134"/>
        <v>0.11846591703484753</v>
      </c>
      <c r="AM294" s="237">
        <f t="shared" si="134"/>
        <v>8.3654208282077092E-3</v>
      </c>
      <c r="AN294" s="237">
        <f t="shared" si="134"/>
        <v>0.65782820636449979</v>
      </c>
      <c r="AO294" s="237">
        <f t="shared" si="133"/>
        <v>1.304198784885487E-2</v>
      </c>
      <c r="AP294" s="237">
        <f t="shared" si="120"/>
        <v>1</v>
      </c>
      <c r="AQ294" s="237"/>
      <c r="AR294" s="237">
        <f t="shared" si="121"/>
        <v>0.61464645366918802</v>
      </c>
      <c r="AS294" s="237">
        <f t="shared" si="122"/>
        <v>0.35993676340465403</v>
      </c>
      <c r="AT294" s="237">
        <f t="shared" si="123"/>
        <v>2.5416782926158003E-2</v>
      </c>
      <c r="AU294" s="237">
        <f t="shared" si="139"/>
        <v>0.98055959563958928</v>
      </c>
      <c r="AV294" s="237">
        <f t="shared" si="139"/>
        <v>1.9440404360410696E-2</v>
      </c>
      <c r="AX294" s="251">
        <f>($U294/12*AK294*AB$5/2204.622*1000000)-($BJ294*AR294)-15000</f>
        <v>13442.750637890644</v>
      </c>
      <c r="AY294" s="251">
        <f>($U294/12*AL294*AC$5/2204.622*1000000)-($BJ294*AS294)+15000</f>
        <v>32687.667002513535</v>
      </c>
      <c r="AZ294" s="251">
        <f t="shared" si="130"/>
        <v>1244.4542730495389</v>
      </c>
      <c r="BA294" s="251">
        <f t="shared" si="131"/>
        <v>88909.068779797555</v>
      </c>
      <c r="BB294" s="251">
        <f t="shared" si="131"/>
        <v>1774.5259397908924</v>
      </c>
      <c r="BC294" s="251">
        <f t="shared" si="109"/>
        <v>138058.46663304215</v>
      </c>
      <c r="BD294" s="270">
        <f t="shared" si="111"/>
        <v>7.6100191206778574</v>
      </c>
      <c r="BY294" s="252">
        <f t="shared" si="125"/>
        <v>0.74098743730627836</v>
      </c>
      <c r="BZ294" s="252">
        <f t="shared" si="125"/>
        <v>1.8018001862983408</v>
      </c>
      <c r="CA294" s="252">
        <f t="shared" si="125"/>
        <v>6.8596450791303221E-2</v>
      </c>
      <c r="CB294" s="252">
        <f t="shared" si="125"/>
        <v>4.9008201374155229</v>
      </c>
      <c r="CC294" s="252">
        <f t="shared" si="125"/>
        <v>9.7814908866411518E-2</v>
      </c>
    </row>
    <row r="295" spans="1:81">
      <c r="A295" s="11">
        <v>48611</v>
      </c>
      <c r="B295" s="268">
        <v>70</v>
      </c>
      <c r="C295" s="268">
        <v>13</v>
      </c>
      <c r="D295" s="268">
        <f t="shared" si="138"/>
        <v>20</v>
      </c>
      <c r="E295" s="268">
        <v>3</v>
      </c>
      <c r="F295" s="269">
        <v>0.2</v>
      </c>
      <c r="G295" s="269">
        <v>1.32</v>
      </c>
      <c r="H295" s="269"/>
      <c r="I295" s="269">
        <v>5</v>
      </c>
      <c r="J295" s="269"/>
      <c r="K295" s="269"/>
      <c r="L295" s="269"/>
      <c r="M295" s="269">
        <f t="shared" si="135"/>
        <v>1.5</v>
      </c>
      <c r="N295" s="269">
        <v>45</v>
      </c>
      <c r="O295" s="269">
        <f t="shared" si="114"/>
        <v>17.699535849485258</v>
      </c>
      <c r="Q295" s="251">
        <f t="shared" si="124"/>
        <v>176.71953584948523</v>
      </c>
      <c r="R295" s="251">
        <f>'RD Plant List'!N163</f>
        <v>664.33</v>
      </c>
      <c r="S295" s="251">
        <f>SUM(B295:O295)+'RD Plant List'!N163</f>
        <v>841.04953584948521</v>
      </c>
      <c r="T295" s="237">
        <f t="shared" si="113"/>
        <v>0.7898821314121609</v>
      </c>
      <c r="U295" s="251">
        <f t="shared" si="132"/>
        <v>443.20180521009138</v>
      </c>
      <c r="V295" s="271">
        <f t="shared" si="118"/>
        <v>0.5269627843768373</v>
      </c>
      <c r="W295" s="251">
        <f t="shared" si="126"/>
        <v>36.933483767507617</v>
      </c>
      <c r="X295" s="242">
        <f t="shared" si="127"/>
        <v>7.6100191206778582</v>
      </c>
      <c r="Y295" s="273">
        <f t="shared" si="128"/>
        <v>7.6100191206778582</v>
      </c>
      <c r="AB295" s="251">
        <f>SUM('BD Feedstock'!C293,'BD Feedstock'!E293,'BD Feedstock'!G293,'BD Feedstock'!K293,'BD Feedstock'!T293)</f>
        <v>21.812796010427753</v>
      </c>
      <c r="AC295" s="251">
        <f>SUM('BD Feedstock'!D293,'BD Feedstock'!F293,'BD Feedstock'!H293,'BD Feedstock'!I293,'BD Feedstock'!L293,'BD Feedstock'!M293,'BD Feedstock'!N293,'BD Feedstock'!O293,'BD Feedstock'!U293)</f>
        <v>12.773566250859661</v>
      </c>
      <c r="AD295" s="251">
        <f>'BD Feedstock'!J293</f>
        <v>0.90199999999999991</v>
      </c>
      <c r="AE295" s="251">
        <f>SUM('BD Feedstock'!B293,'BD Feedstock'!P293,'BD Feedstock'!Q293,'BD Feedstock'!R293)</f>
        <v>70.93020833333334</v>
      </c>
      <c r="AF295" s="251">
        <f>'BD Feedstock'!S293</f>
        <v>1.40625</v>
      </c>
      <c r="AG295" s="251">
        <f t="shared" si="119"/>
        <v>107.82482059462075</v>
      </c>
      <c r="AK295" s="237">
        <f t="shared" si="134"/>
        <v>0.20229846792359021</v>
      </c>
      <c r="AL295" s="237">
        <f t="shared" si="134"/>
        <v>0.11846591703484753</v>
      </c>
      <c r="AM295" s="237">
        <f t="shared" si="134"/>
        <v>8.3654208282077092E-3</v>
      </c>
      <c r="AN295" s="237">
        <f t="shared" si="134"/>
        <v>0.65782820636449979</v>
      </c>
      <c r="AO295" s="237">
        <f t="shared" si="133"/>
        <v>1.304198784885487E-2</v>
      </c>
      <c r="AP295" s="237">
        <f t="shared" si="120"/>
        <v>1</v>
      </c>
      <c r="AQ295" s="237"/>
      <c r="AR295" s="237">
        <f t="shared" si="121"/>
        <v>0.61464645366918802</v>
      </c>
      <c r="AS295" s="237">
        <f t="shared" si="122"/>
        <v>0.35993676340465403</v>
      </c>
      <c r="AT295" s="237">
        <f t="shared" si="123"/>
        <v>2.5416782926158003E-2</v>
      </c>
      <c r="AU295" s="237">
        <f t="shared" si="139"/>
        <v>0.98055959563958928</v>
      </c>
      <c r="AV295" s="237">
        <f t="shared" si="139"/>
        <v>1.9440404360410696E-2</v>
      </c>
      <c r="AX295" s="251">
        <f t="shared" ref="AX295:AX303" si="141">($U295/12*AK295*AB$5/2204.622*1000000)-($BJ295*AR295)-15000</f>
        <v>11265.183171840228</v>
      </c>
      <c r="AY295" s="251">
        <f t="shared" ref="AY295:AY303" si="142">($U295/12*AL295*AC$5/2204.622*1000000)-($BJ295*AS295)+15000</f>
        <v>31333.505138727516</v>
      </c>
      <c r="AZ295" s="251">
        <f t="shared" si="130"/>
        <v>1149.1792705548762</v>
      </c>
      <c r="BA295" s="251">
        <f t="shared" si="131"/>
        <v>82102.220241252566</v>
      </c>
      <c r="BB295" s="251">
        <f t="shared" si="131"/>
        <v>1638.6688279613682</v>
      </c>
      <c r="BC295" s="251">
        <f t="shared" si="109"/>
        <v>127488.75665033655</v>
      </c>
      <c r="BD295" s="270">
        <f t="shared" si="111"/>
        <v>7.6100191206778582</v>
      </c>
      <c r="BY295" s="252">
        <f t="shared" si="125"/>
        <v>0.67243780226651273</v>
      </c>
      <c r="BZ295" s="252">
        <f t="shared" si="125"/>
        <v>1.8703498213381062</v>
      </c>
      <c r="CA295" s="252">
        <f t="shared" si="125"/>
        <v>6.8596450791303207E-2</v>
      </c>
      <c r="CB295" s="252">
        <f t="shared" si="125"/>
        <v>4.9008201374155238</v>
      </c>
      <c r="CC295" s="252">
        <f t="shared" si="125"/>
        <v>9.7814908866411518E-2</v>
      </c>
    </row>
    <row r="296" spans="1:81">
      <c r="A296" s="11">
        <v>48639</v>
      </c>
      <c r="B296" s="268">
        <v>70</v>
      </c>
      <c r="C296" s="268">
        <v>13</v>
      </c>
      <c r="D296" s="268">
        <f t="shared" si="138"/>
        <v>20</v>
      </c>
      <c r="E296" s="268">
        <v>3</v>
      </c>
      <c r="F296" s="269">
        <v>0.2</v>
      </c>
      <c r="G296" s="269">
        <v>1.32</v>
      </c>
      <c r="H296" s="269"/>
      <c r="I296" s="269">
        <v>5</v>
      </c>
      <c r="J296" s="269"/>
      <c r="K296" s="269"/>
      <c r="L296" s="269"/>
      <c r="M296" s="269">
        <f t="shared" si="135"/>
        <v>1.5</v>
      </c>
      <c r="N296" s="269">
        <v>45</v>
      </c>
      <c r="O296" s="269">
        <f t="shared" si="114"/>
        <v>17.699535849485258</v>
      </c>
      <c r="Q296" s="251">
        <f t="shared" si="124"/>
        <v>176.71953584948523</v>
      </c>
      <c r="R296" s="251">
        <f>'RD Plant List'!N164</f>
        <v>664.33</v>
      </c>
      <c r="S296" s="251">
        <f>SUM(B296:O296)+'RD Plant List'!N164</f>
        <v>841.04953584948521</v>
      </c>
      <c r="T296" s="237">
        <f t="shared" si="113"/>
        <v>0.7898821314121609</v>
      </c>
      <c r="U296" s="251">
        <f t="shared" si="132"/>
        <v>491.66347864901928</v>
      </c>
      <c r="V296" s="271">
        <f t="shared" si="118"/>
        <v>0.58458325900200925</v>
      </c>
      <c r="W296" s="251">
        <f t="shared" si="126"/>
        <v>40.97195655408494</v>
      </c>
      <c r="X296" s="242">
        <f t="shared" si="127"/>
        <v>7.6100191206778556</v>
      </c>
      <c r="Y296" s="273">
        <f t="shared" si="128"/>
        <v>7.6100191206778556</v>
      </c>
      <c r="AB296" s="251">
        <f>SUM('BD Feedstock'!C294,'BD Feedstock'!E294,'BD Feedstock'!G294,'BD Feedstock'!K294,'BD Feedstock'!T294)</f>
        <v>21.812796010427753</v>
      </c>
      <c r="AC296" s="251">
        <f>SUM('BD Feedstock'!D294,'BD Feedstock'!F294,'BD Feedstock'!H294,'BD Feedstock'!I294,'BD Feedstock'!L294,'BD Feedstock'!M294,'BD Feedstock'!N294,'BD Feedstock'!O294,'BD Feedstock'!U294)</f>
        <v>12.773566250859661</v>
      </c>
      <c r="AD296" s="251">
        <f>'BD Feedstock'!J294</f>
        <v>0.90199999999999991</v>
      </c>
      <c r="AE296" s="251">
        <f>SUM('BD Feedstock'!B294,'BD Feedstock'!P294,'BD Feedstock'!Q294,'BD Feedstock'!R294)</f>
        <v>70.93020833333334</v>
      </c>
      <c r="AF296" s="251">
        <f>'BD Feedstock'!S294</f>
        <v>1.40625</v>
      </c>
      <c r="AG296" s="251">
        <f t="shared" si="119"/>
        <v>107.82482059462075</v>
      </c>
      <c r="AK296" s="237">
        <f t="shared" si="134"/>
        <v>0.20229846792359021</v>
      </c>
      <c r="AL296" s="237">
        <f t="shared" si="134"/>
        <v>0.11846591703484753</v>
      </c>
      <c r="AM296" s="237">
        <f t="shared" si="134"/>
        <v>8.3654208282077092E-3</v>
      </c>
      <c r="AN296" s="237">
        <f t="shared" si="134"/>
        <v>0.65782820636449979</v>
      </c>
      <c r="AO296" s="237">
        <f t="shared" si="133"/>
        <v>1.304198784885487E-2</v>
      </c>
      <c r="AP296" s="237">
        <f t="shared" si="120"/>
        <v>1</v>
      </c>
      <c r="AQ296" s="237"/>
      <c r="AR296" s="237">
        <f t="shared" si="121"/>
        <v>0.61464645366918802</v>
      </c>
      <c r="AS296" s="237">
        <f t="shared" si="122"/>
        <v>0.35993676340465403</v>
      </c>
      <c r="AT296" s="237">
        <f t="shared" si="123"/>
        <v>2.5416782926158003E-2</v>
      </c>
      <c r="AU296" s="237">
        <f t="shared" si="139"/>
        <v>0.98055959563958928</v>
      </c>
      <c r="AV296" s="237">
        <f t="shared" si="139"/>
        <v>1.9440404360410696E-2</v>
      </c>
      <c r="AX296" s="251">
        <f t="shared" si="141"/>
        <v>14137.13611680617</v>
      </c>
      <c r="AY296" s="251">
        <f t="shared" si="142"/>
        <v>33119.4838573179</v>
      </c>
      <c r="AZ296" s="251">
        <f t="shared" si="130"/>
        <v>1274.8356868368824</v>
      </c>
      <c r="BA296" s="251">
        <f t="shared" si="131"/>
        <v>91079.645285937193</v>
      </c>
      <c r="BB296" s="251">
        <f t="shared" si="131"/>
        <v>1817.8482281390602</v>
      </c>
      <c r="BC296" s="251">
        <f t="shared" ref="BC296:BC359" si="143">SUM(AX296:BB296)</f>
        <v>141428.94917503718</v>
      </c>
      <c r="BD296" s="270">
        <f t="shared" si="111"/>
        <v>7.6100191206778556</v>
      </c>
      <c r="BY296" s="252">
        <f t="shared" si="125"/>
        <v>0.76069204210356578</v>
      </c>
      <c r="BZ296" s="252">
        <f t="shared" si="125"/>
        <v>1.7820955815010535</v>
      </c>
      <c r="CA296" s="252">
        <f t="shared" si="125"/>
        <v>6.8596450791303221E-2</v>
      </c>
      <c r="CB296" s="252">
        <f t="shared" si="125"/>
        <v>4.9008201374155229</v>
      </c>
      <c r="CC296" s="252">
        <f t="shared" si="125"/>
        <v>9.7814908866411532E-2</v>
      </c>
    </row>
    <row r="297" spans="1:81">
      <c r="A297" s="11">
        <v>48670</v>
      </c>
      <c r="B297" s="268">
        <v>70</v>
      </c>
      <c r="C297" s="268">
        <v>13</v>
      </c>
      <c r="D297" s="268">
        <f t="shared" si="138"/>
        <v>20</v>
      </c>
      <c r="E297" s="268">
        <v>3</v>
      </c>
      <c r="F297" s="269">
        <v>0.2</v>
      </c>
      <c r="G297" s="269">
        <v>1.32</v>
      </c>
      <c r="H297" s="269"/>
      <c r="I297" s="269">
        <v>5</v>
      </c>
      <c r="J297" s="269"/>
      <c r="K297" s="269"/>
      <c r="L297" s="269"/>
      <c r="M297" s="269">
        <f t="shared" si="135"/>
        <v>1.5</v>
      </c>
      <c r="N297" s="269">
        <v>45</v>
      </c>
      <c r="O297" s="269">
        <f t="shared" si="114"/>
        <v>17.699535849485258</v>
      </c>
      <c r="Q297" s="251">
        <f t="shared" si="124"/>
        <v>176.71953584948523</v>
      </c>
      <c r="R297" s="251">
        <f>'RD Plant List'!N165</f>
        <v>664.33</v>
      </c>
      <c r="S297" s="251">
        <f>SUM(B297:O297)+'RD Plant List'!N165</f>
        <v>841.04953584948521</v>
      </c>
      <c r="T297" s="237">
        <f t="shared" si="113"/>
        <v>0.7898821314121609</v>
      </c>
      <c r="U297" s="251">
        <f t="shared" si="132"/>
        <v>500.36108812270919</v>
      </c>
      <c r="V297" s="271">
        <f t="shared" si="118"/>
        <v>0.59492463498874593</v>
      </c>
      <c r="W297" s="251">
        <f t="shared" si="126"/>
        <v>41.696757343559099</v>
      </c>
      <c r="X297" s="242">
        <f t="shared" si="127"/>
        <v>7.6100191206778565</v>
      </c>
      <c r="Y297" s="273">
        <f t="shared" si="128"/>
        <v>7.6100191206778565</v>
      </c>
      <c r="AB297" s="251">
        <f>SUM('BD Feedstock'!C295,'BD Feedstock'!E295,'BD Feedstock'!G295,'BD Feedstock'!K295,'BD Feedstock'!T295)</f>
        <v>21.812796010427753</v>
      </c>
      <c r="AC297" s="251">
        <f>SUM('BD Feedstock'!D295,'BD Feedstock'!F295,'BD Feedstock'!H295,'BD Feedstock'!I295,'BD Feedstock'!L295,'BD Feedstock'!M295,'BD Feedstock'!N295,'BD Feedstock'!O295,'BD Feedstock'!U295)</f>
        <v>12.773566250859661</v>
      </c>
      <c r="AD297" s="251">
        <f>'BD Feedstock'!J295</f>
        <v>0.90199999999999991</v>
      </c>
      <c r="AE297" s="251">
        <f>SUM('BD Feedstock'!B295,'BD Feedstock'!P295,'BD Feedstock'!Q295,'BD Feedstock'!R295)</f>
        <v>70.93020833333334</v>
      </c>
      <c r="AF297" s="251">
        <f>'BD Feedstock'!S295</f>
        <v>1.40625</v>
      </c>
      <c r="AG297" s="251">
        <f t="shared" si="119"/>
        <v>107.82482059462075</v>
      </c>
      <c r="AK297" s="237">
        <f t="shared" si="134"/>
        <v>0.20229846792359021</v>
      </c>
      <c r="AL297" s="237">
        <f t="shared" si="134"/>
        <v>0.11846591703484753</v>
      </c>
      <c r="AM297" s="237">
        <f t="shared" si="134"/>
        <v>8.3654208282077092E-3</v>
      </c>
      <c r="AN297" s="237">
        <f t="shared" si="134"/>
        <v>0.65782820636449979</v>
      </c>
      <c r="AO297" s="237">
        <f t="shared" si="133"/>
        <v>1.304198784885487E-2</v>
      </c>
      <c r="AP297" s="237">
        <f t="shared" si="120"/>
        <v>1</v>
      </c>
      <c r="AQ297" s="237"/>
      <c r="AR297" s="237">
        <f t="shared" si="121"/>
        <v>0.61464645366918802</v>
      </c>
      <c r="AS297" s="237">
        <f t="shared" si="122"/>
        <v>0.35993676340465403</v>
      </c>
      <c r="AT297" s="237">
        <f t="shared" si="123"/>
        <v>2.5416782926158003E-2</v>
      </c>
      <c r="AU297" s="237">
        <f t="shared" si="139"/>
        <v>0.98055959563958928</v>
      </c>
      <c r="AV297" s="237">
        <f t="shared" si="139"/>
        <v>1.9440404360410696E-2</v>
      </c>
      <c r="AX297" s="251">
        <f t="shared" si="141"/>
        <v>14652.576946013327</v>
      </c>
      <c r="AY297" s="251">
        <f t="shared" si="142"/>
        <v>33440.020568502587</v>
      </c>
      <c r="AZ297" s="251">
        <f t="shared" si="130"/>
        <v>1297.3877441458728</v>
      </c>
      <c r="BA297" s="251">
        <f t="shared" si="131"/>
        <v>92690.859500741193</v>
      </c>
      <c r="BB297" s="251">
        <f t="shared" si="131"/>
        <v>1850.0062684601301</v>
      </c>
      <c r="BC297" s="251">
        <f t="shared" si="143"/>
        <v>143930.8510278631</v>
      </c>
      <c r="BD297" s="270">
        <f t="shared" si="111"/>
        <v>7.6100191206778565</v>
      </c>
      <c r="BY297" s="252">
        <f t="shared" si="125"/>
        <v>0.77472195801009203</v>
      </c>
      <c r="BZ297" s="252">
        <f t="shared" si="125"/>
        <v>1.768065665594527</v>
      </c>
      <c r="CA297" s="252">
        <f t="shared" si="125"/>
        <v>6.8596450791303193E-2</v>
      </c>
      <c r="CB297" s="252">
        <f t="shared" si="125"/>
        <v>4.9008201374155229</v>
      </c>
      <c r="CC297" s="252">
        <f t="shared" si="125"/>
        <v>9.7814908866411504E-2</v>
      </c>
    </row>
    <row r="298" spans="1:81">
      <c r="A298" s="11">
        <v>48700</v>
      </c>
      <c r="B298" s="268">
        <v>70</v>
      </c>
      <c r="C298" s="268">
        <v>13</v>
      </c>
      <c r="D298" s="268">
        <f t="shared" si="138"/>
        <v>20</v>
      </c>
      <c r="E298" s="268">
        <v>3</v>
      </c>
      <c r="F298" s="269">
        <v>0.2</v>
      </c>
      <c r="G298" s="269">
        <v>1.32</v>
      </c>
      <c r="H298" s="269"/>
      <c r="I298" s="269">
        <v>5</v>
      </c>
      <c r="J298" s="269"/>
      <c r="K298" s="269"/>
      <c r="L298" s="269"/>
      <c r="M298" s="269">
        <f t="shared" si="135"/>
        <v>1.5</v>
      </c>
      <c r="N298" s="269">
        <v>45</v>
      </c>
      <c r="O298" s="269">
        <f t="shared" si="114"/>
        <v>17.699535849485258</v>
      </c>
      <c r="Q298" s="251">
        <f t="shared" si="124"/>
        <v>176.71953584948523</v>
      </c>
      <c r="R298" s="251">
        <f>'RD Plant List'!N166</f>
        <v>664.33</v>
      </c>
      <c r="S298" s="251">
        <f>SUM(B298:O298)+'RD Plant List'!N166</f>
        <v>841.04953584948521</v>
      </c>
      <c r="T298" s="237">
        <f t="shared" si="113"/>
        <v>0.7898821314121609</v>
      </c>
      <c r="U298" s="251">
        <f t="shared" si="132"/>
        <v>486.41240920279438</v>
      </c>
      <c r="V298" s="271">
        <f t="shared" si="118"/>
        <v>0.57833978674217246</v>
      </c>
      <c r="W298" s="251">
        <f t="shared" si="126"/>
        <v>40.534367433566196</v>
      </c>
      <c r="X298" s="242">
        <f t="shared" si="127"/>
        <v>7.6100191206778574</v>
      </c>
      <c r="Y298" s="273">
        <f t="shared" si="128"/>
        <v>7.6100191206778574</v>
      </c>
      <c r="AB298" s="251">
        <f>SUM('BD Feedstock'!C296,'BD Feedstock'!E296,'BD Feedstock'!G296,'BD Feedstock'!K296,'BD Feedstock'!T296)</f>
        <v>21.812796010427753</v>
      </c>
      <c r="AC298" s="251">
        <f>SUM('BD Feedstock'!D296,'BD Feedstock'!F296,'BD Feedstock'!H296,'BD Feedstock'!I296,'BD Feedstock'!L296,'BD Feedstock'!M296,'BD Feedstock'!N296,'BD Feedstock'!O296,'BD Feedstock'!U296)</f>
        <v>12.773566250859661</v>
      </c>
      <c r="AD298" s="251">
        <f>'BD Feedstock'!J296</f>
        <v>0.90199999999999991</v>
      </c>
      <c r="AE298" s="251">
        <f>SUM('BD Feedstock'!B296,'BD Feedstock'!P296,'BD Feedstock'!Q296,'BD Feedstock'!R296)</f>
        <v>70.93020833333334</v>
      </c>
      <c r="AF298" s="251">
        <f>'BD Feedstock'!S296</f>
        <v>1.40625</v>
      </c>
      <c r="AG298" s="251">
        <f t="shared" si="119"/>
        <v>107.82482059462075</v>
      </c>
      <c r="AK298" s="237">
        <f t="shared" si="134"/>
        <v>0.20229846792359021</v>
      </c>
      <c r="AL298" s="237">
        <f t="shared" si="134"/>
        <v>0.11846591703484753</v>
      </c>
      <c r="AM298" s="237">
        <f t="shared" si="134"/>
        <v>8.3654208282077092E-3</v>
      </c>
      <c r="AN298" s="237">
        <f t="shared" si="134"/>
        <v>0.65782820636449979</v>
      </c>
      <c r="AO298" s="237">
        <f t="shared" si="133"/>
        <v>1.304198784885487E-2</v>
      </c>
      <c r="AP298" s="237">
        <f t="shared" si="120"/>
        <v>1</v>
      </c>
      <c r="AQ298" s="237"/>
      <c r="AR298" s="237">
        <f t="shared" si="121"/>
        <v>0.61464645366918802</v>
      </c>
      <c r="AS298" s="237">
        <f t="shared" si="122"/>
        <v>0.35993676340465403</v>
      </c>
      <c r="AT298" s="237">
        <f t="shared" si="123"/>
        <v>2.5416782926158003E-2</v>
      </c>
      <c r="AU298" s="237">
        <f t="shared" si="139"/>
        <v>0.98055959563958928</v>
      </c>
      <c r="AV298" s="237">
        <f t="shared" si="139"/>
        <v>1.9440404360410696E-2</v>
      </c>
      <c r="AX298" s="251">
        <f t="shared" si="141"/>
        <v>13825.945369765392</v>
      </c>
      <c r="AY298" s="251">
        <f t="shared" si="142"/>
        <v>32925.963955603889</v>
      </c>
      <c r="AZ298" s="251">
        <f t="shared" si="130"/>
        <v>1261.2201733509089</v>
      </c>
      <c r="BA298" s="251">
        <f t="shared" si="131"/>
        <v>90106.895502186409</v>
      </c>
      <c r="BB298" s="251">
        <f t="shared" si="131"/>
        <v>1798.4332264088434</v>
      </c>
      <c r="BC298" s="251">
        <f t="shared" si="143"/>
        <v>139918.45822731545</v>
      </c>
      <c r="BD298" s="270">
        <f t="shared" si="111"/>
        <v>7.6100191206778574</v>
      </c>
      <c r="BY298" s="252">
        <f t="shared" si="125"/>
        <v>0.75197875933156533</v>
      </c>
      <c r="BZ298" s="252">
        <f t="shared" si="125"/>
        <v>1.790808864273054</v>
      </c>
      <c r="CA298" s="252">
        <f t="shared" si="125"/>
        <v>6.8596450791303221E-2</v>
      </c>
      <c r="CB298" s="252">
        <f t="shared" si="125"/>
        <v>4.9008201374155229</v>
      </c>
      <c r="CC298" s="252">
        <f t="shared" si="125"/>
        <v>9.7814908866411518E-2</v>
      </c>
    </row>
    <row r="299" spans="1:81">
      <c r="A299" s="11">
        <v>48731</v>
      </c>
      <c r="B299" s="268">
        <v>70</v>
      </c>
      <c r="C299" s="268">
        <v>13</v>
      </c>
      <c r="D299" s="268">
        <f t="shared" si="138"/>
        <v>20</v>
      </c>
      <c r="E299" s="268">
        <v>3</v>
      </c>
      <c r="F299" s="269">
        <v>0.2</v>
      </c>
      <c r="G299" s="269">
        <v>1.32</v>
      </c>
      <c r="H299" s="269"/>
      <c r="I299" s="269">
        <v>5</v>
      </c>
      <c r="J299" s="269"/>
      <c r="K299" s="269"/>
      <c r="L299" s="269"/>
      <c r="M299" s="269">
        <f t="shared" si="135"/>
        <v>1.5</v>
      </c>
      <c r="N299" s="269">
        <v>45</v>
      </c>
      <c r="O299" s="269">
        <f t="shared" si="114"/>
        <v>17.699535849485258</v>
      </c>
      <c r="Q299" s="251">
        <f t="shared" si="124"/>
        <v>176.71953584948523</v>
      </c>
      <c r="R299" s="251">
        <f>'RD Plant List'!N167</f>
        <v>664.33</v>
      </c>
      <c r="S299" s="251">
        <f>SUM(B299:O299)+'RD Plant List'!N167</f>
        <v>841.04953584948521</v>
      </c>
      <c r="T299" s="237">
        <f t="shared" si="113"/>
        <v>0.7898821314121609</v>
      </c>
      <c r="U299" s="251">
        <f t="shared" si="132"/>
        <v>542.73865760028173</v>
      </c>
      <c r="V299" s="271">
        <f t="shared" si="118"/>
        <v>0.6453111671384486</v>
      </c>
      <c r="W299" s="251">
        <f t="shared" si="126"/>
        <v>45.228221466690144</v>
      </c>
      <c r="X299" s="242">
        <f t="shared" si="127"/>
        <v>7.6100191206778582</v>
      </c>
      <c r="Y299" s="273">
        <f t="shared" si="128"/>
        <v>7.6100191206778582</v>
      </c>
      <c r="AB299" s="251">
        <f>SUM('BD Feedstock'!C297,'BD Feedstock'!E297,'BD Feedstock'!G297,'BD Feedstock'!K297,'BD Feedstock'!T297)</f>
        <v>21.812796010427753</v>
      </c>
      <c r="AC299" s="251">
        <f>SUM('BD Feedstock'!D297,'BD Feedstock'!F297,'BD Feedstock'!H297,'BD Feedstock'!I297,'BD Feedstock'!L297,'BD Feedstock'!M297,'BD Feedstock'!N297,'BD Feedstock'!O297,'BD Feedstock'!U297)</f>
        <v>12.773566250859661</v>
      </c>
      <c r="AD299" s="251">
        <f>'BD Feedstock'!J297</f>
        <v>0.90199999999999991</v>
      </c>
      <c r="AE299" s="251">
        <f>SUM('BD Feedstock'!B297,'BD Feedstock'!P297,'BD Feedstock'!Q297,'BD Feedstock'!R297)</f>
        <v>70.93020833333334</v>
      </c>
      <c r="AF299" s="251">
        <f>'BD Feedstock'!S297</f>
        <v>1.40625</v>
      </c>
      <c r="AG299" s="251">
        <f t="shared" si="119"/>
        <v>107.82482059462075</v>
      </c>
      <c r="AK299" s="237">
        <f t="shared" si="134"/>
        <v>0.20229846792359021</v>
      </c>
      <c r="AL299" s="237">
        <f t="shared" si="134"/>
        <v>0.11846591703484753</v>
      </c>
      <c r="AM299" s="237">
        <f t="shared" si="134"/>
        <v>8.3654208282077092E-3</v>
      </c>
      <c r="AN299" s="237">
        <f t="shared" si="134"/>
        <v>0.65782820636449979</v>
      </c>
      <c r="AO299" s="237">
        <f t="shared" si="133"/>
        <v>1.304198784885487E-2</v>
      </c>
      <c r="AP299" s="237">
        <f t="shared" si="120"/>
        <v>1</v>
      </c>
      <c r="AQ299" s="237"/>
      <c r="AR299" s="237">
        <f t="shared" si="121"/>
        <v>0.61464645366918802</v>
      </c>
      <c r="AS299" s="237">
        <f t="shared" si="122"/>
        <v>0.35993676340465403</v>
      </c>
      <c r="AT299" s="237">
        <f t="shared" si="123"/>
        <v>2.5416782926158003E-2</v>
      </c>
      <c r="AU299" s="237">
        <f t="shared" si="139"/>
        <v>0.98055959563958928</v>
      </c>
      <c r="AV299" s="237">
        <f t="shared" si="139"/>
        <v>1.9440404360410696E-2</v>
      </c>
      <c r="AX299" s="251">
        <f t="shared" si="141"/>
        <v>17163.971555920671</v>
      </c>
      <c r="AY299" s="251">
        <f t="shared" si="142"/>
        <v>35001.779209130422</v>
      </c>
      <c r="AZ299" s="251">
        <f t="shared" si="130"/>
        <v>1407.268669285698</v>
      </c>
      <c r="BA299" s="251">
        <f t="shared" si="131"/>
        <v>100541.21683601277</v>
      </c>
      <c r="BB299" s="251">
        <f t="shared" si="131"/>
        <v>2006.6906530707638</v>
      </c>
      <c r="BC299" s="251">
        <f t="shared" si="143"/>
        <v>156120.92692342034</v>
      </c>
      <c r="BD299" s="270">
        <f t="shared" si="111"/>
        <v>7.6100191206778574</v>
      </c>
      <c r="BY299" s="252">
        <f t="shared" si="125"/>
        <v>0.83664729835608376</v>
      </c>
      <c r="BZ299" s="252">
        <f t="shared" si="125"/>
        <v>1.7061403252485356</v>
      </c>
      <c r="CA299" s="252">
        <f t="shared" si="125"/>
        <v>6.8596450791303207E-2</v>
      </c>
      <c r="CB299" s="252">
        <f t="shared" si="125"/>
        <v>4.9008201374155238</v>
      </c>
      <c r="CC299" s="252">
        <f t="shared" si="125"/>
        <v>9.7814908866411504E-2</v>
      </c>
    </row>
    <row r="300" spans="1:81">
      <c r="A300" s="11">
        <v>48761</v>
      </c>
      <c r="B300" s="268">
        <v>70</v>
      </c>
      <c r="C300" s="268">
        <v>13</v>
      </c>
      <c r="D300" s="268">
        <f t="shared" si="138"/>
        <v>20</v>
      </c>
      <c r="E300" s="268">
        <v>3</v>
      </c>
      <c r="F300" s="269">
        <v>0.2</v>
      </c>
      <c r="G300" s="269">
        <v>1.32</v>
      </c>
      <c r="H300" s="269"/>
      <c r="I300" s="269">
        <v>5</v>
      </c>
      <c r="J300" s="269"/>
      <c r="K300" s="269"/>
      <c r="L300" s="269"/>
      <c r="M300" s="269">
        <f t="shared" si="135"/>
        <v>1.5</v>
      </c>
      <c r="N300" s="269">
        <v>45</v>
      </c>
      <c r="O300" s="269">
        <f t="shared" si="114"/>
        <v>17.699535849485258</v>
      </c>
      <c r="Q300" s="251">
        <f t="shared" si="124"/>
        <v>176.71953584948523</v>
      </c>
      <c r="R300" s="251">
        <f>'RD Plant List'!N168</f>
        <v>664.33</v>
      </c>
      <c r="S300" s="251">
        <f>SUM(B300:O300)+'RD Plant List'!N168</f>
        <v>841.04953584948521</v>
      </c>
      <c r="T300" s="237">
        <f t="shared" si="113"/>
        <v>0.7898821314121609</v>
      </c>
      <c r="U300" s="251">
        <f t="shared" si="132"/>
        <v>557.98954566560553</v>
      </c>
      <c r="V300" s="271">
        <f t="shared" si="118"/>
        <v>0.66344432983013235</v>
      </c>
      <c r="W300" s="251">
        <f t="shared" si="126"/>
        <v>46.49912880546713</v>
      </c>
      <c r="X300" s="242">
        <f t="shared" si="127"/>
        <v>7.6100191206778582</v>
      </c>
      <c r="Y300" s="273">
        <f t="shared" si="128"/>
        <v>7.6100191206778582</v>
      </c>
      <c r="AB300" s="251">
        <f>SUM('BD Feedstock'!C298,'BD Feedstock'!E298,'BD Feedstock'!G298,'BD Feedstock'!K298,'BD Feedstock'!T298)</f>
        <v>21.812796010427753</v>
      </c>
      <c r="AC300" s="251">
        <f>SUM('BD Feedstock'!D298,'BD Feedstock'!F298,'BD Feedstock'!H298,'BD Feedstock'!I298,'BD Feedstock'!L298,'BD Feedstock'!M298,'BD Feedstock'!N298,'BD Feedstock'!O298,'BD Feedstock'!U298)</f>
        <v>12.773566250859661</v>
      </c>
      <c r="AD300" s="251">
        <f>'BD Feedstock'!J298</f>
        <v>0.90199999999999991</v>
      </c>
      <c r="AE300" s="251">
        <f>SUM('BD Feedstock'!B298,'BD Feedstock'!P298,'BD Feedstock'!Q298,'BD Feedstock'!R298)</f>
        <v>70.93020833333334</v>
      </c>
      <c r="AF300" s="251">
        <f>'BD Feedstock'!S298</f>
        <v>1.40625</v>
      </c>
      <c r="AG300" s="251">
        <f t="shared" si="119"/>
        <v>107.82482059462075</v>
      </c>
      <c r="AK300" s="237">
        <f t="shared" si="134"/>
        <v>0.20229846792359021</v>
      </c>
      <c r="AL300" s="237">
        <f t="shared" si="134"/>
        <v>0.11846591703484753</v>
      </c>
      <c r="AM300" s="237">
        <f t="shared" si="134"/>
        <v>8.3654208282077092E-3</v>
      </c>
      <c r="AN300" s="237">
        <f t="shared" si="134"/>
        <v>0.65782820636449979</v>
      </c>
      <c r="AO300" s="237">
        <f t="shared" si="133"/>
        <v>1.304198784885487E-2</v>
      </c>
      <c r="AP300" s="237">
        <f t="shared" si="120"/>
        <v>1</v>
      </c>
      <c r="AQ300" s="237"/>
      <c r="AR300" s="237">
        <f t="shared" si="121"/>
        <v>0.61464645366918802</v>
      </c>
      <c r="AS300" s="237">
        <f t="shared" si="122"/>
        <v>0.35993676340465403</v>
      </c>
      <c r="AT300" s="237">
        <f t="shared" si="123"/>
        <v>2.5416782926158003E-2</v>
      </c>
      <c r="AU300" s="237">
        <f t="shared" si="139"/>
        <v>0.98055959563958928</v>
      </c>
      <c r="AV300" s="237">
        <f t="shared" si="139"/>
        <v>1.9440404360410696E-2</v>
      </c>
      <c r="AX300" s="251">
        <f t="shared" si="141"/>
        <v>18067.775114164491</v>
      </c>
      <c r="AY300" s="251">
        <f t="shared" si="142"/>
        <v>35563.826691015216</v>
      </c>
      <c r="AZ300" s="251">
        <f t="shared" si="130"/>
        <v>1446.8127420223041</v>
      </c>
      <c r="BA300" s="251">
        <f t="shared" si="131"/>
        <v>103366.41239274196</v>
      </c>
      <c r="BB300" s="251">
        <f t="shared" si="131"/>
        <v>2063.0784082143327</v>
      </c>
      <c r="BC300" s="251">
        <f t="shared" si="143"/>
        <v>160507.9053481583</v>
      </c>
      <c r="BD300" s="270">
        <f t="shared" si="111"/>
        <v>7.6100191206778582</v>
      </c>
      <c r="BY300" s="252">
        <f t="shared" si="125"/>
        <v>0.85663141506118345</v>
      </c>
      <c r="BZ300" s="252">
        <f t="shared" si="125"/>
        <v>1.6861562085434365</v>
      </c>
      <c r="CA300" s="252">
        <f t="shared" si="125"/>
        <v>6.8596450791303207E-2</v>
      </c>
      <c r="CB300" s="252">
        <f t="shared" si="125"/>
        <v>4.9008201374155238</v>
      </c>
      <c r="CC300" s="252">
        <f t="shared" si="125"/>
        <v>9.7814908866411532E-2</v>
      </c>
    </row>
    <row r="301" spans="1:81">
      <c r="A301" s="11">
        <v>48792</v>
      </c>
      <c r="B301" s="268">
        <v>70</v>
      </c>
      <c r="C301" s="268">
        <v>13</v>
      </c>
      <c r="D301" s="268">
        <f t="shared" si="138"/>
        <v>20</v>
      </c>
      <c r="E301" s="268">
        <v>3</v>
      </c>
      <c r="F301" s="269">
        <v>0.2</v>
      </c>
      <c r="G301" s="269">
        <v>1.32</v>
      </c>
      <c r="H301" s="269"/>
      <c r="I301" s="269">
        <v>5</v>
      </c>
      <c r="J301" s="269"/>
      <c r="K301" s="269"/>
      <c r="L301" s="269"/>
      <c r="M301" s="269">
        <f t="shared" si="135"/>
        <v>1.5</v>
      </c>
      <c r="N301" s="269">
        <v>45</v>
      </c>
      <c r="O301" s="269">
        <f t="shared" si="114"/>
        <v>17.699535849485258</v>
      </c>
      <c r="Q301" s="251">
        <f t="shared" si="124"/>
        <v>176.71953584948523</v>
      </c>
      <c r="R301" s="251">
        <f>'RD Plant List'!N169</f>
        <v>664.33</v>
      </c>
      <c r="S301" s="251">
        <f>SUM(B301:O301)+'RD Plant List'!N169</f>
        <v>841.04953584948521</v>
      </c>
      <c r="T301" s="237">
        <f t="shared" si="113"/>
        <v>0.7898821314121609</v>
      </c>
      <c r="U301" s="251">
        <f t="shared" si="132"/>
        <v>525.9501142102913</v>
      </c>
      <c r="V301" s="271">
        <f t="shared" si="118"/>
        <v>0.62534974670554444</v>
      </c>
      <c r="W301" s="251">
        <f t="shared" si="126"/>
        <v>43.829176184190942</v>
      </c>
      <c r="X301" s="242">
        <f t="shared" si="127"/>
        <v>7.6100191206778574</v>
      </c>
      <c r="Y301" s="273">
        <f t="shared" si="128"/>
        <v>7.6100191206778574</v>
      </c>
      <c r="AB301" s="251">
        <f>SUM('BD Feedstock'!C299,'BD Feedstock'!E299,'BD Feedstock'!G299,'BD Feedstock'!K299,'BD Feedstock'!T299)</f>
        <v>21.812796010427753</v>
      </c>
      <c r="AC301" s="251">
        <f>SUM('BD Feedstock'!D299,'BD Feedstock'!F299,'BD Feedstock'!H299,'BD Feedstock'!I299,'BD Feedstock'!L299,'BD Feedstock'!M299,'BD Feedstock'!N299,'BD Feedstock'!O299,'BD Feedstock'!U299)</f>
        <v>12.773566250859661</v>
      </c>
      <c r="AD301" s="251">
        <f>'BD Feedstock'!J299</f>
        <v>0.90199999999999991</v>
      </c>
      <c r="AE301" s="251">
        <f>SUM('BD Feedstock'!B299,'BD Feedstock'!P299,'BD Feedstock'!Q299,'BD Feedstock'!R299)</f>
        <v>70.93020833333334</v>
      </c>
      <c r="AF301" s="251">
        <f>'BD Feedstock'!S299</f>
        <v>1.40625</v>
      </c>
      <c r="AG301" s="251">
        <f t="shared" si="119"/>
        <v>107.82482059462075</v>
      </c>
      <c r="AK301" s="237">
        <f t="shared" si="134"/>
        <v>0.20229846792359021</v>
      </c>
      <c r="AL301" s="237">
        <f t="shared" si="134"/>
        <v>0.11846591703484753</v>
      </c>
      <c r="AM301" s="237">
        <f t="shared" si="134"/>
        <v>8.3654208282077092E-3</v>
      </c>
      <c r="AN301" s="237">
        <f t="shared" si="134"/>
        <v>0.65782820636449979</v>
      </c>
      <c r="AO301" s="237">
        <f t="shared" si="133"/>
        <v>1.304198784885487E-2</v>
      </c>
      <c r="AP301" s="237">
        <f t="shared" si="120"/>
        <v>1</v>
      </c>
      <c r="AQ301" s="237"/>
      <c r="AR301" s="237">
        <f t="shared" si="121"/>
        <v>0.61464645366918802</v>
      </c>
      <c r="AS301" s="237">
        <f t="shared" si="122"/>
        <v>0.35993676340465403</v>
      </c>
      <c r="AT301" s="237">
        <f t="shared" si="123"/>
        <v>2.5416782926158003E-2</v>
      </c>
      <c r="AU301" s="237">
        <f t="shared" si="139"/>
        <v>0.98055959563958928</v>
      </c>
      <c r="AV301" s="237">
        <f t="shared" si="139"/>
        <v>1.9440404360410696E-2</v>
      </c>
      <c r="AX301" s="251">
        <f t="shared" si="141"/>
        <v>16169.042920380798</v>
      </c>
      <c r="AY301" s="251">
        <f t="shared" si="142"/>
        <v>34383.063859805137</v>
      </c>
      <c r="AZ301" s="251">
        <f t="shared" si="130"/>
        <v>1363.7376055134227</v>
      </c>
      <c r="BA301" s="251">
        <f t="shared" si="131"/>
        <v>97431.173802046731</v>
      </c>
      <c r="BB301" s="251">
        <f t="shared" si="131"/>
        <v>1944.6176596924697</v>
      </c>
      <c r="BC301" s="251">
        <f t="shared" si="143"/>
        <v>151291.63584743856</v>
      </c>
      <c r="BD301" s="270">
        <f t="shared" ref="BD301:BD364" si="144">(BC301*2204.622/1000000)/(U301/12)</f>
        <v>7.6100191206778574</v>
      </c>
      <c r="BY301" s="252">
        <f t="shared" si="125"/>
        <v>0.81330818520092074</v>
      </c>
      <c r="BZ301" s="252">
        <f t="shared" si="125"/>
        <v>1.7294794384036987</v>
      </c>
      <c r="CA301" s="252">
        <f t="shared" si="125"/>
        <v>6.8596450791303207E-2</v>
      </c>
      <c r="CB301" s="252">
        <f t="shared" si="125"/>
        <v>4.9008201374155238</v>
      </c>
      <c r="CC301" s="252">
        <f t="shared" si="125"/>
        <v>9.7814908866411518E-2</v>
      </c>
    </row>
    <row r="302" spans="1:81">
      <c r="A302" s="11">
        <v>48823</v>
      </c>
      <c r="B302" s="268">
        <v>70</v>
      </c>
      <c r="C302" s="268">
        <v>13</v>
      </c>
      <c r="D302" s="268">
        <f t="shared" si="138"/>
        <v>20</v>
      </c>
      <c r="E302" s="268">
        <v>3</v>
      </c>
      <c r="F302" s="269">
        <v>0.2</v>
      </c>
      <c r="G302" s="269">
        <v>1.32</v>
      </c>
      <c r="H302" s="269"/>
      <c r="I302" s="269">
        <v>5</v>
      </c>
      <c r="J302" s="269"/>
      <c r="K302" s="269"/>
      <c r="L302" s="269"/>
      <c r="M302" s="269">
        <f t="shared" si="135"/>
        <v>1.5</v>
      </c>
      <c r="N302" s="269">
        <v>45</v>
      </c>
      <c r="O302" s="269">
        <f t="shared" si="114"/>
        <v>17.699535849485258</v>
      </c>
      <c r="Q302" s="251">
        <f t="shared" si="124"/>
        <v>176.71953584948523</v>
      </c>
      <c r="R302" s="251">
        <f>'RD Plant List'!N170</f>
        <v>664.33</v>
      </c>
      <c r="S302" s="251">
        <f>SUM(B302:O302)+'RD Plant List'!N170</f>
        <v>841.04953584948521</v>
      </c>
      <c r="T302" s="237">
        <f t="shared" si="113"/>
        <v>0.7898821314121609</v>
      </c>
      <c r="U302" s="251">
        <f t="shared" si="132"/>
        <v>569.18718874249782</v>
      </c>
      <c r="V302" s="271">
        <f t="shared" si="118"/>
        <v>0.67675822229376981</v>
      </c>
      <c r="W302" s="251">
        <f t="shared" si="126"/>
        <v>47.432265728541488</v>
      </c>
      <c r="X302" s="242">
        <f t="shared" si="127"/>
        <v>7.6100191206778582</v>
      </c>
      <c r="Y302" s="273">
        <f t="shared" si="128"/>
        <v>7.6100191206778582</v>
      </c>
      <c r="AB302" s="251">
        <f>SUM('BD Feedstock'!C300,'BD Feedstock'!E300,'BD Feedstock'!G300,'BD Feedstock'!K300,'BD Feedstock'!T300)</f>
        <v>21.812796010427753</v>
      </c>
      <c r="AC302" s="251">
        <f>SUM('BD Feedstock'!D300,'BD Feedstock'!F300,'BD Feedstock'!H300,'BD Feedstock'!I300,'BD Feedstock'!L300,'BD Feedstock'!M300,'BD Feedstock'!N300,'BD Feedstock'!O300,'BD Feedstock'!U300)</f>
        <v>12.773566250859661</v>
      </c>
      <c r="AD302" s="251">
        <f>'BD Feedstock'!J300</f>
        <v>0.90199999999999991</v>
      </c>
      <c r="AE302" s="251">
        <f>SUM('BD Feedstock'!B300,'BD Feedstock'!P300,'BD Feedstock'!Q300,'BD Feedstock'!R300)</f>
        <v>70.93020833333334</v>
      </c>
      <c r="AF302" s="251">
        <f>'BD Feedstock'!S300</f>
        <v>1.40625</v>
      </c>
      <c r="AG302" s="251">
        <f t="shared" si="119"/>
        <v>107.82482059462075</v>
      </c>
      <c r="AK302" s="237">
        <f t="shared" si="134"/>
        <v>0.20229846792359021</v>
      </c>
      <c r="AL302" s="237">
        <f t="shared" si="134"/>
        <v>0.11846591703484753</v>
      </c>
      <c r="AM302" s="237">
        <f t="shared" si="134"/>
        <v>8.3654208282077092E-3</v>
      </c>
      <c r="AN302" s="237">
        <f t="shared" si="134"/>
        <v>0.65782820636449979</v>
      </c>
      <c r="AO302" s="237">
        <f t="shared" si="133"/>
        <v>1.304198784885487E-2</v>
      </c>
      <c r="AP302" s="237">
        <f t="shared" si="120"/>
        <v>1</v>
      </c>
      <c r="AQ302" s="237"/>
      <c r="AR302" s="237">
        <f t="shared" si="121"/>
        <v>0.61464645366918802</v>
      </c>
      <c r="AS302" s="237">
        <f t="shared" si="122"/>
        <v>0.35993676340465403</v>
      </c>
      <c r="AT302" s="237">
        <f t="shared" si="123"/>
        <v>2.5416782926158003E-2</v>
      </c>
      <c r="AU302" s="237">
        <f t="shared" si="139"/>
        <v>0.98055959563958928</v>
      </c>
      <c r="AV302" s="237">
        <f t="shared" si="139"/>
        <v>1.9440404360410696E-2</v>
      </c>
      <c r="AX302" s="251">
        <f t="shared" si="141"/>
        <v>18731.373824842231</v>
      </c>
      <c r="AY302" s="251">
        <f t="shared" si="142"/>
        <v>35976.49820676267</v>
      </c>
      <c r="AZ302" s="251">
        <f t="shared" si="130"/>
        <v>1475.8471438495642</v>
      </c>
      <c r="BA302" s="251">
        <f t="shared" si="131"/>
        <v>105440.75267582395</v>
      </c>
      <c r="BB302" s="251">
        <f t="shared" si="131"/>
        <v>2104.4799287881101</v>
      </c>
      <c r="BC302" s="251">
        <f t="shared" si="143"/>
        <v>163728.95178006653</v>
      </c>
      <c r="BD302" s="270">
        <f t="shared" si="144"/>
        <v>7.6100191206778591</v>
      </c>
      <c r="BY302" s="252">
        <f t="shared" si="125"/>
        <v>0.87062252224697045</v>
      </c>
      <c r="BZ302" s="252">
        <f t="shared" si="125"/>
        <v>1.6721651013576493</v>
      </c>
      <c r="CA302" s="252">
        <f t="shared" si="125"/>
        <v>6.8596450791303207E-2</v>
      </c>
      <c r="CB302" s="252">
        <f t="shared" si="125"/>
        <v>4.9008201374155238</v>
      </c>
      <c r="CC302" s="252">
        <f t="shared" si="125"/>
        <v>9.7814908866411532E-2</v>
      </c>
    </row>
    <row r="303" spans="1:81">
      <c r="A303" s="11">
        <v>48853</v>
      </c>
      <c r="B303" s="268">
        <v>70</v>
      </c>
      <c r="C303" s="268">
        <v>13</v>
      </c>
      <c r="D303" s="268">
        <f t="shared" si="138"/>
        <v>20</v>
      </c>
      <c r="E303" s="268">
        <v>3</v>
      </c>
      <c r="F303" s="269">
        <v>0.2</v>
      </c>
      <c r="G303" s="269">
        <v>1.32</v>
      </c>
      <c r="H303" s="269"/>
      <c r="I303" s="269">
        <v>5</v>
      </c>
      <c r="J303" s="269"/>
      <c r="K303" s="269"/>
      <c r="L303" s="269"/>
      <c r="M303" s="269">
        <f t="shared" si="135"/>
        <v>1.5</v>
      </c>
      <c r="N303" s="269">
        <v>45</v>
      </c>
      <c r="O303" s="269">
        <f t="shared" si="114"/>
        <v>17.699535849485258</v>
      </c>
      <c r="Q303" s="251">
        <f t="shared" si="124"/>
        <v>176.71953584948523</v>
      </c>
      <c r="R303" s="251">
        <f>'RD Plant List'!N171</f>
        <v>664.33</v>
      </c>
      <c r="S303" s="251">
        <f>SUM(B303:O303)+'RD Plant List'!N171</f>
        <v>841.04953584948521</v>
      </c>
      <c r="T303" s="237">
        <f t="shared" si="113"/>
        <v>0.7898821314121609</v>
      </c>
      <c r="U303" s="251">
        <f t="shared" si="132"/>
        <v>595.51654063641922</v>
      </c>
      <c r="V303" s="271">
        <f t="shared" si="118"/>
        <v>0.7080635744420567</v>
      </c>
      <c r="W303" s="251">
        <f t="shared" si="126"/>
        <v>49.626378386368266</v>
      </c>
      <c r="X303" s="242">
        <f t="shared" si="127"/>
        <v>7.6100191206778582</v>
      </c>
      <c r="Y303" s="273">
        <f t="shared" si="128"/>
        <v>7.6100191206778582</v>
      </c>
      <c r="AB303" s="251">
        <f>SUM('BD Feedstock'!C301,'BD Feedstock'!E301,'BD Feedstock'!G301,'BD Feedstock'!K301,'BD Feedstock'!T301)</f>
        <v>21.812796010427753</v>
      </c>
      <c r="AC303" s="251">
        <f>SUM('BD Feedstock'!D301,'BD Feedstock'!F301,'BD Feedstock'!H301,'BD Feedstock'!I301,'BD Feedstock'!L301,'BD Feedstock'!M301,'BD Feedstock'!N301,'BD Feedstock'!O301,'BD Feedstock'!U301)</f>
        <v>12.773566250859661</v>
      </c>
      <c r="AD303" s="251">
        <f>'BD Feedstock'!J301</f>
        <v>0.90199999999999991</v>
      </c>
      <c r="AE303" s="251">
        <f>SUM('BD Feedstock'!B301,'BD Feedstock'!P301,'BD Feedstock'!Q301,'BD Feedstock'!R301)</f>
        <v>70.93020833333334</v>
      </c>
      <c r="AF303" s="251">
        <f>'BD Feedstock'!S301</f>
        <v>1.40625</v>
      </c>
      <c r="AG303" s="251">
        <f t="shared" si="119"/>
        <v>107.82482059462075</v>
      </c>
      <c r="AK303" s="237">
        <f t="shared" si="134"/>
        <v>0.20229846792359021</v>
      </c>
      <c r="AL303" s="237">
        <f t="shared" si="134"/>
        <v>0.11846591703484753</v>
      </c>
      <c r="AM303" s="237">
        <f t="shared" si="134"/>
        <v>8.3654208282077092E-3</v>
      </c>
      <c r="AN303" s="237">
        <f t="shared" si="134"/>
        <v>0.65782820636449979</v>
      </c>
      <c r="AO303" s="237">
        <f t="shared" si="133"/>
        <v>1.304198784885487E-2</v>
      </c>
      <c r="AP303" s="237">
        <f t="shared" si="120"/>
        <v>1</v>
      </c>
      <c r="AQ303" s="237"/>
      <c r="AR303" s="237">
        <f t="shared" si="121"/>
        <v>0.61464645366918802</v>
      </c>
      <c r="AS303" s="237">
        <f t="shared" si="122"/>
        <v>0.35993676340465403</v>
      </c>
      <c r="AT303" s="237">
        <f t="shared" si="123"/>
        <v>2.5416782926158003E-2</v>
      </c>
      <c r="AU303" s="237">
        <f t="shared" si="139"/>
        <v>0.98055959563958928</v>
      </c>
      <c r="AV303" s="237">
        <f t="shared" si="139"/>
        <v>1.9440404360410696E-2</v>
      </c>
      <c r="AX303" s="251">
        <f t="shared" si="141"/>
        <v>20291.713250720401</v>
      </c>
      <c r="AY303" s="251">
        <f t="shared" si="142"/>
        <v>36946.82504073139</v>
      </c>
      <c r="AZ303" s="251">
        <f t="shared" si="130"/>
        <v>1544.116598188308</v>
      </c>
      <c r="BA303" s="251">
        <f t="shared" si="131"/>
        <v>110318.2108057146</v>
      </c>
      <c r="BB303" s="251">
        <f t="shared" si="131"/>
        <v>2201.8285580170509</v>
      </c>
      <c r="BC303" s="251">
        <f t="shared" si="143"/>
        <v>171302.69425337177</v>
      </c>
      <c r="BD303" s="270">
        <f t="shared" si="144"/>
        <v>7.6100191206778582</v>
      </c>
      <c r="BY303" s="252">
        <f t="shared" si="125"/>
        <v>0.90144715179373214</v>
      </c>
      <c r="BZ303" s="252">
        <f t="shared" si="125"/>
        <v>1.6413404718108873</v>
      </c>
      <c r="CA303" s="252">
        <f t="shared" si="125"/>
        <v>6.8596450791303193E-2</v>
      </c>
      <c r="CB303" s="252">
        <f t="shared" si="125"/>
        <v>4.9008201374155238</v>
      </c>
      <c r="CC303" s="252">
        <f t="shared" si="125"/>
        <v>9.7814908866411518E-2</v>
      </c>
    </row>
    <row r="304" spans="1:81">
      <c r="A304" s="11">
        <v>48884</v>
      </c>
      <c r="B304" s="268">
        <v>70</v>
      </c>
      <c r="C304" s="268">
        <v>13</v>
      </c>
      <c r="D304" s="268">
        <f t="shared" si="138"/>
        <v>20</v>
      </c>
      <c r="E304" s="268">
        <v>3</v>
      </c>
      <c r="F304" s="269">
        <v>0.2</v>
      </c>
      <c r="G304" s="269">
        <v>1.32</v>
      </c>
      <c r="H304" s="269"/>
      <c r="I304" s="269">
        <v>5</v>
      </c>
      <c r="J304" s="269"/>
      <c r="K304" s="269"/>
      <c r="L304" s="269"/>
      <c r="M304" s="269">
        <f t="shared" si="135"/>
        <v>1.5</v>
      </c>
      <c r="N304" s="269">
        <v>45</v>
      </c>
      <c r="O304" s="269">
        <f t="shared" si="114"/>
        <v>17.699535849485258</v>
      </c>
      <c r="Q304" s="251">
        <f t="shared" si="124"/>
        <v>176.71953584948523</v>
      </c>
      <c r="R304" s="251">
        <f>'RD Plant List'!N172</f>
        <v>664.33</v>
      </c>
      <c r="S304" s="251">
        <f>SUM(B304:O304)+'RD Plant List'!N172</f>
        <v>841.04953584948521</v>
      </c>
      <c r="T304" s="237">
        <f t="shared" si="113"/>
        <v>0.7898821314121609</v>
      </c>
      <c r="U304" s="251">
        <f t="shared" si="132"/>
        <v>641.04695517707091</v>
      </c>
      <c r="V304" s="271">
        <f t="shared" si="118"/>
        <v>0.76219880976403409</v>
      </c>
      <c r="W304" s="251">
        <f t="shared" si="126"/>
        <v>53.42057959808924</v>
      </c>
      <c r="X304" s="242">
        <f t="shared" si="127"/>
        <v>7.6100191206778574</v>
      </c>
      <c r="Y304" s="273">
        <f t="shared" si="128"/>
        <v>7.6100191206778574</v>
      </c>
      <c r="AB304" s="251">
        <f>SUM('BD Feedstock'!C302,'BD Feedstock'!E302,'BD Feedstock'!G302,'BD Feedstock'!K302,'BD Feedstock'!T302)</f>
        <v>21.812796010427753</v>
      </c>
      <c r="AC304" s="251">
        <f>SUM('BD Feedstock'!D302,'BD Feedstock'!F302,'BD Feedstock'!H302,'BD Feedstock'!I302,'BD Feedstock'!L302,'BD Feedstock'!M302,'BD Feedstock'!N302,'BD Feedstock'!O302,'BD Feedstock'!U302)</f>
        <v>12.773566250859661</v>
      </c>
      <c r="AD304" s="251">
        <f>'BD Feedstock'!J302</f>
        <v>0.90199999999999991</v>
      </c>
      <c r="AE304" s="251">
        <f>SUM('BD Feedstock'!B302,'BD Feedstock'!P302,'BD Feedstock'!Q302,'BD Feedstock'!R302)</f>
        <v>70.93020833333334</v>
      </c>
      <c r="AF304" s="251">
        <f>'BD Feedstock'!S302</f>
        <v>1.40625</v>
      </c>
      <c r="AG304" s="251">
        <f t="shared" si="119"/>
        <v>107.82482059462075</v>
      </c>
      <c r="AK304" s="237">
        <f t="shared" si="134"/>
        <v>0.20229846792359021</v>
      </c>
      <c r="AL304" s="237">
        <f t="shared" si="134"/>
        <v>0.11846591703484753</v>
      </c>
      <c r="AM304" s="237">
        <f t="shared" si="134"/>
        <v>8.3654208282077092E-3</v>
      </c>
      <c r="AN304" s="237">
        <f t="shared" si="134"/>
        <v>0.65782820636449979</v>
      </c>
      <c r="AO304" s="237">
        <f t="shared" si="133"/>
        <v>1.304198784885487E-2</v>
      </c>
      <c r="AP304" s="237">
        <f t="shared" si="120"/>
        <v>1</v>
      </c>
      <c r="AQ304" s="237"/>
      <c r="AR304" s="237">
        <f t="shared" si="121"/>
        <v>0.61464645366918802</v>
      </c>
      <c r="AS304" s="237">
        <f t="shared" si="122"/>
        <v>0.35993676340465403</v>
      </c>
      <c r="AT304" s="237">
        <f t="shared" si="123"/>
        <v>2.5416782926158003E-2</v>
      </c>
      <c r="AU304" s="237">
        <f t="shared" si="139"/>
        <v>0.98055959563958928</v>
      </c>
      <c r="AV304" s="237">
        <f t="shared" si="139"/>
        <v>1.9440404360410696E-2</v>
      </c>
      <c r="AX304" s="251">
        <f>($U304/12*AK304*AB$5/2204.622*1000000)-($BJ304*AR304)</f>
        <v>37989.952887251573</v>
      </c>
      <c r="AY304" s="251">
        <f>($U304/12*AL304*AC$5/2204.622*1000000)-($BJ304*AS304)</f>
        <v>23624.776825055927</v>
      </c>
      <c r="AZ304" s="251">
        <f t="shared" si="130"/>
        <v>1662.172544610017</v>
      </c>
      <c r="BA304" s="251">
        <f t="shared" si="131"/>
        <v>118752.62618567928</v>
      </c>
      <c r="BB304" s="251">
        <f t="shared" si="131"/>
        <v>2370.1700903728542</v>
      </c>
      <c r="BC304" s="251">
        <f t="shared" si="143"/>
        <v>184399.69853296963</v>
      </c>
      <c r="BD304" s="270">
        <f t="shared" si="144"/>
        <v>7.6100191206778574</v>
      </c>
      <c r="BY304" s="252">
        <f t="shared" si="125"/>
        <v>1.5678131264078243</v>
      </c>
      <c r="BZ304" s="252">
        <f t="shared" si="125"/>
        <v>0.97497449719679541</v>
      </c>
      <c r="CA304" s="252">
        <f t="shared" si="125"/>
        <v>6.8596450791303207E-2</v>
      </c>
      <c r="CB304" s="252">
        <f t="shared" si="125"/>
        <v>4.9008201374155229</v>
      </c>
      <c r="CC304" s="252">
        <f t="shared" si="125"/>
        <v>9.7814908866411532E-2</v>
      </c>
    </row>
    <row r="305" spans="1:81">
      <c r="A305" s="11">
        <v>48914</v>
      </c>
      <c r="B305" s="268">
        <v>70</v>
      </c>
      <c r="C305" s="268">
        <v>13</v>
      </c>
      <c r="D305" s="268">
        <f t="shared" si="138"/>
        <v>20</v>
      </c>
      <c r="E305" s="268">
        <v>3</v>
      </c>
      <c r="F305" s="269">
        <v>0.2</v>
      </c>
      <c r="G305" s="269">
        <v>1.32</v>
      </c>
      <c r="H305" s="269"/>
      <c r="I305" s="269">
        <v>5</v>
      </c>
      <c r="J305" s="269"/>
      <c r="K305" s="269"/>
      <c r="L305" s="269"/>
      <c r="M305" s="269">
        <f t="shared" si="135"/>
        <v>1.5</v>
      </c>
      <c r="N305" s="269">
        <v>45</v>
      </c>
      <c r="O305" s="269">
        <f t="shared" si="114"/>
        <v>17.699535849485258</v>
      </c>
      <c r="Q305" s="251">
        <f t="shared" si="124"/>
        <v>176.71953584948523</v>
      </c>
      <c r="R305" s="251">
        <f>'RD Plant List'!N173</f>
        <v>664.33</v>
      </c>
      <c r="S305" s="251">
        <f>SUM(B305:O305)+'RD Plant List'!N173</f>
        <v>841.04953584948521</v>
      </c>
      <c r="T305" s="237">
        <f t="shared" si="113"/>
        <v>0.7898821314121609</v>
      </c>
      <c r="U305" s="251">
        <f t="shared" si="132"/>
        <v>583.01153738943037</v>
      </c>
      <c r="V305" s="271">
        <f t="shared" si="118"/>
        <v>0.69319524301332769</v>
      </c>
      <c r="W305" s="251">
        <f t="shared" si="126"/>
        <v>48.584294782452531</v>
      </c>
      <c r="X305" s="242">
        <f t="shared" si="127"/>
        <v>7.6100191206778565</v>
      </c>
      <c r="Y305" s="273">
        <f t="shared" si="128"/>
        <v>7.6100191206778565</v>
      </c>
      <c r="AB305" s="251">
        <f>SUM('BD Feedstock'!C303,'BD Feedstock'!E303,'BD Feedstock'!G303,'BD Feedstock'!K303,'BD Feedstock'!T303)</f>
        <v>21.812796010427753</v>
      </c>
      <c r="AC305" s="251">
        <f>SUM('BD Feedstock'!D303,'BD Feedstock'!F303,'BD Feedstock'!H303,'BD Feedstock'!I303,'BD Feedstock'!L303,'BD Feedstock'!M303,'BD Feedstock'!N303,'BD Feedstock'!O303,'BD Feedstock'!U303)</f>
        <v>12.773566250859661</v>
      </c>
      <c r="AD305" s="251">
        <f>'BD Feedstock'!J303</f>
        <v>0.90199999999999991</v>
      </c>
      <c r="AE305" s="251">
        <f>SUM('BD Feedstock'!B303,'BD Feedstock'!P303,'BD Feedstock'!Q303,'BD Feedstock'!R303)</f>
        <v>70.93020833333334</v>
      </c>
      <c r="AF305" s="251">
        <f>'BD Feedstock'!S303</f>
        <v>1.40625</v>
      </c>
      <c r="AG305" s="251">
        <f t="shared" si="119"/>
        <v>107.82482059462075</v>
      </c>
      <c r="AK305" s="237">
        <f t="shared" si="134"/>
        <v>0.20229846792359021</v>
      </c>
      <c r="AL305" s="237">
        <f t="shared" si="134"/>
        <v>0.11846591703484753</v>
      </c>
      <c r="AM305" s="237">
        <f t="shared" si="134"/>
        <v>8.3654208282077092E-3</v>
      </c>
      <c r="AN305" s="237">
        <f t="shared" si="134"/>
        <v>0.65782820636449979</v>
      </c>
      <c r="AO305" s="237">
        <f t="shared" si="133"/>
        <v>1.304198784885487E-2</v>
      </c>
      <c r="AP305" s="237">
        <f t="shared" si="120"/>
        <v>1</v>
      </c>
      <c r="AQ305" s="237"/>
      <c r="AR305" s="237">
        <f t="shared" si="121"/>
        <v>0.61464645366918802</v>
      </c>
      <c r="AS305" s="237">
        <f t="shared" si="122"/>
        <v>0.35993676340465403</v>
      </c>
      <c r="AT305" s="237">
        <f t="shared" si="123"/>
        <v>2.5416782926158003E-2</v>
      </c>
      <c r="AU305" s="237">
        <f t="shared" si="139"/>
        <v>0.98055959563958928</v>
      </c>
      <c r="AV305" s="237">
        <f t="shared" si="139"/>
        <v>1.9440404360410696E-2</v>
      </c>
      <c r="AX305" s="251">
        <f>($U305/12*AK305*AB$5/2204.622*1000000)-($BJ305*AR305)</f>
        <v>34550.637296187844</v>
      </c>
      <c r="AY305" s="251">
        <f>($U305/12*AL305*AC$5/2204.622*1000000)-($BJ305*AS305)</f>
        <v>21485.972823088283</v>
      </c>
      <c r="AZ305" s="251">
        <f t="shared" si="130"/>
        <v>1511.6923383122703</v>
      </c>
      <c r="BA305" s="251">
        <f t="shared" si="131"/>
        <v>108001.68474775963</v>
      </c>
      <c r="BB305" s="251">
        <f t="shared" si="131"/>
        <v>2155.5932792489903</v>
      </c>
      <c r="BC305" s="251">
        <f t="shared" si="143"/>
        <v>167705.58048459701</v>
      </c>
      <c r="BD305" s="270">
        <f t="shared" si="144"/>
        <v>7.6100191206778565</v>
      </c>
      <c r="BY305" s="252">
        <f t="shared" si="125"/>
        <v>1.5678131264078241</v>
      </c>
      <c r="BZ305" s="252">
        <f t="shared" si="125"/>
        <v>0.97497449719679519</v>
      </c>
      <c r="CA305" s="252">
        <f t="shared" si="125"/>
        <v>6.8596450791303193E-2</v>
      </c>
      <c r="CB305" s="252">
        <f t="shared" si="125"/>
        <v>4.9008201374155238</v>
      </c>
      <c r="CC305" s="252">
        <f t="shared" si="125"/>
        <v>9.7814908866411518E-2</v>
      </c>
    </row>
    <row r="306" spans="1:81">
      <c r="A306" s="11">
        <v>48945</v>
      </c>
      <c r="B306" s="268">
        <v>70</v>
      </c>
      <c r="C306" s="268">
        <v>13</v>
      </c>
      <c r="D306" s="268">
        <f t="shared" si="138"/>
        <v>20</v>
      </c>
      <c r="E306" s="268">
        <v>3</v>
      </c>
      <c r="F306" s="269">
        <v>0.2</v>
      </c>
      <c r="G306" s="269">
        <v>1.32</v>
      </c>
      <c r="H306" s="269"/>
      <c r="I306" s="269">
        <v>5</v>
      </c>
      <c r="J306" s="269"/>
      <c r="K306" s="269"/>
      <c r="L306" s="269"/>
      <c r="M306" s="269">
        <f t="shared" si="135"/>
        <v>1.5</v>
      </c>
      <c r="N306" s="269">
        <v>45</v>
      </c>
      <c r="O306" s="269">
        <f t="shared" si="114"/>
        <v>17.699535849485258</v>
      </c>
      <c r="Q306" s="251">
        <f t="shared" si="124"/>
        <v>176.71953584948523</v>
      </c>
      <c r="R306" s="251">
        <f>'RD Plant List'!N174</f>
        <v>664.33</v>
      </c>
      <c r="S306" s="251">
        <f>SUM(B306:O306)+'RD Plant List'!N174</f>
        <v>841.04953584948521</v>
      </c>
      <c r="T306" s="237">
        <f t="shared" ref="T306:T369" si="145">R306/S306</f>
        <v>0.7898821314121609</v>
      </c>
      <c r="U306" s="251">
        <f t="shared" si="132"/>
        <v>477.69384543776562</v>
      </c>
      <c r="V306" s="271">
        <f t="shared" si="118"/>
        <v>0.56797349629981131</v>
      </c>
      <c r="W306" s="251">
        <f t="shared" si="126"/>
        <v>39.807820453147137</v>
      </c>
      <c r="X306" s="242">
        <f t="shared" si="127"/>
        <v>7.6100191206778574</v>
      </c>
      <c r="Y306" s="273">
        <f t="shared" si="128"/>
        <v>7.6100191206778574</v>
      </c>
      <c r="AB306" s="251">
        <f>SUM('BD Feedstock'!C304,'BD Feedstock'!E304,'BD Feedstock'!G304,'BD Feedstock'!K304,'BD Feedstock'!T304)</f>
        <v>21.812796010427753</v>
      </c>
      <c r="AC306" s="251">
        <f>SUM('BD Feedstock'!D304,'BD Feedstock'!F304,'BD Feedstock'!H304,'BD Feedstock'!I304,'BD Feedstock'!L304,'BD Feedstock'!M304,'BD Feedstock'!N304,'BD Feedstock'!O304,'BD Feedstock'!U304)</f>
        <v>12.773566250859661</v>
      </c>
      <c r="AD306" s="251">
        <f>'BD Feedstock'!J304</f>
        <v>0.90199999999999991</v>
      </c>
      <c r="AE306" s="251">
        <f>SUM('BD Feedstock'!B304,'BD Feedstock'!P304,'BD Feedstock'!Q304,'BD Feedstock'!R304)</f>
        <v>70.93020833333334</v>
      </c>
      <c r="AF306" s="251">
        <f>'BD Feedstock'!S304</f>
        <v>1.40625</v>
      </c>
      <c r="AG306" s="251">
        <f t="shared" si="119"/>
        <v>107.82482059462075</v>
      </c>
      <c r="AK306" s="237">
        <f t="shared" si="134"/>
        <v>0.20229846792359021</v>
      </c>
      <c r="AL306" s="237">
        <f t="shared" si="134"/>
        <v>0.11846591703484753</v>
      </c>
      <c r="AM306" s="237">
        <f t="shared" si="134"/>
        <v>8.3654208282077092E-3</v>
      </c>
      <c r="AN306" s="237">
        <f t="shared" si="134"/>
        <v>0.65782820636449979</v>
      </c>
      <c r="AO306" s="237">
        <f t="shared" si="133"/>
        <v>1.304198784885487E-2</v>
      </c>
      <c r="AP306" s="237">
        <f t="shared" si="120"/>
        <v>1</v>
      </c>
      <c r="AQ306" s="237"/>
      <c r="AR306" s="237">
        <f t="shared" si="121"/>
        <v>0.61464645366918802</v>
      </c>
      <c r="AS306" s="237">
        <f t="shared" si="122"/>
        <v>0.35993676340465403</v>
      </c>
      <c r="AT306" s="237">
        <f t="shared" si="123"/>
        <v>2.5416782926158003E-2</v>
      </c>
      <c r="AU306" s="237">
        <f t="shared" si="139"/>
        <v>0.98055959563958928</v>
      </c>
      <c r="AV306" s="237">
        <f t="shared" si="139"/>
        <v>1.9440404360410696E-2</v>
      </c>
      <c r="AX306" s="251">
        <f>($U306/12*AK306*AB$5/2204.622*1000000)-($BJ306*AR306)-15000</f>
        <v>13309.262739884631</v>
      </c>
      <c r="AY306" s="251">
        <f>($U306/12*AL306*AC$5/2204.622*1000000)-($BJ306*AS306)+15000</f>
        <v>32604.655006984161</v>
      </c>
      <c r="AZ306" s="251">
        <f t="shared" si="130"/>
        <v>1238.6137835979782</v>
      </c>
      <c r="BA306" s="251">
        <f t="shared" si="131"/>
        <v>88491.799548133436</v>
      </c>
      <c r="BB306" s="251">
        <f t="shared" si="131"/>
        <v>1766.1977108978592</v>
      </c>
      <c r="BC306" s="251">
        <f t="shared" si="143"/>
        <v>137410.52878949806</v>
      </c>
      <c r="BD306" s="270">
        <f t="shared" si="144"/>
        <v>7.6100191206778565</v>
      </c>
      <c r="BY306" s="252">
        <f t="shared" si="125"/>
        <v>0.73708867016883395</v>
      </c>
      <c r="BZ306" s="252">
        <f t="shared" si="125"/>
        <v>1.805698953435785</v>
      </c>
      <c r="CA306" s="252">
        <f t="shared" si="125"/>
        <v>6.8596450791303235E-2</v>
      </c>
      <c r="CB306" s="252">
        <f t="shared" si="125"/>
        <v>4.9008201374155238</v>
      </c>
      <c r="CC306" s="252">
        <f t="shared" si="125"/>
        <v>9.7814908866411518E-2</v>
      </c>
    </row>
    <row r="307" spans="1:81">
      <c r="A307" s="11">
        <v>48976</v>
      </c>
      <c r="B307" s="268">
        <v>70</v>
      </c>
      <c r="C307" s="268">
        <v>13</v>
      </c>
      <c r="D307" s="268">
        <f t="shared" si="138"/>
        <v>20</v>
      </c>
      <c r="E307" s="268">
        <v>3</v>
      </c>
      <c r="F307" s="269">
        <v>0.2</v>
      </c>
      <c r="G307" s="269">
        <v>1.32</v>
      </c>
      <c r="H307" s="269"/>
      <c r="I307" s="269">
        <v>5</v>
      </c>
      <c r="J307" s="269"/>
      <c r="K307" s="269"/>
      <c r="L307" s="269"/>
      <c r="M307" s="269">
        <f t="shared" si="135"/>
        <v>1.5</v>
      </c>
      <c r="N307" s="269">
        <v>45</v>
      </c>
      <c r="O307" s="269">
        <f t="shared" si="114"/>
        <v>17.699535849485258</v>
      </c>
      <c r="Q307" s="251">
        <f t="shared" si="124"/>
        <v>176.71953584948523</v>
      </c>
      <c r="R307" s="251">
        <f>'RD Plant List'!N175</f>
        <v>664.33</v>
      </c>
      <c r="S307" s="251">
        <f>SUM(B307:O307)+'RD Plant List'!N175</f>
        <v>841.04953584948521</v>
      </c>
      <c r="T307" s="237">
        <f t="shared" si="145"/>
        <v>0.7898821314121609</v>
      </c>
      <c r="U307" s="251">
        <f t="shared" si="132"/>
        <v>442.33923898739459</v>
      </c>
      <c r="V307" s="271">
        <f t="shared" si="118"/>
        <v>0.52593720123823473</v>
      </c>
      <c r="W307" s="251">
        <f t="shared" si="126"/>
        <v>36.86160324894955</v>
      </c>
      <c r="X307" s="242">
        <f t="shared" si="127"/>
        <v>7.6100191206778574</v>
      </c>
      <c r="Y307" s="273">
        <f t="shared" si="128"/>
        <v>7.6100191206778574</v>
      </c>
      <c r="AB307" s="251">
        <f>SUM('BD Feedstock'!C305,'BD Feedstock'!E305,'BD Feedstock'!G305,'BD Feedstock'!K305,'BD Feedstock'!T305)</f>
        <v>21.812796010427753</v>
      </c>
      <c r="AC307" s="251">
        <f>SUM('BD Feedstock'!D305,'BD Feedstock'!F305,'BD Feedstock'!H305,'BD Feedstock'!I305,'BD Feedstock'!L305,'BD Feedstock'!M305,'BD Feedstock'!N305,'BD Feedstock'!O305,'BD Feedstock'!U305)</f>
        <v>12.773566250859661</v>
      </c>
      <c r="AD307" s="251">
        <f>'BD Feedstock'!J305</f>
        <v>0.90199999999999991</v>
      </c>
      <c r="AE307" s="251">
        <f>SUM('BD Feedstock'!B305,'BD Feedstock'!P305,'BD Feedstock'!Q305,'BD Feedstock'!R305)</f>
        <v>70.93020833333334</v>
      </c>
      <c r="AF307" s="251">
        <f>'BD Feedstock'!S305</f>
        <v>1.40625</v>
      </c>
      <c r="AG307" s="251">
        <f t="shared" si="119"/>
        <v>107.82482059462075</v>
      </c>
      <c r="AK307" s="237">
        <f t="shared" si="134"/>
        <v>0.20229846792359021</v>
      </c>
      <c r="AL307" s="237">
        <f t="shared" si="134"/>
        <v>0.11846591703484753</v>
      </c>
      <c r="AM307" s="237">
        <f t="shared" si="134"/>
        <v>8.3654208282077092E-3</v>
      </c>
      <c r="AN307" s="237">
        <f t="shared" si="134"/>
        <v>0.65782820636449979</v>
      </c>
      <c r="AO307" s="237">
        <f t="shared" si="133"/>
        <v>1.304198784885487E-2</v>
      </c>
      <c r="AP307" s="237">
        <f t="shared" si="120"/>
        <v>1</v>
      </c>
      <c r="AQ307" s="237"/>
      <c r="AR307" s="237">
        <f t="shared" si="121"/>
        <v>0.61464645366918802</v>
      </c>
      <c r="AS307" s="237">
        <f t="shared" si="122"/>
        <v>0.35993676340465403</v>
      </c>
      <c r="AT307" s="237">
        <f t="shared" si="123"/>
        <v>2.5416782926158003E-2</v>
      </c>
      <c r="AU307" s="237">
        <f t="shared" si="139"/>
        <v>0.98055959563958928</v>
      </c>
      <c r="AV307" s="237">
        <f t="shared" si="139"/>
        <v>1.9440404360410696E-2</v>
      </c>
      <c r="AX307" s="251">
        <f t="shared" ref="AX307:AX315" si="146">($U307/12*AK307*AB$5/2204.622*1000000)-($BJ307*AR307)-15000</f>
        <v>11214.065465254545</v>
      </c>
      <c r="AY307" s="251">
        <f t="shared" ref="AY307:AY315" si="147">($U307/12*AL307*AC$5/2204.622*1000000)-($BJ307*AS307)+15000</f>
        <v>31301.716617865713</v>
      </c>
      <c r="AZ307" s="251">
        <f t="shared" si="130"/>
        <v>1146.9427200468429</v>
      </c>
      <c r="BA307" s="251">
        <f t="shared" si="131"/>
        <v>81942.431627677419</v>
      </c>
      <c r="BB307" s="251">
        <f t="shared" si="131"/>
        <v>1635.4796252898773</v>
      </c>
      <c r="BC307" s="251">
        <f t="shared" si="143"/>
        <v>127240.63605613439</v>
      </c>
      <c r="BD307" s="270">
        <f t="shared" si="144"/>
        <v>7.6100191206778574</v>
      </c>
      <c r="BY307" s="252">
        <f t="shared" si="125"/>
        <v>0.67069181085727547</v>
      </c>
      <c r="BZ307" s="252">
        <f t="shared" si="125"/>
        <v>1.8720958127473439</v>
      </c>
      <c r="CA307" s="252">
        <f t="shared" si="125"/>
        <v>6.8596450791303207E-2</v>
      </c>
      <c r="CB307" s="252">
        <f t="shared" si="125"/>
        <v>4.9008201374155229</v>
      </c>
      <c r="CC307" s="252">
        <f t="shared" si="125"/>
        <v>9.7814908866411532E-2</v>
      </c>
    </row>
    <row r="308" spans="1:81">
      <c r="A308" s="11">
        <v>49004</v>
      </c>
      <c r="B308" s="268">
        <v>70</v>
      </c>
      <c r="C308" s="268">
        <v>13</v>
      </c>
      <c r="D308" s="268">
        <f t="shared" si="138"/>
        <v>20</v>
      </c>
      <c r="E308" s="268">
        <v>3</v>
      </c>
      <c r="F308" s="269">
        <v>0.2</v>
      </c>
      <c r="G308" s="269">
        <v>1.32</v>
      </c>
      <c r="H308" s="269"/>
      <c r="I308" s="269">
        <v>5</v>
      </c>
      <c r="J308" s="269"/>
      <c r="K308" s="269"/>
      <c r="L308" s="269"/>
      <c r="M308" s="269">
        <f t="shared" si="135"/>
        <v>1.5</v>
      </c>
      <c r="N308" s="269">
        <v>45</v>
      </c>
      <c r="O308" s="269">
        <f t="shared" si="114"/>
        <v>17.699535849485258</v>
      </c>
      <c r="Q308" s="251">
        <f t="shared" si="124"/>
        <v>176.71953584948523</v>
      </c>
      <c r="R308" s="251">
        <f>'RD Plant List'!N176</f>
        <v>664.33</v>
      </c>
      <c r="S308" s="251">
        <f>SUM(B308:O308)+'RD Plant List'!N176</f>
        <v>841.04953584948521</v>
      </c>
      <c r="T308" s="237">
        <f t="shared" si="145"/>
        <v>0.7898821314121609</v>
      </c>
      <c r="U308" s="251">
        <f t="shared" si="132"/>
        <v>491.32752141074627</v>
      </c>
      <c r="V308" s="271">
        <f t="shared" si="118"/>
        <v>0.58418380900060873</v>
      </c>
      <c r="W308" s="251">
        <f t="shared" si="126"/>
        <v>40.943960117562192</v>
      </c>
      <c r="X308" s="242">
        <f t="shared" si="127"/>
        <v>7.6100191206778574</v>
      </c>
      <c r="Y308" s="273">
        <f t="shared" si="128"/>
        <v>7.6100191206778574</v>
      </c>
      <c r="AB308" s="251">
        <f>SUM('BD Feedstock'!C306,'BD Feedstock'!E306,'BD Feedstock'!G306,'BD Feedstock'!K306,'BD Feedstock'!T306)</f>
        <v>21.812796010427753</v>
      </c>
      <c r="AC308" s="251">
        <f>SUM('BD Feedstock'!D306,'BD Feedstock'!F306,'BD Feedstock'!H306,'BD Feedstock'!I306,'BD Feedstock'!L306,'BD Feedstock'!M306,'BD Feedstock'!N306,'BD Feedstock'!O306,'BD Feedstock'!U306)</f>
        <v>12.773566250859661</v>
      </c>
      <c r="AD308" s="251">
        <f>'BD Feedstock'!J306</f>
        <v>0.90199999999999991</v>
      </c>
      <c r="AE308" s="251">
        <f>SUM('BD Feedstock'!B306,'BD Feedstock'!P306,'BD Feedstock'!Q306,'BD Feedstock'!R306)</f>
        <v>70.93020833333334</v>
      </c>
      <c r="AF308" s="251">
        <f>'BD Feedstock'!S306</f>
        <v>1.40625</v>
      </c>
      <c r="AG308" s="251">
        <f t="shared" si="119"/>
        <v>107.82482059462075</v>
      </c>
      <c r="AK308" s="237">
        <f t="shared" si="134"/>
        <v>0.20229846792359021</v>
      </c>
      <c r="AL308" s="237">
        <f t="shared" si="134"/>
        <v>0.11846591703484753</v>
      </c>
      <c r="AM308" s="237">
        <f t="shared" si="134"/>
        <v>8.3654208282077092E-3</v>
      </c>
      <c r="AN308" s="237">
        <f t="shared" si="134"/>
        <v>0.65782820636449979</v>
      </c>
      <c r="AO308" s="237">
        <f t="shared" si="133"/>
        <v>1.304198784885487E-2</v>
      </c>
      <c r="AP308" s="237">
        <f t="shared" si="120"/>
        <v>1</v>
      </c>
      <c r="AQ308" s="237"/>
      <c r="AR308" s="237">
        <f t="shared" si="121"/>
        <v>0.61464645366918802</v>
      </c>
      <c r="AS308" s="237">
        <f t="shared" si="122"/>
        <v>0.35993676340465403</v>
      </c>
      <c r="AT308" s="237">
        <f t="shared" si="123"/>
        <v>2.5416782926158003E-2</v>
      </c>
      <c r="AU308" s="237">
        <f t="shared" si="139"/>
        <v>0.98055959563958928</v>
      </c>
      <c r="AV308" s="237">
        <f t="shared" si="139"/>
        <v>1.9440404360410696E-2</v>
      </c>
      <c r="AX308" s="251">
        <f t="shared" si="146"/>
        <v>14117.226499342036</v>
      </c>
      <c r="AY308" s="251">
        <f t="shared" si="147"/>
        <v>33107.102681940873</v>
      </c>
      <c r="AZ308" s="251">
        <f t="shared" si="130"/>
        <v>1273.9645823208859</v>
      </c>
      <c r="BA308" s="251">
        <f t="shared" ref="BA308:BB371" si="148">($U308/12*AN308*AE$5/2204.622*1000000)-($BK308*AU308)</f>
        <v>91017.409900512124</v>
      </c>
      <c r="BB308" s="251">
        <f t="shared" si="148"/>
        <v>1816.6060791960406</v>
      </c>
      <c r="BC308" s="251">
        <f t="shared" ref="BC308:BC371" si="149">SUM(AX308:BB308)</f>
        <v>141332.30974331195</v>
      </c>
      <c r="BD308" s="270">
        <f t="shared" si="144"/>
        <v>7.6100191206778574</v>
      </c>
      <c r="BY308" s="252">
        <f t="shared" si="125"/>
        <v>0.76014015327459028</v>
      </c>
      <c r="BZ308" s="252">
        <f t="shared" si="125"/>
        <v>1.7826474703300295</v>
      </c>
      <c r="CA308" s="252">
        <f t="shared" si="125"/>
        <v>6.8596450791303221E-2</v>
      </c>
      <c r="CB308" s="252">
        <f t="shared" si="125"/>
        <v>4.9008201374155229</v>
      </c>
      <c r="CC308" s="252">
        <f t="shared" si="125"/>
        <v>9.7814908866411504E-2</v>
      </c>
    </row>
    <row r="309" spans="1:81">
      <c r="A309" s="11">
        <v>49035</v>
      </c>
      <c r="B309" s="268">
        <v>70</v>
      </c>
      <c r="C309" s="268">
        <v>13</v>
      </c>
      <c r="D309" s="268">
        <f t="shared" si="138"/>
        <v>20</v>
      </c>
      <c r="E309" s="268">
        <v>3</v>
      </c>
      <c r="F309" s="269">
        <v>0.2</v>
      </c>
      <c r="G309" s="269">
        <v>1.32</v>
      </c>
      <c r="H309" s="269"/>
      <c r="I309" s="269">
        <v>5</v>
      </c>
      <c r="J309" s="269"/>
      <c r="K309" s="269"/>
      <c r="L309" s="269"/>
      <c r="M309" s="269">
        <f t="shared" si="135"/>
        <v>1.5</v>
      </c>
      <c r="N309" s="269">
        <v>45</v>
      </c>
      <c r="O309" s="269">
        <f t="shared" si="114"/>
        <v>17.699535849485258</v>
      </c>
      <c r="Q309" s="251">
        <f t="shared" si="124"/>
        <v>176.71953584948523</v>
      </c>
      <c r="R309" s="251">
        <f>'RD Plant List'!N177</f>
        <v>664.33</v>
      </c>
      <c r="S309" s="251">
        <f>SUM(B309:O309)+'RD Plant List'!N177</f>
        <v>841.04953584948521</v>
      </c>
      <c r="T309" s="237">
        <f t="shared" si="145"/>
        <v>0.7898821314121609</v>
      </c>
      <c r="U309" s="251">
        <f t="shared" si="132"/>
        <v>499.85481754777749</v>
      </c>
      <c r="V309" s="271">
        <f t="shared" si="118"/>
        <v>0.59432268402943611</v>
      </c>
      <c r="W309" s="251">
        <f t="shared" si="126"/>
        <v>41.65456812898146</v>
      </c>
      <c r="X309" s="242">
        <f t="shared" si="127"/>
        <v>7.6100191206778582</v>
      </c>
      <c r="Y309" s="273">
        <f t="shared" si="128"/>
        <v>7.6100191206778582</v>
      </c>
      <c r="AB309" s="251">
        <f>SUM('BD Feedstock'!C307,'BD Feedstock'!E307,'BD Feedstock'!G307,'BD Feedstock'!K307,'BD Feedstock'!T307)</f>
        <v>21.812796010427753</v>
      </c>
      <c r="AC309" s="251">
        <f>SUM('BD Feedstock'!D307,'BD Feedstock'!F307,'BD Feedstock'!H307,'BD Feedstock'!I307,'BD Feedstock'!L307,'BD Feedstock'!M307,'BD Feedstock'!N307,'BD Feedstock'!O307,'BD Feedstock'!U307)</f>
        <v>12.773566250859661</v>
      </c>
      <c r="AD309" s="251">
        <f>'BD Feedstock'!J307</f>
        <v>0.90199999999999991</v>
      </c>
      <c r="AE309" s="251">
        <f>SUM('BD Feedstock'!B307,'BD Feedstock'!P307,'BD Feedstock'!Q307,'BD Feedstock'!R307)</f>
        <v>70.93020833333334</v>
      </c>
      <c r="AF309" s="251">
        <f>'BD Feedstock'!S307</f>
        <v>1.40625</v>
      </c>
      <c r="AG309" s="251">
        <f t="shared" si="119"/>
        <v>107.82482059462075</v>
      </c>
      <c r="AK309" s="237">
        <f t="shared" si="134"/>
        <v>0.20229846792359021</v>
      </c>
      <c r="AL309" s="237">
        <f t="shared" si="134"/>
        <v>0.11846591703484753</v>
      </c>
      <c r="AM309" s="237">
        <f t="shared" si="134"/>
        <v>8.3654208282077092E-3</v>
      </c>
      <c r="AN309" s="237">
        <f t="shared" si="134"/>
        <v>0.65782820636449979</v>
      </c>
      <c r="AO309" s="237">
        <f t="shared" si="133"/>
        <v>1.304198784885487E-2</v>
      </c>
      <c r="AP309" s="237">
        <f t="shared" si="120"/>
        <v>1</v>
      </c>
      <c r="AQ309" s="237"/>
      <c r="AR309" s="237">
        <f t="shared" si="121"/>
        <v>0.61464645366918802</v>
      </c>
      <c r="AS309" s="237">
        <f t="shared" si="122"/>
        <v>0.35993676340465403</v>
      </c>
      <c r="AT309" s="237">
        <f t="shared" si="123"/>
        <v>2.5416782926158003E-2</v>
      </c>
      <c r="AU309" s="237">
        <f t="shared" si="139"/>
        <v>0.98055959563958928</v>
      </c>
      <c r="AV309" s="237">
        <f t="shared" si="139"/>
        <v>1.9440404360410696E-2</v>
      </c>
      <c r="AX309" s="251">
        <f t="shared" si="146"/>
        <v>14622.574158956108</v>
      </c>
      <c r="AY309" s="251">
        <f t="shared" si="147"/>
        <v>33421.362763096506</v>
      </c>
      <c r="AZ309" s="251">
        <f t="shared" si="130"/>
        <v>1296.0750336759154</v>
      </c>
      <c r="BA309" s="251">
        <f t="shared" si="148"/>
        <v>92597.073920998344</v>
      </c>
      <c r="BB309" s="251">
        <f t="shared" si="148"/>
        <v>1848.1344127955051</v>
      </c>
      <c r="BC309" s="251">
        <f t="shared" si="149"/>
        <v>143785.22028952237</v>
      </c>
      <c r="BD309" s="270">
        <f t="shared" si="144"/>
        <v>7.6100191206778565</v>
      </c>
      <c r="BY309" s="252">
        <f t="shared" si="125"/>
        <v>0.77391868732488045</v>
      </c>
      <c r="BZ309" s="252">
        <f t="shared" si="125"/>
        <v>1.768868936279739</v>
      </c>
      <c r="CA309" s="252">
        <f t="shared" si="125"/>
        <v>6.8596450791303221E-2</v>
      </c>
      <c r="CB309" s="252">
        <f t="shared" si="125"/>
        <v>4.9008201374155238</v>
      </c>
      <c r="CC309" s="252">
        <f t="shared" si="125"/>
        <v>9.7814908866411532E-2</v>
      </c>
    </row>
    <row r="310" spans="1:81">
      <c r="A310" s="11">
        <v>49065</v>
      </c>
      <c r="B310" s="268">
        <v>70</v>
      </c>
      <c r="C310" s="268">
        <v>13</v>
      </c>
      <c r="D310" s="268">
        <f t="shared" si="138"/>
        <v>20</v>
      </c>
      <c r="E310" s="268">
        <v>3</v>
      </c>
      <c r="F310" s="269">
        <v>0.2</v>
      </c>
      <c r="G310" s="269">
        <v>1.32</v>
      </c>
      <c r="H310" s="269"/>
      <c r="I310" s="269">
        <v>5</v>
      </c>
      <c r="J310" s="269"/>
      <c r="K310" s="269"/>
      <c r="L310" s="269"/>
      <c r="M310" s="269">
        <f t="shared" si="135"/>
        <v>1.5</v>
      </c>
      <c r="N310" s="269">
        <v>45</v>
      </c>
      <c r="O310" s="269">
        <f t="shared" si="114"/>
        <v>17.699535849485258</v>
      </c>
      <c r="Q310" s="251">
        <f t="shared" si="124"/>
        <v>176.71953584948523</v>
      </c>
      <c r="R310" s="251">
        <f>'RD Plant List'!N178</f>
        <v>664.33</v>
      </c>
      <c r="S310" s="251">
        <f>SUM(B310:O310)+'RD Plant List'!N178</f>
        <v>841.04953584948521</v>
      </c>
      <c r="T310" s="237">
        <f t="shared" si="145"/>
        <v>0.7898821314121609</v>
      </c>
      <c r="U310" s="251">
        <f t="shared" si="132"/>
        <v>485.64615669562443</v>
      </c>
      <c r="V310" s="271">
        <f t="shared" si="118"/>
        <v>0.57742871970686871</v>
      </c>
      <c r="W310" s="251">
        <f t="shared" si="126"/>
        <v>40.470513057968702</v>
      </c>
      <c r="X310" s="242">
        <f t="shared" si="127"/>
        <v>7.6100191206778574</v>
      </c>
      <c r="Y310" s="273">
        <f t="shared" si="128"/>
        <v>7.6100191206778574</v>
      </c>
      <c r="AB310" s="251">
        <f>SUM('BD Feedstock'!C308,'BD Feedstock'!E308,'BD Feedstock'!G308,'BD Feedstock'!K308,'BD Feedstock'!T308)</f>
        <v>21.812796010427753</v>
      </c>
      <c r="AC310" s="251">
        <f>SUM('BD Feedstock'!D308,'BD Feedstock'!F308,'BD Feedstock'!H308,'BD Feedstock'!I308,'BD Feedstock'!L308,'BD Feedstock'!M308,'BD Feedstock'!N308,'BD Feedstock'!O308,'BD Feedstock'!U308)</f>
        <v>12.773566250859661</v>
      </c>
      <c r="AD310" s="251">
        <f>'BD Feedstock'!J308</f>
        <v>0.90199999999999991</v>
      </c>
      <c r="AE310" s="251">
        <f>SUM('BD Feedstock'!B308,'BD Feedstock'!P308,'BD Feedstock'!Q308,'BD Feedstock'!R308)</f>
        <v>70.93020833333334</v>
      </c>
      <c r="AF310" s="251">
        <f>'BD Feedstock'!S308</f>
        <v>1.40625</v>
      </c>
      <c r="AG310" s="251">
        <f t="shared" si="119"/>
        <v>107.82482059462075</v>
      </c>
      <c r="AK310" s="237">
        <f t="shared" si="134"/>
        <v>0.20229846792359021</v>
      </c>
      <c r="AL310" s="237">
        <f t="shared" si="134"/>
        <v>0.11846591703484753</v>
      </c>
      <c r="AM310" s="237">
        <f t="shared" si="134"/>
        <v>8.3654208282077092E-3</v>
      </c>
      <c r="AN310" s="237">
        <f t="shared" si="134"/>
        <v>0.65782820636449979</v>
      </c>
      <c r="AO310" s="237">
        <f t="shared" si="133"/>
        <v>1.304198784885487E-2</v>
      </c>
      <c r="AP310" s="237">
        <f t="shared" si="120"/>
        <v>1</v>
      </c>
      <c r="AQ310" s="237"/>
      <c r="AR310" s="237">
        <f t="shared" si="121"/>
        <v>0.61464645366918802</v>
      </c>
      <c r="AS310" s="237">
        <f t="shared" si="122"/>
        <v>0.35993676340465403</v>
      </c>
      <c r="AT310" s="237">
        <f t="shared" si="123"/>
        <v>2.5416782926158003E-2</v>
      </c>
      <c r="AU310" s="237">
        <f t="shared" si="139"/>
        <v>0.98055959563958928</v>
      </c>
      <c r="AV310" s="237">
        <f t="shared" si="139"/>
        <v>1.9440404360410696E-2</v>
      </c>
      <c r="AX310" s="251">
        <f t="shared" si="146"/>
        <v>13780.535440879474</v>
      </c>
      <c r="AY310" s="251">
        <f t="shared" si="147"/>
        <v>32897.724925175098</v>
      </c>
      <c r="AZ310" s="251">
        <f t="shared" si="130"/>
        <v>1259.2333549605075</v>
      </c>
      <c r="BA310" s="251">
        <f t="shared" si="148"/>
        <v>89964.948805750348</v>
      </c>
      <c r="BB310" s="251">
        <f t="shared" si="148"/>
        <v>1795.6001285218626</v>
      </c>
      <c r="BC310" s="251">
        <f t="shared" si="149"/>
        <v>139698.04265528728</v>
      </c>
      <c r="BD310" s="270">
        <f t="shared" si="144"/>
        <v>7.6100191206778591</v>
      </c>
      <c r="BY310" s="252">
        <f t="shared" si="125"/>
        <v>0.7506915358652847</v>
      </c>
      <c r="BZ310" s="252">
        <f t="shared" si="125"/>
        <v>1.7920960877393344</v>
      </c>
      <c r="CA310" s="252">
        <f t="shared" si="125"/>
        <v>6.8596450791303193E-2</v>
      </c>
      <c r="CB310" s="252">
        <f t="shared" si="125"/>
        <v>4.9008201374155238</v>
      </c>
      <c r="CC310" s="252">
        <f t="shared" si="125"/>
        <v>9.7814908866411504E-2</v>
      </c>
    </row>
    <row r="311" spans="1:81">
      <c r="A311" s="11">
        <v>49096</v>
      </c>
      <c r="B311" s="268">
        <v>70</v>
      </c>
      <c r="C311" s="268">
        <v>13</v>
      </c>
      <c r="D311" s="268">
        <f t="shared" si="138"/>
        <v>20</v>
      </c>
      <c r="E311" s="268">
        <v>3</v>
      </c>
      <c r="F311" s="269">
        <v>0.2</v>
      </c>
      <c r="G311" s="269">
        <v>1.32</v>
      </c>
      <c r="H311" s="269"/>
      <c r="I311" s="269">
        <v>5</v>
      </c>
      <c r="J311" s="269"/>
      <c r="K311" s="269"/>
      <c r="L311" s="269"/>
      <c r="M311" s="269">
        <f t="shared" si="135"/>
        <v>1.5</v>
      </c>
      <c r="N311" s="269">
        <v>45</v>
      </c>
      <c r="O311" s="269">
        <f t="shared" si="114"/>
        <v>17.699535849485258</v>
      </c>
      <c r="Q311" s="251">
        <f t="shared" si="124"/>
        <v>176.71953584948523</v>
      </c>
      <c r="R311" s="251">
        <f>'RD Plant List'!N179</f>
        <v>664.33</v>
      </c>
      <c r="S311" s="251">
        <f>SUM(B311:O311)+'RD Plant List'!N179</f>
        <v>841.04953584948521</v>
      </c>
      <c r="T311" s="237">
        <f t="shared" si="145"/>
        <v>0.7898821314121609</v>
      </c>
      <c r="U311" s="251">
        <f t="shared" si="132"/>
        <v>542.12032194434005</v>
      </c>
      <c r="V311" s="271">
        <f t="shared" si="118"/>
        <v>0.64457597185019821</v>
      </c>
      <c r="W311" s="251">
        <f t="shared" si="126"/>
        <v>45.176693495361668</v>
      </c>
      <c r="X311" s="242">
        <f t="shared" si="127"/>
        <v>7.6100191206778565</v>
      </c>
      <c r="Y311" s="273">
        <f t="shared" si="128"/>
        <v>7.6100191206778565</v>
      </c>
      <c r="AB311" s="251">
        <f>SUM('BD Feedstock'!C309,'BD Feedstock'!E309,'BD Feedstock'!G309,'BD Feedstock'!K309,'BD Feedstock'!T309)</f>
        <v>21.812796010427753</v>
      </c>
      <c r="AC311" s="251">
        <f>SUM('BD Feedstock'!D309,'BD Feedstock'!F309,'BD Feedstock'!H309,'BD Feedstock'!I309,'BD Feedstock'!L309,'BD Feedstock'!M309,'BD Feedstock'!N309,'BD Feedstock'!O309,'BD Feedstock'!U309)</f>
        <v>12.773566250859661</v>
      </c>
      <c r="AD311" s="251">
        <f>'BD Feedstock'!J309</f>
        <v>0.90199999999999991</v>
      </c>
      <c r="AE311" s="251">
        <f>SUM('BD Feedstock'!B309,'BD Feedstock'!P309,'BD Feedstock'!Q309,'BD Feedstock'!R309)</f>
        <v>70.93020833333334</v>
      </c>
      <c r="AF311" s="251">
        <f>'BD Feedstock'!S309</f>
        <v>1.40625</v>
      </c>
      <c r="AG311" s="251">
        <f t="shared" si="119"/>
        <v>107.82482059462075</v>
      </c>
      <c r="AK311" s="237">
        <f t="shared" si="134"/>
        <v>0.20229846792359021</v>
      </c>
      <c r="AL311" s="237">
        <f t="shared" si="134"/>
        <v>0.11846591703484753</v>
      </c>
      <c r="AM311" s="237">
        <f t="shared" si="134"/>
        <v>8.3654208282077092E-3</v>
      </c>
      <c r="AN311" s="237">
        <f t="shared" si="134"/>
        <v>0.65782820636449979</v>
      </c>
      <c r="AO311" s="237">
        <f t="shared" si="133"/>
        <v>1.304198784885487E-2</v>
      </c>
      <c r="AP311" s="237">
        <f t="shared" si="120"/>
        <v>1</v>
      </c>
      <c r="AQ311" s="237"/>
      <c r="AR311" s="237">
        <f t="shared" si="121"/>
        <v>0.61464645366918802</v>
      </c>
      <c r="AS311" s="237">
        <f t="shared" si="122"/>
        <v>0.35993676340465403</v>
      </c>
      <c r="AT311" s="237">
        <f t="shared" si="123"/>
        <v>2.5416782926158003E-2</v>
      </c>
      <c r="AU311" s="237">
        <f t="shared" si="139"/>
        <v>0.98055959563958928</v>
      </c>
      <c r="AV311" s="237">
        <f t="shared" si="139"/>
        <v>1.9440404360410696E-2</v>
      </c>
      <c r="AX311" s="251">
        <f t="shared" si="146"/>
        <v>17127.327528134527</v>
      </c>
      <c r="AY311" s="251">
        <f t="shared" si="147"/>
        <v>34978.99142150172</v>
      </c>
      <c r="AZ311" s="251">
        <f t="shared" si="130"/>
        <v>1405.6653849359955</v>
      </c>
      <c r="BA311" s="251">
        <f t="shared" si="148"/>
        <v>100426.6714311648</v>
      </c>
      <c r="BB311" s="251">
        <f t="shared" si="148"/>
        <v>2004.4044544301055</v>
      </c>
      <c r="BC311" s="251">
        <f t="shared" si="149"/>
        <v>155943.06022016713</v>
      </c>
      <c r="BD311" s="270">
        <f t="shared" si="144"/>
        <v>7.6100191206778574</v>
      </c>
      <c r="BY311" s="252">
        <f t="shared" si="125"/>
        <v>0.83581333976130356</v>
      </c>
      <c r="BZ311" s="252">
        <f t="shared" si="125"/>
        <v>1.7069742838433155</v>
      </c>
      <c r="CA311" s="252">
        <f t="shared" si="125"/>
        <v>6.8596450791303193E-2</v>
      </c>
      <c r="CB311" s="252">
        <f t="shared" si="125"/>
        <v>4.9008201374155238</v>
      </c>
      <c r="CC311" s="252">
        <f t="shared" si="125"/>
        <v>9.7814908866411504E-2</v>
      </c>
    </row>
    <row r="312" spans="1:81">
      <c r="A312" s="11">
        <v>49126</v>
      </c>
      <c r="B312" s="268">
        <v>70</v>
      </c>
      <c r="C312" s="268">
        <v>13</v>
      </c>
      <c r="D312" s="268">
        <f t="shared" si="138"/>
        <v>20</v>
      </c>
      <c r="E312" s="268">
        <v>3</v>
      </c>
      <c r="F312" s="269">
        <v>0.2</v>
      </c>
      <c r="G312" s="269">
        <v>1.32</v>
      </c>
      <c r="H312" s="269"/>
      <c r="I312" s="269">
        <v>5</v>
      </c>
      <c r="J312" s="269"/>
      <c r="K312" s="269"/>
      <c r="L312" s="269"/>
      <c r="M312" s="269">
        <f t="shared" si="135"/>
        <v>1.5</v>
      </c>
      <c r="N312" s="269">
        <v>45</v>
      </c>
      <c r="O312" s="269">
        <f t="shared" ref="O312:O375" si="150">$O$3</f>
        <v>17.699535849485258</v>
      </c>
      <c r="Q312" s="251">
        <f t="shared" si="124"/>
        <v>176.71953584948523</v>
      </c>
      <c r="R312" s="251">
        <f>'RD Plant List'!N180</f>
        <v>664.33</v>
      </c>
      <c r="S312" s="251">
        <f>SUM(B312:O312)+'RD Plant List'!N180</f>
        <v>841.04953584948521</v>
      </c>
      <c r="T312" s="237">
        <f t="shared" si="145"/>
        <v>0.7898821314121609</v>
      </c>
      <c r="U312" s="251">
        <f t="shared" si="132"/>
        <v>556.84630104078531</v>
      </c>
      <c r="V312" s="271">
        <f t="shared" si="118"/>
        <v>0.66208502270719871</v>
      </c>
      <c r="W312" s="251">
        <f t="shared" si="126"/>
        <v>46.40385842006544</v>
      </c>
      <c r="X312" s="242">
        <f t="shared" si="127"/>
        <v>7.6100191206778574</v>
      </c>
      <c r="Y312" s="273">
        <f t="shared" si="128"/>
        <v>7.6100191206778574</v>
      </c>
      <c r="AB312" s="251">
        <f>SUM('BD Feedstock'!C310,'BD Feedstock'!E310,'BD Feedstock'!G310,'BD Feedstock'!K310,'BD Feedstock'!T310)</f>
        <v>21.812796010427753</v>
      </c>
      <c r="AC312" s="251">
        <f>SUM('BD Feedstock'!D310,'BD Feedstock'!F310,'BD Feedstock'!H310,'BD Feedstock'!I310,'BD Feedstock'!L310,'BD Feedstock'!M310,'BD Feedstock'!N310,'BD Feedstock'!O310,'BD Feedstock'!U310)</f>
        <v>12.773566250859661</v>
      </c>
      <c r="AD312" s="251">
        <f>'BD Feedstock'!J310</f>
        <v>0.90199999999999991</v>
      </c>
      <c r="AE312" s="251">
        <f>SUM('BD Feedstock'!B310,'BD Feedstock'!P310,'BD Feedstock'!Q310,'BD Feedstock'!R310)</f>
        <v>70.93020833333334</v>
      </c>
      <c r="AF312" s="251">
        <f>'BD Feedstock'!S310</f>
        <v>1.40625</v>
      </c>
      <c r="AG312" s="251">
        <f t="shared" si="119"/>
        <v>107.82482059462075</v>
      </c>
      <c r="AK312" s="237">
        <f t="shared" si="134"/>
        <v>0.20229846792359021</v>
      </c>
      <c r="AL312" s="237">
        <f t="shared" si="134"/>
        <v>0.11846591703484753</v>
      </c>
      <c r="AM312" s="237">
        <f t="shared" si="134"/>
        <v>8.3654208282077092E-3</v>
      </c>
      <c r="AN312" s="237">
        <f t="shared" si="134"/>
        <v>0.65782820636449979</v>
      </c>
      <c r="AO312" s="237">
        <f t="shared" si="133"/>
        <v>1.304198784885487E-2</v>
      </c>
      <c r="AP312" s="237">
        <f t="shared" si="120"/>
        <v>1</v>
      </c>
      <c r="AQ312" s="237"/>
      <c r="AR312" s="237">
        <f t="shared" si="121"/>
        <v>0.61464645366918802</v>
      </c>
      <c r="AS312" s="237">
        <f t="shared" si="122"/>
        <v>0.35993676340465403</v>
      </c>
      <c r="AT312" s="237">
        <f t="shared" si="123"/>
        <v>2.5416782926158003E-2</v>
      </c>
      <c r="AU312" s="237">
        <f t="shared" si="139"/>
        <v>0.98055959563958928</v>
      </c>
      <c r="AV312" s="237">
        <f t="shared" si="139"/>
        <v>1.9440404360410696E-2</v>
      </c>
      <c r="AX312" s="251">
        <f t="shared" si="146"/>
        <v>18000.023744183287</v>
      </c>
      <c r="AY312" s="251">
        <f t="shared" si="147"/>
        <v>35521.694209299632</v>
      </c>
      <c r="AZ312" s="251">
        <f t="shared" si="130"/>
        <v>1443.8484196558957</v>
      </c>
      <c r="BA312" s="251">
        <f t="shared" si="148"/>
        <v>103154.62868411711</v>
      </c>
      <c r="BB312" s="251">
        <f t="shared" si="148"/>
        <v>2058.8514413847652</v>
      </c>
      <c r="BC312" s="251">
        <f t="shared" si="149"/>
        <v>160179.04649864067</v>
      </c>
      <c r="BD312" s="270">
        <f t="shared" si="144"/>
        <v>7.6100191206778565</v>
      </c>
      <c r="BY312" s="252">
        <f t="shared" si="125"/>
        <v>0.85517130898299309</v>
      </c>
      <c r="BZ312" s="252">
        <f t="shared" si="125"/>
        <v>1.6876163146216263</v>
      </c>
      <c r="CA312" s="252">
        <f t="shared" si="125"/>
        <v>6.8596450791303207E-2</v>
      </c>
      <c r="CB312" s="252">
        <f t="shared" si="125"/>
        <v>4.9008201374155238</v>
      </c>
      <c r="CC312" s="252">
        <f t="shared" si="125"/>
        <v>9.7814908866411518E-2</v>
      </c>
    </row>
    <row r="313" spans="1:81">
      <c r="A313" s="11">
        <v>49157</v>
      </c>
      <c r="B313" s="268">
        <v>70</v>
      </c>
      <c r="C313" s="268">
        <v>13</v>
      </c>
      <c r="D313" s="268">
        <f t="shared" si="138"/>
        <v>20</v>
      </c>
      <c r="E313" s="268">
        <v>3</v>
      </c>
      <c r="F313" s="269">
        <v>0.2</v>
      </c>
      <c r="G313" s="269">
        <v>1.32</v>
      </c>
      <c r="H313" s="269"/>
      <c r="I313" s="269">
        <v>5</v>
      </c>
      <c r="J313" s="269"/>
      <c r="K313" s="269"/>
      <c r="L313" s="269"/>
      <c r="M313" s="269">
        <f t="shared" si="135"/>
        <v>1.5</v>
      </c>
      <c r="N313" s="269">
        <v>45</v>
      </c>
      <c r="O313" s="269">
        <f t="shared" si="150"/>
        <v>17.699535849485258</v>
      </c>
      <c r="Q313" s="251">
        <f t="shared" si="124"/>
        <v>176.71953584948523</v>
      </c>
      <c r="R313" s="251">
        <f>'RD Plant List'!N181</f>
        <v>664.33</v>
      </c>
      <c r="S313" s="251">
        <f>SUM(B313:O313)+'RD Plant List'!N181</f>
        <v>841.04953584948521</v>
      </c>
      <c r="T313" s="237">
        <f t="shared" si="145"/>
        <v>0.7898821314121609</v>
      </c>
      <c r="U313" s="251">
        <f t="shared" si="132"/>
        <v>525.34684296072533</v>
      </c>
      <c r="V313" s="271">
        <f t="shared" si="118"/>
        <v>0.62463246285500806</v>
      </c>
      <c r="W313" s="251">
        <f t="shared" si="126"/>
        <v>43.778903580060444</v>
      </c>
      <c r="X313" s="242">
        <f t="shared" si="127"/>
        <v>7.6100191206778565</v>
      </c>
      <c r="Y313" s="273">
        <f t="shared" si="128"/>
        <v>7.6100191206778565</v>
      </c>
      <c r="AB313" s="251">
        <f>SUM('BD Feedstock'!C311,'BD Feedstock'!E311,'BD Feedstock'!G311,'BD Feedstock'!K311,'BD Feedstock'!T311)</f>
        <v>21.812796010427753</v>
      </c>
      <c r="AC313" s="251">
        <f>SUM('BD Feedstock'!D311,'BD Feedstock'!F311,'BD Feedstock'!H311,'BD Feedstock'!I311,'BD Feedstock'!L311,'BD Feedstock'!M311,'BD Feedstock'!N311,'BD Feedstock'!O311,'BD Feedstock'!U311)</f>
        <v>12.773566250859661</v>
      </c>
      <c r="AD313" s="251">
        <f>'BD Feedstock'!J311</f>
        <v>0.90199999999999991</v>
      </c>
      <c r="AE313" s="251">
        <f>SUM('BD Feedstock'!B311,'BD Feedstock'!P311,'BD Feedstock'!Q311,'BD Feedstock'!R311)</f>
        <v>70.93020833333334</v>
      </c>
      <c r="AF313" s="251">
        <f>'BD Feedstock'!S311</f>
        <v>1.40625</v>
      </c>
      <c r="AG313" s="251">
        <f t="shared" si="119"/>
        <v>107.82482059462075</v>
      </c>
      <c r="AK313" s="237">
        <f t="shared" si="134"/>
        <v>0.20229846792359021</v>
      </c>
      <c r="AL313" s="237">
        <f t="shared" si="134"/>
        <v>0.11846591703484753</v>
      </c>
      <c r="AM313" s="237">
        <f t="shared" si="134"/>
        <v>8.3654208282077092E-3</v>
      </c>
      <c r="AN313" s="237">
        <f t="shared" si="134"/>
        <v>0.65782820636449979</v>
      </c>
      <c r="AO313" s="237">
        <f t="shared" si="133"/>
        <v>1.304198784885487E-2</v>
      </c>
      <c r="AP313" s="237">
        <f t="shared" si="120"/>
        <v>1</v>
      </c>
      <c r="AQ313" s="237"/>
      <c r="AR313" s="237">
        <f t="shared" si="121"/>
        <v>0.61464645366918802</v>
      </c>
      <c r="AS313" s="237">
        <f t="shared" si="122"/>
        <v>0.35993676340465403</v>
      </c>
      <c r="AT313" s="237">
        <f t="shared" si="123"/>
        <v>2.5416782926158003E-2</v>
      </c>
      <c r="AU313" s="237">
        <f t="shared" si="139"/>
        <v>0.98055959563958928</v>
      </c>
      <c r="AV313" s="237">
        <f t="shared" si="139"/>
        <v>1.9440404360410696E-2</v>
      </c>
      <c r="AX313" s="251">
        <f t="shared" si="146"/>
        <v>16133.291644808614</v>
      </c>
      <c r="AY313" s="251">
        <f t="shared" si="147"/>
        <v>34360.831247169088</v>
      </c>
      <c r="AZ313" s="251">
        <f t="shared" si="130"/>
        <v>1362.1733817075328</v>
      </c>
      <c r="BA313" s="251">
        <f t="shared" si="148"/>
        <v>97319.419047407122</v>
      </c>
      <c r="BB313" s="251">
        <f t="shared" si="148"/>
        <v>1942.387159320296</v>
      </c>
      <c r="BC313" s="251">
        <f t="shared" si="149"/>
        <v>151118.10248041264</v>
      </c>
      <c r="BD313" s="270">
        <f t="shared" si="144"/>
        <v>7.6100191206778556</v>
      </c>
      <c r="BY313" s="252">
        <f t="shared" si="125"/>
        <v>0.81244176495916132</v>
      </c>
      <c r="BZ313" s="252">
        <f t="shared" si="125"/>
        <v>1.7303458586454579</v>
      </c>
      <c r="CA313" s="252">
        <f t="shared" si="125"/>
        <v>6.8596450791303207E-2</v>
      </c>
      <c r="CB313" s="252">
        <f t="shared" si="125"/>
        <v>4.9008201374155229</v>
      </c>
      <c r="CC313" s="252">
        <f t="shared" si="125"/>
        <v>9.7814908866411504E-2</v>
      </c>
    </row>
    <row r="314" spans="1:81">
      <c r="A314" s="11">
        <v>49188</v>
      </c>
      <c r="B314" s="268">
        <v>70</v>
      </c>
      <c r="C314" s="268">
        <v>13</v>
      </c>
      <c r="D314" s="268">
        <f t="shared" si="138"/>
        <v>20</v>
      </c>
      <c r="E314" s="268">
        <v>3</v>
      </c>
      <c r="F314" s="269">
        <v>0.2</v>
      </c>
      <c r="G314" s="269">
        <v>1.32</v>
      </c>
      <c r="H314" s="269"/>
      <c r="I314" s="269">
        <v>5</v>
      </c>
      <c r="J314" s="269"/>
      <c r="K314" s="269"/>
      <c r="L314" s="269"/>
      <c r="M314" s="269">
        <f t="shared" si="135"/>
        <v>1.5</v>
      </c>
      <c r="N314" s="269">
        <v>45</v>
      </c>
      <c r="O314" s="269">
        <f t="shared" si="150"/>
        <v>17.699535849485258</v>
      </c>
      <c r="Q314" s="251">
        <f t="shared" si="124"/>
        <v>176.71953584948523</v>
      </c>
      <c r="R314" s="251">
        <f>'RD Plant List'!N182</f>
        <v>664.33</v>
      </c>
      <c r="S314" s="251">
        <f>SUM(B314:O314)+'RD Plant List'!N182</f>
        <v>841.04953584948521</v>
      </c>
      <c r="T314" s="237">
        <f t="shared" si="145"/>
        <v>0.7898821314121609</v>
      </c>
      <c r="U314" s="251">
        <f t="shared" si="132"/>
        <v>569.13568541223424</v>
      </c>
      <c r="V314" s="271">
        <f t="shared" si="118"/>
        <v>0.67669698531774369</v>
      </c>
      <c r="W314" s="251">
        <f t="shared" si="126"/>
        <v>47.427973784352851</v>
      </c>
      <c r="X314" s="242">
        <f t="shared" si="127"/>
        <v>7.6100191206778565</v>
      </c>
      <c r="Y314" s="273">
        <f t="shared" si="128"/>
        <v>7.6100191206778565</v>
      </c>
      <c r="AB314" s="251">
        <f>SUM('BD Feedstock'!C312,'BD Feedstock'!E312,'BD Feedstock'!G312,'BD Feedstock'!K312,'BD Feedstock'!T312)</f>
        <v>21.812796010427753</v>
      </c>
      <c r="AC314" s="251">
        <f>SUM('BD Feedstock'!D312,'BD Feedstock'!F312,'BD Feedstock'!H312,'BD Feedstock'!I312,'BD Feedstock'!L312,'BD Feedstock'!M312,'BD Feedstock'!N312,'BD Feedstock'!O312,'BD Feedstock'!U312)</f>
        <v>12.773566250859661</v>
      </c>
      <c r="AD314" s="251">
        <f>'BD Feedstock'!J312</f>
        <v>0.90199999999999991</v>
      </c>
      <c r="AE314" s="251">
        <f>SUM('BD Feedstock'!B312,'BD Feedstock'!P312,'BD Feedstock'!Q312,'BD Feedstock'!R312)</f>
        <v>70.93020833333334</v>
      </c>
      <c r="AF314" s="251">
        <f>'BD Feedstock'!S312</f>
        <v>1.40625</v>
      </c>
      <c r="AG314" s="251">
        <f t="shared" si="119"/>
        <v>107.82482059462075</v>
      </c>
      <c r="AK314" s="237">
        <f t="shared" si="134"/>
        <v>0.20229846792359021</v>
      </c>
      <c r="AL314" s="237">
        <f t="shared" si="134"/>
        <v>0.11846591703484753</v>
      </c>
      <c r="AM314" s="237">
        <f t="shared" si="134"/>
        <v>8.3654208282077092E-3</v>
      </c>
      <c r="AN314" s="237">
        <f t="shared" si="134"/>
        <v>0.65782820636449979</v>
      </c>
      <c r="AO314" s="237">
        <f t="shared" si="133"/>
        <v>1.304198784885487E-2</v>
      </c>
      <c r="AP314" s="237">
        <f t="shared" si="120"/>
        <v>1</v>
      </c>
      <c r="AQ314" s="237"/>
      <c r="AR314" s="237">
        <f t="shared" si="121"/>
        <v>0.61464645366918802</v>
      </c>
      <c r="AS314" s="237">
        <f t="shared" si="122"/>
        <v>0.35993676340465403</v>
      </c>
      <c r="AT314" s="237">
        <f t="shared" si="123"/>
        <v>2.5416782926158003E-2</v>
      </c>
      <c r="AU314" s="237">
        <f t="shared" si="139"/>
        <v>0.98055959563958928</v>
      </c>
      <c r="AV314" s="237">
        <f t="shared" si="139"/>
        <v>1.9440404360410696E-2</v>
      </c>
      <c r="AX314" s="251">
        <f t="shared" si="146"/>
        <v>18728.321616147608</v>
      </c>
      <c r="AY314" s="251">
        <f t="shared" si="147"/>
        <v>35974.600132567946</v>
      </c>
      <c r="AZ314" s="251">
        <f t="shared" si="130"/>
        <v>1475.7136007123122</v>
      </c>
      <c r="BA314" s="251">
        <f t="shared" si="148"/>
        <v>105431.21179012638</v>
      </c>
      <c r="BB314" s="251">
        <f t="shared" si="148"/>
        <v>2104.2895033411755</v>
      </c>
      <c r="BC314" s="251">
        <f t="shared" si="149"/>
        <v>163714.13664289541</v>
      </c>
      <c r="BD314" s="270">
        <f t="shared" si="144"/>
        <v>7.6100191206778574</v>
      </c>
      <c r="BY314" s="252">
        <f t="shared" si="125"/>
        <v>0.87055943072264119</v>
      </c>
      <c r="BZ314" s="252">
        <f t="shared" si="125"/>
        <v>1.6722281928819782</v>
      </c>
      <c r="CA314" s="252">
        <f t="shared" si="125"/>
        <v>6.8596450791303207E-2</v>
      </c>
      <c r="CB314" s="252">
        <f t="shared" si="125"/>
        <v>4.9008201374155238</v>
      </c>
      <c r="CC314" s="252">
        <f t="shared" si="125"/>
        <v>9.7814908866411504E-2</v>
      </c>
    </row>
    <row r="315" spans="1:81">
      <c r="A315" s="11">
        <v>49218</v>
      </c>
      <c r="B315" s="268">
        <v>70</v>
      </c>
      <c r="C315" s="268">
        <v>13</v>
      </c>
      <c r="D315" s="268">
        <f t="shared" si="138"/>
        <v>20</v>
      </c>
      <c r="E315" s="268">
        <v>3</v>
      </c>
      <c r="F315" s="269">
        <v>0.2</v>
      </c>
      <c r="G315" s="269">
        <v>1.32</v>
      </c>
      <c r="H315" s="269"/>
      <c r="I315" s="269">
        <v>5</v>
      </c>
      <c r="J315" s="269"/>
      <c r="K315" s="269"/>
      <c r="L315" s="269"/>
      <c r="M315" s="269">
        <f t="shared" si="135"/>
        <v>1.5</v>
      </c>
      <c r="N315" s="269">
        <v>45</v>
      </c>
      <c r="O315" s="269">
        <f t="shared" si="150"/>
        <v>17.699535849485258</v>
      </c>
      <c r="Q315" s="251">
        <f t="shared" si="124"/>
        <v>176.71953584948523</v>
      </c>
      <c r="R315" s="251">
        <f>'RD Plant List'!N183</f>
        <v>664.33</v>
      </c>
      <c r="S315" s="251">
        <f>SUM(B315:O315)+'RD Plant List'!N183</f>
        <v>841.04953584948521</v>
      </c>
      <c r="T315" s="237">
        <f t="shared" si="145"/>
        <v>0.7898821314121609</v>
      </c>
      <c r="U315" s="251">
        <f t="shared" si="132"/>
        <v>595.69122420294809</v>
      </c>
      <c r="V315" s="271">
        <f t="shared" si="118"/>
        <v>0.70827127156224168</v>
      </c>
      <c r="W315" s="251">
        <f t="shared" si="126"/>
        <v>49.640935350245677</v>
      </c>
      <c r="X315" s="242">
        <f t="shared" si="127"/>
        <v>7.6100191206778582</v>
      </c>
      <c r="Y315" s="273">
        <f t="shared" si="128"/>
        <v>7.6100191206778582</v>
      </c>
      <c r="AB315" s="251">
        <f>SUM('BD Feedstock'!C313,'BD Feedstock'!E313,'BD Feedstock'!G313,'BD Feedstock'!K313,'BD Feedstock'!T313)</f>
        <v>21.812796010427753</v>
      </c>
      <c r="AC315" s="251">
        <f>SUM('BD Feedstock'!D313,'BD Feedstock'!F313,'BD Feedstock'!H313,'BD Feedstock'!I313,'BD Feedstock'!L313,'BD Feedstock'!M313,'BD Feedstock'!N313,'BD Feedstock'!O313,'BD Feedstock'!U313)</f>
        <v>12.773566250859661</v>
      </c>
      <c r="AD315" s="251">
        <f>'BD Feedstock'!J313</f>
        <v>0.90199999999999991</v>
      </c>
      <c r="AE315" s="251">
        <f>SUM('BD Feedstock'!B313,'BD Feedstock'!P313,'BD Feedstock'!Q313,'BD Feedstock'!R313)</f>
        <v>70.93020833333334</v>
      </c>
      <c r="AF315" s="251">
        <f>'BD Feedstock'!S313</f>
        <v>1.40625</v>
      </c>
      <c r="AG315" s="251">
        <f t="shared" si="119"/>
        <v>107.82482059462075</v>
      </c>
      <c r="AK315" s="237">
        <f t="shared" si="134"/>
        <v>0.20229846792359021</v>
      </c>
      <c r="AL315" s="237">
        <f t="shared" si="134"/>
        <v>0.11846591703484753</v>
      </c>
      <c r="AM315" s="237">
        <f t="shared" si="134"/>
        <v>8.3654208282077092E-3</v>
      </c>
      <c r="AN315" s="237">
        <f t="shared" si="134"/>
        <v>0.65782820636449979</v>
      </c>
      <c r="AO315" s="237">
        <f t="shared" si="133"/>
        <v>1.304198784885487E-2</v>
      </c>
      <c r="AP315" s="237">
        <f t="shared" si="120"/>
        <v>1</v>
      </c>
      <c r="AQ315" s="237"/>
      <c r="AR315" s="237">
        <f t="shared" si="121"/>
        <v>0.61464645366918802</v>
      </c>
      <c r="AS315" s="237">
        <f t="shared" si="122"/>
        <v>0.35993676340465403</v>
      </c>
      <c r="AT315" s="237">
        <f t="shared" si="123"/>
        <v>2.5416782926158003E-2</v>
      </c>
      <c r="AU315" s="237">
        <f t="shared" si="139"/>
        <v>0.98055959563958928</v>
      </c>
      <c r="AV315" s="237">
        <f t="shared" si="139"/>
        <v>1.9440404360410696E-2</v>
      </c>
      <c r="AX315" s="251">
        <f t="shared" si="146"/>
        <v>20302.065410431976</v>
      </c>
      <c r="AY315" s="251">
        <f t="shared" si="147"/>
        <v>36953.262728705609</v>
      </c>
      <c r="AZ315" s="251">
        <f t="shared" si="130"/>
        <v>1544.5695357242157</v>
      </c>
      <c r="BA315" s="251">
        <f t="shared" si="148"/>
        <v>110350.57057610157</v>
      </c>
      <c r="BB315" s="251">
        <f t="shared" si="148"/>
        <v>2202.4744229748717</v>
      </c>
      <c r="BC315" s="251">
        <f t="shared" si="149"/>
        <v>171352.94267393823</v>
      </c>
      <c r="BD315" s="270">
        <f t="shared" si="144"/>
        <v>7.6100191206778582</v>
      </c>
      <c r="BY315" s="252">
        <f t="shared" si="125"/>
        <v>0.9016425603885373</v>
      </c>
      <c r="BZ315" s="252">
        <f t="shared" ref="BZ315:CC378" si="151">(AY315*2204.622)/($W315*1000000)</f>
        <v>1.6411450632160827</v>
      </c>
      <c r="CA315" s="252">
        <f t="shared" si="151"/>
        <v>6.8596450791303207E-2</v>
      </c>
      <c r="CB315" s="252">
        <f t="shared" si="151"/>
        <v>4.9008201374155247</v>
      </c>
      <c r="CC315" s="252">
        <f t="shared" si="151"/>
        <v>9.7814908866411518E-2</v>
      </c>
    </row>
    <row r="316" spans="1:81">
      <c r="A316" s="11">
        <v>49249</v>
      </c>
      <c r="B316" s="268">
        <v>70</v>
      </c>
      <c r="C316" s="268">
        <v>13</v>
      </c>
      <c r="D316" s="268">
        <f t="shared" si="138"/>
        <v>20</v>
      </c>
      <c r="E316" s="268">
        <v>3</v>
      </c>
      <c r="F316" s="269">
        <v>0.2</v>
      </c>
      <c r="G316" s="269">
        <v>1.32</v>
      </c>
      <c r="H316" s="269"/>
      <c r="I316" s="269">
        <v>5</v>
      </c>
      <c r="J316" s="269"/>
      <c r="K316" s="269"/>
      <c r="L316" s="269"/>
      <c r="M316" s="269">
        <f t="shared" si="135"/>
        <v>1.5</v>
      </c>
      <c r="N316" s="269">
        <v>45</v>
      </c>
      <c r="O316" s="269">
        <f t="shared" si="150"/>
        <v>17.699535849485258</v>
      </c>
      <c r="Q316" s="251">
        <f t="shared" si="124"/>
        <v>176.71953584948523</v>
      </c>
      <c r="R316" s="251">
        <f>'RD Plant List'!N184</f>
        <v>664.33</v>
      </c>
      <c r="S316" s="251">
        <f>SUM(B316:O316)+'RD Plant List'!N184</f>
        <v>841.04953584948521</v>
      </c>
      <c r="T316" s="237">
        <f t="shared" si="145"/>
        <v>0.7898821314121609</v>
      </c>
      <c r="U316" s="251">
        <f t="shared" si="132"/>
        <v>640.96260244095333</v>
      </c>
      <c r="V316" s="271">
        <f t="shared" si="118"/>
        <v>0.76209851515292959</v>
      </c>
      <c r="W316" s="251">
        <f t="shared" si="126"/>
        <v>53.413550203412775</v>
      </c>
      <c r="X316" s="242">
        <f t="shared" si="127"/>
        <v>7.6100191206778565</v>
      </c>
      <c r="Y316" s="273">
        <f t="shared" si="128"/>
        <v>7.6100191206778565</v>
      </c>
      <c r="AB316" s="251">
        <f>SUM('BD Feedstock'!C314,'BD Feedstock'!E314,'BD Feedstock'!G314,'BD Feedstock'!K314,'BD Feedstock'!T314)</f>
        <v>21.812796010427753</v>
      </c>
      <c r="AC316" s="251">
        <f>SUM('BD Feedstock'!D314,'BD Feedstock'!F314,'BD Feedstock'!H314,'BD Feedstock'!I314,'BD Feedstock'!L314,'BD Feedstock'!M314,'BD Feedstock'!N314,'BD Feedstock'!O314,'BD Feedstock'!U314)</f>
        <v>12.773566250859661</v>
      </c>
      <c r="AD316" s="251">
        <f>'BD Feedstock'!J314</f>
        <v>0.90199999999999991</v>
      </c>
      <c r="AE316" s="251">
        <f>SUM('BD Feedstock'!B314,'BD Feedstock'!P314,'BD Feedstock'!Q314,'BD Feedstock'!R314)</f>
        <v>70.93020833333334</v>
      </c>
      <c r="AF316" s="251">
        <f>'BD Feedstock'!S314</f>
        <v>1.40625</v>
      </c>
      <c r="AG316" s="251">
        <f t="shared" si="119"/>
        <v>107.82482059462075</v>
      </c>
      <c r="AK316" s="237">
        <f t="shared" si="134"/>
        <v>0.20229846792359021</v>
      </c>
      <c r="AL316" s="237">
        <f t="shared" si="134"/>
        <v>0.11846591703484753</v>
      </c>
      <c r="AM316" s="237">
        <f t="shared" si="134"/>
        <v>8.3654208282077092E-3</v>
      </c>
      <c r="AN316" s="237">
        <f t="shared" si="134"/>
        <v>0.65782820636449979</v>
      </c>
      <c r="AO316" s="237">
        <f t="shared" si="133"/>
        <v>1.304198784885487E-2</v>
      </c>
      <c r="AP316" s="237">
        <f t="shared" si="120"/>
        <v>1</v>
      </c>
      <c r="AQ316" s="237"/>
      <c r="AR316" s="237">
        <f t="shared" si="121"/>
        <v>0.61464645366918802</v>
      </c>
      <c r="AS316" s="237">
        <f t="shared" si="122"/>
        <v>0.35993676340465403</v>
      </c>
      <c r="AT316" s="237">
        <f t="shared" si="123"/>
        <v>2.5416782926158003E-2</v>
      </c>
      <c r="AU316" s="237">
        <f t="shared" si="139"/>
        <v>0.98055959563958928</v>
      </c>
      <c r="AV316" s="237">
        <f t="shared" si="139"/>
        <v>1.9440404360410696E-2</v>
      </c>
      <c r="AX316" s="251">
        <f t="shared" ref="AX316:AZ371" si="152">($U316/12*AK316*AB$5/2204.622*1000000)-($BJ316*AR316)</f>
        <v>37984.953945371984</v>
      </c>
      <c r="AY316" s="251">
        <f t="shared" si="152"/>
        <v>23621.668137698049</v>
      </c>
      <c r="AZ316" s="251">
        <f t="shared" si="130"/>
        <v>1661.9538261512444</v>
      </c>
      <c r="BA316" s="251">
        <f t="shared" si="148"/>
        <v>118737.00001530438</v>
      </c>
      <c r="BB316" s="251">
        <f t="shared" si="148"/>
        <v>2369.8582094247081</v>
      </c>
      <c r="BC316" s="251">
        <f t="shared" si="149"/>
        <v>184375.43413395036</v>
      </c>
      <c r="BD316" s="270">
        <f t="shared" si="144"/>
        <v>7.6100191206778574</v>
      </c>
      <c r="BY316" s="252">
        <f t="shared" ref="BY316:CB379" si="153">(AX316*2204.622)/($W316*1000000)</f>
        <v>1.5678131264078243</v>
      </c>
      <c r="BZ316" s="252">
        <f t="shared" si="151"/>
        <v>0.97497449719679496</v>
      </c>
      <c r="CA316" s="252">
        <f t="shared" si="151"/>
        <v>6.8596450791303207E-2</v>
      </c>
      <c r="CB316" s="252">
        <f t="shared" si="151"/>
        <v>4.9008201374155229</v>
      </c>
      <c r="CC316" s="252">
        <f t="shared" si="151"/>
        <v>9.7814908866411532E-2</v>
      </c>
    </row>
    <row r="317" spans="1:81">
      <c r="A317" s="11">
        <v>49279</v>
      </c>
      <c r="B317" s="268">
        <v>70</v>
      </c>
      <c r="C317" s="268">
        <v>13</v>
      </c>
      <c r="D317" s="268">
        <f t="shared" si="138"/>
        <v>20</v>
      </c>
      <c r="E317" s="268">
        <v>3</v>
      </c>
      <c r="F317" s="269">
        <v>0.2</v>
      </c>
      <c r="G317" s="269">
        <v>1.32</v>
      </c>
      <c r="H317" s="269"/>
      <c r="I317" s="269">
        <v>5</v>
      </c>
      <c r="J317" s="269"/>
      <c r="K317" s="269"/>
      <c r="L317" s="269"/>
      <c r="M317" s="269">
        <f t="shared" si="135"/>
        <v>1.5</v>
      </c>
      <c r="N317" s="269">
        <v>45</v>
      </c>
      <c r="O317" s="269">
        <f t="shared" si="150"/>
        <v>17.699535849485258</v>
      </c>
      <c r="Q317" s="251">
        <f t="shared" si="124"/>
        <v>176.71953584948523</v>
      </c>
      <c r="R317" s="251">
        <f>'RD Plant List'!N185</f>
        <v>664.33</v>
      </c>
      <c r="S317" s="251">
        <f>SUM(B317:O317)+'RD Plant List'!N185</f>
        <v>841.04953584948521</v>
      </c>
      <c r="T317" s="237">
        <f t="shared" si="145"/>
        <v>0.7898821314121609</v>
      </c>
      <c r="U317" s="251">
        <f t="shared" si="132"/>
        <v>582.9653065937473</v>
      </c>
      <c r="V317" s="271">
        <f t="shared" si="118"/>
        <v>0.69314027503140452</v>
      </c>
      <c r="W317" s="251">
        <f t="shared" si="126"/>
        <v>48.580442216145606</v>
      </c>
      <c r="X317" s="242">
        <f t="shared" si="127"/>
        <v>7.6100191206778591</v>
      </c>
      <c r="Y317" s="273">
        <f t="shared" si="128"/>
        <v>7.6100191206778591</v>
      </c>
      <c r="AB317" s="251">
        <f>SUM('BD Feedstock'!C315,'BD Feedstock'!E315,'BD Feedstock'!G315,'BD Feedstock'!K315,'BD Feedstock'!T315)</f>
        <v>21.812796010427753</v>
      </c>
      <c r="AC317" s="251">
        <f>SUM('BD Feedstock'!D315,'BD Feedstock'!F315,'BD Feedstock'!H315,'BD Feedstock'!I315,'BD Feedstock'!L315,'BD Feedstock'!M315,'BD Feedstock'!N315,'BD Feedstock'!O315,'BD Feedstock'!U315)</f>
        <v>12.773566250859661</v>
      </c>
      <c r="AD317" s="251">
        <f>'BD Feedstock'!J315</f>
        <v>0.90199999999999991</v>
      </c>
      <c r="AE317" s="251">
        <f>SUM('BD Feedstock'!B315,'BD Feedstock'!P315,'BD Feedstock'!Q315,'BD Feedstock'!R315)</f>
        <v>70.93020833333334</v>
      </c>
      <c r="AF317" s="251">
        <f>'BD Feedstock'!S315</f>
        <v>1.40625</v>
      </c>
      <c r="AG317" s="251">
        <f t="shared" si="119"/>
        <v>107.82482059462075</v>
      </c>
      <c r="AK317" s="237">
        <f t="shared" si="134"/>
        <v>0.20229846792359021</v>
      </c>
      <c r="AL317" s="237">
        <f t="shared" si="134"/>
        <v>0.11846591703484753</v>
      </c>
      <c r="AM317" s="237">
        <f t="shared" si="134"/>
        <v>8.3654208282077092E-3</v>
      </c>
      <c r="AN317" s="237">
        <f t="shared" si="134"/>
        <v>0.65782820636449979</v>
      </c>
      <c r="AO317" s="237">
        <f t="shared" si="133"/>
        <v>1.304198784885487E-2</v>
      </c>
      <c r="AP317" s="237">
        <f t="shared" si="120"/>
        <v>1</v>
      </c>
      <c r="AQ317" s="237"/>
      <c r="AR317" s="237">
        <f t="shared" si="121"/>
        <v>0.61464645366918802</v>
      </c>
      <c r="AS317" s="237">
        <f t="shared" si="122"/>
        <v>0.35993676340465403</v>
      </c>
      <c r="AT317" s="237">
        <f t="shared" si="123"/>
        <v>2.5416782926158003E-2</v>
      </c>
      <c r="AU317" s="237">
        <f t="shared" si="139"/>
        <v>0.98055959563958928</v>
      </c>
      <c r="AV317" s="237">
        <f t="shared" si="139"/>
        <v>1.9440404360410696E-2</v>
      </c>
      <c r="AX317" s="251">
        <f t="shared" si="152"/>
        <v>34547.897550314701</v>
      </c>
      <c r="AY317" s="251">
        <f t="shared" si="152"/>
        <v>21484.269059859027</v>
      </c>
      <c r="AZ317" s="251">
        <f t="shared" si="130"/>
        <v>1511.5724663455148</v>
      </c>
      <c r="BA317" s="251">
        <f t="shared" si="148"/>
        <v>107993.12058821769</v>
      </c>
      <c r="BB317" s="251">
        <f t="shared" si="148"/>
        <v>2155.4223481677373</v>
      </c>
      <c r="BC317" s="251">
        <f t="shared" si="149"/>
        <v>167692.28201290467</v>
      </c>
      <c r="BD317" s="270">
        <f t="shared" si="144"/>
        <v>7.6100191206778591</v>
      </c>
      <c r="BY317" s="252">
        <f t="shared" si="153"/>
        <v>1.5678131264078241</v>
      </c>
      <c r="BZ317" s="252">
        <f t="shared" si="151"/>
        <v>0.9749744971967953</v>
      </c>
      <c r="CA317" s="252">
        <f t="shared" si="151"/>
        <v>6.8596450791303221E-2</v>
      </c>
      <c r="CB317" s="252">
        <f t="shared" si="151"/>
        <v>4.9008201374155238</v>
      </c>
      <c r="CC317" s="252">
        <f t="shared" si="151"/>
        <v>9.7814908866411518E-2</v>
      </c>
    </row>
    <row r="318" spans="1:81">
      <c r="A318" s="11">
        <v>49310</v>
      </c>
      <c r="B318" s="268">
        <v>70</v>
      </c>
      <c r="C318" s="268">
        <v>13</v>
      </c>
      <c r="D318" s="268">
        <f t="shared" si="138"/>
        <v>20</v>
      </c>
      <c r="E318" s="268">
        <v>3</v>
      </c>
      <c r="F318" s="269">
        <v>0.2</v>
      </c>
      <c r="G318" s="269">
        <v>1.32</v>
      </c>
      <c r="H318" s="269"/>
      <c r="I318" s="269">
        <v>5</v>
      </c>
      <c r="J318" s="269"/>
      <c r="K318" s="269"/>
      <c r="L318" s="269"/>
      <c r="M318" s="269">
        <f t="shared" si="135"/>
        <v>1.5</v>
      </c>
      <c r="N318" s="269">
        <v>45</v>
      </c>
      <c r="O318" s="269">
        <f t="shared" si="150"/>
        <v>17.699535849485258</v>
      </c>
      <c r="Q318" s="251">
        <f t="shared" si="124"/>
        <v>176.71953584948523</v>
      </c>
      <c r="R318" s="251">
        <f>'RD Plant List'!N186</f>
        <v>664.33</v>
      </c>
      <c r="S318" s="251">
        <f>SUM(B318:O318)+'RD Plant List'!N186</f>
        <v>841.04953584948521</v>
      </c>
      <c r="T318" s="237">
        <f t="shared" si="145"/>
        <v>0.7898821314121609</v>
      </c>
      <c r="U318" s="251">
        <f t="shared" si="132"/>
        <v>477.47283837733102</v>
      </c>
      <c r="V318" s="271">
        <f t="shared" si="118"/>
        <v>0.56771072098038688</v>
      </c>
      <c r="W318" s="251">
        <f t="shared" si="126"/>
        <v>39.789403198110918</v>
      </c>
      <c r="X318" s="242">
        <f t="shared" si="127"/>
        <v>7.6100191206778591</v>
      </c>
      <c r="Y318" s="273">
        <f t="shared" si="128"/>
        <v>7.6100191206778591</v>
      </c>
      <c r="AB318" s="251">
        <f>SUM('BD Feedstock'!C316,'BD Feedstock'!E316,'BD Feedstock'!G316,'BD Feedstock'!K316,'BD Feedstock'!T316)</f>
        <v>21.812796010427753</v>
      </c>
      <c r="AC318" s="251">
        <f>SUM('BD Feedstock'!D316,'BD Feedstock'!F316,'BD Feedstock'!H316,'BD Feedstock'!I316,'BD Feedstock'!L316,'BD Feedstock'!M316,'BD Feedstock'!N316,'BD Feedstock'!O316,'BD Feedstock'!U316)</f>
        <v>12.773566250859661</v>
      </c>
      <c r="AD318" s="251">
        <f>'BD Feedstock'!J316</f>
        <v>0.90199999999999991</v>
      </c>
      <c r="AE318" s="251">
        <f>SUM('BD Feedstock'!B316,'BD Feedstock'!P316,'BD Feedstock'!Q316,'BD Feedstock'!R316)</f>
        <v>70.93020833333334</v>
      </c>
      <c r="AF318" s="251">
        <f>'BD Feedstock'!S316</f>
        <v>1.40625</v>
      </c>
      <c r="AG318" s="251">
        <f t="shared" si="119"/>
        <v>107.82482059462075</v>
      </c>
      <c r="AK318" s="237">
        <f t="shared" si="134"/>
        <v>0.20229846792359021</v>
      </c>
      <c r="AL318" s="237">
        <f t="shared" si="134"/>
        <v>0.11846591703484753</v>
      </c>
      <c r="AM318" s="237">
        <f t="shared" si="134"/>
        <v>8.3654208282077092E-3</v>
      </c>
      <c r="AN318" s="237">
        <f t="shared" si="134"/>
        <v>0.65782820636449979</v>
      </c>
      <c r="AO318" s="237">
        <f t="shared" si="133"/>
        <v>1.304198784885487E-2</v>
      </c>
      <c r="AP318" s="237">
        <f t="shared" si="120"/>
        <v>1</v>
      </c>
      <c r="AQ318" s="237"/>
      <c r="AR318" s="237">
        <f t="shared" si="121"/>
        <v>0.61464645366918802</v>
      </c>
      <c r="AS318" s="237">
        <f t="shared" si="122"/>
        <v>0.35993676340465403</v>
      </c>
      <c r="AT318" s="237">
        <f t="shared" si="123"/>
        <v>2.5416782926158003E-2</v>
      </c>
      <c r="AU318" s="237">
        <f t="shared" si="139"/>
        <v>0.98055959563958928</v>
      </c>
      <c r="AV318" s="237">
        <f t="shared" si="139"/>
        <v>1.9440404360410696E-2</v>
      </c>
      <c r="AX318" s="251">
        <f t="shared" si="152"/>
        <v>28296.165340784843</v>
      </c>
      <c r="AY318" s="251">
        <f t="shared" si="152"/>
        <v>17596.510139533559</v>
      </c>
      <c r="AZ318" s="251">
        <f t="shared" si="130"/>
        <v>1238.0407337378192</v>
      </c>
      <c r="BA318" s="251">
        <f t="shared" si="148"/>
        <v>88450.858446050013</v>
      </c>
      <c r="BB318" s="251">
        <f t="shared" si="148"/>
        <v>1765.3805721217166</v>
      </c>
      <c r="BC318" s="251">
        <f t="shared" si="149"/>
        <v>137346.95523222795</v>
      </c>
      <c r="BD318" s="270">
        <f t="shared" si="144"/>
        <v>7.6100191206778591</v>
      </c>
      <c r="BY318" s="252">
        <f t="shared" si="153"/>
        <v>1.5678131264078243</v>
      </c>
      <c r="BZ318" s="252">
        <f t="shared" si="151"/>
        <v>0.97497449719679541</v>
      </c>
      <c r="CA318" s="252">
        <f t="shared" si="151"/>
        <v>6.8596450791303221E-2</v>
      </c>
      <c r="CB318" s="252">
        <f t="shared" si="151"/>
        <v>4.9008201374155247</v>
      </c>
      <c r="CC318" s="252">
        <f t="shared" si="151"/>
        <v>9.7814908866411532E-2</v>
      </c>
    </row>
    <row r="319" spans="1:81">
      <c r="A319" s="11">
        <v>49341</v>
      </c>
      <c r="B319" s="268">
        <v>70</v>
      </c>
      <c r="C319" s="268">
        <v>13</v>
      </c>
      <c r="D319" s="268">
        <f t="shared" si="138"/>
        <v>20</v>
      </c>
      <c r="E319" s="268">
        <v>3</v>
      </c>
      <c r="F319" s="269">
        <v>0.2</v>
      </c>
      <c r="G319" s="269">
        <v>1.32</v>
      </c>
      <c r="H319" s="269"/>
      <c r="I319" s="269">
        <v>5</v>
      </c>
      <c r="J319" s="269"/>
      <c r="K319" s="269"/>
      <c r="L319" s="269"/>
      <c r="M319" s="269">
        <f t="shared" si="135"/>
        <v>1.5</v>
      </c>
      <c r="N319" s="269">
        <v>45</v>
      </c>
      <c r="O319" s="269">
        <f t="shared" si="150"/>
        <v>17.699535849485258</v>
      </c>
      <c r="Q319" s="251">
        <f t="shared" si="124"/>
        <v>176.71953584948523</v>
      </c>
      <c r="R319" s="251">
        <f>'RD Plant List'!N187</f>
        <v>664.33</v>
      </c>
      <c r="S319" s="251">
        <f>SUM(B319:O319)+'RD Plant List'!N187</f>
        <v>841.04953584948521</v>
      </c>
      <c r="T319" s="237">
        <f t="shared" si="145"/>
        <v>0.7898821314121609</v>
      </c>
      <c r="U319" s="251">
        <f t="shared" si="132"/>
        <v>441.72701037685073</v>
      </c>
      <c r="V319" s="271">
        <f t="shared" si="118"/>
        <v>0.52520926716961236</v>
      </c>
      <c r="W319" s="251">
        <f t="shared" si="126"/>
        <v>36.810584198070892</v>
      </c>
      <c r="X319" s="242">
        <f t="shared" si="127"/>
        <v>7.6100191206778574</v>
      </c>
      <c r="Y319" s="273">
        <f t="shared" si="128"/>
        <v>7.6100191206778574</v>
      </c>
      <c r="AB319" s="251">
        <f>SUM('BD Feedstock'!C317,'BD Feedstock'!E317,'BD Feedstock'!G317,'BD Feedstock'!K317,'BD Feedstock'!T317)</f>
        <v>21.812796010427753</v>
      </c>
      <c r="AC319" s="251">
        <f>SUM('BD Feedstock'!D317,'BD Feedstock'!F317,'BD Feedstock'!H317,'BD Feedstock'!I317,'BD Feedstock'!L317,'BD Feedstock'!M317,'BD Feedstock'!N317,'BD Feedstock'!O317,'BD Feedstock'!U317)</f>
        <v>12.773566250859661</v>
      </c>
      <c r="AD319" s="251">
        <f>'BD Feedstock'!J317</f>
        <v>0.90199999999999991</v>
      </c>
      <c r="AE319" s="251">
        <f>SUM('BD Feedstock'!B317,'BD Feedstock'!P317,'BD Feedstock'!Q317,'BD Feedstock'!R317)</f>
        <v>70.93020833333334</v>
      </c>
      <c r="AF319" s="251">
        <f>'BD Feedstock'!S317</f>
        <v>1.40625</v>
      </c>
      <c r="AG319" s="251">
        <f t="shared" si="119"/>
        <v>107.82482059462075</v>
      </c>
      <c r="AK319" s="237">
        <f t="shared" si="134"/>
        <v>0.20229846792359021</v>
      </c>
      <c r="AL319" s="237">
        <f t="shared" si="134"/>
        <v>0.11846591703484753</v>
      </c>
      <c r="AM319" s="237">
        <f t="shared" si="134"/>
        <v>8.3654208282077092E-3</v>
      </c>
      <c r="AN319" s="237">
        <f t="shared" si="134"/>
        <v>0.65782820636449979</v>
      </c>
      <c r="AO319" s="237">
        <f t="shared" si="133"/>
        <v>1.304198784885487E-2</v>
      </c>
      <c r="AP319" s="237">
        <f t="shared" si="120"/>
        <v>1</v>
      </c>
      <c r="AQ319" s="237"/>
      <c r="AR319" s="237">
        <f t="shared" si="121"/>
        <v>0.61464645366918802</v>
      </c>
      <c r="AS319" s="237">
        <f t="shared" si="122"/>
        <v>0.35993676340465403</v>
      </c>
      <c r="AT319" s="237">
        <f t="shared" si="123"/>
        <v>2.5416782926158003E-2</v>
      </c>
      <c r="AU319" s="237">
        <f t="shared" si="139"/>
        <v>0.98055959563958928</v>
      </c>
      <c r="AV319" s="237">
        <f t="shared" si="139"/>
        <v>1.9440404360410696E-2</v>
      </c>
      <c r="AX319" s="251">
        <f t="shared" si="152"/>
        <v>26177.783355367035</v>
      </c>
      <c r="AY319" s="251">
        <f t="shared" si="152"/>
        <v>16279.153895785519</v>
      </c>
      <c r="AZ319" s="251">
        <f t="shared" si="130"/>
        <v>1145.3552706732009</v>
      </c>
      <c r="BA319" s="251">
        <f t="shared" si="148"/>
        <v>81829.017540392641</v>
      </c>
      <c r="BB319" s="251">
        <f t="shared" si="148"/>
        <v>1633.2160064871314</v>
      </c>
      <c r="BC319" s="251">
        <f t="shared" si="149"/>
        <v>127064.52606870553</v>
      </c>
      <c r="BD319" s="270">
        <f t="shared" si="144"/>
        <v>7.6100191206778574</v>
      </c>
      <c r="BY319" s="252">
        <f t="shared" si="153"/>
        <v>1.5678131264078243</v>
      </c>
      <c r="BZ319" s="252">
        <f t="shared" si="151"/>
        <v>0.97497449719679508</v>
      </c>
      <c r="CA319" s="252">
        <f t="shared" si="151"/>
        <v>6.8596450791303207E-2</v>
      </c>
      <c r="CB319" s="252">
        <f t="shared" si="151"/>
        <v>4.9008201374155229</v>
      </c>
      <c r="CC319" s="252">
        <f t="shared" si="151"/>
        <v>9.7814908866411518E-2</v>
      </c>
    </row>
    <row r="320" spans="1:81">
      <c r="A320" s="11">
        <v>49369</v>
      </c>
      <c r="B320" s="268">
        <v>70</v>
      </c>
      <c r="C320" s="268">
        <v>13</v>
      </c>
      <c r="D320" s="268">
        <f t="shared" si="138"/>
        <v>20</v>
      </c>
      <c r="E320" s="268">
        <v>3</v>
      </c>
      <c r="F320" s="269">
        <v>0.2</v>
      </c>
      <c r="G320" s="269">
        <v>1.32</v>
      </c>
      <c r="H320" s="269"/>
      <c r="I320" s="269">
        <v>5</v>
      </c>
      <c r="J320" s="269"/>
      <c r="K320" s="269"/>
      <c r="L320" s="269"/>
      <c r="M320" s="269">
        <f t="shared" si="135"/>
        <v>1.5</v>
      </c>
      <c r="N320" s="269">
        <v>45</v>
      </c>
      <c r="O320" s="269">
        <f t="shared" si="150"/>
        <v>17.699535849485258</v>
      </c>
      <c r="Q320" s="251">
        <f t="shared" si="124"/>
        <v>176.71953584948523</v>
      </c>
      <c r="R320" s="251">
        <f>'RD Plant List'!N188</f>
        <v>664.33</v>
      </c>
      <c r="S320" s="251">
        <f>SUM(B320:O320)+'RD Plant List'!N188</f>
        <v>841.04953584948521</v>
      </c>
      <c r="T320" s="237">
        <f t="shared" si="145"/>
        <v>0.7898821314121609</v>
      </c>
      <c r="U320" s="251">
        <f t="shared" si="132"/>
        <v>491.06991538252214</v>
      </c>
      <c r="V320" s="271">
        <f t="shared" si="118"/>
        <v>0.58387751785217601</v>
      </c>
      <c r="W320" s="251">
        <f t="shared" si="126"/>
        <v>40.922492948543514</v>
      </c>
      <c r="X320" s="242">
        <f t="shared" si="127"/>
        <v>7.6100191206778574</v>
      </c>
      <c r="Y320" s="273">
        <f t="shared" si="128"/>
        <v>7.6100191206778574</v>
      </c>
      <c r="AB320" s="251">
        <f>SUM('BD Feedstock'!C318,'BD Feedstock'!E318,'BD Feedstock'!G318,'BD Feedstock'!K318,'BD Feedstock'!T318)</f>
        <v>21.812796010427753</v>
      </c>
      <c r="AC320" s="251">
        <f>SUM('BD Feedstock'!D318,'BD Feedstock'!F318,'BD Feedstock'!H318,'BD Feedstock'!I318,'BD Feedstock'!L318,'BD Feedstock'!M318,'BD Feedstock'!N318,'BD Feedstock'!O318,'BD Feedstock'!U318)</f>
        <v>12.773566250859661</v>
      </c>
      <c r="AD320" s="251">
        <f>'BD Feedstock'!J318</f>
        <v>0.90199999999999991</v>
      </c>
      <c r="AE320" s="251">
        <f>SUM('BD Feedstock'!B318,'BD Feedstock'!P318,'BD Feedstock'!Q318,'BD Feedstock'!R318)</f>
        <v>70.93020833333334</v>
      </c>
      <c r="AF320" s="251">
        <f>'BD Feedstock'!S318</f>
        <v>1.40625</v>
      </c>
      <c r="AG320" s="251">
        <f t="shared" si="119"/>
        <v>107.82482059462075</v>
      </c>
      <c r="AK320" s="237">
        <f t="shared" si="134"/>
        <v>0.20229846792359021</v>
      </c>
      <c r="AL320" s="237">
        <f t="shared" si="134"/>
        <v>0.11846591703484753</v>
      </c>
      <c r="AM320" s="237">
        <f t="shared" si="134"/>
        <v>8.3654208282077092E-3</v>
      </c>
      <c r="AN320" s="237">
        <f t="shared" si="134"/>
        <v>0.65782820636449979</v>
      </c>
      <c r="AO320" s="237">
        <f t="shared" si="133"/>
        <v>1.304198784885487E-2</v>
      </c>
      <c r="AP320" s="237">
        <f t="shared" si="120"/>
        <v>1</v>
      </c>
      <c r="AQ320" s="237"/>
      <c r="AR320" s="237">
        <f t="shared" si="121"/>
        <v>0.61464645366918802</v>
      </c>
      <c r="AS320" s="237">
        <f t="shared" si="122"/>
        <v>0.35993676340465403</v>
      </c>
      <c r="AT320" s="237">
        <f t="shared" si="123"/>
        <v>2.5416782926158003E-2</v>
      </c>
      <c r="AU320" s="237">
        <f t="shared" si="139"/>
        <v>0.98055959563958928</v>
      </c>
      <c r="AV320" s="237">
        <f t="shared" si="139"/>
        <v>1.9440404360410696E-2</v>
      </c>
      <c r="AX320" s="251">
        <f t="shared" si="152"/>
        <v>29101.960159182909</v>
      </c>
      <c r="AY320" s="251">
        <f t="shared" si="152"/>
        <v>18097.609017122035</v>
      </c>
      <c r="AZ320" s="251">
        <f t="shared" si="130"/>
        <v>1273.2966348889822</v>
      </c>
      <c r="BA320" s="251">
        <f t="shared" si="148"/>
        <v>90969.688915136852</v>
      </c>
      <c r="BB320" s="251">
        <f t="shared" si="148"/>
        <v>1815.6536215043454</v>
      </c>
      <c r="BC320" s="251">
        <f t="shared" si="149"/>
        <v>141258.20834783511</v>
      </c>
      <c r="BD320" s="270">
        <f t="shared" si="144"/>
        <v>7.6100191206778574</v>
      </c>
      <c r="BY320" s="252">
        <f t="shared" si="153"/>
        <v>1.5678131264078241</v>
      </c>
      <c r="BZ320" s="252">
        <f t="shared" si="151"/>
        <v>0.97497449719679541</v>
      </c>
      <c r="CA320" s="252">
        <f t="shared" si="151"/>
        <v>6.8596450791303207E-2</v>
      </c>
      <c r="CB320" s="252">
        <f t="shared" si="151"/>
        <v>4.9008201374155238</v>
      </c>
      <c r="CC320" s="252">
        <f t="shared" si="151"/>
        <v>9.7814908866411546E-2</v>
      </c>
    </row>
    <row r="321" spans="1:81">
      <c r="A321" s="11">
        <v>49400</v>
      </c>
      <c r="B321" s="268">
        <v>70</v>
      </c>
      <c r="C321" s="268">
        <v>13</v>
      </c>
      <c r="D321" s="268">
        <f t="shared" si="138"/>
        <v>20</v>
      </c>
      <c r="E321" s="268">
        <v>3</v>
      </c>
      <c r="F321" s="269">
        <v>0.2</v>
      </c>
      <c r="G321" s="269">
        <v>1.32</v>
      </c>
      <c r="H321" s="269"/>
      <c r="I321" s="269">
        <v>5</v>
      </c>
      <c r="J321" s="269"/>
      <c r="K321" s="269"/>
      <c r="L321" s="269"/>
      <c r="M321" s="269">
        <f t="shared" si="135"/>
        <v>1.5</v>
      </c>
      <c r="N321" s="269">
        <v>45</v>
      </c>
      <c r="O321" s="269">
        <f t="shared" si="150"/>
        <v>17.699535849485258</v>
      </c>
      <c r="Q321" s="251">
        <f t="shared" si="124"/>
        <v>176.71953584948523</v>
      </c>
      <c r="R321" s="251">
        <f>'RD Plant List'!N189</f>
        <v>664.33</v>
      </c>
      <c r="S321" s="251">
        <f>SUM(B321:O321)+'RD Plant List'!N189</f>
        <v>841.04953584948521</v>
      </c>
      <c r="T321" s="237">
        <f t="shared" si="145"/>
        <v>0.7898821314121609</v>
      </c>
      <c r="U321" s="251">
        <f t="shared" si="132"/>
        <v>499.48359545948693</v>
      </c>
      <c r="V321" s="271">
        <f t="shared" si="118"/>
        <v>0.59388130445252973</v>
      </c>
      <c r="W321" s="251">
        <f t="shared" si="126"/>
        <v>41.623632954957245</v>
      </c>
      <c r="X321" s="242">
        <f t="shared" si="127"/>
        <v>7.6100191206778565</v>
      </c>
      <c r="Y321" s="273">
        <f t="shared" si="128"/>
        <v>7.6100191206778565</v>
      </c>
      <c r="AB321" s="251">
        <f>SUM('BD Feedstock'!C319,'BD Feedstock'!E319,'BD Feedstock'!G319,'BD Feedstock'!K319,'BD Feedstock'!T319)</f>
        <v>21.812796010427753</v>
      </c>
      <c r="AC321" s="251">
        <f>SUM('BD Feedstock'!D319,'BD Feedstock'!F319,'BD Feedstock'!H319,'BD Feedstock'!I319,'BD Feedstock'!L319,'BD Feedstock'!M319,'BD Feedstock'!N319,'BD Feedstock'!O319,'BD Feedstock'!U319)</f>
        <v>12.773566250859661</v>
      </c>
      <c r="AD321" s="251">
        <f>'BD Feedstock'!J319</f>
        <v>0.90199999999999991</v>
      </c>
      <c r="AE321" s="251">
        <f>SUM('BD Feedstock'!B319,'BD Feedstock'!P319,'BD Feedstock'!Q319,'BD Feedstock'!R319)</f>
        <v>70.93020833333334</v>
      </c>
      <c r="AF321" s="251">
        <f>'BD Feedstock'!S319</f>
        <v>1.40625</v>
      </c>
      <c r="AG321" s="251">
        <f t="shared" si="119"/>
        <v>107.82482059462075</v>
      </c>
      <c r="AK321" s="237">
        <f t="shared" si="134"/>
        <v>0.20229846792359021</v>
      </c>
      <c r="AL321" s="237">
        <f t="shared" si="134"/>
        <v>0.11846591703484753</v>
      </c>
      <c r="AM321" s="237">
        <f t="shared" si="134"/>
        <v>8.3654208282077092E-3</v>
      </c>
      <c r="AN321" s="237">
        <f t="shared" si="134"/>
        <v>0.65782820636449979</v>
      </c>
      <c r="AO321" s="237">
        <f t="shared" si="133"/>
        <v>1.304198784885487E-2</v>
      </c>
      <c r="AP321" s="237">
        <f t="shared" si="120"/>
        <v>1</v>
      </c>
      <c r="AQ321" s="237"/>
      <c r="AR321" s="237">
        <f t="shared" si="121"/>
        <v>0.61464645366918802</v>
      </c>
      <c r="AS321" s="237">
        <f t="shared" si="122"/>
        <v>0.35993676340465403</v>
      </c>
      <c r="AT321" s="237">
        <f t="shared" si="123"/>
        <v>2.5416782926158003E-2</v>
      </c>
      <c r="AU321" s="237">
        <f t="shared" si="139"/>
        <v>0.98055959563958928</v>
      </c>
      <c r="AV321" s="237">
        <f t="shared" si="139"/>
        <v>1.9440404360410696E-2</v>
      </c>
      <c r="AX321" s="251">
        <f t="shared" si="152"/>
        <v>29600.574663395022</v>
      </c>
      <c r="AY321" s="251">
        <f t="shared" si="152"/>
        <v>18407.681957162451</v>
      </c>
      <c r="AZ321" s="251">
        <f t="shared" si="130"/>
        <v>1295.1124908260877</v>
      </c>
      <c r="BA321" s="251">
        <f t="shared" si="148"/>
        <v>92528.305794846863</v>
      </c>
      <c r="BB321" s="251">
        <f t="shared" si="148"/>
        <v>1846.7618776271427</v>
      </c>
      <c r="BC321" s="251">
        <f t="shared" si="149"/>
        <v>143678.43678385756</v>
      </c>
      <c r="BD321" s="270">
        <f t="shared" si="144"/>
        <v>7.6100191206778565</v>
      </c>
      <c r="BY321" s="252">
        <f t="shared" si="153"/>
        <v>1.5678131264078241</v>
      </c>
      <c r="BZ321" s="252">
        <f t="shared" si="151"/>
        <v>0.97497449719679519</v>
      </c>
      <c r="CA321" s="252">
        <f t="shared" si="151"/>
        <v>6.8596450791303193E-2</v>
      </c>
      <c r="CB321" s="252">
        <f t="shared" si="151"/>
        <v>4.9008201374155229</v>
      </c>
      <c r="CC321" s="252">
        <f t="shared" si="151"/>
        <v>9.7814908866411518E-2</v>
      </c>
    </row>
    <row r="322" spans="1:81">
      <c r="A322" s="11">
        <v>49430</v>
      </c>
      <c r="B322" s="268">
        <v>70</v>
      </c>
      <c r="C322" s="268">
        <v>13</v>
      </c>
      <c r="D322" s="268">
        <f t="shared" si="138"/>
        <v>20</v>
      </c>
      <c r="E322" s="268">
        <v>3</v>
      </c>
      <c r="F322" s="269">
        <v>0.2</v>
      </c>
      <c r="G322" s="269">
        <v>1.32</v>
      </c>
      <c r="H322" s="269"/>
      <c r="I322" s="269">
        <v>5</v>
      </c>
      <c r="J322" s="269"/>
      <c r="K322" s="269"/>
      <c r="L322" s="269"/>
      <c r="M322" s="269">
        <f t="shared" si="135"/>
        <v>1.5</v>
      </c>
      <c r="N322" s="269">
        <v>45</v>
      </c>
      <c r="O322" s="269">
        <f t="shared" si="150"/>
        <v>17.699535849485258</v>
      </c>
      <c r="Q322" s="251">
        <f t="shared" si="124"/>
        <v>176.71953584948523</v>
      </c>
      <c r="R322" s="251">
        <f>'RD Plant List'!N190</f>
        <v>664.33</v>
      </c>
      <c r="S322" s="251">
        <f>SUM(B322:O322)+'RD Plant List'!N190</f>
        <v>841.04953584948521</v>
      </c>
      <c r="T322" s="237">
        <f t="shared" si="145"/>
        <v>0.7898821314121609</v>
      </c>
      <c r="U322" s="251">
        <f t="shared" si="132"/>
        <v>485.12835357755489</v>
      </c>
      <c r="V322" s="271">
        <f t="shared" si="118"/>
        <v>0.57681305666206772</v>
      </c>
      <c r="W322" s="251">
        <f t="shared" si="126"/>
        <v>40.427362798129572</v>
      </c>
      <c r="X322" s="242">
        <f t="shared" si="127"/>
        <v>7.6100191206778574</v>
      </c>
      <c r="Y322" s="273">
        <f t="shared" si="128"/>
        <v>7.6100191206778574</v>
      </c>
      <c r="AB322" s="251">
        <f>SUM('BD Feedstock'!C320,'BD Feedstock'!E320,'BD Feedstock'!G320,'BD Feedstock'!K320,'BD Feedstock'!T320)</f>
        <v>21.812796010427753</v>
      </c>
      <c r="AC322" s="251">
        <f>SUM('BD Feedstock'!D320,'BD Feedstock'!F320,'BD Feedstock'!H320,'BD Feedstock'!I320,'BD Feedstock'!L320,'BD Feedstock'!M320,'BD Feedstock'!N320,'BD Feedstock'!O320,'BD Feedstock'!U320)</f>
        <v>12.773566250859661</v>
      </c>
      <c r="AD322" s="251">
        <f>'BD Feedstock'!J320</f>
        <v>0.90199999999999991</v>
      </c>
      <c r="AE322" s="251">
        <f>SUM('BD Feedstock'!B320,'BD Feedstock'!P320,'BD Feedstock'!Q320,'BD Feedstock'!R320)</f>
        <v>70.93020833333334</v>
      </c>
      <c r="AF322" s="251">
        <f>'BD Feedstock'!S320</f>
        <v>1.40625</v>
      </c>
      <c r="AG322" s="251">
        <f t="shared" si="119"/>
        <v>107.82482059462075</v>
      </c>
      <c r="AK322" s="237">
        <f t="shared" si="134"/>
        <v>0.20229846792359021</v>
      </c>
      <c r="AL322" s="237">
        <f t="shared" si="134"/>
        <v>0.11846591703484753</v>
      </c>
      <c r="AM322" s="237">
        <f t="shared" si="134"/>
        <v>8.3654208282077092E-3</v>
      </c>
      <c r="AN322" s="237">
        <f t="shared" si="134"/>
        <v>0.65782820636449979</v>
      </c>
      <c r="AO322" s="237">
        <f t="shared" si="133"/>
        <v>1.304198784885487E-2</v>
      </c>
      <c r="AP322" s="237">
        <f t="shared" si="120"/>
        <v>1</v>
      </c>
      <c r="AQ322" s="237"/>
      <c r="AR322" s="237">
        <f t="shared" si="121"/>
        <v>0.61464645366918802</v>
      </c>
      <c r="AS322" s="237">
        <f t="shared" si="122"/>
        <v>0.35993676340465403</v>
      </c>
      <c r="AT322" s="237">
        <f t="shared" si="123"/>
        <v>2.5416782926158003E-2</v>
      </c>
      <c r="AU322" s="237">
        <f t="shared" si="139"/>
        <v>0.98055959563958928</v>
      </c>
      <c r="AV322" s="237">
        <f t="shared" si="139"/>
        <v>1.9440404360410696E-2</v>
      </c>
      <c r="AX322" s="251">
        <f t="shared" si="152"/>
        <v>28749.849208144929</v>
      </c>
      <c r="AY322" s="251">
        <f t="shared" si="152"/>
        <v>17878.6421060385</v>
      </c>
      <c r="AZ322" s="251">
        <f t="shared" si="130"/>
        <v>1257.8907417253649</v>
      </c>
      <c r="BA322" s="251">
        <f t="shared" si="148"/>
        <v>89869.026846178895</v>
      </c>
      <c r="BB322" s="251">
        <f t="shared" si="148"/>
        <v>1793.6856330964674</v>
      </c>
      <c r="BC322" s="251">
        <f t="shared" si="149"/>
        <v>139549.09453518415</v>
      </c>
      <c r="BD322" s="270">
        <f t="shared" si="144"/>
        <v>7.6100191206778582</v>
      </c>
      <c r="BY322" s="252">
        <f t="shared" si="153"/>
        <v>1.5678131264078241</v>
      </c>
      <c r="BZ322" s="252">
        <f t="shared" si="151"/>
        <v>0.9749744971967953</v>
      </c>
      <c r="CA322" s="252">
        <f t="shared" si="151"/>
        <v>6.8596450791303207E-2</v>
      </c>
      <c r="CB322" s="252">
        <f t="shared" si="151"/>
        <v>4.9008201374155229</v>
      </c>
      <c r="CC322" s="252">
        <f t="shared" si="151"/>
        <v>9.7814908866411532E-2</v>
      </c>
    </row>
    <row r="323" spans="1:81">
      <c r="A323" s="11">
        <v>49461</v>
      </c>
      <c r="B323" s="268">
        <v>70</v>
      </c>
      <c r="C323" s="268">
        <v>13</v>
      </c>
      <c r="D323" s="268">
        <f t="shared" si="138"/>
        <v>20</v>
      </c>
      <c r="E323" s="268">
        <v>3</v>
      </c>
      <c r="F323" s="269">
        <v>0.2</v>
      </c>
      <c r="G323" s="269">
        <v>1.32</v>
      </c>
      <c r="H323" s="269"/>
      <c r="I323" s="269">
        <v>5</v>
      </c>
      <c r="J323" s="269"/>
      <c r="K323" s="269"/>
      <c r="L323" s="269"/>
      <c r="M323" s="269">
        <f t="shared" si="135"/>
        <v>1.5</v>
      </c>
      <c r="N323" s="269">
        <v>45</v>
      </c>
      <c r="O323" s="269">
        <f t="shared" si="150"/>
        <v>17.699535849485258</v>
      </c>
      <c r="Q323" s="251">
        <f t="shared" si="124"/>
        <v>176.71953584948523</v>
      </c>
      <c r="R323" s="251">
        <f>'RD Plant List'!N191</f>
        <v>664.33</v>
      </c>
      <c r="S323" s="251">
        <f>SUM(B323:O323)+'RD Plant List'!N191</f>
        <v>841.04953584948521</v>
      </c>
      <c r="T323" s="237">
        <f t="shared" si="145"/>
        <v>0.7898821314121609</v>
      </c>
      <c r="U323" s="251">
        <f t="shared" si="132"/>
        <v>541.65526703786361</v>
      </c>
      <c r="V323" s="271">
        <f t="shared" si="118"/>
        <v>0.6440230259336337</v>
      </c>
      <c r="W323" s="251">
        <f t="shared" si="126"/>
        <v>45.13793891982197</v>
      </c>
      <c r="X323" s="242">
        <f t="shared" si="127"/>
        <v>7.6100191206778582</v>
      </c>
      <c r="Y323" s="273">
        <f t="shared" si="128"/>
        <v>7.6100191206778582</v>
      </c>
      <c r="AB323" s="251">
        <f>SUM('BD Feedstock'!C321,'BD Feedstock'!E321,'BD Feedstock'!G321,'BD Feedstock'!K321,'BD Feedstock'!T321)</f>
        <v>21.812796010427753</v>
      </c>
      <c r="AC323" s="251">
        <f>SUM('BD Feedstock'!D321,'BD Feedstock'!F321,'BD Feedstock'!H321,'BD Feedstock'!I321,'BD Feedstock'!L321,'BD Feedstock'!M321,'BD Feedstock'!N321,'BD Feedstock'!O321,'BD Feedstock'!U321)</f>
        <v>12.773566250859661</v>
      </c>
      <c r="AD323" s="251">
        <f>'BD Feedstock'!J321</f>
        <v>0.90199999999999991</v>
      </c>
      <c r="AE323" s="251">
        <f>SUM('BD Feedstock'!B321,'BD Feedstock'!P321,'BD Feedstock'!Q321,'BD Feedstock'!R321)</f>
        <v>70.93020833333334</v>
      </c>
      <c r="AF323" s="251">
        <f>'BD Feedstock'!S321</f>
        <v>1.40625</v>
      </c>
      <c r="AG323" s="251">
        <f t="shared" si="119"/>
        <v>107.82482059462075</v>
      </c>
      <c r="AK323" s="237">
        <f t="shared" si="134"/>
        <v>0.20229846792359021</v>
      </c>
      <c r="AL323" s="237">
        <f t="shared" si="134"/>
        <v>0.11846591703484753</v>
      </c>
      <c r="AM323" s="237">
        <f t="shared" si="134"/>
        <v>8.3654208282077092E-3</v>
      </c>
      <c r="AN323" s="237">
        <f t="shared" si="134"/>
        <v>0.65782820636449979</v>
      </c>
      <c r="AO323" s="237">
        <f t="shared" si="133"/>
        <v>1.304198784885487E-2</v>
      </c>
      <c r="AP323" s="237">
        <f t="shared" si="120"/>
        <v>1</v>
      </c>
      <c r="AQ323" s="237"/>
      <c r="AR323" s="237">
        <f t="shared" si="121"/>
        <v>0.61464645366918802</v>
      </c>
      <c r="AS323" s="237">
        <f t="shared" si="122"/>
        <v>0.35993676340465403</v>
      </c>
      <c r="AT323" s="237">
        <f t="shared" si="123"/>
        <v>2.5416782926158003E-2</v>
      </c>
      <c r="AU323" s="237">
        <f t="shared" si="139"/>
        <v>0.98055959563958928</v>
      </c>
      <c r="AV323" s="237">
        <f t="shared" si="139"/>
        <v>1.9440404360410696E-2</v>
      </c>
      <c r="AX323" s="251">
        <f t="shared" si="152"/>
        <v>32099.767278695166</v>
      </c>
      <c r="AY323" s="251">
        <f t="shared" si="152"/>
        <v>19961.852554702386</v>
      </c>
      <c r="AZ323" s="251">
        <f t="shared" si="130"/>
        <v>1404.4595426945834</v>
      </c>
      <c r="BA323" s="251">
        <f t="shared" si="148"/>
        <v>100340.52096898944</v>
      </c>
      <c r="BB323" s="251">
        <f t="shared" si="148"/>
        <v>2002.6849872041719</v>
      </c>
      <c r="BC323" s="251">
        <f t="shared" si="149"/>
        <v>155809.28533228574</v>
      </c>
      <c r="BD323" s="270">
        <f t="shared" si="144"/>
        <v>7.6100191206778574</v>
      </c>
      <c r="BY323" s="252">
        <f t="shared" si="153"/>
        <v>1.5678131264078243</v>
      </c>
      <c r="BZ323" s="252">
        <f t="shared" si="151"/>
        <v>0.97497449719679519</v>
      </c>
      <c r="CA323" s="252">
        <f t="shared" si="151"/>
        <v>6.8596450791303207E-2</v>
      </c>
      <c r="CB323" s="252">
        <f t="shared" si="151"/>
        <v>4.9008201374155238</v>
      </c>
      <c r="CC323" s="252">
        <f t="shared" si="151"/>
        <v>9.7814908866411518E-2</v>
      </c>
    </row>
    <row r="324" spans="1:81">
      <c r="A324" s="11">
        <v>49491</v>
      </c>
      <c r="B324" s="268">
        <v>70</v>
      </c>
      <c r="C324" s="268">
        <v>13</v>
      </c>
      <c r="D324" s="268">
        <f t="shared" si="138"/>
        <v>20</v>
      </c>
      <c r="E324" s="268">
        <v>3</v>
      </c>
      <c r="F324" s="269">
        <v>0.2</v>
      </c>
      <c r="G324" s="269">
        <v>1.32</v>
      </c>
      <c r="H324" s="269"/>
      <c r="I324" s="269">
        <v>5</v>
      </c>
      <c r="J324" s="269"/>
      <c r="K324" s="269"/>
      <c r="L324" s="269"/>
      <c r="M324" s="269">
        <f t="shared" si="135"/>
        <v>1.5</v>
      </c>
      <c r="N324" s="269">
        <v>45</v>
      </c>
      <c r="O324" s="269">
        <f t="shared" si="150"/>
        <v>17.699535849485258</v>
      </c>
      <c r="Q324" s="251">
        <f t="shared" si="124"/>
        <v>176.71953584948523</v>
      </c>
      <c r="R324" s="251">
        <f>'RD Plant List'!N192</f>
        <v>664.33</v>
      </c>
      <c r="S324" s="251">
        <f>SUM(B324:O324)+'RD Plant List'!N192</f>
        <v>841.04953584948521</v>
      </c>
      <c r="T324" s="237">
        <f t="shared" si="145"/>
        <v>0.7898821314121609</v>
      </c>
      <c r="U324" s="251">
        <f t="shared" si="132"/>
        <v>556.04214372921444</v>
      </c>
      <c r="V324" s="271">
        <f t="shared" si="118"/>
        <v>0.66112888721541851</v>
      </c>
      <c r="W324" s="251">
        <f t="shared" si="126"/>
        <v>46.33684531076787</v>
      </c>
      <c r="X324" s="242">
        <f t="shared" si="127"/>
        <v>7.6100191206778591</v>
      </c>
      <c r="Y324" s="273">
        <f t="shared" si="128"/>
        <v>7.6100191206778591</v>
      </c>
      <c r="AB324" s="251">
        <f>SUM('BD Feedstock'!C322,'BD Feedstock'!E322,'BD Feedstock'!G322,'BD Feedstock'!K322,'BD Feedstock'!T322)</f>
        <v>21.812796010427753</v>
      </c>
      <c r="AC324" s="251">
        <f>SUM('BD Feedstock'!D322,'BD Feedstock'!F322,'BD Feedstock'!H322,'BD Feedstock'!I322,'BD Feedstock'!L322,'BD Feedstock'!M322,'BD Feedstock'!N322,'BD Feedstock'!O322,'BD Feedstock'!U322)</f>
        <v>12.773566250859661</v>
      </c>
      <c r="AD324" s="251">
        <f>'BD Feedstock'!J322</f>
        <v>0.90199999999999991</v>
      </c>
      <c r="AE324" s="251">
        <f>SUM('BD Feedstock'!B322,'BD Feedstock'!P322,'BD Feedstock'!Q322,'BD Feedstock'!R322)</f>
        <v>70.93020833333334</v>
      </c>
      <c r="AF324" s="251">
        <f>'BD Feedstock'!S322</f>
        <v>1.40625</v>
      </c>
      <c r="AG324" s="251">
        <f t="shared" si="119"/>
        <v>107.82482059462075</v>
      </c>
      <c r="AK324" s="237">
        <f t="shared" si="134"/>
        <v>0.20229846792359021</v>
      </c>
      <c r="AL324" s="237">
        <f t="shared" si="134"/>
        <v>0.11846591703484753</v>
      </c>
      <c r="AM324" s="237">
        <f t="shared" si="134"/>
        <v>8.3654208282077092E-3</v>
      </c>
      <c r="AN324" s="237">
        <f t="shared" si="134"/>
        <v>0.65782820636449979</v>
      </c>
      <c r="AO324" s="237">
        <f t="shared" si="133"/>
        <v>1.304198784885487E-2</v>
      </c>
      <c r="AP324" s="237">
        <f t="shared" si="120"/>
        <v>1</v>
      </c>
      <c r="AQ324" s="237"/>
      <c r="AR324" s="237">
        <f t="shared" si="121"/>
        <v>0.61464645366918802</v>
      </c>
      <c r="AS324" s="237">
        <f t="shared" si="122"/>
        <v>0.35993676340465403</v>
      </c>
      <c r="AT324" s="237">
        <f t="shared" si="123"/>
        <v>2.5416782926158003E-2</v>
      </c>
      <c r="AU324" s="237">
        <f t="shared" si="139"/>
        <v>0.98055959563958928</v>
      </c>
      <c r="AV324" s="237">
        <f t="shared" si="139"/>
        <v>1.9440404360410696E-2</v>
      </c>
      <c r="AX324" s="251">
        <f t="shared" si="152"/>
        <v>32952.367487283853</v>
      </c>
      <c r="AY324" s="251">
        <f t="shared" si="152"/>
        <v>20492.058256949076</v>
      </c>
      <c r="AZ324" s="251">
        <f t="shared" si="130"/>
        <v>1441.763317786141</v>
      </c>
      <c r="BA324" s="251">
        <f t="shared" si="148"/>
        <v>103005.66020085043</v>
      </c>
      <c r="BB324" s="251">
        <f t="shared" si="148"/>
        <v>2055.8781964571554</v>
      </c>
      <c r="BC324" s="251">
        <f t="shared" si="149"/>
        <v>159947.72745932668</v>
      </c>
      <c r="BD324" s="270">
        <f t="shared" si="144"/>
        <v>7.6100191206778582</v>
      </c>
      <c r="BY324" s="252">
        <f t="shared" si="153"/>
        <v>1.5678131264078241</v>
      </c>
      <c r="BZ324" s="252">
        <f t="shared" si="151"/>
        <v>0.97497449719679541</v>
      </c>
      <c r="CA324" s="252">
        <f t="shared" si="151"/>
        <v>6.8596450791303221E-2</v>
      </c>
      <c r="CB324" s="252">
        <f t="shared" si="151"/>
        <v>4.9008201374155238</v>
      </c>
      <c r="CC324" s="252">
        <f t="shared" si="151"/>
        <v>9.7814908866411518E-2</v>
      </c>
    </row>
    <row r="325" spans="1:81">
      <c r="A325" s="11">
        <v>49522</v>
      </c>
      <c r="B325" s="268">
        <v>70</v>
      </c>
      <c r="C325" s="268">
        <v>13</v>
      </c>
      <c r="D325" s="268">
        <f t="shared" si="138"/>
        <v>20</v>
      </c>
      <c r="E325" s="268">
        <v>3</v>
      </c>
      <c r="F325" s="269">
        <v>0.2</v>
      </c>
      <c r="G325" s="269">
        <v>1.32</v>
      </c>
      <c r="H325" s="269"/>
      <c r="I325" s="269">
        <v>5</v>
      </c>
      <c r="J325" s="269"/>
      <c r="K325" s="269"/>
      <c r="L325" s="269"/>
      <c r="M325" s="269">
        <f t="shared" si="135"/>
        <v>1.5</v>
      </c>
      <c r="N325" s="269">
        <v>45</v>
      </c>
      <c r="O325" s="269">
        <f t="shared" si="150"/>
        <v>17.699535849485258</v>
      </c>
      <c r="Q325" s="251">
        <f t="shared" si="124"/>
        <v>176.71953584948523</v>
      </c>
      <c r="R325" s="251">
        <f>'RD Plant List'!N193</f>
        <v>664.33</v>
      </c>
      <c r="S325" s="251">
        <f>SUM(B325:O325)+'RD Plant List'!N193</f>
        <v>841.04953584948521</v>
      </c>
      <c r="T325" s="237">
        <f t="shared" si="145"/>
        <v>0.7898821314121609</v>
      </c>
      <c r="U325" s="251">
        <f t="shared" si="132"/>
        <v>524.90730222120567</v>
      </c>
      <c r="V325" s="271">
        <f t="shared" si="118"/>
        <v>0.62410985304335675</v>
      </c>
      <c r="W325" s="251">
        <f t="shared" si="126"/>
        <v>43.742275185100475</v>
      </c>
      <c r="X325" s="242">
        <f t="shared" si="127"/>
        <v>7.6100191206778574</v>
      </c>
      <c r="Y325" s="273">
        <f t="shared" si="128"/>
        <v>7.6100191206778574</v>
      </c>
      <c r="AB325" s="251">
        <f>SUM('BD Feedstock'!C323,'BD Feedstock'!E323,'BD Feedstock'!G323,'BD Feedstock'!K323,'BD Feedstock'!T323)</f>
        <v>21.812796010427753</v>
      </c>
      <c r="AC325" s="251">
        <f>SUM('BD Feedstock'!D323,'BD Feedstock'!F323,'BD Feedstock'!H323,'BD Feedstock'!I323,'BD Feedstock'!L323,'BD Feedstock'!M323,'BD Feedstock'!N323,'BD Feedstock'!O323,'BD Feedstock'!U323)</f>
        <v>12.773566250859661</v>
      </c>
      <c r="AD325" s="251">
        <f>'BD Feedstock'!J323</f>
        <v>0.90199999999999991</v>
      </c>
      <c r="AE325" s="251">
        <f>SUM('BD Feedstock'!B323,'BD Feedstock'!P323,'BD Feedstock'!Q323,'BD Feedstock'!R323)</f>
        <v>70.93020833333334</v>
      </c>
      <c r="AF325" s="251">
        <f>'BD Feedstock'!S323</f>
        <v>1.40625</v>
      </c>
      <c r="AG325" s="251">
        <f t="shared" si="119"/>
        <v>107.82482059462075</v>
      </c>
      <c r="AK325" s="237">
        <f t="shared" si="134"/>
        <v>0.20229846792359021</v>
      </c>
      <c r="AL325" s="237">
        <f t="shared" si="134"/>
        <v>0.11846591703484753</v>
      </c>
      <c r="AM325" s="237">
        <f t="shared" si="134"/>
        <v>8.3654208282077092E-3</v>
      </c>
      <c r="AN325" s="237">
        <f t="shared" si="134"/>
        <v>0.65782820636449979</v>
      </c>
      <c r="AO325" s="237">
        <f t="shared" si="133"/>
        <v>1.304198784885487E-2</v>
      </c>
      <c r="AP325" s="237">
        <f t="shared" si="120"/>
        <v>1</v>
      </c>
      <c r="AQ325" s="237"/>
      <c r="AR325" s="237">
        <f t="shared" si="121"/>
        <v>0.61464645366918802</v>
      </c>
      <c r="AS325" s="237">
        <f t="shared" si="122"/>
        <v>0.35993676340465403</v>
      </c>
      <c r="AT325" s="237">
        <f t="shared" si="123"/>
        <v>2.5416782926158003E-2</v>
      </c>
      <c r="AU325" s="237">
        <f t="shared" si="139"/>
        <v>0.98055959563958928</v>
      </c>
      <c r="AV325" s="237">
        <f t="shared" si="139"/>
        <v>1.9440404360410696E-2</v>
      </c>
      <c r="AX325" s="251">
        <f t="shared" si="152"/>
        <v>31107.243425015153</v>
      </c>
      <c r="AY325" s="251">
        <f t="shared" si="152"/>
        <v>19344.63266484558</v>
      </c>
      <c r="AZ325" s="251">
        <f t="shared" si="130"/>
        <v>1361.0336952250266</v>
      </c>
      <c r="BA325" s="251">
        <f t="shared" si="148"/>
        <v>97237.995032033505</v>
      </c>
      <c r="BB325" s="251">
        <f t="shared" si="148"/>
        <v>1940.7620267057562</v>
      </c>
      <c r="BC325" s="251">
        <f t="shared" si="149"/>
        <v>150991.66684382502</v>
      </c>
      <c r="BD325" s="270">
        <f t="shared" si="144"/>
        <v>7.6100191206778565</v>
      </c>
      <c r="BY325" s="252">
        <f t="shared" si="153"/>
        <v>1.5678131264078241</v>
      </c>
      <c r="BZ325" s="252">
        <f t="shared" si="151"/>
        <v>0.97497449719679519</v>
      </c>
      <c r="CA325" s="252">
        <f t="shared" si="151"/>
        <v>6.8596450791303221E-2</v>
      </c>
      <c r="CB325" s="252">
        <f t="shared" si="151"/>
        <v>4.9008201374155238</v>
      </c>
      <c r="CC325" s="252">
        <f t="shared" si="151"/>
        <v>9.7814908866411518E-2</v>
      </c>
    </row>
    <row r="326" spans="1:81">
      <c r="A326" s="11">
        <v>49553</v>
      </c>
      <c r="B326" s="268">
        <v>70</v>
      </c>
      <c r="C326" s="268">
        <v>13</v>
      </c>
      <c r="D326" s="268">
        <f t="shared" si="138"/>
        <v>20</v>
      </c>
      <c r="E326" s="268">
        <v>3</v>
      </c>
      <c r="F326" s="269">
        <v>0.2</v>
      </c>
      <c r="G326" s="269">
        <v>1.32</v>
      </c>
      <c r="H326" s="269"/>
      <c r="I326" s="269">
        <v>5</v>
      </c>
      <c r="J326" s="269"/>
      <c r="K326" s="269"/>
      <c r="L326" s="269"/>
      <c r="M326" s="269">
        <f t="shared" si="135"/>
        <v>1.5</v>
      </c>
      <c r="N326" s="269">
        <v>45</v>
      </c>
      <c r="O326" s="269">
        <f t="shared" si="150"/>
        <v>17.699535849485258</v>
      </c>
      <c r="Q326" s="251">
        <f t="shared" si="124"/>
        <v>176.71953584948523</v>
      </c>
      <c r="R326" s="251">
        <f>'RD Plant List'!N194</f>
        <v>664.33</v>
      </c>
      <c r="S326" s="251">
        <f>SUM(B326:O326)+'RD Plant List'!N194</f>
        <v>841.04953584948521</v>
      </c>
      <c r="T326" s="237">
        <f t="shared" si="145"/>
        <v>0.7898821314121609</v>
      </c>
      <c r="U326" s="251">
        <f t="shared" si="132"/>
        <v>569.09125067034836</v>
      </c>
      <c r="V326" s="271">
        <f t="shared" si="118"/>
        <v>0.67664415282691903</v>
      </c>
      <c r="W326" s="251">
        <f t="shared" si="126"/>
        <v>47.424270889195697</v>
      </c>
      <c r="X326" s="242">
        <f t="shared" si="127"/>
        <v>7.6100191206778582</v>
      </c>
      <c r="Y326" s="273">
        <f t="shared" si="128"/>
        <v>7.6100191206778582</v>
      </c>
      <c r="AB326" s="251">
        <f>SUM('BD Feedstock'!C324,'BD Feedstock'!E324,'BD Feedstock'!G324,'BD Feedstock'!K324,'BD Feedstock'!T324)</f>
        <v>21.812796010427753</v>
      </c>
      <c r="AC326" s="251">
        <f>SUM('BD Feedstock'!D324,'BD Feedstock'!F324,'BD Feedstock'!H324,'BD Feedstock'!I324,'BD Feedstock'!L324,'BD Feedstock'!M324,'BD Feedstock'!N324,'BD Feedstock'!O324,'BD Feedstock'!U324)</f>
        <v>12.773566250859661</v>
      </c>
      <c r="AD326" s="251">
        <f>'BD Feedstock'!J324</f>
        <v>0.90199999999999991</v>
      </c>
      <c r="AE326" s="251">
        <f>SUM('BD Feedstock'!B324,'BD Feedstock'!P324,'BD Feedstock'!Q324,'BD Feedstock'!R324)</f>
        <v>70.93020833333334</v>
      </c>
      <c r="AF326" s="251">
        <f>'BD Feedstock'!S324</f>
        <v>1.40625</v>
      </c>
      <c r="AG326" s="251">
        <f t="shared" si="119"/>
        <v>107.82482059462075</v>
      </c>
      <c r="AK326" s="237">
        <f t="shared" si="134"/>
        <v>0.20229846792359021</v>
      </c>
      <c r="AL326" s="237">
        <f t="shared" si="134"/>
        <v>0.11846591703484753</v>
      </c>
      <c r="AM326" s="237">
        <f t="shared" si="134"/>
        <v>8.3654208282077092E-3</v>
      </c>
      <c r="AN326" s="237">
        <f t="shared" si="134"/>
        <v>0.65782820636449979</v>
      </c>
      <c r="AO326" s="237">
        <f t="shared" si="133"/>
        <v>1.304198784885487E-2</v>
      </c>
      <c r="AP326" s="237">
        <f t="shared" si="120"/>
        <v>1</v>
      </c>
      <c r="AQ326" s="237"/>
      <c r="AR326" s="237">
        <f t="shared" si="121"/>
        <v>0.61464645366918802</v>
      </c>
      <c r="AS326" s="237">
        <f t="shared" si="122"/>
        <v>0.35993676340465403</v>
      </c>
      <c r="AT326" s="237">
        <f t="shared" si="123"/>
        <v>2.5416782926158003E-2</v>
      </c>
      <c r="AU326" s="237">
        <f t="shared" si="139"/>
        <v>0.98055959563958928</v>
      </c>
      <c r="AV326" s="237">
        <f t="shared" si="139"/>
        <v>1.9440404360410696E-2</v>
      </c>
      <c r="AX326" s="251">
        <f t="shared" si="152"/>
        <v>33725.68830865404</v>
      </c>
      <c r="AY326" s="251">
        <f t="shared" si="152"/>
        <v>20972.962560075237</v>
      </c>
      <c r="AZ326" s="251">
        <f t="shared" si="130"/>
        <v>1475.598385738755</v>
      </c>
      <c r="BA326" s="251">
        <f t="shared" si="148"/>
        <v>105422.98034584573</v>
      </c>
      <c r="BB326" s="251">
        <f t="shared" si="148"/>
        <v>2104.1252128857877</v>
      </c>
      <c r="BC326" s="251">
        <f t="shared" si="149"/>
        <v>163701.35481319955</v>
      </c>
      <c r="BD326" s="270">
        <f t="shared" si="144"/>
        <v>7.6100191206778582</v>
      </c>
      <c r="BY326" s="252">
        <f t="shared" si="153"/>
        <v>1.5678131264078243</v>
      </c>
      <c r="BZ326" s="252">
        <f t="shared" si="151"/>
        <v>0.9749744971967953</v>
      </c>
      <c r="CA326" s="252">
        <f t="shared" si="151"/>
        <v>6.8596450791303207E-2</v>
      </c>
      <c r="CB326" s="252">
        <f t="shared" si="151"/>
        <v>4.9008201374155247</v>
      </c>
      <c r="CC326" s="252">
        <f t="shared" si="151"/>
        <v>9.7814908866411532E-2</v>
      </c>
    </row>
    <row r="327" spans="1:81">
      <c r="A327" s="11">
        <v>49583</v>
      </c>
      <c r="B327" s="268">
        <v>70</v>
      </c>
      <c r="C327" s="268">
        <v>13</v>
      </c>
      <c r="D327" s="268">
        <f t="shared" si="138"/>
        <v>20</v>
      </c>
      <c r="E327" s="268">
        <v>3</v>
      </c>
      <c r="F327" s="269">
        <v>0.2</v>
      </c>
      <c r="G327" s="269">
        <v>1.32</v>
      </c>
      <c r="H327" s="269"/>
      <c r="I327" s="269">
        <v>5</v>
      </c>
      <c r="J327" s="269"/>
      <c r="K327" s="269"/>
      <c r="L327" s="269"/>
      <c r="M327" s="269">
        <f t="shared" si="135"/>
        <v>1.5</v>
      </c>
      <c r="N327" s="269">
        <v>45</v>
      </c>
      <c r="O327" s="269">
        <f t="shared" si="150"/>
        <v>17.699535849485258</v>
      </c>
      <c r="Q327" s="251">
        <f t="shared" si="124"/>
        <v>176.71953584948523</v>
      </c>
      <c r="R327" s="251">
        <f>'RD Plant List'!N195</f>
        <v>664.33</v>
      </c>
      <c r="S327" s="251">
        <f>SUM(B327:O327)+'RD Plant List'!N195</f>
        <v>841.04953584948521</v>
      </c>
      <c r="T327" s="237">
        <f t="shared" si="145"/>
        <v>0.7898821314121609</v>
      </c>
      <c r="U327" s="251">
        <f t="shared" si="132"/>
        <v>595.82468820866393</v>
      </c>
      <c r="V327" s="271">
        <f t="shared" ref="V327:V390" si="154">AVERAGE(V303,V291,V315,V279,V267)</f>
        <v>0.70842995901170447</v>
      </c>
      <c r="W327" s="251">
        <f t="shared" si="126"/>
        <v>49.652057350721996</v>
      </c>
      <c r="X327" s="242">
        <f t="shared" si="127"/>
        <v>7.6100191206778556</v>
      </c>
      <c r="Y327" s="273">
        <f t="shared" si="128"/>
        <v>7.6100191206778556</v>
      </c>
      <c r="AB327" s="251">
        <f>SUM('BD Feedstock'!C325,'BD Feedstock'!E325,'BD Feedstock'!G325,'BD Feedstock'!K325,'BD Feedstock'!T325)</f>
        <v>21.812796010427753</v>
      </c>
      <c r="AC327" s="251">
        <f>SUM('BD Feedstock'!D325,'BD Feedstock'!F325,'BD Feedstock'!H325,'BD Feedstock'!I325,'BD Feedstock'!L325,'BD Feedstock'!M325,'BD Feedstock'!N325,'BD Feedstock'!O325,'BD Feedstock'!U325)</f>
        <v>12.773566250859661</v>
      </c>
      <c r="AD327" s="251">
        <f>'BD Feedstock'!J325</f>
        <v>0.90199999999999991</v>
      </c>
      <c r="AE327" s="251">
        <f>SUM('BD Feedstock'!B325,'BD Feedstock'!P325,'BD Feedstock'!Q325,'BD Feedstock'!R325)</f>
        <v>70.93020833333334</v>
      </c>
      <c r="AF327" s="251">
        <f>'BD Feedstock'!S325</f>
        <v>1.40625</v>
      </c>
      <c r="AG327" s="251">
        <f t="shared" ref="AG327:AG390" si="155">SUM(AB327:AF327)</f>
        <v>107.82482059462075</v>
      </c>
      <c r="AK327" s="237">
        <f t="shared" si="134"/>
        <v>0.20229846792359021</v>
      </c>
      <c r="AL327" s="237">
        <f t="shared" si="134"/>
        <v>0.11846591703484753</v>
      </c>
      <c r="AM327" s="237">
        <f t="shared" si="134"/>
        <v>8.3654208282077092E-3</v>
      </c>
      <c r="AN327" s="237">
        <f t="shared" si="134"/>
        <v>0.65782820636449979</v>
      </c>
      <c r="AO327" s="237">
        <f t="shared" si="133"/>
        <v>1.304198784885487E-2</v>
      </c>
      <c r="AP327" s="237">
        <f t="shared" ref="AP327:AP390" si="156">SUM(AK327:AO327)</f>
        <v>1</v>
      </c>
      <c r="AQ327" s="237"/>
      <c r="AR327" s="237">
        <f t="shared" ref="AR327:AR390" si="157">AB327/SUM($AB327:$AD327)</f>
        <v>0.61464645366918802</v>
      </c>
      <c r="AS327" s="237">
        <f t="shared" ref="AS327:AS390" si="158">AC327/SUM($AB327:$AD327)</f>
        <v>0.35993676340465403</v>
      </c>
      <c r="AT327" s="237">
        <f t="shared" ref="AT327:AT390" si="159">AD327/SUM($AB327:$AD327)</f>
        <v>2.5416782926158003E-2</v>
      </c>
      <c r="AU327" s="237">
        <f t="shared" si="139"/>
        <v>0.98055959563958928</v>
      </c>
      <c r="AV327" s="237">
        <f t="shared" si="139"/>
        <v>1.9440404360410696E-2</v>
      </c>
      <c r="AX327" s="251">
        <f t="shared" si="152"/>
        <v>35309.974801855395</v>
      </c>
      <c r="AY327" s="251">
        <f t="shared" si="152"/>
        <v>21958.181334626355</v>
      </c>
      <c r="AZ327" s="251">
        <f t="shared" si="130"/>
        <v>1544.9155949390718</v>
      </c>
      <c r="BA327" s="251">
        <f t="shared" si="148"/>
        <v>110375.29450786975</v>
      </c>
      <c r="BB327" s="251">
        <f t="shared" si="148"/>
        <v>2202.967885102621</v>
      </c>
      <c r="BC327" s="251">
        <f t="shared" si="149"/>
        <v>171391.33412439318</v>
      </c>
      <c r="BD327" s="270">
        <f t="shared" si="144"/>
        <v>7.6100191206778565</v>
      </c>
      <c r="BY327" s="252">
        <f t="shared" si="153"/>
        <v>1.5678131264078239</v>
      </c>
      <c r="BZ327" s="252">
        <f t="shared" si="151"/>
        <v>0.97497449719679519</v>
      </c>
      <c r="CA327" s="252">
        <f t="shared" si="151"/>
        <v>6.8596450791303207E-2</v>
      </c>
      <c r="CB327" s="252">
        <f t="shared" si="151"/>
        <v>4.9008201374155229</v>
      </c>
      <c r="CC327" s="252">
        <f t="shared" si="151"/>
        <v>9.7814908866411518E-2</v>
      </c>
    </row>
    <row r="328" spans="1:81">
      <c r="A328" s="11">
        <v>49614</v>
      </c>
      <c r="B328" s="268">
        <v>70</v>
      </c>
      <c r="C328" s="268">
        <v>13</v>
      </c>
      <c r="D328" s="268">
        <f t="shared" si="138"/>
        <v>20</v>
      </c>
      <c r="E328" s="268">
        <v>3</v>
      </c>
      <c r="F328" s="269">
        <v>0.2</v>
      </c>
      <c r="G328" s="269">
        <v>1.32</v>
      </c>
      <c r="H328" s="269"/>
      <c r="I328" s="269">
        <v>5</v>
      </c>
      <c r="J328" s="269"/>
      <c r="K328" s="269"/>
      <c r="L328" s="269"/>
      <c r="M328" s="269">
        <f t="shared" si="135"/>
        <v>1.5</v>
      </c>
      <c r="N328" s="269">
        <v>45</v>
      </c>
      <c r="O328" s="269">
        <f t="shared" si="150"/>
        <v>17.699535849485258</v>
      </c>
      <c r="Q328" s="251">
        <f t="shared" ref="Q328:Q391" si="160">SUM(B328:O328)</f>
        <v>176.71953584948523</v>
      </c>
      <c r="R328" s="251">
        <f>'RD Plant List'!N196</f>
        <v>664.33</v>
      </c>
      <c r="S328" s="251">
        <f>SUM(B328:O328)+'RD Plant List'!N196</f>
        <v>841.04953584948521</v>
      </c>
      <c r="T328" s="237">
        <f t="shared" si="145"/>
        <v>0.7898821314121609</v>
      </c>
      <c r="U328" s="251">
        <f t="shared" si="132"/>
        <v>640.92888064659098</v>
      </c>
      <c r="V328" s="271">
        <f t="shared" si="154"/>
        <v>0.76205842025610726</v>
      </c>
      <c r="W328" s="251">
        <f t="shared" si="126"/>
        <v>53.410740053882584</v>
      </c>
      <c r="X328" s="242">
        <f t="shared" si="127"/>
        <v>7.6100191206778582</v>
      </c>
      <c r="Y328" s="273">
        <f t="shared" si="128"/>
        <v>7.6100191206778582</v>
      </c>
      <c r="AB328" s="251">
        <f>SUM('BD Feedstock'!C326,'BD Feedstock'!E326,'BD Feedstock'!G326,'BD Feedstock'!K326,'BD Feedstock'!T326)</f>
        <v>21.812796010427753</v>
      </c>
      <c r="AC328" s="251">
        <f>SUM('BD Feedstock'!D326,'BD Feedstock'!F326,'BD Feedstock'!H326,'BD Feedstock'!I326,'BD Feedstock'!L326,'BD Feedstock'!M326,'BD Feedstock'!N326,'BD Feedstock'!O326,'BD Feedstock'!U326)</f>
        <v>12.773566250859661</v>
      </c>
      <c r="AD328" s="251">
        <f>'BD Feedstock'!J326</f>
        <v>0.90199999999999991</v>
      </c>
      <c r="AE328" s="251">
        <f>SUM('BD Feedstock'!B326,'BD Feedstock'!P326,'BD Feedstock'!Q326,'BD Feedstock'!R326)</f>
        <v>70.93020833333334</v>
      </c>
      <c r="AF328" s="251">
        <f>'BD Feedstock'!S326</f>
        <v>1.40625</v>
      </c>
      <c r="AG328" s="251">
        <f t="shared" si="155"/>
        <v>107.82482059462075</v>
      </c>
      <c r="AK328" s="237">
        <f t="shared" si="134"/>
        <v>0.20229846792359021</v>
      </c>
      <c r="AL328" s="237">
        <f t="shared" si="134"/>
        <v>0.11846591703484753</v>
      </c>
      <c r="AM328" s="237">
        <f t="shared" si="134"/>
        <v>8.3654208282077092E-3</v>
      </c>
      <c r="AN328" s="237">
        <f t="shared" si="134"/>
        <v>0.65782820636449979</v>
      </c>
      <c r="AO328" s="237">
        <f t="shared" si="133"/>
        <v>1.304198784885487E-2</v>
      </c>
      <c r="AP328" s="237">
        <f t="shared" si="156"/>
        <v>1</v>
      </c>
      <c r="AQ328" s="237"/>
      <c r="AR328" s="237">
        <f t="shared" si="157"/>
        <v>0.61464645366918802</v>
      </c>
      <c r="AS328" s="237">
        <f t="shared" si="158"/>
        <v>0.35993676340465403</v>
      </c>
      <c r="AT328" s="237">
        <f t="shared" si="159"/>
        <v>2.5416782926158003E-2</v>
      </c>
      <c r="AU328" s="237">
        <f t="shared" si="139"/>
        <v>0.98055959563958928</v>
      </c>
      <c r="AV328" s="237">
        <f t="shared" si="139"/>
        <v>1.9440404360410696E-2</v>
      </c>
      <c r="AX328" s="251">
        <f t="shared" si="152"/>
        <v>37982.955512388638</v>
      </c>
      <c r="AY328" s="251">
        <f t="shared" si="152"/>
        <v>23620.425374029157</v>
      </c>
      <c r="AZ328" s="251">
        <f t="shared" si="130"/>
        <v>1661.8663888109818</v>
      </c>
      <c r="BA328" s="251">
        <f t="shared" si="148"/>
        <v>118730.75312245529</v>
      </c>
      <c r="BB328" s="251">
        <f t="shared" si="148"/>
        <v>2369.7335284044711</v>
      </c>
      <c r="BC328" s="251">
        <f t="shared" si="149"/>
        <v>184365.73392608855</v>
      </c>
      <c r="BD328" s="270">
        <f t="shared" si="144"/>
        <v>7.6100191206778574</v>
      </c>
      <c r="BY328" s="252">
        <f t="shared" si="153"/>
        <v>1.5678131264078243</v>
      </c>
      <c r="BZ328" s="252">
        <f t="shared" si="151"/>
        <v>0.97497449719679519</v>
      </c>
      <c r="CA328" s="252">
        <f t="shared" si="151"/>
        <v>6.8596450791303207E-2</v>
      </c>
      <c r="CB328" s="252">
        <f t="shared" si="151"/>
        <v>4.9008201374155229</v>
      </c>
      <c r="CC328" s="252">
        <f t="shared" si="151"/>
        <v>9.7814908866411546E-2</v>
      </c>
    </row>
    <row r="329" spans="1:81">
      <c r="A329" s="11">
        <v>49644</v>
      </c>
      <c r="B329" s="268">
        <v>70</v>
      </c>
      <c r="C329" s="268">
        <v>13</v>
      </c>
      <c r="D329" s="268">
        <f t="shared" si="138"/>
        <v>20</v>
      </c>
      <c r="E329" s="268">
        <v>3</v>
      </c>
      <c r="F329" s="269">
        <v>0.2</v>
      </c>
      <c r="G329" s="269">
        <v>1.32</v>
      </c>
      <c r="H329" s="269"/>
      <c r="I329" s="269">
        <v>5</v>
      </c>
      <c r="J329" s="269"/>
      <c r="K329" s="269"/>
      <c r="L329" s="269"/>
      <c r="M329" s="269">
        <f t="shared" si="135"/>
        <v>1.5</v>
      </c>
      <c r="N329" s="269">
        <v>45</v>
      </c>
      <c r="O329" s="269">
        <f t="shared" si="150"/>
        <v>17.699535849485258</v>
      </c>
      <c r="Q329" s="251">
        <f t="shared" si="160"/>
        <v>176.71953584948523</v>
      </c>
      <c r="R329" s="251">
        <f>'RD Plant List'!N197</f>
        <v>664.33</v>
      </c>
      <c r="S329" s="251">
        <f>SUM(B329:O329)+'RD Plant List'!N197</f>
        <v>841.04953584948521</v>
      </c>
      <c r="T329" s="237">
        <f t="shared" si="145"/>
        <v>0.7898821314121609</v>
      </c>
      <c r="U329" s="251">
        <f t="shared" si="132"/>
        <v>582.92677415248181</v>
      </c>
      <c r="V329" s="271">
        <f t="shared" si="154"/>
        <v>0.69309446032059019</v>
      </c>
      <c r="W329" s="251">
        <f t="shared" si="126"/>
        <v>48.577231179373484</v>
      </c>
      <c r="X329" s="242">
        <f t="shared" si="127"/>
        <v>7.6100191206778574</v>
      </c>
      <c r="Y329" s="273">
        <f t="shared" si="128"/>
        <v>7.6100191206778574</v>
      </c>
      <c r="AB329" s="251">
        <f>SUM('BD Feedstock'!C327,'BD Feedstock'!E327,'BD Feedstock'!G327,'BD Feedstock'!K327,'BD Feedstock'!T327)</f>
        <v>21.812796010427753</v>
      </c>
      <c r="AC329" s="251">
        <f>SUM('BD Feedstock'!D327,'BD Feedstock'!F327,'BD Feedstock'!H327,'BD Feedstock'!I327,'BD Feedstock'!L327,'BD Feedstock'!M327,'BD Feedstock'!N327,'BD Feedstock'!O327,'BD Feedstock'!U327)</f>
        <v>12.773566250859661</v>
      </c>
      <c r="AD329" s="251">
        <f>'BD Feedstock'!J327</f>
        <v>0.90199999999999991</v>
      </c>
      <c r="AE329" s="251">
        <f>SUM('BD Feedstock'!B327,'BD Feedstock'!P327,'BD Feedstock'!Q327,'BD Feedstock'!R327)</f>
        <v>70.93020833333334</v>
      </c>
      <c r="AF329" s="251">
        <f>'BD Feedstock'!S327</f>
        <v>1.40625</v>
      </c>
      <c r="AG329" s="251">
        <f t="shared" si="155"/>
        <v>107.82482059462075</v>
      </c>
      <c r="AK329" s="237">
        <f t="shared" si="134"/>
        <v>0.20229846792359021</v>
      </c>
      <c r="AL329" s="237">
        <f t="shared" si="134"/>
        <v>0.11846591703484753</v>
      </c>
      <c r="AM329" s="237">
        <f t="shared" si="134"/>
        <v>8.3654208282077092E-3</v>
      </c>
      <c r="AN329" s="237">
        <f t="shared" si="134"/>
        <v>0.65782820636449979</v>
      </c>
      <c r="AO329" s="237">
        <f t="shared" si="133"/>
        <v>1.304198784885487E-2</v>
      </c>
      <c r="AP329" s="237">
        <f t="shared" si="156"/>
        <v>1</v>
      </c>
      <c r="AQ329" s="237"/>
      <c r="AR329" s="237">
        <f t="shared" si="157"/>
        <v>0.61464645366918802</v>
      </c>
      <c r="AS329" s="237">
        <f t="shared" si="158"/>
        <v>0.35993676340465403</v>
      </c>
      <c r="AT329" s="237">
        <f t="shared" si="159"/>
        <v>2.5416782926158003E-2</v>
      </c>
      <c r="AU329" s="237">
        <f t="shared" si="139"/>
        <v>0.98055959563958928</v>
      </c>
      <c r="AV329" s="237">
        <f t="shared" si="139"/>
        <v>1.9440404360410696E-2</v>
      </c>
      <c r="AX329" s="251">
        <f t="shared" si="152"/>
        <v>34545.614027061871</v>
      </c>
      <c r="AY329" s="251">
        <f t="shared" si="152"/>
        <v>21482.849007368226</v>
      </c>
      <c r="AZ329" s="251">
        <f t="shared" si="130"/>
        <v>1511.47255546468</v>
      </c>
      <c r="BA329" s="251">
        <f t="shared" si="148"/>
        <v>107985.9825329525</v>
      </c>
      <c r="BB329" s="251">
        <f t="shared" si="148"/>
        <v>2155.2798805387147</v>
      </c>
      <c r="BC329" s="251">
        <f t="shared" si="149"/>
        <v>167681.198003386</v>
      </c>
      <c r="BD329" s="270">
        <f t="shared" si="144"/>
        <v>7.6100191206778574</v>
      </c>
      <c r="BY329" s="252">
        <f t="shared" si="153"/>
        <v>1.5678131264078241</v>
      </c>
      <c r="BZ329" s="252">
        <f t="shared" si="151"/>
        <v>0.97497449719679519</v>
      </c>
      <c r="CA329" s="252">
        <f t="shared" si="151"/>
        <v>6.8596450791303207E-2</v>
      </c>
      <c r="CB329" s="252">
        <f t="shared" si="151"/>
        <v>4.9008201374155229</v>
      </c>
      <c r="CC329" s="252">
        <f t="shared" si="151"/>
        <v>9.7814908866411518E-2</v>
      </c>
    </row>
    <row r="330" spans="1:81">
      <c r="A330" s="11">
        <v>49675</v>
      </c>
      <c r="B330" s="268">
        <v>70</v>
      </c>
      <c r="C330" s="268">
        <v>13</v>
      </c>
      <c r="D330" s="268">
        <f t="shared" si="138"/>
        <v>20</v>
      </c>
      <c r="E330" s="268">
        <v>3</v>
      </c>
      <c r="F330" s="269">
        <v>0.2</v>
      </c>
      <c r="G330" s="269">
        <v>1.32</v>
      </c>
      <c r="H330" s="269"/>
      <c r="I330" s="269">
        <v>5</v>
      </c>
      <c r="J330" s="269"/>
      <c r="K330" s="269"/>
      <c r="L330" s="269"/>
      <c r="M330" s="269">
        <f t="shared" si="135"/>
        <v>1.5</v>
      </c>
      <c r="N330" s="269">
        <v>45</v>
      </c>
      <c r="O330" s="269">
        <f t="shared" si="150"/>
        <v>17.699535849485258</v>
      </c>
      <c r="Q330" s="251">
        <f t="shared" si="160"/>
        <v>176.71953584948523</v>
      </c>
      <c r="R330" s="251">
        <f>'RD Plant List'!N198</f>
        <v>664.33</v>
      </c>
      <c r="S330" s="251">
        <f>SUM(B330:O330)+'RD Plant List'!N198</f>
        <v>841.04953584948521</v>
      </c>
      <c r="T330" s="237">
        <f t="shared" si="145"/>
        <v>0.7898821314121609</v>
      </c>
      <c r="U330" s="251">
        <f t="shared" si="132"/>
        <v>477.54110730435139</v>
      </c>
      <c r="V330" s="271">
        <f t="shared" si="154"/>
        <v>0.56779189209351455</v>
      </c>
      <c r="W330" s="251">
        <f t="shared" si="126"/>
        <v>39.795092275362613</v>
      </c>
      <c r="X330" s="242">
        <f t="shared" si="127"/>
        <v>7.6100191206778591</v>
      </c>
      <c r="Y330" s="273">
        <f t="shared" si="128"/>
        <v>7.6100191206778591</v>
      </c>
      <c r="AB330" s="251">
        <f>SUM('BD Feedstock'!C328,'BD Feedstock'!E328,'BD Feedstock'!G328,'BD Feedstock'!K328,'BD Feedstock'!T328)</f>
        <v>21.812796010427753</v>
      </c>
      <c r="AC330" s="251">
        <f>SUM('BD Feedstock'!D328,'BD Feedstock'!F328,'BD Feedstock'!H328,'BD Feedstock'!I328,'BD Feedstock'!L328,'BD Feedstock'!M328,'BD Feedstock'!N328,'BD Feedstock'!O328,'BD Feedstock'!U328)</f>
        <v>12.773566250859661</v>
      </c>
      <c r="AD330" s="251">
        <f>'BD Feedstock'!J328</f>
        <v>0.90199999999999991</v>
      </c>
      <c r="AE330" s="251">
        <f>SUM('BD Feedstock'!B328,'BD Feedstock'!P328,'BD Feedstock'!Q328,'BD Feedstock'!R328)</f>
        <v>70.93020833333334</v>
      </c>
      <c r="AF330" s="251">
        <f>'BD Feedstock'!S328</f>
        <v>1.40625</v>
      </c>
      <c r="AG330" s="251">
        <f t="shared" si="155"/>
        <v>107.82482059462075</v>
      </c>
      <c r="AK330" s="237">
        <f t="shared" si="134"/>
        <v>0.20229846792359021</v>
      </c>
      <c r="AL330" s="237">
        <f t="shared" si="134"/>
        <v>0.11846591703484753</v>
      </c>
      <c r="AM330" s="237">
        <f t="shared" si="134"/>
        <v>8.3654208282077092E-3</v>
      </c>
      <c r="AN330" s="237">
        <f t="shared" si="134"/>
        <v>0.65782820636449979</v>
      </c>
      <c r="AO330" s="237">
        <f t="shared" si="133"/>
        <v>1.304198784885487E-2</v>
      </c>
      <c r="AP330" s="237">
        <f t="shared" si="156"/>
        <v>1</v>
      </c>
      <c r="AQ330" s="237"/>
      <c r="AR330" s="237">
        <f t="shared" si="157"/>
        <v>0.61464645366918802</v>
      </c>
      <c r="AS330" s="237">
        <f t="shared" si="158"/>
        <v>0.35993676340465403</v>
      </c>
      <c r="AT330" s="237">
        <f t="shared" si="159"/>
        <v>2.5416782926158003E-2</v>
      </c>
      <c r="AU330" s="237">
        <f t="shared" si="139"/>
        <v>0.98055959563958928</v>
      </c>
      <c r="AV330" s="237">
        <f t="shared" si="139"/>
        <v>1.9440404360410696E-2</v>
      </c>
      <c r="AX330" s="251">
        <f t="shared" si="152"/>
        <v>28300.211118243453</v>
      </c>
      <c r="AY330" s="251">
        <f t="shared" si="152"/>
        <v>17599.026083415542</v>
      </c>
      <c r="AZ330" s="251">
        <f t="shared" si="130"/>
        <v>1238.2177484404504</v>
      </c>
      <c r="BA330" s="251">
        <f t="shared" si="148"/>
        <v>88463.505123965049</v>
      </c>
      <c r="BB330" s="251">
        <f t="shared" si="148"/>
        <v>1765.6329857204689</v>
      </c>
      <c r="BC330" s="251">
        <f t="shared" si="149"/>
        <v>137366.59305978497</v>
      </c>
      <c r="BD330" s="270">
        <f t="shared" si="144"/>
        <v>7.6100191206778591</v>
      </c>
      <c r="BY330" s="252">
        <f t="shared" si="153"/>
        <v>1.5678131264078243</v>
      </c>
      <c r="BZ330" s="252">
        <f t="shared" si="151"/>
        <v>0.97497449719679541</v>
      </c>
      <c r="CA330" s="252">
        <f t="shared" si="151"/>
        <v>6.8596450791303221E-2</v>
      </c>
      <c r="CB330" s="252">
        <f t="shared" si="151"/>
        <v>4.9008201374155238</v>
      </c>
      <c r="CC330" s="252">
        <f t="shared" si="151"/>
        <v>9.7814908866411532E-2</v>
      </c>
    </row>
    <row r="331" spans="1:81">
      <c r="A331" s="11">
        <v>49706</v>
      </c>
      <c r="B331" s="268">
        <v>70</v>
      </c>
      <c r="C331" s="268">
        <v>13</v>
      </c>
      <c r="D331" s="268">
        <f t="shared" si="138"/>
        <v>20</v>
      </c>
      <c r="E331" s="268">
        <v>3</v>
      </c>
      <c r="F331" s="269">
        <v>0.2</v>
      </c>
      <c r="G331" s="269">
        <v>1.32</v>
      </c>
      <c r="H331" s="269"/>
      <c r="I331" s="269">
        <v>5</v>
      </c>
      <c r="J331" s="269"/>
      <c r="K331" s="269"/>
      <c r="L331" s="269"/>
      <c r="M331" s="269">
        <f t="shared" si="135"/>
        <v>1.5</v>
      </c>
      <c r="N331" s="269">
        <v>45</v>
      </c>
      <c r="O331" s="269">
        <f t="shared" si="150"/>
        <v>17.699535849485258</v>
      </c>
      <c r="Q331" s="251">
        <f t="shared" si="160"/>
        <v>176.71953584948523</v>
      </c>
      <c r="R331" s="251">
        <f>'RD Plant List'!N199</f>
        <v>664.33</v>
      </c>
      <c r="S331" s="251">
        <f>SUM(B331:O331)+'RD Plant List'!N199</f>
        <v>841.04953584948521</v>
      </c>
      <c r="T331" s="237">
        <f t="shared" si="145"/>
        <v>0.7898821314121609</v>
      </c>
      <c r="U331" s="251">
        <f t="shared" si="132"/>
        <v>441.49975707222876</v>
      </c>
      <c r="V331" s="271">
        <f t="shared" si="154"/>
        <v>0.52493906512450639</v>
      </c>
      <c r="W331" s="251">
        <f t="shared" ref="W331:W394" si="161">U331/12</f>
        <v>36.79164642268573</v>
      </c>
      <c r="X331" s="242">
        <f t="shared" ref="X331:X394" si="162">(BC331*2204.622)/(W331*1000000)</f>
        <v>7.6100191206778582</v>
      </c>
      <c r="Y331" s="273">
        <f t="shared" ref="Y331:Y394" si="163">X331-BP331</f>
        <v>7.6100191206778582</v>
      </c>
      <c r="AB331" s="251">
        <f>SUM('BD Feedstock'!C329,'BD Feedstock'!E329,'BD Feedstock'!G329,'BD Feedstock'!K329,'BD Feedstock'!T329)</f>
        <v>21.812796010427753</v>
      </c>
      <c r="AC331" s="251">
        <f>SUM('BD Feedstock'!D329,'BD Feedstock'!F329,'BD Feedstock'!H329,'BD Feedstock'!I329,'BD Feedstock'!L329,'BD Feedstock'!M329,'BD Feedstock'!N329,'BD Feedstock'!O329,'BD Feedstock'!U329)</f>
        <v>12.773566250859661</v>
      </c>
      <c r="AD331" s="251">
        <f>'BD Feedstock'!J329</f>
        <v>0.90199999999999991</v>
      </c>
      <c r="AE331" s="251">
        <f>SUM('BD Feedstock'!B329,'BD Feedstock'!P329,'BD Feedstock'!Q329,'BD Feedstock'!R329)</f>
        <v>70.93020833333334</v>
      </c>
      <c r="AF331" s="251">
        <f>'BD Feedstock'!S329</f>
        <v>1.40625</v>
      </c>
      <c r="AG331" s="251">
        <f t="shared" si="155"/>
        <v>107.82482059462075</v>
      </c>
      <c r="AK331" s="237">
        <f t="shared" si="134"/>
        <v>0.20229846792359021</v>
      </c>
      <c r="AL331" s="237">
        <f t="shared" si="134"/>
        <v>0.11846591703484753</v>
      </c>
      <c r="AM331" s="237">
        <f t="shared" si="134"/>
        <v>8.3654208282077092E-3</v>
      </c>
      <c r="AN331" s="237">
        <f t="shared" si="134"/>
        <v>0.65782820636449979</v>
      </c>
      <c r="AO331" s="237">
        <f t="shared" si="133"/>
        <v>1.304198784885487E-2</v>
      </c>
      <c r="AP331" s="237">
        <f t="shared" si="156"/>
        <v>1</v>
      </c>
      <c r="AQ331" s="237"/>
      <c r="AR331" s="237">
        <f t="shared" si="157"/>
        <v>0.61464645366918802</v>
      </c>
      <c r="AS331" s="237">
        <f t="shared" si="158"/>
        <v>0.35993676340465403</v>
      </c>
      <c r="AT331" s="237">
        <f t="shared" si="159"/>
        <v>2.5416782926158003E-2</v>
      </c>
      <c r="AU331" s="237">
        <f t="shared" si="139"/>
        <v>0.98055959563958928</v>
      </c>
      <c r="AV331" s="237">
        <f t="shared" si="139"/>
        <v>1.9440404360410696E-2</v>
      </c>
      <c r="AX331" s="251">
        <f t="shared" si="152"/>
        <v>26164.315789120385</v>
      </c>
      <c r="AY331" s="251">
        <f t="shared" si="152"/>
        <v>16270.778832834061</v>
      </c>
      <c r="AZ331" s="251">
        <f t="shared" si="130"/>
        <v>1144.7660249080291</v>
      </c>
      <c r="BA331" s="251">
        <f t="shared" si="148"/>
        <v>81786.919334457343</v>
      </c>
      <c r="BB331" s="251">
        <f t="shared" si="148"/>
        <v>1632.3757732074887</v>
      </c>
      <c r="BC331" s="251">
        <f t="shared" si="149"/>
        <v>126999.15575452731</v>
      </c>
      <c r="BD331" s="270">
        <f t="shared" si="144"/>
        <v>7.6100191206778582</v>
      </c>
      <c r="BY331" s="252">
        <f t="shared" si="153"/>
        <v>1.5678131264078243</v>
      </c>
      <c r="BZ331" s="252">
        <f t="shared" si="151"/>
        <v>0.97497449719679541</v>
      </c>
      <c r="CA331" s="252">
        <f t="shared" si="151"/>
        <v>6.8596450791303221E-2</v>
      </c>
      <c r="CB331" s="252">
        <f t="shared" si="151"/>
        <v>4.9008201374155229</v>
      </c>
      <c r="CC331" s="252">
        <f t="shared" si="151"/>
        <v>9.7814908866411518E-2</v>
      </c>
    </row>
    <row r="332" spans="1:81">
      <c r="A332" s="11">
        <v>49735</v>
      </c>
      <c r="B332" s="268">
        <v>70</v>
      </c>
      <c r="C332" s="268">
        <v>13</v>
      </c>
      <c r="D332" s="268">
        <f t="shared" si="138"/>
        <v>20</v>
      </c>
      <c r="E332" s="268">
        <v>3</v>
      </c>
      <c r="F332" s="269">
        <v>0.2</v>
      </c>
      <c r="G332" s="269">
        <v>1.32</v>
      </c>
      <c r="H332" s="269"/>
      <c r="I332" s="269">
        <v>5</v>
      </c>
      <c r="J332" s="269"/>
      <c r="K332" s="269"/>
      <c r="L332" s="269"/>
      <c r="M332" s="269">
        <f t="shared" si="135"/>
        <v>1.5</v>
      </c>
      <c r="N332" s="269">
        <v>45</v>
      </c>
      <c r="O332" s="269">
        <f t="shared" si="150"/>
        <v>17.699535849485258</v>
      </c>
      <c r="Q332" s="251">
        <f t="shared" si="160"/>
        <v>176.71953584948523</v>
      </c>
      <c r="R332" s="251">
        <f>'RD Plant List'!N200</f>
        <v>664.33</v>
      </c>
      <c r="S332" s="251">
        <f>SUM(B332:O332)+'RD Plant List'!N200</f>
        <v>841.04953584948521</v>
      </c>
      <c r="T332" s="237">
        <f t="shared" si="145"/>
        <v>0.7898821314121609</v>
      </c>
      <c r="U332" s="251">
        <f t="shared" si="132"/>
        <v>490.93543933789744</v>
      </c>
      <c r="V332" s="271">
        <f t="shared" si="154"/>
        <v>0.58371762709795438</v>
      </c>
      <c r="W332" s="251">
        <f t="shared" si="161"/>
        <v>40.911286611491455</v>
      </c>
      <c r="X332" s="242">
        <f t="shared" si="162"/>
        <v>7.6100191206778591</v>
      </c>
      <c r="Y332" s="273">
        <f t="shared" si="163"/>
        <v>7.6100191206778591</v>
      </c>
      <c r="AB332" s="251">
        <f>SUM('BD Feedstock'!C330,'BD Feedstock'!E330,'BD Feedstock'!G330,'BD Feedstock'!K330,'BD Feedstock'!T330)</f>
        <v>21.812796010427753</v>
      </c>
      <c r="AC332" s="251">
        <f>SUM('BD Feedstock'!D330,'BD Feedstock'!F330,'BD Feedstock'!H330,'BD Feedstock'!I330,'BD Feedstock'!L330,'BD Feedstock'!M330,'BD Feedstock'!N330,'BD Feedstock'!O330,'BD Feedstock'!U330)</f>
        <v>12.773566250859661</v>
      </c>
      <c r="AD332" s="251">
        <f>'BD Feedstock'!J330</f>
        <v>0.90199999999999991</v>
      </c>
      <c r="AE332" s="251">
        <f>SUM('BD Feedstock'!B330,'BD Feedstock'!P330,'BD Feedstock'!Q330,'BD Feedstock'!R330)</f>
        <v>70.93020833333334</v>
      </c>
      <c r="AF332" s="251">
        <f>'BD Feedstock'!S330</f>
        <v>1.40625</v>
      </c>
      <c r="AG332" s="251">
        <f t="shared" si="155"/>
        <v>107.82482059462075</v>
      </c>
      <c r="AK332" s="237">
        <f t="shared" si="134"/>
        <v>0.20229846792359021</v>
      </c>
      <c r="AL332" s="237">
        <f t="shared" si="134"/>
        <v>0.11846591703484753</v>
      </c>
      <c r="AM332" s="237">
        <f t="shared" si="134"/>
        <v>8.3654208282077092E-3</v>
      </c>
      <c r="AN332" s="237">
        <f t="shared" si="134"/>
        <v>0.65782820636449979</v>
      </c>
      <c r="AO332" s="237">
        <f t="shared" si="133"/>
        <v>1.304198784885487E-2</v>
      </c>
      <c r="AP332" s="237">
        <f t="shared" si="156"/>
        <v>1</v>
      </c>
      <c r="AQ332" s="237"/>
      <c r="AR332" s="237">
        <f t="shared" si="157"/>
        <v>0.61464645366918802</v>
      </c>
      <c r="AS332" s="237">
        <f t="shared" si="158"/>
        <v>0.35993676340465403</v>
      </c>
      <c r="AT332" s="237">
        <f t="shared" si="159"/>
        <v>2.5416782926158003E-2</v>
      </c>
      <c r="AU332" s="237">
        <f t="shared" si="139"/>
        <v>0.98055959563958928</v>
      </c>
      <c r="AV332" s="237">
        <f t="shared" si="139"/>
        <v>1.9440404360410696E-2</v>
      </c>
      <c r="AX332" s="251">
        <f t="shared" si="152"/>
        <v>29093.99079194936</v>
      </c>
      <c r="AY332" s="251">
        <f t="shared" si="152"/>
        <v>18092.653114099772</v>
      </c>
      <c r="AZ332" s="251">
        <f t="shared" si="130"/>
        <v>1272.9479515554481</v>
      </c>
      <c r="BA332" s="251">
        <f t="shared" si="148"/>
        <v>90944.777505248276</v>
      </c>
      <c r="BB332" s="251">
        <f t="shared" si="148"/>
        <v>1815.1564175222229</v>
      </c>
      <c r="BC332" s="251">
        <f t="shared" si="149"/>
        <v>141219.52578037509</v>
      </c>
      <c r="BD332" s="270">
        <f t="shared" si="144"/>
        <v>7.6100191206778591</v>
      </c>
      <c r="BY332" s="252">
        <f t="shared" si="153"/>
        <v>1.5678131264078241</v>
      </c>
      <c r="BZ332" s="252">
        <f t="shared" si="151"/>
        <v>0.9749744971967953</v>
      </c>
      <c r="CA332" s="252">
        <f t="shared" si="151"/>
        <v>6.8596450791303193E-2</v>
      </c>
      <c r="CB332" s="252">
        <f t="shared" si="151"/>
        <v>4.9008201374155238</v>
      </c>
      <c r="CC332" s="252">
        <f t="shared" si="151"/>
        <v>9.7814908866411504E-2</v>
      </c>
    </row>
    <row r="333" spans="1:81">
      <c r="A333" s="11">
        <v>49766</v>
      </c>
      <c r="B333" s="268">
        <v>70</v>
      </c>
      <c r="C333" s="268">
        <v>13</v>
      </c>
      <c r="D333" s="268">
        <f t="shared" si="138"/>
        <v>20</v>
      </c>
      <c r="E333" s="268">
        <v>3</v>
      </c>
      <c r="F333" s="269">
        <v>0.2</v>
      </c>
      <c r="G333" s="269">
        <v>1.32</v>
      </c>
      <c r="H333" s="269"/>
      <c r="I333" s="269">
        <v>5</v>
      </c>
      <c r="J333" s="269"/>
      <c r="K333" s="269"/>
      <c r="L333" s="269"/>
      <c r="M333" s="269">
        <f t="shared" si="135"/>
        <v>1.5</v>
      </c>
      <c r="N333" s="269">
        <v>45</v>
      </c>
      <c r="O333" s="269">
        <f t="shared" si="150"/>
        <v>17.699535849485258</v>
      </c>
      <c r="Q333" s="251">
        <f t="shared" si="160"/>
        <v>176.71953584948523</v>
      </c>
      <c r="R333" s="251">
        <f>'RD Plant List'!N201</f>
        <v>664.33</v>
      </c>
      <c r="S333" s="251">
        <f>SUM(B333:O333)+'RD Plant List'!N201</f>
        <v>841.04953584948521</v>
      </c>
      <c r="T333" s="237">
        <f t="shared" si="145"/>
        <v>0.7898821314121609</v>
      </c>
      <c r="U333" s="251">
        <f t="shared" si="132"/>
        <v>499.32169207549123</v>
      </c>
      <c r="V333" s="271">
        <f t="shared" si="154"/>
        <v>0.59368880284936054</v>
      </c>
      <c r="W333" s="251">
        <f t="shared" si="161"/>
        <v>41.610141006290938</v>
      </c>
      <c r="X333" s="242">
        <f t="shared" si="162"/>
        <v>7.6100191206778591</v>
      </c>
      <c r="Y333" s="273">
        <f t="shared" si="163"/>
        <v>7.6100191206778591</v>
      </c>
      <c r="AB333" s="251">
        <f>SUM('BD Feedstock'!C331,'BD Feedstock'!E331,'BD Feedstock'!G331,'BD Feedstock'!K331,'BD Feedstock'!T331)</f>
        <v>21.812796010427753</v>
      </c>
      <c r="AC333" s="251">
        <f>SUM('BD Feedstock'!D331,'BD Feedstock'!F331,'BD Feedstock'!H331,'BD Feedstock'!I331,'BD Feedstock'!L331,'BD Feedstock'!M331,'BD Feedstock'!N331,'BD Feedstock'!O331,'BD Feedstock'!U331)</f>
        <v>12.773566250859661</v>
      </c>
      <c r="AD333" s="251">
        <f>'BD Feedstock'!J331</f>
        <v>0.90199999999999991</v>
      </c>
      <c r="AE333" s="251">
        <f>SUM('BD Feedstock'!B331,'BD Feedstock'!P331,'BD Feedstock'!Q331,'BD Feedstock'!R331)</f>
        <v>70.93020833333334</v>
      </c>
      <c r="AF333" s="251">
        <f>'BD Feedstock'!S331</f>
        <v>1.40625</v>
      </c>
      <c r="AG333" s="251">
        <f t="shared" si="155"/>
        <v>107.82482059462075</v>
      </c>
      <c r="AK333" s="237">
        <f t="shared" si="134"/>
        <v>0.20229846792359021</v>
      </c>
      <c r="AL333" s="237">
        <f t="shared" si="134"/>
        <v>0.11846591703484753</v>
      </c>
      <c r="AM333" s="237">
        <f t="shared" si="134"/>
        <v>8.3654208282077092E-3</v>
      </c>
      <c r="AN333" s="237">
        <f t="shared" si="134"/>
        <v>0.65782820636449979</v>
      </c>
      <c r="AO333" s="237">
        <f t="shared" si="133"/>
        <v>1.304198784885487E-2</v>
      </c>
      <c r="AP333" s="237">
        <f t="shared" si="156"/>
        <v>1</v>
      </c>
      <c r="AQ333" s="237"/>
      <c r="AR333" s="237">
        <f t="shared" si="157"/>
        <v>0.61464645366918802</v>
      </c>
      <c r="AS333" s="237">
        <f t="shared" si="158"/>
        <v>0.35993676340465403</v>
      </c>
      <c r="AT333" s="237">
        <f t="shared" si="159"/>
        <v>2.5416782926158003E-2</v>
      </c>
      <c r="AU333" s="237">
        <f t="shared" si="139"/>
        <v>0.98055959563958928</v>
      </c>
      <c r="AV333" s="237">
        <f t="shared" si="139"/>
        <v>1.9440404360410696E-2</v>
      </c>
      <c r="AX333" s="251">
        <f t="shared" si="152"/>
        <v>29590.979887410816</v>
      </c>
      <c r="AY333" s="251">
        <f t="shared" si="152"/>
        <v>18401.715262705471</v>
      </c>
      <c r="AZ333" s="251">
        <f t="shared" si="130"/>
        <v>1294.692691063241</v>
      </c>
      <c r="BA333" s="251">
        <f t="shared" si="148"/>
        <v>92498.313526913058</v>
      </c>
      <c r="BB333" s="251">
        <f t="shared" si="148"/>
        <v>1846.1632653801341</v>
      </c>
      <c r="BC333" s="251">
        <f t="shared" si="149"/>
        <v>143631.86463347272</v>
      </c>
      <c r="BD333" s="270">
        <f t="shared" si="144"/>
        <v>7.6100191206778582</v>
      </c>
      <c r="BY333" s="252">
        <f t="shared" si="153"/>
        <v>1.5678131264078243</v>
      </c>
      <c r="BZ333" s="252">
        <f t="shared" si="151"/>
        <v>0.9749744971967953</v>
      </c>
      <c r="CA333" s="252">
        <f t="shared" si="151"/>
        <v>6.8596450791303221E-2</v>
      </c>
      <c r="CB333" s="252">
        <f t="shared" si="151"/>
        <v>4.9008201374155247</v>
      </c>
      <c r="CC333" s="252">
        <f t="shared" si="151"/>
        <v>9.7814908866411546E-2</v>
      </c>
    </row>
    <row r="334" spans="1:81">
      <c r="A334" s="11">
        <v>49796</v>
      </c>
      <c r="B334" s="268">
        <v>70</v>
      </c>
      <c r="C334" s="268">
        <v>13</v>
      </c>
      <c r="D334" s="268">
        <f t="shared" si="138"/>
        <v>20</v>
      </c>
      <c r="E334" s="268">
        <v>3</v>
      </c>
      <c r="F334" s="269">
        <v>0.2</v>
      </c>
      <c r="G334" s="269">
        <v>1.32</v>
      </c>
      <c r="H334" s="269"/>
      <c r="I334" s="269">
        <v>5</v>
      </c>
      <c r="J334" s="269"/>
      <c r="K334" s="269"/>
      <c r="L334" s="269"/>
      <c r="M334" s="269">
        <f t="shared" si="135"/>
        <v>1.5</v>
      </c>
      <c r="N334" s="269">
        <v>45</v>
      </c>
      <c r="O334" s="269">
        <f t="shared" si="150"/>
        <v>17.699535849485258</v>
      </c>
      <c r="Q334" s="251">
        <f t="shared" si="160"/>
        <v>176.71953584948523</v>
      </c>
      <c r="R334" s="251">
        <f>'RD Plant List'!N202</f>
        <v>664.33</v>
      </c>
      <c r="S334" s="251">
        <f>SUM(B334:O334)+'RD Plant List'!N202</f>
        <v>841.04953584948521</v>
      </c>
      <c r="T334" s="237">
        <f t="shared" si="145"/>
        <v>0.7898821314121609</v>
      </c>
      <c r="U334" s="251">
        <f t="shared" si="132"/>
        <v>484.98902970451275</v>
      </c>
      <c r="V334" s="271">
        <f t="shared" si="154"/>
        <v>0.57664740188538277</v>
      </c>
      <c r="W334" s="251">
        <f t="shared" si="161"/>
        <v>40.41575247537606</v>
      </c>
      <c r="X334" s="242">
        <f t="shared" si="162"/>
        <v>7.6100191206778574</v>
      </c>
      <c r="Y334" s="273">
        <f t="shared" si="163"/>
        <v>7.6100191206778574</v>
      </c>
      <c r="AB334" s="251">
        <f>SUM('BD Feedstock'!C332,'BD Feedstock'!E332,'BD Feedstock'!G332,'BD Feedstock'!K332,'BD Feedstock'!T332)</f>
        <v>21.812796010427753</v>
      </c>
      <c r="AC334" s="251">
        <f>SUM('BD Feedstock'!D332,'BD Feedstock'!F332,'BD Feedstock'!H332,'BD Feedstock'!I332,'BD Feedstock'!L332,'BD Feedstock'!M332,'BD Feedstock'!N332,'BD Feedstock'!O332,'BD Feedstock'!U332)</f>
        <v>12.773566250859661</v>
      </c>
      <c r="AD334" s="251">
        <f>'BD Feedstock'!J332</f>
        <v>0.90199999999999991</v>
      </c>
      <c r="AE334" s="251">
        <f>SUM('BD Feedstock'!B332,'BD Feedstock'!P332,'BD Feedstock'!Q332,'BD Feedstock'!R332)</f>
        <v>70.93020833333334</v>
      </c>
      <c r="AF334" s="251">
        <f>'BD Feedstock'!S332</f>
        <v>1.40625</v>
      </c>
      <c r="AG334" s="251">
        <f t="shared" si="155"/>
        <v>107.82482059462075</v>
      </c>
      <c r="AK334" s="237">
        <f t="shared" si="134"/>
        <v>0.20229846792359021</v>
      </c>
      <c r="AL334" s="237">
        <f t="shared" si="134"/>
        <v>0.11846591703484753</v>
      </c>
      <c r="AM334" s="237">
        <f t="shared" si="134"/>
        <v>8.3654208282077092E-3</v>
      </c>
      <c r="AN334" s="237">
        <f t="shared" si="134"/>
        <v>0.65782820636449979</v>
      </c>
      <c r="AO334" s="237">
        <f t="shared" si="133"/>
        <v>1.304198784885487E-2</v>
      </c>
      <c r="AP334" s="237">
        <f t="shared" si="156"/>
        <v>1</v>
      </c>
      <c r="AQ334" s="237"/>
      <c r="AR334" s="237">
        <f t="shared" si="157"/>
        <v>0.61464645366918802</v>
      </c>
      <c r="AS334" s="237">
        <f t="shared" si="158"/>
        <v>0.35993676340465403</v>
      </c>
      <c r="AT334" s="237">
        <f t="shared" si="159"/>
        <v>2.5416782926158003E-2</v>
      </c>
      <c r="AU334" s="237">
        <f t="shared" si="139"/>
        <v>0.98055959563958928</v>
      </c>
      <c r="AV334" s="237">
        <f t="shared" si="139"/>
        <v>1.9440404360410696E-2</v>
      </c>
      <c r="AX334" s="251">
        <f t="shared" si="152"/>
        <v>28741.592547177752</v>
      </c>
      <c r="AY334" s="251">
        <f t="shared" si="152"/>
        <v>17873.507543928125</v>
      </c>
      <c r="AZ334" s="251">
        <f t="shared" si="152"/>
        <v>1257.5294884432003</v>
      </c>
      <c r="BA334" s="251">
        <f t="shared" si="148"/>
        <v>89843.217386075397</v>
      </c>
      <c r="BB334" s="251">
        <f t="shared" si="148"/>
        <v>1793.1705050327696</v>
      </c>
      <c r="BC334" s="251">
        <f t="shared" si="149"/>
        <v>139509.01747065724</v>
      </c>
      <c r="BD334" s="270">
        <f t="shared" si="144"/>
        <v>7.6100191206778574</v>
      </c>
      <c r="BY334" s="252">
        <f t="shared" si="153"/>
        <v>1.5678131264078241</v>
      </c>
      <c r="BZ334" s="252">
        <f t="shared" si="151"/>
        <v>0.9749744971967953</v>
      </c>
      <c r="CA334" s="252">
        <f t="shared" si="151"/>
        <v>6.8596450791303207E-2</v>
      </c>
      <c r="CB334" s="252">
        <f t="shared" si="151"/>
        <v>4.9008201374155238</v>
      </c>
      <c r="CC334" s="252">
        <f t="shared" si="151"/>
        <v>9.781490886641149E-2</v>
      </c>
    </row>
    <row r="335" spans="1:81">
      <c r="A335" s="11">
        <v>49827</v>
      </c>
      <c r="B335" s="268">
        <v>70</v>
      </c>
      <c r="C335" s="268">
        <v>13</v>
      </c>
      <c r="D335" s="268">
        <f t="shared" si="138"/>
        <v>20</v>
      </c>
      <c r="E335" s="268">
        <v>3</v>
      </c>
      <c r="F335" s="269">
        <v>0.2</v>
      </c>
      <c r="G335" s="269">
        <v>1.32</v>
      </c>
      <c r="H335" s="269"/>
      <c r="I335" s="269">
        <v>5</v>
      </c>
      <c r="J335" s="269"/>
      <c r="K335" s="269"/>
      <c r="L335" s="269"/>
      <c r="M335" s="269">
        <f t="shared" si="135"/>
        <v>1.5</v>
      </c>
      <c r="N335" s="269">
        <v>45</v>
      </c>
      <c r="O335" s="269">
        <f t="shared" si="150"/>
        <v>17.699535849485258</v>
      </c>
      <c r="Q335" s="251">
        <f t="shared" si="160"/>
        <v>176.71953584948523</v>
      </c>
      <c r="R335" s="251">
        <f>'RD Plant List'!N203</f>
        <v>664.33</v>
      </c>
      <c r="S335" s="251">
        <f>SUM(B335:O335)+'RD Plant List'!N203</f>
        <v>841.04953584948521</v>
      </c>
      <c r="T335" s="237">
        <f t="shared" si="145"/>
        <v>0.7898821314121609</v>
      </c>
      <c r="U335" s="251">
        <f t="shared" si="132"/>
        <v>541.42953860687612</v>
      </c>
      <c r="V335" s="271">
        <f t="shared" si="154"/>
        <v>0.64375463694895929</v>
      </c>
      <c r="W335" s="251">
        <f t="shared" si="161"/>
        <v>45.119128217239677</v>
      </c>
      <c r="X335" s="242">
        <f t="shared" si="162"/>
        <v>7.6100191206778574</v>
      </c>
      <c r="Y335" s="273">
        <f t="shared" si="163"/>
        <v>7.6100191206778574</v>
      </c>
      <c r="AB335" s="251">
        <f>SUM('BD Feedstock'!C333,'BD Feedstock'!E333,'BD Feedstock'!G333,'BD Feedstock'!K333,'BD Feedstock'!T333)</f>
        <v>21.812796010427753</v>
      </c>
      <c r="AC335" s="251">
        <f>SUM('BD Feedstock'!D333,'BD Feedstock'!F333,'BD Feedstock'!H333,'BD Feedstock'!I333,'BD Feedstock'!L333,'BD Feedstock'!M333,'BD Feedstock'!N333,'BD Feedstock'!O333,'BD Feedstock'!U333)</f>
        <v>12.773566250859661</v>
      </c>
      <c r="AD335" s="251">
        <f>'BD Feedstock'!J333</f>
        <v>0.90199999999999991</v>
      </c>
      <c r="AE335" s="251">
        <f>SUM('BD Feedstock'!B333,'BD Feedstock'!P333,'BD Feedstock'!Q333,'BD Feedstock'!R333)</f>
        <v>70.93020833333334</v>
      </c>
      <c r="AF335" s="251">
        <f>'BD Feedstock'!S333</f>
        <v>1.40625</v>
      </c>
      <c r="AG335" s="251">
        <f t="shared" si="155"/>
        <v>107.82482059462075</v>
      </c>
      <c r="AK335" s="237">
        <f t="shared" si="134"/>
        <v>0.20229846792359021</v>
      </c>
      <c r="AL335" s="237">
        <f t="shared" si="134"/>
        <v>0.11846591703484753</v>
      </c>
      <c r="AM335" s="237">
        <f t="shared" si="134"/>
        <v>8.3654208282077092E-3</v>
      </c>
      <c r="AN335" s="237">
        <f t="shared" si="134"/>
        <v>0.65782820636449979</v>
      </c>
      <c r="AO335" s="237">
        <f t="shared" si="133"/>
        <v>1.304198784885487E-2</v>
      </c>
      <c r="AP335" s="237">
        <f t="shared" si="156"/>
        <v>1</v>
      </c>
      <c r="AQ335" s="237"/>
      <c r="AR335" s="237">
        <f t="shared" si="157"/>
        <v>0.61464645366918802</v>
      </c>
      <c r="AS335" s="237">
        <f t="shared" si="158"/>
        <v>0.35993676340465403</v>
      </c>
      <c r="AT335" s="237">
        <f t="shared" si="159"/>
        <v>2.5416782926158003E-2</v>
      </c>
      <c r="AU335" s="237">
        <f t="shared" si="139"/>
        <v>0.98055959563958928</v>
      </c>
      <c r="AV335" s="237">
        <f t="shared" si="139"/>
        <v>1.9440404360410696E-2</v>
      </c>
      <c r="AX335" s="251">
        <f t="shared" si="152"/>
        <v>32086.390080052734</v>
      </c>
      <c r="AY335" s="251">
        <f t="shared" si="152"/>
        <v>19953.533688569285</v>
      </c>
      <c r="AZ335" s="251">
        <f t="shared" si="152"/>
        <v>1403.8742507787647</v>
      </c>
      <c r="BA335" s="251">
        <f t="shared" si="148"/>
        <v>100298.70524274964</v>
      </c>
      <c r="BB335" s="251">
        <f t="shared" si="148"/>
        <v>2001.8503919044792</v>
      </c>
      <c r="BC335" s="251">
        <f t="shared" si="149"/>
        <v>155744.3536540549</v>
      </c>
      <c r="BD335" s="270">
        <f t="shared" si="144"/>
        <v>7.6100191206778574</v>
      </c>
      <c r="BY335" s="252">
        <f t="shared" si="153"/>
        <v>1.5678131264078241</v>
      </c>
      <c r="BZ335" s="252">
        <f t="shared" si="151"/>
        <v>0.9749744971967953</v>
      </c>
      <c r="CA335" s="252">
        <f t="shared" si="151"/>
        <v>6.8596450791303207E-2</v>
      </c>
      <c r="CB335" s="252">
        <f t="shared" si="151"/>
        <v>4.9008201374155238</v>
      </c>
      <c r="CC335" s="252">
        <f t="shared" si="151"/>
        <v>9.7814908866411532E-2</v>
      </c>
    </row>
    <row r="336" spans="1:81">
      <c r="A336" s="11">
        <v>49857</v>
      </c>
      <c r="B336" s="268">
        <v>70</v>
      </c>
      <c r="C336" s="268">
        <v>13</v>
      </c>
      <c r="D336" s="268">
        <f t="shared" si="138"/>
        <v>20</v>
      </c>
      <c r="E336" s="268">
        <v>3</v>
      </c>
      <c r="F336" s="269">
        <v>0.2</v>
      </c>
      <c r="G336" s="269">
        <v>1.32</v>
      </c>
      <c r="H336" s="269"/>
      <c r="I336" s="269">
        <v>5</v>
      </c>
      <c r="J336" s="269"/>
      <c r="K336" s="269"/>
      <c r="L336" s="269"/>
      <c r="M336" s="269">
        <f t="shared" si="135"/>
        <v>1.5</v>
      </c>
      <c r="N336" s="269">
        <v>45</v>
      </c>
      <c r="O336" s="269">
        <f t="shared" si="150"/>
        <v>17.699535849485258</v>
      </c>
      <c r="Q336" s="251">
        <f t="shared" si="160"/>
        <v>176.71953584948523</v>
      </c>
      <c r="R336" s="251">
        <f>'RD Plant List'!N204</f>
        <v>664.33</v>
      </c>
      <c r="S336" s="251">
        <f>SUM(B336:O336)+'RD Plant List'!N204</f>
        <v>841.04953584948521</v>
      </c>
      <c r="T336" s="237">
        <f t="shared" si="145"/>
        <v>0.7898821314121609</v>
      </c>
      <c r="U336" s="251">
        <f t="shared" si="132"/>
        <v>555.7584384411856</v>
      </c>
      <c r="V336" s="271">
        <f t="shared" si="154"/>
        <v>0.6607915642921709</v>
      </c>
      <c r="W336" s="251">
        <f t="shared" si="161"/>
        <v>46.313203203432131</v>
      </c>
      <c r="X336" s="242">
        <f t="shared" si="162"/>
        <v>7.6100191206778582</v>
      </c>
      <c r="Y336" s="273">
        <f t="shared" si="163"/>
        <v>7.6100191206778582</v>
      </c>
      <c r="AB336" s="251">
        <f>SUM('BD Feedstock'!C334,'BD Feedstock'!E334,'BD Feedstock'!G334,'BD Feedstock'!K334,'BD Feedstock'!T334)</f>
        <v>21.812796010427753</v>
      </c>
      <c r="AC336" s="251">
        <f>SUM('BD Feedstock'!D334,'BD Feedstock'!F334,'BD Feedstock'!H334,'BD Feedstock'!I334,'BD Feedstock'!L334,'BD Feedstock'!M334,'BD Feedstock'!N334,'BD Feedstock'!O334,'BD Feedstock'!U334)</f>
        <v>12.773566250859661</v>
      </c>
      <c r="AD336" s="251">
        <f>'BD Feedstock'!J334</f>
        <v>0.90199999999999991</v>
      </c>
      <c r="AE336" s="251">
        <f>SUM('BD Feedstock'!B334,'BD Feedstock'!P334,'BD Feedstock'!Q334,'BD Feedstock'!R334)</f>
        <v>70.93020833333334</v>
      </c>
      <c r="AF336" s="251">
        <f>'BD Feedstock'!S334</f>
        <v>1.40625</v>
      </c>
      <c r="AG336" s="251">
        <f t="shared" si="155"/>
        <v>107.82482059462075</v>
      </c>
      <c r="AK336" s="237">
        <f t="shared" si="134"/>
        <v>0.20229846792359021</v>
      </c>
      <c r="AL336" s="237">
        <f t="shared" si="134"/>
        <v>0.11846591703484753</v>
      </c>
      <c r="AM336" s="237">
        <f t="shared" si="134"/>
        <v>8.3654208282077092E-3</v>
      </c>
      <c r="AN336" s="237">
        <f t="shared" si="134"/>
        <v>0.65782820636449979</v>
      </c>
      <c r="AO336" s="237">
        <f t="shared" si="133"/>
        <v>1.304198784885487E-2</v>
      </c>
      <c r="AP336" s="237">
        <f t="shared" si="156"/>
        <v>1</v>
      </c>
      <c r="AQ336" s="237"/>
      <c r="AR336" s="237">
        <f t="shared" si="157"/>
        <v>0.61464645366918802</v>
      </c>
      <c r="AS336" s="237">
        <f t="shared" si="158"/>
        <v>0.35993676340465403</v>
      </c>
      <c r="AT336" s="237">
        <f t="shared" si="159"/>
        <v>2.5416782926158003E-2</v>
      </c>
      <c r="AU336" s="237">
        <f t="shared" si="139"/>
        <v>0.98055959563958928</v>
      </c>
      <c r="AV336" s="237">
        <f t="shared" si="139"/>
        <v>1.9440404360410696E-2</v>
      </c>
      <c r="AX336" s="251">
        <f t="shared" si="152"/>
        <v>32935.554443498157</v>
      </c>
      <c r="AY336" s="251">
        <f t="shared" si="152"/>
        <v>20481.602744978165</v>
      </c>
      <c r="AZ336" s="251">
        <f t="shared" si="152"/>
        <v>1441.0276975063564</v>
      </c>
      <c r="BA336" s="251">
        <f t="shared" si="148"/>
        <v>102953.10438143017</v>
      </c>
      <c r="BB336" s="251">
        <f t="shared" si="148"/>
        <v>2054.8292408654693</v>
      </c>
      <c r="BC336" s="251">
        <f t="shared" si="149"/>
        <v>159866.11850827833</v>
      </c>
      <c r="BD336" s="270">
        <f t="shared" si="144"/>
        <v>7.6100191206778582</v>
      </c>
      <c r="BY336" s="252">
        <f t="shared" si="153"/>
        <v>1.5678131264078243</v>
      </c>
      <c r="BZ336" s="252">
        <f t="shared" si="151"/>
        <v>0.9749744971967953</v>
      </c>
      <c r="CA336" s="252">
        <f t="shared" si="151"/>
        <v>6.8596450791303221E-2</v>
      </c>
      <c r="CB336" s="252">
        <f t="shared" si="151"/>
        <v>4.9008201374155238</v>
      </c>
      <c r="CC336" s="252">
        <f t="shared" si="151"/>
        <v>9.7814908866411532E-2</v>
      </c>
    </row>
    <row r="337" spans="1:81">
      <c r="A337" s="11">
        <v>49888</v>
      </c>
      <c r="B337" s="268">
        <v>70</v>
      </c>
      <c r="C337" s="268">
        <v>13</v>
      </c>
      <c r="D337" s="268">
        <f t="shared" si="138"/>
        <v>20</v>
      </c>
      <c r="E337" s="268">
        <v>3</v>
      </c>
      <c r="F337" s="269">
        <v>0.2</v>
      </c>
      <c r="G337" s="269">
        <v>1.32</v>
      </c>
      <c r="H337" s="269"/>
      <c r="I337" s="269">
        <v>5</v>
      </c>
      <c r="J337" s="269"/>
      <c r="K337" s="269"/>
      <c r="L337" s="269"/>
      <c r="M337" s="269">
        <f t="shared" si="135"/>
        <v>1.5</v>
      </c>
      <c r="N337" s="269">
        <v>45</v>
      </c>
      <c r="O337" s="269">
        <f t="shared" si="150"/>
        <v>17.699535849485258</v>
      </c>
      <c r="Q337" s="251">
        <f t="shared" si="160"/>
        <v>176.71953584948523</v>
      </c>
      <c r="R337" s="251">
        <f>'RD Plant List'!N205</f>
        <v>664.33</v>
      </c>
      <c r="S337" s="251">
        <f>SUM(B337:O337)+'RD Plant List'!N205</f>
        <v>841.04953584948521</v>
      </c>
      <c r="T337" s="237">
        <f t="shared" si="145"/>
        <v>0.7898821314121609</v>
      </c>
      <c r="U337" s="251">
        <f t="shared" si="132"/>
        <v>524.72111504573331</v>
      </c>
      <c r="V337" s="271">
        <f t="shared" si="154"/>
        <v>0.62388847824016602</v>
      </c>
      <c r="W337" s="251">
        <f t="shared" si="161"/>
        <v>43.726759587144443</v>
      </c>
      <c r="X337" s="242">
        <f t="shared" si="162"/>
        <v>7.6100191206778582</v>
      </c>
      <c r="Y337" s="273">
        <f t="shared" si="163"/>
        <v>7.6100191206778582</v>
      </c>
      <c r="AB337" s="251">
        <f>SUM('BD Feedstock'!C335,'BD Feedstock'!E335,'BD Feedstock'!G335,'BD Feedstock'!K335,'BD Feedstock'!T335)</f>
        <v>21.812796010427753</v>
      </c>
      <c r="AC337" s="251">
        <f>SUM('BD Feedstock'!D335,'BD Feedstock'!F335,'BD Feedstock'!H335,'BD Feedstock'!I335,'BD Feedstock'!L335,'BD Feedstock'!M335,'BD Feedstock'!N335,'BD Feedstock'!O335,'BD Feedstock'!U335)</f>
        <v>12.773566250859661</v>
      </c>
      <c r="AD337" s="251">
        <f>'BD Feedstock'!J335</f>
        <v>0.90199999999999991</v>
      </c>
      <c r="AE337" s="251">
        <f>SUM('BD Feedstock'!B335,'BD Feedstock'!P335,'BD Feedstock'!Q335,'BD Feedstock'!R335)</f>
        <v>70.93020833333334</v>
      </c>
      <c r="AF337" s="251">
        <f>'BD Feedstock'!S335</f>
        <v>1.40625</v>
      </c>
      <c r="AG337" s="251">
        <f t="shared" si="155"/>
        <v>107.82482059462075</v>
      </c>
      <c r="AK337" s="237">
        <f t="shared" si="134"/>
        <v>0.20229846792359021</v>
      </c>
      <c r="AL337" s="237">
        <f t="shared" si="134"/>
        <v>0.11846591703484753</v>
      </c>
      <c r="AM337" s="237">
        <f t="shared" si="134"/>
        <v>8.3654208282077092E-3</v>
      </c>
      <c r="AN337" s="237">
        <f t="shared" si="134"/>
        <v>0.65782820636449979</v>
      </c>
      <c r="AO337" s="237">
        <f t="shared" si="133"/>
        <v>1.304198784885487E-2</v>
      </c>
      <c r="AP337" s="237">
        <f t="shared" si="156"/>
        <v>1</v>
      </c>
      <c r="AQ337" s="237"/>
      <c r="AR337" s="237">
        <f t="shared" si="157"/>
        <v>0.61464645366918802</v>
      </c>
      <c r="AS337" s="237">
        <f t="shared" si="158"/>
        <v>0.35993676340465403</v>
      </c>
      <c r="AT337" s="237">
        <f t="shared" si="159"/>
        <v>2.5416782926158003E-2</v>
      </c>
      <c r="AU337" s="237">
        <f t="shared" si="139"/>
        <v>0.98055959563958928</v>
      </c>
      <c r="AV337" s="237">
        <f t="shared" si="139"/>
        <v>1.9440404360410696E-2</v>
      </c>
      <c r="AX337" s="251">
        <f t="shared" si="152"/>
        <v>31096.20953433479</v>
      </c>
      <c r="AY337" s="251">
        <f t="shared" si="152"/>
        <v>19337.771029465053</v>
      </c>
      <c r="AZ337" s="251">
        <f t="shared" si="152"/>
        <v>1360.5509299474922</v>
      </c>
      <c r="BA337" s="251">
        <f t="shared" si="148"/>
        <v>97203.504241817791</v>
      </c>
      <c r="BB337" s="251">
        <f t="shared" si="148"/>
        <v>1940.0736289667886</v>
      </c>
      <c r="BC337" s="251">
        <f t="shared" si="149"/>
        <v>150938.10936453191</v>
      </c>
      <c r="BD337" s="270">
        <f t="shared" si="144"/>
        <v>7.6100191206778582</v>
      </c>
      <c r="BY337" s="252">
        <f t="shared" si="153"/>
        <v>1.5678131264078243</v>
      </c>
      <c r="BZ337" s="252">
        <f t="shared" si="151"/>
        <v>0.97497449719679541</v>
      </c>
      <c r="CA337" s="252">
        <f t="shared" si="151"/>
        <v>6.8596450791303221E-2</v>
      </c>
      <c r="CB337" s="252">
        <f t="shared" si="151"/>
        <v>4.9008201374155238</v>
      </c>
      <c r="CC337" s="252">
        <f t="shared" si="151"/>
        <v>9.7814908866411518E-2</v>
      </c>
    </row>
    <row r="338" spans="1:81">
      <c r="A338" s="11">
        <v>49919</v>
      </c>
      <c r="B338" s="268">
        <v>70</v>
      </c>
      <c r="C338" s="268">
        <v>13</v>
      </c>
      <c r="D338" s="268">
        <f t="shared" si="138"/>
        <v>20</v>
      </c>
      <c r="E338" s="268">
        <v>3</v>
      </c>
      <c r="F338" s="269">
        <v>0.2</v>
      </c>
      <c r="G338" s="269">
        <v>1.32</v>
      </c>
      <c r="H338" s="269"/>
      <c r="I338" s="269">
        <v>5</v>
      </c>
      <c r="J338" s="269"/>
      <c r="K338" s="269"/>
      <c r="L338" s="269"/>
      <c r="M338" s="269">
        <f t="shared" si="135"/>
        <v>1.5</v>
      </c>
      <c r="N338" s="269">
        <v>45</v>
      </c>
      <c r="O338" s="269">
        <f t="shared" si="150"/>
        <v>17.699535849485258</v>
      </c>
      <c r="Q338" s="251">
        <f t="shared" si="160"/>
        <v>176.71953584948523</v>
      </c>
      <c r="R338" s="251">
        <f>'RD Plant List'!N206</f>
        <v>664.33</v>
      </c>
      <c r="S338" s="251">
        <f>SUM(B338:O338)+'RD Plant List'!N206</f>
        <v>841.04953584948521</v>
      </c>
      <c r="T338" s="237">
        <f t="shared" si="145"/>
        <v>0.7898821314121609</v>
      </c>
      <c r="U338" s="251">
        <f t="shared" ref="U338:U401" si="164">S338*V338</f>
        <v>569.0587720854021</v>
      </c>
      <c r="V338" s="271">
        <f t="shared" si="154"/>
        <v>0.67660553609441765</v>
      </c>
      <c r="W338" s="251">
        <f t="shared" si="161"/>
        <v>47.421564340450175</v>
      </c>
      <c r="X338" s="242">
        <f t="shared" si="162"/>
        <v>7.6100191206778556</v>
      </c>
      <c r="Y338" s="273">
        <f t="shared" si="163"/>
        <v>7.6100191206778556</v>
      </c>
      <c r="AB338" s="251">
        <f>SUM('BD Feedstock'!C336,'BD Feedstock'!E336,'BD Feedstock'!G336,'BD Feedstock'!K336,'BD Feedstock'!T336)</f>
        <v>21.812796010427753</v>
      </c>
      <c r="AC338" s="251">
        <f>SUM('BD Feedstock'!D336,'BD Feedstock'!F336,'BD Feedstock'!H336,'BD Feedstock'!I336,'BD Feedstock'!L336,'BD Feedstock'!M336,'BD Feedstock'!N336,'BD Feedstock'!O336,'BD Feedstock'!U336)</f>
        <v>12.773566250859661</v>
      </c>
      <c r="AD338" s="251">
        <f>'BD Feedstock'!J336</f>
        <v>0.90199999999999991</v>
      </c>
      <c r="AE338" s="251">
        <f>SUM('BD Feedstock'!B336,'BD Feedstock'!P336,'BD Feedstock'!Q336,'BD Feedstock'!R336)</f>
        <v>70.93020833333334</v>
      </c>
      <c r="AF338" s="251">
        <f>'BD Feedstock'!S336</f>
        <v>1.40625</v>
      </c>
      <c r="AG338" s="251">
        <f t="shared" si="155"/>
        <v>107.82482059462075</v>
      </c>
      <c r="AK338" s="237">
        <f t="shared" si="134"/>
        <v>0.20229846792359021</v>
      </c>
      <c r="AL338" s="237">
        <f t="shared" si="134"/>
        <v>0.11846591703484753</v>
      </c>
      <c r="AM338" s="237">
        <f t="shared" si="134"/>
        <v>8.3654208282077092E-3</v>
      </c>
      <c r="AN338" s="237">
        <f t="shared" si="134"/>
        <v>0.65782820636449979</v>
      </c>
      <c r="AO338" s="237">
        <f t="shared" si="134"/>
        <v>1.304198784885487E-2</v>
      </c>
      <c r="AP338" s="237">
        <f t="shared" si="156"/>
        <v>1</v>
      </c>
      <c r="AQ338" s="237"/>
      <c r="AR338" s="237">
        <f t="shared" si="157"/>
        <v>0.61464645366918802</v>
      </c>
      <c r="AS338" s="237">
        <f t="shared" si="158"/>
        <v>0.35993676340465403</v>
      </c>
      <c r="AT338" s="237">
        <f t="shared" si="159"/>
        <v>2.5416782926158003E-2</v>
      </c>
      <c r="AU338" s="237">
        <f t="shared" si="139"/>
        <v>0.98055959563958928</v>
      </c>
      <c r="AV338" s="237">
        <f t="shared" si="139"/>
        <v>1.9440404360410696E-2</v>
      </c>
      <c r="AX338" s="251">
        <f t="shared" si="152"/>
        <v>33723.763551189717</v>
      </c>
      <c r="AY338" s="251">
        <f t="shared" si="152"/>
        <v>20971.765612933141</v>
      </c>
      <c r="AZ338" s="251">
        <f t="shared" si="152"/>
        <v>1475.5141719198616</v>
      </c>
      <c r="BA338" s="251">
        <f t="shared" si="148"/>
        <v>105416.96375497665</v>
      </c>
      <c r="BB338" s="251">
        <f t="shared" si="148"/>
        <v>2104.0051284364413</v>
      </c>
      <c r="BC338" s="251">
        <f t="shared" si="149"/>
        <v>163692.01221945579</v>
      </c>
      <c r="BD338" s="270">
        <f t="shared" si="144"/>
        <v>7.6100191206778556</v>
      </c>
      <c r="BY338" s="252">
        <f t="shared" si="153"/>
        <v>1.5678131264078239</v>
      </c>
      <c r="BZ338" s="252">
        <f t="shared" si="151"/>
        <v>0.9749744971967953</v>
      </c>
      <c r="CA338" s="252">
        <f t="shared" si="151"/>
        <v>6.8596450791303193E-2</v>
      </c>
      <c r="CB338" s="252">
        <f t="shared" si="151"/>
        <v>4.9008201374155238</v>
      </c>
      <c r="CC338" s="252">
        <f t="shared" si="151"/>
        <v>9.7814908866411504E-2</v>
      </c>
    </row>
    <row r="339" spans="1:81">
      <c r="A339" s="11">
        <v>49949</v>
      </c>
      <c r="B339" s="268">
        <v>70</v>
      </c>
      <c r="C339" s="268">
        <v>13</v>
      </c>
      <c r="D339" s="268">
        <f t="shared" si="138"/>
        <v>20</v>
      </c>
      <c r="E339" s="268">
        <v>3</v>
      </c>
      <c r="F339" s="269">
        <v>0.2</v>
      </c>
      <c r="G339" s="269">
        <v>1.32</v>
      </c>
      <c r="H339" s="269"/>
      <c r="I339" s="269">
        <v>5</v>
      </c>
      <c r="J339" s="269"/>
      <c r="K339" s="269"/>
      <c r="L339" s="269"/>
      <c r="M339" s="269">
        <f t="shared" si="135"/>
        <v>1.5</v>
      </c>
      <c r="N339" s="269">
        <v>45</v>
      </c>
      <c r="O339" s="269">
        <f t="shared" si="150"/>
        <v>17.699535849485258</v>
      </c>
      <c r="Q339" s="251">
        <f t="shared" si="160"/>
        <v>176.71953584948523</v>
      </c>
      <c r="R339" s="251">
        <f>'RD Plant List'!N207</f>
        <v>664.33</v>
      </c>
      <c r="S339" s="251">
        <f>SUM(B339:O339)+'RD Plant List'!N207</f>
        <v>841.04953584948521</v>
      </c>
      <c r="T339" s="237">
        <f t="shared" si="145"/>
        <v>0.7898821314121609</v>
      </c>
      <c r="U339" s="251">
        <f t="shared" si="164"/>
        <v>595.89345748658059</v>
      </c>
      <c r="V339" s="271">
        <f t="shared" si="154"/>
        <v>0.70851172503734916</v>
      </c>
      <c r="W339" s="251">
        <f t="shared" si="161"/>
        <v>49.657788123881716</v>
      </c>
      <c r="X339" s="242">
        <f t="shared" si="162"/>
        <v>7.6100191206778591</v>
      </c>
      <c r="Y339" s="273">
        <f t="shared" si="163"/>
        <v>7.6100191206778591</v>
      </c>
      <c r="AB339" s="251">
        <f>SUM('BD Feedstock'!C337,'BD Feedstock'!E337,'BD Feedstock'!G337,'BD Feedstock'!K337,'BD Feedstock'!T337)</f>
        <v>21.812796010427753</v>
      </c>
      <c r="AC339" s="251">
        <f>SUM('BD Feedstock'!D337,'BD Feedstock'!F337,'BD Feedstock'!H337,'BD Feedstock'!I337,'BD Feedstock'!L337,'BD Feedstock'!M337,'BD Feedstock'!N337,'BD Feedstock'!O337,'BD Feedstock'!U337)</f>
        <v>12.773566250859661</v>
      </c>
      <c r="AD339" s="251">
        <f>'BD Feedstock'!J337</f>
        <v>0.90199999999999991</v>
      </c>
      <c r="AE339" s="251">
        <f>SUM('BD Feedstock'!B337,'BD Feedstock'!P337,'BD Feedstock'!Q337,'BD Feedstock'!R337)</f>
        <v>70.93020833333334</v>
      </c>
      <c r="AF339" s="251">
        <f>'BD Feedstock'!S337</f>
        <v>1.40625</v>
      </c>
      <c r="AG339" s="251">
        <f t="shared" si="155"/>
        <v>107.82482059462075</v>
      </c>
      <c r="AK339" s="237">
        <f t="shared" si="134"/>
        <v>0.20229846792359021</v>
      </c>
      <c r="AL339" s="237">
        <f t="shared" si="134"/>
        <v>0.11846591703484753</v>
      </c>
      <c r="AM339" s="237">
        <f t="shared" ref="AM339:AO402" si="165">AD339/$AG339</f>
        <v>8.3654208282077092E-3</v>
      </c>
      <c r="AN339" s="237">
        <f t="shared" si="165"/>
        <v>0.65782820636449979</v>
      </c>
      <c r="AO339" s="237">
        <f t="shared" si="165"/>
        <v>1.304198784885487E-2</v>
      </c>
      <c r="AP339" s="237">
        <f t="shared" si="156"/>
        <v>1</v>
      </c>
      <c r="AQ339" s="237"/>
      <c r="AR339" s="237">
        <f t="shared" si="157"/>
        <v>0.61464645366918802</v>
      </c>
      <c r="AS339" s="237">
        <f t="shared" si="158"/>
        <v>0.35993676340465403</v>
      </c>
      <c r="AT339" s="237">
        <f t="shared" si="159"/>
        <v>2.5416782926158003E-2</v>
      </c>
      <c r="AU339" s="237">
        <f t="shared" si="139"/>
        <v>0.98055959563958928</v>
      </c>
      <c r="AV339" s="237">
        <f t="shared" si="139"/>
        <v>1.9440404360410696E-2</v>
      </c>
      <c r="AX339" s="251">
        <f t="shared" si="152"/>
        <v>35314.050231286965</v>
      </c>
      <c r="AY339" s="251">
        <f t="shared" si="152"/>
        <v>21960.715718153304</v>
      </c>
      <c r="AZ339" s="251">
        <f t="shared" si="152"/>
        <v>1545.0939070030206</v>
      </c>
      <c r="BA339" s="251">
        <f t="shared" si="148"/>
        <v>110388.03387475629</v>
      </c>
      <c r="BB339" s="251">
        <f t="shared" si="148"/>
        <v>2203.2221486699591</v>
      </c>
      <c r="BC339" s="251">
        <f t="shared" si="149"/>
        <v>171411.11587986955</v>
      </c>
      <c r="BD339" s="270">
        <f t="shared" si="144"/>
        <v>7.6100191206778591</v>
      </c>
      <c r="BY339" s="252">
        <f t="shared" si="153"/>
        <v>1.5678131264078246</v>
      </c>
      <c r="BZ339" s="252">
        <f t="shared" si="151"/>
        <v>0.9749744971967953</v>
      </c>
      <c r="CA339" s="252">
        <f t="shared" si="151"/>
        <v>6.8596450791303207E-2</v>
      </c>
      <c r="CB339" s="252">
        <f t="shared" si="151"/>
        <v>4.9008201374155238</v>
      </c>
      <c r="CC339" s="252">
        <f t="shared" si="151"/>
        <v>9.7814908866411518E-2</v>
      </c>
    </row>
    <row r="340" spans="1:81">
      <c r="A340" s="11">
        <v>49980</v>
      </c>
      <c r="B340" s="268">
        <v>70</v>
      </c>
      <c r="C340" s="268">
        <v>13</v>
      </c>
      <c r="D340" s="268">
        <f t="shared" si="138"/>
        <v>20</v>
      </c>
      <c r="E340" s="268">
        <v>3</v>
      </c>
      <c r="F340" s="269">
        <v>0.2</v>
      </c>
      <c r="G340" s="269">
        <v>1.32</v>
      </c>
      <c r="H340" s="269"/>
      <c r="I340" s="269">
        <v>5</v>
      </c>
      <c r="J340" s="269"/>
      <c r="K340" s="269"/>
      <c r="L340" s="269"/>
      <c r="M340" s="269">
        <f t="shared" si="135"/>
        <v>1.5</v>
      </c>
      <c r="N340" s="269">
        <v>45</v>
      </c>
      <c r="O340" s="269">
        <f t="shared" si="150"/>
        <v>17.699535849485258</v>
      </c>
      <c r="Q340" s="251">
        <f t="shared" si="160"/>
        <v>176.71953584948523</v>
      </c>
      <c r="R340" s="251">
        <f>'RD Plant List'!N208</f>
        <v>664.33</v>
      </c>
      <c r="S340" s="251">
        <f>SUM(B340:O340)+'RD Plant List'!N208</f>
        <v>841.04953584948521</v>
      </c>
      <c r="T340" s="237">
        <f t="shared" si="145"/>
        <v>0.7898821314121609</v>
      </c>
      <c r="U340" s="251">
        <f t="shared" si="164"/>
        <v>640.96941628013087</v>
      </c>
      <c r="V340" s="271">
        <f t="shared" si="154"/>
        <v>0.76210661674372437</v>
      </c>
      <c r="W340" s="251">
        <f t="shared" si="161"/>
        <v>53.414118023344237</v>
      </c>
      <c r="X340" s="242">
        <f t="shared" si="162"/>
        <v>7.6100191206778582</v>
      </c>
      <c r="Y340" s="273">
        <f t="shared" si="163"/>
        <v>7.6100191206778582</v>
      </c>
      <c r="AB340" s="251">
        <f>SUM('BD Feedstock'!C338,'BD Feedstock'!E338,'BD Feedstock'!G338,'BD Feedstock'!K338,'BD Feedstock'!T338)</f>
        <v>21.812796010427753</v>
      </c>
      <c r="AC340" s="251">
        <f>SUM('BD Feedstock'!D338,'BD Feedstock'!F338,'BD Feedstock'!H338,'BD Feedstock'!I338,'BD Feedstock'!L338,'BD Feedstock'!M338,'BD Feedstock'!N338,'BD Feedstock'!O338,'BD Feedstock'!U338)</f>
        <v>12.773566250859661</v>
      </c>
      <c r="AD340" s="251">
        <f>'BD Feedstock'!J338</f>
        <v>0.90199999999999991</v>
      </c>
      <c r="AE340" s="251">
        <f>SUM('BD Feedstock'!B338,'BD Feedstock'!P338,'BD Feedstock'!Q338,'BD Feedstock'!R338)</f>
        <v>70.93020833333334</v>
      </c>
      <c r="AF340" s="251">
        <f>'BD Feedstock'!S338</f>
        <v>1.40625</v>
      </c>
      <c r="AG340" s="251">
        <f t="shared" si="155"/>
        <v>107.82482059462075</v>
      </c>
      <c r="AK340" s="237">
        <f t="shared" ref="AK340:AO403" si="166">AB340/$AG340</f>
        <v>0.20229846792359021</v>
      </c>
      <c r="AL340" s="237">
        <f t="shared" si="166"/>
        <v>0.11846591703484753</v>
      </c>
      <c r="AM340" s="237">
        <f t="shared" si="165"/>
        <v>8.3654208282077092E-3</v>
      </c>
      <c r="AN340" s="237">
        <f t="shared" si="165"/>
        <v>0.65782820636449979</v>
      </c>
      <c r="AO340" s="237">
        <f t="shared" si="165"/>
        <v>1.304198784885487E-2</v>
      </c>
      <c r="AP340" s="237">
        <f t="shared" si="156"/>
        <v>1</v>
      </c>
      <c r="AQ340" s="237"/>
      <c r="AR340" s="237">
        <f t="shared" si="157"/>
        <v>0.61464645366918802</v>
      </c>
      <c r="AS340" s="237">
        <f t="shared" si="158"/>
        <v>0.35993676340465403</v>
      </c>
      <c r="AT340" s="237">
        <f t="shared" si="159"/>
        <v>2.5416782926158003E-2</v>
      </c>
      <c r="AU340" s="237">
        <f t="shared" si="139"/>
        <v>0.98055959563958928</v>
      </c>
      <c r="AV340" s="237">
        <f t="shared" si="139"/>
        <v>1.9440404360410696E-2</v>
      </c>
      <c r="AX340" s="251">
        <f t="shared" si="152"/>
        <v>37985.357749535222</v>
      </c>
      <c r="AY340" s="251">
        <f t="shared" si="152"/>
        <v>23621.919251019146</v>
      </c>
      <c r="AZ340" s="251">
        <f t="shared" si="152"/>
        <v>1661.971493774985</v>
      </c>
      <c r="BA340" s="251">
        <f t="shared" si="148"/>
        <v>118738.26226495739</v>
      </c>
      <c r="BB340" s="251">
        <f t="shared" si="148"/>
        <v>2369.8834025212336</v>
      </c>
      <c r="BC340" s="251">
        <f t="shared" si="149"/>
        <v>184377.39416180798</v>
      </c>
      <c r="BD340" s="270">
        <f t="shared" si="144"/>
        <v>7.6100191206778574</v>
      </c>
      <c r="BY340" s="252">
        <f t="shared" si="153"/>
        <v>1.5678131264078241</v>
      </c>
      <c r="BZ340" s="252">
        <f t="shared" si="151"/>
        <v>0.97497449719679541</v>
      </c>
      <c r="CA340" s="252">
        <f t="shared" si="151"/>
        <v>6.8596450791303221E-2</v>
      </c>
      <c r="CB340" s="252">
        <f t="shared" si="151"/>
        <v>4.9008201374155229</v>
      </c>
      <c r="CC340" s="252">
        <f t="shared" si="151"/>
        <v>9.7814908866411546E-2</v>
      </c>
    </row>
    <row r="341" spans="1:81">
      <c r="A341" s="11">
        <v>50010</v>
      </c>
      <c r="B341" s="268">
        <v>70</v>
      </c>
      <c r="C341" s="268">
        <v>13</v>
      </c>
      <c r="D341" s="268">
        <f t="shared" si="138"/>
        <v>20</v>
      </c>
      <c r="E341" s="268">
        <v>3</v>
      </c>
      <c r="F341" s="269">
        <v>0.2</v>
      </c>
      <c r="G341" s="269">
        <v>1.32</v>
      </c>
      <c r="H341" s="269"/>
      <c r="I341" s="269">
        <v>5</v>
      </c>
      <c r="J341" s="269"/>
      <c r="K341" s="269"/>
      <c r="L341" s="269"/>
      <c r="M341" s="269">
        <f t="shared" si="135"/>
        <v>1.5</v>
      </c>
      <c r="N341" s="269">
        <v>45</v>
      </c>
      <c r="O341" s="269">
        <f t="shared" si="150"/>
        <v>17.699535849485258</v>
      </c>
      <c r="Q341" s="251">
        <f t="shared" si="160"/>
        <v>176.71953584948523</v>
      </c>
      <c r="R341" s="251">
        <f>'RD Plant List'!N209</f>
        <v>664.33</v>
      </c>
      <c r="S341" s="251">
        <f>SUM(B341:O341)+'RD Plant List'!N209</f>
        <v>841.04953584948521</v>
      </c>
      <c r="T341" s="237">
        <f t="shared" si="145"/>
        <v>0.7898821314121609</v>
      </c>
      <c r="U341" s="251">
        <f t="shared" si="164"/>
        <v>582.90086863922841</v>
      </c>
      <c r="V341" s="271">
        <f t="shared" si="154"/>
        <v>0.69306365890860522</v>
      </c>
      <c r="W341" s="251">
        <f t="shared" si="161"/>
        <v>48.575072386602365</v>
      </c>
      <c r="X341" s="242">
        <f t="shared" si="162"/>
        <v>7.6100191206778574</v>
      </c>
      <c r="Y341" s="273">
        <f t="shared" si="163"/>
        <v>7.6100191206778574</v>
      </c>
      <c r="AB341" s="251">
        <f>SUM('BD Feedstock'!C339,'BD Feedstock'!E339,'BD Feedstock'!G339,'BD Feedstock'!K339,'BD Feedstock'!T339)</f>
        <v>21.812796010427753</v>
      </c>
      <c r="AC341" s="251">
        <f>SUM('BD Feedstock'!D339,'BD Feedstock'!F339,'BD Feedstock'!H339,'BD Feedstock'!I339,'BD Feedstock'!L339,'BD Feedstock'!M339,'BD Feedstock'!N339,'BD Feedstock'!O339,'BD Feedstock'!U339)</f>
        <v>12.773566250859661</v>
      </c>
      <c r="AD341" s="251">
        <f>'BD Feedstock'!J339</f>
        <v>0.90199999999999991</v>
      </c>
      <c r="AE341" s="251">
        <f>SUM('BD Feedstock'!B339,'BD Feedstock'!P339,'BD Feedstock'!Q339,'BD Feedstock'!R339)</f>
        <v>70.93020833333334</v>
      </c>
      <c r="AF341" s="251">
        <f>'BD Feedstock'!S339</f>
        <v>1.40625</v>
      </c>
      <c r="AG341" s="251">
        <f t="shared" si="155"/>
        <v>107.82482059462075</v>
      </c>
      <c r="AK341" s="237">
        <f t="shared" si="166"/>
        <v>0.20229846792359021</v>
      </c>
      <c r="AL341" s="237">
        <f t="shared" si="166"/>
        <v>0.11846591703484753</v>
      </c>
      <c r="AM341" s="237">
        <f t="shared" si="165"/>
        <v>8.3654208282077092E-3</v>
      </c>
      <c r="AN341" s="237">
        <f t="shared" si="165"/>
        <v>0.65782820636449979</v>
      </c>
      <c r="AO341" s="237">
        <f t="shared" si="165"/>
        <v>1.304198784885487E-2</v>
      </c>
      <c r="AP341" s="237">
        <f t="shared" si="156"/>
        <v>1</v>
      </c>
      <c r="AQ341" s="237"/>
      <c r="AR341" s="237">
        <f t="shared" si="157"/>
        <v>0.61464645366918802</v>
      </c>
      <c r="AS341" s="237">
        <f t="shared" si="158"/>
        <v>0.35993676340465403</v>
      </c>
      <c r="AT341" s="237">
        <f t="shared" si="159"/>
        <v>2.5416782926158003E-2</v>
      </c>
      <c r="AU341" s="237">
        <f t="shared" si="139"/>
        <v>0.98055959563958928</v>
      </c>
      <c r="AV341" s="237">
        <f t="shared" si="139"/>
        <v>1.9440404360410696E-2</v>
      </c>
      <c r="AX341" s="251">
        <f t="shared" si="152"/>
        <v>34544.078805312398</v>
      </c>
      <c r="AY341" s="251">
        <f t="shared" si="152"/>
        <v>21481.894300440428</v>
      </c>
      <c r="AZ341" s="251">
        <f t="shared" si="152"/>
        <v>1511.4053849828047</v>
      </c>
      <c r="BA341" s="251">
        <f t="shared" si="148"/>
        <v>107981.18359005653</v>
      </c>
      <c r="BB341" s="251">
        <f t="shared" si="148"/>
        <v>2155.1840989860634</v>
      </c>
      <c r="BC341" s="251">
        <f t="shared" si="149"/>
        <v>167673.74617977822</v>
      </c>
      <c r="BD341" s="270">
        <f t="shared" si="144"/>
        <v>7.6100191206778565</v>
      </c>
      <c r="BY341" s="252">
        <f t="shared" si="153"/>
        <v>1.5678131264078241</v>
      </c>
      <c r="BZ341" s="252">
        <f t="shared" si="151"/>
        <v>0.9749744971967953</v>
      </c>
      <c r="CA341" s="252">
        <f t="shared" si="151"/>
        <v>6.8596450791303207E-2</v>
      </c>
      <c r="CB341" s="252">
        <f t="shared" si="151"/>
        <v>4.9008201374155229</v>
      </c>
      <c r="CC341" s="252">
        <f t="shared" si="151"/>
        <v>9.7814908866411518E-2</v>
      </c>
    </row>
    <row r="342" spans="1:81">
      <c r="A342" s="11">
        <v>50041</v>
      </c>
      <c r="B342" s="268">
        <v>70</v>
      </c>
      <c r="C342" s="268">
        <v>13</v>
      </c>
      <c r="D342" s="268">
        <f t="shared" si="138"/>
        <v>20</v>
      </c>
      <c r="E342" s="268">
        <v>3</v>
      </c>
      <c r="F342" s="269">
        <v>0.2</v>
      </c>
      <c r="G342" s="269">
        <v>1.32</v>
      </c>
      <c r="H342" s="269"/>
      <c r="I342" s="269">
        <v>5</v>
      </c>
      <c r="J342" s="269"/>
      <c r="K342" s="269"/>
      <c r="L342" s="269"/>
      <c r="M342" s="269">
        <f t="shared" si="135"/>
        <v>1.5</v>
      </c>
      <c r="N342" s="269">
        <v>45</v>
      </c>
      <c r="O342" s="269">
        <f t="shared" si="150"/>
        <v>17.699535849485258</v>
      </c>
      <c r="Q342" s="251">
        <f t="shared" si="160"/>
        <v>176.71953584948523</v>
      </c>
      <c r="R342" s="251">
        <f>'RD Plant List'!N210</f>
        <v>664.33</v>
      </c>
      <c r="S342" s="251">
        <f>SUM(B342:O342)+'RD Plant List'!N210</f>
        <v>841.04953584948521</v>
      </c>
      <c r="T342" s="237">
        <f t="shared" si="145"/>
        <v>0.7898821314121609</v>
      </c>
      <c r="U342" s="251">
        <f t="shared" si="164"/>
        <v>478.02320289622577</v>
      </c>
      <c r="V342" s="271">
        <f t="shared" si="154"/>
        <v>0.56836509922499157</v>
      </c>
      <c r="W342" s="251">
        <f t="shared" si="161"/>
        <v>39.835266908018816</v>
      </c>
      <c r="X342" s="242">
        <f t="shared" si="162"/>
        <v>7.6100191206778574</v>
      </c>
      <c r="Y342" s="273">
        <f t="shared" si="163"/>
        <v>7.6100191206778574</v>
      </c>
      <c r="AB342" s="251">
        <f>SUM('BD Feedstock'!C340,'BD Feedstock'!E340,'BD Feedstock'!G340,'BD Feedstock'!K340,'BD Feedstock'!T340)</f>
        <v>21.812796010427753</v>
      </c>
      <c r="AC342" s="251">
        <f>SUM('BD Feedstock'!D340,'BD Feedstock'!F340,'BD Feedstock'!H340,'BD Feedstock'!I340,'BD Feedstock'!L340,'BD Feedstock'!M340,'BD Feedstock'!N340,'BD Feedstock'!O340,'BD Feedstock'!U340)</f>
        <v>12.773566250859661</v>
      </c>
      <c r="AD342" s="251">
        <f>'BD Feedstock'!J340</f>
        <v>0.90199999999999991</v>
      </c>
      <c r="AE342" s="251">
        <f>SUM('BD Feedstock'!B340,'BD Feedstock'!P340,'BD Feedstock'!Q340,'BD Feedstock'!R340)</f>
        <v>70.93020833333334</v>
      </c>
      <c r="AF342" s="251">
        <f>'BD Feedstock'!S340</f>
        <v>1.40625</v>
      </c>
      <c r="AG342" s="251">
        <f t="shared" si="155"/>
        <v>107.82482059462075</v>
      </c>
      <c r="AK342" s="237">
        <f t="shared" si="166"/>
        <v>0.20229846792359021</v>
      </c>
      <c r="AL342" s="237">
        <f t="shared" si="166"/>
        <v>0.11846591703484753</v>
      </c>
      <c r="AM342" s="237">
        <f t="shared" si="165"/>
        <v>8.3654208282077092E-3</v>
      </c>
      <c r="AN342" s="237">
        <f t="shared" si="165"/>
        <v>0.65782820636449979</v>
      </c>
      <c r="AO342" s="237">
        <f t="shared" si="165"/>
        <v>1.304198784885487E-2</v>
      </c>
      <c r="AP342" s="237">
        <f t="shared" si="156"/>
        <v>1</v>
      </c>
      <c r="AQ342" s="237"/>
      <c r="AR342" s="237">
        <f t="shared" si="157"/>
        <v>0.61464645366918802</v>
      </c>
      <c r="AS342" s="237">
        <f t="shared" si="158"/>
        <v>0.35993676340465403</v>
      </c>
      <c r="AT342" s="237">
        <f t="shared" si="159"/>
        <v>2.5416782926158003E-2</v>
      </c>
      <c r="AU342" s="237">
        <f t="shared" si="139"/>
        <v>0.98055959563958928</v>
      </c>
      <c r="AV342" s="237">
        <f t="shared" si="139"/>
        <v>1.9440404360410696E-2</v>
      </c>
      <c r="AX342" s="251">
        <f t="shared" si="152"/>
        <v>28328.781238847805</v>
      </c>
      <c r="AY342" s="251">
        <f t="shared" si="152"/>
        <v>17616.792957861162</v>
      </c>
      <c r="AZ342" s="251">
        <f t="shared" si="152"/>
        <v>1239.4677755253927</v>
      </c>
      <c r="BA342" s="251">
        <f t="shared" si="148"/>
        <v>88552.812337961266</v>
      </c>
      <c r="BB342" s="251">
        <f t="shared" si="148"/>
        <v>1767.4154581951188</v>
      </c>
      <c r="BC342" s="251">
        <f t="shared" si="149"/>
        <v>137505.26976839075</v>
      </c>
      <c r="BD342" s="270">
        <f t="shared" si="144"/>
        <v>7.6100191206778582</v>
      </c>
      <c r="BY342" s="252">
        <f t="shared" si="153"/>
        <v>1.5678131264078241</v>
      </c>
      <c r="BZ342" s="252">
        <f t="shared" si="151"/>
        <v>0.97497449719679541</v>
      </c>
      <c r="CA342" s="252">
        <f t="shared" si="151"/>
        <v>6.8596450791303207E-2</v>
      </c>
      <c r="CB342" s="252">
        <f t="shared" si="151"/>
        <v>4.9008201374155229</v>
      </c>
      <c r="CC342" s="252">
        <f t="shared" si="151"/>
        <v>9.7814908866411504E-2</v>
      </c>
    </row>
    <row r="343" spans="1:81">
      <c r="A343" s="11">
        <v>50072</v>
      </c>
      <c r="B343" s="268">
        <v>70</v>
      </c>
      <c r="C343" s="268">
        <v>13</v>
      </c>
      <c r="D343" s="268">
        <f t="shared" si="138"/>
        <v>20</v>
      </c>
      <c r="E343" s="268">
        <v>3</v>
      </c>
      <c r="F343" s="269">
        <v>0.2</v>
      </c>
      <c r="G343" s="269">
        <v>1.32</v>
      </c>
      <c r="H343" s="269"/>
      <c r="I343" s="269">
        <v>5</v>
      </c>
      <c r="J343" s="269"/>
      <c r="K343" s="269"/>
      <c r="L343" s="269"/>
      <c r="M343" s="269">
        <f t="shared" ref="M343:M406" si="167">$M$3</f>
        <v>1.5</v>
      </c>
      <c r="N343" s="269">
        <v>45</v>
      </c>
      <c r="O343" s="269">
        <f t="shared" si="150"/>
        <v>17.699535849485258</v>
      </c>
      <c r="Q343" s="251">
        <f t="shared" si="160"/>
        <v>176.71953584948523</v>
      </c>
      <c r="R343" s="251">
        <f>'RD Plant List'!N211</f>
        <v>664.33</v>
      </c>
      <c r="S343" s="251">
        <f>SUM(B343:O343)+'RD Plant List'!N211</f>
        <v>841.04953584948521</v>
      </c>
      <c r="T343" s="237">
        <f t="shared" si="145"/>
        <v>0.7898821314121609</v>
      </c>
      <c r="U343" s="251">
        <f t="shared" si="164"/>
        <v>441.83595834031928</v>
      </c>
      <c r="V343" s="271">
        <f t="shared" si="154"/>
        <v>0.52533880527506827</v>
      </c>
      <c r="W343" s="251">
        <f t="shared" si="161"/>
        <v>36.819663195026607</v>
      </c>
      <c r="X343" s="242">
        <f t="shared" si="162"/>
        <v>7.6100191206778565</v>
      </c>
      <c r="Y343" s="273">
        <f t="shared" si="163"/>
        <v>7.6100191206778565</v>
      </c>
      <c r="AB343" s="251">
        <f>SUM('BD Feedstock'!C341,'BD Feedstock'!E341,'BD Feedstock'!G341,'BD Feedstock'!K341,'BD Feedstock'!T341)</f>
        <v>21.812796010427753</v>
      </c>
      <c r="AC343" s="251">
        <f>SUM('BD Feedstock'!D341,'BD Feedstock'!F341,'BD Feedstock'!H341,'BD Feedstock'!I341,'BD Feedstock'!L341,'BD Feedstock'!M341,'BD Feedstock'!N341,'BD Feedstock'!O341,'BD Feedstock'!U341)</f>
        <v>12.773566250859661</v>
      </c>
      <c r="AD343" s="251">
        <f>'BD Feedstock'!J341</f>
        <v>0.90199999999999991</v>
      </c>
      <c r="AE343" s="251">
        <f>SUM('BD Feedstock'!B341,'BD Feedstock'!P341,'BD Feedstock'!Q341,'BD Feedstock'!R341)</f>
        <v>70.93020833333334</v>
      </c>
      <c r="AF343" s="251">
        <f>'BD Feedstock'!S341</f>
        <v>1.40625</v>
      </c>
      <c r="AG343" s="251">
        <f t="shared" si="155"/>
        <v>107.82482059462075</v>
      </c>
      <c r="AK343" s="237">
        <f t="shared" si="166"/>
        <v>0.20229846792359021</v>
      </c>
      <c r="AL343" s="237">
        <f t="shared" si="166"/>
        <v>0.11846591703484753</v>
      </c>
      <c r="AM343" s="237">
        <f t="shared" si="165"/>
        <v>8.3654208282077092E-3</v>
      </c>
      <c r="AN343" s="237">
        <f t="shared" si="165"/>
        <v>0.65782820636449979</v>
      </c>
      <c r="AO343" s="237">
        <f t="shared" si="165"/>
        <v>1.304198784885487E-2</v>
      </c>
      <c r="AP343" s="237">
        <f t="shared" si="156"/>
        <v>1</v>
      </c>
      <c r="AQ343" s="237"/>
      <c r="AR343" s="237">
        <f t="shared" si="157"/>
        <v>0.61464645366918802</v>
      </c>
      <c r="AS343" s="237">
        <f t="shared" si="158"/>
        <v>0.35993676340465403</v>
      </c>
      <c r="AT343" s="237">
        <f t="shared" si="159"/>
        <v>2.5416782926158003E-2</v>
      </c>
      <c r="AU343" s="237">
        <f t="shared" si="139"/>
        <v>0.98055959563958928</v>
      </c>
      <c r="AV343" s="237">
        <f t="shared" si="139"/>
        <v>1.9440404360410696E-2</v>
      </c>
      <c r="AX343" s="251">
        <f t="shared" si="152"/>
        <v>26184.239868366443</v>
      </c>
      <c r="AY343" s="251">
        <f t="shared" si="152"/>
        <v>16283.169001546028</v>
      </c>
      <c r="AZ343" s="251">
        <f t="shared" si="152"/>
        <v>1145.6377621696602</v>
      </c>
      <c r="BA343" s="251">
        <f t="shared" si="148"/>
        <v>81849.199925902751</v>
      </c>
      <c r="BB343" s="251">
        <f t="shared" si="148"/>
        <v>1633.6188244123002</v>
      </c>
      <c r="BC343" s="251">
        <f t="shared" si="149"/>
        <v>127095.86538239718</v>
      </c>
      <c r="BD343" s="270">
        <f t="shared" si="144"/>
        <v>7.6100191206778574</v>
      </c>
      <c r="BY343" s="252">
        <f t="shared" si="153"/>
        <v>1.5678131264078241</v>
      </c>
      <c r="BZ343" s="252">
        <f t="shared" si="151"/>
        <v>0.97497449719679508</v>
      </c>
      <c r="CA343" s="252">
        <f t="shared" si="151"/>
        <v>6.8596450791303207E-2</v>
      </c>
      <c r="CB343" s="252">
        <f t="shared" si="151"/>
        <v>4.9008201374155229</v>
      </c>
      <c r="CC343" s="252">
        <f t="shared" si="151"/>
        <v>9.7814908866411532E-2</v>
      </c>
    </row>
    <row r="344" spans="1:81">
      <c r="A344" s="11">
        <v>50100</v>
      </c>
      <c r="B344" s="268">
        <v>70</v>
      </c>
      <c r="C344" s="268">
        <v>13</v>
      </c>
      <c r="D344" s="268">
        <f t="shared" si="138"/>
        <v>20</v>
      </c>
      <c r="E344" s="268">
        <v>3</v>
      </c>
      <c r="F344" s="269">
        <v>0.2</v>
      </c>
      <c r="G344" s="269">
        <v>1.32</v>
      </c>
      <c r="H344" s="269"/>
      <c r="I344" s="269">
        <v>5</v>
      </c>
      <c r="J344" s="269"/>
      <c r="K344" s="269"/>
      <c r="L344" s="269"/>
      <c r="M344" s="269">
        <f t="shared" si="167"/>
        <v>1.5</v>
      </c>
      <c r="N344" s="269">
        <v>45</v>
      </c>
      <c r="O344" s="269">
        <f t="shared" si="150"/>
        <v>17.699535849485258</v>
      </c>
      <c r="Q344" s="251">
        <f t="shared" si="160"/>
        <v>176.71953584948523</v>
      </c>
      <c r="R344" s="251">
        <f>'RD Plant List'!N212</f>
        <v>664.33</v>
      </c>
      <c r="S344" s="251">
        <f>SUM(B344:O344)+'RD Plant List'!N212</f>
        <v>841.04953584948521</v>
      </c>
      <c r="T344" s="237">
        <f t="shared" si="145"/>
        <v>0.7898821314121609</v>
      </c>
      <c r="U344" s="251">
        <f t="shared" si="164"/>
        <v>490.98364951144072</v>
      </c>
      <c r="V344" s="271">
        <f t="shared" si="154"/>
        <v>0.58377494854156542</v>
      </c>
      <c r="W344" s="251">
        <f t="shared" si="161"/>
        <v>40.915304125953391</v>
      </c>
      <c r="X344" s="242">
        <f t="shared" si="162"/>
        <v>7.6100191206778582</v>
      </c>
      <c r="Y344" s="273">
        <f t="shared" si="163"/>
        <v>7.6100191206778582</v>
      </c>
      <c r="AB344" s="251">
        <f>SUM('BD Feedstock'!C342,'BD Feedstock'!E342,'BD Feedstock'!G342,'BD Feedstock'!K342,'BD Feedstock'!T342)</f>
        <v>21.812796010427753</v>
      </c>
      <c r="AC344" s="251">
        <f>SUM('BD Feedstock'!D342,'BD Feedstock'!F342,'BD Feedstock'!H342,'BD Feedstock'!I342,'BD Feedstock'!L342,'BD Feedstock'!M342,'BD Feedstock'!N342,'BD Feedstock'!O342,'BD Feedstock'!U342)</f>
        <v>12.773566250859661</v>
      </c>
      <c r="AD344" s="251">
        <f>'BD Feedstock'!J342</f>
        <v>0.90199999999999991</v>
      </c>
      <c r="AE344" s="251">
        <f>SUM('BD Feedstock'!B342,'BD Feedstock'!P342,'BD Feedstock'!Q342,'BD Feedstock'!R342)</f>
        <v>70.93020833333334</v>
      </c>
      <c r="AF344" s="251">
        <f>'BD Feedstock'!S342</f>
        <v>1.40625</v>
      </c>
      <c r="AG344" s="251">
        <f t="shared" si="155"/>
        <v>107.82482059462075</v>
      </c>
      <c r="AK344" s="237">
        <f t="shared" si="166"/>
        <v>0.20229846792359021</v>
      </c>
      <c r="AL344" s="237">
        <f t="shared" si="166"/>
        <v>0.11846591703484753</v>
      </c>
      <c r="AM344" s="237">
        <f t="shared" si="165"/>
        <v>8.3654208282077092E-3</v>
      </c>
      <c r="AN344" s="237">
        <f t="shared" si="165"/>
        <v>0.65782820636449979</v>
      </c>
      <c r="AO344" s="237">
        <f t="shared" si="165"/>
        <v>1.304198784885487E-2</v>
      </c>
      <c r="AP344" s="237">
        <f t="shared" si="156"/>
        <v>1</v>
      </c>
      <c r="AQ344" s="237"/>
      <c r="AR344" s="237">
        <f t="shared" si="157"/>
        <v>0.61464645366918802</v>
      </c>
      <c r="AS344" s="237">
        <f t="shared" si="158"/>
        <v>0.35993676340465403</v>
      </c>
      <c r="AT344" s="237">
        <f t="shared" si="159"/>
        <v>2.5416782926158003E-2</v>
      </c>
      <c r="AU344" s="237">
        <f t="shared" si="139"/>
        <v>0.98055959563958928</v>
      </c>
      <c r="AV344" s="237">
        <f t="shared" si="139"/>
        <v>1.9440404360410696E-2</v>
      </c>
      <c r="AX344" s="251">
        <f t="shared" si="152"/>
        <v>29096.847840417966</v>
      </c>
      <c r="AY344" s="251">
        <f t="shared" si="152"/>
        <v>18094.429824185449</v>
      </c>
      <c r="AZ344" s="251">
        <f t="shared" si="152"/>
        <v>1273.0729558569076</v>
      </c>
      <c r="BA344" s="251">
        <f t="shared" si="148"/>
        <v>90953.708340456025</v>
      </c>
      <c r="BB344" s="251">
        <f t="shared" si="148"/>
        <v>1815.3346670411725</v>
      </c>
      <c r="BC344" s="251">
        <f t="shared" si="149"/>
        <v>141233.39362795753</v>
      </c>
      <c r="BD344" s="270">
        <f t="shared" si="144"/>
        <v>7.6100191206778582</v>
      </c>
      <c r="BY344" s="252">
        <f t="shared" si="153"/>
        <v>1.5678131264078241</v>
      </c>
      <c r="BZ344" s="252">
        <f t="shared" si="151"/>
        <v>0.97497449719679519</v>
      </c>
      <c r="CA344" s="252">
        <f t="shared" si="151"/>
        <v>6.8596450791303221E-2</v>
      </c>
      <c r="CB344" s="252">
        <f t="shared" si="151"/>
        <v>4.9008201374155229</v>
      </c>
      <c r="CC344" s="252">
        <f t="shared" si="151"/>
        <v>9.7814908866411546E-2</v>
      </c>
    </row>
    <row r="345" spans="1:81">
      <c r="A345" s="11">
        <v>50131</v>
      </c>
      <c r="B345" s="268">
        <v>70</v>
      </c>
      <c r="C345" s="268">
        <v>13</v>
      </c>
      <c r="D345" s="268">
        <f t="shared" si="138"/>
        <v>20</v>
      </c>
      <c r="E345" s="268">
        <v>3</v>
      </c>
      <c r="F345" s="269">
        <v>0.2</v>
      </c>
      <c r="G345" s="269">
        <v>1.32</v>
      </c>
      <c r="H345" s="269"/>
      <c r="I345" s="269">
        <v>5</v>
      </c>
      <c r="J345" s="269"/>
      <c r="K345" s="269"/>
      <c r="L345" s="269"/>
      <c r="M345" s="269">
        <f t="shared" si="167"/>
        <v>1.5</v>
      </c>
      <c r="N345" s="269">
        <v>45</v>
      </c>
      <c r="O345" s="269">
        <f t="shared" si="150"/>
        <v>17.699535849485258</v>
      </c>
      <c r="Q345" s="251">
        <f t="shared" si="160"/>
        <v>176.71953584948523</v>
      </c>
      <c r="R345" s="251">
        <f>'RD Plant List'!N213</f>
        <v>664.33</v>
      </c>
      <c r="S345" s="251">
        <f>SUM(B345:O345)+'RD Plant List'!N213</f>
        <v>841.04953584948521</v>
      </c>
      <c r="T345" s="237">
        <f t="shared" si="145"/>
        <v>0.7898821314121609</v>
      </c>
      <c r="U345" s="251">
        <f t="shared" si="164"/>
        <v>499.46768376103989</v>
      </c>
      <c r="V345" s="271">
        <f t="shared" si="154"/>
        <v>0.59386238559249971</v>
      </c>
      <c r="W345" s="251">
        <f t="shared" si="161"/>
        <v>41.622306980086655</v>
      </c>
      <c r="X345" s="242">
        <f t="shared" si="162"/>
        <v>7.6100191206778591</v>
      </c>
      <c r="Y345" s="273">
        <f t="shared" si="163"/>
        <v>7.6100191206778591</v>
      </c>
      <c r="AB345" s="251">
        <f>SUM('BD Feedstock'!C343,'BD Feedstock'!E343,'BD Feedstock'!G343,'BD Feedstock'!K343,'BD Feedstock'!T343)</f>
        <v>21.812796010427753</v>
      </c>
      <c r="AC345" s="251">
        <f>SUM('BD Feedstock'!D343,'BD Feedstock'!F343,'BD Feedstock'!H343,'BD Feedstock'!I343,'BD Feedstock'!L343,'BD Feedstock'!M343,'BD Feedstock'!N343,'BD Feedstock'!O343,'BD Feedstock'!U343)</f>
        <v>12.773566250859661</v>
      </c>
      <c r="AD345" s="251">
        <f>'BD Feedstock'!J343</f>
        <v>0.90199999999999991</v>
      </c>
      <c r="AE345" s="251">
        <f>SUM('BD Feedstock'!B343,'BD Feedstock'!P343,'BD Feedstock'!Q343,'BD Feedstock'!R343)</f>
        <v>70.93020833333334</v>
      </c>
      <c r="AF345" s="251">
        <f>'BD Feedstock'!S343</f>
        <v>1.40625</v>
      </c>
      <c r="AG345" s="251">
        <f t="shared" si="155"/>
        <v>107.82482059462075</v>
      </c>
      <c r="AK345" s="237">
        <f t="shared" si="166"/>
        <v>0.20229846792359021</v>
      </c>
      <c r="AL345" s="237">
        <f t="shared" si="166"/>
        <v>0.11846591703484753</v>
      </c>
      <c r="AM345" s="237">
        <f t="shared" si="165"/>
        <v>8.3654208282077092E-3</v>
      </c>
      <c r="AN345" s="237">
        <f t="shared" si="165"/>
        <v>0.65782820636449979</v>
      </c>
      <c r="AO345" s="237">
        <f t="shared" si="165"/>
        <v>1.304198784885487E-2</v>
      </c>
      <c r="AP345" s="237">
        <f t="shared" si="156"/>
        <v>1</v>
      </c>
      <c r="AQ345" s="237"/>
      <c r="AR345" s="237">
        <f t="shared" si="157"/>
        <v>0.61464645366918802</v>
      </c>
      <c r="AS345" s="237">
        <f t="shared" si="158"/>
        <v>0.35993676340465403</v>
      </c>
      <c r="AT345" s="237">
        <f t="shared" si="159"/>
        <v>2.5416782926158003E-2</v>
      </c>
      <c r="AU345" s="237">
        <f t="shared" si="139"/>
        <v>0.98055959563958928</v>
      </c>
      <c r="AV345" s="237">
        <f t="shared" si="139"/>
        <v>1.9440404360410696E-2</v>
      </c>
      <c r="AX345" s="251">
        <f t="shared" si="152"/>
        <v>29599.631698656671</v>
      </c>
      <c r="AY345" s="251">
        <f t="shared" si="152"/>
        <v>18407.095556553752</v>
      </c>
      <c r="AZ345" s="251">
        <f t="shared" si="152"/>
        <v>1295.0712333361594</v>
      </c>
      <c r="BA345" s="251">
        <f t="shared" si="148"/>
        <v>92525.358185529956</v>
      </c>
      <c r="BB345" s="251">
        <f t="shared" si="148"/>
        <v>1846.7030466297538</v>
      </c>
      <c r="BC345" s="251">
        <f t="shared" si="149"/>
        <v>143673.8597207063</v>
      </c>
      <c r="BD345" s="270">
        <f t="shared" si="144"/>
        <v>7.6100191206778591</v>
      </c>
      <c r="BY345" s="252">
        <f t="shared" si="153"/>
        <v>1.5678131264078241</v>
      </c>
      <c r="BZ345" s="252">
        <f t="shared" si="151"/>
        <v>0.97497449719679519</v>
      </c>
      <c r="CA345" s="252">
        <f t="shared" si="151"/>
        <v>6.8596450791303207E-2</v>
      </c>
      <c r="CB345" s="252">
        <f t="shared" si="151"/>
        <v>4.9008201374155238</v>
      </c>
      <c r="CC345" s="252">
        <f t="shared" si="151"/>
        <v>9.7814908866411532E-2</v>
      </c>
    </row>
    <row r="346" spans="1:81">
      <c r="A346" s="11">
        <v>50161</v>
      </c>
      <c r="B346" s="268">
        <v>70</v>
      </c>
      <c r="C346" s="268">
        <v>13</v>
      </c>
      <c r="D346" s="268">
        <f t="shared" si="138"/>
        <v>20</v>
      </c>
      <c r="E346" s="268">
        <v>3</v>
      </c>
      <c r="F346" s="269">
        <v>0.2</v>
      </c>
      <c r="G346" s="269">
        <v>1.32</v>
      </c>
      <c r="H346" s="269"/>
      <c r="I346" s="269">
        <v>5</v>
      </c>
      <c r="J346" s="269"/>
      <c r="K346" s="269"/>
      <c r="L346" s="269"/>
      <c r="M346" s="269">
        <f t="shared" si="167"/>
        <v>1.5</v>
      </c>
      <c r="N346" s="269">
        <v>45</v>
      </c>
      <c r="O346" s="269">
        <f t="shared" si="150"/>
        <v>17.699535849485258</v>
      </c>
      <c r="Q346" s="251">
        <f t="shared" si="160"/>
        <v>176.71953584948523</v>
      </c>
      <c r="R346" s="251">
        <f>'RD Plant List'!N214</f>
        <v>664.33</v>
      </c>
      <c r="S346" s="251">
        <f>SUM(B346:O346)+'RD Plant List'!N214</f>
        <v>841.04953584948521</v>
      </c>
      <c r="T346" s="237">
        <f t="shared" si="145"/>
        <v>0.7898821314121609</v>
      </c>
      <c r="U346" s="251">
        <f t="shared" si="164"/>
        <v>485.4002888992319</v>
      </c>
      <c r="V346" s="271">
        <f t="shared" si="154"/>
        <v>0.57713638520585242</v>
      </c>
      <c r="W346" s="251">
        <f>U346/12</f>
        <v>40.450024074935989</v>
      </c>
      <c r="X346" s="242">
        <f t="shared" si="162"/>
        <v>7.6100191206778574</v>
      </c>
      <c r="Y346" s="273">
        <f t="shared" si="163"/>
        <v>7.6100191206778574</v>
      </c>
      <c r="AB346" s="251">
        <f>SUM('BD Feedstock'!C344,'BD Feedstock'!E344,'BD Feedstock'!G344,'BD Feedstock'!K344,'BD Feedstock'!T344)</f>
        <v>21.812796010427753</v>
      </c>
      <c r="AC346" s="251">
        <f>SUM('BD Feedstock'!D344,'BD Feedstock'!F344,'BD Feedstock'!H344,'BD Feedstock'!I344,'BD Feedstock'!L344,'BD Feedstock'!M344,'BD Feedstock'!N344,'BD Feedstock'!O344,'BD Feedstock'!U344)</f>
        <v>12.773566250859661</v>
      </c>
      <c r="AD346" s="251">
        <f>'BD Feedstock'!J344</f>
        <v>0.90199999999999991</v>
      </c>
      <c r="AE346" s="251">
        <f>SUM('BD Feedstock'!B344,'BD Feedstock'!P344,'BD Feedstock'!Q344,'BD Feedstock'!R344)</f>
        <v>70.93020833333334</v>
      </c>
      <c r="AF346" s="251">
        <f>'BD Feedstock'!S344</f>
        <v>1.40625</v>
      </c>
      <c r="AG346" s="251">
        <f t="shared" si="155"/>
        <v>107.82482059462075</v>
      </c>
      <c r="AK346" s="237">
        <f t="shared" si="166"/>
        <v>0.20229846792359021</v>
      </c>
      <c r="AL346" s="237">
        <f t="shared" si="166"/>
        <v>0.11846591703484753</v>
      </c>
      <c r="AM346" s="237">
        <f t="shared" si="165"/>
        <v>8.3654208282077092E-3</v>
      </c>
      <c r="AN346" s="237">
        <f t="shared" si="165"/>
        <v>0.65782820636449979</v>
      </c>
      <c r="AO346" s="237">
        <f t="shared" si="165"/>
        <v>1.304198784885487E-2</v>
      </c>
      <c r="AP346" s="237">
        <f t="shared" si="156"/>
        <v>1</v>
      </c>
      <c r="AQ346" s="237"/>
      <c r="AR346" s="237">
        <f t="shared" si="157"/>
        <v>0.61464645366918802</v>
      </c>
      <c r="AS346" s="237">
        <f t="shared" si="158"/>
        <v>0.35993676340465403</v>
      </c>
      <c r="AT346" s="237">
        <f t="shared" si="159"/>
        <v>2.5416782926158003E-2</v>
      </c>
      <c r="AU346" s="237">
        <f t="shared" si="139"/>
        <v>0.98055959563958928</v>
      </c>
      <c r="AV346" s="237">
        <f t="shared" si="139"/>
        <v>1.9440404360410696E-2</v>
      </c>
      <c r="AX346" s="251">
        <f t="shared" si="152"/>
        <v>28765.964735994265</v>
      </c>
      <c r="AY346" s="251">
        <f t="shared" si="152"/>
        <v>17888.663854419934</v>
      </c>
      <c r="AZ346" s="251">
        <f t="shared" si="152"/>
        <v>1258.5958436246108</v>
      </c>
      <c r="BA346" s="251">
        <f t="shared" si="148"/>
        <v>89919.402303609881</v>
      </c>
      <c r="BB346" s="251">
        <f t="shared" si="148"/>
        <v>1794.6910710924667</v>
      </c>
      <c r="BC346" s="251">
        <f t="shared" si="149"/>
        <v>139627.31780874115</v>
      </c>
      <c r="BD346" s="270">
        <f t="shared" si="144"/>
        <v>7.6100191206778565</v>
      </c>
      <c r="BY346" s="252">
        <f t="shared" si="153"/>
        <v>1.5678131264078241</v>
      </c>
      <c r="BZ346" s="252">
        <f t="shared" si="151"/>
        <v>0.97497449719679541</v>
      </c>
      <c r="CA346" s="252">
        <f t="shared" si="151"/>
        <v>6.8596450791303207E-2</v>
      </c>
      <c r="CB346" s="252">
        <f t="shared" si="151"/>
        <v>4.9008201374155229</v>
      </c>
      <c r="CC346" s="252">
        <f t="shared" si="151"/>
        <v>9.7814908866411518E-2</v>
      </c>
    </row>
    <row r="347" spans="1:81">
      <c r="A347" s="11">
        <v>50192</v>
      </c>
      <c r="B347" s="268">
        <v>70</v>
      </c>
      <c r="C347" s="268">
        <v>13</v>
      </c>
      <c r="D347" s="268">
        <f t="shared" si="138"/>
        <v>20</v>
      </c>
      <c r="E347" s="268">
        <v>3</v>
      </c>
      <c r="F347" s="269">
        <v>0.2</v>
      </c>
      <c r="G347" s="269">
        <v>1.32</v>
      </c>
      <c r="H347" s="269"/>
      <c r="I347" s="269">
        <v>5</v>
      </c>
      <c r="J347" s="269"/>
      <c r="K347" s="269"/>
      <c r="L347" s="269"/>
      <c r="M347" s="269">
        <f t="shared" si="167"/>
        <v>1.5</v>
      </c>
      <c r="N347" s="269">
        <v>45</v>
      </c>
      <c r="O347" s="269">
        <f t="shared" si="150"/>
        <v>17.699535849485258</v>
      </c>
      <c r="Q347" s="251">
        <f t="shared" si="160"/>
        <v>176.71953584948523</v>
      </c>
      <c r="R347" s="251">
        <f>'RD Plant List'!N215</f>
        <v>664.33</v>
      </c>
      <c r="S347" s="251">
        <f>SUM(B347:O347)+'RD Plant List'!N215</f>
        <v>841.04953584948521</v>
      </c>
      <c r="T347" s="237">
        <f t="shared" si="145"/>
        <v>0.7898821314121609</v>
      </c>
      <c r="U347" s="251">
        <f t="shared" si="164"/>
        <v>541.55746943783197</v>
      </c>
      <c r="V347" s="271">
        <f t="shared" si="154"/>
        <v>0.64390674550559346</v>
      </c>
      <c r="W347" s="251">
        <f t="shared" si="161"/>
        <v>45.129789119819328</v>
      </c>
      <c r="X347" s="242">
        <f t="shared" si="162"/>
        <v>7.6100191206778582</v>
      </c>
      <c r="Y347" s="273">
        <f t="shared" si="163"/>
        <v>7.6100191206778582</v>
      </c>
      <c r="AB347" s="251">
        <f>SUM('BD Feedstock'!C345,'BD Feedstock'!E345,'BD Feedstock'!G345,'BD Feedstock'!K345,'BD Feedstock'!T345)</f>
        <v>21.812796010427753</v>
      </c>
      <c r="AC347" s="251">
        <f>SUM('BD Feedstock'!D345,'BD Feedstock'!F345,'BD Feedstock'!H345,'BD Feedstock'!I345,'BD Feedstock'!L345,'BD Feedstock'!M345,'BD Feedstock'!N345,'BD Feedstock'!O345,'BD Feedstock'!U345)</f>
        <v>12.773566250859661</v>
      </c>
      <c r="AD347" s="251">
        <f>'BD Feedstock'!J345</f>
        <v>0.90199999999999991</v>
      </c>
      <c r="AE347" s="251">
        <f>SUM('BD Feedstock'!B345,'BD Feedstock'!P345,'BD Feedstock'!Q345,'BD Feedstock'!R345)</f>
        <v>70.93020833333334</v>
      </c>
      <c r="AF347" s="251">
        <f>'BD Feedstock'!S345</f>
        <v>1.40625</v>
      </c>
      <c r="AG347" s="251">
        <f t="shared" si="155"/>
        <v>107.82482059462075</v>
      </c>
      <c r="AK347" s="237">
        <f t="shared" si="166"/>
        <v>0.20229846792359021</v>
      </c>
      <c r="AL347" s="237">
        <f t="shared" si="166"/>
        <v>0.11846591703484753</v>
      </c>
      <c r="AM347" s="237">
        <f t="shared" si="165"/>
        <v>8.3654208282077092E-3</v>
      </c>
      <c r="AN347" s="237">
        <f t="shared" si="165"/>
        <v>0.65782820636449979</v>
      </c>
      <c r="AO347" s="237">
        <f t="shared" si="165"/>
        <v>1.304198784885487E-2</v>
      </c>
      <c r="AP347" s="237">
        <f t="shared" si="156"/>
        <v>1</v>
      </c>
      <c r="AQ347" s="237"/>
      <c r="AR347" s="237">
        <f t="shared" si="157"/>
        <v>0.61464645366918802</v>
      </c>
      <c r="AS347" s="237">
        <f t="shared" si="158"/>
        <v>0.35993676340465403</v>
      </c>
      <c r="AT347" s="237">
        <f t="shared" si="159"/>
        <v>2.5416782926158003E-2</v>
      </c>
      <c r="AU347" s="237">
        <f t="shared" si="139"/>
        <v>0.98055959563958928</v>
      </c>
      <c r="AV347" s="237">
        <f t="shared" si="139"/>
        <v>1.9440404360410696E-2</v>
      </c>
      <c r="AX347" s="251">
        <f t="shared" si="152"/>
        <v>32093.971562503571</v>
      </c>
      <c r="AY347" s="251">
        <f t="shared" si="152"/>
        <v>19958.248378040884</v>
      </c>
      <c r="AZ347" s="251">
        <f t="shared" si="152"/>
        <v>1404.2059630084329</v>
      </c>
      <c r="BA347" s="251">
        <f t="shared" si="148"/>
        <v>100322.40416530661</v>
      </c>
      <c r="BB347" s="251">
        <f t="shared" si="148"/>
        <v>2002.3233959905592</v>
      </c>
      <c r="BC347" s="251">
        <f t="shared" si="149"/>
        <v>155781.15346485007</v>
      </c>
      <c r="BD347" s="270">
        <f t="shared" si="144"/>
        <v>7.6100191206778582</v>
      </c>
      <c r="BY347" s="252">
        <f t="shared" si="153"/>
        <v>1.5678131264078241</v>
      </c>
      <c r="BZ347" s="252">
        <f t="shared" si="151"/>
        <v>0.97497449719679508</v>
      </c>
      <c r="CA347" s="252">
        <f t="shared" si="151"/>
        <v>6.8596450791303207E-2</v>
      </c>
      <c r="CB347" s="252">
        <f t="shared" si="151"/>
        <v>4.9008201374155238</v>
      </c>
      <c r="CC347" s="252">
        <f t="shared" si="151"/>
        <v>9.7814908866411532E-2</v>
      </c>
    </row>
    <row r="348" spans="1:81">
      <c r="A348" s="11">
        <v>50222</v>
      </c>
      <c r="B348" s="268">
        <v>70</v>
      </c>
      <c r="C348" s="268">
        <v>13</v>
      </c>
      <c r="D348" s="268">
        <f t="shared" si="138"/>
        <v>20</v>
      </c>
      <c r="E348" s="268">
        <v>3</v>
      </c>
      <c r="F348" s="269">
        <v>0.2</v>
      </c>
      <c r="G348" s="269">
        <v>1.32</v>
      </c>
      <c r="H348" s="269"/>
      <c r="I348" s="269">
        <v>5</v>
      </c>
      <c r="J348" s="269"/>
      <c r="K348" s="269"/>
      <c r="L348" s="269"/>
      <c r="M348" s="269">
        <f t="shared" si="167"/>
        <v>1.5</v>
      </c>
      <c r="N348" s="269">
        <v>45</v>
      </c>
      <c r="O348" s="269">
        <f t="shared" si="150"/>
        <v>17.699535849485258</v>
      </c>
      <c r="Q348" s="251">
        <f t="shared" si="160"/>
        <v>176.71953584948523</v>
      </c>
      <c r="R348" s="251">
        <f>'RD Plant List'!N216</f>
        <v>664.33</v>
      </c>
      <c r="S348" s="251">
        <f>SUM(B348:O348)+'RD Plant List'!N216</f>
        <v>841.04953584948521</v>
      </c>
      <c r="T348" s="237">
        <f t="shared" si="145"/>
        <v>0.7898821314121609</v>
      </c>
      <c r="U348" s="251">
        <f t="shared" si="164"/>
        <v>556.23553227857815</v>
      </c>
      <c r="V348" s="271">
        <f t="shared" si="154"/>
        <v>0.66135882438453952</v>
      </c>
      <c r="W348" s="251">
        <f t="shared" si="161"/>
        <v>46.352961023214846</v>
      </c>
      <c r="X348" s="242">
        <f t="shared" si="162"/>
        <v>7.6100191206778574</v>
      </c>
      <c r="Y348" s="273">
        <f t="shared" si="163"/>
        <v>7.6100191206778574</v>
      </c>
      <c r="AB348" s="251">
        <f>SUM('BD Feedstock'!C346,'BD Feedstock'!E346,'BD Feedstock'!G346,'BD Feedstock'!K346,'BD Feedstock'!T346)</f>
        <v>21.812796010427753</v>
      </c>
      <c r="AC348" s="251">
        <f>SUM('BD Feedstock'!D346,'BD Feedstock'!F346,'BD Feedstock'!H346,'BD Feedstock'!I346,'BD Feedstock'!L346,'BD Feedstock'!M346,'BD Feedstock'!N346,'BD Feedstock'!O346,'BD Feedstock'!U346)</f>
        <v>12.773566250859661</v>
      </c>
      <c r="AD348" s="251">
        <f>'BD Feedstock'!J346</f>
        <v>0.90199999999999991</v>
      </c>
      <c r="AE348" s="251">
        <f>SUM('BD Feedstock'!B346,'BD Feedstock'!P346,'BD Feedstock'!Q346,'BD Feedstock'!R346)</f>
        <v>70.93020833333334</v>
      </c>
      <c r="AF348" s="251">
        <f>'BD Feedstock'!S346</f>
        <v>1.40625</v>
      </c>
      <c r="AG348" s="251">
        <f t="shared" si="155"/>
        <v>107.82482059462075</v>
      </c>
      <c r="AK348" s="237">
        <f t="shared" si="166"/>
        <v>0.20229846792359021</v>
      </c>
      <c r="AL348" s="237">
        <f t="shared" si="166"/>
        <v>0.11846591703484753</v>
      </c>
      <c r="AM348" s="237">
        <f t="shared" si="165"/>
        <v>8.3654208282077092E-3</v>
      </c>
      <c r="AN348" s="237">
        <f t="shared" si="165"/>
        <v>0.65782820636449979</v>
      </c>
      <c r="AO348" s="237">
        <f t="shared" si="165"/>
        <v>1.304198784885487E-2</v>
      </c>
      <c r="AP348" s="237">
        <f t="shared" si="156"/>
        <v>1</v>
      </c>
      <c r="AQ348" s="237"/>
      <c r="AR348" s="237">
        <f t="shared" si="157"/>
        <v>0.61464645366918802</v>
      </c>
      <c r="AS348" s="237">
        <f t="shared" si="158"/>
        <v>0.35993676340465403</v>
      </c>
      <c r="AT348" s="237">
        <f t="shared" si="159"/>
        <v>2.5416782926158003E-2</v>
      </c>
      <c r="AU348" s="237">
        <f t="shared" si="139"/>
        <v>0.98055959563958928</v>
      </c>
      <c r="AV348" s="237">
        <f t="shared" si="139"/>
        <v>1.9440404360410696E-2</v>
      </c>
      <c r="AX348" s="251">
        <f t="shared" si="152"/>
        <v>32963.828148347646</v>
      </c>
      <c r="AY348" s="251">
        <f t="shared" si="152"/>
        <v>20499.185287632776</v>
      </c>
      <c r="AZ348" s="251">
        <f t="shared" si="152"/>
        <v>1442.2647555273209</v>
      </c>
      <c r="BA348" s="251">
        <f t="shared" si="148"/>
        <v>103041.48503072554</v>
      </c>
      <c r="BB348" s="251">
        <f t="shared" si="148"/>
        <v>2056.5932201411783</v>
      </c>
      <c r="BC348" s="251">
        <f t="shared" si="149"/>
        <v>160003.35644237447</v>
      </c>
      <c r="BD348" s="270">
        <f t="shared" si="144"/>
        <v>7.6100191206778574</v>
      </c>
      <c r="BY348" s="252">
        <f t="shared" si="153"/>
        <v>1.5678131264078241</v>
      </c>
      <c r="BZ348" s="252">
        <f t="shared" si="151"/>
        <v>0.9749744971967953</v>
      </c>
      <c r="CA348" s="252">
        <f t="shared" si="151"/>
        <v>6.8596450791303207E-2</v>
      </c>
      <c r="CB348" s="252">
        <f t="shared" si="151"/>
        <v>4.9008201374155238</v>
      </c>
      <c r="CC348" s="252">
        <f t="shared" si="151"/>
        <v>9.7814908866411504E-2</v>
      </c>
    </row>
    <row r="349" spans="1:81">
      <c r="A349" s="11">
        <v>50253</v>
      </c>
      <c r="B349" s="268">
        <v>70</v>
      </c>
      <c r="C349" s="268">
        <v>13</v>
      </c>
      <c r="D349" s="268">
        <f t="shared" si="138"/>
        <v>20</v>
      </c>
      <c r="E349" s="268">
        <v>3</v>
      </c>
      <c r="F349" s="269">
        <v>0.2</v>
      </c>
      <c r="G349" s="269">
        <v>1.32</v>
      </c>
      <c r="H349" s="269"/>
      <c r="I349" s="269">
        <v>5</v>
      </c>
      <c r="J349" s="269"/>
      <c r="K349" s="269"/>
      <c r="L349" s="269"/>
      <c r="M349" s="269">
        <f t="shared" si="167"/>
        <v>1.5</v>
      </c>
      <c r="N349" s="269">
        <v>45</v>
      </c>
      <c r="O349" s="269">
        <f t="shared" si="150"/>
        <v>17.699535849485258</v>
      </c>
      <c r="Q349" s="251">
        <f t="shared" si="160"/>
        <v>176.71953584948523</v>
      </c>
      <c r="R349" s="251">
        <f>'RD Plant List'!N217</f>
        <v>664.33</v>
      </c>
      <c r="S349" s="251">
        <f>SUM(B349:O349)+'RD Plant List'!N217</f>
        <v>841.04953584948521</v>
      </c>
      <c r="T349" s="237">
        <f t="shared" si="145"/>
        <v>0.7898821314121609</v>
      </c>
      <c r="U349" s="251">
        <f t="shared" si="164"/>
        <v>524.90720448950833</v>
      </c>
      <c r="V349" s="271">
        <f t="shared" si="154"/>
        <v>0.62410973684128646</v>
      </c>
      <c r="W349" s="251">
        <f t="shared" si="161"/>
        <v>43.742267040792363</v>
      </c>
      <c r="X349" s="242">
        <f t="shared" si="162"/>
        <v>7.6100191206778574</v>
      </c>
      <c r="Y349" s="273">
        <f t="shared" si="163"/>
        <v>7.6100191206778574</v>
      </c>
      <c r="AB349" s="251">
        <f>SUM('BD Feedstock'!C347,'BD Feedstock'!E347,'BD Feedstock'!G347,'BD Feedstock'!K347,'BD Feedstock'!T347)</f>
        <v>21.812796010427753</v>
      </c>
      <c r="AC349" s="251">
        <f>SUM('BD Feedstock'!D347,'BD Feedstock'!F347,'BD Feedstock'!H347,'BD Feedstock'!I347,'BD Feedstock'!L347,'BD Feedstock'!M347,'BD Feedstock'!N347,'BD Feedstock'!O347,'BD Feedstock'!U347)</f>
        <v>12.773566250859661</v>
      </c>
      <c r="AD349" s="251">
        <f>'BD Feedstock'!J347</f>
        <v>0.90199999999999991</v>
      </c>
      <c r="AE349" s="251">
        <f>SUM('BD Feedstock'!B347,'BD Feedstock'!P347,'BD Feedstock'!Q347,'BD Feedstock'!R347)</f>
        <v>70.93020833333334</v>
      </c>
      <c r="AF349" s="251">
        <f>'BD Feedstock'!S347</f>
        <v>1.40625</v>
      </c>
      <c r="AG349" s="251">
        <f t="shared" si="155"/>
        <v>107.82482059462075</v>
      </c>
      <c r="AK349" s="237">
        <f t="shared" si="166"/>
        <v>0.20229846792359021</v>
      </c>
      <c r="AL349" s="237">
        <f t="shared" si="166"/>
        <v>0.11846591703484753</v>
      </c>
      <c r="AM349" s="237">
        <f t="shared" si="165"/>
        <v>8.3654208282077092E-3</v>
      </c>
      <c r="AN349" s="237">
        <f t="shared" si="165"/>
        <v>0.65782820636449979</v>
      </c>
      <c r="AO349" s="237">
        <f t="shared" si="165"/>
        <v>1.304198784885487E-2</v>
      </c>
      <c r="AP349" s="237">
        <f t="shared" si="156"/>
        <v>1</v>
      </c>
      <c r="AQ349" s="237"/>
      <c r="AR349" s="237">
        <f t="shared" si="157"/>
        <v>0.61464645366918802</v>
      </c>
      <c r="AS349" s="237">
        <f t="shared" si="158"/>
        <v>0.35993676340465403</v>
      </c>
      <c r="AT349" s="237">
        <f t="shared" si="159"/>
        <v>2.5416782926158003E-2</v>
      </c>
      <c r="AU349" s="237">
        <f t="shared" si="139"/>
        <v>0.98055959563958928</v>
      </c>
      <c r="AV349" s="237">
        <f t="shared" si="139"/>
        <v>1.9440404360410696E-2</v>
      </c>
      <c r="AX349" s="251">
        <f t="shared" si="152"/>
        <v>31107.237633204517</v>
      </c>
      <c r="AY349" s="251">
        <f t="shared" si="152"/>
        <v>19344.629063097658</v>
      </c>
      <c r="AZ349" s="251">
        <f t="shared" si="152"/>
        <v>1361.0334418162195</v>
      </c>
      <c r="BA349" s="251">
        <f t="shared" si="148"/>
        <v>97237.976927438154</v>
      </c>
      <c r="BB349" s="251">
        <f t="shared" si="148"/>
        <v>1940.7616653582077</v>
      </c>
      <c r="BC349" s="251">
        <f t="shared" si="149"/>
        <v>150991.63873091474</v>
      </c>
      <c r="BD349" s="270">
        <f t="shared" si="144"/>
        <v>7.6100191206778565</v>
      </c>
      <c r="BY349" s="252">
        <f t="shared" si="153"/>
        <v>1.5678131264078243</v>
      </c>
      <c r="BZ349" s="252">
        <f t="shared" si="151"/>
        <v>0.9749744971967953</v>
      </c>
      <c r="CA349" s="252">
        <f t="shared" si="151"/>
        <v>6.8596450791303207E-2</v>
      </c>
      <c r="CB349" s="252">
        <f t="shared" si="151"/>
        <v>4.9008201374155238</v>
      </c>
      <c r="CC349" s="252">
        <f t="shared" si="151"/>
        <v>9.7814908866411532E-2</v>
      </c>
    </row>
    <row r="350" spans="1:81">
      <c r="A350" s="11">
        <v>50284</v>
      </c>
      <c r="B350" s="268">
        <v>70</v>
      </c>
      <c r="C350" s="268">
        <v>13</v>
      </c>
      <c r="D350" s="268">
        <f t="shared" si="138"/>
        <v>20</v>
      </c>
      <c r="E350" s="268">
        <v>3</v>
      </c>
      <c r="F350" s="269">
        <v>0.2</v>
      </c>
      <c r="G350" s="269">
        <v>1.32</v>
      </c>
      <c r="H350" s="269"/>
      <c r="I350" s="269">
        <v>5</v>
      </c>
      <c r="J350" s="269"/>
      <c r="K350" s="269"/>
      <c r="L350" s="269"/>
      <c r="M350" s="269">
        <f t="shared" si="167"/>
        <v>1.5</v>
      </c>
      <c r="N350" s="269">
        <v>45</v>
      </c>
      <c r="O350" s="269">
        <f t="shared" si="150"/>
        <v>17.699535849485258</v>
      </c>
      <c r="Q350" s="251">
        <f t="shared" si="160"/>
        <v>176.71953584948523</v>
      </c>
      <c r="R350" s="251">
        <f>'RD Plant List'!N218</f>
        <v>664.33</v>
      </c>
      <c r="S350" s="251">
        <f>SUM(B350:O350)+'RD Plant List'!N218</f>
        <v>841.04953584948521</v>
      </c>
      <c r="T350" s="237">
        <f t="shared" si="145"/>
        <v>0.7898821314121609</v>
      </c>
      <c r="U350" s="251">
        <f t="shared" si="164"/>
        <v>569.04480950984646</v>
      </c>
      <c r="V350" s="271">
        <f t="shared" si="154"/>
        <v>0.6765889347232017</v>
      </c>
      <c r="W350" s="251">
        <f t="shared" si="161"/>
        <v>47.420400792487207</v>
      </c>
      <c r="X350" s="242">
        <f t="shared" si="162"/>
        <v>7.6100191206778582</v>
      </c>
      <c r="Y350" s="273">
        <f t="shared" si="163"/>
        <v>7.6100191206778582</v>
      </c>
      <c r="AB350" s="251">
        <f>SUM('BD Feedstock'!C348,'BD Feedstock'!E348,'BD Feedstock'!G348,'BD Feedstock'!K348,'BD Feedstock'!T348)</f>
        <v>21.812796010427753</v>
      </c>
      <c r="AC350" s="251">
        <f>SUM('BD Feedstock'!D348,'BD Feedstock'!F348,'BD Feedstock'!H348,'BD Feedstock'!I348,'BD Feedstock'!L348,'BD Feedstock'!M348,'BD Feedstock'!N348,'BD Feedstock'!O348,'BD Feedstock'!U348)</f>
        <v>12.773566250859661</v>
      </c>
      <c r="AD350" s="251">
        <f>'BD Feedstock'!J348</f>
        <v>0.90199999999999991</v>
      </c>
      <c r="AE350" s="251">
        <f>SUM('BD Feedstock'!B348,'BD Feedstock'!P348,'BD Feedstock'!Q348,'BD Feedstock'!R348)</f>
        <v>70.93020833333334</v>
      </c>
      <c r="AF350" s="251">
        <f>'BD Feedstock'!S348</f>
        <v>1.40625</v>
      </c>
      <c r="AG350" s="251">
        <f t="shared" si="155"/>
        <v>107.82482059462075</v>
      </c>
      <c r="AK350" s="237">
        <f t="shared" si="166"/>
        <v>0.20229846792359021</v>
      </c>
      <c r="AL350" s="237">
        <f t="shared" si="166"/>
        <v>0.11846591703484753</v>
      </c>
      <c r="AM350" s="237">
        <f t="shared" si="165"/>
        <v>8.3654208282077092E-3</v>
      </c>
      <c r="AN350" s="237">
        <f t="shared" si="165"/>
        <v>0.65782820636449979</v>
      </c>
      <c r="AO350" s="237">
        <f t="shared" si="165"/>
        <v>1.304198784885487E-2</v>
      </c>
      <c r="AP350" s="237">
        <f t="shared" si="156"/>
        <v>1</v>
      </c>
      <c r="AQ350" s="237"/>
      <c r="AR350" s="237">
        <f t="shared" si="157"/>
        <v>0.61464645366918802</v>
      </c>
      <c r="AS350" s="237">
        <f t="shared" si="158"/>
        <v>0.35993676340465403</v>
      </c>
      <c r="AT350" s="237">
        <f t="shared" si="159"/>
        <v>2.5416782926158003E-2</v>
      </c>
      <c r="AU350" s="237">
        <f t="shared" si="139"/>
        <v>0.98055959563958928</v>
      </c>
      <c r="AV350" s="237">
        <f t="shared" si="139"/>
        <v>1.9440404360410696E-2</v>
      </c>
      <c r="AX350" s="251">
        <f t="shared" si="152"/>
        <v>33722.9360960661</v>
      </c>
      <c r="AY350" s="251">
        <f t="shared" si="152"/>
        <v>20971.251044181598</v>
      </c>
      <c r="AZ350" s="251">
        <f t="shared" si="152"/>
        <v>1475.4779683164393</v>
      </c>
      <c r="BA350" s="251">
        <f t="shared" si="148"/>
        <v>105414.377216655</v>
      </c>
      <c r="BB350" s="251">
        <f t="shared" si="148"/>
        <v>2103.9535040137698</v>
      </c>
      <c r="BC350" s="251">
        <f t="shared" si="149"/>
        <v>163687.99582923291</v>
      </c>
      <c r="BD350" s="270">
        <f t="shared" si="144"/>
        <v>7.6100191206778582</v>
      </c>
      <c r="BY350" s="252">
        <f t="shared" si="153"/>
        <v>1.5678131264078243</v>
      </c>
      <c r="BZ350" s="252">
        <f t="shared" si="151"/>
        <v>0.97497449719679519</v>
      </c>
      <c r="CA350" s="252">
        <f t="shared" si="151"/>
        <v>6.8596450791303221E-2</v>
      </c>
      <c r="CB350" s="252">
        <f t="shared" si="151"/>
        <v>4.9008201374155238</v>
      </c>
      <c r="CC350" s="252">
        <f t="shared" si="151"/>
        <v>9.7814908866411532E-2</v>
      </c>
    </row>
    <row r="351" spans="1:81">
      <c r="A351" s="11">
        <v>50314</v>
      </c>
      <c r="B351" s="268">
        <v>70</v>
      </c>
      <c r="C351" s="268">
        <v>13</v>
      </c>
      <c r="D351" s="268">
        <f t="shared" si="138"/>
        <v>20</v>
      </c>
      <c r="E351" s="268">
        <v>3</v>
      </c>
      <c r="F351" s="269">
        <v>0.2</v>
      </c>
      <c r="G351" s="269">
        <v>1.32</v>
      </c>
      <c r="H351" s="269"/>
      <c r="I351" s="269">
        <v>5</v>
      </c>
      <c r="J351" s="269"/>
      <c r="K351" s="269"/>
      <c r="L351" s="269"/>
      <c r="M351" s="269">
        <f t="shared" si="167"/>
        <v>1.5</v>
      </c>
      <c r="N351" s="269">
        <v>45</v>
      </c>
      <c r="O351" s="269">
        <f t="shared" si="150"/>
        <v>17.699535849485258</v>
      </c>
      <c r="Q351" s="251">
        <f t="shared" si="160"/>
        <v>176.71953584948523</v>
      </c>
      <c r="R351" s="251">
        <f>'RD Plant List'!N219</f>
        <v>664.33</v>
      </c>
      <c r="S351" s="251">
        <f>SUM(B351:O351)+'RD Plant List'!N219</f>
        <v>841.04953584948521</v>
      </c>
      <c r="T351" s="237">
        <f t="shared" si="145"/>
        <v>0.7898821314121609</v>
      </c>
      <c r="U351" s="251">
        <f t="shared" si="164"/>
        <v>595.86631558534953</v>
      </c>
      <c r="V351" s="271">
        <f t="shared" si="154"/>
        <v>0.70847945357166953</v>
      </c>
      <c r="W351" s="251">
        <f t="shared" si="161"/>
        <v>49.655526298779129</v>
      </c>
      <c r="X351" s="242">
        <f t="shared" si="162"/>
        <v>7.6100191206778574</v>
      </c>
      <c r="Y351" s="273">
        <f t="shared" si="163"/>
        <v>7.6100191206778574</v>
      </c>
      <c r="AB351" s="251">
        <f>SUM('BD Feedstock'!C349,'BD Feedstock'!E349,'BD Feedstock'!G349,'BD Feedstock'!K349,'BD Feedstock'!T349)</f>
        <v>21.812796010427753</v>
      </c>
      <c r="AC351" s="251">
        <f>SUM('BD Feedstock'!D349,'BD Feedstock'!F349,'BD Feedstock'!H349,'BD Feedstock'!I349,'BD Feedstock'!L349,'BD Feedstock'!M349,'BD Feedstock'!N349,'BD Feedstock'!O349,'BD Feedstock'!U349)</f>
        <v>12.773566250859661</v>
      </c>
      <c r="AD351" s="251">
        <f>'BD Feedstock'!J349</f>
        <v>0.90199999999999991</v>
      </c>
      <c r="AE351" s="251">
        <f>SUM('BD Feedstock'!B349,'BD Feedstock'!P349,'BD Feedstock'!Q349,'BD Feedstock'!R349)</f>
        <v>70.93020833333334</v>
      </c>
      <c r="AF351" s="251">
        <f>'BD Feedstock'!S349</f>
        <v>1.40625</v>
      </c>
      <c r="AG351" s="251">
        <f t="shared" si="155"/>
        <v>107.82482059462075</v>
      </c>
      <c r="AK351" s="237">
        <f t="shared" si="166"/>
        <v>0.20229846792359021</v>
      </c>
      <c r="AL351" s="237">
        <f t="shared" si="166"/>
        <v>0.11846591703484753</v>
      </c>
      <c r="AM351" s="237">
        <f t="shared" si="165"/>
        <v>8.3654208282077092E-3</v>
      </c>
      <c r="AN351" s="237">
        <f t="shared" si="165"/>
        <v>0.65782820636449979</v>
      </c>
      <c r="AO351" s="237">
        <f t="shared" si="165"/>
        <v>1.304198784885487E-2</v>
      </c>
      <c r="AP351" s="237">
        <f t="shared" si="156"/>
        <v>1</v>
      </c>
      <c r="AQ351" s="237"/>
      <c r="AR351" s="237">
        <f t="shared" si="157"/>
        <v>0.61464645366918802</v>
      </c>
      <c r="AS351" s="237">
        <f t="shared" si="158"/>
        <v>0.35993676340465403</v>
      </c>
      <c r="AT351" s="237">
        <f t="shared" si="159"/>
        <v>2.5416782926158003E-2</v>
      </c>
      <c r="AU351" s="237">
        <f t="shared" si="139"/>
        <v>0.98055959563958928</v>
      </c>
      <c r="AV351" s="237">
        <f t="shared" si="139"/>
        <v>1.9440404360410696E-2</v>
      </c>
      <c r="AX351" s="251">
        <f t="shared" si="152"/>
        <v>35312.441738272981</v>
      </c>
      <c r="AY351" s="251">
        <f t="shared" si="152"/>
        <v>21959.715446092083</v>
      </c>
      <c r="AZ351" s="251">
        <f t="shared" si="152"/>
        <v>1545.0235306871043</v>
      </c>
      <c r="BA351" s="251">
        <f t="shared" si="148"/>
        <v>110383.00589353772</v>
      </c>
      <c r="BB351" s="251">
        <f t="shared" si="148"/>
        <v>2203.1217957676108</v>
      </c>
      <c r="BC351" s="251">
        <f t="shared" si="149"/>
        <v>171403.30840435749</v>
      </c>
      <c r="BD351" s="270">
        <f t="shared" si="144"/>
        <v>7.6100191206778574</v>
      </c>
      <c r="BY351" s="252">
        <f t="shared" si="153"/>
        <v>1.5678131264078243</v>
      </c>
      <c r="BZ351" s="252">
        <f t="shared" si="151"/>
        <v>0.97497449719679496</v>
      </c>
      <c r="CA351" s="252">
        <f t="shared" si="151"/>
        <v>6.8596450791303207E-2</v>
      </c>
      <c r="CB351" s="252">
        <f t="shared" si="151"/>
        <v>4.9008201374155238</v>
      </c>
      <c r="CC351" s="252">
        <f t="shared" si="151"/>
        <v>9.7814908866411532E-2</v>
      </c>
    </row>
    <row r="352" spans="1:81">
      <c r="A352" s="11">
        <v>50345</v>
      </c>
      <c r="B352" s="268">
        <v>70</v>
      </c>
      <c r="C352" s="268">
        <v>13</v>
      </c>
      <c r="D352" s="268">
        <f t="shared" si="138"/>
        <v>20</v>
      </c>
      <c r="E352" s="268">
        <v>3</v>
      </c>
      <c r="F352" s="269">
        <v>0.2</v>
      </c>
      <c r="G352" s="269">
        <v>1.32</v>
      </c>
      <c r="H352" s="269"/>
      <c r="I352" s="269">
        <v>5</v>
      </c>
      <c r="J352" s="269"/>
      <c r="K352" s="269"/>
      <c r="L352" s="269"/>
      <c r="M352" s="269">
        <f t="shared" si="167"/>
        <v>1.5</v>
      </c>
      <c r="N352" s="269">
        <v>45</v>
      </c>
      <c r="O352" s="269">
        <f t="shared" si="150"/>
        <v>17.699535849485258</v>
      </c>
      <c r="Q352" s="251">
        <f t="shared" si="160"/>
        <v>176.71953584948523</v>
      </c>
      <c r="R352" s="251">
        <f>'RD Plant List'!N220</f>
        <v>664.33</v>
      </c>
      <c r="S352" s="251">
        <f>SUM(B352:O352)+'RD Plant List'!N220</f>
        <v>841.04953584948521</v>
      </c>
      <c r="T352" s="237">
        <f t="shared" si="145"/>
        <v>0.7898821314121609</v>
      </c>
      <c r="U352" s="251">
        <f t="shared" si="164"/>
        <v>641.1152611845082</v>
      </c>
      <c r="V352" s="271">
        <f t="shared" si="154"/>
        <v>0.76228002496542913</v>
      </c>
      <c r="W352" s="251">
        <f t="shared" si="161"/>
        <v>53.426271765375681</v>
      </c>
      <c r="X352" s="242">
        <f t="shared" si="162"/>
        <v>7.6100191206778582</v>
      </c>
      <c r="Y352" s="273">
        <f t="shared" si="163"/>
        <v>7.6100191206778582</v>
      </c>
      <c r="AB352" s="251">
        <f>SUM('BD Feedstock'!C350,'BD Feedstock'!E350,'BD Feedstock'!G350,'BD Feedstock'!K350,'BD Feedstock'!T350)</f>
        <v>21.812796010427753</v>
      </c>
      <c r="AC352" s="251">
        <f>SUM('BD Feedstock'!D350,'BD Feedstock'!F350,'BD Feedstock'!H350,'BD Feedstock'!I350,'BD Feedstock'!L350,'BD Feedstock'!M350,'BD Feedstock'!N350,'BD Feedstock'!O350,'BD Feedstock'!U350)</f>
        <v>12.773566250859661</v>
      </c>
      <c r="AD352" s="251">
        <f>'BD Feedstock'!J350</f>
        <v>0.90199999999999991</v>
      </c>
      <c r="AE352" s="251">
        <f>SUM('BD Feedstock'!B350,'BD Feedstock'!P350,'BD Feedstock'!Q350,'BD Feedstock'!R350)</f>
        <v>70.93020833333334</v>
      </c>
      <c r="AF352" s="251">
        <f>'BD Feedstock'!S350</f>
        <v>1.40625</v>
      </c>
      <c r="AG352" s="251">
        <f t="shared" si="155"/>
        <v>107.82482059462075</v>
      </c>
      <c r="AK352" s="237">
        <f t="shared" si="166"/>
        <v>0.20229846792359021</v>
      </c>
      <c r="AL352" s="237">
        <f t="shared" si="166"/>
        <v>0.11846591703484753</v>
      </c>
      <c r="AM352" s="237">
        <f t="shared" si="165"/>
        <v>8.3654208282077092E-3</v>
      </c>
      <c r="AN352" s="237">
        <f t="shared" si="165"/>
        <v>0.65782820636449979</v>
      </c>
      <c r="AO352" s="237">
        <f t="shared" si="165"/>
        <v>1.304198784885487E-2</v>
      </c>
      <c r="AP352" s="237">
        <f t="shared" si="156"/>
        <v>1</v>
      </c>
      <c r="AQ352" s="237"/>
      <c r="AR352" s="237">
        <f t="shared" si="157"/>
        <v>0.61464645366918802</v>
      </c>
      <c r="AS352" s="237">
        <f t="shared" si="158"/>
        <v>0.35993676340465403</v>
      </c>
      <c r="AT352" s="237">
        <f t="shared" si="159"/>
        <v>2.5416782926158003E-2</v>
      </c>
      <c r="AU352" s="237">
        <f t="shared" si="139"/>
        <v>0.98055959563958928</v>
      </c>
      <c r="AV352" s="237">
        <f t="shared" si="139"/>
        <v>1.9440404360410696E-2</v>
      </c>
      <c r="AX352" s="251">
        <f t="shared" si="152"/>
        <v>37994.000862183049</v>
      </c>
      <c r="AY352" s="251">
        <f t="shared" si="152"/>
        <v>23627.294135478325</v>
      </c>
      <c r="AZ352" s="251">
        <f t="shared" si="152"/>
        <v>1662.3496554585706</v>
      </c>
      <c r="BA352" s="251">
        <f t="shared" si="148"/>
        <v>118765.27973266509</v>
      </c>
      <c r="BB352" s="251">
        <f t="shared" si="148"/>
        <v>2370.4226410706042</v>
      </c>
      <c r="BC352" s="251">
        <f t="shared" si="149"/>
        <v>184419.34702685566</v>
      </c>
      <c r="BD352" s="270">
        <f t="shared" si="144"/>
        <v>7.6100191206778591</v>
      </c>
      <c r="BY352" s="252">
        <f t="shared" si="153"/>
        <v>1.5678131264078243</v>
      </c>
      <c r="BZ352" s="252">
        <f t="shared" si="151"/>
        <v>0.97497449719679519</v>
      </c>
      <c r="CA352" s="252">
        <f t="shared" si="151"/>
        <v>6.8596450791303207E-2</v>
      </c>
      <c r="CB352" s="252">
        <f t="shared" si="151"/>
        <v>4.9008201374155238</v>
      </c>
      <c r="CC352" s="252">
        <f t="shared" si="151"/>
        <v>9.7814908866411532E-2</v>
      </c>
    </row>
    <row r="353" spans="1:81">
      <c r="A353" s="11">
        <v>50375</v>
      </c>
      <c r="B353" s="268">
        <v>70</v>
      </c>
      <c r="C353" s="268">
        <v>13</v>
      </c>
      <c r="D353" s="268">
        <f t="shared" si="138"/>
        <v>20</v>
      </c>
      <c r="E353" s="268">
        <v>3</v>
      </c>
      <c r="F353" s="269">
        <v>0.2</v>
      </c>
      <c r="G353" s="269">
        <v>1.32</v>
      </c>
      <c r="H353" s="269"/>
      <c r="I353" s="269">
        <v>5</v>
      </c>
      <c r="J353" s="269"/>
      <c r="K353" s="269"/>
      <c r="L353" s="269"/>
      <c r="M353" s="269">
        <f t="shared" si="167"/>
        <v>1.5</v>
      </c>
      <c r="N353" s="269">
        <v>45</v>
      </c>
      <c r="O353" s="269">
        <f t="shared" si="150"/>
        <v>17.699535849485258</v>
      </c>
      <c r="Q353" s="251">
        <f t="shared" si="160"/>
        <v>176.71953584948523</v>
      </c>
      <c r="R353" s="251">
        <f>'RD Plant List'!N221</f>
        <v>664.33</v>
      </c>
      <c r="S353" s="251">
        <f>SUM(B353:O353)+'RD Plant List'!N221</f>
        <v>841.04953584948521</v>
      </c>
      <c r="T353" s="237">
        <f t="shared" si="145"/>
        <v>0.7898821314121609</v>
      </c>
      <c r="U353" s="251">
        <f t="shared" si="164"/>
        <v>582.89418212284249</v>
      </c>
      <c r="V353" s="271">
        <f t="shared" si="154"/>
        <v>0.69305570870341415</v>
      </c>
      <c r="W353" s="251">
        <f t="shared" si="161"/>
        <v>48.574515176903539</v>
      </c>
      <c r="X353" s="242">
        <f t="shared" si="162"/>
        <v>7.6100191206778574</v>
      </c>
      <c r="Y353" s="273">
        <f t="shared" si="163"/>
        <v>7.6100191206778574</v>
      </c>
      <c r="AB353" s="251">
        <f>SUM('BD Feedstock'!C351,'BD Feedstock'!E351,'BD Feedstock'!G351,'BD Feedstock'!K351,'BD Feedstock'!T351)</f>
        <v>21.812796010427753</v>
      </c>
      <c r="AC353" s="251">
        <f>SUM('BD Feedstock'!D351,'BD Feedstock'!F351,'BD Feedstock'!H351,'BD Feedstock'!I351,'BD Feedstock'!L351,'BD Feedstock'!M351,'BD Feedstock'!N351,'BD Feedstock'!O351,'BD Feedstock'!U351)</f>
        <v>12.773566250859661</v>
      </c>
      <c r="AD353" s="251">
        <f>'BD Feedstock'!J351</f>
        <v>0.90199999999999991</v>
      </c>
      <c r="AE353" s="251">
        <f>SUM('BD Feedstock'!B351,'BD Feedstock'!P351,'BD Feedstock'!Q351,'BD Feedstock'!R351)</f>
        <v>70.93020833333334</v>
      </c>
      <c r="AF353" s="251">
        <f>'BD Feedstock'!S351</f>
        <v>1.40625</v>
      </c>
      <c r="AG353" s="251">
        <f t="shared" si="155"/>
        <v>107.82482059462075</v>
      </c>
      <c r="AK353" s="237">
        <f t="shared" si="166"/>
        <v>0.20229846792359021</v>
      </c>
      <c r="AL353" s="237">
        <f t="shared" si="166"/>
        <v>0.11846591703484753</v>
      </c>
      <c r="AM353" s="237">
        <f t="shared" si="165"/>
        <v>8.3654208282077092E-3</v>
      </c>
      <c r="AN353" s="237">
        <f t="shared" si="165"/>
        <v>0.65782820636449979</v>
      </c>
      <c r="AO353" s="237">
        <f t="shared" si="165"/>
        <v>1.304198784885487E-2</v>
      </c>
      <c r="AP353" s="237">
        <f t="shared" si="156"/>
        <v>1</v>
      </c>
      <c r="AQ353" s="237"/>
      <c r="AR353" s="237">
        <f t="shared" si="157"/>
        <v>0.61464645366918802</v>
      </c>
      <c r="AS353" s="237">
        <f t="shared" si="158"/>
        <v>0.35993676340465403</v>
      </c>
      <c r="AT353" s="237">
        <f t="shared" si="159"/>
        <v>2.5416782926158003E-2</v>
      </c>
      <c r="AU353" s="237">
        <f t="shared" si="139"/>
        <v>0.98055959563958928</v>
      </c>
      <c r="AV353" s="237">
        <f t="shared" si="139"/>
        <v>1.9440404360410696E-2</v>
      </c>
      <c r="AX353" s="251">
        <f t="shared" si="152"/>
        <v>34543.68254659776</v>
      </c>
      <c r="AY353" s="251">
        <f t="shared" si="152"/>
        <v>21481.647879400476</v>
      </c>
      <c r="AZ353" s="251">
        <f t="shared" si="152"/>
        <v>1511.3880474947064</v>
      </c>
      <c r="BA353" s="251">
        <f t="shared" si="148"/>
        <v>107979.94492668804</v>
      </c>
      <c r="BB353" s="251">
        <f t="shared" si="148"/>
        <v>2155.1593766454939</v>
      </c>
      <c r="BC353" s="251">
        <f t="shared" si="149"/>
        <v>167671.82277682648</v>
      </c>
      <c r="BD353" s="270">
        <f t="shared" si="144"/>
        <v>7.6100191206778582</v>
      </c>
      <c r="BY353" s="252">
        <f t="shared" si="153"/>
        <v>1.5678131264078241</v>
      </c>
      <c r="BZ353" s="252">
        <f t="shared" si="151"/>
        <v>0.97497449719679541</v>
      </c>
      <c r="CA353" s="252">
        <f t="shared" si="151"/>
        <v>6.8596450791303207E-2</v>
      </c>
      <c r="CB353" s="252">
        <f t="shared" si="151"/>
        <v>4.9008201374155238</v>
      </c>
      <c r="CC353" s="252">
        <f t="shared" si="151"/>
        <v>9.781490886641149E-2</v>
      </c>
    </row>
    <row r="354" spans="1:81">
      <c r="A354" s="11">
        <v>50406</v>
      </c>
      <c r="B354" s="268">
        <v>70</v>
      </c>
      <c r="C354" s="268">
        <v>13</v>
      </c>
      <c r="D354" s="268">
        <f t="shared" ref="D354:D417" si="168">$D$3</f>
        <v>20</v>
      </c>
      <c r="E354" s="268">
        <v>3</v>
      </c>
      <c r="F354" s="269">
        <v>0.2</v>
      </c>
      <c r="G354" s="269">
        <v>1.32</v>
      </c>
      <c r="H354" s="269"/>
      <c r="I354" s="269">
        <v>5</v>
      </c>
      <c r="J354" s="269"/>
      <c r="K354" s="269"/>
      <c r="L354" s="269"/>
      <c r="M354" s="269">
        <f t="shared" si="167"/>
        <v>1.5</v>
      </c>
      <c r="N354" s="269">
        <v>45</v>
      </c>
      <c r="O354" s="269">
        <f t="shared" si="150"/>
        <v>17.699535849485258</v>
      </c>
      <c r="Q354" s="251">
        <f t="shared" si="160"/>
        <v>176.71953584948523</v>
      </c>
      <c r="R354" s="251">
        <f>'RD Plant List'!N222</f>
        <v>664.33</v>
      </c>
      <c r="S354" s="251">
        <f>SUM(B354:O354)+'RD Plant List'!N222</f>
        <v>841.04953584948521</v>
      </c>
      <c r="T354" s="237">
        <f t="shared" si="145"/>
        <v>0.7898821314121609</v>
      </c>
      <c r="U354" s="251">
        <f t="shared" si="164"/>
        <v>478.13546600435336</v>
      </c>
      <c r="V354" s="271">
        <f t="shared" si="154"/>
        <v>0.56849857900631529</v>
      </c>
      <c r="W354" s="251">
        <f t="shared" si="161"/>
        <v>39.844622167029449</v>
      </c>
      <c r="X354" s="242">
        <f t="shared" si="162"/>
        <v>7.6100191206778582</v>
      </c>
      <c r="Y354" s="273">
        <f t="shared" si="163"/>
        <v>7.6100191206778582</v>
      </c>
      <c r="AB354" s="251">
        <f>SUM('BD Feedstock'!C352,'BD Feedstock'!E352,'BD Feedstock'!G352,'BD Feedstock'!K352,'BD Feedstock'!T352)</f>
        <v>21.812796010427753</v>
      </c>
      <c r="AC354" s="251">
        <f>SUM('BD Feedstock'!D352,'BD Feedstock'!F352,'BD Feedstock'!H352,'BD Feedstock'!I352,'BD Feedstock'!L352,'BD Feedstock'!M352,'BD Feedstock'!N352,'BD Feedstock'!O352,'BD Feedstock'!U352)</f>
        <v>12.773566250859661</v>
      </c>
      <c r="AD354" s="251">
        <f>'BD Feedstock'!J352</f>
        <v>0.90199999999999991</v>
      </c>
      <c r="AE354" s="251">
        <f>SUM('BD Feedstock'!B352,'BD Feedstock'!P352,'BD Feedstock'!Q352,'BD Feedstock'!R352)</f>
        <v>70.93020833333334</v>
      </c>
      <c r="AF354" s="251">
        <f>'BD Feedstock'!S352</f>
        <v>1.40625</v>
      </c>
      <c r="AG354" s="251">
        <f t="shared" si="155"/>
        <v>107.82482059462075</v>
      </c>
      <c r="AK354" s="237">
        <f t="shared" si="166"/>
        <v>0.20229846792359021</v>
      </c>
      <c r="AL354" s="237">
        <f t="shared" si="166"/>
        <v>0.11846591703484753</v>
      </c>
      <c r="AM354" s="237">
        <f t="shared" si="165"/>
        <v>8.3654208282077092E-3</v>
      </c>
      <c r="AN354" s="237">
        <f t="shared" si="165"/>
        <v>0.65782820636449979</v>
      </c>
      <c r="AO354" s="237">
        <f t="shared" si="165"/>
        <v>1.304198784885487E-2</v>
      </c>
      <c r="AP354" s="237">
        <f t="shared" si="156"/>
        <v>1</v>
      </c>
      <c r="AQ354" s="237"/>
      <c r="AR354" s="237">
        <f t="shared" si="157"/>
        <v>0.61464645366918802</v>
      </c>
      <c r="AS354" s="237">
        <f t="shared" si="158"/>
        <v>0.35993676340465403</v>
      </c>
      <c r="AT354" s="237">
        <f t="shared" si="159"/>
        <v>2.5416782926158003E-2</v>
      </c>
      <c r="AU354" s="237">
        <f t="shared" si="139"/>
        <v>0.98055959563958928</v>
      </c>
      <c r="AV354" s="237">
        <f t="shared" si="139"/>
        <v>1.9440404360410696E-2</v>
      </c>
      <c r="AX354" s="251">
        <f t="shared" si="152"/>
        <v>28335.434215130277</v>
      </c>
      <c r="AY354" s="251">
        <f t="shared" si="152"/>
        <v>17620.930238061592</v>
      </c>
      <c r="AZ354" s="251">
        <f t="shared" si="152"/>
        <v>1239.7588628702358</v>
      </c>
      <c r="BA354" s="251">
        <f t="shared" si="148"/>
        <v>88573.608847181473</v>
      </c>
      <c r="BB354" s="251">
        <f t="shared" si="148"/>
        <v>1767.8305333452113</v>
      </c>
      <c r="BC354" s="251">
        <f t="shared" si="149"/>
        <v>137537.56269658878</v>
      </c>
      <c r="BD354" s="270">
        <f t="shared" si="144"/>
        <v>7.6100191206778591</v>
      </c>
      <c r="BY354" s="252">
        <f t="shared" si="153"/>
        <v>1.5678131264078243</v>
      </c>
      <c r="BZ354" s="252">
        <f t="shared" si="151"/>
        <v>0.97497449719679519</v>
      </c>
      <c r="CA354" s="252">
        <f t="shared" si="151"/>
        <v>6.8596450791303221E-2</v>
      </c>
      <c r="CB354" s="252">
        <f t="shared" si="151"/>
        <v>4.9008201374155247</v>
      </c>
      <c r="CC354" s="252">
        <f t="shared" si="151"/>
        <v>9.7814908866411532E-2</v>
      </c>
    </row>
    <row r="355" spans="1:81">
      <c r="A355" s="11">
        <v>50437</v>
      </c>
      <c r="B355" s="268">
        <v>70</v>
      </c>
      <c r="C355" s="268">
        <v>13</v>
      </c>
      <c r="D355" s="268">
        <f t="shared" si="168"/>
        <v>20</v>
      </c>
      <c r="E355" s="268">
        <v>3</v>
      </c>
      <c r="F355" s="269">
        <v>0.2</v>
      </c>
      <c r="G355" s="269">
        <v>1.32</v>
      </c>
      <c r="H355" s="269"/>
      <c r="I355" s="269">
        <v>5</v>
      </c>
      <c r="J355" s="269"/>
      <c r="K355" s="269"/>
      <c r="L355" s="269"/>
      <c r="M355" s="269">
        <f t="shared" si="167"/>
        <v>1.5</v>
      </c>
      <c r="N355" s="269">
        <v>45</v>
      </c>
      <c r="O355" s="269">
        <f t="shared" si="150"/>
        <v>17.699535849485258</v>
      </c>
      <c r="Q355" s="251">
        <f t="shared" si="160"/>
        <v>176.71953584948523</v>
      </c>
      <c r="R355" s="251">
        <f>'RD Plant List'!N223</f>
        <v>664.33</v>
      </c>
      <c r="S355" s="251">
        <f>SUM(B355:O355)+'RD Plant List'!N223</f>
        <v>841.04953584948521</v>
      </c>
      <c r="T355" s="237">
        <f t="shared" si="145"/>
        <v>0.7898821314121609</v>
      </c>
      <c r="U355" s="251">
        <f t="shared" si="164"/>
        <v>442.12075399737699</v>
      </c>
      <c r="V355" s="271">
        <f t="shared" si="154"/>
        <v>0.52567742463685185</v>
      </c>
      <c r="W355" s="251">
        <f t="shared" si="161"/>
        <v>36.84339616644808</v>
      </c>
      <c r="X355" s="242">
        <f t="shared" si="162"/>
        <v>7.6100191206778582</v>
      </c>
      <c r="Y355" s="273">
        <f t="shared" si="163"/>
        <v>7.6100191206778582</v>
      </c>
      <c r="AB355" s="251">
        <f>SUM('BD Feedstock'!C353,'BD Feedstock'!E353,'BD Feedstock'!G353,'BD Feedstock'!K353,'BD Feedstock'!T353)</f>
        <v>21.812796010427753</v>
      </c>
      <c r="AC355" s="251">
        <f>SUM('BD Feedstock'!D353,'BD Feedstock'!F353,'BD Feedstock'!H353,'BD Feedstock'!I353,'BD Feedstock'!L353,'BD Feedstock'!M353,'BD Feedstock'!N353,'BD Feedstock'!O353,'BD Feedstock'!U353)</f>
        <v>12.773566250859661</v>
      </c>
      <c r="AD355" s="251">
        <f>'BD Feedstock'!J353</f>
        <v>0.90199999999999991</v>
      </c>
      <c r="AE355" s="251">
        <f>SUM('BD Feedstock'!B353,'BD Feedstock'!P353,'BD Feedstock'!Q353,'BD Feedstock'!R353)</f>
        <v>70.93020833333334</v>
      </c>
      <c r="AF355" s="251">
        <f>'BD Feedstock'!S353</f>
        <v>1.40625</v>
      </c>
      <c r="AG355" s="251">
        <f t="shared" si="155"/>
        <v>107.82482059462075</v>
      </c>
      <c r="AK355" s="237">
        <f t="shared" si="166"/>
        <v>0.20229846792359021</v>
      </c>
      <c r="AL355" s="237">
        <f t="shared" si="166"/>
        <v>0.11846591703484753</v>
      </c>
      <c r="AM355" s="237">
        <f t="shared" si="165"/>
        <v>8.3654208282077092E-3</v>
      </c>
      <c r="AN355" s="237">
        <f t="shared" si="165"/>
        <v>0.65782820636449979</v>
      </c>
      <c r="AO355" s="237">
        <f t="shared" si="165"/>
        <v>1.304198784885487E-2</v>
      </c>
      <c r="AP355" s="237">
        <f t="shared" si="156"/>
        <v>1</v>
      </c>
      <c r="AQ355" s="237"/>
      <c r="AR355" s="237">
        <f t="shared" si="157"/>
        <v>0.61464645366918802</v>
      </c>
      <c r="AS355" s="237">
        <f t="shared" si="158"/>
        <v>0.35993676340465403</v>
      </c>
      <c r="AT355" s="237">
        <f t="shared" si="159"/>
        <v>2.5416782926158003E-2</v>
      </c>
      <c r="AU355" s="237">
        <f t="shared" ref="AU355:AV413" si="169">AE355/SUM($AE355:$AF355)</f>
        <v>0.98055959563958928</v>
      </c>
      <c r="AV355" s="237">
        <f t="shared" si="169"/>
        <v>1.9440404360410696E-2</v>
      </c>
      <c r="AX355" s="251">
        <f t="shared" si="152"/>
        <v>26201.11752998973</v>
      </c>
      <c r="AY355" s="251">
        <f t="shared" si="152"/>
        <v>16293.664697351769</v>
      </c>
      <c r="AZ355" s="251">
        <f t="shared" si="152"/>
        <v>1146.3762096705218</v>
      </c>
      <c r="BA355" s="251">
        <f t="shared" si="148"/>
        <v>81901.95773393655</v>
      </c>
      <c r="BB355" s="251">
        <f t="shared" si="148"/>
        <v>1634.6718114716332</v>
      </c>
      <c r="BC355" s="251">
        <f t="shared" si="149"/>
        <v>127177.78798242021</v>
      </c>
      <c r="BD355" s="270">
        <f t="shared" si="144"/>
        <v>7.6100191206778591</v>
      </c>
      <c r="BY355" s="252">
        <f t="shared" si="153"/>
        <v>1.5678131264078243</v>
      </c>
      <c r="BZ355" s="252">
        <f t="shared" si="151"/>
        <v>0.97497449719679519</v>
      </c>
      <c r="CA355" s="252">
        <f t="shared" si="151"/>
        <v>6.8596450791303207E-2</v>
      </c>
      <c r="CB355" s="252">
        <f t="shared" si="151"/>
        <v>4.9008201374155238</v>
      </c>
      <c r="CC355" s="252">
        <f t="shared" si="151"/>
        <v>9.7814908866411532E-2</v>
      </c>
    </row>
    <row r="356" spans="1:81">
      <c r="A356" s="11">
        <v>50465</v>
      </c>
      <c r="B356" s="268">
        <v>70</v>
      </c>
      <c r="C356" s="268">
        <v>13</v>
      </c>
      <c r="D356" s="268">
        <f t="shared" si="168"/>
        <v>20</v>
      </c>
      <c r="E356" s="268">
        <v>3</v>
      </c>
      <c r="F356" s="269">
        <v>0.2</v>
      </c>
      <c r="G356" s="269">
        <v>1.32</v>
      </c>
      <c r="H356" s="269"/>
      <c r="I356" s="269">
        <v>5</v>
      </c>
      <c r="J356" s="269"/>
      <c r="K356" s="269"/>
      <c r="L356" s="269"/>
      <c r="M356" s="269">
        <f t="shared" si="167"/>
        <v>1.5</v>
      </c>
      <c r="N356" s="269">
        <v>45</v>
      </c>
      <c r="O356" s="269">
        <f t="shared" si="150"/>
        <v>17.699535849485258</v>
      </c>
      <c r="Q356" s="251">
        <f t="shared" si="160"/>
        <v>176.71953584948523</v>
      </c>
      <c r="R356" s="251">
        <f>'RD Plant List'!N224</f>
        <v>664.33</v>
      </c>
      <c r="S356" s="251">
        <f>SUM(B356:O356)+'RD Plant List'!N224</f>
        <v>841.04953584948521</v>
      </c>
      <c r="T356" s="237">
        <f t="shared" si="145"/>
        <v>0.7898821314121609</v>
      </c>
      <c r="U356" s="251">
        <f t="shared" si="164"/>
        <v>491.19600085832508</v>
      </c>
      <c r="V356" s="271">
        <f t="shared" si="154"/>
        <v>0.58402743229886267</v>
      </c>
      <c r="W356" s="251">
        <f t="shared" si="161"/>
        <v>40.93300007152709</v>
      </c>
      <c r="X356" s="242">
        <f t="shared" si="162"/>
        <v>7.6100191206778574</v>
      </c>
      <c r="Y356" s="273">
        <f t="shared" si="163"/>
        <v>7.6100191206778574</v>
      </c>
      <c r="AB356" s="251">
        <f>SUM('BD Feedstock'!C354,'BD Feedstock'!E354,'BD Feedstock'!G354,'BD Feedstock'!K354,'BD Feedstock'!T354)</f>
        <v>21.812796010427753</v>
      </c>
      <c r="AC356" s="251">
        <f>SUM('BD Feedstock'!D354,'BD Feedstock'!F354,'BD Feedstock'!H354,'BD Feedstock'!I354,'BD Feedstock'!L354,'BD Feedstock'!M354,'BD Feedstock'!N354,'BD Feedstock'!O354,'BD Feedstock'!U354)</f>
        <v>12.773566250859661</v>
      </c>
      <c r="AD356" s="251">
        <f>'BD Feedstock'!J354</f>
        <v>0.90199999999999991</v>
      </c>
      <c r="AE356" s="251">
        <f>SUM('BD Feedstock'!B354,'BD Feedstock'!P354,'BD Feedstock'!Q354,'BD Feedstock'!R354)</f>
        <v>70.93020833333334</v>
      </c>
      <c r="AF356" s="251">
        <f>'BD Feedstock'!S354</f>
        <v>1.40625</v>
      </c>
      <c r="AG356" s="251">
        <f t="shared" si="155"/>
        <v>107.82482059462075</v>
      </c>
      <c r="AK356" s="237">
        <f t="shared" si="166"/>
        <v>0.20229846792359021</v>
      </c>
      <c r="AL356" s="237">
        <f t="shared" si="166"/>
        <v>0.11846591703484753</v>
      </c>
      <c r="AM356" s="237">
        <f t="shared" si="165"/>
        <v>8.3654208282077092E-3</v>
      </c>
      <c r="AN356" s="237">
        <f t="shared" si="165"/>
        <v>0.65782820636449979</v>
      </c>
      <c r="AO356" s="237">
        <f t="shared" si="165"/>
        <v>1.304198784885487E-2</v>
      </c>
      <c r="AP356" s="237">
        <f t="shared" si="156"/>
        <v>1</v>
      </c>
      <c r="AQ356" s="237"/>
      <c r="AR356" s="237">
        <f t="shared" si="157"/>
        <v>0.61464645366918802</v>
      </c>
      <c r="AS356" s="237">
        <f t="shared" si="158"/>
        <v>0.35993676340465403</v>
      </c>
      <c r="AT356" s="237">
        <f t="shared" si="159"/>
        <v>2.5416782926158003E-2</v>
      </c>
      <c r="AU356" s="237">
        <f t="shared" si="169"/>
        <v>0.98055959563958928</v>
      </c>
      <c r="AV356" s="237">
        <f t="shared" si="169"/>
        <v>1.9440404360410696E-2</v>
      </c>
      <c r="AX356" s="251">
        <f t="shared" si="152"/>
        <v>29109.432281539684</v>
      </c>
      <c r="AY356" s="251">
        <f t="shared" si="152"/>
        <v>18102.255698933201</v>
      </c>
      <c r="AZ356" s="251">
        <f t="shared" si="152"/>
        <v>1273.6235622918209</v>
      </c>
      <c r="BA356" s="251">
        <f t="shared" si="148"/>
        <v>90993.045989458071</v>
      </c>
      <c r="BB356" s="251">
        <f t="shared" si="148"/>
        <v>1816.119802680568</v>
      </c>
      <c r="BC356" s="251">
        <f t="shared" si="149"/>
        <v>141294.47733490332</v>
      </c>
      <c r="BD356" s="270">
        <f t="shared" si="144"/>
        <v>7.6100191206778565</v>
      </c>
      <c r="BY356" s="252">
        <f t="shared" si="153"/>
        <v>1.5678131264078243</v>
      </c>
      <c r="BZ356" s="252">
        <f t="shared" si="151"/>
        <v>0.9749744971967953</v>
      </c>
      <c r="CA356" s="252">
        <f t="shared" si="151"/>
        <v>6.8596450791303221E-2</v>
      </c>
      <c r="CB356" s="252">
        <f t="shared" si="151"/>
        <v>4.9008201374155238</v>
      </c>
      <c r="CC356" s="252">
        <f t="shared" si="151"/>
        <v>9.7814908866411532E-2</v>
      </c>
    </row>
    <row r="357" spans="1:81">
      <c r="A357" s="11">
        <v>50496</v>
      </c>
      <c r="B357" s="268">
        <v>70</v>
      </c>
      <c r="C357" s="268">
        <v>13</v>
      </c>
      <c r="D357" s="268">
        <f t="shared" si="168"/>
        <v>20</v>
      </c>
      <c r="E357" s="268">
        <v>3</v>
      </c>
      <c r="F357" s="269">
        <v>0.2</v>
      </c>
      <c r="G357" s="269">
        <v>1.32</v>
      </c>
      <c r="H357" s="269"/>
      <c r="I357" s="269">
        <v>5</v>
      </c>
      <c r="J357" s="269"/>
      <c r="K357" s="269"/>
      <c r="L357" s="269"/>
      <c r="M357" s="269">
        <f t="shared" si="167"/>
        <v>1.5</v>
      </c>
      <c r="N357" s="269">
        <v>45</v>
      </c>
      <c r="O357" s="269">
        <f t="shared" si="150"/>
        <v>17.699535849485258</v>
      </c>
      <c r="Q357" s="251">
        <f t="shared" si="160"/>
        <v>176.71953584948523</v>
      </c>
      <c r="R357" s="251">
        <f>'RD Plant List'!N225</f>
        <v>664.33</v>
      </c>
      <c r="S357" s="251">
        <f>SUM(B357:O357)+'RD Plant List'!N225</f>
        <v>841.04953584948521</v>
      </c>
      <c r="T357" s="237">
        <f t="shared" si="145"/>
        <v>0.7898821314121609</v>
      </c>
      <c r="U357" s="251">
        <f t="shared" si="164"/>
        <v>499.69777539330096</v>
      </c>
      <c r="V357" s="271">
        <f t="shared" si="154"/>
        <v>0.59413596238251443</v>
      </c>
      <c r="W357" s="251">
        <f t="shared" si="161"/>
        <v>41.641481282775082</v>
      </c>
      <c r="X357" s="242">
        <f t="shared" si="162"/>
        <v>7.6100191206778574</v>
      </c>
      <c r="Y357" s="273">
        <f t="shared" si="163"/>
        <v>7.6100191206778574</v>
      </c>
      <c r="AB357" s="251">
        <f>SUM('BD Feedstock'!C355,'BD Feedstock'!E355,'BD Feedstock'!G355,'BD Feedstock'!K355,'BD Feedstock'!T355)</f>
        <v>21.812796010427753</v>
      </c>
      <c r="AC357" s="251">
        <f>SUM('BD Feedstock'!D355,'BD Feedstock'!F355,'BD Feedstock'!H355,'BD Feedstock'!I355,'BD Feedstock'!L355,'BD Feedstock'!M355,'BD Feedstock'!N355,'BD Feedstock'!O355,'BD Feedstock'!U355)</f>
        <v>12.773566250859661</v>
      </c>
      <c r="AD357" s="251">
        <f>'BD Feedstock'!J355</f>
        <v>0.90199999999999991</v>
      </c>
      <c r="AE357" s="251">
        <f>SUM('BD Feedstock'!B355,'BD Feedstock'!P355,'BD Feedstock'!Q355,'BD Feedstock'!R355)</f>
        <v>70.93020833333334</v>
      </c>
      <c r="AF357" s="251">
        <f>'BD Feedstock'!S355</f>
        <v>1.40625</v>
      </c>
      <c r="AG357" s="251">
        <f t="shared" si="155"/>
        <v>107.82482059462075</v>
      </c>
      <c r="AK357" s="237">
        <f t="shared" si="166"/>
        <v>0.20229846792359021</v>
      </c>
      <c r="AL357" s="237">
        <f t="shared" si="166"/>
        <v>0.11846591703484753</v>
      </c>
      <c r="AM357" s="237">
        <f t="shared" si="165"/>
        <v>8.3654208282077092E-3</v>
      </c>
      <c r="AN357" s="237">
        <f t="shared" si="165"/>
        <v>0.65782820636449979</v>
      </c>
      <c r="AO357" s="237">
        <f t="shared" si="165"/>
        <v>1.304198784885487E-2</v>
      </c>
      <c r="AP357" s="237">
        <f t="shared" si="156"/>
        <v>1</v>
      </c>
      <c r="AQ357" s="237"/>
      <c r="AR357" s="237">
        <f t="shared" si="157"/>
        <v>0.61464645366918802</v>
      </c>
      <c r="AS357" s="237">
        <f t="shared" si="158"/>
        <v>0.35993676340465403</v>
      </c>
      <c r="AT357" s="237">
        <f t="shared" si="159"/>
        <v>2.5416782926158003E-2</v>
      </c>
      <c r="AU357" s="237">
        <f t="shared" si="169"/>
        <v>0.98055959563958928</v>
      </c>
      <c r="AV357" s="237">
        <f t="shared" si="169"/>
        <v>1.9440404360410696E-2</v>
      </c>
      <c r="AX357" s="251">
        <f t="shared" si="152"/>
        <v>29613.267470886392</v>
      </c>
      <c r="AY357" s="251">
        <f t="shared" si="152"/>
        <v>18415.575221604155</v>
      </c>
      <c r="AZ357" s="251">
        <f t="shared" si="152"/>
        <v>1295.6678386094552</v>
      </c>
      <c r="BA357" s="251">
        <f t="shared" si="148"/>
        <v>92567.982185805871</v>
      </c>
      <c r="BB357" s="251">
        <f t="shared" si="148"/>
        <v>1847.5537741785329</v>
      </c>
      <c r="BC357" s="251">
        <f t="shared" si="149"/>
        <v>143740.04649108442</v>
      </c>
      <c r="BD357" s="270">
        <f t="shared" si="144"/>
        <v>7.6100191206778574</v>
      </c>
      <c r="BY357" s="252">
        <f t="shared" si="153"/>
        <v>1.5678131264078241</v>
      </c>
      <c r="BZ357" s="252">
        <f t="shared" si="151"/>
        <v>0.97497449719679519</v>
      </c>
      <c r="CA357" s="252">
        <f t="shared" si="151"/>
        <v>6.8596450791303207E-2</v>
      </c>
      <c r="CB357" s="252">
        <f t="shared" si="151"/>
        <v>4.9008201374155229</v>
      </c>
      <c r="CC357" s="252">
        <f t="shared" si="151"/>
        <v>9.7814908866411518E-2</v>
      </c>
    </row>
    <row r="358" spans="1:81">
      <c r="A358" s="11">
        <v>50526</v>
      </c>
      <c r="B358" s="268">
        <v>70</v>
      </c>
      <c r="C358" s="268">
        <v>13</v>
      </c>
      <c r="D358" s="268">
        <f t="shared" si="168"/>
        <v>20</v>
      </c>
      <c r="E358" s="268">
        <v>3</v>
      </c>
      <c r="F358" s="269">
        <v>0.2</v>
      </c>
      <c r="G358" s="269">
        <v>1.32</v>
      </c>
      <c r="H358" s="269"/>
      <c r="I358" s="269">
        <v>5</v>
      </c>
      <c r="J358" s="269"/>
      <c r="K358" s="269"/>
      <c r="L358" s="269"/>
      <c r="M358" s="269">
        <f t="shared" si="167"/>
        <v>1.5</v>
      </c>
      <c r="N358" s="269">
        <v>45</v>
      </c>
      <c r="O358" s="269">
        <f t="shared" si="150"/>
        <v>17.699535849485258</v>
      </c>
      <c r="Q358" s="251">
        <f t="shared" si="160"/>
        <v>176.71953584948523</v>
      </c>
      <c r="R358" s="251">
        <f>'RD Plant List'!N226</f>
        <v>664.33</v>
      </c>
      <c r="S358" s="251">
        <f>SUM(B358:O358)+'RD Plant List'!N226</f>
        <v>841.04953584948521</v>
      </c>
      <c r="T358" s="237">
        <f t="shared" si="145"/>
        <v>0.7898821314121609</v>
      </c>
      <c r="U358" s="251">
        <f t="shared" si="164"/>
        <v>485.51524761594362</v>
      </c>
      <c r="V358" s="271">
        <f t="shared" si="154"/>
        <v>0.57727307004046879</v>
      </c>
      <c r="W358" s="251">
        <f t="shared" si="161"/>
        <v>40.459603967995299</v>
      </c>
      <c r="X358" s="242">
        <f t="shared" si="162"/>
        <v>7.6100191206778582</v>
      </c>
      <c r="Y358" s="273">
        <f t="shared" si="163"/>
        <v>7.6100191206778582</v>
      </c>
      <c r="AB358" s="251">
        <f>SUM('BD Feedstock'!C356,'BD Feedstock'!E356,'BD Feedstock'!G356,'BD Feedstock'!K356,'BD Feedstock'!T356)</f>
        <v>21.812796010427753</v>
      </c>
      <c r="AC358" s="251">
        <f>SUM('BD Feedstock'!D356,'BD Feedstock'!F356,'BD Feedstock'!H356,'BD Feedstock'!I356,'BD Feedstock'!L356,'BD Feedstock'!M356,'BD Feedstock'!N356,'BD Feedstock'!O356,'BD Feedstock'!U356)</f>
        <v>12.773566250859661</v>
      </c>
      <c r="AD358" s="251">
        <f>'BD Feedstock'!J356</f>
        <v>0.90199999999999991</v>
      </c>
      <c r="AE358" s="251">
        <f>SUM('BD Feedstock'!B356,'BD Feedstock'!P356,'BD Feedstock'!Q356,'BD Feedstock'!R356)</f>
        <v>70.93020833333334</v>
      </c>
      <c r="AF358" s="251">
        <f>'BD Feedstock'!S356</f>
        <v>1.40625</v>
      </c>
      <c r="AG358" s="251">
        <f t="shared" si="155"/>
        <v>107.82482059462075</v>
      </c>
      <c r="AK358" s="237">
        <f t="shared" si="166"/>
        <v>0.20229846792359021</v>
      </c>
      <c r="AL358" s="237">
        <f t="shared" si="166"/>
        <v>0.11846591703484753</v>
      </c>
      <c r="AM358" s="237">
        <f t="shared" si="165"/>
        <v>8.3654208282077092E-3</v>
      </c>
      <c r="AN358" s="237">
        <f t="shared" si="165"/>
        <v>0.65782820636449979</v>
      </c>
      <c r="AO358" s="237">
        <f t="shared" si="165"/>
        <v>1.304198784885487E-2</v>
      </c>
      <c r="AP358" s="237">
        <f t="shared" si="156"/>
        <v>1</v>
      </c>
      <c r="AQ358" s="237"/>
      <c r="AR358" s="237">
        <f t="shared" si="157"/>
        <v>0.61464645366918802</v>
      </c>
      <c r="AS358" s="237">
        <f t="shared" si="158"/>
        <v>0.35993676340465403</v>
      </c>
      <c r="AT358" s="237">
        <f t="shared" si="159"/>
        <v>2.5416782926158003E-2</v>
      </c>
      <c r="AU358" s="237">
        <f t="shared" si="169"/>
        <v>0.98055959563958928</v>
      </c>
      <c r="AV358" s="237">
        <f t="shared" si="169"/>
        <v>1.9440404360410696E-2</v>
      </c>
      <c r="AX358" s="251">
        <f t="shared" si="152"/>
        <v>28772.777460392361</v>
      </c>
      <c r="AY358" s="251">
        <f t="shared" si="152"/>
        <v>17892.900477033108</v>
      </c>
      <c r="AZ358" s="251">
        <f t="shared" si="152"/>
        <v>1258.8939204209182</v>
      </c>
      <c r="BA358" s="251">
        <f t="shared" si="148"/>
        <v>89940.698168760166</v>
      </c>
      <c r="BB358" s="251">
        <f t="shared" si="148"/>
        <v>1795.1161128304818</v>
      </c>
      <c r="BC358" s="251">
        <f t="shared" si="149"/>
        <v>139660.38613943706</v>
      </c>
      <c r="BD358" s="270">
        <f t="shared" si="144"/>
        <v>7.6100191206778582</v>
      </c>
      <c r="BY358" s="252">
        <f t="shared" si="153"/>
        <v>1.5678131264078243</v>
      </c>
      <c r="BZ358" s="252">
        <f t="shared" si="151"/>
        <v>0.9749744971967953</v>
      </c>
      <c r="CA358" s="252">
        <f t="shared" si="151"/>
        <v>6.8596450791303193E-2</v>
      </c>
      <c r="CB358" s="252">
        <f t="shared" si="151"/>
        <v>4.9008201374155229</v>
      </c>
      <c r="CC358" s="252">
        <f t="shared" si="151"/>
        <v>9.7814908866411518E-2</v>
      </c>
    </row>
    <row r="359" spans="1:81">
      <c r="A359" s="11">
        <v>50557</v>
      </c>
      <c r="B359" s="268">
        <v>70</v>
      </c>
      <c r="C359" s="268">
        <v>13</v>
      </c>
      <c r="D359" s="268">
        <f t="shared" si="168"/>
        <v>20</v>
      </c>
      <c r="E359" s="268">
        <v>3</v>
      </c>
      <c r="F359" s="269">
        <v>0.2</v>
      </c>
      <c r="G359" s="269">
        <v>1.32</v>
      </c>
      <c r="H359" s="269"/>
      <c r="I359" s="269">
        <v>5</v>
      </c>
      <c r="J359" s="269"/>
      <c r="K359" s="269"/>
      <c r="L359" s="269"/>
      <c r="M359" s="269">
        <f t="shared" si="167"/>
        <v>1.5</v>
      </c>
      <c r="N359" s="269">
        <v>45</v>
      </c>
      <c r="O359" s="269">
        <f t="shared" si="150"/>
        <v>17.699535849485258</v>
      </c>
      <c r="Q359" s="251">
        <f t="shared" si="160"/>
        <v>176.71953584948523</v>
      </c>
      <c r="R359" s="251">
        <f>'RD Plant List'!N227</f>
        <v>664.33</v>
      </c>
      <c r="S359" s="251">
        <f>SUM(B359:O359)+'RD Plant List'!N227</f>
        <v>841.04953584948521</v>
      </c>
      <c r="T359" s="237">
        <f t="shared" si="145"/>
        <v>0.7898821314121609</v>
      </c>
      <c r="U359" s="251">
        <f t="shared" si="164"/>
        <v>541.90025092543874</v>
      </c>
      <c r="V359" s="271">
        <f t="shared" si="154"/>
        <v>0.64431430947536672</v>
      </c>
      <c r="W359" s="251">
        <f t="shared" si="161"/>
        <v>45.158354243786562</v>
      </c>
      <c r="X359" s="242">
        <f t="shared" si="162"/>
        <v>7.6100191206778582</v>
      </c>
      <c r="Y359" s="273">
        <f t="shared" si="163"/>
        <v>7.6100191206778582</v>
      </c>
      <c r="AB359" s="251">
        <f>SUM('BD Feedstock'!C357,'BD Feedstock'!E357,'BD Feedstock'!G357,'BD Feedstock'!K357,'BD Feedstock'!T357)</f>
        <v>21.812796010427753</v>
      </c>
      <c r="AC359" s="251">
        <f>SUM('BD Feedstock'!D357,'BD Feedstock'!F357,'BD Feedstock'!H357,'BD Feedstock'!I357,'BD Feedstock'!L357,'BD Feedstock'!M357,'BD Feedstock'!N357,'BD Feedstock'!O357,'BD Feedstock'!U357)</f>
        <v>12.773566250859661</v>
      </c>
      <c r="AD359" s="251">
        <f>'BD Feedstock'!J357</f>
        <v>0.90199999999999991</v>
      </c>
      <c r="AE359" s="251">
        <f>SUM('BD Feedstock'!B357,'BD Feedstock'!P357,'BD Feedstock'!Q357,'BD Feedstock'!R357)</f>
        <v>70.93020833333334</v>
      </c>
      <c r="AF359" s="251">
        <f>'BD Feedstock'!S357</f>
        <v>1.40625</v>
      </c>
      <c r="AG359" s="251">
        <f t="shared" si="155"/>
        <v>107.82482059462075</v>
      </c>
      <c r="AK359" s="237">
        <f t="shared" si="166"/>
        <v>0.20229846792359021</v>
      </c>
      <c r="AL359" s="237">
        <f t="shared" si="166"/>
        <v>0.11846591703484753</v>
      </c>
      <c r="AM359" s="237">
        <f t="shared" si="165"/>
        <v>8.3654208282077092E-3</v>
      </c>
      <c r="AN359" s="237">
        <f t="shared" si="165"/>
        <v>0.65782820636449979</v>
      </c>
      <c r="AO359" s="237">
        <f t="shared" si="165"/>
        <v>1.304198784885487E-2</v>
      </c>
      <c r="AP359" s="237">
        <f t="shared" si="156"/>
        <v>1</v>
      </c>
      <c r="AQ359" s="237"/>
      <c r="AR359" s="237">
        <f t="shared" si="157"/>
        <v>0.61464645366918802</v>
      </c>
      <c r="AS359" s="237">
        <f t="shared" si="158"/>
        <v>0.35993676340465403</v>
      </c>
      <c r="AT359" s="237">
        <f t="shared" si="159"/>
        <v>2.5416782926158003E-2</v>
      </c>
      <c r="AU359" s="237">
        <f t="shared" si="169"/>
        <v>0.98055959563958928</v>
      </c>
      <c r="AV359" s="237">
        <f t="shared" si="169"/>
        <v>1.9440404360410696E-2</v>
      </c>
      <c r="AX359" s="251">
        <f t="shared" si="152"/>
        <v>32114.28560106134</v>
      </c>
      <c r="AY359" s="251">
        <f t="shared" si="152"/>
        <v>19970.881050388944</v>
      </c>
      <c r="AZ359" s="251">
        <f t="shared" si="152"/>
        <v>1405.0947621406951</v>
      </c>
      <c r="BA359" s="251">
        <f t="shared" si="148"/>
        <v>100385.90372884466</v>
      </c>
      <c r="BB359" s="251">
        <f t="shared" si="148"/>
        <v>2003.5907765200163</v>
      </c>
      <c r="BC359" s="251">
        <f t="shared" si="149"/>
        <v>155879.75591895566</v>
      </c>
      <c r="BD359" s="270">
        <f t="shared" si="144"/>
        <v>7.6100191206778582</v>
      </c>
      <c r="BY359" s="252">
        <f t="shared" si="153"/>
        <v>1.5678131264078243</v>
      </c>
      <c r="BZ359" s="252">
        <f t="shared" si="151"/>
        <v>0.9749744971967953</v>
      </c>
      <c r="CA359" s="252">
        <f t="shared" si="151"/>
        <v>6.8596450791303207E-2</v>
      </c>
      <c r="CB359" s="252">
        <f t="shared" si="151"/>
        <v>4.9008201374155238</v>
      </c>
      <c r="CC359" s="252">
        <f t="shared" si="151"/>
        <v>9.7814908866411546E-2</v>
      </c>
    </row>
    <row r="360" spans="1:81">
      <c r="A360" s="11">
        <v>50587</v>
      </c>
      <c r="B360" s="268">
        <v>70</v>
      </c>
      <c r="C360" s="268">
        <v>13</v>
      </c>
      <c r="D360" s="268">
        <f t="shared" si="168"/>
        <v>20</v>
      </c>
      <c r="E360" s="268">
        <v>3</v>
      </c>
      <c r="F360" s="269">
        <v>0.2</v>
      </c>
      <c r="G360" s="269">
        <v>1.32</v>
      </c>
      <c r="H360" s="269"/>
      <c r="I360" s="269">
        <v>5</v>
      </c>
      <c r="J360" s="269"/>
      <c r="K360" s="269"/>
      <c r="L360" s="269"/>
      <c r="M360" s="269">
        <f t="shared" si="167"/>
        <v>1.5</v>
      </c>
      <c r="N360" s="269">
        <v>45</v>
      </c>
      <c r="O360" s="269">
        <f t="shared" si="150"/>
        <v>17.699535849485258</v>
      </c>
      <c r="Q360" s="251">
        <f t="shared" si="160"/>
        <v>176.71953584948523</v>
      </c>
      <c r="R360" s="251">
        <f>'RD Plant List'!N228</f>
        <v>664.33</v>
      </c>
      <c r="S360" s="251">
        <f>SUM(B360:O360)+'RD Plant List'!N228</f>
        <v>841.04953584948521</v>
      </c>
      <c r="T360" s="237">
        <f t="shared" si="145"/>
        <v>0.7898821314121609</v>
      </c>
      <c r="U360" s="251">
        <f t="shared" si="164"/>
        <v>556.57439223107383</v>
      </c>
      <c r="V360" s="271">
        <f t="shared" si="154"/>
        <v>0.66176172568589198</v>
      </c>
      <c r="W360" s="251">
        <f t="shared" si="161"/>
        <v>46.381199352589483</v>
      </c>
      <c r="X360" s="242">
        <f t="shared" si="162"/>
        <v>7.6100191206778582</v>
      </c>
      <c r="Y360" s="273">
        <f t="shared" si="163"/>
        <v>7.6100191206778582</v>
      </c>
      <c r="AB360" s="251">
        <f>SUM('BD Feedstock'!C358,'BD Feedstock'!E358,'BD Feedstock'!G358,'BD Feedstock'!K358,'BD Feedstock'!T358)</f>
        <v>21.812796010427753</v>
      </c>
      <c r="AC360" s="251">
        <f>SUM('BD Feedstock'!D358,'BD Feedstock'!F358,'BD Feedstock'!H358,'BD Feedstock'!I358,'BD Feedstock'!L358,'BD Feedstock'!M358,'BD Feedstock'!N358,'BD Feedstock'!O358,'BD Feedstock'!U358)</f>
        <v>12.773566250859661</v>
      </c>
      <c r="AD360" s="251">
        <f>'BD Feedstock'!J358</f>
        <v>0.90199999999999991</v>
      </c>
      <c r="AE360" s="251">
        <f>SUM('BD Feedstock'!B358,'BD Feedstock'!P358,'BD Feedstock'!Q358,'BD Feedstock'!R358)</f>
        <v>70.93020833333334</v>
      </c>
      <c r="AF360" s="251">
        <f>'BD Feedstock'!S358</f>
        <v>1.40625</v>
      </c>
      <c r="AG360" s="251">
        <f t="shared" si="155"/>
        <v>107.82482059462075</v>
      </c>
      <c r="AK360" s="237">
        <f t="shared" si="166"/>
        <v>0.20229846792359021</v>
      </c>
      <c r="AL360" s="237">
        <f t="shared" si="166"/>
        <v>0.11846591703484753</v>
      </c>
      <c r="AM360" s="237">
        <f t="shared" si="165"/>
        <v>8.3654208282077092E-3</v>
      </c>
      <c r="AN360" s="237">
        <f t="shared" si="165"/>
        <v>0.65782820636449979</v>
      </c>
      <c r="AO360" s="237">
        <f t="shared" si="165"/>
        <v>1.304198784885487E-2</v>
      </c>
      <c r="AP360" s="237">
        <f t="shared" si="156"/>
        <v>1</v>
      </c>
      <c r="AQ360" s="237"/>
      <c r="AR360" s="237">
        <f t="shared" si="157"/>
        <v>0.61464645366918802</v>
      </c>
      <c r="AS360" s="237">
        <f t="shared" si="158"/>
        <v>0.35993676340465403</v>
      </c>
      <c r="AT360" s="237">
        <f t="shared" si="159"/>
        <v>2.5416782926158003E-2</v>
      </c>
      <c r="AU360" s="237">
        <f t="shared" si="169"/>
        <v>0.98055959563958928</v>
      </c>
      <c r="AV360" s="237">
        <f t="shared" si="169"/>
        <v>1.9440404360410696E-2</v>
      </c>
      <c r="AX360" s="251">
        <f t="shared" si="152"/>
        <v>32983.909787495482</v>
      </c>
      <c r="AY360" s="251">
        <f t="shared" si="152"/>
        <v>20511.673437974972</v>
      </c>
      <c r="AZ360" s="251">
        <f t="shared" si="152"/>
        <v>1443.1433864996034</v>
      </c>
      <c r="BA360" s="251">
        <f t="shared" si="148"/>
        <v>103104.25813797304</v>
      </c>
      <c r="BB360" s="251">
        <f t="shared" si="148"/>
        <v>2057.8461014125801</v>
      </c>
      <c r="BC360" s="251">
        <f t="shared" si="149"/>
        <v>160100.83085135568</v>
      </c>
      <c r="BD360" s="270">
        <f t="shared" si="144"/>
        <v>7.6100191206778574</v>
      </c>
      <c r="BY360" s="252">
        <f t="shared" si="153"/>
        <v>1.5678131264078241</v>
      </c>
      <c r="BZ360" s="252">
        <f t="shared" si="151"/>
        <v>0.97497449719679541</v>
      </c>
      <c r="CA360" s="252">
        <f t="shared" si="151"/>
        <v>6.8596450791303207E-2</v>
      </c>
      <c r="CB360" s="252">
        <f t="shared" si="151"/>
        <v>4.9008201374155238</v>
      </c>
      <c r="CC360" s="252">
        <f t="shared" si="151"/>
        <v>9.7814908866411518E-2</v>
      </c>
    </row>
    <row r="361" spans="1:81">
      <c r="A361" s="11">
        <v>50618</v>
      </c>
      <c r="B361" s="268">
        <v>70</v>
      </c>
      <c r="C361" s="268">
        <v>13</v>
      </c>
      <c r="D361" s="268">
        <f t="shared" si="168"/>
        <v>20</v>
      </c>
      <c r="E361" s="268">
        <v>3</v>
      </c>
      <c r="F361" s="269">
        <v>0.2</v>
      </c>
      <c r="G361" s="269">
        <v>1.32</v>
      </c>
      <c r="H361" s="269"/>
      <c r="I361" s="269">
        <v>5</v>
      </c>
      <c r="J361" s="269"/>
      <c r="K361" s="269"/>
      <c r="L361" s="269"/>
      <c r="M361" s="269">
        <f t="shared" si="167"/>
        <v>1.5</v>
      </c>
      <c r="N361" s="269">
        <v>45</v>
      </c>
      <c r="O361" s="269">
        <f t="shared" si="150"/>
        <v>17.699535849485258</v>
      </c>
      <c r="Q361" s="251">
        <f t="shared" si="160"/>
        <v>176.71953584948523</v>
      </c>
      <c r="R361" s="251">
        <f>'RD Plant List'!N229</f>
        <v>664.33</v>
      </c>
      <c r="S361" s="251">
        <f>SUM(B361:O361)+'RD Plant List'!N229</f>
        <v>841.04953584948521</v>
      </c>
      <c r="T361" s="237">
        <f t="shared" si="145"/>
        <v>0.7898821314121609</v>
      </c>
      <c r="U361" s="251">
        <f t="shared" si="164"/>
        <v>525.16651578549283</v>
      </c>
      <c r="V361" s="271">
        <f t="shared" si="154"/>
        <v>0.62441805553707241</v>
      </c>
      <c r="W361" s="251">
        <f t="shared" si="161"/>
        <v>43.763876315457736</v>
      </c>
      <c r="X361" s="242">
        <f t="shared" si="162"/>
        <v>7.6100191206778582</v>
      </c>
      <c r="Y361" s="273">
        <f t="shared" si="163"/>
        <v>7.6100191206778582</v>
      </c>
      <c r="AB361" s="251">
        <f>SUM('BD Feedstock'!C359,'BD Feedstock'!E359,'BD Feedstock'!G359,'BD Feedstock'!K359,'BD Feedstock'!T359)</f>
        <v>21.812796010427753</v>
      </c>
      <c r="AC361" s="251">
        <f>SUM('BD Feedstock'!D359,'BD Feedstock'!F359,'BD Feedstock'!H359,'BD Feedstock'!I359,'BD Feedstock'!L359,'BD Feedstock'!M359,'BD Feedstock'!N359,'BD Feedstock'!O359,'BD Feedstock'!U359)</f>
        <v>12.773566250859661</v>
      </c>
      <c r="AD361" s="251">
        <f>'BD Feedstock'!J359</f>
        <v>0.90199999999999991</v>
      </c>
      <c r="AE361" s="251">
        <f>SUM('BD Feedstock'!B359,'BD Feedstock'!P359,'BD Feedstock'!Q359,'BD Feedstock'!R359)</f>
        <v>70.93020833333334</v>
      </c>
      <c r="AF361" s="251">
        <f>'BD Feedstock'!S359</f>
        <v>1.40625</v>
      </c>
      <c r="AG361" s="251">
        <f t="shared" si="155"/>
        <v>107.82482059462075</v>
      </c>
      <c r="AK361" s="237">
        <f t="shared" si="166"/>
        <v>0.20229846792359021</v>
      </c>
      <c r="AL361" s="237">
        <f t="shared" si="166"/>
        <v>0.11846591703484753</v>
      </c>
      <c r="AM361" s="237">
        <f t="shared" si="165"/>
        <v>8.3654208282077092E-3</v>
      </c>
      <c r="AN361" s="237">
        <f t="shared" si="165"/>
        <v>0.65782820636449979</v>
      </c>
      <c r="AO361" s="237">
        <f t="shared" si="165"/>
        <v>1.304198784885487E-2</v>
      </c>
      <c r="AP361" s="237">
        <f t="shared" si="156"/>
        <v>1</v>
      </c>
      <c r="AQ361" s="237"/>
      <c r="AR361" s="237">
        <f t="shared" si="157"/>
        <v>0.61464645366918802</v>
      </c>
      <c r="AS361" s="237">
        <f t="shared" si="158"/>
        <v>0.35993676340465403</v>
      </c>
      <c r="AT361" s="237">
        <f t="shared" si="159"/>
        <v>2.5416782926158003E-2</v>
      </c>
      <c r="AU361" s="237">
        <f t="shared" si="169"/>
        <v>0.98055959563958928</v>
      </c>
      <c r="AV361" s="237">
        <f t="shared" si="169"/>
        <v>1.9440404360410696E-2</v>
      </c>
      <c r="AX361" s="251">
        <f t="shared" si="152"/>
        <v>31122.605031548774</v>
      </c>
      <c r="AY361" s="251">
        <f t="shared" si="152"/>
        <v>19354.185572876508</v>
      </c>
      <c r="AZ361" s="251">
        <f t="shared" si="152"/>
        <v>1361.705810841939</v>
      </c>
      <c r="BA361" s="251">
        <f t="shared" si="148"/>
        <v>97286.013810148681</v>
      </c>
      <c r="BB361" s="251">
        <f t="shared" si="148"/>
        <v>1941.7204280087037</v>
      </c>
      <c r="BC361" s="251">
        <f t="shared" si="149"/>
        <v>151066.2306534246</v>
      </c>
      <c r="BD361" s="270">
        <f t="shared" si="144"/>
        <v>7.6100191206778582</v>
      </c>
      <c r="BY361" s="252">
        <f t="shared" si="153"/>
        <v>1.5678131264078239</v>
      </c>
      <c r="BZ361" s="252">
        <f t="shared" si="151"/>
        <v>0.97497449719679541</v>
      </c>
      <c r="CA361" s="252">
        <f t="shared" si="151"/>
        <v>6.8596450791303221E-2</v>
      </c>
      <c r="CB361" s="252">
        <f t="shared" si="151"/>
        <v>4.9008201374155238</v>
      </c>
      <c r="CC361" s="252">
        <f t="shared" si="151"/>
        <v>9.7814908866411504E-2</v>
      </c>
    </row>
    <row r="362" spans="1:81">
      <c r="A362" s="11">
        <v>50649</v>
      </c>
      <c r="B362" s="268">
        <v>70</v>
      </c>
      <c r="C362" s="268">
        <v>13</v>
      </c>
      <c r="D362" s="268">
        <f t="shared" si="168"/>
        <v>20</v>
      </c>
      <c r="E362" s="268">
        <v>3</v>
      </c>
      <c r="F362" s="269">
        <v>0.2</v>
      </c>
      <c r="G362" s="269">
        <v>1.32</v>
      </c>
      <c r="H362" s="269"/>
      <c r="I362" s="269">
        <v>5</v>
      </c>
      <c r="J362" s="269"/>
      <c r="K362" s="269"/>
      <c r="L362" s="269"/>
      <c r="M362" s="269">
        <f t="shared" si="167"/>
        <v>1.5</v>
      </c>
      <c r="N362" s="269">
        <v>45</v>
      </c>
      <c r="O362" s="269">
        <f t="shared" si="150"/>
        <v>17.699535849485258</v>
      </c>
      <c r="Q362" s="251">
        <f t="shared" si="160"/>
        <v>176.71953584948523</v>
      </c>
      <c r="R362" s="251">
        <f>'RD Plant List'!N230</f>
        <v>664.33</v>
      </c>
      <c r="S362" s="251">
        <f>SUM(B362:O362)+'RD Plant List'!N230</f>
        <v>841.04953584948521</v>
      </c>
      <c r="T362" s="237">
        <f t="shared" si="145"/>
        <v>0.7898821314121609</v>
      </c>
      <c r="U362" s="251">
        <f t="shared" si="164"/>
        <v>569.10354128406573</v>
      </c>
      <c r="V362" s="271">
        <f t="shared" si="154"/>
        <v>0.67665876625121035</v>
      </c>
      <c r="W362" s="251">
        <f t="shared" si="161"/>
        <v>47.425295107005475</v>
      </c>
      <c r="X362" s="242">
        <f t="shared" si="162"/>
        <v>7.6100191206778574</v>
      </c>
      <c r="Y362" s="273">
        <f t="shared" si="163"/>
        <v>7.6100191206778574</v>
      </c>
      <c r="AB362" s="251">
        <f>SUM('BD Feedstock'!C360,'BD Feedstock'!E360,'BD Feedstock'!G360,'BD Feedstock'!K360,'BD Feedstock'!T360)</f>
        <v>21.812796010427753</v>
      </c>
      <c r="AC362" s="251">
        <f>SUM('BD Feedstock'!D360,'BD Feedstock'!F360,'BD Feedstock'!H360,'BD Feedstock'!I360,'BD Feedstock'!L360,'BD Feedstock'!M360,'BD Feedstock'!N360,'BD Feedstock'!O360,'BD Feedstock'!U360)</f>
        <v>12.773566250859661</v>
      </c>
      <c r="AD362" s="251">
        <f>'BD Feedstock'!J360</f>
        <v>0.90199999999999991</v>
      </c>
      <c r="AE362" s="251">
        <f>SUM('BD Feedstock'!B360,'BD Feedstock'!P360,'BD Feedstock'!Q360,'BD Feedstock'!R360)</f>
        <v>70.93020833333334</v>
      </c>
      <c r="AF362" s="251">
        <f>'BD Feedstock'!S360</f>
        <v>1.40625</v>
      </c>
      <c r="AG362" s="251">
        <f t="shared" si="155"/>
        <v>107.82482059462075</v>
      </c>
      <c r="AK362" s="237">
        <f t="shared" si="166"/>
        <v>0.20229846792359021</v>
      </c>
      <c r="AL362" s="237">
        <f t="shared" si="166"/>
        <v>0.11846591703484753</v>
      </c>
      <c r="AM362" s="237">
        <f t="shared" si="165"/>
        <v>8.3654208282077092E-3</v>
      </c>
      <c r="AN362" s="237">
        <f t="shared" si="165"/>
        <v>0.65782820636449979</v>
      </c>
      <c r="AO362" s="237">
        <f t="shared" si="165"/>
        <v>1.304198784885487E-2</v>
      </c>
      <c r="AP362" s="237">
        <f t="shared" si="156"/>
        <v>1</v>
      </c>
      <c r="AQ362" s="237"/>
      <c r="AR362" s="237">
        <f t="shared" si="157"/>
        <v>0.61464645366918802</v>
      </c>
      <c r="AS362" s="237">
        <f t="shared" si="158"/>
        <v>0.35993676340465403</v>
      </c>
      <c r="AT362" s="237">
        <f t="shared" si="159"/>
        <v>2.5416782926158003E-2</v>
      </c>
      <c r="AU362" s="237">
        <f t="shared" si="169"/>
        <v>0.98055959563958928</v>
      </c>
      <c r="AV362" s="237">
        <f t="shared" si="169"/>
        <v>1.9440404360410696E-2</v>
      </c>
      <c r="AX362" s="251">
        <f t="shared" si="152"/>
        <v>33726.41667937993</v>
      </c>
      <c r="AY362" s="251">
        <f t="shared" si="152"/>
        <v>20973.415511304112</v>
      </c>
      <c r="AZ362" s="251">
        <f t="shared" si="152"/>
        <v>1475.6302541073862</v>
      </c>
      <c r="BA362" s="251">
        <f t="shared" si="148"/>
        <v>105425.25715668553</v>
      </c>
      <c r="BB362" s="251">
        <f t="shared" si="148"/>
        <v>2104.170655493057</v>
      </c>
      <c r="BC362" s="251">
        <f t="shared" si="149"/>
        <v>163704.89025697001</v>
      </c>
      <c r="BD362" s="270">
        <f t="shared" si="144"/>
        <v>7.6100191206778574</v>
      </c>
      <c r="BY362" s="252">
        <f t="shared" si="153"/>
        <v>1.5678131264078241</v>
      </c>
      <c r="BZ362" s="252">
        <f t="shared" si="151"/>
        <v>0.97497449719679519</v>
      </c>
      <c r="CA362" s="252">
        <f t="shared" si="151"/>
        <v>6.8596450791303207E-2</v>
      </c>
      <c r="CB362" s="252">
        <f t="shared" si="151"/>
        <v>4.9008201374155238</v>
      </c>
      <c r="CC362" s="252">
        <f t="shared" si="151"/>
        <v>9.7814908866411532E-2</v>
      </c>
    </row>
    <row r="363" spans="1:81">
      <c r="A363" s="11">
        <v>50679</v>
      </c>
      <c r="B363" s="268">
        <v>70</v>
      </c>
      <c r="C363" s="268">
        <v>13</v>
      </c>
      <c r="D363" s="268">
        <f t="shared" si="168"/>
        <v>20</v>
      </c>
      <c r="E363" s="268">
        <v>3</v>
      </c>
      <c r="F363" s="269">
        <v>0.2</v>
      </c>
      <c r="G363" s="269">
        <v>1.32</v>
      </c>
      <c r="H363" s="269"/>
      <c r="I363" s="269">
        <v>5</v>
      </c>
      <c r="J363" s="269"/>
      <c r="K363" s="269"/>
      <c r="L363" s="269"/>
      <c r="M363" s="269">
        <f t="shared" si="167"/>
        <v>1.5</v>
      </c>
      <c r="N363" s="269">
        <v>45</v>
      </c>
      <c r="O363" s="269">
        <f t="shared" si="150"/>
        <v>17.699535849485258</v>
      </c>
      <c r="Q363" s="251">
        <f t="shared" si="160"/>
        <v>176.71953584948523</v>
      </c>
      <c r="R363" s="251">
        <f>'RD Plant List'!N231</f>
        <v>664.33</v>
      </c>
      <c r="S363" s="251">
        <f>SUM(B363:O363)+'RD Plant List'!N231</f>
        <v>841.04953584948521</v>
      </c>
      <c r="T363" s="237">
        <f t="shared" si="145"/>
        <v>0.7898821314121609</v>
      </c>
      <c r="U363" s="251">
        <f t="shared" si="164"/>
        <v>595.75844522399234</v>
      </c>
      <c r="V363" s="271">
        <f t="shared" si="154"/>
        <v>0.70835119672500435</v>
      </c>
      <c r="W363" s="251">
        <f t="shared" si="161"/>
        <v>49.646537101999364</v>
      </c>
      <c r="X363" s="242">
        <f t="shared" si="162"/>
        <v>7.6100191206778574</v>
      </c>
      <c r="Y363" s="273">
        <f t="shared" si="163"/>
        <v>7.6100191206778574</v>
      </c>
      <c r="AB363" s="251">
        <f>SUM('BD Feedstock'!C361,'BD Feedstock'!E361,'BD Feedstock'!G361,'BD Feedstock'!K361,'BD Feedstock'!T361)</f>
        <v>21.812796010427753</v>
      </c>
      <c r="AC363" s="251">
        <f>SUM('BD Feedstock'!D361,'BD Feedstock'!F361,'BD Feedstock'!H361,'BD Feedstock'!I361,'BD Feedstock'!L361,'BD Feedstock'!M361,'BD Feedstock'!N361,'BD Feedstock'!O361,'BD Feedstock'!U361)</f>
        <v>12.773566250859661</v>
      </c>
      <c r="AD363" s="251">
        <f>'BD Feedstock'!J361</f>
        <v>0.90199999999999991</v>
      </c>
      <c r="AE363" s="251">
        <f>SUM('BD Feedstock'!B361,'BD Feedstock'!P361,'BD Feedstock'!Q361,'BD Feedstock'!R361)</f>
        <v>70.93020833333334</v>
      </c>
      <c r="AF363" s="251">
        <f>'BD Feedstock'!S361</f>
        <v>1.40625</v>
      </c>
      <c r="AG363" s="251">
        <f t="shared" si="155"/>
        <v>107.82482059462075</v>
      </c>
      <c r="AK363" s="237">
        <f t="shared" si="166"/>
        <v>0.20229846792359021</v>
      </c>
      <c r="AL363" s="237">
        <f t="shared" si="166"/>
        <v>0.11846591703484753</v>
      </c>
      <c r="AM363" s="237">
        <f t="shared" si="165"/>
        <v>8.3654208282077092E-3</v>
      </c>
      <c r="AN363" s="237">
        <f t="shared" si="165"/>
        <v>0.65782820636449979</v>
      </c>
      <c r="AO363" s="237">
        <f t="shared" si="165"/>
        <v>1.304198784885487E-2</v>
      </c>
      <c r="AP363" s="237">
        <f t="shared" si="156"/>
        <v>1</v>
      </c>
      <c r="AQ363" s="237"/>
      <c r="AR363" s="237">
        <f t="shared" si="157"/>
        <v>0.61464645366918802</v>
      </c>
      <c r="AS363" s="237">
        <f t="shared" si="158"/>
        <v>0.35993676340465403</v>
      </c>
      <c r="AT363" s="237">
        <f t="shared" si="159"/>
        <v>2.5416782926158003E-2</v>
      </c>
      <c r="AU363" s="237">
        <f t="shared" si="169"/>
        <v>0.98055959563958928</v>
      </c>
      <c r="AV363" s="237">
        <f t="shared" si="169"/>
        <v>1.9440404360410696E-2</v>
      </c>
      <c r="AX363" s="251">
        <f t="shared" si="152"/>
        <v>35306.049086513543</v>
      </c>
      <c r="AY363" s="251">
        <f t="shared" si="152"/>
        <v>21955.74005366175</v>
      </c>
      <c r="AZ363" s="251">
        <f t="shared" si="152"/>
        <v>1544.7438333083444</v>
      </c>
      <c r="BA363" s="251">
        <f t="shared" si="148"/>
        <v>110363.023131596</v>
      </c>
      <c r="BB363" s="251">
        <f t="shared" si="148"/>
        <v>2202.722962106423</v>
      </c>
      <c r="BC363" s="251">
        <f t="shared" si="149"/>
        <v>171372.27906718606</v>
      </c>
      <c r="BD363" s="270">
        <f t="shared" si="144"/>
        <v>7.6100191206778574</v>
      </c>
      <c r="BY363" s="252">
        <f t="shared" si="153"/>
        <v>1.5678131264078241</v>
      </c>
      <c r="BZ363" s="252">
        <f t="shared" si="151"/>
        <v>0.9749744971967953</v>
      </c>
      <c r="CA363" s="252">
        <f t="shared" si="151"/>
        <v>6.8596450791303207E-2</v>
      </c>
      <c r="CB363" s="252">
        <f t="shared" si="151"/>
        <v>4.9008201374155229</v>
      </c>
      <c r="CC363" s="252">
        <f t="shared" si="151"/>
        <v>9.7814908866411518E-2</v>
      </c>
    </row>
    <row r="364" spans="1:81">
      <c r="A364" s="11">
        <v>50710</v>
      </c>
      <c r="B364" s="268">
        <v>70</v>
      </c>
      <c r="C364" s="268">
        <v>13</v>
      </c>
      <c r="D364" s="268">
        <f t="shared" si="168"/>
        <v>20</v>
      </c>
      <c r="E364" s="268">
        <v>3</v>
      </c>
      <c r="F364" s="269">
        <v>0.2</v>
      </c>
      <c r="G364" s="269">
        <v>1.32</v>
      </c>
      <c r="H364" s="269"/>
      <c r="I364" s="269">
        <v>5</v>
      </c>
      <c r="J364" s="269"/>
      <c r="K364" s="269"/>
      <c r="L364" s="269"/>
      <c r="M364" s="269">
        <f t="shared" si="167"/>
        <v>1.5</v>
      </c>
      <c r="N364" s="269">
        <v>45</v>
      </c>
      <c r="O364" s="269">
        <f t="shared" si="150"/>
        <v>17.699535849485258</v>
      </c>
      <c r="Q364" s="251">
        <f t="shared" si="160"/>
        <v>176.71953584948523</v>
      </c>
      <c r="R364" s="251">
        <f>'RD Plant List'!N232</f>
        <v>664.33</v>
      </c>
      <c r="S364" s="251">
        <f>SUM(B364:O364)+'RD Plant List'!N232</f>
        <v>841.04953584948521</v>
      </c>
      <c r="T364" s="237">
        <f t="shared" si="145"/>
        <v>0.7898821314121609</v>
      </c>
      <c r="U364" s="251">
        <f t="shared" si="164"/>
        <v>641.00462314585093</v>
      </c>
      <c r="V364" s="271">
        <f t="shared" si="154"/>
        <v>0.76214847737644498</v>
      </c>
      <c r="W364" s="251">
        <f t="shared" si="161"/>
        <v>53.417051928820911</v>
      </c>
      <c r="X364" s="242">
        <f t="shared" si="162"/>
        <v>7.6100191206778591</v>
      </c>
      <c r="Y364" s="273">
        <f t="shared" si="163"/>
        <v>7.6100191206778591</v>
      </c>
      <c r="AB364" s="251">
        <f>SUM('BD Feedstock'!C362,'BD Feedstock'!E362,'BD Feedstock'!G362,'BD Feedstock'!K362,'BD Feedstock'!T362)</f>
        <v>21.812796010427753</v>
      </c>
      <c r="AC364" s="251">
        <f>SUM('BD Feedstock'!D362,'BD Feedstock'!F362,'BD Feedstock'!H362,'BD Feedstock'!I362,'BD Feedstock'!L362,'BD Feedstock'!M362,'BD Feedstock'!N362,'BD Feedstock'!O362,'BD Feedstock'!U362)</f>
        <v>12.773566250859661</v>
      </c>
      <c r="AD364" s="251">
        <f>'BD Feedstock'!J362</f>
        <v>0.90199999999999991</v>
      </c>
      <c r="AE364" s="251">
        <f>SUM('BD Feedstock'!B362,'BD Feedstock'!P362,'BD Feedstock'!Q362,'BD Feedstock'!R362)</f>
        <v>70.93020833333334</v>
      </c>
      <c r="AF364" s="251">
        <f>'BD Feedstock'!S362</f>
        <v>1.40625</v>
      </c>
      <c r="AG364" s="251">
        <f t="shared" si="155"/>
        <v>107.82482059462075</v>
      </c>
      <c r="AK364" s="237">
        <f t="shared" si="166"/>
        <v>0.20229846792359021</v>
      </c>
      <c r="AL364" s="237">
        <f t="shared" si="166"/>
        <v>0.11846591703484753</v>
      </c>
      <c r="AM364" s="237">
        <f t="shared" si="165"/>
        <v>8.3654208282077092E-3</v>
      </c>
      <c r="AN364" s="237">
        <f t="shared" si="165"/>
        <v>0.65782820636449979</v>
      </c>
      <c r="AO364" s="237">
        <f t="shared" si="165"/>
        <v>1.304198784885487E-2</v>
      </c>
      <c r="AP364" s="237">
        <f t="shared" si="156"/>
        <v>1</v>
      </c>
      <c r="AQ364" s="237"/>
      <c r="AR364" s="237">
        <f t="shared" si="157"/>
        <v>0.61464645366918802</v>
      </c>
      <c r="AS364" s="237">
        <f t="shared" si="158"/>
        <v>0.35993676340465403</v>
      </c>
      <c r="AT364" s="237">
        <f t="shared" si="159"/>
        <v>2.5416782926158003E-2</v>
      </c>
      <c r="AU364" s="237">
        <f t="shared" si="169"/>
        <v>0.98055959563958928</v>
      </c>
      <c r="AV364" s="237">
        <f t="shared" si="169"/>
        <v>1.9440404360410696E-2</v>
      </c>
      <c r="AX364" s="251">
        <f t="shared" si="152"/>
        <v>37987.444191346091</v>
      </c>
      <c r="AY364" s="251">
        <f t="shared" si="152"/>
        <v>23623.216744656125</v>
      </c>
      <c r="AZ364" s="251">
        <f t="shared" si="152"/>
        <v>1662.0627817611601</v>
      </c>
      <c r="BA364" s="251">
        <f t="shared" si="148"/>
        <v>118744.78426421233</v>
      </c>
      <c r="BB364" s="251">
        <f t="shared" si="148"/>
        <v>2370.0135743587739</v>
      </c>
      <c r="BC364" s="251">
        <f t="shared" si="149"/>
        <v>184387.52155633448</v>
      </c>
      <c r="BD364" s="270">
        <f t="shared" si="144"/>
        <v>7.6100191206778582</v>
      </c>
      <c r="BY364" s="252">
        <f t="shared" si="153"/>
        <v>1.5678131264078239</v>
      </c>
      <c r="BZ364" s="252">
        <f t="shared" si="151"/>
        <v>0.97497449719679541</v>
      </c>
      <c r="CA364" s="252">
        <f t="shared" si="151"/>
        <v>6.8596450791303221E-2</v>
      </c>
      <c r="CB364" s="252">
        <f t="shared" si="151"/>
        <v>4.9008201374155247</v>
      </c>
      <c r="CC364" s="252">
        <f t="shared" si="151"/>
        <v>9.7814908866411518E-2</v>
      </c>
    </row>
    <row r="365" spans="1:81">
      <c r="A365" s="11">
        <v>50740</v>
      </c>
      <c r="B365" s="268">
        <v>70</v>
      </c>
      <c r="C365" s="268">
        <v>13</v>
      </c>
      <c r="D365" s="268">
        <f t="shared" si="168"/>
        <v>20</v>
      </c>
      <c r="E365" s="268">
        <v>3</v>
      </c>
      <c r="F365" s="269">
        <v>0.2</v>
      </c>
      <c r="G365" s="269">
        <v>1.32</v>
      </c>
      <c r="H365" s="269"/>
      <c r="I365" s="269">
        <v>5</v>
      </c>
      <c r="J365" s="269"/>
      <c r="K365" s="269"/>
      <c r="L365" s="269"/>
      <c r="M365" s="269">
        <f t="shared" si="167"/>
        <v>1.5</v>
      </c>
      <c r="N365" s="269">
        <v>45</v>
      </c>
      <c r="O365" s="269">
        <f t="shared" si="150"/>
        <v>17.699535849485258</v>
      </c>
      <c r="Q365" s="251">
        <f t="shared" si="160"/>
        <v>176.71953584948523</v>
      </c>
      <c r="R365" s="251">
        <f>'RD Plant List'!N233</f>
        <v>664.33</v>
      </c>
      <c r="S365" s="251">
        <f>SUM(B365:O365)+'RD Plant List'!N233</f>
        <v>841.04953584948521</v>
      </c>
      <c r="T365" s="237">
        <f t="shared" si="145"/>
        <v>0.7898821314121609</v>
      </c>
      <c r="U365" s="251">
        <f t="shared" si="164"/>
        <v>582.93973377954615</v>
      </c>
      <c r="V365" s="271">
        <f t="shared" si="154"/>
        <v>0.69310986919546846</v>
      </c>
      <c r="W365" s="251">
        <f t="shared" si="161"/>
        <v>48.578311148295512</v>
      </c>
      <c r="X365" s="242">
        <f t="shared" si="162"/>
        <v>7.6100191206778574</v>
      </c>
      <c r="Y365" s="273">
        <f t="shared" si="163"/>
        <v>7.6100191206778574</v>
      </c>
      <c r="AB365" s="251">
        <f>SUM('BD Feedstock'!C363,'BD Feedstock'!E363,'BD Feedstock'!G363,'BD Feedstock'!K363,'BD Feedstock'!T363)</f>
        <v>21.812796010427753</v>
      </c>
      <c r="AC365" s="251">
        <f>SUM('BD Feedstock'!D363,'BD Feedstock'!F363,'BD Feedstock'!H363,'BD Feedstock'!I363,'BD Feedstock'!L363,'BD Feedstock'!M363,'BD Feedstock'!N363,'BD Feedstock'!O363,'BD Feedstock'!U363)</f>
        <v>12.773566250859661</v>
      </c>
      <c r="AD365" s="251">
        <f>'BD Feedstock'!J363</f>
        <v>0.90199999999999991</v>
      </c>
      <c r="AE365" s="251">
        <f>SUM('BD Feedstock'!B363,'BD Feedstock'!P363,'BD Feedstock'!Q363,'BD Feedstock'!R363)</f>
        <v>70.93020833333334</v>
      </c>
      <c r="AF365" s="251">
        <f>'BD Feedstock'!S363</f>
        <v>1.40625</v>
      </c>
      <c r="AG365" s="251">
        <f t="shared" si="155"/>
        <v>107.82482059462075</v>
      </c>
      <c r="AK365" s="237">
        <f t="shared" si="166"/>
        <v>0.20229846792359021</v>
      </c>
      <c r="AL365" s="237">
        <f t="shared" si="166"/>
        <v>0.11846591703484753</v>
      </c>
      <c r="AM365" s="237">
        <f t="shared" si="165"/>
        <v>8.3654208282077092E-3</v>
      </c>
      <c r="AN365" s="237">
        <f t="shared" si="165"/>
        <v>0.65782820636449979</v>
      </c>
      <c r="AO365" s="237">
        <f t="shared" si="165"/>
        <v>1.304198784885487E-2</v>
      </c>
      <c r="AP365" s="237">
        <f t="shared" si="156"/>
        <v>1</v>
      </c>
      <c r="AQ365" s="237"/>
      <c r="AR365" s="237">
        <f t="shared" si="157"/>
        <v>0.61464645366918802</v>
      </c>
      <c r="AS365" s="237">
        <f t="shared" si="158"/>
        <v>0.35993676340465403</v>
      </c>
      <c r="AT365" s="237">
        <f t="shared" si="159"/>
        <v>2.5416782926158003E-2</v>
      </c>
      <c r="AU365" s="237">
        <f t="shared" si="169"/>
        <v>0.98055959563958928</v>
      </c>
      <c r="AV365" s="237">
        <f t="shared" si="169"/>
        <v>1.9440404360410696E-2</v>
      </c>
      <c r="AX365" s="251">
        <f t="shared" si="152"/>
        <v>34546.382045094913</v>
      </c>
      <c r="AY365" s="251">
        <f t="shared" si="152"/>
        <v>21483.326614031292</v>
      </c>
      <c r="AZ365" s="251">
        <f t="shared" si="152"/>
        <v>1511.5061585199956</v>
      </c>
      <c r="BA365" s="251">
        <f t="shared" si="148"/>
        <v>107988.38327713491</v>
      </c>
      <c r="BB365" s="251">
        <f t="shared" si="148"/>
        <v>2155.3277967174004</v>
      </c>
      <c r="BC365" s="251">
        <f t="shared" si="149"/>
        <v>167684.92589149851</v>
      </c>
      <c r="BD365" s="270">
        <f t="shared" ref="BD365:BD428" si="170">(BC365*2204.622/1000000)/(U365/12)</f>
        <v>7.6100191206778582</v>
      </c>
      <c r="BY365" s="252">
        <f t="shared" si="153"/>
        <v>1.5678131264078239</v>
      </c>
      <c r="BZ365" s="252">
        <f t="shared" si="151"/>
        <v>0.97497449719679519</v>
      </c>
      <c r="CA365" s="252">
        <f t="shared" si="151"/>
        <v>6.8596450791303207E-2</v>
      </c>
      <c r="CB365" s="252">
        <f t="shared" si="151"/>
        <v>4.9008201374155247</v>
      </c>
      <c r="CC365" s="252">
        <f t="shared" si="151"/>
        <v>9.7814908866411504E-2</v>
      </c>
    </row>
    <row r="366" spans="1:81">
      <c r="A366" s="11">
        <v>50771</v>
      </c>
      <c r="B366" s="268">
        <v>70</v>
      </c>
      <c r="C366" s="268">
        <v>13</v>
      </c>
      <c r="D366" s="268">
        <f t="shared" si="168"/>
        <v>20</v>
      </c>
      <c r="E366" s="268">
        <v>3</v>
      </c>
      <c r="F366" s="269">
        <v>0.2</v>
      </c>
      <c r="G366" s="269">
        <v>1.32</v>
      </c>
      <c r="H366" s="269"/>
      <c r="I366" s="269">
        <v>5</v>
      </c>
      <c r="J366" s="269"/>
      <c r="K366" s="269"/>
      <c r="L366" s="269"/>
      <c r="M366" s="269">
        <f t="shared" si="167"/>
        <v>1.5</v>
      </c>
      <c r="N366" s="269">
        <v>45</v>
      </c>
      <c r="O366" s="269">
        <f t="shared" si="150"/>
        <v>17.699535849485258</v>
      </c>
      <c r="Q366" s="251">
        <f t="shared" si="160"/>
        <v>176.71953584948523</v>
      </c>
      <c r="R366" s="251">
        <f>'RD Plant List'!N234</f>
        <v>664.33</v>
      </c>
      <c r="S366" s="251">
        <f>SUM(B366:O366)+'RD Plant List'!N234</f>
        <v>841.04953584948521</v>
      </c>
      <c r="T366" s="237">
        <f t="shared" si="145"/>
        <v>0.7898821314121609</v>
      </c>
      <c r="U366" s="251">
        <f t="shared" si="164"/>
        <v>477.77329200400544</v>
      </c>
      <c r="V366" s="271">
        <f t="shared" si="154"/>
        <v>0.56806795752100392</v>
      </c>
      <c r="W366" s="251">
        <f t="shared" si="161"/>
        <v>39.814441000333787</v>
      </c>
      <c r="X366" s="242">
        <f t="shared" si="162"/>
        <v>7.6100191206778565</v>
      </c>
      <c r="Y366" s="273">
        <f t="shared" si="163"/>
        <v>7.6100191206778565</v>
      </c>
      <c r="AB366" s="251">
        <f>SUM('BD Feedstock'!C364,'BD Feedstock'!E364,'BD Feedstock'!G364,'BD Feedstock'!K364,'BD Feedstock'!T364)</f>
        <v>21.812796010427753</v>
      </c>
      <c r="AC366" s="251">
        <f>SUM('BD Feedstock'!D364,'BD Feedstock'!F364,'BD Feedstock'!H364,'BD Feedstock'!I364,'BD Feedstock'!L364,'BD Feedstock'!M364,'BD Feedstock'!N364,'BD Feedstock'!O364,'BD Feedstock'!U364)</f>
        <v>12.773566250859661</v>
      </c>
      <c r="AD366" s="251">
        <f>'BD Feedstock'!J364</f>
        <v>0.90199999999999991</v>
      </c>
      <c r="AE366" s="251">
        <f>SUM('BD Feedstock'!B364,'BD Feedstock'!P364,'BD Feedstock'!Q364,'BD Feedstock'!R364)</f>
        <v>70.93020833333334</v>
      </c>
      <c r="AF366" s="251">
        <f>'BD Feedstock'!S364</f>
        <v>1.40625</v>
      </c>
      <c r="AG366" s="251">
        <f t="shared" si="155"/>
        <v>107.82482059462075</v>
      </c>
      <c r="AK366" s="237">
        <f t="shared" si="166"/>
        <v>0.20229846792359021</v>
      </c>
      <c r="AL366" s="237">
        <f t="shared" si="166"/>
        <v>0.11846591703484753</v>
      </c>
      <c r="AM366" s="237">
        <f t="shared" si="165"/>
        <v>8.3654208282077092E-3</v>
      </c>
      <c r="AN366" s="237">
        <f t="shared" si="165"/>
        <v>0.65782820636449979</v>
      </c>
      <c r="AO366" s="237">
        <f t="shared" si="165"/>
        <v>1.304198784885487E-2</v>
      </c>
      <c r="AP366" s="237">
        <f t="shared" si="156"/>
        <v>1</v>
      </c>
      <c r="AQ366" s="237"/>
      <c r="AR366" s="237">
        <f t="shared" si="157"/>
        <v>0.61464645366918802</v>
      </c>
      <c r="AS366" s="237">
        <f t="shared" si="158"/>
        <v>0.35993676340465403</v>
      </c>
      <c r="AT366" s="237">
        <f t="shared" si="159"/>
        <v>2.5416782926158003E-2</v>
      </c>
      <c r="AU366" s="237">
        <f t="shared" si="169"/>
        <v>0.98055959563958928</v>
      </c>
      <c r="AV366" s="237">
        <f t="shared" si="169"/>
        <v>1.9440404360410696E-2</v>
      </c>
      <c r="AX366" s="251">
        <f t="shared" si="152"/>
        <v>28313.970930578205</v>
      </c>
      <c r="AY366" s="251">
        <f t="shared" si="152"/>
        <v>17607.582885171199</v>
      </c>
      <c r="AZ366" s="251">
        <f t="shared" si="152"/>
        <v>1238.8197808343753</v>
      </c>
      <c r="BA366" s="251">
        <f t="shared" si="148"/>
        <v>88506.51686065823</v>
      </c>
      <c r="BB366" s="251">
        <f t="shared" si="148"/>
        <v>1766.4914520560751</v>
      </c>
      <c r="BC366" s="251">
        <f t="shared" si="149"/>
        <v>137433.38190929807</v>
      </c>
      <c r="BD366" s="270">
        <f t="shared" si="170"/>
        <v>7.6100191206778556</v>
      </c>
      <c r="BY366" s="252">
        <f t="shared" si="153"/>
        <v>1.5678131264078243</v>
      </c>
      <c r="BZ366" s="252">
        <f t="shared" si="151"/>
        <v>0.97497449719679508</v>
      </c>
      <c r="CA366" s="252">
        <f t="shared" si="151"/>
        <v>6.8596450791303221E-2</v>
      </c>
      <c r="CB366" s="252">
        <f t="shared" si="151"/>
        <v>4.9008201374155229</v>
      </c>
      <c r="CC366" s="252">
        <f t="shared" si="151"/>
        <v>9.7814908866411532E-2</v>
      </c>
    </row>
    <row r="367" spans="1:81">
      <c r="A367" s="11">
        <v>50802</v>
      </c>
      <c r="B367" s="268">
        <v>70</v>
      </c>
      <c r="C367" s="268">
        <v>13</v>
      </c>
      <c r="D367" s="268">
        <f t="shared" si="168"/>
        <v>20</v>
      </c>
      <c r="E367" s="268">
        <v>3</v>
      </c>
      <c r="F367" s="269">
        <v>0.2</v>
      </c>
      <c r="G367" s="269">
        <v>1.32</v>
      </c>
      <c r="H367" s="269"/>
      <c r="I367" s="269">
        <v>5</v>
      </c>
      <c r="J367" s="269"/>
      <c r="K367" s="269"/>
      <c r="L367" s="269"/>
      <c r="M367" s="269">
        <f t="shared" si="167"/>
        <v>1.5</v>
      </c>
      <c r="N367" s="269">
        <v>45</v>
      </c>
      <c r="O367" s="269">
        <f t="shared" si="150"/>
        <v>17.699535849485258</v>
      </c>
      <c r="Q367" s="251">
        <f t="shared" si="160"/>
        <v>176.71953584948523</v>
      </c>
      <c r="R367" s="251">
        <f>'RD Plant List'!N235</f>
        <v>664.33</v>
      </c>
      <c r="S367" s="251">
        <f>SUM(B367:O367)+'RD Plant List'!N235</f>
        <v>841.04953584948521</v>
      </c>
      <c r="T367" s="237">
        <f t="shared" si="145"/>
        <v>0.7898821314121609</v>
      </c>
      <c r="U367" s="251">
        <f t="shared" si="164"/>
        <v>441.90454375483415</v>
      </c>
      <c r="V367" s="271">
        <f t="shared" si="154"/>
        <v>0.52542035268885479</v>
      </c>
      <c r="W367" s="251">
        <f t="shared" si="161"/>
        <v>36.825378646236182</v>
      </c>
      <c r="X367" s="242">
        <f t="shared" si="162"/>
        <v>7.6100191206778582</v>
      </c>
      <c r="Y367" s="273">
        <f t="shared" si="163"/>
        <v>7.6100191206778582</v>
      </c>
      <c r="AB367" s="251">
        <f>SUM('BD Feedstock'!C365,'BD Feedstock'!E365,'BD Feedstock'!G365,'BD Feedstock'!K365,'BD Feedstock'!T365)</f>
        <v>21.812796010427753</v>
      </c>
      <c r="AC367" s="251">
        <f>SUM('BD Feedstock'!D365,'BD Feedstock'!F365,'BD Feedstock'!H365,'BD Feedstock'!I365,'BD Feedstock'!L365,'BD Feedstock'!M365,'BD Feedstock'!N365,'BD Feedstock'!O365,'BD Feedstock'!U365)</f>
        <v>12.773566250859661</v>
      </c>
      <c r="AD367" s="251">
        <f>'BD Feedstock'!J365</f>
        <v>0.90199999999999991</v>
      </c>
      <c r="AE367" s="251">
        <f>SUM('BD Feedstock'!B365,'BD Feedstock'!P365,'BD Feedstock'!Q365,'BD Feedstock'!R365)</f>
        <v>70.93020833333334</v>
      </c>
      <c r="AF367" s="251">
        <f>'BD Feedstock'!S365</f>
        <v>1.40625</v>
      </c>
      <c r="AG367" s="251">
        <f t="shared" si="155"/>
        <v>107.82482059462075</v>
      </c>
      <c r="AK367" s="237">
        <f t="shared" si="166"/>
        <v>0.20229846792359021</v>
      </c>
      <c r="AL367" s="237">
        <f t="shared" si="166"/>
        <v>0.11846591703484753</v>
      </c>
      <c r="AM367" s="237">
        <f t="shared" si="165"/>
        <v>8.3654208282077092E-3</v>
      </c>
      <c r="AN367" s="237">
        <f t="shared" si="165"/>
        <v>0.65782820636449979</v>
      </c>
      <c r="AO367" s="237">
        <f t="shared" si="165"/>
        <v>1.304198784885487E-2</v>
      </c>
      <c r="AP367" s="237">
        <f t="shared" si="156"/>
        <v>1</v>
      </c>
      <c r="AQ367" s="237"/>
      <c r="AR367" s="237">
        <f t="shared" si="157"/>
        <v>0.61464645366918802</v>
      </c>
      <c r="AS367" s="237">
        <f t="shared" si="158"/>
        <v>0.35993676340465403</v>
      </c>
      <c r="AT367" s="237">
        <f t="shared" si="159"/>
        <v>2.5416782926158003E-2</v>
      </c>
      <c r="AU367" s="237">
        <f t="shared" si="169"/>
        <v>0.98055959563958928</v>
      </c>
      <c r="AV367" s="237">
        <f t="shared" si="169"/>
        <v>1.9440404360410696E-2</v>
      </c>
      <c r="AX367" s="251">
        <f t="shared" si="152"/>
        <v>26188.304401619633</v>
      </c>
      <c r="AY367" s="251">
        <f t="shared" si="152"/>
        <v>16285.696609076622</v>
      </c>
      <c r="AZ367" s="251">
        <f t="shared" si="152"/>
        <v>1145.8155974936512</v>
      </c>
      <c r="BA367" s="251">
        <f t="shared" si="148"/>
        <v>81861.905232473378</v>
      </c>
      <c r="BB367" s="251">
        <f t="shared" si="148"/>
        <v>1633.8724081736864</v>
      </c>
      <c r="BC367" s="251">
        <f t="shared" si="149"/>
        <v>127115.59424883698</v>
      </c>
      <c r="BD367" s="270">
        <f t="shared" si="170"/>
        <v>7.6100191206778582</v>
      </c>
      <c r="BY367" s="252">
        <f t="shared" si="153"/>
        <v>1.5678131264078241</v>
      </c>
      <c r="BZ367" s="252">
        <f t="shared" si="151"/>
        <v>0.97497449719679519</v>
      </c>
      <c r="CA367" s="252">
        <f t="shared" si="151"/>
        <v>6.8596450791303207E-2</v>
      </c>
      <c r="CB367" s="252">
        <f t="shared" si="151"/>
        <v>4.9008201374155247</v>
      </c>
      <c r="CC367" s="252">
        <f t="shared" si="151"/>
        <v>9.7814908866411518E-2</v>
      </c>
    </row>
    <row r="368" spans="1:81">
      <c r="A368" s="11">
        <v>50830</v>
      </c>
      <c r="B368" s="268">
        <v>70</v>
      </c>
      <c r="C368" s="268">
        <v>13</v>
      </c>
      <c r="D368" s="268">
        <f t="shared" si="168"/>
        <v>20</v>
      </c>
      <c r="E368" s="268">
        <v>3</v>
      </c>
      <c r="F368" s="269">
        <v>0.2</v>
      </c>
      <c r="G368" s="269">
        <v>1.32</v>
      </c>
      <c r="H368" s="269"/>
      <c r="I368" s="269">
        <v>5</v>
      </c>
      <c r="J368" s="269"/>
      <c r="K368" s="269"/>
      <c r="L368" s="269"/>
      <c r="M368" s="269">
        <f t="shared" si="167"/>
        <v>1.5</v>
      </c>
      <c r="N368" s="269">
        <v>45</v>
      </c>
      <c r="O368" s="269">
        <f t="shared" si="150"/>
        <v>17.699535849485258</v>
      </c>
      <c r="Q368" s="251">
        <f t="shared" si="160"/>
        <v>176.71953584948523</v>
      </c>
      <c r="R368" s="251">
        <f>'RD Plant List'!N236</f>
        <v>664.33</v>
      </c>
      <c r="S368" s="251">
        <f>SUM(B368:O368)+'RD Plant List'!N236</f>
        <v>841.04953584948521</v>
      </c>
      <c r="T368" s="237">
        <f t="shared" si="145"/>
        <v>0.7898821314121609</v>
      </c>
      <c r="U368" s="251">
        <f t="shared" si="164"/>
        <v>491.10250530018629</v>
      </c>
      <c r="V368" s="271">
        <f t="shared" si="154"/>
        <v>0.5839162669582334</v>
      </c>
      <c r="W368" s="251">
        <f t="shared" si="161"/>
        <v>40.925208775015527</v>
      </c>
      <c r="X368" s="242">
        <f t="shared" si="162"/>
        <v>7.6100191206778582</v>
      </c>
      <c r="Y368" s="273">
        <f t="shared" si="163"/>
        <v>7.6100191206778582</v>
      </c>
      <c r="AB368" s="251">
        <f>SUM('BD Feedstock'!C366,'BD Feedstock'!E366,'BD Feedstock'!G366,'BD Feedstock'!K366,'BD Feedstock'!T366)</f>
        <v>21.812796010427753</v>
      </c>
      <c r="AC368" s="251">
        <f>SUM('BD Feedstock'!D366,'BD Feedstock'!F366,'BD Feedstock'!H366,'BD Feedstock'!I366,'BD Feedstock'!L366,'BD Feedstock'!M366,'BD Feedstock'!N366,'BD Feedstock'!O366,'BD Feedstock'!U366)</f>
        <v>12.773566250859661</v>
      </c>
      <c r="AD368" s="251">
        <f>'BD Feedstock'!J366</f>
        <v>0.90199999999999991</v>
      </c>
      <c r="AE368" s="251">
        <f>SUM('BD Feedstock'!B366,'BD Feedstock'!P366,'BD Feedstock'!Q366,'BD Feedstock'!R366)</f>
        <v>70.93020833333334</v>
      </c>
      <c r="AF368" s="251">
        <f>'BD Feedstock'!S366</f>
        <v>1.40625</v>
      </c>
      <c r="AG368" s="251">
        <f t="shared" si="155"/>
        <v>107.82482059462075</v>
      </c>
      <c r="AK368" s="237">
        <f t="shared" si="166"/>
        <v>0.20229846792359021</v>
      </c>
      <c r="AL368" s="237">
        <f t="shared" si="166"/>
        <v>0.11846591703484753</v>
      </c>
      <c r="AM368" s="237">
        <f t="shared" si="165"/>
        <v>8.3654208282077092E-3</v>
      </c>
      <c r="AN368" s="237">
        <f t="shared" si="165"/>
        <v>0.65782820636449979</v>
      </c>
      <c r="AO368" s="237">
        <f t="shared" si="165"/>
        <v>1.304198784885487E-2</v>
      </c>
      <c r="AP368" s="237">
        <f t="shared" si="156"/>
        <v>1</v>
      </c>
      <c r="AQ368" s="237"/>
      <c r="AR368" s="237">
        <f t="shared" si="157"/>
        <v>0.61464645366918802</v>
      </c>
      <c r="AS368" s="237">
        <f t="shared" si="158"/>
        <v>0.35993676340465403</v>
      </c>
      <c r="AT368" s="237">
        <f t="shared" si="159"/>
        <v>2.5416782926158003E-2</v>
      </c>
      <c r="AU368" s="237">
        <f t="shared" si="169"/>
        <v>0.98055959563958928</v>
      </c>
      <c r="AV368" s="237">
        <f t="shared" si="169"/>
        <v>1.9440404360410696E-2</v>
      </c>
      <c r="AX368" s="251">
        <f t="shared" si="152"/>
        <v>29103.891514486393</v>
      </c>
      <c r="AY368" s="251">
        <f t="shared" si="152"/>
        <v>18098.810067256261</v>
      </c>
      <c r="AZ368" s="251">
        <f t="shared" si="152"/>
        <v>1273.3811373828089</v>
      </c>
      <c r="BA368" s="251">
        <f t="shared" si="148"/>
        <v>90975.726130162278</v>
      </c>
      <c r="BB368" s="251">
        <f t="shared" si="148"/>
        <v>1815.7741175888696</v>
      </c>
      <c r="BC368" s="251">
        <f t="shared" si="149"/>
        <v>141267.58296687662</v>
      </c>
      <c r="BD368" s="270">
        <f t="shared" si="170"/>
        <v>7.6100191206778574</v>
      </c>
      <c r="BY368" s="252">
        <f t="shared" si="153"/>
        <v>1.5678131264078243</v>
      </c>
      <c r="BZ368" s="252">
        <f t="shared" si="151"/>
        <v>0.97497449719679508</v>
      </c>
      <c r="CA368" s="252">
        <f t="shared" si="151"/>
        <v>6.8596450791303207E-2</v>
      </c>
      <c r="CB368" s="252">
        <f t="shared" si="151"/>
        <v>4.9008201374155238</v>
      </c>
      <c r="CC368" s="252">
        <f t="shared" si="151"/>
        <v>9.7814908866411518E-2</v>
      </c>
    </row>
    <row r="369" spans="1:81">
      <c r="A369" s="11">
        <v>50861</v>
      </c>
      <c r="B369" s="268">
        <v>70</v>
      </c>
      <c r="C369" s="268">
        <v>13</v>
      </c>
      <c r="D369" s="268">
        <f t="shared" si="168"/>
        <v>20</v>
      </c>
      <c r="E369" s="268">
        <v>3</v>
      </c>
      <c r="F369" s="269">
        <v>0.2</v>
      </c>
      <c r="G369" s="269">
        <v>1.32</v>
      </c>
      <c r="H369" s="269"/>
      <c r="I369" s="269">
        <v>5</v>
      </c>
      <c r="J369" s="269"/>
      <c r="K369" s="269"/>
      <c r="L369" s="269"/>
      <c r="M369" s="269">
        <f t="shared" si="167"/>
        <v>1.5</v>
      </c>
      <c r="N369" s="269">
        <v>45</v>
      </c>
      <c r="O369" s="269">
        <f t="shared" si="150"/>
        <v>17.699535849485258</v>
      </c>
      <c r="Q369" s="251">
        <f t="shared" si="160"/>
        <v>176.71953584948523</v>
      </c>
      <c r="R369" s="251">
        <f>'RD Plant List'!N237</f>
        <v>664.33</v>
      </c>
      <c r="S369" s="251">
        <f>SUM(B369:O369)+'RD Plant List'!N237</f>
        <v>841.04953584948521</v>
      </c>
      <c r="T369" s="237">
        <f t="shared" si="145"/>
        <v>0.7898821314121609</v>
      </c>
      <c r="U369" s="251">
        <f t="shared" si="164"/>
        <v>499.56511284741936</v>
      </c>
      <c r="V369" s="271">
        <f t="shared" si="154"/>
        <v>0.59397822786126819</v>
      </c>
      <c r="W369" s="251">
        <f t="shared" si="161"/>
        <v>41.630426070618277</v>
      </c>
      <c r="X369" s="242">
        <f t="shared" si="162"/>
        <v>7.6100191206778565</v>
      </c>
      <c r="Y369" s="273">
        <f t="shared" si="163"/>
        <v>7.6100191206778565</v>
      </c>
      <c r="AB369" s="251">
        <f>SUM('BD Feedstock'!C367,'BD Feedstock'!E367,'BD Feedstock'!G367,'BD Feedstock'!K367,'BD Feedstock'!T367)</f>
        <v>21.812796010427753</v>
      </c>
      <c r="AC369" s="251">
        <f>SUM('BD Feedstock'!D367,'BD Feedstock'!F367,'BD Feedstock'!H367,'BD Feedstock'!I367,'BD Feedstock'!L367,'BD Feedstock'!M367,'BD Feedstock'!N367,'BD Feedstock'!O367,'BD Feedstock'!U367)</f>
        <v>12.773566250859661</v>
      </c>
      <c r="AD369" s="251">
        <f>'BD Feedstock'!J367</f>
        <v>0.90199999999999991</v>
      </c>
      <c r="AE369" s="251">
        <f>SUM('BD Feedstock'!B367,'BD Feedstock'!P367,'BD Feedstock'!Q367,'BD Feedstock'!R367)</f>
        <v>70.93020833333334</v>
      </c>
      <c r="AF369" s="251">
        <f>'BD Feedstock'!S367</f>
        <v>1.40625</v>
      </c>
      <c r="AG369" s="251">
        <f t="shared" si="155"/>
        <v>107.82482059462075</v>
      </c>
      <c r="AK369" s="237">
        <f t="shared" si="166"/>
        <v>0.20229846792359021</v>
      </c>
      <c r="AL369" s="237">
        <f t="shared" si="166"/>
        <v>0.11846591703484753</v>
      </c>
      <c r="AM369" s="237">
        <f t="shared" si="165"/>
        <v>8.3654208282077092E-3</v>
      </c>
      <c r="AN369" s="237">
        <f t="shared" si="165"/>
        <v>0.65782820636449979</v>
      </c>
      <c r="AO369" s="237">
        <f t="shared" si="165"/>
        <v>1.304198784885487E-2</v>
      </c>
      <c r="AP369" s="237">
        <f t="shared" si="156"/>
        <v>1</v>
      </c>
      <c r="AQ369" s="237"/>
      <c r="AR369" s="237">
        <f t="shared" si="157"/>
        <v>0.61464645366918802</v>
      </c>
      <c r="AS369" s="237">
        <f t="shared" si="158"/>
        <v>0.35993676340465403</v>
      </c>
      <c r="AT369" s="237">
        <f t="shared" si="159"/>
        <v>2.5416782926158003E-2</v>
      </c>
      <c r="AU369" s="237">
        <f t="shared" si="169"/>
        <v>0.98055959563958928</v>
      </c>
      <c r="AV369" s="237">
        <f t="shared" si="169"/>
        <v>1.9440404360410696E-2</v>
      </c>
      <c r="AX369" s="251">
        <f t="shared" si="152"/>
        <v>29605.405575861001</v>
      </c>
      <c r="AY369" s="251">
        <f t="shared" si="152"/>
        <v>18410.686152224473</v>
      </c>
      <c r="AZ369" s="251">
        <f t="shared" si="152"/>
        <v>1295.3238575021719</v>
      </c>
      <c r="BA369" s="251">
        <f t="shared" si="148"/>
        <v>92543.406722818807</v>
      </c>
      <c r="BB369" s="251">
        <f t="shared" si="148"/>
        <v>1847.0632753222137</v>
      </c>
      <c r="BC369" s="251">
        <f t="shared" si="149"/>
        <v>143701.88558372867</v>
      </c>
      <c r="BD369" s="270">
        <f t="shared" si="170"/>
        <v>7.6100191206778574</v>
      </c>
      <c r="BY369" s="252">
        <f t="shared" si="153"/>
        <v>1.5678131264078241</v>
      </c>
      <c r="BZ369" s="252">
        <f t="shared" si="151"/>
        <v>0.97497449719679541</v>
      </c>
      <c r="CA369" s="252">
        <f t="shared" si="151"/>
        <v>6.8596450791303207E-2</v>
      </c>
      <c r="CB369" s="252">
        <f t="shared" si="151"/>
        <v>4.900820137415522</v>
      </c>
      <c r="CC369" s="252">
        <f t="shared" si="151"/>
        <v>9.7814908866411518E-2</v>
      </c>
    </row>
    <row r="370" spans="1:81">
      <c r="A370" s="11">
        <v>50891</v>
      </c>
      <c r="B370" s="268">
        <v>70</v>
      </c>
      <c r="C370" s="268">
        <v>13</v>
      </c>
      <c r="D370" s="268">
        <f t="shared" si="168"/>
        <v>20</v>
      </c>
      <c r="E370" s="268">
        <v>3</v>
      </c>
      <c r="F370" s="269">
        <v>0.2</v>
      </c>
      <c r="G370" s="269">
        <v>1.32</v>
      </c>
      <c r="H370" s="269"/>
      <c r="I370" s="269">
        <v>5</v>
      </c>
      <c r="J370" s="269"/>
      <c r="K370" s="269"/>
      <c r="L370" s="269"/>
      <c r="M370" s="269">
        <f t="shared" si="167"/>
        <v>1.5</v>
      </c>
      <c r="N370" s="269">
        <v>45</v>
      </c>
      <c r="O370" s="269">
        <f t="shared" si="150"/>
        <v>17.699535849485258</v>
      </c>
      <c r="Q370" s="251">
        <f t="shared" si="160"/>
        <v>176.71953584948523</v>
      </c>
      <c r="R370" s="251">
        <f>'RD Plant List'!N238</f>
        <v>664.33</v>
      </c>
      <c r="S370" s="251">
        <f>SUM(B370:O370)+'RD Plant List'!N238</f>
        <v>841.04953584948521</v>
      </c>
      <c r="T370" s="237">
        <f t="shared" ref="T370:T433" si="171">R370/S370</f>
        <v>0.7898821314121609</v>
      </c>
      <c r="U370" s="251">
        <f t="shared" si="164"/>
        <v>485.33581529857349</v>
      </c>
      <c r="V370" s="271">
        <f t="shared" si="154"/>
        <v>0.57705972670012806</v>
      </c>
      <c r="W370" s="251">
        <f t="shared" si="161"/>
        <v>40.444651274881124</v>
      </c>
      <c r="X370" s="242">
        <f t="shared" si="162"/>
        <v>7.6100191206778565</v>
      </c>
      <c r="Y370" s="273">
        <f t="shared" si="163"/>
        <v>7.6100191206778565</v>
      </c>
      <c r="AB370" s="251">
        <f>SUM('BD Feedstock'!C368,'BD Feedstock'!E368,'BD Feedstock'!G368,'BD Feedstock'!K368,'BD Feedstock'!T368)</f>
        <v>21.812796010427753</v>
      </c>
      <c r="AC370" s="251">
        <f>SUM('BD Feedstock'!D368,'BD Feedstock'!F368,'BD Feedstock'!H368,'BD Feedstock'!I368,'BD Feedstock'!L368,'BD Feedstock'!M368,'BD Feedstock'!N368,'BD Feedstock'!O368,'BD Feedstock'!U368)</f>
        <v>12.773566250859661</v>
      </c>
      <c r="AD370" s="251">
        <f>'BD Feedstock'!J368</f>
        <v>0.90199999999999991</v>
      </c>
      <c r="AE370" s="251">
        <f>SUM('BD Feedstock'!B368,'BD Feedstock'!P368,'BD Feedstock'!Q368,'BD Feedstock'!R368)</f>
        <v>70.93020833333334</v>
      </c>
      <c r="AF370" s="251">
        <f>'BD Feedstock'!S368</f>
        <v>1.40625</v>
      </c>
      <c r="AG370" s="251">
        <f t="shared" si="155"/>
        <v>107.82482059462075</v>
      </c>
      <c r="AK370" s="237">
        <f t="shared" si="166"/>
        <v>0.20229846792359021</v>
      </c>
      <c r="AL370" s="237">
        <f t="shared" si="166"/>
        <v>0.11846591703484753</v>
      </c>
      <c r="AM370" s="237">
        <f t="shared" si="165"/>
        <v>8.3654208282077092E-3</v>
      </c>
      <c r="AN370" s="237">
        <f t="shared" si="165"/>
        <v>0.65782820636449979</v>
      </c>
      <c r="AO370" s="237">
        <f t="shared" si="165"/>
        <v>1.304198784885487E-2</v>
      </c>
      <c r="AP370" s="237">
        <f t="shared" si="156"/>
        <v>1</v>
      </c>
      <c r="AQ370" s="237"/>
      <c r="AR370" s="237">
        <f t="shared" si="157"/>
        <v>0.61464645366918802</v>
      </c>
      <c r="AS370" s="237">
        <f t="shared" si="158"/>
        <v>0.35993676340465403</v>
      </c>
      <c r="AT370" s="237">
        <f t="shared" si="159"/>
        <v>2.5416782926158003E-2</v>
      </c>
      <c r="AU370" s="237">
        <f t="shared" si="169"/>
        <v>0.98055959563958928</v>
      </c>
      <c r="AV370" s="237">
        <f t="shared" si="169"/>
        <v>1.9440404360410696E-2</v>
      </c>
      <c r="AX370" s="251">
        <f t="shared" si="152"/>
        <v>28762.143878517752</v>
      </c>
      <c r="AY370" s="251">
        <f t="shared" si="152"/>
        <v>17886.287781318952</v>
      </c>
      <c r="AZ370" s="251">
        <f t="shared" si="152"/>
        <v>1258.4286698349204</v>
      </c>
      <c r="BA370" s="251">
        <f t="shared" si="148"/>
        <v>89907.458702074931</v>
      </c>
      <c r="BB370" s="251">
        <f t="shared" si="148"/>
        <v>1794.4526901148097</v>
      </c>
      <c r="BC370" s="251">
        <f t="shared" si="149"/>
        <v>139608.77172186135</v>
      </c>
      <c r="BD370" s="270">
        <f t="shared" si="170"/>
        <v>7.6100191206778565</v>
      </c>
      <c r="BY370" s="252">
        <f t="shared" si="153"/>
        <v>1.5678131264078241</v>
      </c>
      <c r="BZ370" s="252">
        <f t="shared" si="151"/>
        <v>0.9749744971967953</v>
      </c>
      <c r="CA370" s="252">
        <f t="shared" si="151"/>
        <v>6.8596450791303207E-2</v>
      </c>
      <c r="CB370" s="252">
        <f t="shared" si="151"/>
        <v>4.9008201374155229</v>
      </c>
      <c r="CC370" s="252">
        <f t="shared" si="151"/>
        <v>9.7814908866411518E-2</v>
      </c>
    </row>
    <row r="371" spans="1:81">
      <c r="A371" s="11">
        <v>50922</v>
      </c>
      <c r="B371" s="268">
        <v>70</v>
      </c>
      <c r="C371" s="268">
        <v>13</v>
      </c>
      <c r="D371" s="268">
        <f t="shared" si="168"/>
        <v>20</v>
      </c>
      <c r="E371" s="268">
        <v>3</v>
      </c>
      <c r="F371" s="269">
        <v>0.2</v>
      </c>
      <c r="G371" s="269">
        <v>1.32</v>
      </c>
      <c r="H371" s="269"/>
      <c r="I371" s="269">
        <v>5</v>
      </c>
      <c r="J371" s="269"/>
      <c r="K371" s="269"/>
      <c r="L371" s="269"/>
      <c r="M371" s="269">
        <f t="shared" si="167"/>
        <v>1.5</v>
      </c>
      <c r="N371" s="269">
        <v>45</v>
      </c>
      <c r="O371" s="269">
        <f t="shared" si="150"/>
        <v>17.699535849485258</v>
      </c>
      <c r="Q371" s="251">
        <f t="shared" si="160"/>
        <v>176.71953584948523</v>
      </c>
      <c r="R371" s="251">
        <f>'RD Plant List'!N239</f>
        <v>664.33</v>
      </c>
      <c r="S371" s="251">
        <f>SUM(B371:O371)+'RD Plant List'!N239</f>
        <v>841.04953584948521</v>
      </c>
      <c r="T371" s="237">
        <f t="shared" si="171"/>
        <v>0.7898821314121609</v>
      </c>
      <c r="U371" s="251">
        <f t="shared" si="164"/>
        <v>541.73256959047012</v>
      </c>
      <c r="V371" s="271">
        <f t="shared" si="154"/>
        <v>0.64411493794275032</v>
      </c>
      <c r="W371" s="251">
        <f t="shared" si="161"/>
        <v>45.144380799205841</v>
      </c>
      <c r="X371" s="242">
        <f t="shared" si="162"/>
        <v>7.6100191206778582</v>
      </c>
      <c r="Y371" s="273">
        <f t="shared" si="163"/>
        <v>7.6100191206778582</v>
      </c>
      <c r="AB371" s="251">
        <f>SUM('BD Feedstock'!C369,'BD Feedstock'!E369,'BD Feedstock'!G369,'BD Feedstock'!K369,'BD Feedstock'!T369)</f>
        <v>21.812796010427753</v>
      </c>
      <c r="AC371" s="251">
        <f>SUM('BD Feedstock'!D369,'BD Feedstock'!F369,'BD Feedstock'!H369,'BD Feedstock'!I369,'BD Feedstock'!L369,'BD Feedstock'!M369,'BD Feedstock'!N369,'BD Feedstock'!O369,'BD Feedstock'!U369)</f>
        <v>12.773566250859661</v>
      </c>
      <c r="AD371" s="251">
        <f>'BD Feedstock'!J369</f>
        <v>0.90199999999999991</v>
      </c>
      <c r="AE371" s="251">
        <f>SUM('BD Feedstock'!B369,'BD Feedstock'!P369,'BD Feedstock'!Q369,'BD Feedstock'!R369)</f>
        <v>70.93020833333334</v>
      </c>
      <c r="AF371" s="251">
        <f>'BD Feedstock'!S369</f>
        <v>1.40625</v>
      </c>
      <c r="AG371" s="251">
        <f t="shared" si="155"/>
        <v>107.82482059462075</v>
      </c>
      <c r="AK371" s="237">
        <f t="shared" si="166"/>
        <v>0.20229846792359021</v>
      </c>
      <c r="AL371" s="237">
        <f t="shared" si="166"/>
        <v>0.11846591703484753</v>
      </c>
      <c r="AM371" s="237">
        <f t="shared" si="165"/>
        <v>8.3654208282077092E-3</v>
      </c>
      <c r="AN371" s="237">
        <f t="shared" si="165"/>
        <v>0.65782820636449979</v>
      </c>
      <c r="AO371" s="237">
        <f t="shared" si="165"/>
        <v>1.304198784885487E-2</v>
      </c>
      <c r="AP371" s="237">
        <f t="shared" si="156"/>
        <v>1</v>
      </c>
      <c r="AQ371" s="237"/>
      <c r="AR371" s="237">
        <f t="shared" si="157"/>
        <v>0.61464645366918802</v>
      </c>
      <c r="AS371" s="237">
        <f t="shared" si="158"/>
        <v>0.35993676340465403</v>
      </c>
      <c r="AT371" s="237">
        <f t="shared" si="159"/>
        <v>2.5416782926158003E-2</v>
      </c>
      <c r="AU371" s="237">
        <f t="shared" si="169"/>
        <v>0.98055959563958928</v>
      </c>
      <c r="AV371" s="237">
        <f t="shared" si="169"/>
        <v>1.9440404360410696E-2</v>
      </c>
      <c r="AX371" s="251">
        <f t="shared" si="152"/>
        <v>32104.348410089468</v>
      </c>
      <c r="AY371" s="251">
        <f t="shared" si="152"/>
        <v>19964.701418640645</v>
      </c>
      <c r="AZ371" s="251">
        <f t="shared" si="152"/>
        <v>1404.6599807116945</v>
      </c>
      <c r="BA371" s="251">
        <f t="shared" si="148"/>
        <v>100354.84110741102</v>
      </c>
      <c r="BB371" s="251">
        <f t="shared" si="148"/>
        <v>2002.9708012098661</v>
      </c>
      <c r="BC371" s="251">
        <f t="shared" si="149"/>
        <v>155831.52171806269</v>
      </c>
      <c r="BD371" s="270">
        <f t="shared" si="170"/>
        <v>7.6100191206778582</v>
      </c>
      <c r="BY371" s="252">
        <f t="shared" si="153"/>
        <v>1.5678131264078241</v>
      </c>
      <c r="BZ371" s="252">
        <f t="shared" si="151"/>
        <v>0.97497449719679541</v>
      </c>
      <c r="CA371" s="252">
        <f t="shared" si="151"/>
        <v>6.8596450791303207E-2</v>
      </c>
      <c r="CB371" s="252">
        <f t="shared" si="151"/>
        <v>4.9008201374155238</v>
      </c>
      <c r="CC371" s="252">
        <f t="shared" si="151"/>
        <v>9.7814908866411518E-2</v>
      </c>
    </row>
    <row r="372" spans="1:81">
      <c r="A372" s="11">
        <v>50952</v>
      </c>
      <c r="B372" s="268">
        <v>70</v>
      </c>
      <c r="C372" s="268">
        <v>13</v>
      </c>
      <c r="D372" s="268">
        <f t="shared" si="168"/>
        <v>20</v>
      </c>
      <c r="E372" s="268">
        <v>3</v>
      </c>
      <c r="F372" s="269">
        <v>0.2</v>
      </c>
      <c r="G372" s="269">
        <v>1.32</v>
      </c>
      <c r="H372" s="269"/>
      <c r="I372" s="269">
        <v>5</v>
      </c>
      <c r="J372" s="269"/>
      <c r="K372" s="269"/>
      <c r="L372" s="269"/>
      <c r="M372" s="269">
        <f t="shared" si="167"/>
        <v>1.5</v>
      </c>
      <c r="N372" s="269">
        <v>45</v>
      </c>
      <c r="O372" s="269">
        <f t="shared" si="150"/>
        <v>17.699535849485258</v>
      </c>
      <c r="Q372" s="251">
        <f t="shared" si="160"/>
        <v>176.71953584948523</v>
      </c>
      <c r="R372" s="251">
        <f>'RD Plant List'!N240</f>
        <v>664.33</v>
      </c>
      <c r="S372" s="251">
        <f>SUM(B372:O372)+'RD Plant List'!N240</f>
        <v>841.04953584948521</v>
      </c>
      <c r="T372" s="237">
        <f t="shared" si="171"/>
        <v>0.7898821314121609</v>
      </c>
      <c r="U372" s="251">
        <f t="shared" si="164"/>
        <v>556.29136154416744</v>
      </c>
      <c r="V372" s="271">
        <f t="shared" si="154"/>
        <v>0.66142520485704392</v>
      </c>
      <c r="W372" s="251">
        <f t="shared" si="161"/>
        <v>46.357613462013951</v>
      </c>
      <c r="X372" s="242">
        <f t="shared" si="162"/>
        <v>7.6100191206778582</v>
      </c>
      <c r="Y372" s="273">
        <f t="shared" si="163"/>
        <v>7.6100191206778582</v>
      </c>
      <c r="AB372" s="251">
        <f>SUM('BD Feedstock'!C370,'BD Feedstock'!E370,'BD Feedstock'!G370,'BD Feedstock'!K370,'BD Feedstock'!T370)</f>
        <v>21.812796010427753</v>
      </c>
      <c r="AC372" s="251">
        <f>SUM('BD Feedstock'!D370,'BD Feedstock'!F370,'BD Feedstock'!H370,'BD Feedstock'!I370,'BD Feedstock'!L370,'BD Feedstock'!M370,'BD Feedstock'!N370,'BD Feedstock'!O370,'BD Feedstock'!U370)</f>
        <v>12.773566250859661</v>
      </c>
      <c r="AD372" s="251">
        <f>'BD Feedstock'!J370</f>
        <v>0.90199999999999991</v>
      </c>
      <c r="AE372" s="251">
        <f>SUM('BD Feedstock'!B370,'BD Feedstock'!P370,'BD Feedstock'!Q370,'BD Feedstock'!R370)</f>
        <v>70.93020833333334</v>
      </c>
      <c r="AF372" s="251">
        <f>'BD Feedstock'!S370</f>
        <v>1.40625</v>
      </c>
      <c r="AG372" s="251">
        <f t="shared" si="155"/>
        <v>107.82482059462075</v>
      </c>
      <c r="AK372" s="237">
        <f t="shared" si="166"/>
        <v>0.20229846792359021</v>
      </c>
      <c r="AL372" s="237">
        <f t="shared" si="166"/>
        <v>0.11846591703484753</v>
      </c>
      <c r="AM372" s="237">
        <f t="shared" si="165"/>
        <v>8.3654208282077092E-3</v>
      </c>
      <c r="AN372" s="237">
        <f t="shared" si="165"/>
        <v>0.65782820636449979</v>
      </c>
      <c r="AO372" s="237">
        <f t="shared" si="165"/>
        <v>1.304198784885487E-2</v>
      </c>
      <c r="AP372" s="237">
        <f t="shared" si="156"/>
        <v>1</v>
      </c>
      <c r="AQ372" s="237"/>
      <c r="AR372" s="237">
        <f t="shared" si="157"/>
        <v>0.61464645366918802</v>
      </c>
      <c r="AS372" s="237">
        <f t="shared" si="158"/>
        <v>0.35993676340465403</v>
      </c>
      <c r="AT372" s="237">
        <f t="shared" si="159"/>
        <v>2.5416782926158003E-2</v>
      </c>
      <c r="AU372" s="237">
        <f t="shared" si="169"/>
        <v>0.98055959563958928</v>
      </c>
      <c r="AV372" s="237">
        <f t="shared" si="169"/>
        <v>1.9440404360410696E-2</v>
      </c>
      <c r="AX372" s="251">
        <f t="shared" ref="AX372:AZ413" si="172">($U372/12*AK372*AB$5/2204.622*1000000)-($BJ372*AR372)</f>
        <v>32967.136722161689</v>
      </c>
      <c r="AY372" s="251">
        <f t="shared" si="172"/>
        <v>20501.242787366929</v>
      </c>
      <c r="AZ372" s="251">
        <f t="shared" si="172"/>
        <v>1442.4095153950636</v>
      </c>
      <c r="BA372" s="251">
        <f t="shared" ref="BA372:BB413" si="173">($U372/12*AN372*AE$5/2204.622*1000000)-($BK372*AU372)</f>
        <v>103051.82728701926</v>
      </c>
      <c r="BB372" s="251">
        <f t="shared" si="173"/>
        <v>2056.7996400522302</v>
      </c>
      <c r="BC372" s="251">
        <f t="shared" ref="BC372:BC435" si="174">SUM(AX372:BB372)</f>
        <v>160019.41595199515</v>
      </c>
      <c r="BD372" s="270">
        <f t="shared" si="170"/>
        <v>7.6100191206778582</v>
      </c>
      <c r="BY372" s="252">
        <f t="shared" si="153"/>
        <v>1.5678131264078243</v>
      </c>
      <c r="BZ372" s="252">
        <f t="shared" si="151"/>
        <v>0.97497449719679552</v>
      </c>
      <c r="CA372" s="252">
        <f t="shared" si="151"/>
        <v>6.8596450791303221E-2</v>
      </c>
      <c r="CB372" s="252">
        <f t="shared" si="151"/>
        <v>4.9008201374155238</v>
      </c>
      <c r="CC372" s="252">
        <f t="shared" si="151"/>
        <v>9.7814908866411546E-2</v>
      </c>
    </row>
    <row r="373" spans="1:81">
      <c r="A373" s="11">
        <v>50983</v>
      </c>
      <c r="B373" s="268">
        <v>70</v>
      </c>
      <c r="C373" s="268">
        <v>13</v>
      </c>
      <c r="D373" s="268">
        <f t="shared" si="168"/>
        <v>20</v>
      </c>
      <c r="E373" s="268">
        <v>3</v>
      </c>
      <c r="F373" s="269">
        <v>0.2</v>
      </c>
      <c r="G373" s="269">
        <v>1.32</v>
      </c>
      <c r="H373" s="269"/>
      <c r="I373" s="269">
        <v>5</v>
      </c>
      <c r="J373" s="269"/>
      <c r="K373" s="269"/>
      <c r="L373" s="269"/>
      <c r="M373" s="269">
        <f t="shared" si="167"/>
        <v>1.5</v>
      </c>
      <c r="N373" s="269">
        <v>45</v>
      </c>
      <c r="O373" s="269">
        <f t="shared" si="150"/>
        <v>17.699535849485258</v>
      </c>
      <c r="Q373" s="251">
        <f t="shared" si="160"/>
        <v>176.71953584948523</v>
      </c>
      <c r="R373" s="251">
        <f>'RD Plant List'!N241</f>
        <v>664.33</v>
      </c>
      <c r="S373" s="251">
        <f>SUM(B373:O373)+'RD Plant List'!N241</f>
        <v>841.04953584948521</v>
      </c>
      <c r="T373" s="237">
        <f t="shared" si="171"/>
        <v>0.7898821314121609</v>
      </c>
      <c r="U373" s="251">
        <f t="shared" si="164"/>
        <v>525.00979610053309</v>
      </c>
      <c r="V373" s="271">
        <f t="shared" si="154"/>
        <v>0.62423171730337801</v>
      </c>
      <c r="W373" s="251">
        <f t="shared" si="161"/>
        <v>43.750816341711094</v>
      </c>
      <c r="X373" s="242">
        <f t="shared" si="162"/>
        <v>7.6100191206778582</v>
      </c>
      <c r="Y373" s="273">
        <f t="shared" si="163"/>
        <v>7.6100191206778582</v>
      </c>
      <c r="AB373" s="251">
        <f>SUM('BD Feedstock'!C371,'BD Feedstock'!E371,'BD Feedstock'!G371,'BD Feedstock'!K371,'BD Feedstock'!T371)</f>
        <v>21.812796010427753</v>
      </c>
      <c r="AC373" s="251">
        <f>SUM('BD Feedstock'!D371,'BD Feedstock'!F371,'BD Feedstock'!H371,'BD Feedstock'!I371,'BD Feedstock'!L371,'BD Feedstock'!M371,'BD Feedstock'!N371,'BD Feedstock'!O371,'BD Feedstock'!U371)</f>
        <v>12.773566250859661</v>
      </c>
      <c r="AD373" s="251">
        <f>'BD Feedstock'!J371</f>
        <v>0.90199999999999991</v>
      </c>
      <c r="AE373" s="251">
        <f>SUM('BD Feedstock'!B371,'BD Feedstock'!P371,'BD Feedstock'!Q371,'BD Feedstock'!R371)</f>
        <v>70.93020833333334</v>
      </c>
      <c r="AF373" s="251">
        <f>'BD Feedstock'!S371</f>
        <v>1.40625</v>
      </c>
      <c r="AG373" s="251">
        <f t="shared" si="155"/>
        <v>107.82482059462075</v>
      </c>
      <c r="AK373" s="237">
        <f t="shared" si="166"/>
        <v>0.20229846792359021</v>
      </c>
      <c r="AL373" s="237">
        <f t="shared" si="166"/>
        <v>0.11846591703484753</v>
      </c>
      <c r="AM373" s="237">
        <f t="shared" si="165"/>
        <v>8.3654208282077092E-3</v>
      </c>
      <c r="AN373" s="237">
        <f t="shared" si="165"/>
        <v>0.65782820636449979</v>
      </c>
      <c r="AO373" s="237">
        <f t="shared" si="165"/>
        <v>1.304198784885487E-2</v>
      </c>
      <c r="AP373" s="237">
        <f t="shared" si="156"/>
        <v>1</v>
      </c>
      <c r="AQ373" s="237"/>
      <c r="AR373" s="237">
        <f t="shared" si="157"/>
        <v>0.61464645366918802</v>
      </c>
      <c r="AS373" s="237">
        <f t="shared" si="158"/>
        <v>0.35993676340465403</v>
      </c>
      <c r="AT373" s="237">
        <f t="shared" si="159"/>
        <v>2.5416782926158003E-2</v>
      </c>
      <c r="AU373" s="237">
        <f t="shared" si="169"/>
        <v>0.98055959563958928</v>
      </c>
      <c r="AV373" s="237">
        <f t="shared" si="169"/>
        <v>1.9440404360410696E-2</v>
      </c>
      <c r="AX373" s="251">
        <f t="shared" si="172"/>
        <v>31113.317453782372</v>
      </c>
      <c r="AY373" s="251">
        <f t="shared" si="172"/>
        <v>19348.409915490778</v>
      </c>
      <c r="AZ373" s="251">
        <f t="shared" si="172"/>
        <v>1361.2994519076419</v>
      </c>
      <c r="BA373" s="251">
        <f t="shared" si="173"/>
        <v>97256.981811769045</v>
      </c>
      <c r="BB373" s="251">
        <f t="shared" si="173"/>
        <v>1941.1409816719502</v>
      </c>
      <c r="BC373" s="251">
        <f t="shared" si="174"/>
        <v>151021.1496146218</v>
      </c>
      <c r="BD373" s="270">
        <f t="shared" si="170"/>
        <v>7.6100191206778591</v>
      </c>
      <c r="BY373" s="252">
        <f t="shared" si="153"/>
        <v>1.5678131264078241</v>
      </c>
      <c r="BZ373" s="252">
        <f t="shared" si="151"/>
        <v>0.97497449719679519</v>
      </c>
      <c r="CA373" s="252">
        <f t="shared" si="151"/>
        <v>6.8596450791303193E-2</v>
      </c>
      <c r="CB373" s="252">
        <f t="shared" si="151"/>
        <v>4.9008201374155229</v>
      </c>
      <c r="CC373" s="252">
        <f t="shared" si="151"/>
        <v>9.781490886641149E-2</v>
      </c>
    </row>
    <row r="374" spans="1:81">
      <c r="A374" s="11">
        <v>51014</v>
      </c>
      <c r="B374" s="268">
        <v>70</v>
      </c>
      <c r="C374" s="268">
        <v>13</v>
      </c>
      <c r="D374" s="268">
        <f t="shared" si="168"/>
        <v>20</v>
      </c>
      <c r="E374" s="268">
        <v>3</v>
      </c>
      <c r="F374" s="269">
        <v>0.2</v>
      </c>
      <c r="G374" s="269">
        <v>1.32</v>
      </c>
      <c r="H374" s="269"/>
      <c r="I374" s="269">
        <v>5</v>
      </c>
      <c r="J374" s="269"/>
      <c r="K374" s="269"/>
      <c r="L374" s="269"/>
      <c r="M374" s="269">
        <f t="shared" si="167"/>
        <v>1.5</v>
      </c>
      <c r="N374" s="269">
        <v>45</v>
      </c>
      <c r="O374" s="269">
        <f t="shared" si="150"/>
        <v>17.699535849485258</v>
      </c>
      <c r="Q374" s="251">
        <f t="shared" si="160"/>
        <v>176.71953584948523</v>
      </c>
      <c r="R374" s="251">
        <f>'RD Plant List'!N242</f>
        <v>664.33</v>
      </c>
      <c r="S374" s="251">
        <f>SUM(B374:O374)+'RD Plant List'!N242</f>
        <v>841.04953584948521</v>
      </c>
      <c r="T374" s="237">
        <f t="shared" si="171"/>
        <v>0.7898821314121609</v>
      </c>
      <c r="U374" s="251">
        <f t="shared" si="164"/>
        <v>569.08681179237942</v>
      </c>
      <c r="V374" s="271">
        <f t="shared" si="154"/>
        <v>0.67663887504269848</v>
      </c>
      <c r="W374" s="251">
        <f t="shared" si="161"/>
        <v>47.423900982698285</v>
      </c>
      <c r="X374" s="242">
        <f t="shared" si="162"/>
        <v>7.6100191206778591</v>
      </c>
      <c r="Y374" s="273">
        <f t="shared" si="163"/>
        <v>7.6100191206778591</v>
      </c>
      <c r="AB374" s="251">
        <f>SUM('BD Feedstock'!C372,'BD Feedstock'!E372,'BD Feedstock'!G372,'BD Feedstock'!K372,'BD Feedstock'!T372)</f>
        <v>21.812796010427753</v>
      </c>
      <c r="AC374" s="251">
        <f>SUM('BD Feedstock'!D372,'BD Feedstock'!F372,'BD Feedstock'!H372,'BD Feedstock'!I372,'BD Feedstock'!L372,'BD Feedstock'!M372,'BD Feedstock'!N372,'BD Feedstock'!O372,'BD Feedstock'!U372)</f>
        <v>12.773566250859661</v>
      </c>
      <c r="AD374" s="251">
        <f>'BD Feedstock'!J372</f>
        <v>0.90199999999999991</v>
      </c>
      <c r="AE374" s="251">
        <f>SUM('BD Feedstock'!B372,'BD Feedstock'!P372,'BD Feedstock'!Q372,'BD Feedstock'!R372)</f>
        <v>70.93020833333334</v>
      </c>
      <c r="AF374" s="251">
        <f>'BD Feedstock'!S372</f>
        <v>1.40625</v>
      </c>
      <c r="AG374" s="251">
        <f t="shared" si="155"/>
        <v>107.82482059462075</v>
      </c>
      <c r="AK374" s="237">
        <f t="shared" si="166"/>
        <v>0.20229846792359021</v>
      </c>
      <c r="AL374" s="237">
        <f t="shared" si="166"/>
        <v>0.11846591703484753</v>
      </c>
      <c r="AM374" s="237">
        <f t="shared" si="165"/>
        <v>8.3654208282077092E-3</v>
      </c>
      <c r="AN374" s="237">
        <f t="shared" si="165"/>
        <v>0.65782820636449979</v>
      </c>
      <c r="AO374" s="237">
        <f t="shared" si="165"/>
        <v>1.304198784885487E-2</v>
      </c>
      <c r="AP374" s="237">
        <f t="shared" si="156"/>
        <v>1</v>
      </c>
      <c r="AQ374" s="237"/>
      <c r="AR374" s="237">
        <f t="shared" si="157"/>
        <v>0.61464645366918802</v>
      </c>
      <c r="AS374" s="237">
        <f t="shared" si="158"/>
        <v>0.35993676340465403</v>
      </c>
      <c r="AT374" s="237">
        <f t="shared" si="159"/>
        <v>2.5416782926158003E-2</v>
      </c>
      <c r="AU374" s="237">
        <f t="shared" si="169"/>
        <v>0.98055959563958928</v>
      </c>
      <c r="AV374" s="237">
        <f t="shared" si="169"/>
        <v>1.9440404360410696E-2</v>
      </c>
      <c r="AX374" s="251">
        <f t="shared" si="172"/>
        <v>33725.425250287481</v>
      </c>
      <c r="AY374" s="251">
        <f t="shared" si="172"/>
        <v>20972.798972212408</v>
      </c>
      <c r="AZ374" s="251">
        <f t="shared" si="172"/>
        <v>1475.5868761589511</v>
      </c>
      <c r="BA374" s="251">
        <f t="shared" si="173"/>
        <v>105422.15805285788</v>
      </c>
      <c r="BB374" s="251">
        <f t="shared" si="173"/>
        <v>2104.1088008340462</v>
      </c>
      <c r="BC374" s="251">
        <f t="shared" si="174"/>
        <v>163700.07795235078</v>
      </c>
      <c r="BD374" s="270">
        <f t="shared" si="170"/>
        <v>7.6100191206778591</v>
      </c>
      <c r="BY374" s="252">
        <f t="shared" si="153"/>
        <v>1.5678131264078243</v>
      </c>
      <c r="BZ374" s="252">
        <f t="shared" si="151"/>
        <v>0.97497449719679519</v>
      </c>
      <c r="CA374" s="252">
        <f t="shared" si="151"/>
        <v>6.8596450791303221E-2</v>
      </c>
      <c r="CB374" s="252">
        <f t="shared" si="151"/>
        <v>4.9008201374155247</v>
      </c>
      <c r="CC374" s="252">
        <f t="shared" si="151"/>
        <v>9.7814908866411532E-2</v>
      </c>
    </row>
    <row r="375" spans="1:81">
      <c r="A375" s="11">
        <v>51044</v>
      </c>
      <c r="B375" s="268">
        <v>70</v>
      </c>
      <c r="C375" s="268">
        <v>13</v>
      </c>
      <c r="D375" s="268">
        <f t="shared" si="168"/>
        <v>20</v>
      </c>
      <c r="E375" s="268">
        <v>3</v>
      </c>
      <c r="F375" s="269">
        <v>0.2</v>
      </c>
      <c r="G375" s="269">
        <v>1.32</v>
      </c>
      <c r="H375" s="269"/>
      <c r="I375" s="269">
        <v>5</v>
      </c>
      <c r="J375" s="269"/>
      <c r="K375" s="269"/>
      <c r="L375" s="269"/>
      <c r="M375" s="269">
        <f t="shared" si="167"/>
        <v>1.5</v>
      </c>
      <c r="N375" s="269">
        <v>45</v>
      </c>
      <c r="O375" s="269">
        <f t="shared" si="150"/>
        <v>17.699535849485258</v>
      </c>
      <c r="Q375" s="251">
        <f t="shared" si="160"/>
        <v>176.71953584948523</v>
      </c>
      <c r="R375" s="251">
        <f>'RD Plant List'!N243</f>
        <v>664.33</v>
      </c>
      <c r="S375" s="251">
        <f>SUM(B375:O375)+'RD Plant List'!N243</f>
        <v>841.04953584948521</v>
      </c>
      <c r="T375" s="237">
        <f t="shared" si="171"/>
        <v>0.7898821314121609</v>
      </c>
      <c r="U375" s="251">
        <f t="shared" si="164"/>
        <v>595.8068261415068</v>
      </c>
      <c r="V375" s="271">
        <f t="shared" si="154"/>
        <v>0.7084087211815937</v>
      </c>
      <c r="W375" s="251">
        <f t="shared" si="161"/>
        <v>49.650568845125569</v>
      </c>
      <c r="X375" s="242">
        <f t="shared" si="162"/>
        <v>7.6100191206778582</v>
      </c>
      <c r="Y375" s="273">
        <f t="shared" si="163"/>
        <v>7.6100191206778582</v>
      </c>
      <c r="AB375" s="251">
        <f>SUM('BD Feedstock'!C373,'BD Feedstock'!E373,'BD Feedstock'!G373,'BD Feedstock'!K373,'BD Feedstock'!T373)</f>
        <v>21.812796010427753</v>
      </c>
      <c r="AC375" s="251">
        <f>SUM('BD Feedstock'!D373,'BD Feedstock'!F373,'BD Feedstock'!H373,'BD Feedstock'!I373,'BD Feedstock'!L373,'BD Feedstock'!M373,'BD Feedstock'!N373,'BD Feedstock'!O373,'BD Feedstock'!U373)</f>
        <v>12.773566250859661</v>
      </c>
      <c r="AD375" s="251">
        <f>'BD Feedstock'!J373</f>
        <v>0.90199999999999991</v>
      </c>
      <c r="AE375" s="251">
        <f>SUM('BD Feedstock'!B373,'BD Feedstock'!P373,'BD Feedstock'!Q373,'BD Feedstock'!R373)</f>
        <v>70.93020833333334</v>
      </c>
      <c r="AF375" s="251">
        <f>'BD Feedstock'!S373</f>
        <v>1.40625</v>
      </c>
      <c r="AG375" s="251">
        <f t="shared" si="155"/>
        <v>107.82482059462075</v>
      </c>
      <c r="AK375" s="237">
        <f t="shared" si="166"/>
        <v>0.20229846792359021</v>
      </c>
      <c r="AL375" s="237">
        <f t="shared" si="166"/>
        <v>0.11846591703484753</v>
      </c>
      <c r="AM375" s="237">
        <f t="shared" si="165"/>
        <v>8.3654208282077092E-3</v>
      </c>
      <c r="AN375" s="237">
        <f t="shared" si="165"/>
        <v>0.65782820636449979</v>
      </c>
      <c r="AO375" s="237">
        <f t="shared" si="165"/>
        <v>1.304198784885487E-2</v>
      </c>
      <c r="AP375" s="237">
        <f t="shared" si="156"/>
        <v>1</v>
      </c>
      <c r="AQ375" s="237"/>
      <c r="AR375" s="237">
        <f t="shared" si="157"/>
        <v>0.61464645366918802</v>
      </c>
      <c r="AS375" s="237">
        <f t="shared" si="158"/>
        <v>0.35993676340465403</v>
      </c>
      <c r="AT375" s="237">
        <f t="shared" si="159"/>
        <v>2.5416782926158003E-2</v>
      </c>
      <c r="AU375" s="237">
        <f t="shared" si="169"/>
        <v>0.98055959563958928</v>
      </c>
      <c r="AV375" s="237">
        <f t="shared" si="169"/>
        <v>1.9440404360410696E-2</v>
      </c>
      <c r="AX375" s="251">
        <f t="shared" si="172"/>
        <v>35308.916253672171</v>
      </c>
      <c r="AY375" s="251">
        <f t="shared" si="172"/>
        <v>21957.523056247814</v>
      </c>
      <c r="AZ375" s="251">
        <f t="shared" si="172"/>
        <v>1544.8692803323511</v>
      </c>
      <c r="BA375" s="251">
        <f t="shared" si="173"/>
        <v>110371.98559677225</v>
      </c>
      <c r="BB375" s="251">
        <f t="shared" si="173"/>
        <v>2202.9018429242965</v>
      </c>
      <c r="BC375" s="251">
        <f t="shared" si="174"/>
        <v>171386.19602994889</v>
      </c>
      <c r="BD375" s="270">
        <f t="shared" si="170"/>
        <v>7.6100191206778582</v>
      </c>
      <c r="BY375" s="252">
        <f t="shared" si="153"/>
        <v>1.5678131264078243</v>
      </c>
      <c r="BZ375" s="252">
        <f t="shared" si="151"/>
        <v>0.97497449719679508</v>
      </c>
      <c r="CA375" s="252">
        <f t="shared" si="151"/>
        <v>6.8596450791303207E-2</v>
      </c>
      <c r="CB375" s="252">
        <f t="shared" si="151"/>
        <v>4.9008201374155238</v>
      </c>
      <c r="CC375" s="252">
        <f t="shared" si="151"/>
        <v>9.7814908866411504E-2</v>
      </c>
    </row>
    <row r="376" spans="1:81">
      <c r="A376" s="11">
        <v>51075</v>
      </c>
      <c r="B376" s="268">
        <v>70</v>
      </c>
      <c r="C376" s="268">
        <v>13</v>
      </c>
      <c r="D376" s="268">
        <f t="shared" si="168"/>
        <v>20</v>
      </c>
      <c r="E376" s="268">
        <v>3</v>
      </c>
      <c r="F376" s="269">
        <v>0.2</v>
      </c>
      <c r="G376" s="269">
        <v>1.32</v>
      </c>
      <c r="H376" s="269"/>
      <c r="I376" s="269">
        <v>5</v>
      </c>
      <c r="J376" s="269"/>
      <c r="K376" s="269"/>
      <c r="L376" s="269"/>
      <c r="M376" s="269">
        <f t="shared" si="167"/>
        <v>1.5</v>
      </c>
      <c r="N376" s="269">
        <v>45</v>
      </c>
      <c r="O376" s="269">
        <f t="shared" ref="O376:O439" si="175">$O$3</f>
        <v>17.699535849485258</v>
      </c>
      <c r="Q376" s="251">
        <f t="shared" si="160"/>
        <v>176.71953584948523</v>
      </c>
      <c r="R376" s="251">
        <f>'RD Plant List'!N244</f>
        <v>664.33</v>
      </c>
      <c r="S376" s="251">
        <f>SUM(B376:O376)+'RD Plant List'!N244</f>
        <v>841.04953584948521</v>
      </c>
      <c r="T376" s="237">
        <f t="shared" si="171"/>
        <v>0.7898821314121609</v>
      </c>
      <c r="U376" s="251">
        <f t="shared" si="164"/>
        <v>640.99615673960682</v>
      </c>
      <c r="V376" s="271">
        <f t="shared" si="154"/>
        <v>0.76213841089892709</v>
      </c>
      <c r="W376" s="251">
        <f t="shared" si="161"/>
        <v>53.416346394967235</v>
      </c>
      <c r="X376" s="242">
        <f t="shared" si="162"/>
        <v>7.6100191206778574</v>
      </c>
      <c r="Y376" s="273">
        <f t="shared" si="163"/>
        <v>7.6100191206778574</v>
      </c>
      <c r="AB376" s="251">
        <f>SUM('BD Feedstock'!C374,'BD Feedstock'!E374,'BD Feedstock'!G374,'BD Feedstock'!K374,'BD Feedstock'!T374)</f>
        <v>21.812796010427753</v>
      </c>
      <c r="AC376" s="251">
        <f>SUM('BD Feedstock'!D374,'BD Feedstock'!F374,'BD Feedstock'!H374,'BD Feedstock'!I374,'BD Feedstock'!L374,'BD Feedstock'!M374,'BD Feedstock'!N374,'BD Feedstock'!O374,'BD Feedstock'!U374)</f>
        <v>12.773566250859661</v>
      </c>
      <c r="AD376" s="251">
        <f>'BD Feedstock'!J374</f>
        <v>0.90199999999999991</v>
      </c>
      <c r="AE376" s="251">
        <f>SUM('BD Feedstock'!B374,'BD Feedstock'!P374,'BD Feedstock'!Q374,'BD Feedstock'!R374)</f>
        <v>70.93020833333334</v>
      </c>
      <c r="AF376" s="251">
        <f>'BD Feedstock'!S374</f>
        <v>1.40625</v>
      </c>
      <c r="AG376" s="251">
        <f t="shared" si="155"/>
        <v>107.82482059462075</v>
      </c>
      <c r="AK376" s="237">
        <f t="shared" si="166"/>
        <v>0.20229846792359021</v>
      </c>
      <c r="AL376" s="237">
        <f t="shared" si="166"/>
        <v>0.11846591703484753</v>
      </c>
      <c r="AM376" s="237">
        <f t="shared" si="165"/>
        <v>8.3654208282077092E-3</v>
      </c>
      <c r="AN376" s="237">
        <f t="shared" si="165"/>
        <v>0.65782820636449979</v>
      </c>
      <c r="AO376" s="237">
        <f t="shared" si="165"/>
        <v>1.304198784885487E-2</v>
      </c>
      <c r="AP376" s="237">
        <f t="shared" si="156"/>
        <v>1</v>
      </c>
      <c r="AQ376" s="237"/>
      <c r="AR376" s="237">
        <f t="shared" si="157"/>
        <v>0.61464645366918802</v>
      </c>
      <c r="AS376" s="237">
        <f t="shared" si="158"/>
        <v>0.35993676340465403</v>
      </c>
      <c r="AT376" s="237">
        <f t="shared" si="159"/>
        <v>2.5416782926158003E-2</v>
      </c>
      <c r="AU376" s="237">
        <f t="shared" si="169"/>
        <v>0.98055959563958928</v>
      </c>
      <c r="AV376" s="237">
        <f t="shared" si="169"/>
        <v>1.9440404360410696E-2</v>
      </c>
      <c r="AX376" s="251">
        <f t="shared" si="172"/>
        <v>37986.942452164993</v>
      </c>
      <c r="AY376" s="251">
        <f t="shared" si="172"/>
        <v>23622.904728576159</v>
      </c>
      <c r="AZ376" s="251">
        <f t="shared" si="172"/>
        <v>1662.0408291913884</v>
      </c>
      <c r="BA376" s="251">
        <f t="shared" si="173"/>
        <v>118743.21587991889</v>
      </c>
      <c r="BB376" s="251">
        <f t="shared" si="173"/>
        <v>2369.9822711559577</v>
      </c>
      <c r="BC376" s="251">
        <f t="shared" si="174"/>
        <v>184385.08616100738</v>
      </c>
      <c r="BD376" s="270">
        <f t="shared" si="170"/>
        <v>7.6100191206778574</v>
      </c>
      <c r="BY376" s="252">
        <f t="shared" si="153"/>
        <v>1.5678131264078241</v>
      </c>
      <c r="BZ376" s="252">
        <f t="shared" si="151"/>
        <v>0.97497449719679519</v>
      </c>
      <c r="CA376" s="252">
        <f t="shared" si="151"/>
        <v>6.8596450791303221E-2</v>
      </c>
      <c r="CB376" s="252">
        <f t="shared" si="151"/>
        <v>4.9008201374155229</v>
      </c>
      <c r="CC376" s="252">
        <f t="shared" si="151"/>
        <v>9.7814908866411518E-2</v>
      </c>
    </row>
    <row r="377" spans="1:81">
      <c r="A377" s="11">
        <v>51105</v>
      </c>
      <c r="B377" s="268">
        <v>70</v>
      </c>
      <c r="C377" s="268">
        <v>13</v>
      </c>
      <c r="D377" s="268">
        <f t="shared" si="168"/>
        <v>20</v>
      </c>
      <c r="E377" s="268">
        <v>3</v>
      </c>
      <c r="F377" s="269">
        <v>0.2</v>
      </c>
      <c r="G377" s="269">
        <v>1.32</v>
      </c>
      <c r="H377" s="269"/>
      <c r="I377" s="269">
        <v>5</v>
      </c>
      <c r="J377" s="269"/>
      <c r="K377" s="269"/>
      <c r="L377" s="269"/>
      <c r="M377" s="269">
        <f t="shared" si="167"/>
        <v>1.5</v>
      </c>
      <c r="N377" s="269">
        <v>45</v>
      </c>
      <c r="O377" s="269">
        <f t="shared" si="175"/>
        <v>17.699535849485258</v>
      </c>
      <c r="Q377" s="251">
        <f t="shared" si="160"/>
        <v>176.71953584948523</v>
      </c>
      <c r="R377" s="251">
        <f>'RD Plant List'!N245</f>
        <v>664.33</v>
      </c>
      <c r="S377" s="251">
        <f>SUM(B377:O377)+'RD Plant List'!N245</f>
        <v>841.04953584948521</v>
      </c>
      <c r="T377" s="237">
        <f t="shared" si="171"/>
        <v>0.7898821314121609</v>
      </c>
      <c r="U377" s="251">
        <f t="shared" si="164"/>
        <v>582.92537305756923</v>
      </c>
      <c r="V377" s="271">
        <f t="shared" si="154"/>
        <v>0.69309279443189653</v>
      </c>
      <c r="W377" s="251">
        <f t="shared" si="161"/>
        <v>48.577114421464103</v>
      </c>
      <c r="X377" s="242">
        <f t="shared" si="162"/>
        <v>7.6100191206778574</v>
      </c>
      <c r="Y377" s="273">
        <f t="shared" si="163"/>
        <v>7.6100191206778574</v>
      </c>
      <c r="AB377" s="251">
        <f>SUM('BD Feedstock'!C375,'BD Feedstock'!E375,'BD Feedstock'!G375,'BD Feedstock'!K375,'BD Feedstock'!T375)</f>
        <v>21.812796010427753</v>
      </c>
      <c r="AC377" s="251">
        <f>SUM('BD Feedstock'!D375,'BD Feedstock'!F375,'BD Feedstock'!H375,'BD Feedstock'!I375,'BD Feedstock'!L375,'BD Feedstock'!M375,'BD Feedstock'!N375,'BD Feedstock'!O375,'BD Feedstock'!U375)</f>
        <v>12.773566250859661</v>
      </c>
      <c r="AD377" s="251">
        <f>'BD Feedstock'!J375</f>
        <v>0.90199999999999991</v>
      </c>
      <c r="AE377" s="251">
        <f>SUM('BD Feedstock'!B375,'BD Feedstock'!P375,'BD Feedstock'!Q375,'BD Feedstock'!R375)</f>
        <v>70.93020833333334</v>
      </c>
      <c r="AF377" s="251">
        <f>'BD Feedstock'!S375</f>
        <v>1.40625</v>
      </c>
      <c r="AG377" s="251">
        <f t="shared" si="155"/>
        <v>107.82482059462075</v>
      </c>
      <c r="AK377" s="237">
        <f t="shared" si="166"/>
        <v>0.20229846792359021</v>
      </c>
      <c r="AL377" s="237">
        <f t="shared" si="166"/>
        <v>0.11846591703484753</v>
      </c>
      <c r="AM377" s="237">
        <f t="shared" si="165"/>
        <v>8.3654208282077092E-3</v>
      </c>
      <c r="AN377" s="237">
        <f t="shared" si="165"/>
        <v>0.65782820636449979</v>
      </c>
      <c r="AO377" s="237">
        <f t="shared" si="165"/>
        <v>1.304198784885487E-2</v>
      </c>
      <c r="AP377" s="237">
        <f t="shared" si="156"/>
        <v>1</v>
      </c>
      <c r="AQ377" s="237"/>
      <c r="AR377" s="237">
        <f t="shared" si="157"/>
        <v>0.61464645366918802</v>
      </c>
      <c r="AS377" s="237">
        <f t="shared" si="158"/>
        <v>0.35993676340465403</v>
      </c>
      <c r="AT377" s="237">
        <f t="shared" si="159"/>
        <v>2.5416782926158003E-2</v>
      </c>
      <c r="AU377" s="237">
        <f t="shared" si="169"/>
        <v>0.98055959563958928</v>
      </c>
      <c r="AV377" s="237">
        <f t="shared" si="169"/>
        <v>1.9440404360410696E-2</v>
      </c>
      <c r="AX377" s="251">
        <f t="shared" si="172"/>
        <v>34545.530994876324</v>
      </c>
      <c r="AY377" s="251">
        <f t="shared" si="172"/>
        <v>21482.797372219888</v>
      </c>
      <c r="AZ377" s="251">
        <f t="shared" si="172"/>
        <v>1511.4689225615405</v>
      </c>
      <c r="BA377" s="251">
        <f t="shared" si="173"/>
        <v>107985.72298300994</v>
      </c>
      <c r="BB377" s="251">
        <f t="shared" si="173"/>
        <v>2155.2747002110823</v>
      </c>
      <c r="BC377" s="251">
        <f t="shared" si="174"/>
        <v>167680.79497287876</v>
      </c>
      <c r="BD377" s="270">
        <f t="shared" si="170"/>
        <v>7.6100191206778574</v>
      </c>
      <c r="BY377" s="252">
        <f t="shared" si="153"/>
        <v>1.5678131264078241</v>
      </c>
      <c r="BZ377" s="252">
        <f t="shared" si="151"/>
        <v>0.97497449719679519</v>
      </c>
      <c r="CA377" s="252">
        <f t="shared" si="151"/>
        <v>6.8596450791303221E-2</v>
      </c>
      <c r="CB377" s="252">
        <f t="shared" si="151"/>
        <v>4.9008201374155238</v>
      </c>
      <c r="CC377" s="252">
        <f t="shared" si="151"/>
        <v>9.7814908866411546E-2</v>
      </c>
    </row>
    <row r="378" spans="1:81">
      <c r="A378" s="11">
        <v>51136</v>
      </c>
      <c r="B378" s="268">
        <v>70</v>
      </c>
      <c r="C378" s="268">
        <v>13</v>
      </c>
      <c r="D378" s="268">
        <f t="shared" si="168"/>
        <v>20</v>
      </c>
      <c r="E378" s="268">
        <v>3</v>
      </c>
      <c r="F378" s="269">
        <v>0.2</v>
      </c>
      <c r="G378" s="269">
        <v>1.32</v>
      </c>
      <c r="H378" s="269"/>
      <c r="I378" s="269">
        <v>5</v>
      </c>
      <c r="J378" s="269"/>
      <c r="K378" s="269"/>
      <c r="L378" s="269"/>
      <c r="M378" s="269">
        <f t="shared" si="167"/>
        <v>1.5</v>
      </c>
      <c r="N378" s="269">
        <v>45</v>
      </c>
      <c r="O378" s="269">
        <f t="shared" si="175"/>
        <v>17.699535849485258</v>
      </c>
      <c r="Q378" s="251">
        <f t="shared" si="160"/>
        <v>176.71953584948523</v>
      </c>
      <c r="R378" s="251">
        <f>'RD Plant List'!N246</f>
        <v>664.33</v>
      </c>
      <c r="S378" s="251">
        <f>SUM(B378:O378)+'RD Plant List'!N246</f>
        <v>841.04953584948521</v>
      </c>
      <c r="T378" s="237">
        <f t="shared" si="171"/>
        <v>0.7898821314121609</v>
      </c>
      <c r="U378" s="251">
        <f t="shared" si="164"/>
        <v>477.78918131725345</v>
      </c>
      <c r="V378" s="271">
        <f t="shared" si="154"/>
        <v>0.56808684976524249</v>
      </c>
      <c r="W378" s="251">
        <f t="shared" si="161"/>
        <v>39.815765109771121</v>
      </c>
      <c r="X378" s="242">
        <f t="shared" si="162"/>
        <v>7.6100191206778582</v>
      </c>
      <c r="Y378" s="273">
        <f t="shared" si="163"/>
        <v>7.6100191206778582</v>
      </c>
      <c r="AB378" s="251">
        <f>SUM('BD Feedstock'!C376,'BD Feedstock'!E376,'BD Feedstock'!G376,'BD Feedstock'!K376,'BD Feedstock'!T376)</f>
        <v>21.812796010427753</v>
      </c>
      <c r="AC378" s="251">
        <f>SUM('BD Feedstock'!D376,'BD Feedstock'!F376,'BD Feedstock'!H376,'BD Feedstock'!I376,'BD Feedstock'!L376,'BD Feedstock'!M376,'BD Feedstock'!N376,'BD Feedstock'!O376,'BD Feedstock'!U376)</f>
        <v>12.773566250859661</v>
      </c>
      <c r="AD378" s="251">
        <f>'BD Feedstock'!J376</f>
        <v>0.90199999999999991</v>
      </c>
      <c r="AE378" s="251">
        <f>SUM('BD Feedstock'!B376,'BD Feedstock'!P376,'BD Feedstock'!Q376,'BD Feedstock'!R376)</f>
        <v>70.93020833333334</v>
      </c>
      <c r="AF378" s="251">
        <f>'BD Feedstock'!S376</f>
        <v>1.40625</v>
      </c>
      <c r="AG378" s="251">
        <f t="shared" si="155"/>
        <v>107.82482059462075</v>
      </c>
      <c r="AK378" s="237">
        <f t="shared" si="166"/>
        <v>0.20229846792359021</v>
      </c>
      <c r="AL378" s="237">
        <f t="shared" si="166"/>
        <v>0.11846591703484753</v>
      </c>
      <c r="AM378" s="237">
        <f t="shared" si="165"/>
        <v>8.3654208282077092E-3</v>
      </c>
      <c r="AN378" s="237">
        <f t="shared" si="165"/>
        <v>0.65782820636449979</v>
      </c>
      <c r="AO378" s="237">
        <f t="shared" si="165"/>
        <v>1.304198784885487E-2</v>
      </c>
      <c r="AP378" s="237">
        <f t="shared" si="156"/>
        <v>1</v>
      </c>
      <c r="AQ378" s="237"/>
      <c r="AR378" s="237">
        <f t="shared" si="157"/>
        <v>0.61464645366918802</v>
      </c>
      <c r="AS378" s="237">
        <f t="shared" si="158"/>
        <v>0.35993676340465403</v>
      </c>
      <c r="AT378" s="237">
        <f t="shared" si="159"/>
        <v>2.5416782926158003E-2</v>
      </c>
      <c r="AU378" s="237">
        <f t="shared" si="169"/>
        <v>0.98055959563958928</v>
      </c>
      <c r="AV378" s="237">
        <f t="shared" si="169"/>
        <v>1.9440404360410696E-2</v>
      </c>
      <c r="AX378" s="251">
        <f t="shared" si="172"/>
        <v>28314.912568716914</v>
      </c>
      <c r="AY378" s="251">
        <f t="shared" si="172"/>
        <v>17608.168460808614</v>
      </c>
      <c r="AZ378" s="251">
        <f t="shared" si="172"/>
        <v>1238.860980281655</v>
      </c>
      <c r="BA378" s="251">
        <f t="shared" si="173"/>
        <v>88509.460323163206</v>
      </c>
      <c r="BB378" s="251">
        <f t="shared" si="173"/>
        <v>1766.5502002877183</v>
      </c>
      <c r="BC378" s="251">
        <f t="shared" si="174"/>
        <v>137437.95253325813</v>
      </c>
      <c r="BD378" s="270">
        <f t="shared" si="170"/>
        <v>7.6100191206778582</v>
      </c>
      <c r="BY378" s="252">
        <f t="shared" si="153"/>
        <v>1.5678131264078241</v>
      </c>
      <c r="BZ378" s="252">
        <f t="shared" si="151"/>
        <v>0.97497449719679552</v>
      </c>
      <c r="CA378" s="252">
        <f t="shared" si="151"/>
        <v>6.8596450791303235E-2</v>
      </c>
      <c r="CB378" s="252">
        <f t="shared" si="151"/>
        <v>4.9008201374155238</v>
      </c>
      <c r="CC378" s="252">
        <f t="shared" ref="CC378:CC414" si="176">(BB378*2204.622)/($W378*1000000)</f>
        <v>9.7814908866411532E-2</v>
      </c>
    </row>
    <row r="379" spans="1:81">
      <c r="A379" s="11">
        <v>51167</v>
      </c>
      <c r="B379" s="268">
        <v>70</v>
      </c>
      <c r="C379" s="268">
        <v>13</v>
      </c>
      <c r="D379" s="268">
        <f t="shared" si="168"/>
        <v>20</v>
      </c>
      <c r="E379" s="268">
        <v>3</v>
      </c>
      <c r="F379" s="269">
        <v>0.2</v>
      </c>
      <c r="G379" s="269">
        <v>1.32</v>
      </c>
      <c r="H379" s="269"/>
      <c r="I379" s="269">
        <v>5</v>
      </c>
      <c r="J379" s="269"/>
      <c r="K379" s="269"/>
      <c r="L379" s="269"/>
      <c r="M379" s="269">
        <f t="shared" si="167"/>
        <v>1.5</v>
      </c>
      <c r="N379" s="269">
        <v>45</v>
      </c>
      <c r="O379" s="269">
        <f t="shared" si="175"/>
        <v>17.699535849485258</v>
      </c>
      <c r="Q379" s="251">
        <f t="shared" si="160"/>
        <v>176.71953584948523</v>
      </c>
      <c r="R379" s="251">
        <f>'RD Plant List'!N247</f>
        <v>664.33</v>
      </c>
      <c r="S379" s="251">
        <f>SUM(B379:O379)+'RD Plant List'!N247</f>
        <v>841.04953584948521</v>
      </c>
      <c r="T379" s="237">
        <f t="shared" si="171"/>
        <v>0.7898821314121609</v>
      </c>
      <c r="U379" s="251">
        <f t="shared" si="164"/>
        <v>441.81760470832199</v>
      </c>
      <c r="V379" s="271">
        <f t="shared" si="154"/>
        <v>0.52531698297897877</v>
      </c>
      <c r="W379" s="251">
        <f t="shared" si="161"/>
        <v>36.8181337256935</v>
      </c>
      <c r="X379" s="242">
        <f t="shared" si="162"/>
        <v>7.6100191206778565</v>
      </c>
      <c r="Y379" s="273">
        <f t="shared" si="163"/>
        <v>7.6100191206778565</v>
      </c>
      <c r="AB379" s="251">
        <f>SUM('BD Feedstock'!C377,'BD Feedstock'!E377,'BD Feedstock'!G377,'BD Feedstock'!K377,'BD Feedstock'!T377)</f>
        <v>21.812796010427753</v>
      </c>
      <c r="AC379" s="251">
        <f>SUM('BD Feedstock'!D377,'BD Feedstock'!F377,'BD Feedstock'!H377,'BD Feedstock'!I377,'BD Feedstock'!L377,'BD Feedstock'!M377,'BD Feedstock'!N377,'BD Feedstock'!O377,'BD Feedstock'!U377)</f>
        <v>12.773566250859661</v>
      </c>
      <c r="AD379" s="251">
        <f>'BD Feedstock'!J377</f>
        <v>0.90199999999999991</v>
      </c>
      <c r="AE379" s="251">
        <f>SUM('BD Feedstock'!B377,'BD Feedstock'!P377,'BD Feedstock'!Q377,'BD Feedstock'!R377)</f>
        <v>70.93020833333334</v>
      </c>
      <c r="AF379" s="251">
        <f>'BD Feedstock'!S377</f>
        <v>1.40625</v>
      </c>
      <c r="AG379" s="251">
        <f t="shared" si="155"/>
        <v>107.82482059462075</v>
      </c>
      <c r="AK379" s="237">
        <f t="shared" si="166"/>
        <v>0.20229846792359021</v>
      </c>
      <c r="AL379" s="237">
        <f t="shared" si="166"/>
        <v>0.11846591703484753</v>
      </c>
      <c r="AM379" s="237">
        <f t="shared" si="165"/>
        <v>8.3654208282077092E-3</v>
      </c>
      <c r="AN379" s="237">
        <f t="shared" si="165"/>
        <v>0.65782820636449979</v>
      </c>
      <c r="AO379" s="237">
        <f t="shared" si="165"/>
        <v>1.304198784885487E-2</v>
      </c>
      <c r="AP379" s="237">
        <f t="shared" si="156"/>
        <v>1</v>
      </c>
      <c r="AQ379" s="237"/>
      <c r="AR379" s="237">
        <f t="shared" si="157"/>
        <v>0.61464645366918802</v>
      </c>
      <c r="AS379" s="237">
        <f t="shared" si="158"/>
        <v>0.35993676340465403</v>
      </c>
      <c r="AT379" s="237">
        <f t="shared" si="159"/>
        <v>2.5416782926158003E-2</v>
      </c>
      <c r="AU379" s="237">
        <f t="shared" si="169"/>
        <v>0.98055959563958928</v>
      </c>
      <c r="AV379" s="237">
        <f t="shared" si="169"/>
        <v>1.9440404360410696E-2</v>
      </c>
      <c r="AX379" s="251">
        <f t="shared" si="172"/>
        <v>26183.152188892647</v>
      </c>
      <c r="AY379" s="251">
        <f t="shared" si="172"/>
        <v>16282.492607318802</v>
      </c>
      <c r="AZ379" s="251">
        <f t="shared" si="172"/>
        <v>1145.5901729830125</v>
      </c>
      <c r="BA379" s="251">
        <f t="shared" si="173"/>
        <v>81845.799953432521</v>
      </c>
      <c r="BB379" s="251">
        <f t="shared" si="173"/>
        <v>1633.550964750448</v>
      </c>
      <c r="BC379" s="251">
        <f t="shared" si="174"/>
        <v>127090.58588737743</v>
      </c>
      <c r="BD379" s="270">
        <f t="shared" si="170"/>
        <v>7.6100191206778574</v>
      </c>
      <c r="BY379" s="252">
        <f t="shared" si="153"/>
        <v>1.5678131264078241</v>
      </c>
      <c r="BZ379" s="252">
        <f t="shared" si="153"/>
        <v>0.97497449719679519</v>
      </c>
      <c r="CA379" s="252">
        <f t="shared" si="153"/>
        <v>6.8596450791303193E-2</v>
      </c>
      <c r="CB379" s="252">
        <f t="shared" si="153"/>
        <v>4.900820137415522</v>
      </c>
      <c r="CC379" s="252">
        <f t="shared" si="176"/>
        <v>9.7814908866411518E-2</v>
      </c>
    </row>
    <row r="380" spans="1:81">
      <c r="A380" s="11">
        <v>51196</v>
      </c>
      <c r="B380" s="268">
        <v>70</v>
      </c>
      <c r="C380" s="268">
        <v>13</v>
      </c>
      <c r="D380" s="268">
        <f t="shared" si="168"/>
        <v>20</v>
      </c>
      <c r="E380" s="268">
        <v>3</v>
      </c>
      <c r="F380" s="269">
        <v>0.2</v>
      </c>
      <c r="G380" s="269">
        <v>1.32</v>
      </c>
      <c r="H380" s="269"/>
      <c r="I380" s="269">
        <v>5</v>
      </c>
      <c r="J380" s="269"/>
      <c r="K380" s="269"/>
      <c r="L380" s="269"/>
      <c r="M380" s="269">
        <f t="shared" si="167"/>
        <v>1.5</v>
      </c>
      <c r="N380" s="269">
        <v>45</v>
      </c>
      <c r="O380" s="269">
        <f t="shared" si="175"/>
        <v>17.699535849485258</v>
      </c>
      <c r="Q380" s="251">
        <f t="shared" si="160"/>
        <v>176.71953584948523</v>
      </c>
      <c r="R380" s="251">
        <f>'RD Plant List'!N248</f>
        <v>664.33</v>
      </c>
      <c r="S380" s="251">
        <f>SUM(B380:O380)+'RD Plant List'!N248</f>
        <v>841.04953584948521</v>
      </c>
      <c r="T380" s="237">
        <f t="shared" si="171"/>
        <v>0.7898821314121609</v>
      </c>
      <c r="U380" s="251">
        <f t="shared" si="164"/>
        <v>491.05750207807432</v>
      </c>
      <c r="V380" s="271">
        <f t="shared" si="154"/>
        <v>0.58386275854975833</v>
      </c>
      <c r="W380" s="251">
        <f t="shared" si="161"/>
        <v>40.921458506506191</v>
      </c>
      <c r="X380" s="242">
        <f t="shared" si="162"/>
        <v>7.6100191206778565</v>
      </c>
      <c r="Y380" s="273">
        <f t="shared" si="163"/>
        <v>7.6100191206778565</v>
      </c>
      <c r="AB380" s="251">
        <f>SUM('BD Feedstock'!C378,'BD Feedstock'!E378,'BD Feedstock'!G378,'BD Feedstock'!K378,'BD Feedstock'!T378)</f>
        <v>21.812796010427753</v>
      </c>
      <c r="AC380" s="251">
        <f>SUM('BD Feedstock'!D378,'BD Feedstock'!F378,'BD Feedstock'!H378,'BD Feedstock'!I378,'BD Feedstock'!L378,'BD Feedstock'!M378,'BD Feedstock'!N378,'BD Feedstock'!O378,'BD Feedstock'!U378)</f>
        <v>12.773566250859661</v>
      </c>
      <c r="AD380" s="251">
        <f>'BD Feedstock'!J378</f>
        <v>0.90199999999999991</v>
      </c>
      <c r="AE380" s="251">
        <f>SUM('BD Feedstock'!B378,'BD Feedstock'!P378,'BD Feedstock'!Q378,'BD Feedstock'!R378)</f>
        <v>70.93020833333334</v>
      </c>
      <c r="AF380" s="251">
        <f>'BD Feedstock'!S378</f>
        <v>1.40625</v>
      </c>
      <c r="AG380" s="251">
        <f t="shared" si="155"/>
        <v>107.82482059462075</v>
      </c>
      <c r="AK380" s="237">
        <f t="shared" si="166"/>
        <v>0.20229846792359021</v>
      </c>
      <c r="AL380" s="237">
        <f t="shared" si="166"/>
        <v>0.11846591703484753</v>
      </c>
      <c r="AM380" s="237">
        <f t="shared" si="165"/>
        <v>8.3654208282077092E-3</v>
      </c>
      <c r="AN380" s="237">
        <f t="shared" si="165"/>
        <v>0.65782820636449979</v>
      </c>
      <c r="AO380" s="237">
        <f t="shared" si="165"/>
        <v>1.304198784885487E-2</v>
      </c>
      <c r="AP380" s="237">
        <f t="shared" si="156"/>
        <v>1</v>
      </c>
      <c r="AQ380" s="237"/>
      <c r="AR380" s="237">
        <f t="shared" si="157"/>
        <v>0.61464645366918802</v>
      </c>
      <c r="AS380" s="237">
        <f t="shared" si="158"/>
        <v>0.35993676340465403</v>
      </c>
      <c r="AT380" s="237">
        <f t="shared" si="159"/>
        <v>2.5416782926158003E-2</v>
      </c>
      <c r="AU380" s="237">
        <f t="shared" si="169"/>
        <v>0.98055959563958928</v>
      </c>
      <c r="AV380" s="237">
        <f t="shared" si="169"/>
        <v>1.9440404360410696E-2</v>
      </c>
      <c r="AX380" s="251">
        <f t="shared" si="172"/>
        <v>29101.22451751526</v>
      </c>
      <c r="AY380" s="251">
        <f t="shared" si="172"/>
        <v>18097.151544319342</v>
      </c>
      <c r="AZ380" s="251">
        <f t="shared" si="172"/>
        <v>1273.2644483951938</v>
      </c>
      <c r="BA380" s="251">
        <f t="shared" si="173"/>
        <v>90967.38937609228</v>
      </c>
      <c r="BB380" s="251">
        <f t="shared" si="173"/>
        <v>1815.6077252674354</v>
      </c>
      <c r="BC380" s="251">
        <f t="shared" si="174"/>
        <v>141254.63761158951</v>
      </c>
      <c r="BD380" s="270">
        <f t="shared" si="170"/>
        <v>7.6100191206778565</v>
      </c>
      <c r="BY380" s="252">
        <f t="shared" ref="BY380:CB416" si="177">(AX380*2204.622)/($W380*1000000)</f>
        <v>1.5678131264078241</v>
      </c>
      <c r="BZ380" s="252">
        <f t="shared" si="177"/>
        <v>0.97497449719679519</v>
      </c>
      <c r="CA380" s="252">
        <f t="shared" si="177"/>
        <v>6.8596450791303221E-2</v>
      </c>
      <c r="CB380" s="252">
        <f t="shared" si="177"/>
        <v>4.9008201374155229</v>
      </c>
      <c r="CC380" s="252">
        <f t="shared" si="176"/>
        <v>9.7814908866411532E-2</v>
      </c>
    </row>
    <row r="381" spans="1:81">
      <c r="A381" s="11">
        <v>51227</v>
      </c>
      <c r="B381" s="268">
        <v>70</v>
      </c>
      <c r="C381" s="268">
        <v>13</v>
      </c>
      <c r="D381" s="268">
        <f t="shared" si="168"/>
        <v>20</v>
      </c>
      <c r="E381" s="268">
        <v>3</v>
      </c>
      <c r="F381" s="269">
        <v>0.2</v>
      </c>
      <c r="G381" s="269">
        <v>1.32</v>
      </c>
      <c r="H381" s="269"/>
      <c r="I381" s="269">
        <v>5</v>
      </c>
      <c r="J381" s="269"/>
      <c r="K381" s="269"/>
      <c r="L381" s="269"/>
      <c r="M381" s="269">
        <f t="shared" si="167"/>
        <v>1.5</v>
      </c>
      <c r="N381" s="269">
        <v>45</v>
      </c>
      <c r="O381" s="269">
        <f t="shared" si="175"/>
        <v>17.699535849485258</v>
      </c>
      <c r="Q381" s="251">
        <f t="shared" si="160"/>
        <v>176.71953584948523</v>
      </c>
      <c r="R381" s="251">
        <f>'RD Plant List'!N249</f>
        <v>664.33</v>
      </c>
      <c r="S381" s="251">
        <f>SUM(B381:O381)+'RD Plant List'!N249</f>
        <v>841.04953584948521</v>
      </c>
      <c r="T381" s="237">
        <f t="shared" si="171"/>
        <v>0.7898821314121609</v>
      </c>
      <c r="U381" s="251">
        <f t="shared" si="164"/>
        <v>499.50717190734764</v>
      </c>
      <c r="V381" s="271">
        <f t="shared" si="154"/>
        <v>0.59390933662763445</v>
      </c>
      <c r="W381" s="251">
        <f t="shared" si="161"/>
        <v>41.625597658945637</v>
      </c>
      <c r="X381" s="242">
        <f t="shared" si="162"/>
        <v>7.6100191206778591</v>
      </c>
      <c r="Y381" s="273">
        <f t="shared" si="163"/>
        <v>7.6100191206778591</v>
      </c>
      <c r="AB381" s="251">
        <f>SUM('BD Feedstock'!C379,'BD Feedstock'!E379,'BD Feedstock'!G379,'BD Feedstock'!K379,'BD Feedstock'!T379)</f>
        <v>21.812796010427753</v>
      </c>
      <c r="AC381" s="251">
        <f>SUM('BD Feedstock'!D379,'BD Feedstock'!F379,'BD Feedstock'!H379,'BD Feedstock'!I379,'BD Feedstock'!L379,'BD Feedstock'!M379,'BD Feedstock'!N379,'BD Feedstock'!O379,'BD Feedstock'!U379)</f>
        <v>12.773566250859661</v>
      </c>
      <c r="AD381" s="251">
        <f>'BD Feedstock'!J379</f>
        <v>0.90199999999999991</v>
      </c>
      <c r="AE381" s="251">
        <f>SUM('BD Feedstock'!B379,'BD Feedstock'!P379,'BD Feedstock'!Q379,'BD Feedstock'!R379)</f>
        <v>70.93020833333334</v>
      </c>
      <c r="AF381" s="251">
        <f>'BD Feedstock'!S379</f>
        <v>1.40625</v>
      </c>
      <c r="AG381" s="251">
        <f t="shared" si="155"/>
        <v>107.82482059462075</v>
      </c>
      <c r="AK381" s="237">
        <f t="shared" si="166"/>
        <v>0.20229846792359021</v>
      </c>
      <c r="AL381" s="237">
        <f t="shared" si="166"/>
        <v>0.11846591703484753</v>
      </c>
      <c r="AM381" s="237">
        <f t="shared" si="165"/>
        <v>8.3654208282077092E-3</v>
      </c>
      <c r="AN381" s="237">
        <f t="shared" si="165"/>
        <v>0.65782820636449979</v>
      </c>
      <c r="AO381" s="237">
        <f t="shared" si="165"/>
        <v>1.304198784885487E-2</v>
      </c>
      <c r="AP381" s="237">
        <f t="shared" si="156"/>
        <v>1</v>
      </c>
      <c r="AQ381" s="237"/>
      <c r="AR381" s="237">
        <f t="shared" si="157"/>
        <v>0.61464645366918802</v>
      </c>
      <c r="AS381" s="237">
        <f t="shared" si="158"/>
        <v>0.35993676340465403</v>
      </c>
      <c r="AT381" s="237">
        <f t="shared" si="159"/>
        <v>2.5416782926158003E-2</v>
      </c>
      <c r="AU381" s="237">
        <f t="shared" si="169"/>
        <v>0.98055959563958928</v>
      </c>
      <c r="AV381" s="237">
        <f t="shared" si="169"/>
        <v>1.9440404360410696E-2</v>
      </c>
      <c r="AX381" s="251">
        <f t="shared" si="172"/>
        <v>29601.971859241974</v>
      </c>
      <c r="AY381" s="251">
        <f t="shared" si="172"/>
        <v>18408.550830050059</v>
      </c>
      <c r="AZ381" s="251">
        <f t="shared" si="172"/>
        <v>1295.1736222674231</v>
      </c>
      <c r="BA381" s="251">
        <f t="shared" si="173"/>
        <v>92532.673283182899</v>
      </c>
      <c r="BB381" s="251">
        <f t="shared" si="173"/>
        <v>1846.8490478275551</v>
      </c>
      <c r="BC381" s="251">
        <f t="shared" si="174"/>
        <v>143685.21864256993</v>
      </c>
      <c r="BD381" s="270">
        <f t="shared" si="170"/>
        <v>7.6100191206778582</v>
      </c>
      <c r="BY381" s="252">
        <f t="shared" si="177"/>
        <v>1.5678131264078239</v>
      </c>
      <c r="BZ381" s="252">
        <f t="shared" si="177"/>
        <v>0.9749744971967953</v>
      </c>
      <c r="CA381" s="252">
        <f t="shared" si="177"/>
        <v>6.8596450791303221E-2</v>
      </c>
      <c r="CB381" s="252">
        <f t="shared" si="177"/>
        <v>4.9008201374155229</v>
      </c>
      <c r="CC381" s="252">
        <f t="shared" si="176"/>
        <v>9.7814908866411504E-2</v>
      </c>
    </row>
    <row r="382" spans="1:81">
      <c r="A382" s="11">
        <v>51257</v>
      </c>
      <c r="B382" s="268">
        <v>70</v>
      </c>
      <c r="C382" s="268">
        <v>13</v>
      </c>
      <c r="D382" s="268">
        <f t="shared" si="168"/>
        <v>20</v>
      </c>
      <c r="E382" s="268">
        <v>3</v>
      </c>
      <c r="F382" s="269">
        <v>0.2</v>
      </c>
      <c r="G382" s="269">
        <v>1.32</v>
      </c>
      <c r="H382" s="269"/>
      <c r="I382" s="269">
        <v>5</v>
      </c>
      <c r="J382" s="269"/>
      <c r="K382" s="269"/>
      <c r="L382" s="269"/>
      <c r="M382" s="269">
        <f t="shared" si="167"/>
        <v>1.5</v>
      </c>
      <c r="N382" s="269">
        <v>45</v>
      </c>
      <c r="O382" s="269">
        <f t="shared" si="175"/>
        <v>17.699535849485258</v>
      </c>
      <c r="Q382" s="251">
        <f t="shared" si="160"/>
        <v>176.71953584948523</v>
      </c>
      <c r="R382" s="251">
        <f>'RD Plant List'!N250</f>
        <v>664.33</v>
      </c>
      <c r="S382" s="251">
        <f>SUM(B382:O382)+'RD Plant List'!N250</f>
        <v>841.04953584948521</v>
      </c>
      <c r="T382" s="237">
        <f t="shared" si="171"/>
        <v>0.7898821314121609</v>
      </c>
      <c r="U382" s="251">
        <f t="shared" si="164"/>
        <v>485.27374701916341</v>
      </c>
      <c r="V382" s="271">
        <f t="shared" si="154"/>
        <v>0.57698592809878002</v>
      </c>
      <c r="W382" s="251">
        <f t="shared" si="161"/>
        <v>40.439478918263617</v>
      </c>
      <c r="X382" s="242">
        <f t="shared" si="162"/>
        <v>7.6100191206778591</v>
      </c>
      <c r="Y382" s="273">
        <f t="shared" si="163"/>
        <v>7.6100191206778591</v>
      </c>
      <c r="AB382" s="251">
        <f>SUM('BD Feedstock'!C380,'BD Feedstock'!E380,'BD Feedstock'!G380,'BD Feedstock'!K380,'BD Feedstock'!T380)</f>
        <v>21.812796010427753</v>
      </c>
      <c r="AC382" s="251">
        <f>SUM('BD Feedstock'!D380,'BD Feedstock'!F380,'BD Feedstock'!H380,'BD Feedstock'!I380,'BD Feedstock'!L380,'BD Feedstock'!M380,'BD Feedstock'!N380,'BD Feedstock'!O380,'BD Feedstock'!U380)</f>
        <v>12.773566250859661</v>
      </c>
      <c r="AD382" s="251">
        <f>'BD Feedstock'!J380</f>
        <v>0.90199999999999991</v>
      </c>
      <c r="AE382" s="251">
        <f>SUM('BD Feedstock'!B380,'BD Feedstock'!P380,'BD Feedstock'!Q380,'BD Feedstock'!R380)</f>
        <v>70.93020833333334</v>
      </c>
      <c r="AF382" s="251">
        <f>'BD Feedstock'!S380</f>
        <v>1.40625</v>
      </c>
      <c r="AG382" s="251">
        <f t="shared" si="155"/>
        <v>107.82482059462075</v>
      </c>
      <c r="AK382" s="237">
        <f t="shared" si="166"/>
        <v>0.20229846792359021</v>
      </c>
      <c r="AL382" s="237">
        <f t="shared" si="166"/>
        <v>0.11846591703484753</v>
      </c>
      <c r="AM382" s="237">
        <f t="shared" si="165"/>
        <v>8.3654208282077092E-3</v>
      </c>
      <c r="AN382" s="237">
        <f t="shared" si="165"/>
        <v>0.65782820636449979</v>
      </c>
      <c r="AO382" s="237">
        <f t="shared" si="165"/>
        <v>1.304198784885487E-2</v>
      </c>
      <c r="AP382" s="237">
        <f t="shared" si="156"/>
        <v>1</v>
      </c>
      <c r="AQ382" s="237"/>
      <c r="AR382" s="237">
        <f t="shared" si="157"/>
        <v>0.61464645366918802</v>
      </c>
      <c r="AS382" s="237">
        <f t="shared" si="158"/>
        <v>0.35993676340465403</v>
      </c>
      <c r="AT382" s="237">
        <f t="shared" si="159"/>
        <v>2.5416782926158003E-2</v>
      </c>
      <c r="AU382" s="237">
        <f t="shared" si="169"/>
        <v>0.98055959563958928</v>
      </c>
      <c r="AV382" s="237">
        <f t="shared" si="169"/>
        <v>1.9440404360410696E-2</v>
      </c>
      <c r="AX382" s="251">
        <f t="shared" si="172"/>
        <v>28758.465566045419</v>
      </c>
      <c r="AY382" s="251">
        <f t="shared" si="172"/>
        <v>17884.000352547726</v>
      </c>
      <c r="AZ382" s="251">
        <f t="shared" si="172"/>
        <v>1258.2677328098032</v>
      </c>
      <c r="BA382" s="251">
        <f t="shared" si="173"/>
        <v>89895.960681339886</v>
      </c>
      <c r="BB382" s="251">
        <f t="shared" si="173"/>
        <v>1794.2232024333994</v>
      </c>
      <c r="BC382" s="251">
        <f t="shared" si="174"/>
        <v>139590.91753517624</v>
      </c>
      <c r="BD382" s="270">
        <f t="shared" si="170"/>
        <v>7.6100191206778591</v>
      </c>
      <c r="BY382" s="252">
        <f t="shared" si="177"/>
        <v>1.5678131264078243</v>
      </c>
      <c r="BZ382" s="252">
        <f t="shared" si="177"/>
        <v>0.9749744971967953</v>
      </c>
      <c r="CA382" s="252">
        <f t="shared" si="177"/>
        <v>6.8596450791303207E-2</v>
      </c>
      <c r="CB382" s="252">
        <f t="shared" si="177"/>
        <v>4.9008201374155238</v>
      </c>
      <c r="CC382" s="252">
        <f t="shared" si="176"/>
        <v>9.7814908866411518E-2</v>
      </c>
    </row>
    <row r="383" spans="1:81">
      <c r="A383" s="11">
        <v>51288</v>
      </c>
      <c r="B383" s="268">
        <v>70</v>
      </c>
      <c r="C383" s="268">
        <v>13</v>
      </c>
      <c r="D383" s="268">
        <f t="shared" si="168"/>
        <v>20</v>
      </c>
      <c r="E383" s="268">
        <v>3</v>
      </c>
      <c r="F383" s="269">
        <v>0.2</v>
      </c>
      <c r="G383" s="269">
        <v>1.32</v>
      </c>
      <c r="H383" s="269"/>
      <c r="I383" s="269">
        <v>5</v>
      </c>
      <c r="J383" s="269"/>
      <c r="K383" s="269"/>
      <c r="L383" s="269"/>
      <c r="M383" s="269">
        <f t="shared" si="167"/>
        <v>1.5</v>
      </c>
      <c r="N383" s="269">
        <v>45</v>
      </c>
      <c r="O383" s="269">
        <f t="shared" si="175"/>
        <v>17.699535849485258</v>
      </c>
      <c r="Q383" s="251">
        <f t="shared" si="160"/>
        <v>176.71953584948523</v>
      </c>
      <c r="R383" s="251">
        <f>'RD Plant List'!N251</f>
        <v>664.33</v>
      </c>
      <c r="S383" s="251">
        <f>SUM(B383:O383)+'RD Plant List'!N251</f>
        <v>841.04953584948521</v>
      </c>
      <c r="T383" s="237">
        <f t="shared" si="171"/>
        <v>0.7898821314121609</v>
      </c>
      <c r="U383" s="251">
        <f t="shared" si="164"/>
        <v>541.65501911969614</v>
      </c>
      <c r="V383" s="271">
        <f t="shared" si="154"/>
        <v>0.64402273116126074</v>
      </c>
      <c r="W383" s="251">
        <f t="shared" si="161"/>
        <v>45.137918259974676</v>
      </c>
      <c r="X383" s="242">
        <f t="shared" si="162"/>
        <v>7.6100191206778582</v>
      </c>
      <c r="Y383" s="273">
        <f t="shared" si="163"/>
        <v>7.6100191206778582</v>
      </c>
      <c r="AB383" s="251">
        <f>SUM('BD Feedstock'!C381,'BD Feedstock'!E381,'BD Feedstock'!G381,'BD Feedstock'!K381,'BD Feedstock'!T381)</f>
        <v>21.812796010427753</v>
      </c>
      <c r="AC383" s="251">
        <f>SUM('BD Feedstock'!D381,'BD Feedstock'!F381,'BD Feedstock'!H381,'BD Feedstock'!I381,'BD Feedstock'!L381,'BD Feedstock'!M381,'BD Feedstock'!N381,'BD Feedstock'!O381,'BD Feedstock'!U381)</f>
        <v>12.773566250859661</v>
      </c>
      <c r="AD383" s="251">
        <f>'BD Feedstock'!J381</f>
        <v>0.90199999999999991</v>
      </c>
      <c r="AE383" s="251">
        <f>SUM('BD Feedstock'!B381,'BD Feedstock'!P381,'BD Feedstock'!Q381,'BD Feedstock'!R381)</f>
        <v>70.93020833333334</v>
      </c>
      <c r="AF383" s="251">
        <f>'BD Feedstock'!S381</f>
        <v>1.40625</v>
      </c>
      <c r="AG383" s="251">
        <f t="shared" si="155"/>
        <v>107.82482059462075</v>
      </c>
      <c r="AK383" s="237">
        <f t="shared" si="166"/>
        <v>0.20229846792359021</v>
      </c>
      <c r="AL383" s="237">
        <f t="shared" si="166"/>
        <v>0.11846591703484753</v>
      </c>
      <c r="AM383" s="237">
        <f t="shared" si="165"/>
        <v>8.3654208282077092E-3</v>
      </c>
      <c r="AN383" s="237">
        <f t="shared" si="165"/>
        <v>0.65782820636449979</v>
      </c>
      <c r="AO383" s="237">
        <f t="shared" si="165"/>
        <v>1.304198784885487E-2</v>
      </c>
      <c r="AP383" s="237">
        <f t="shared" si="156"/>
        <v>1</v>
      </c>
      <c r="AQ383" s="237"/>
      <c r="AR383" s="237">
        <f t="shared" si="157"/>
        <v>0.61464645366918802</v>
      </c>
      <c r="AS383" s="237">
        <f t="shared" si="158"/>
        <v>0.35993676340465403</v>
      </c>
      <c r="AT383" s="237">
        <f t="shared" si="159"/>
        <v>2.5416782926158003E-2</v>
      </c>
      <c r="AU383" s="237">
        <f t="shared" si="169"/>
        <v>0.98055959563958928</v>
      </c>
      <c r="AV383" s="237">
        <f t="shared" si="169"/>
        <v>1.9440404360410696E-2</v>
      </c>
      <c r="AX383" s="251">
        <f t="shared" si="172"/>
        <v>32099.752586480456</v>
      </c>
      <c r="AY383" s="251">
        <f t="shared" si="172"/>
        <v>19961.843418068431</v>
      </c>
      <c r="AZ383" s="251">
        <f t="shared" si="172"/>
        <v>1404.4588998668341</v>
      </c>
      <c r="BA383" s="251">
        <f t="shared" si="173"/>
        <v>100340.47504266027</v>
      </c>
      <c r="BB383" s="251">
        <f t="shared" si="173"/>
        <v>2002.6840705658185</v>
      </c>
      <c r="BC383" s="251">
        <f t="shared" si="174"/>
        <v>155809.21401764182</v>
      </c>
      <c r="BD383" s="270">
        <f t="shared" si="170"/>
        <v>7.6100191206778582</v>
      </c>
      <c r="BY383" s="252">
        <f t="shared" si="177"/>
        <v>1.5678131264078243</v>
      </c>
      <c r="BZ383" s="252">
        <f t="shared" si="177"/>
        <v>0.97497449719679541</v>
      </c>
      <c r="CA383" s="252">
        <f t="shared" si="177"/>
        <v>6.8596450791303207E-2</v>
      </c>
      <c r="CB383" s="252">
        <f t="shared" si="177"/>
        <v>4.9008201374155238</v>
      </c>
      <c r="CC383" s="252">
        <f t="shared" si="176"/>
        <v>9.7814908866411532E-2</v>
      </c>
    </row>
    <row r="384" spans="1:81">
      <c r="A384" s="11">
        <v>51318</v>
      </c>
      <c r="B384" s="268">
        <v>70</v>
      </c>
      <c r="C384" s="268">
        <v>13</v>
      </c>
      <c r="D384" s="268">
        <f t="shared" si="168"/>
        <v>20</v>
      </c>
      <c r="E384" s="268">
        <v>3</v>
      </c>
      <c r="F384" s="269">
        <v>0.2</v>
      </c>
      <c r="G384" s="269">
        <v>1.32</v>
      </c>
      <c r="H384" s="269"/>
      <c r="I384" s="269">
        <v>5</v>
      </c>
      <c r="J384" s="269"/>
      <c r="K384" s="269"/>
      <c r="L384" s="269"/>
      <c r="M384" s="269">
        <f t="shared" si="167"/>
        <v>1.5</v>
      </c>
      <c r="N384" s="269">
        <v>45</v>
      </c>
      <c r="O384" s="269">
        <f t="shared" si="175"/>
        <v>17.699535849485258</v>
      </c>
      <c r="Q384" s="251">
        <f t="shared" si="160"/>
        <v>176.71953584948523</v>
      </c>
      <c r="R384" s="251">
        <f>'RD Plant List'!N252</f>
        <v>664.33</v>
      </c>
      <c r="S384" s="251">
        <f>SUM(B384:O384)+'RD Plant List'!N252</f>
        <v>841.04953584948521</v>
      </c>
      <c r="T384" s="237">
        <f t="shared" si="171"/>
        <v>0.7898821314121609</v>
      </c>
      <c r="U384" s="251">
        <f t="shared" si="164"/>
        <v>556.18037364484383</v>
      </c>
      <c r="V384" s="271">
        <f t="shared" si="154"/>
        <v>0.66129324128701295</v>
      </c>
      <c r="W384" s="251">
        <f t="shared" si="161"/>
        <v>46.348364470403652</v>
      </c>
      <c r="X384" s="242">
        <f t="shared" si="162"/>
        <v>7.6100191206778582</v>
      </c>
      <c r="Y384" s="273">
        <f t="shared" si="163"/>
        <v>7.6100191206778582</v>
      </c>
      <c r="AB384" s="251">
        <f>SUM('BD Feedstock'!C382,'BD Feedstock'!E382,'BD Feedstock'!G382,'BD Feedstock'!K382,'BD Feedstock'!T382)</f>
        <v>21.812796010427753</v>
      </c>
      <c r="AC384" s="251">
        <f>SUM('BD Feedstock'!D382,'BD Feedstock'!F382,'BD Feedstock'!H382,'BD Feedstock'!I382,'BD Feedstock'!L382,'BD Feedstock'!M382,'BD Feedstock'!N382,'BD Feedstock'!O382,'BD Feedstock'!U382)</f>
        <v>12.773566250859661</v>
      </c>
      <c r="AD384" s="251">
        <f>'BD Feedstock'!J382</f>
        <v>0.90199999999999991</v>
      </c>
      <c r="AE384" s="251">
        <f>SUM('BD Feedstock'!B382,'BD Feedstock'!P382,'BD Feedstock'!Q382,'BD Feedstock'!R382)</f>
        <v>70.93020833333334</v>
      </c>
      <c r="AF384" s="251">
        <f>'BD Feedstock'!S382</f>
        <v>1.40625</v>
      </c>
      <c r="AG384" s="251">
        <f t="shared" si="155"/>
        <v>107.82482059462075</v>
      </c>
      <c r="AK384" s="237">
        <f t="shared" si="166"/>
        <v>0.20229846792359021</v>
      </c>
      <c r="AL384" s="237">
        <f t="shared" si="166"/>
        <v>0.11846591703484753</v>
      </c>
      <c r="AM384" s="237">
        <f t="shared" si="165"/>
        <v>8.3654208282077092E-3</v>
      </c>
      <c r="AN384" s="237">
        <f t="shared" si="165"/>
        <v>0.65782820636449979</v>
      </c>
      <c r="AO384" s="237">
        <f t="shared" si="165"/>
        <v>1.304198784885487E-2</v>
      </c>
      <c r="AP384" s="237">
        <f t="shared" si="156"/>
        <v>1</v>
      </c>
      <c r="AQ384" s="237"/>
      <c r="AR384" s="237">
        <f t="shared" si="157"/>
        <v>0.61464645366918802</v>
      </c>
      <c r="AS384" s="237">
        <f t="shared" si="158"/>
        <v>0.35993676340465403</v>
      </c>
      <c r="AT384" s="237">
        <f t="shared" si="159"/>
        <v>2.5416782926158003E-2</v>
      </c>
      <c r="AU384" s="237">
        <f t="shared" si="169"/>
        <v>0.98055959563958928</v>
      </c>
      <c r="AV384" s="237">
        <f t="shared" si="169"/>
        <v>1.9440404360410696E-2</v>
      </c>
      <c r="AX384" s="251">
        <f t="shared" si="172"/>
        <v>32960.559317757361</v>
      </c>
      <c r="AY384" s="251">
        <f t="shared" si="172"/>
        <v>20497.152502980385</v>
      </c>
      <c r="AZ384" s="251">
        <f t="shared" si="172"/>
        <v>1442.121734542897</v>
      </c>
      <c r="BA384" s="251">
        <f t="shared" si="173"/>
        <v>103031.26700759969</v>
      </c>
      <c r="BB384" s="251">
        <f t="shared" si="173"/>
        <v>2056.3892797857229</v>
      </c>
      <c r="BC384" s="251">
        <f t="shared" si="174"/>
        <v>159987.48984266605</v>
      </c>
      <c r="BD384" s="270">
        <f t="shared" si="170"/>
        <v>7.6100191206778582</v>
      </c>
      <c r="BY384" s="252">
        <f t="shared" si="177"/>
        <v>1.5678131264078241</v>
      </c>
      <c r="BZ384" s="252">
        <f t="shared" si="177"/>
        <v>0.97497449719679552</v>
      </c>
      <c r="CA384" s="252">
        <f t="shared" si="177"/>
        <v>6.8596450791303221E-2</v>
      </c>
      <c r="CB384" s="252">
        <f t="shared" si="177"/>
        <v>4.9008201374155247</v>
      </c>
      <c r="CC384" s="252">
        <f t="shared" si="176"/>
        <v>9.781490886641156E-2</v>
      </c>
    </row>
    <row r="385" spans="1:81">
      <c r="A385" s="11">
        <v>51349</v>
      </c>
      <c r="B385" s="268">
        <v>70</v>
      </c>
      <c r="C385" s="268">
        <v>13</v>
      </c>
      <c r="D385" s="268">
        <f t="shared" si="168"/>
        <v>20</v>
      </c>
      <c r="E385" s="268">
        <v>3</v>
      </c>
      <c r="F385" s="269">
        <v>0.2</v>
      </c>
      <c r="G385" s="269">
        <v>1.32</v>
      </c>
      <c r="H385" s="269"/>
      <c r="I385" s="269">
        <v>5</v>
      </c>
      <c r="J385" s="269"/>
      <c r="K385" s="269"/>
      <c r="L385" s="269"/>
      <c r="M385" s="269">
        <f t="shared" si="167"/>
        <v>1.5</v>
      </c>
      <c r="N385" s="269">
        <v>45</v>
      </c>
      <c r="O385" s="269">
        <f t="shared" si="175"/>
        <v>17.699535849485258</v>
      </c>
      <c r="Q385" s="251">
        <f t="shared" si="160"/>
        <v>176.71953584948523</v>
      </c>
      <c r="R385" s="251">
        <f>'RD Plant List'!N253</f>
        <v>664.33</v>
      </c>
      <c r="S385" s="251">
        <f>SUM(B385:O385)+'RD Plant List'!N253</f>
        <v>841.04953584948521</v>
      </c>
      <c r="T385" s="237">
        <f t="shared" si="171"/>
        <v>0.7898821314121609</v>
      </c>
      <c r="U385" s="251">
        <f t="shared" si="164"/>
        <v>524.94238672849451</v>
      </c>
      <c r="V385" s="271">
        <f t="shared" si="154"/>
        <v>0.62415156819305184</v>
      </c>
      <c r="W385" s="251">
        <f t="shared" si="161"/>
        <v>43.745198894041209</v>
      </c>
      <c r="X385" s="242">
        <f t="shared" si="162"/>
        <v>7.6100191206778547</v>
      </c>
      <c r="Y385" s="273">
        <f t="shared" si="163"/>
        <v>7.6100191206778547</v>
      </c>
      <c r="AB385" s="251">
        <f>SUM('BD Feedstock'!C383,'BD Feedstock'!E383,'BD Feedstock'!G383,'BD Feedstock'!K383,'BD Feedstock'!T383)</f>
        <v>21.812796010427753</v>
      </c>
      <c r="AC385" s="251">
        <f>SUM('BD Feedstock'!D383,'BD Feedstock'!F383,'BD Feedstock'!H383,'BD Feedstock'!I383,'BD Feedstock'!L383,'BD Feedstock'!M383,'BD Feedstock'!N383,'BD Feedstock'!O383,'BD Feedstock'!U383)</f>
        <v>12.773566250859661</v>
      </c>
      <c r="AD385" s="251">
        <f>'BD Feedstock'!J383</f>
        <v>0.90199999999999991</v>
      </c>
      <c r="AE385" s="251">
        <f>SUM('BD Feedstock'!B383,'BD Feedstock'!P383,'BD Feedstock'!Q383,'BD Feedstock'!R383)</f>
        <v>70.93020833333334</v>
      </c>
      <c r="AF385" s="251">
        <f>'BD Feedstock'!S383</f>
        <v>1.40625</v>
      </c>
      <c r="AG385" s="251">
        <f t="shared" si="155"/>
        <v>107.82482059462075</v>
      </c>
      <c r="AK385" s="237">
        <f t="shared" si="166"/>
        <v>0.20229846792359021</v>
      </c>
      <c r="AL385" s="237">
        <f t="shared" si="166"/>
        <v>0.11846591703484753</v>
      </c>
      <c r="AM385" s="237">
        <f t="shared" si="165"/>
        <v>8.3654208282077092E-3</v>
      </c>
      <c r="AN385" s="237">
        <f t="shared" si="165"/>
        <v>0.65782820636449979</v>
      </c>
      <c r="AO385" s="237">
        <f t="shared" si="165"/>
        <v>1.304198784885487E-2</v>
      </c>
      <c r="AP385" s="237">
        <f t="shared" si="156"/>
        <v>1</v>
      </c>
      <c r="AQ385" s="237"/>
      <c r="AR385" s="237">
        <f t="shared" si="157"/>
        <v>0.61464645366918802</v>
      </c>
      <c r="AS385" s="237">
        <f t="shared" si="158"/>
        <v>0.35993676340465403</v>
      </c>
      <c r="AT385" s="237">
        <f t="shared" si="159"/>
        <v>2.5416782926158003E-2</v>
      </c>
      <c r="AU385" s="237">
        <f t="shared" si="169"/>
        <v>0.98055959563958928</v>
      </c>
      <c r="AV385" s="237">
        <f t="shared" si="169"/>
        <v>1.9440404360410696E-2</v>
      </c>
      <c r="AX385" s="251">
        <f t="shared" si="172"/>
        <v>31109.322615577108</v>
      </c>
      <c r="AY385" s="251">
        <f t="shared" si="172"/>
        <v>19345.925649155113</v>
      </c>
      <c r="AZ385" s="251">
        <f t="shared" si="172"/>
        <v>1361.1246659476635</v>
      </c>
      <c r="BA385" s="251">
        <f t="shared" si="173"/>
        <v>97244.494364641389</v>
      </c>
      <c r="BB385" s="251">
        <f t="shared" si="173"/>
        <v>1940.8917461422807</v>
      </c>
      <c r="BC385" s="251">
        <f t="shared" si="174"/>
        <v>151001.75904146352</v>
      </c>
      <c r="BD385" s="270">
        <f t="shared" si="170"/>
        <v>7.6100191206778547</v>
      </c>
      <c r="BY385" s="252">
        <f t="shared" si="177"/>
        <v>1.5678131264078239</v>
      </c>
      <c r="BZ385" s="252">
        <f t="shared" si="177"/>
        <v>0.97497449719679541</v>
      </c>
      <c r="CA385" s="252">
        <f t="shared" si="177"/>
        <v>6.8596450791303207E-2</v>
      </c>
      <c r="CB385" s="252">
        <f t="shared" si="177"/>
        <v>4.9008201374155229</v>
      </c>
      <c r="CC385" s="252">
        <f t="shared" si="176"/>
        <v>9.7814908866411518E-2</v>
      </c>
    </row>
    <row r="386" spans="1:81">
      <c r="A386" s="11">
        <v>51380</v>
      </c>
      <c r="B386" s="268">
        <v>70</v>
      </c>
      <c r="C386" s="268">
        <v>13</v>
      </c>
      <c r="D386" s="268">
        <f t="shared" si="168"/>
        <v>20</v>
      </c>
      <c r="E386" s="268">
        <v>3</v>
      </c>
      <c r="F386" s="269">
        <v>0.2</v>
      </c>
      <c r="G386" s="269">
        <v>1.32</v>
      </c>
      <c r="H386" s="269"/>
      <c r="I386" s="269">
        <v>5</v>
      </c>
      <c r="J386" s="269"/>
      <c r="K386" s="269"/>
      <c r="L386" s="269"/>
      <c r="M386" s="269">
        <f t="shared" si="167"/>
        <v>1.5</v>
      </c>
      <c r="N386" s="269">
        <v>45</v>
      </c>
      <c r="O386" s="269">
        <f t="shared" si="175"/>
        <v>17.699535849485258</v>
      </c>
      <c r="Q386" s="251">
        <f t="shared" si="160"/>
        <v>176.71953584948523</v>
      </c>
      <c r="R386" s="251">
        <f>'RD Plant List'!N254</f>
        <v>664.33</v>
      </c>
      <c r="S386" s="251">
        <f>SUM(B386:O386)+'RD Plant List'!N254</f>
        <v>841.04953584948521</v>
      </c>
      <c r="T386" s="237">
        <f t="shared" si="171"/>
        <v>0.7898821314121609</v>
      </c>
      <c r="U386" s="251">
        <f t="shared" si="164"/>
        <v>569.07703706840846</v>
      </c>
      <c r="V386" s="271">
        <f t="shared" si="154"/>
        <v>0.67662725298768944</v>
      </c>
      <c r="W386" s="251">
        <f t="shared" si="161"/>
        <v>47.423086422367369</v>
      </c>
      <c r="X386" s="242">
        <f t="shared" si="162"/>
        <v>7.6100191206778565</v>
      </c>
      <c r="Y386" s="273">
        <f t="shared" si="163"/>
        <v>7.6100191206778565</v>
      </c>
      <c r="AB386" s="251">
        <f>SUM('BD Feedstock'!C384,'BD Feedstock'!E384,'BD Feedstock'!G384,'BD Feedstock'!K384,'BD Feedstock'!T384)</f>
        <v>21.812796010427753</v>
      </c>
      <c r="AC386" s="251">
        <f>SUM('BD Feedstock'!D384,'BD Feedstock'!F384,'BD Feedstock'!H384,'BD Feedstock'!I384,'BD Feedstock'!L384,'BD Feedstock'!M384,'BD Feedstock'!N384,'BD Feedstock'!O384,'BD Feedstock'!U384)</f>
        <v>12.773566250859661</v>
      </c>
      <c r="AD386" s="251">
        <f>'BD Feedstock'!J384</f>
        <v>0.90199999999999991</v>
      </c>
      <c r="AE386" s="251">
        <f>SUM('BD Feedstock'!B384,'BD Feedstock'!P384,'BD Feedstock'!Q384,'BD Feedstock'!R384)</f>
        <v>70.93020833333334</v>
      </c>
      <c r="AF386" s="251">
        <f>'BD Feedstock'!S384</f>
        <v>1.40625</v>
      </c>
      <c r="AG386" s="251">
        <f t="shared" si="155"/>
        <v>107.82482059462075</v>
      </c>
      <c r="AK386" s="237">
        <f t="shared" si="166"/>
        <v>0.20229846792359021</v>
      </c>
      <c r="AL386" s="237">
        <f t="shared" si="166"/>
        <v>0.11846591703484753</v>
      </c>
      <c r="AM386" s="237">
        <f t="shared" si="165"/>
        <v>8.3654208282077092E-3</v>
      </c>
      <c r="AN386" s="237">
        <f t="shared" si="165"/>
        <v>0.65782820636449979</v>
      </c>
      <c r="AO386" s="237">
        <f t="shared" si="165"/>
        <v>1.304198784885487E-2</v>
      </c>
      <c r="AP386" s="237">
        <f t="shared" si="156"/>
        <v>1</v>
      </c>
      <c r="AQ386" s="237"/>
      <c r="AR386" s="237">
        <f t="shared" si="157"/>
        <v>0.61464645366918802</v>
      </c>
      <c r="AS386" s="237">
        <f t="shared" si="158"/>
        <v>0.35993676340465403</v>
      </c>
      <c r="AT386" s="237">
        <f t="shared" si="159"/>
        <v>2.5416782926158003E-2</v>
      </c>
      <c r="AU386" s="237">
        <f t="shared" si="169"/>
        <v>0.98055959563958928</v>
      </c>
      <c r="AV386" s="237">
        <f t="shared" si="169"/>
        <v>1.9440404360410696E-2</v>
      </c>
      <c r="AX386" s="251">
        <f t="shared" si="172"/>
        <v>33724.845977115452</v>
      </c>
      <c r="AY386" s="251">
        <f t="shared" si="172"/>
        <v>20972.438740141297</v>
      </c>
      <c r="AZ386" s="251">
        <f t="shared" si="172"/>
        <v>1475.5615312482789</v>
      </c>
      <c r="BA386" s="251">
        <f t="shared" si="173"/>
        <v>105420.34730540414</v>
      </c>
      <c r="BB386" s="251">
        <f t="shared" si="173"/>
        <v>2104.0726603326198</v>
      </c>
      <c r="BC386" s="251">
        <f t="shared" si="174"/>
        <v>163697.2662142418</v>
      </c>
      <c r="BD386" s="270">
        <f t="shared" si="170"/>
        <v>7.6100191206778565</v>
      </c>
      <c r="BY386" s="252">
        <f t="shared" si="177"/>
        <v>1.5678131264078241</v>
      </c>
      <c r="BZ386" s="252">
        <f t="shared" si="177"/>
        <v>0.97497449719679496</v>
      </c>
      <c r="CA386" s="252">
        <f t="shared" si="177"/>
        <v>6.8596450791303207E-2</v>
      </c>
      <c r="CB386" s="252">
        <f t="shared" si="177"/>
        <v>4.9008201374155229</v>
      </c>
      <c r="CC386" s="252">
        <f t="shared" si="176"/>
        <v>9.7814908866411476E-2</v>
      </c>
    </row>
    <row r="387" spans="1:81">
      <c r="A387" s="11">
        <v>51410</v>
      </c>
      <c r="B387" s="268">
        <v>70</v>
      </c>
      <c r="C387" s="268">
        <v>13</v>
      </c>
      <c r="D387" s="268">
        <f t="shared" si="168"/>
        <v>20</v>
      </c>
      <c r="E387" s="268">
        <v>3</v>
      </c>
      <c r="F387" s="269">
        <v>0.2</v>
      </c>
      <c r="G387" s="269">
        <v>1.32</v>
      </c>
      <c r="H387" s="269"/>
      <c r="I387" s="269">
        <v>5</v>
      </c>
      <c r="J387" s="269"/>
      <c r="K387" s="269"/>
      <c r="L387" s="269"/>
      <c r="M387" s="269">
        <f t="shared" si="167"/>
        <v>1.5</v>
      </c>
      <c r="N387" s="269">
        <v>45</v>
      </c>
      <c r="O387" s="269">
        <f t="shared" si="175"/>
        <v>17.699535849485258</v>
      </c>
      <c r="Q387" s="251">
        <f t="shared" si="160"/>
        <v>176.71953584948523</v>
      </c>
      <c r="R387" s="251">
        <f>'RD Plant List'!N255</f>
        <v>664.33</v>
      </c>
      <c r="S387" s="251">
        <f>SUM(B387:O387)+'RD Plant List'!N255</f>
        <v>841.04953584948521</v>
      </c>
      <c r="T387" s="237">
        <f t="shared" si="171"/>
        <v>0.7898821314121609</v>
      </c>
      <c r="U387" s="251">
        <f t="shared" si="164"/>
        <v>595.82994652921855</v>
      </c>
      <c r="V387" s="271">
        <f t="shared" si="154"/>
        <v>0.70843621110546418</v>
      </c>
      <c r="W387" s="251">
        <f t="shared" si="161"/>
        <v>49.652495544101548</v>
      </c>
      <c r="X387" s="242">
        <f t="shared" si="162"/>
        <v>7.6100191206778565</v>
      </c>
      <c r="Y387" s="273">
        <f t="shared" si="163"/>
        <v>7.6100191206778565</v>
      </c>
      <c r="AB387" s="251">
        <f>SUM('BD Feedstock'!C385,'BD Feedstock'!E385,'BD Feedstock'!G385,'BD Feedstock'!K385,'BD Feedstock'!T385)</f>
        <v>21.812796010427753</v>
      </c>
      <c r="AC387" s="251">
        <f>SUM('BD Feedstock'!D385,'BD Feedstock'!F385,'BD Feedstock'!H385,'BD Feedstock'!I385,'BD Feedstock'!L385,'BD Feedstock'!M385,'BD Feedstock'!N385,'BD Feedstock'!O385,'BD Feedstock'!U385)</f>
        <v>12.773566250859661</v>
      </c>
      <c r="AD387" s="251">
        <f>'BD Feedstock'!J385</f>
        <v>0.90199999999999991</v>
      </c>
      <c r="AE387" s="251">
        <f>SUM('BD Feedstock'!B385,'BD Feedstock'!P385,'BD Feedstock'!Q385,'BD Feedstock'!R385)</f>
        <v>70.93020833333334</v>
      </c>
      <c r="AF387" s="251">
        <f>'BD Feedstock'!S385</f>
        <v>1.40625</v>
      </c>
      <c r="AG387" s="251">
        <f t="shared" si="155"/>
        <v>107.82482059462075</v>
      </c>
      <c r="AK387" s="237">
        <f t="shared" si="166"/>
        <v>0.20229846792359021</v>
      </c>
      <c r="AL387" s="237">
        <f t="shared" si="166"/>
        <v>0.11846591703484753</v>
      </c>
      <c r="AM387" s="237">
        <f t="shared" si="165"/>
        <v>8.3654208282077092E-3</v>
      </c>
      <c r="AN387" s="237">
        <f t="shared" si="165"/>
        <v>0.65782820636449979</v>
      </c>
      <c r="AO387" s="237">
        <f t="shared" si="165"/>
        <v>1.304198784885487E-2</v>
      </c>
      <c r="AP387" s="237">
        <f t="shared" si="156"/>
        <v>1</v>
      </c>
      <c r="AQ387" s="237"/>
      <c r="AR387" s="237">
        <f t="shared" si="157"/>
        <v>0.61464645366918802</v>
      </c>
      <c r="AS387" s="237">
        <f t="shared" si="158"/>
        <v>0.35993676340465403</v>
      </c>
      <c r="AT387" s="237">
        <f t="shared" si="159"/>
        <v>2.5416782926158003E-2</v>
      </c>
      <c r="AU387" s="237">
        <f t="shared" si="169"/>
        <v>0.98055959563958928</v>
      </c>
      <c r="AV387" s="237">
        <f t="shared" si="169"/>
        <v>1.9440404360410696E-2</v>
      </c>
      <c r="AX387" s="251">
        <f t="shared" si="172"/>
        <v>35310.286422320205</v>
      </c>
      <c r="AY387" s="251">
        <f t="shared" si="172"/>
        <v>21958.37512175626</v>
      </c>
      <c r="AZ387" s="251">
        <f t="shared" si="172"/>
        <v>1544.9292292539783</v>
      </c>
      <c r="BA387" s="251">
        <f t="shared" si="173"/>
        <v>110376.26860090638</v>
      </c>
      <c r="BB387" s="251">
        <f t="shared" si="173"/>
        <v>2202.9873269141817</v>
      </c>
      <c r="BC387" s="251">
        <f t="shared" si="174"/>
        <v>171392.84670115099</v>
      </c>
      <c r="BD387" s="270">
        <f t="shared" si="170"/>
        <v>7.6100191206778574</v>
      </c>
      <c r="BY387" s="252">
        <f t="shared" si="177"/>
        <v>1.5678131264078243</v>
      </c>
      <c r="BZ387" s="252">
        <f t="shared" si="177"/>
        <v>0.97497449719679519</v>
      </c>
      <c r="CA387" s="252">
        <f t="shared" si="177"/>
        <v>6.8596450791303207E-2</v>
      </c>
      <c r="CB387" s="252">
        <f t="shared" si="177"/>
        <v>4.9008201374155229</v>
      </c>
      <c r="CC387" s="252">
        <f t="shared" si="176"/>
        <v>9.7814908866411518E-2</v>
      </c>
    </row>
    <row r="388" spans="1:81">
      <c r="A388" s="11">
        <v>51441</v>
      </c>
      <c r="B388" s="268">
        <v>70</v>
      </c>
      <c r="C388" s="268">
        <v>13</v>
      </c>
      <c r="D388" s="268">
        <f t="shared" si="168"/>
        <v>20</v>
      </c>
      <c r="E388" s="268">
        <v>3</v>
      </c>
      <c r="F388" s="269">
        <v>0.2</v>
      </c>
      <c r="G388" s="269">
        <v>1.32</v>
      </c>
      <c r="H388" s="269"/>
      <c r="I388" s="269">
        <v>5</v>
      </c>
      <c r="J388" s="269"/>
      <c r="K388" s="269"/>
      <c r="L388" s="269"/>
      <c r="M388" s="269">
        <f t="shared" si="167"/>
        <v>1.5</v>
      </c>
      <c r="N388" s="269">
        <v>45</v>
      </c>
      <c r="O388" s="269">
        <f t="shared" si="175"/>
        <v>17.699535849485258</v>
      </c>
      <c r="Q388" s="251">
        <f t="shared" si="160"/>
        <v>176.71953584948523</v>
      </c>
      <c r="R388" s="251">
        <f>'RD Plant List'!N256</f>
        <v>664.33</v>
      </c>
      <c r="S388" s="251">
        <f>SUM(B388:O388)+'RD Plant List'!N256</f>
        <v>841.04953584948521</v>
      </c>
      <c r="T388" s="237">
        <f t="shared" si="171"/>
        <v>0.7898821314121609</v>
      </c>
      <c r="U388" s="251">
        <f t="shared" si="164"/>
        <v>641.00286759933761</v>
      </c>
      <c r="V388" s="271">
        <f t="shared" si="154"/>
        <v>0.76214639004812657</v>
      </c>
      <c r="W388" s="251">
        <f t="shared" si="161"/>
        <v>53.416905633278134</v>
      </c>
      <c r="X388" s="242">
        <f t="shared" si="162"/>
        <v>7.6100191206778582</v>
      </c>
      <c r="Y388" s="273">
        <f t="shared" si="163"/>
        <v>7.6100191206778582</v>
      </c>
      <c r="AB388" s="251">
        <f>SUM('BD Feedstock'!C386,'BD Feedstock'!E386,'BD Feedstock'!G386,'BD Feedstock'!K386,'BD Feedstock'!T386)</f>
        <v>21.812796010427753</v>
      </c>
      <c r="AC388" s="251">
        <f>SUM('BD Feedstock'!D386,'BD Feedstock'!F386,'BD Feedstock'!H386,'BD Feedstock'!I386,'BD Feedstock'!L386,'BD Feedstock'!M386,'BD Feedstock'!N386,'BD Feedstock'!O386,'BD Feedstock'!U386)</f>
        <v>12.773566250859661</v>
      </c>
      <c r="AD388" s="251">
        <f>'BD Feedstock'!J386</f>
        <v>0.90199999999999991</v>
      </c>
      <c r="AE388" s="251">
        <f>SUM('BD Feedstock'!B386,'BD Feedstock'!P386,'BD Feedstock'!Q386,'BD Feedstock'!R386)</f>
        <v>70.93020833333334</v>
      </c>
      <c r="AF388" s="251">
        <f>'BD Feedstock'!S386</f>
        <v>1.40625</v>
      </c>
      <c r="AG388" s="251">
        <f t="shared" si="155"/>
        <v>107.82482059462075</v>
      </c>
      <c r="AK388" s="237">
        <f t="shared" si="166"/>
        <v>0.20229846792359021</v>
      </c>
      <c r="AL388" s="237">
        <f t="shared" si="166"/>
        <v>0.11846591703484753</v>
      </c>
      <c r="AM388" s="237">
        <f t="shared" si="165"/>
        <v>8.3654208282077092E-3</v>
      </c>
      <c r="AN388" s="237">
        <f t="shared" si="165"/>
        <v>0.65782820636449979</v>
      </c>
      <c r="AO388" s="237">
        <f t="shared" si="165"/>
        <v>1.304198784885487E-2</v>
      </c>
      <c r="AP388" s="237">
        <f t="shared" si="156"/>
        <v>1</v>
      </c>
      <c r="AQ388" s="237"/>
      <c r="AR388" s="237">
        <f t="shared" si="157"/>
        <v>0.61464645366918802</v>
      </c>
      <c r="AS388" s="237">
        <f t="shared" si="158"/>
        <v>0.35993676340465403</v>
      </c>
      <c r="AT388" s="237">
        <f t="shared" si="159"/>
        <v>2.5416782926158003E-2</v>
      </c>
      <c r="AU388" s="237">
        <f t="shared" si="169"/>
        <v>0.98055959563958928</v>
      </c>
      <c r="AV388" s="237">
        <f t="shared" si="169"/>
        <v>1.9440404360410696E-2</v>
      </c>
      <c r="AX388" s="251">
        <f t="shared" si="172"/>
        <v>37987.340153523604</v>
      </c>
      <c r="AY388" s="251">
        <f t="shared" si="172"/>
        <v>23623.152046751784</v>
      </c>
      <c r="AZ388" s="251">
        <f t="shared" si="172"/>
        <v>1662.0582297994172</v>
      </c>
      <c r="BA388" s="251">
        <f t="shared" si="173"/>
        <v>118744.45905284179</v>
      </c>
      <c r="BB388" s="251">
        <f t="shared" si="173"/>
        <v>2370.0070835022079</v>
      </c>
      <c r="BC388" s="251">
        <f t="shared" si="174"/>
        <v>184387.01656641881</v>
      </c>
      <c r="BD388" s="270">
        <f t="shared" si="170"/>
        <v>7.6100191206778582</v>
      </c>
      <c r="BY388" s="252">
        <f t="shared" si="177"/>
        <v>1.5678131264078243</v>
      </c>
      <c r="BZ388" s="252">
        <f t="shared" si="177"/>
        <v>0.97497449719679519</v>
      </c>
      <c r="CA388" s="252">
        <f t="shared" si="177"/>
        <v>6.8596450791303207E-2</v>
      </c>
      <c r="CB388" s="252">
        <f t="shared" si="177"/>
        <v>4.9008201374155229</v>
      </c>
      <c r="CC388" s="252">
        <f t="shared" si="176"/>
        <v>9.7814908866411518E-2</v>
      </c>
    </row>
    <row r="389" spans="1:81">
      <c r="A389" s="11">
        <v>51471</v>
      </c>
      <c r="B389" s="268">
        <v>70</v>
      </c>
      <c r="C389" s="268">
        <v>13</v>
      </c>
      <c r="D389" s="268">
        <f t="shared" si="168"/>
        <v>20</v>
      </c>
      <c r="E389" s="268">
        <v>3</v>
      </c>
      <c r="F389" s="269">
        <v>0.2</v>
      </c>
      <c r="G389" s="269">
        <v>1.32</v>
      </c>
      <c r="H389" s="269"/>
      <c r="I389" s="269">
        <v>5</v>
      </c>
      <c r="J389" s="269"/>
      <c r="K389" s="269"/>
      <c r="L389" s="269"/>
      <c r="M389" s="269">
        <f t="shared" si="167"/>
        <v>1.5</v>
      </c>
      <c r="N389" s="269">
        <v>45</v>
      </c>
      <c r="O389" s="269">
        <f t="shared" si="175"/>
        <v>17.699535849485258</v>
      </c>
      <c r="Q389" s="251">
        <f t="shared" si="160"/>
        <v>176.71953584948523</v>
      </c>
      <c r="R389" s="251">
        <f>'RD Plant List'!N257</f>
        <v>664.33</v>
      </c>
      <c r="S389" s="251">
        <f>SUM(B389:O389)+'RD Plant List'!N257</f>
        <v>841.04953584948521</v>
      </c>
      <c r="T389" s="237">
        <f t="shared" si="171"/>
        <v>0.7898821314121609</v>
      </c>
      <c r="U389" s="251">
        <f t="shared" si="164"/>
        <v>582.91738635033357</v>
      </c>
      <c r="V389" s="271">
        <f t="shared" si="154"/>
        <v>0.69308329831199489</v>
      </c>
      <c r="W389" s="251">
        <f t="shared" si="161"/>
        <v>48.576448862527798</v>
      </c>
      <c r="X389" s="242">
        <f t="shared" si="162"/>
        <v>7.6100191206778591</v>
      </c>
      <c r="Y389" s="273">
        <f t="shared" si="163"/>
        <v>7.6100191206778591</v>
      </c>
      <c r="AB389" s="251">
        <f>SUM('BD Feedstock'!C387,'BD Feedstock'!E387,'BD Feedstock'!G387,'BD Feedstock'!K387,'BD Feedstock'!T387)</f>
        <v>21.812796010427753</v>
      </c>
      <c r="AC389" s="251">
        <f>SUM('BD Feedstock'!D387,'BD Feedstock'!F387,'BD Feedstock'!H387,'BD Feedstock'!I387,'BD Feedstock'!L387,'BD Feedstock'!M387,'BD Feedstock'!N387,'BD Feedstock'!O387,'BD Feedstock'!U387)</f>
        <v>12.773566250859661</v>
      </c>
      <c r="AD389" s="251">
        <f>'BD Feedstock'!J387</f>
        <v>0.90199999999999991</v>
      </c>
      <c r="AE389" s="251">
        <f>SUM('BD Feedstock'!B387,'BD Feedstock'!P387,'BD Feedstock'!Q387,'BD Feedstock'!R387)</f>
        <v>70.93020833333334</v>
      </c>
      <c r="AF389" s="251">
        <f>'BD Feedstock'!S387</f>
        <v>1.40625</v>
      </c>
      <c r="AG389" s="251">
        <f t="shared" si="155"/>
        <v>107.82482059462075</v>
      </c>
      <c r="AK389" s="237">
        <f t="shared" si="166"/>
        <v>0.20229846792359021</v>
      </c>
      <c r="AL389" s="237">
        <f t="shared" si="166"/>
        <v>0.11846591703484753</v>
      </c>
      <c r="AM389" s="237">
        <f t="shared" si="165"/>
        <v>8.3654208282077092E-3</v>
      </c>
      <c r="AN389" s="237">
        <f t="shared" si="165"/>
        <v>0.65782820636449979</v>
      </c>
      <c r="AO389" s="237">
        <f t="shared" si="165"/>
        <v>1.304198784885487E-2</v>
      </c>
      <c r="AP389" s="237">
        <f t="shared" si="156"/>
        <v>1</v>
      </c>
      <c r="AQ389" s="237"/>
      <c r="AR389" s="237">
        <f t="shared" si="157"/>
        <v>0.61464645366918802</v>
      </c>
      <c r="AS389" s="237">
        <f t="shared" si="158"/>
        <v>0.35993676340465403</v>
      </c>
      <c r="AT389" s="237">
        <f t="shared" si="159"/>
        <v>2.5416782926158003E-2</v>
      </c>
      <c r="AU389" s="237">
        <f t="shared" si="169"/>
        <v>0.98055959563958928</v>
      </c>
      <c r="AV389" s="237">
        <f t="shared" si="169"/>
        <v>1.9440404360410696E-2</v>
      </c>
      <c r="AX389" s="251">
        <f t="shared" si="172"/>
        <v>34545.057683788647</v>
      </c>
      <c r="AY389" s="251">
        <f t="shared" si="172"/>
        <v>21482.503034692061</v>
      </c>
      <c r="AZ389" s="251">
        <f t="shared" si="172"/>
        <v>1511.4482138047454</v>
      </c>
      <c r="BA389" s="251">
        <f t="shared" si="173"/>
        <v>107984.24346196839</v>
      </c>
      <c r="BB389" s="251">
        <f t="shared" si="173"/>
        <v>2155.2451706197508</v>
      </c>
      <c r="BC389" s="251">
        <f t="shared" si="174"/>
        <v>167678.4975648736</v>
      </c>
      <c r="BD389" s="270">
        <f t="shared" si="170"/>
        <v>7.6100191206778582</v>
      </c>
      <c r="BY389" s="252">
        <f t="shared" si="177"/>
        <v>1.5678131264078239</v>
      </c>
      <c r="BZ389" s="252">
        <f t="shared" si="177"/>
        <v>0.97497449719679541</v>
      </c>
      <c r="CA389" s="252">
        <f t="shared" si="177"/>
        <v>6.8596450791303221E-2</v>
      </c>
      <c r="CB389" s="252">
        <f t="shared" si="177"/>
        <v>4.9008201374155247</v>
      </c>
      <c r="CC389" s="252">
        <f t="shared" si="176"/>
        <v>9.7814908866411518E-2</v>
      </c>
    </row>
    <row r="390" spans="1:81">
      <c r="A390" s="11">
        <v>51502</v>
      </c>
      <c r="B390" s="268">
        <v>70</v>
      </c>
      <c r="C390" s="268">
        <v>13</v>
      </c>
      <c r="D390" s="268">
        <f t="shared" si="168"/>
        <v>20</v>
      </c>
      <c r="E390" s="268">
        <v>3</v>
      </c>
      <c r="F390" s="269">
        <v>0.2</v>
      </c>
      <c r="G390" s="269">
        <v>1.32</v>
      </c>
      <c r="H390" s="269"/>
      <c r="I390" s="269">
        <v>5</v>
      </c>
      <c r="J390" s="269"/>
      <c r="K390" s="269"/>
      <c r="L390" s="269"/>
      <c r="M390" s="269">
        <f t="shared" si="167"/>
        <v>1.5</v>
      </c>
      <c r="N390" s="269">
        <v>45</v>
      </c>
      <c r="O390" s="269">
        <f t="shared" si="175"/>
        <v>17.699535849485258</v>
      </c>
      <c r="Q390" s="251">
        <f t="shared" si="160"/>
        <v>176.71953584948523</v>
      </c>
      <c r="R390" s="251">
        <f>'RD Plant List'!N258</f>
        <v>664.33</v>
      </c>
      <c r="S390" s="251">
        <f>SUM(B390:O390)+'RD Plant List'!N258</f>
        <v>841.04953584948521</v>
      </c>
      <c r="T390" s="237">
        <f t="shared" si="171"/>
        <v>0.7898821314121609</v>
      </c>
      <c r="U390" s="251">
        <f t="shared" si="164"/>
        <v>477.85244990523796</v>
      </c>
      <c r="V390" s="271">
        <f t="shared" si="154"/>
        <v>0.56816207552221365</v>
      </c>
      <c r="W390" s="251">
        <f t="shared" si="161"/>
        <v>39.821037492103166</v>
      </c>
      <c r="X390" s="242">
        <f t="shared" si="162"/>
        <v>7.6100191206778565</v>
      </c>
      <c r="Y390" s="273">
        <f t="shared" si="163"/>
        <v>7.6100191206778565</v>
      </c>
      <c r="AB390" s="251">
        <f>SUM('BD Feedstock'!C388,'BD Feedstock'!E388,'BD Feedstock'!G388,'BD Feedstock'!K388,'BD Feedstock'!T388)</f>
        <v>21.812796010427753</v>
      </c>
      <c r="AC390" s="251">
        <f>SUM('BD Feedstock'!D388,'BD Feedstock'!F388,'BD Feedstock'!H388,'BD Feedstock'!I388,'BD Feedstock'!L388,'BD Feedstock'!M388,'BD Feedstock'!N388,'BD Feedstock'!O388,'BD Feedstock'!U388)</f>
        <v>12.773566250859661</v>
      </c>
      <c r="AD390" s="251">
        <f>'BD Feedstock'!J388</f>
        <v>0.90199999999999991</v>
      </c>
      <c r="AE390" s="251">
        <f>SUM('BD Feedstock'!B388,'BD Feedstock'!P388,'BD Feedstock'!Q388,'BD Feedstock'!R388)</f>
        <v>70.93020833333334</v>
      </c>
      <c r="AF390" s="251">
        <f>'BD Feedstock'!S388</f>
        <v>1.40625</v>
      </c>
      <c r="AG390" s="251">
        <f t="shared" si="155"/>
        <v>107.82482059462075</v>
      </c>
      <c r="AK390" s="237">
        <f t="shared" si="166"/>
        <v>0.20229846792359021</v>
      </c>
      <c r="AL390" s="237">
        <f t="shared" si="166"/>
        <v>0.11846591703484753</v>
      </c>
      <c r="AM390" s="237">
        <f t="shared" si="165"/>
        <v>8.3654208282077092E-3</v>
      </c>
      <c r="AN390" s="237">
        <f t="shared" si="165"/>
        <v>0.65782820636449979</v>
      </c>
      <c r="AO390" s="237">
        <f t="shared" si="165"/>
        <v>1.304198784885487E-2</v>
      </c>
      <c r="AP390" s="237">
        <f t="shared" si="156"/>
        <v>1</v>
      </c>
      <c r="AQ390" s="237"/>
      <c r="AR390" s="237">
        <f t="shared" si="157"/>
        <v>0.61464645366918802</v>
      </c>
      <c r="AS390" s="237">
        <f t="shared" si="158"/>
        <v>0.35993676340465403</v>
      </c>
      <c r="AT390" s="237">
        <f t="shared" si="159"/>
        <v>2.5416782926158003E-2</v>
      </c>
      <c r="AU390" s="237">
        <f t="shared" si="169"/>
        <v>0.98055959563958928</v>
      </c>
      <c r="AV390" s="237">
        <f t="shared" si="169"/>
        <v>1.9440404360410696E-2</v>
      </c>
      <c r="AX390" s="251">
        <f t="shared" si="172"/>
        <v>28318.662014303336</v>
      </c>
      <c r="AY390" s="251">
        <f t="shared" si="172"/>
        <v>17610.500125063623</v>
      </c>
      <c r="AZ390" s="251">
        <f t="shared" si="172"/>
        <v>1239.0250295904218</v>
      </c>
      <c r="BA390" s="251">
        <f t="shared" si="173"/>
        <v>88521.180698585857</v>
      </c>
      <c r="BB390" s="251">
        <f t="shared" si="173"/>
        <v>1766.7841259209185</v>
      </c>
      <c r="BC390" s="251">
        <f t="shared" si="174"/>
        <v>137456.15199346415</v>
      </c>
      <c r="BD390" s="270">
        <f t="shared" si="170"/>
        <v>7.6100191206778565</v>
      </c>
      <c r="BY390" s="252">
        <f t="shared" si="177"/>
        <v>1.5678131264078241</v>
      </c>
      <c r="BZ390" s="252">
        <f t="shared" si="177"/>
        <v>0.97497449719679508</v>
      </c>
      <c r="CA390" s="252">
        <f t="shared" si="177"/>
        <v>6.8596450791303207E-2</v>
      </c>
      <c r="CB390" s="252">
        <f t="shared" si="177"/>
        <v>4.9008201374155229</v>
      </c>
      <c r="CC390" s="252">
        <f t="shared" si="176"/>
        <v>9.7814908866411504E-2</v>
      </c>
    </row>
    <row r="391" spans="1:81">
      <c r="A391" s="11">
        <v>51533</v>
      </c>
      <c r="B391" s="268">
        <v>70</v>
      </c>
      <c r="C391" s="268">
        <v>13</v>
      </c>
      <c r="D391" s="268">
        <f t="shared" si="168"/>
        <v>20</v>
      </c>
      <c r="E391" s="268">
        <v>3</v>
      </c>
      <c r="F391" s="269">
        <v>0.2</v>
      </c>
      <c r="G391" s="269">
        <v>1.32</v>
      </c>
      <c r="H391" s="269"/>
      <c r="I391" s="269">
        <v>5</v>
      </c>
      <c r="J391" s="269"/>
      <c r="K391" s="269"/>
      <c r="L391" s="269"/>
      <c r="M391" s="269">
        <f t="shared" si="167"/>
        <v>1.5</v>
      </c>
      <c r="N391" s="269">
        <v>45</v>
      </c>
      <c r="O391" s="269">
        <f t="shared" si="175"/>
        <v>17.699535849485258</v>
      </c>
      <c r="Q391" s="251">
        <f t="shared" si="160"/>
        <v>176.71953584948523</v>
      </c>
      <c r="R391" s="251">
        <f>'RD Plant List'!N259</f>
        <v>664.33</v>
      </c>
      <c r="S391" s="251">
        <f>SUM(B391:O391)+'RD Plant List'!N259</f>
        <v>841.04953584948521</v>
      </c>
      <c r="T391" s="237">
        <f t="shared" si="171"/>
        <v>0.7898821314121609</v>
      </c>
      <c r="U391" s="251">
        <f t="shared" si="164"/>
        <v>441.83572357461628</v>
      </c>
      <c r="V391" s="271">
        <f t="shared" ref="V391:V454" si="178">AVERAGE(V367,V355,V379,V343,V331)</f>
        <v>0.52533852614085208</v>
      </c>
      <c r="W391" s="251">
        <f t="shared" si="161"/>
        <v>36.819643631218021</v>
      </c>
      <c r="X391" s="242">
        <f t="shared" si="162"/>
        <v>7.6100191206778556</v>
      </c>
      <c r="Y391" s="273">
        <f t="shared" si="163"/>
        <v>7.6100191206778556</v>
      </c>
      <c r="AB391" s="251">
        <f>SUM('BD Feedstock'!C389,'BD Feedstock'!E389,'BD Feedstock'!G389,'BD Feedstock'!K389,'BD Feedstock'!T389)</f>
        <v>21.812796010427753</v>
      </c>
      <c r="AC391" s="251">
        <f>SUM('BD Feedstock'!D389,'BD Feedstock'!F389,'BD Feedstock'!H389,'BD Feedstock'!I389,'BD Feedstock'!L389,'BD Feedstock'!M389,'BD Feedstock'!N389,'BD Feedstock'!O389,'BD Feedstock'!U389)</f>
        <v>12.773566250859661</v>
      </c>
      <c r="AD391" s="251">
        <f>'BD Feedstock'!J389</f>
        <v>0.90199999999999991</v>
      </c>
      <c r="AE391" s="251">
        <f>SUM('BD Feedstock'!B389,'BD Feedstock'!P389,'BD Feedstock'!Q389,'BD Feedstock'!R389)</f>
        <v>70.93020833333334</v>
      </c>
      <c r="AF391" s="251">
        <f>'BD Feedstock'!S389</f>
        <v>1.40625</v>
      </c>
      <c r="AG391" s="251">
        <f t="shared" ref="AG391:AG454" si="179">SUM(AB391:AF391)</f>
        <v>107.82482059462075</v>
      </c>
      <c r="AK391" s="237">
        <f t="shared" si="166"/>
        <v>0.20229846792359021</v>
      </c>
      <c r="AL391" s="237">
        <f t="shared" si="166"/>
        <v>0.11846591703484753</v>
      </c>
      <c r="AM391" s="237">
        <f t="shared" si="165"/>
        <v>8.3654208282077092E-3</v>
      </c>
      <c r="AN391" s="237">
        <f t="shared" si="165"/>
        <v>0.65782820636449979</v>
      </c>
      <c r="AO391" s="237">
        <f t="shared" si="165"/>
        <v>1.304198784885487E-2</v>
      </c>
      <c r="AP391" s="237">
        <f t="shared" ref="AP391:AP454" si="180">SUM(AK391:AO391)</f>
        <v>1</v>
      </c>
      <c r="AQ391" s="237"/>
      <c r="AR391" s="237">
        <f t="shared" ref="AR391:AR454" si="181">AB391/SUM($AB391:$AD391)</f>
        <v>0.61464645366918802</v>
      </c>
      <c r="AS391" s="237">
        <f t="shared" ref="AS391:AS454" si="182">AC391/SUM($AB391:$AD391)</f>
        <v>0.35993676340465403</v>
      </c>
      <c r="AT391" s="237">
        <f t="shared" ref="AT391:AT454" si="183">AD391/SUM($AB391:$AD391)</f>
        <v>2.5416782926158003E-2</v>
      </c>
      <c r="AU391" s="237">
        <f t="shared" si="169"/>
        <v>0.98055959563958928</v>
      </c>
      <c r="AV391" s="237">
        <f t="shared" si="169"/>
        <v>1.9440404360410696E-2</v>
      </c>
      <c r="AX391" s="251">
        <f t="shared" si="172"/>
        <v>26184.225955597769</v>
      </c>
      <c r="AY391" s="251">
        <f t="shared" si="172"/>
        <v>16283.160349625459</v>
      </c>
      <c r="AZ391" s="251">
        <f t="shared" si="172"/>
        <v>1145.637153444975</v>
      </c>
      <c r="BA391" s="251">
        <f t="shared" si="173"/>
        <v>81849.156436040517</v>
      </c>
      <c r="BB391" s="251">
        <f t="shared" si="173"/>
        <v>1633.6179564031113</v>
      </c>
      <c r="BC391" s="251">
        <f t="shared" si="174"/>
        <v>127095.79785111181</v>
      </c>
      <c r="BD391" s="270">
        <f t="shared" si="170"/>
        <v>7.6100191206778565</v>
      </c>
      <c r="BY391" s="252">
        <f t="shared" si="177"/>
        <v>1.5678131264078241</v>
      </c>
      <c r="BZ391" s="252">
        <f t="shared" si="177"/>
        <v>0.97497449719679519</v>
      </c>
      <c r="CA391" s="252">
        <f t="shared" si="177"/>
        <v>6.8596450791303193E-2</v>
      </c>
      <c r="CB391" s="252">
        <f t="shared" si="177"/>
        <v>4.9008201374155229</v>
      </c>
      <c r="CC391" s="252">
        <f t="shared" si="176"/>
        <v>9.7814908866411504E-2</v>
      </c>
    </row>
    <row r="392" spans="1:81">
      <c r="A392" s="11">
        <v>51561</v>
      </c>
      <c r="B392" s="268">
        <v>70</v>
      </c>
      <c r="C392" s="268">
        <v>13</v>
      </c>
      <c r="D392" s="268">
        <f t="shared" si="168"/>
        <v>20</v>
      </c>
      <c r="E392" s="268">
        <v>3</v>
      </c>
      <c r="F392" s="269">
        <v>0.2</v>
      </c>
      <c r="G392" s="269">
        <v>1.32</v>
      </c>
      <c r="H392" s="269"/>
      <c r="I392" s="269">
        <v>5</v>
      </c>
      <c r="J392" s="269"/>
      <c r="K392" s="269"/>
      <c r="L392" s="269"/>
      <c r="M392" s="269">
        <f t="shared" si="167"/>
        <v>1.5</v>
      </c>
      <c r="N392" s="269">
        <v>45</v>
      </c>
      <c r="O392" s="269">
        <f t="shared" si="175"/>
        <v>17.699535849485258</v>
      </c>
      <c r="Q392" s="251">
        <f t="shared" ref="Q392:Q413" si="184">SUM(B392:O392)</f>
        <v>176.71953584948523</v>
      </c>
      <c r="R392" s="251">
        <f>'RD Plant List'!N260</f>
        <v>664.33</v>
      </c>
      <c r="S392" s="251">
        <f>SUM(B392:O392)+'RD Plant List'!N260</f>
        <v>841.04953584948521</v>
      </c>
      <c r="T392" s="237">
        <f t="shared" si="171"/>
        <v>0.7898821314121609</v>
      </c>
      <c r="U392" s="251">
        <f t="shared" si="164"/>
        <v>491.05501941718478</v>
      </c>
      <c r="V392" s="271">
        <f t="shared" si="178"/>
        <v>0.58385980668927484</v>
      </c>
      <c r="W392" s="251">
        <f t="shared" si="161"/>
        <v>40.921251618098729</v>
      </c>
      <c r="X392" s="242">
        <f t="shared" si="162"/>
        <v>7.6100191206778574</v>
      </c>
      <c r="Y392" s="273">
        <f t="shared" si="163"/>
        <v>7.6100191206778574</v>
      </c>
      <c r="AB392" s="251">
        <f>SUM('BD Feedstock'!C390,'BD Feedstock'!E390,'BD Feedstock'!G390,'BD Feedstock'!K390,'BD Feedstock'!T390)</f>
        <v>21.812796010427753</v>
      </c>
      <c r="AC392" s="251">
        <f>SUM('BD Feedstock'!D390,'BD Feedstock'!F390,'BD Feedstock'!H390,'BD Feedstock'!I390,'BD Feedstock'!L390,'BD Feedstock'!M390,'BD Feedstock'!N390,'BD Feedstock'!O390,'BD Feedstock'!U390)</f>
        <v>12.773566250859661</v>
      </c>
      <c r="AD392" s="251">
        <f>'BD Feedstock'!J390</f>
        <v>0.90199999999999991</v>
      </c>
      <c r="AE392" s="251">
        <f>SUM('BD Feedstock'!B390,'BD Feedstock'!P390,'BD Feedstock'!Q390,'BD Feedstock'!R390)</f>
        <v>70.93020833333334</v>
      </c>
      <c r="AF392" s="251">
        <f>'BD Feedstock'!S390</f>
        <v>1.40625</v>
      </c>
      <c r="AG392" s="251">
        <f t="shared" si="179"/>
        <v>107.82482059462075</v>
      </c>
      <c r="AK392" s="237">
        <f t="shared" si="166"/>
        <v>0.20229846792359021</v>
      </c>
      <c r="AL392" s="237">
        <f t="shared" si="166"/>
        <v>0.11846591703484753</v>
      </c>
      <c r="AM392" s="237">
        <f t="shared" si="165"/>
        <v>8.3654208282077092E-3</v>
      </c>
      <c r="AN392" s="237">
        <f t="shared" si="165"/>
        <v>0.65782820636449979</v>
      </c>
      <c r="AO392" s="237">
        <f t="shared" si="165"/>
        <v>1.304198784885487E-2</v>
      </c>
      <c r="AP392" s="237">
        <f t="shared" si="180"/>
        <v>1</v>
      </c>
      <c r="AQ392" s="237"/>
      <c r="AR392" s="237">
        <f t="shared" si="181"/>
        <v>0.61464645366918802</v>
      </c>
      <c r="AS392" s="237">
        <f t="shared" si="182"/>
        <v>0.35993676340465403</v>
      </c>
      <c r="AT392" s="237">
        <f t="shared" si="183"/>
        <v>2.5416782926158003E-2</v>
      </c>
      <c r="AU392" s="237">
        <f t="shared" si="169"/>
        <v>0.98055959563958928</v>
      </c>
      <c r="AV392" s="237">
        <f t="shared" si="169"/>
        <v>1.9440404360410696E-2</v>
      </c>
      <c r="AX392" s="251">
        <f t="shared" si="172"/>
        <v>29101.07738918173</v>
      </c>
      <c r="AY392" s="251">
        <f t="shared" si="172"/>
        <v>18097.060049758806</v>
      </c>
      <c r="AZ392" s="251">
        <f t="shared" si="172"/>
        <v>1273.2580110964359</v>
      </c>
      <c r="BA392" s="251">
        <f t="shared" si="173"/>
        <v>90966.929468283372</v>
      </c>
      <c r="BB392" s="251">
        <f t="shared" si="173"/>
        <v>1815.5985460200536</v>
      </c>
      <c r="BC392" s="251">
        <f t="shared" si="174"/>
        <v>141253.92346434039</v>
      </c>
      <c r="BD392" s="270">
        <f t="shared" si="170"/>
        <v>7.6100191206778574</v>
      </c>
      <c r="BY392" s="252">
        <f t="shared" si="177"/>
        <v>1.5678131264078241</v>
      </c>
      <c r="BZ392" s="252">
        <f t="shared" si="177"/>
        <v>0.97497449719679541</v>
      </c>
      <c r="CA392" s="252">
        <f t="shared" si="177"/>
        <v>6.8596450791303221E-2</v>
      </c>
      <c r="CB392" s="252">
        <f t="shared" si="177"/>
        <v>4.9008201374155229</v>
      </c>
      <c r="CC392" s="252">
        <f t="shared" si="176"/>
        <v>9.7814908866411532E-2</v>
      </c>
    </row>
    <row r="393" spans="1:81">
      <c r="A393" s="11">
        <v>51592</v>
      </c>
      <c r="B393" s="268">
        <v>70</v>
      </c>
      <c r="C393" s="268">
        <v>13</v>
      </c>
      <c r="D393" s="268">
        <f t="shared" si="168"/>
        <v>20</v>
      </c>
      <c r="E393" s="268">
        <v>3</v>
      </c>
      <c r="F393" s="269">
        <v>0.2</v>
      </c>
      <c r="G393" s="269">
        <v>1.32</v>
      </c>
      <c r="H393" s="269"/>
      <c r="I393" s="269">
        <v>5</v>
      </c>
      <c r="J393" s="269"/>
      <c r="K393" s="269"/>
      <c r="L393" s="269"/>
      <c r="M393" s="269">
        <f t="shared" si="167"/>
        <v>1.5</v>
      </c>
      <c r="N393" s="269">
        <v>45</v>
      </c>
      <c r="O393" s="269">
        <f t="shared" si="175"/>
        <v>17.699535849485258</v>
      </c>
      <c r="Q393" s="251">
        <f t="shared" si="184"/>
        <v>176.71953584948523</v>
      </c>
      <c r="R393" s="251">
        <f>'RD Plant List'!N261</f>
        <v>664.33</v>
      </c>
      <c r="S393" s="251">
        <f>SUM(B393:O393)+'RD Plant List'!N261</f>
        <v>841.04953584948521</v>
      </c>
      <c r="T393" s="237">
        <f t="shared" si="171"/>
        <v>0.7898821314121609</v>
      </c>
      <c r="U393" s="251">
        <f t="shared" si="164"/>
        <v>499.51188719691982</v>
      </c>
      <c r="V393" s="271">
        <f t="shared" si="178"/>
        <v>0.59391494306265546</v>
      </c>
      <c r="W393" s="251">
        <f t="shared" si="161"/>
        <v>41.625990599743318</v>
      </c>
      <c r="X393" s="242">
        <f t="shared" si="162"/>
        <v>7.6100191206778574</v>
      </c>
      <c r="Y393" s="273">
        <f t="shared" si="163"/>
        <v>7.6100191206778574</v>
      </c>
      <c r="AB393" s="251">
        <f>SUM('BD Feedstock'!C391,'BD Feedstock'!E391,'BD Feedstock'!G391,'BD Feedstock'!K391,'BD Feedstock'!T391)</f>
        <v>21.812796010427753</v>
      </c>
      <c r="AC393" s="251">
        <f>SUM('BD Feedstock'!D391,'BD Feedstock'!F391,'BD Feedstock'!H391,'BD Feedstock'!I391,'BD Feedstock'!L391,'BD Feedstock'!M391,'BD Feedstock'!N391,'BD Feedstock'!O391,'BD Feedstock'!U391)</f>
        <v>12.773566250859661</v>
      </c>
      <c r="AD393" s="251">
        <f>'BD Feedstock'!J391</f>
        <v>0.90199999999999991</v>
      </c>
      <c r="AE393" s="251">
        <f>SUM('BD Feedstock'!B391,'BD Feedstock'!P391,'BD Feedstock'!Q391,'BD Feedstock'!R391)</f>
        <v>70.93020833333334</v>
      </c>
      <c r="AF393" s="251">
        <f>'BD Feedstock'!S391</f>
        <v>1.40625</v>
      </c>
      <c r="AG393" s="251">
        <f t="shared" si="179"/>
        <v>107.82482059462075</v>
      </c>
      <c r="AK393" s="237">
        <f t="shared" si="166"/>
        <v>0.20229846792359021</v>
      </c>
      <c r="AL393" s="237">
        <f t="shared" si="166"/>
        <v>0.11846591703484753</v>
      </c>
      <c r="AM393" s="237">
        <f t="shared" si="165"/>
        <v>8.3654208282077092E-3</v>
      </c>
      <c r="AN393" s="237">
        <f t="shared" si="165"/>
        <v>0.65782820636449979</v>
      </c>
      <c r="AO393" s="237">
        <f t="shared" si="165"/>
        <v>1.304198784885487E-2</v>
      </c>
      <c r="AP393" s="237">
        <f t="shared" si="180"/>
        <v>1</v>
      </c>
      <c r="AQ393" s="237"/>
      <c r="AR393" s="237">
        <f t="shared" si="181"/>
        <v>0.61464645366918802</v>
      </c>
      <c r="AS393" s="237">
        <f t="shared" si="182"/>
        <v>0.35993676340465403</v>
      </c>
      <c r="AT393" s="237">
        <f t="shared" si="183"/>
        <v>2.5416782926158003E-2</v>
      </c>
      <c r="AU393" s="237">
        <f t="shared" si="169"/>
        <v>0.98055959563958928</v>
      </c>
      <c r="AV393" s="237">
        <f t="shared" si="169"/>
        <v>1.9440404360410696E-2</v>
      </c>
      <c r="AX393" s="251">
        <f t="shared" si="172"/>
        <v>29602.251298411371</v>
      </c>
      <c r="AY393" s="251">
        <f t="shared" si="172"/>
        <v>18408.724604627583</v>
      </c>
      <c r="AZ393" s="251">
        <f t="shared" si="172"/>
        <v>1295.1858485556902</v>
      </c>
      <c r="BA393" s="251">
        <f t="shared" si="173"/>
        <v>92533.546780850113</v>
      </c>
      <c r="BB393" s="251">
        <f t="shared" si="173"/>
        <v>1846.866481867638</v>
      </c>
      <c r="BC393" s="251">
        <f t="shared" si="174"/>
        <v>143686.5750143124</v>
      </c>
      <c r="BD393" s="270">
        <f t="shared" si="170"/>
        <v>7.6100191206778574</v>
      </c>
      <c r="BY393" s="252">
        <f t="shared" si="177"/>
        <v>1.5678131264078241</v>
      </c>
      <c r="BZ393" s="252">
        <f t="shared" si="177"/>
        <v>0.9749744971967953</v>
      </c>
      <c r="CA393" s="252">
        <f t="shared" si="177"/>
        <v>6.8596450791303207E-2</v>
      </c>
      <c r="CB393" s="252">
        <f t="shared" si="177"/>
        <v>4.9008201374155229</v>
      </c>
      <c r="CC393" s="252">
        <f t="shared" si="176"/>
        <v>9.7814908866411518E-2</v>
      </c>
    </row>
    <row r="394" spans="1:81">
      <c r="A394" s="11">
        <v>51622</v>
      </c>
      <c r="B394" s="268">
        <v>70</v>
      </c>
      <c r="C394" s="268">
        <v>13</v>
      </c>
      <c r="D394" s="268">
        <f t="shared" si="168"/>
        <v>20</v>
      </c>
      <c r="E394" s="268">
        <v>3</v>
      </c>
      <c r="F394" s="269">
        <v>0.2</v>
      </c>
      <c r="G394" s="269">
        <v>1.32</v>
      </c>
      <c r="H394" s="269"/>
      <c r="I394" s="269">
        <v>5</v>
      </c>
      <c r="J394" s="269"/>
      <c r="K394" s="269"/>
      <c r="L394" s="269"/>
      <c r="M394" s="269">
        <f t="shared" si="167"/>
        <v>1.5</v>
      </c>
      <c r="N394" s="269">
        <v>45</v>
      </c>
      <c r="O394" s="269">
        <f t="shared" si="175"/>
        <v>17.699535849485258</v>
      </c>
      <c r="Q394" s="251">
        <f t="shared" si="184"/>
        <v>176.71953584948523</v>
      </c>
      <c r="R394" s="251">
        <f>'RD Plant List'!N262</f>
        <v>664.33</v>
      </c>
      <c r="S394" s="251">
        <f>SUM(B394:O394)+'RD Plant List'!N262</f>
        <v>841.04953584948521</v>
      </c>
      <c r="T394" s="237">
        <f t="shared" si="171"/>
        <v>0.7898821314121609</v>
      </c>
      <c r="U394" s="251">
        <f t="shared" si="164"/>
        <v>485.302825707485</v>
      </c>
      <c r="V394" s="271">
        <f t="shared" si="178"/>
        <v>0.57702050238612235</v>
      </c>
      <c r="W394" s="251">
        <f t="shared" si="161"/>
        <v>40.441902142290417</v>
      </c>
      <c r="X394" s="242">
        <f t="shared" si="162"/>
        <v>7.6100191206778565</v>
      </c>
      <c r="Y394" s="273">
        <f t="shared" si="163"/>
        <v>7.6100191206778565</v>
      </c>
      <c r="AB394" s="251">
        <f>SUM('BD Feedstock'!C392,'BD Feedstock'!E392,'BD Feedstock'!G392,'BD Feedstock'!K392,'BD Feedstock'!T392)</f>
        <v>21.812796010427753</v>
      </c>
      <c r="AC394" s="251">
        <f>SUM('BD Feedstock'!D392,'BD Feedstock'!F392,'BD Feedstock'!H392,'BD Feedstock'!I392,'BD Feedstock'!L392,'BD Feedstock'!M392,'BD Feedstock'!N392,'BD Feedstock'!O392,'BD Feedstock'!U392)</f>
        <v>12.773566250859661</v>
      </c>
      <c r="AD394" s="251">
        <f>'BD Feedstock'!J392</f>
        <v>0.90199999999999991</v>
      </c>
      <c r="AE394" s="251">
        <f>SUM('BD Feedstock'!B392,'BD Feedstock'!P392,'BD Feedstock'!Q392,'BD Feedstock'!R392)</f>
        <v>70.93020833333334</v>
      </c>
      <c r="AF394" s="251">
        <f>'BD Feedstock'!S392</f>
        <v>1.40625</v>
      </c>
      <c r="AG394" s="251">
        <f t="shared" si="179"/>
        <v>107.82482059462075</v>
      </c>
      <c r="AK394" s="237">
        <f t="shared" si="166"/>
        <v>0.20229846792359021</v>
      </c>
      <c r="AL394" s="237">
        <f t="shared" si="166"/>
        <v>0.11846591703484753</v>
      </c>
      <c r="AM394" s="237">
        <f t="shared" si="165"/>
        <v>8.3654208282077092E-3</v>
      </c>
      <c r="AN394" s="237">
        <f t="shared" si="165"/>
        <v>0.65782820636449979</v>
      </c>
      <c r="AO394" s="237">
        <f t="shared" si="165"/>
        <v>1.304198784885487E-2</v>
      </c>
      <c r="AP394" s="237">
        <f t="shared" si="180"/>
        <v>1</v>
      </c>
      <c r="AQ394" s="237"/>
      <c r="AR394" s="237">
        <f t="shared" si="181"/>
        <v>0.61464645366918802</v>
      </c>
      <c r="AS394" s="237">
        <f t="shared" si="182"/>
        <v>0.35993676340465403</v>
      </c>
      <c r="AT394" s="237">
        <f t="shared" si="183"/>
        <v>2.5416782926158003E-2</v>
      </c>
      <c r="AU394" s="237">
        <f t="shared" si="169"/>
        <v>0.98055959563958928</v>
      </c>
      <c r="AV394" s="237">
        <f t="shared" si="169"/>
        <v>1.9440404360410696E-2</v>
      </c>
      <c r="AX394" s="251">
        <f t="shared" si="172"/>
        <v>28760.188837625508</v>
      </c>
      <c r="AY394" s="251">
        <f t="shared" si="172"/>
        <v>17885.072001849567</v>
      </c>
      <c r="AZ394" s="251">
        <f t="shared" si="172"/>
        <v>1258.3431310266903</v>
      </c>
      <c r="BA394" s="251">
        <f t="shared" si="173"/>
        <v>89901.347448372035</v>
      </c>
      <c r="BB394" s="251">
        <f t="shared" si="173"/>
        <v>1794.3307163007853</v>
      </c>
      <c r="BC394" s="251">
        <f t="shared" si="174"/>
        <v>139599.28213517458</v>
      </c>
      <c r="BD394" s="270">
        <f t="shared" si="170"/>
        <v>7.6100191206778556</v>
      </c>
      <c r="BY394" s="252">
        <f t="shared" si="177"/>
        <v>1.5678131264078241</v>
      </c>
      <c r="BZ394" s="252">
        <f t="shared" si="177"/>
        <v>0.9749744971967953</v>
      </c>
      <c r="CA394" s="252">
        <f t="shared" si="177"/>
        <v>6.8596450791303207E-2</v>
      </c>
      <c r="CB394" s="252">
        <f t="shared" si="177"/>
        <v>4.9008201374155229</v>
      </c>
      <c r="CC394" s="252">
        <f t="shared" si="176"/>
        <v>9.7814908866411518E-2</v>
      </c>
    </row>
    <row r="395" spans="1:81">
      <c r="A395" s="11">
        <v>51653</v>
      </c>
      <c r="B395" s="268">
        <v>70</v>
      </c>
      <c r="C395" s="268">
        <v>13</v>
      </c>
      <c r="D395" s="268">
        <f t="shared" si="168"/>
        <v>20</v>
      </c>
      <c r="E395" s="268">
        <v>3</v>
      </c>
      <c r="F395" s="269">
        <v>0.2</v>
      </c>
      <c r="G395" s="269">
        <v>1.32</v>
      </c>
      <c r="H395" s="269"/>
      <c r="I395" s="269">
        <v>5</v>
      </c>
      <c r="J395" s="269"/>
      <c r="K395" s="269"/>
      <c r="L395" s="269"/>
      <c r="M395" s="269">
        <f t="shared" si="167"/>
        <v>1.5</v>
      </c>
      <c r="N395" s="269">
        <v>45</v>
      </c>
      <c r="O395" s="269">
        <f t="shared" si="175"/>
        <v>17.699535849485258</v>
      </c>
      <c r="Q395" s="251">
        <f t="shared" si="184"/>
        <v>176.71953584948523</v>
      </c>
      <c r="R395" s="251">
        <f>'RD Plant List'!N263</f>
        <v>664.33</v>
      </c>
      <c r="S395" s="251">
        <f>SUM(B395:O395)+'RD Plant List'!N263</f>
        <v>841.04953584948521</v>
      </c>
      <c r="T395" s="237">
        <f t="shared" si="171"/>
        <v>0.7898821314121609</v>
      </c>
      <c r="U395" s="251">
        <f t="shared" si="164"/>
        <v>541.65496953606259</v>
      </c>
      <c r="V395" s="271">
        <f t="shared" si="178"/>
        <v>0.64402267220678611</v>
      </c>
      <c r="W395" s="251">
        <f t="shared" ref="W395:W458" si="185">U395/12</f>
        <v>45.137914128005214</v>
      </c>
      <c r="X395" s="242">
        <f t="shared" ref="X395:X458" si="186">(BC395*2204.622)/(W395*1000000)</f>
        <v>7.6100191206778565</v>
      </c>
      <c r="Y395" s="273">
        <f t="shared" ref="Y395:Y458" si="187">X395-BP395</f>
        <v>7.6100191206778565</v>
      </c>
      <c r="AB395" s="251">
        <f>SUM('BD Feedstock'!C393,'BD Feedstock'!E393,'BD Feedstock'!G393,'BD Feedstock'!K393,'BD Feedstock'!T393)</f>
        <v>21.812796010427753</v>
      </c>
      <c r="AC395" s="251">
        <f>SUM('BD Feedstock'!D393,'BD Feedstock'!F393,'BD Feedstock'!H393,'BD Feedstock'!I393,'BD Feedstock'!L393,'BD Feedstock'!M393,'BD Feedstock'!N393,'BD Feedstock'!O393,'BD Feedstock'!U393)</f>
        <v>12.773566250859661</v>
      </c>
      <c r="AD395" s="251">
        <f>'BD Feedstock'!J393</f>
        <v>0.90199999999999991</v>
      </c>
      <c r="AE395" s="251">
        <f>SUM('BD Feedstock'!B393,'BD Feedstock'!P393,'BD Feedstock'!Q393,'BD Feedstock'!R393)</f>
        <v>70.93020833333334</v>
      </c>
      <c r="AF395" s="251">
        <f>'BD Feedstock'!S393</f>
        <v>1.40625</v>
      </c>
      <c r="AG395" s="251">
        <f t="shared" si="179"/>
        <v>107.82482059462075</v>
      </c>
      <c r="AK395" s="237">
        <f t="shared" si="166"/>
        <v>0.20229846792359021</v>
      </c>
      <c r="AL395" s="237">
        <f t="shared" si="166"/>
        <v>0.11846591703484753</v>
      </c>
      <c r="AM395" s="237">
        <f t="shared" si="165"/>
        <v>8.3654208282077092E-3</v>
      </c>
      <c r="AN395" s="237">
        <f t="shared" si="165"/>
        <v>0.65782820636449979</v>
      </c>
      <c r="AO395" s="237">
        <f t="shared" si="165"/>
        <v>1.304198784885487E-2</v>
      </c>
      <c r="AP395" s="237">
        <f t="shared" si="180"/>
        <v>1</v>
      </c>
      <c r="AQ395" s="237"/>
      <c r="AR395" s="237">
        <f t="shared" si="181"/>
        <v>0.61464645366918802</v>
      </c>
      <c r="AS395" s="237">
        <f t="shared" si="182"/>
        <v>0.35993676340465403</v>
      </c>
      <c r="AT395" s="237">
        <f t="shared" si="183"/>
        <v>2.5416782926158003E-2</v>
      </c>
      <c r="AU395" s="237">
        <f t="shared" si="169"/>
        <v>0.98055959563958928</v>
      </c>
      <c r="AV395" s="237">
        <f t="shared" si="169"/>
        <v>1.9440404360410696E-2</v>
      </c>
      <c r="AX395" s="251">
        <f t="shared" si="172"/>
        <v>32099.749648037516</v>
      </c>
      <c r="AY395" s="251">
        <f t="shared" si="172"/>
        <v>19961.841590741635</v>
      </c>
      <c r="AZ395" s="251">
        <f t="shared" si="172"/>
        <v>1404.4587713012841</v>
      </c>
      <c r="BA395" s="251">
        <f t="shared" si="173"/>
        <v>100340.46585739442</v>
      </c>
      <c r="BB395" s="251">
        <f t="shared" si="173"/>
        <v>2002.6838872381479</v>
      </c>
      <c r="BC395" s="251">
        <f t="shared" si="174"/>
        <v>155809.19975471299</v>
      </c>
      <c r="BD395" s="270">
        <f t="shared" si="170"/>
        <v>7.6100191206778556</v>
      </c>
      <c r="BY395" s="252">
        <f t="shared" si="177"/>
        <v>1.5678131264078243</v>
      </c>
      <c r="BZ395" s="252">
        <f t="shared" si="177"/>
        <v>0.9749744971967953</v>
      </c>
      <c r="CA395" s="252">
        <f t="shared" si="177"/>
        <v>6.8596450791303207E-2</v>
      </c>
      <c r="CB395" s="252">
        <f t="shared" si="177"/>
        <v>4.9008201374155229</v>
      </c>
      <c r="CC395" s="252">
        <f t="shared" si="176"/>
        <v>9.7814908866411546E-2</v>
      </c>
    </row>
    <row r="396" spans="1:81">
      <c r="A396" s="11">
        <v>51683</v>
      </c>
      <c r="B396" s="268">
        <v>70</v>
      </c>
      <c r="C396" s="268">
        <v>13</v>
      </c>
      <c r="D396" s="268">
        <f t="shared" si="168"/>
        <v>20</v>
      </c>
      <c r="E396" s="268">
        <v>3</v>
      </c>
      <c r="F396" s="269">
        <v>0.2</v>
      </c>
      <c r="G396" s="269">
        <v>1.32</v>
      </c>
      <c r="H396" s="269"/>
      <c r="I396" s="269">
        <v>5</v>
      </c>
      <c r="J396" s="269"/>
      <c r="K396" s="269"/>
      <c r="L396" s="269"/>
      <c r="M396" s="269">
        <f t="shared" si="167"/>
        <v>1.5</v>
      </c>
      <c r="N396" s="269">
        <v>45</v>
      </c>
      <c r="O396" s="269">
        <f t="shared" si="175"/>
        <v>17.699535849485258</v>
      </c>
      <c r="Q396" s="251">
        <f t="shared" si="184"/>
        <v>176.71953584948523</v>
      </c>
      <c r="R396" s="251">
        <f>'RD Plant List'!N264</f>
        <v>664.33</v>
      </c>
      <c r="S396" s="251">
        <f>SUM(B396:O396)+'RD Plant List'!N264</f>
        <v>841.04953584948521</v>
      </c>
      <c r="T396" s="237">
        <f t="shared" si="171"/>
        <v>0.7898821314121609</v>
      </c>
      <c r="U396" s="251">
        <f t="shared" si="164"/>
        <v>556.20801962796975</v>
      </c>
      <c r="V396" s="271">
        <f t="shared" si="178"/>
        <v>0.66132611210133185</v>
      </c>
      <c r="W396" s="251">
        <f t="shared" si="185"/>
        <v>46.35066830233081</v>
      </c>
      <c r="X396" s="242">
        <f t="shared" si="186"/>
        <v>7.6100191206778565</v>
      </c>
      <c r="Y396" s="273">
        <f t="shared" si="187"/>
        <v>7.6100191206778565</v>
      </c>
      <c r="AB396" s="251">
        <f>SUM('BD Feedstock'!C394,'BD Feedstock'!E394,'BD Feedstock'!G394,'BD Feedstock'!K394,'BD Feedstock'!T394)</f>
        <v>21.812796010427753</v>
      </c>
      <c r="AC396" s="251">
        <f>SUM('BD Feedstock'!D394,'BD Feedstock'!F394,'BD Feedstock'!H394,'BD Feedstock'!I394,'BD Feedstock'!L394,'BD Feedstock'!M394,'BD Feedstock'!N394,'BD Feedstock'!O394,'BD Feedstock'!U394)</f>
        <v>12.773566250859661</v>
      </c>
      <c r="AD396" s="251">
        <f>'BD Feedstock'!J394</f>
        <v>0.90199999999999991</v>
      </c>
      <c r="AE396" s="251">
        <f>SUM('BD Feedstock'!B394,'BD Feedstock'!P394,'BD Feedstock'!Q394,'BD Feedstock'!R394)</f>
        <v>70.93020833333334</v>
      </c>
      <c r="AF396" s="251">
        <f>'BD Feedstock'!S394</f>
        <v>1.40625</v>
      </c>
      <c r="AG396" s="251">
        <f t="shared" si="179"/>
        <v>107.82482059462075</v>
      </c>
      <c r="AK396" s="237">
        <f t="shared" si="166"/>
        <v>0.20229846792359021</v>
      </c>
      <c r="AL396" s="237">
        <f t="shared" si="166"/>
        <v>0.11846591703484753</v>
      </c>
      <c r="AM396" s="237">
        <f t="shared" si="165"/>
        <v>8.3654208282077092E-3</v>
      </c>
      <c r="AN396" s="237">
        <f t="shared" si="165"/>
        <v>0.65782820636449979</v>
      </c>
      <c r="AO396" s="237">
        <f t="shared" si="165"/>
        <v>1.304198784885487E-2</v>
      </c>
      <c r="AP396" s="237">
        <f t="shared" si="180"/>
        <v>1</v>
      </c>
      <c r="AQ396" s="237"/>
      <c r="AR396" s="237">
        <f t="shared" si="181"/>
        <v>0.61464645366918802</v>
      </c>
      <c r="AS396" s="237">
        <f t="shared" si="182"/>
        <v>0.35993676340465403</v>
      </c>
      <c r="AT396" s="237">
        <f t="shared" si="183"/>
        <v>2.5416782926158003E-2</v>
      </c>
      <c r="AU396" s="237">
        <f t="shared" si="169"/>
        <v>0.98055959563958928</v>
      </c>
      <c r="AV396" s="237">
        <f t="shared" si="169"/>
        <v>1.9440404360410696E-2</v>
      </c>
      <c r="AX396" s="251">
        <f t="shared" si="172"/>
        <v>32962.197683852071</v>
      </c>
      <c r="AY396" s="251">
        <f t="shared" si="172"/>
        <v>20498.171352186644</v>
      </c>
      <c r="AZ396" s="251">
        <f t="shared" si="172"/>
        <v>1442.1934178942481</v>
      </c>
      <c r="BA396" s="251">
        <f t="shared" si="173"/>
        <v>103036.38836894951</v>
      </c>
      <c r="BB396" s="251">
        <f t="shared" si="173"/>
        <v>2056.491496451436</v>
      </c>
      <c r="BC396" s="251">
        <f t="shared" si="174"/>
        <v>159995.4423193339</v>
      </c>
      <c r="BD396" s="270">
        <f t="shared" si="170"/>
        <v>7.6100191206778565</v>
      </c>
      <c r="BY396" s="252">
        <f t="shared" si="177"/>
        <v>1.5678131264078246</v>
      </c>
      <c r="BZ396" s="252">
        <f t="shared" si="177"/>
        <v>0.97497449719679541</v>
      </c>
      <c r="CA396" s="252">
        <f t="shared" si="177"/>
        <v>6.8596450791303207E-2</v>
      </c>
      <c r="CB396" s="252">
        <f t="shared" si="177"/>
        <v>4.9008201374155229</v>
      </c>
      <c r="CC396" s="252">
        <f t="shared" si="176"/>
        <v>9.7814908866411518E-2</v>
      </c>
    </row>
    <row r="397" spans="1:81">
      <c r="A397" s="11">
        <v>51714</v>
      </c>
      <c r="B397" s="268">
        <v>70</v>
      </c>
      <c r="C397" s="268">
        <v>13</v>
      </c>
      <c r="D397" s="268">
        <f t="shared" si="168"/>
        <v>20</v>
      </c>
      <c r="E397" s="268">
        <v>3</v>
      </c>
      <c r="F397" s="269">
        <v>0.2</v>
      </c>
      <c r="G397" s="269">
        <v>1.32</v>
      </c>
      <c r="H397" s="269"/>
      <c r="I397" s="269">
        <v>5</v>
      </c>
      <c r="J397" s="269"/>
      <c r="K397" s="269"/>
      <c r="L397" s="269"/>
      <c r="M397" s="269">
        <f t="shared" si="167"/>
        <v>1.5</v>
      </c>
      <c r="N397" s="269">
        <v>45</v>
      </c>
      <c r="O397" s="269">
        <f t="shared" si="175"/>
        <v>17.699535849485258</v>
      </c>
      <c r="Q397" s="251">
        <f t="shared" si="184"/>
        <v>176.71953584948523</v>
      </c>
      <c r="R397" s="251">
        <f>'RD Plant List'!N265</f>
        <v>664.33</v>
      </c>
      <c r="S397" s="251">
        <f>SUM(B397:O397)+'RD Plant List'!N265</f>
        <v>841.04953584948521</v>
      </c>
      <c r="T397" s="237">
        <f t="shared" si="171"/>
        <v>0.7898821314121609</v>
      </c>
      <c r="U397" s="251">
        <f t="shared" si="164"/>
        <v>524.94940362995249</v>
      </c>
      <c r="V397" s="271">
        <f t="shared" si="178"/>
        <v>0.62415991122299097</v>
      </c>
      <c r="W397" s="251">
        <f t="shared" si="185"/>
        <v>43.745783635829376</v>
      </c>
      <c r="X397" s="242">
        <f t="shared" si="186"/>
        <v>7.6100191206778591</v>
      </c>
      <c r="Y397" s="273">
        <f t="shared" si="187"/>
        <v>7.6100191206778591</v>
      </c>
      <c r="AB397" s="251">
        <f>SUM('BD Feedstock'!C395,'BD Feedstock'!E395,'BD Feedstock'!G395,'BD Feedstock'!K395,'BD Feedstock'!T395)</f>
        <v>21.812796010427753</v>
      </c>
      <c r="AC397" s="251">
        <f>SUM('BD Feedstock'!D395,'BD Feedstock'!F395,'BD Feedstock'!H395,'BD Feedstock'!I395,'BD Feedstock'!L395,'BD Feedstock'!M395,'BD Feedstock'!N395,'BD Feedstock'!O395,'BD Feedstock'!U395)</f>
        <v>12.773566250859661</v>
      </c>
      <c r="AD397" s="251">
        <f>'BD Feedstock'!J395</f>
        <v>0.90199999999999991</v>
      </c>
      <c r="AE397" s="251">
        <f>SUM('BD Feedstock'!B395,'BD Feedstock'!P395,'BD Feedstock'!Q395,'BD Feedstock'!R395)</f>
        <v>70.93020833333334</v>
      </c>
      <c r="AF397" s="251">
        <f>'BD Feedstock'!S395</f>
        <v>1.40625</v>
      </c>
      <c r="AG397" s="251">
        <f t="shared" si="179"/>
        <v>107.82482059462075</v>
      </c>
      <c r="AK397" s="237">
        <f t="shared" si="166"/>
        <v>0.20229846792359021</v>
      </c>
      <c r="AL397" s="237">
        <f t="shared" si="166"/>
        <v>0.11846591703484753</v>
      </c>
      <c r="AM397" s="237">
        <f t="shared" si="165"/>
        <v>8.3654208282077092E-3</v>
      </c>
      <c r="AN397" s="237">
        <f t="shared" si="165"/>
        <v>0.65782820636449979</v>
      </c>
      <c r="AO397" s="237">
        <f t="shared" si="165"/>
        <v>1.304198784885487E-2</v>
      </c>
      <c r="AP397" s="237">
        <f t="shared" si="180"/>
        <v>1</v>
      </c>
      <c r="AQ397" s="237"/>
      <c r="AR397" s="237">
        <f t="shared" si="181"/>
        <v>0.61464645366918802</v>
      </c>
      <c r="AS397" s="237">
        <f t="shared" si="182"/>
        <v>0.35993676340465403</v>
      </c>
      <c r="AT397" s="237">
        <f t="shared" si="183"/>
        <v>2.5416782926158003E-2</v>
      </c>
      <c r="AU397" s="237">
        <f t="shared" si="169"/>
        <v>0.98055959563958928</v>
      </c>
      <c r="AV397" s="237">
        <f t="shared" si="169"/>
        <v>1.9440404360410696E-2</v>
      </c>
      <c r="AX397" s="251">
        <f t="shared" si="172"/>
        <v>31109.738453689522</v>
      </c>
      <c r="AY397" s="251">
        <f t="shared" si="172"/>
        <v>19346.184246017023</v>
      </c>
      <c r="AZ397" s="251">
        <f t="shared" si="172"/>
        <v>1361.1428600921915</v>
      </c>
      <c r="BA397" s="251">
        <f t="shared" si="173"/>
        <v>97245.794231163032</v>
      </c>
      <c r="BB397" s="251">
        <f t="shared" si="173"/>
        <v>1940.9176900295865</v>
      </c>
      <c r="BC397" s="251">
        <f t="shared" si="174"/>
        <v>151003.77748099138</v>
      </c>
      <c r="BD397" s="270">
        <f t="shared" si="170"/>
        <v>7.6100191206778582</v>
      </c>
      <c r="BY397" s="252">
        <f t="shared" si="177"/>
        <v>1.5678131264078243</v>
      </c>
      <c r="BZ397" s="252">
        <f t="shared" si="177"/>
        <v>0.97497449719679519</v>
      </c>
      <c r="CA397" s="252">
        <f t="shared" si="177"/>
        <v>6.8596450791303221E-2</v>
      </c>
      <c r="CB397" s="252">
        <f t="shared" si="177"/>
        <v>4.9008201374155238</v>
      </c>
      <c r="CC397" s="252">
        <f t="shared" si="176"/>
        <v>9.7814908866411518E-2</v>
      </c>
    </row>
    <row r="398" spans="1:81">
      <c r="A398" s="11">
        <v>51745</v>
      </c>
      <c r="B398" s="268">
        <v>70</v>
      </c>
      <c r="C398" s="268">
        <v>13</v>
      </c>
      <c r="D398" s="268">
        <f t="shared" si="168"/>
        <v>20</v>
      </c>
      <c r="E398" s="268">
        <v>3</v>
      </c>
      <c r="F398" s="269">
        <v>0.2</v>
      </c>
      <c r="G398" s="269">
        <v>1.32</v>
      </c>
      <c r="H398" s="269"/>
      <c r="I398" s="269">
        <v>5</v>
      </c>
      <c r="J398" s="269"/>
      <c r="K398" s="269"/>
      <c r="L398" s="269"/>
      <c r="M398" s="269">
        <f t="shared" si="167"/>
        <v>1.5</v>
      </c>
      <c r="N398" s="269">
        <v>45</v>
      </c>
      <c r="O398" s="269">
        <f t="shared" si="175"/>
        <v>17.699535849485258</v>
      </c>
      <c r="Q398" s="251">
        <f t="shared" si="184"/>
        <v>176.71953584948523</v>
      </c>
      <c r="R398" s="251">
        <f>'RD Plant List'!N266</f>
        <v>664.33</v>
      </c>
      <c r="S398" s="251">
        <f>SUM(B398:O398)+'RD Plant List'!N266</f>
        <v>841.04953584948521</v>
      </c>
      <c r="T398" s="237">
        <f t="shared" si="171"/>
        <v>0.7898821314121609</v>
      </c>
      <c r="U398" s="251">
        <f t="shared" si="164"/>
        <v>569.07419434802034</v>
      </c>
      <c r="V398" s="271">
        <f t="shared" si="178"/>
        <v>0.6766238730198435</v>
      </c>
      <c r="W398" s="251">
        <f t="shared" si="185"/>
        <v>47.422849529001695</v>
      </c>
      <c r="X398" s="242">
        <f t="shared" si="186"/>
        <v>7.6100191206778565</v>
      </c>
      <c r="Y398" s="273">
        <f t="shared" si="187"/>
        <v>7.6100191206778565</v>
      </c>
      <c r="AB398" s="251">
        <f>SUM('BD Feedstock'!C396,'BD Feedstock'!E396,'BD Feedstock'!G396,'BD Feedstock'!K396,'BD Feedstock'!T396)</f>
        <v>21.812796010427753</v>
      </c>
      <c r="AC398" s="251">
        <f>SUM('BD Feedstock'!D396,'BD Feedstock'!F396,'BD Feedstock'!H396,'BD Feedstock'!I396,'BD Feedstock'!L396,'BD Feedstock'!M396,'BD Feedstock'!N396,'BD Feedstock'!O396,'BD Feedstock'!U396)</f>
        <v>12.773566250859661</v>
      </c>
      <c r="AD398" s="251">
        <f>'BD Feedstock'!J396</f>
        <v>0.90199999999999991</v>
      </c>
      <c r="AE398" s="251">
        <f>SUM('BD Feedstock'!B396,'BD Feedstock'!P396,'BD Feedstock'!Q396,'BD Feedstock'!R396)</f>
        <v>70.93020833333334</v>
      </c>
      <c r="AF398" s="251">
        <f>'BD Feedstock'!S396</f>
        <v>1.40625</v>
      </c>
      <c r="AG398" s="251">
        <f t="shared" si="179"/>
        <v>107.82482059462075</v>
      </c>
      <c r="AK398" s="237">
        <f t="shared" si="166"/>
        <v>0.20229846792359021</v>
      </c>
      <c r="AL398" s="237">
        <f t="shared" si="166"/>
        <v>0.11846591703484753</v>
      </c>
      <c r="AM398" s="237">
        <f t="shared" si="165"/>
        <v>8.3654208282077092E-3</v>
      </c>
      <c r="AN398" s="237">
        <f t="shared" si="165"/>
        <v>0.65782820636449979</v>
      </c>
      <c r="AO398" s="237">
        <f t="shared" si="165"/>
        <v>1.304198784885487E-2</v>
      </c>
      <c r="AP398" s="237">
        <f t="shared" si="180"/>
        <v>1</v>
      </c>
      <c r="AQ398" s="237"/>
      <c r="AR398" s="237">
        <f t="shared" si="181"/>
        <v>0.61464645366918802</v>
      </c>
      <c r="AS398" s="237">
        <f t="shared" si="182"/>
        <v>0.35993676340465403</v>
      </c>
      <c r="AT398" s="237">
        <f t="shared" si="183"/>
        <v>2.5416782926158003E-2</v>
      </c>
      <c r="AU398" s="237">
        <f t="shared" si="169"/>
        <v>0.98055959563958928</v>
      </c>
      <c r="AV398" s="237">
        <f t="shared" si="169"/>
        <v>1.9440404360410696E-2</v>
      </c>
      <c r="AX398" s="251">
        <f t="shared" si="172"/>
        <v>33724.677510807735</v>
      </c>
      <c r="AY398" s="251">
        <f t="shared" si="172"/>
        <v>20972.333976154507</v>
      </c>
      <c r="AZ398" s="251">
        <f t="shared" si="172"/>
        <v>1475.5541603501833</v>
      </c>
      <c r="BA398" s="251">
        <f t="shared" si="173"/>
        <v>105419.82069731581</v>
      </c>
      <c r="BB398" s="251">
        <f t="shared" si="173"/>
        <v>2104.0621498219866</v>
      </c>
      <c r="BC398" s="251">
        <f t="shared" si="174"/>
        <v>163696.44849445022</v>
      </c>
      <c r="BD398" s="270">
        <f t="shared" si="170"/>
        <v>7.6100191206778574</v>
      </c>
      <c r="BY398" s="252">
        <f t="shared" si="177"/>
        <v>1.5678131264078241</v>
      </c>
      <c r="BZ398" s="252">
        <f t="shared" si="177"/>
        <v>0.97497449719679496</v>
      </c>
      <c r="CA398" s="252">
        <f t="shared" si="177"/>
        <v>6.8596450791303207E-2</v>
      </c>
      <c r="CB398" s="252">
        <f t="shared" si="177"/>
        <v>4.9008201374155229</v>
      </c>
      <c r="CC398" s="252">
        <f t="shared" si="176"/>
        <v>9.7814908866411518E-2</v>
      </c>
    </row>
    <row r="399" spans="1:81">
      <c r="A399" s="11">
        <v>51775</v>
      </c>
      <c r="B399" s="268">
        <v>70</v>
      </c>
      <c r="C399" s="268">
        <v>13</v>
      </c>
      <c r="D399" s="268">
        <f t="shared" si="168"/>
        <v>20</v>
      </c>
      <c r="E399" s="268">
        <v>3</v>
      </c>
      <c r="F399" s="269">
        <v>0.2</v>
      </c>
      <c r="G399" s="269">
        <v>1.32</v>
      </c>
      <c r="H399" s="269"/>
      <c r="I399" s="269">
        <v>5</v>
      </c>
      <c r="J399" s="269"/>
      <c r="K399" s="269"/>
      <c r="L399" s="269"/>
      <c r="M399" s="269">
        <f t="shared" si="167"/>
        <v>1.5</v>
      </c>
      <c r="N399" s="269">
        <v>45</v>
      </c>
      <c r="O399" s="269">
        <f t="shared" si="175"/>
        <v>17.699535849485258</v>
      </c>
      <c r="Q399" s="251">
        <f t="shared" si="184"/>
        <v>176.71953584948523</v>
      </c>
      <c r="R399" s="251">
        <f>'RD Plant List'!N267</f>
        <v>664.33</v>
      </c>
      <c r="S399" s="251">
        <f>SUM(B399:O399)+'RD Plant List'!N267</f>
        <v>841.04953584948521</v>
      </c>
      <c r="T399" s="237">
        <f t="shared" si="171"/>
        <v>0.7898821314121609</v>
      </c>
      <c r="U399" s="251">
        <f t="shared" si="164"/>
        <v>595.83099819332949</v>
      </c>
      <c r="V399" s="271">
        <f t="shared" si="178"/>
        <v>0.70843746152421616</v>
      </c>
      <c r="W399" s="251">
        <f t="shared" si="185"/>
        <v>49.652583182777455</v>
      </c>
      <c r="X399" s="242">
        <f t="shared" si="186"/>
        <v>7.6100191206778574</v>
      </c>
      <c r="Y399" s="273">
        <f t="shared" si="187"/>
        <v>7.6100191206778574</v>
      </c>
      <c r="AB399" s="251">
        <f>SUM('BD Feedstock'!C397,'BD Feedstock'!E397,'BD Feedstock'!G397,'BD Feedstock'!K397,'BD Feedstock'!T397)</f>
        <v>21.812796010427753</v>
      </c>
      <c r="AC399" s="251">
        <f>SUM('BD Feedstock'!D397,'BD Feedstock'!F397,'BD Feedstock'!H397,'BD Feedstock'!I397,'BD Feedstock'!L397,'BD Feedstock'!M397,'BD Feedstock'!N397,'BD Feedstock'!O397,'BD Feedstock'!U397)</f>
        <v>12.773566250859661</v>
      </c>
      <c r="AD399" s="251">
        <f>'BD Feedstock'!J397</f>
        <v>0.90199999999999991</v>
      </c>
      <c r="AE399" s="251">
        <f>SUM('BD Feedstock'!B397,'BD Feedstock'!P397,'BD Feedstock'!Q397,'BD Feedstock'!R397)</f>
        <v>70.93020833333334</v>
      </c>
      <c r="AF399" s="251">
        <f>'BD Feedstock'!S397</f>
        <v>1.40625</v>
      </c>
      <c r="AG399" s="251">
        <f t="shared" si="179"/>
        <v>107.82482059462075</v>
      </c>
      <c r="AK399" s="237">
        <f t="shared" si="166"/>
        <v>0.20229846792359021</v>
      </c>
      <c r="AL399" s="237">
        <f t="shared" si="166"/>
        <v>0.11846591703484753</v>
      </c>
      <c r="AM399" s="237">
        <f t="shared" si="165"/>
        <v>8.3654208282077092E-3</v>
      </c>
      <c r="AN399" s="237">
        <f t="shared" si="165"/>
        <v>0.65782820636449979</v>
      </c>
      <c r="AO399" s="237">
        <f t="shared" si="165"/>
        <v>1.304198784885487E-2</v>
      </c>
      <c r="AP399" s="237">
        <f t="shared" si="180"/>
        <v>1</v>
      </c>
      <c r="AQ399" s="237"/>
      <c r="AR399" s="237">
        <f t="shared" si="181"/>
        <v>0.61464645366918802</v>
      </c>
      <c r="AS399" s="237">
        <f t="shared" si="182"/>
        <v>0.35993676340465403</v>
      </c>
      <c r="AT399" s="237">
        <f t="shared" si="183"/>
        <v>2.5416782926158003E-2</v>
      </c>
      <c r="AU399" s="237">
        <f t="shared" si="169"/>
        <v>0.98055959563958928</v>
      </c>
      <c r="AV399" s="237">
        <f t="shared" si="169"/>
        <v>1.9440404360410696E-2</v>
      </c>
      <c r="AX399" s="251">
        <f t="shared" si="172"/>
        <v>35310.348746413161</v>
      </c>
      <c r="AY399" s="251">
        <f t="shared" si="172"/>
        <v>21958.413879182237</v>
      </c>
      <c r="AZ399" s="251">
        <f t="shared" si="172"/>
        <v>1544.9319561169596</v>
      </c>
      <c r="BA399" s="251">
        <f t="shared" si="173"/>
        <v>110376.46341951369</v>
      </c>
      <c r="BB399" s="251">
        <f t="shared" si="173"/>
        <v>2202.9912152764937</v>
      </c>
      <c r="BC399" s="251">
        <f t="shared" si="174"/>
        <v>171393.14921650256</v>
      </c>
      <c r="BD399" s="270">
        <f t="shared" si="170"/>
        <v>7.6100191206778574</v>
      </c>
      <c r="BY399" s="252">
        <f t="shared" si="177"/>
        <v>1.5678131264078239</v>
      </c>
      <c r="BZ399" s="252">
        <f t="shared" si="177"/>
        <v>0.97497449719679519</v>
      </c>
      <c r="CA399" s="252">
        <f t="shared" si="177"/>
        <v>6.8596450791303207E-2</v>
      </c>
      <c r="CB399" s="252">
        <f t="shared" si="177"/>
        <v>4.9008201374155229</v>
      </c>
      <c r="CC399" s="252">
        <f t="shared" si="176"/>
        <v>9.7814908866411518E-2</v>
      </c>
    </row>
    <row r="400" spans="1:81">
      <c r="A400" s="11">
        <v>51806</v>
      </c>
      <c r="B400" s="268">
        <v>70</v>
      </c>
      <c r="C400" s="268">
        <v>13</v>
      </c>
      <c r="D400" s="268">
        <f t="shared" si="168"/>
        <v>20</v>
      </c>
      <c r="E400" s="268">
        <v>3</v>
      </c>
      <c r="F400" s="269">
        <v>0.2</v>
      </c>
      <c r="G400" s="269">
        <v>1.32</v>
      </c>
      <c r="H400" s="269"/>
      <c r="I400" s="269">
        <v>5</v>
      </c>
      <c r="J400" s="269"/>
      <c r="K400" s="269"/>
      <c r="L400" s="269"/>
      <c r="M400" s="269">
        <f t="shared" si="167"/>
        <v>1.5</v>
      </c>
      <c r="N400" s="269">
        <v>45</v>
      </c>
      <c r="O400" s="269">
        <f t="shared" si="175"/>
        <v>17.699535849485258</v>
      </c>
      <c r="Q400" s="251">
        <f t="shared" si="184"/>
        <v>176.71953584948523</v>
      </c>
      <c r="R400" s="251">
        <f>'RD Plant List'!N268</f>
        <v>664.33</v>
      </c>
      <c r="S400" s="251">
        <f>SUM(B400:O400)+'RD Plant List'!N268</f>
        <v>841.04953584948521</v>
      </c>
      <c r="T400" s="237">
        <f t="shared" si="171"/>
        <v>0.7898821314121609</v>
      </c>
      <c r="U400" s="251">
        <f t="shared" si="164"/>
        <v>641.01766498988684</v>
      </c>
      <c r="V400" s="271">
        <f t="shared" si="178"/>
        <v>0.7621639840065304</v>
      </c>
      <c r="W400" s="251">
        <f t="shared" si="185"/>
        <v>53.418138749157237</v>
      </c>
      <c r="X400" s="242">
        <f t="shared" si="186"/>
        <v>7.6100191206778574</v>
      </c>
      <c r="Y400" s="273">
        <f t="shared" si="187"/>
        <v>7.6100191206778574</v>
      </c>
      <c r="AB400" s="251">
        <f>SUM('BD Feedstock'!C398,'BD Feedstock'!E398,'BD Feedstock'!G398,'BD Feedstock'!K398,'BD Feedstock'!T398)</f>
        <v>21.812796010427753</v>
      </c>
      <c r="AC400" s="251">
        <f>SUM('BD Feedstock'!D398,'BD Feedstock'!F398,'BD Feedstock'!H398,'BD Feedstock'!I398,'BD Feedstock'!L398,'BD Feedstock'!M398,'BD Feedstock'!N398,'BD Feedstock'!O398,'BD Feedstock'!U398)</f>
        <v>12.773566250859661</v>
      </c>
      <c r="AD400" s="251">
        <f>'BD Feedstock'!J398</f>
        <v>0.90199999999999991</v>
      </c>
      <c r="AE400" s="251">
        <f>SUM('BD Feedstock'!B398,'BD Feedstock'!P398,'BD Feedstock'!Q398,'BD Feedstock'!R398)</f>
        <v>70.93020833333334</v>
      </c>
      <c r="AF400" s="251">
        <f>'BD Feedstock'!S398</f>
        <v>1.40625</v>
      </c>
      <c r="AG400" s="251">
        <f t="shared" si="179"/>
        <v>107.82482059462075</v>
      </c>
      <c r="AK400" s="237">
        <f t="shared" si="166"/>
        <v>0.20229846792359021</v>
      </c>
      <c r="AL400" s="237">
        <f t="shared" si="166"/>
        <v>0.11846591703484753</v>
      </c>
      <c r="AM400" s="237">
        <f t="shared" si="165"/>
        <v>8.3654208282077092E-3</v>
      </c>
      <c r="AN400" s="237">
        <f t="shared" si="165"/>
        <v>0.65782820636449979</v>
      </c>
      <c r="AO400" s="237">
        <f t="shared" si="165"/>
        <v>1.304198784885487E-2</v>
      </c>
      <c r="AP400" s="237">
        <f t="shared" si="180"/>
        <v>1</v>
      </c>
      <c r="AQ400" s="237"/>
      <c r="AR400" s="237">
        <f t="shared" si="181"/>
        <v>0.61464645366918802</v>
      </c>
      <c r="AS400" s="237">
        <f t="shared" si="182"/>
        <v>0.35993676340465403</v>
      </c>
      <c r="AT400" s="237">
        <f t="shared" si="183"/>
        <v>2.5416782926158003E-2</v>
      </c>
      <c r="AU400" s="237">
        <f t="shared" si="169"/>
        <v>0.98055959563958928</v>
      </c>
      <c r="AV400" s="237">
        <f t="shared" si="169"/>
        <v>1.9440404360410696E-2</v>
      </c>
      <c r="AX400" s="251">
        <f t="shared" si="172"/>
        <v>37988.21708175059</v>
      </c>
      <c r="AY400" s="251">
        <f t="shared" si="172"/>
        <v>23623.697381296308</v>
      </c>
      <c r="AZ400" s="251">
        <f t="shared" si="172"/>
        <v>1662.0965979971043</v>
      </c>
      <c r="BA400" s="251">
        <f t="shared" si="173"/>
        <v>118747.20023891909</v>
      </c>
      <c r="BB400" s="251">
        <f t="shared" si="173"/>
        <v>2370.0617945217555</v>
      </c>
      <c r="BC400" s="251">
        <f t="shared" si="174"/>
        <v>184391.27309448484</v>
      </c>
      <c r="BD400" s="270">
        <f t="shared" si="170"/>
        <v>7.6100191206778574</v>
      </c>
      <c r="BY400" s="252">
        <f t="shared" si="177"/>
        <v>1.5678131264078243</v>
      </c>
      <c r="BZ400" s="252">
        <f t="shared" si="177"/>
        <v>0.9749744971967953</v>
      </c>
      <c r="CA400" s="252">
        <f t="shared" si="177"/>
        <v>6.8596450791303221E-2</v>
      </c>
      <c r="CB400" s="252">
        <f t="shared" si="177"/>
        <v>4.9008201374155229</v>
      </c>
      <c r="CC400" s="252">
        <f t="shared" si="176"/>
        <v>9.7814908866411532E-2</v>
      </c>
    </row>
    <row r="401" spans="1:81">
      <c r="A401" s="11">
        <v>51836</v>
      </c>
      <c r="B401" s="268">
        <v>70</v>
      </c>
      <c r="C401" s="268">
        <v>13</v>
      </c>
      <c r="D401" s="268">
        <f t="shared" si="168"/>
        <v>20</v>
      </c>
      <c r="E401" s="268">
        <v>3</v>
      </c>
      <c r="F401" s="269">
        <v>0.2</v>
      </c>
      <c r="G401" s="269">
        <v>1.32</v>
      </c>
      <c r="H401" s="269"/>
      <c r="I401" s="269">
        <v>5</v>
      </c>
      <c r="J401" s="269"/>
      <c r="K401" s="269"/>
      <c r="L401" s="269"/>
      <c r="M401" s="269">
        <f t="shared" si="167"/>
        <v>1.5</v>
      </c>
      <c r="N401" s="269">
        <v>45</v>
      </c>
      <c r="O401" s="269">
        <f t="shared" si="175"/>
        <v>17.699535849485258</v>
      </c>
      <c r="Q401" s="251">
        <f t="shared" si="184"/>
        <v>176.71953584948523</v>
      </c>
      <c r="R401" s="251">
        <f>'RD Plant List'!N269</f>
        <v>664.33</v>
      </c>
      <c r="S401" s="251">
        <f>SUM(B401:O401)+'RD Plant List'!N269</f>
        <v>841.04953584948521</v>
      </c>
      <c r="T401" s="237">
        <f t="shared" si="171"/>
        <v>0.7898821314121609</v>
      </c>
      <c r="U401" s="251">
        <f t="shared" si="164"/>
        <v>582.91550878990404</v>
      </c>
      <c r="V401" s="271">
        <f t="shared" si="178"/>
        <v>0.69308106591027596</v>
      </c>
      <c r="W401" s="251">
        <f t="shared" si="185"/>
        <v>48.576292399158667</v>
      </c>
      <c r="X401" s="242">
        <f t="shared" si="186"/>
        <v>7.6100191206778574</v>
      </c>
      <c r="Y401" s="273">
        <f t="shared" si="187"/>
        <v>7.6100191206778574</v>
      </c>
      <c r="AB401" s="251">
        <f>SUM('BD Feedstock'!C399,'BD Feedstock'!E399,'BD Feedstock'!G399,'BD Feedstock'!K399,'BD Feedstock'!T399)</f>
        <v>21.812796010427753</v>
      </c>
      <c r="AC401" s="251">
        <f>SUM('BD Feedstock'!D399,'BD Feedstock'!F399,'BD Feedstock'!H399,'BD Feedstock'!I399,'BD Feedstock'!L399,'BD Feedstock'!M399,'BD Feedstock'!N399,'BD Feedstock'!O399,'BD Feedstock'!U399)</f>
        <v>12.773566250859661</v>
      </c>
      <c r="AD401" s="251">
        <f>'BD Feedstock'!J399</f>
        <v>0.90199999999999991</v>
      </c>
      <c r="AE401" s="251">
        <f>SUM('BD Feedstock'!B399,'BD Feedstock'!P399,'BD Feedstock'!Q399,'BD Feedstock'!R399)</f>
        <v>70.93020833333334</v>
      </c>
      <c r="AF401" s="251">
        <f>'BD Feedstock'!S399</f>
        <v>1.40625</v>
      </c>
      <c r="AG401" s="251">
        <f t="shared" si="179"/>
        <v>107.82482059462075</v>
      </c>
      <c r="AK401" s="237">
        <f t="shared" si="166"/>
        <v>0.20229846792359021</v>
      </c>
      <c r="AL401" s="237">
        <f t="shared" si="166"/>
        <v>0.11846591703484753</v>
      </c>
      <c r="AM401" s="237">
        <f t="shared" si="165"/>
        <v>8.3654208282077092E-3</v>
      </c>
      <c r="AN401" s="237">
        <f t="shared" si="165"/>
        <v>0.65782820636449979</v>
      </c>
      <c r="AO401" s="237">
        <f t="shared" si="165"/>
        <v>1.304198784885487E-2</v>
      </c>
      <c r="AP401" s="237">
        <f t="shared" si="180"/>
        <v>1</v>
      </c>
      <c r="AQ401" s="237"/>
      <c r="AR401" s="237">
        <f t="shared" si="181"/>
        <v>0.61464645366918802</v>
      </c>
      <c r="AS401" s="237">
        <f t="shared" si="182"/>
        <v>0.35993676340465403</v>
      </c>
      <c r="AT401" s="237">
        <f t="shared" si="183"/>
        <v>2.5416782926158003E-2</v>
      </c>
      <c r="AU401" s="237">
        <f t="shared" si="169"/>
        <v>0.98055959563958928</v>
      </c>
      <c r="AV401" s="237">
        <f t="shared" si="169"/>
        <v>1.9440404360410696E-2</v>
      </c>
      <c r="AX401" s="251">
        <f t="shared" si="172"/>
        <v>34544.946415134007</v>
      </c>
      <c r="AY401" s="251">
        <f t="shared" si="172"/>
        <v>21482.433840156831</v>
      </c>
      <c r="AZ401" s="251">
        <f t="shared" si="172"/>
        <v>1511.4433454727589</v>
      </c>
      <c r="BA401" s="251">
        <f t="shared" si="173"/>
        <v>107983.89564777157</v>
      </c>
      <c r="BB401" s="251">
        <f t="shared" si="173"/>
        <v>2155.2382286359584</v>
      </c>
      <c r="BC401" s="251">
        <f t="shared" si="174"/>
        <v>167677.95747717112</v>
      </c>
      <c r="BD401" s="270">
        <f t="shared" si="170"/>
        <v>7.6100191206778565</v>
      </c>
      <c r="BY401" s="252">
        <f t="shared" si="177"/>
        <v>1.5678131264078239</v>
      </c>
      <c r="BZ401" s="252">
        <f t="shared" si="177"/>
        <v>0.97497449719679541</v>
      </c>
      <c r="CA401" s="252">
        <f t="shared" si="177"/>
        <v>6.8596450791303235E-2</v>
      </c>
      <c r="CB401" s="252">
        <f t="shared" si="177"/>
        <v>4.9008201374155238</v>
      </c>
      <c r="CC401" s="252">
        <f t="shared" si="176"/>
        <v>9.7814908866411532E-2</v>
      </c>
    </row>
    <row r="402" spans="1:81">
      <c r="A402" s="11">
        <v>51867</v>
      </c>
      <c r="B402" s="268">
        <v>70</v>
      </c>
      <c r="C402" s="268">
        <v>13</v>
      </c>
      <c r="D402" s="268">
        <f t="shared" si="168"/>
        <v>20</v>
      </c>
      <c r="E402" s="268">
        <v>3</v>
      </c>
      <c r="F402" s="269">
        <v>0.2</v>
      </c>
      <c r="G402" s="269">
        <v>1.32</v>
      </c>
      <c r="H402" s="269"/>
      <c r="I402" s="269">
        <v>5</v>
      </c>
      <c r="J402" s="269"/>
      <c r="K402" s="269"/>
      <c r="L402" s="269"/>
      <c r="M402" s="269">
        <f t="shared" si="167"/>
        <v>1.5</v>
      </c>
      <c r="N402" s="269">
        <v>45</v>
      </c>
      <c r="O402" s="269">
        <f t="shared" si="175"/>
        <v>17.699535849485258</v>
      </c>
      <c r="Q402" s="251">
        <f t="shared" si="184"/>
        <v>176.71953584948523</v>
      </c>
      <c r="R402" s="251">
        <f>'RD Plant List'!N270</f>
        <v>664.33</v>
      </c>
      <c r="S402" s="251">
        <f>SUM(B402:O402)+'RD Plant List'!N270</f>
        <v>841.04953584948521</v>
      </c>
      <c r="T402" s="237">
        <f t="shared" si="171"/>
        <v>0.7898821314121609</v>
      </c>
      <c r="U402" s="251">
        <f t="shared" ref="U402:U424" si="188">S402*V402</f>
        <v>477.91471842541523</v>
      </c>
      <c r="V402" s="271">
        <f t="shared" si="178"/>
        <v>0.56823611220795345</v>
      </c>
      <c r="W402" s="251">
        <f t="shared" si="185"/>
        <v>39.826226535451269</v>
      </c>
      <c r="X402" s="242">
        <f t="shared" si="186"/>
        <v>7.6100191206778582</v>
      </c>
      <c r="Y402" s="273">
        <f t="shared" si="187"/>
        <v>7.6100191206778582</v>
      </c>
      <c r="AB402" s="251">
        <f>SUM('BD Feedstock'!C400,'BD Feedstock'!E400,'BD Feedstock'!G400,'BD Feedstock'!K400,'BD Feedstock'!T400)</f>
        <v>21.812796010427753</v>
      </c>
      <c r="AC402" s="251">
        <f>SUM('BD Feedstock'!D400,'BD Feedstock'!F400,'BD Feedstock'!H400,'BD Feedstock'!I400,'BD Feedstock'!L400,'BD Feedstock'!M400,'BD Feedstock'!N400,'BD Feedstock'!O400,'BD Feedstock'!U400)</f>
        <v>12.773566250859661</v>
      </c>
      <c r="AD402" s="251">
        <f>'BD Feedstock'!J400</f>
        <v>0.90199999999999991</v>
      </c>
      <c r="AE402" s="251">
        <f>SUM('BD Feedstock'!B400,'BD Feedstock'!P400,'BD Feedstock'!Q400,'BD Feedstock'!R400)</f>
        <v>70.93020833333334</v>
      </c>
      <c r="AF402" s="251">
        <f>'BD Feedstock'!S400</f>
        <v>1.40625</v>
      </c>
      <c r="AG402" s="251">
        <f t="shared" si="179"/>
        <v>107.82482059462075</v>
      </c>
      <c r="AK402" s="237">
        <f t="shared" si="166"/>
        <v>0.20229846792359021</v>
      </c>
      <c r="AL402" s="237">
        <f t="shared" si="166"/>
        <v>0.11846591703484753</v>
      </c>
      <c r="AM402" s="237">
        <f t="shared" si="165"/>
        <v>8.3654208282077092E-3</v>
      </c>
      <c r="AN402" s="237">
        <f t="shared" si="165"/>
        <v>0.65782820636449979</v>
      </c>
      <c r="AO402" s="237">
        <f t="shared" si="165"/>
        <v>1.304198784885487E-2</v>
      </c>
      <c r="AP402" s="237">
        <f t="shared" si="180"/>
        <v>1</v>
      </c>
      <c r="AQ402" s="237"/>
      <c r="AR402" s="237">
        <f t="shared" si="181"/>
        <v>0.61464645366918802</v>
      </c>
      <c r="AS402" s="237">
        <f t="shared" si="182"/>
        <v>0.35993676340465403</v>
      </c>
      <c r="AT402" s="237">
        <f t="shared" si="183"/>
        <v>2.5416782926158003E-2</v>
      </c>
      <c r="AU402" s="237">
        <f t="shared" si="169"/>
        <v>0.98055959563958928</v>
      </c>
      <c r="AV402" s="237">
        <f t="shared" si="169"/>
        <v>1.9440404360410696E-2</v>
      </c>
      <c r="AX402" s="251">
        <f t="shared" si="172"/>
        <v>28322.352193515311</v>
      </c>
      <c r="AY402" s="251">
        <f t="shared" si="172"/>
        <v>17612.794933393237</v>
      </c>
      <c r="AZ402" s="251">
        <f t="shared" si="172"/>
        <v>1239.1864858204162</v>
      </c>
      <c r="BA402" s="251">
        <f t="shared" si="173"/>
        <v>88532.715813510018</v>
      </c>
      <c r="BB402" s="251">
        <f t="shared" si="173"/>
        <v>1767.0143539610085</v>
      </c>
      <c r="BC402" s="251">
        <f t="shared" si="174"/>
        <v>137474.0637802</v>
      </c>
      <c r="BD402" s="270">
        <f t="shared" si="170"/>
        <v>7.6100191206778582</v>
      </c>
      <c r="BY402" s="252">
        <f t="shared" si="177"/>
        <v>1.5678131264078243</v>
      </c>
      <c r="BZ402" s="252">
        <f t="shared" si="177"/>
        <v>0.97497449719679508</v>
      </c>
      <c r="CA402" s="252">
        <f t="shared" si="177"/>
        <v>6.8596450791303221E-2</v>
      </c>
      <c r="CB402" s="252">
        <f t="shared" si="177"/>
        <v>4.9008201374155238</v>
      </c>
      <c r="CC402" s="252">
        <f t="shared" si="176"/>
        <v>9.7814908866411518E-2</v>
      </c>
    </row>
    <row r="403" spans="1:81">
      <c r="A403" s="11">
        <v>51898</v>
      </c>
      <c r="B403" s="268">
        <v>70</v>
      </c>
      <c r="C403" s="268">
        <v>13</v>
      </c>
      <c r="D403" s="268">
        <f t="shared" si="168"/>
        <v>20</v>
      </c>
      <c r="E403" s="268">
        <v>3</v>
      </c>
      <c r="F403" s="269">
        <v>0.2</v>
      </c>
      <c r="G403" s="269">
        <v>1.32</v>
      </c>
      <c r="H403" s="269"/>
      <c r="I403" s="269">
        <v>5</v>
      </c>
      <c r="J403" s="269"/>
      <c r="K403" s="269"/>
      <c r="L403" s="269"/>
      <c r="M403" s="269">
        <f t="shared" si="167"/>
        <v>1.5</v>
      </c>
      <c r="N403" s="269">
        <v>45</v>
      </c>
      <c r="O403" s="269">
        <f t="shared" si="175"/>
        <v>17.699535849485258</v>
      </c>
      <c r="Q403" s="251">
        <f t="shared" si="184"/>
        <v>176.71953584948523</v>
      </c>
      <c r="R403" s="251">
        <f>'RD Plant List'!N271</f>
        <v>664.33</v>
      </c>
      <c r="S403" s="251">
        <f>SUM(B403:O403)+'RD Plant List'!N271</f>
        <v>841.04953584948521</v>
      </c>
      <c r="T403" s="237">
        <f t="shared" si="171"/>
        <v>0.7898821314121609</v>
      </c>
      <c r="U403" s="251">
        <f t="shared" si="188"/>
        <v>441.90291687509364</v>
      </c>
      <c r="V403" s="271">
        <f t="shared" si="178"/>
        <v>0.52541841834412106</v>
      </c>
      <c r="W403" s="251">
        <f t="shared" si="185"/>
        <v>36.825243072924472</v>
      </c>
      <c r="X403" s="242">
        <f t="shared" si="186"/>
        <v>7.6100191206778591</v>
      </c>
      <c r="Y403" s="273">
        <f t="shared" si="187"/>
        <v>7.6100191206778591</v>
      </c>
      <c r="AB403" s="251">
        <f>SUM('BD Feedstock'!C401,'BD Feedstock'!E401,'BD Feedstock'!G401,'BD Feedstock'!K401,'BD Feedstock'!T401)</f>
        <v>21.812796010427753</v>
      </c>
      <c r="AC403" s="251">
        <f>SUM('BD Feedstock'!D401,'BD Feedstock'!F401,'BD Feedstock'!H401,'BD Feedstock'!I401,'BD Feedstock'!L401,'BD Feedstock'!M401,'BD Feedstock'!N401,'BD Feedstock'!O401,'BD Feedstock'!U401)</f>
        <v>12.773566250859661</v>
      </c>
      <c r="AD403" s="251">
        <f>'BD Feedstock'!J401</f>
        <v>0.90199999999999991</v>
      </c>
      <c r="AE403" s="251">
        <f>SUM('BD Feedstock'!B401,'BD Feedstock'!P401,'BD Feedstock'!Q401,'BD Feedstock'!R401)</f>
        <v>70.93020833333334</v>
      </c>
      <c r="AF403" s="251">
        <f>'BD Feedstock'!S401</f>
        <v>1.40625</v>
      </c>
      <c r="AG403" s="251">
        <f t="shared" si="179"/>
        <v>107.82482059462075</v>
      </c>
      <c r="AK403" s="237">
        <f t="shared" si="166"/>
        <v>0.20229846792359021</v>
      </c>
      <c r="AL403" s="237">
        <f t="shared" si="166"/>
        <v>0.11846591703484753</v>
      </c>
      <c r="AM403" s="237">
        <f t="shared" si="166"/>
        <v>8.3654208282077092E-3</v>
      </c>
      <c r="AN403" s="237">
        <f t="shared" si="166"/>
        <v>0.65782820636449979</v>
      </c>
      <c r="AO403" s="237">
        <f t="shared" si="166"/>
        <v>1.304198784885487E-2</v>
      </c>
      <c r="AP403" s="237">
        <f t="shared" si="180"/>
        <v>1</v>
      </c>
      <c r="AQ403" s="237"/>
      <c r="AR403" s="237">
        <f t="shared" si="181"/>
        <v>0.61464645366918802</v>
      </c>
      <c r="AS403" s="237">
        <f t="shared" si="182"/>
        <v>0.35993676340465403</v>
      </c>
      <c r="AT403" s="237">
        <f t="shared" si="183"/>
        <v>2.5416782926158003E-2</v>
      </c>
      <c r="AU403" s="237">
        <f t="shared" si="169"/>
        <v>0.98055959563958928</v>
      </c>
      <c r="AV403" s="237">
        <f t="shared" si="169"/>
        <v>1.9440404360410696E-2</v>
      </c>
      <c r="AX403" s="251">
        <f t="shared" si="172"/>
        <v>26188.207988893239</v>
      </c>
      <c r="AY403" s="251">
        <f t="shared" si="172"/>
        <v>16285.636652983732</v>
      </c>
      <c r="AZ403" s="251">
        <f t="shared" si="172"/>
        <v>1145.811379152364</v>
      </c>
      <c r="BA403" s="251">
        <f t="shared" si="173"/>
        <v>81861.603856357149</v>
      </c>
      <c r="BB403" s="251">
        <f t="shared" si="173"/>
        <v>1633.8663930422358</v>
      </c>
      <c r="BC403" s="251">
        <f t="shared" si="174"/>
        <v>127115.12627042872</v>
      </c>
      <c r="BD403" s="270">
        <f t="shared" si="170"/>
        <v>7.6100191206778591</v>
      </c>
      <c r="BY403" s="252">
        <f t="shared" si="177"/>
        <v>1.5678131264078241</v>
      </c>
      <c r="BZ403" s="252">
        <f t="shared" si="177"/>
        <v>0.97497449719679508</v>
      </c>
      <c r="CA403" s="252">
        <f t="shared" si="177"/>
        <v>6.8596450791303207E-2</v>
      </c>
      <c r="CB403" s="252">
        <f t="shared" si="177"/>
        <v>4.9008201374155247</v>
      </c>
      <c r="CC403" s="252">
        <f t="shared" si="176"/>
        <v>9.7814908866411532E-2</v>
      </c>
    </row>
    <row r="404" spans="1:81">
      <c r="A404" s="11">
        <v>51926</v>
      </c>
      <c r="B404" s="268">
        <v>70</v>
      </c>
      <c r="C404" s="268">
        <v>13</v>
      </c>
      <c r="D404" s="268">
        <f t="shared" si="168"/>
        <v>20</v>
      </c>
      <c r="E404" s="268">
        <v>3</v>
      </c>
      <c r="F404" s="269">
        <v>0.2</v>
      </c>
      <c r="G404" s="269">
        <v>1.32</v>
      </c>
      <c r="H404" s="269"/>
      <c r="I404" s="269">
        <v>5</v>
      </c>
      <c r="J404" s="269"/>
      <c r="K404" s="269"/>
      <c r="L404" s="269"/>
      <c r="M404" s="269">
        <f t="shared" si="167"/>
        <v>1.5</v>
      </c>
      <c r="N404" s="269">
        <v>45</v>
      </c>
      <c r="O404" s="269">
        <f t="shared" si="175"/>
        <v>17.699535849485258</v>
      </c>
      <c r="Q404" s="251">
        <f t="shared" si="184"/>
        <v>176.71953584948523</v>
      </c>
      <c r="R404" s="251">
        <f>'RD Plant List'!N272</f>
        <v>664.33</v>
      </c>
      <c r="S404" s="251">
        <f>SUM(B404:O404)+'RD Plant List'!N272</f>
        <v>841.04953584948521</v>
      </c>
      <c r="T404" s="237">
        <f t="shared" si="171"/>
        <v>0.7898821314121609</v>
      </c>
      <c r="U404" s="251">
        <f t="shared" si="188"/>
        <v>491.0789354330422</v>
      </c>
      <c r="V404" s="271">
        <f t="shared" si="178"/>
        <v>0.58388824260753891</v>
      </c>
      <c r="W404" s="251">
        <f t="shared" si="185"/>
        <v>40.923244619420181</v>
      </c>
      <c r="X404" s="242">
        <f t="shared" si="186"/>
        <v>7.6100191206778574</v>
      </c>
      <c r="Y404" s="273">
        <f t="shared" si="187"/>
        <v>7.6100191206778574</v>
      </c>
      <c r="AB404" s="251">
        <f>SUM('BD Feedstock'!C402,'BD Feedstock'!E402,'BD Feedstock'!G402,'BD Feedstock'!K402,'BD Feedstock'!T402)</f>
        <v>21.812796010427753</v>
      </c>
      <c r="AC404" s="251">
        <f>SUM('BD Feedstock'!D402,'BD Feedstock'!F402,'BD Feedstock'!H402,'BD Feedstock'!I402,'BD Feedstock'!L402,'BD Feedstock'!M402,'BD Feedstock'!N402,'BD Feedstock'!O402,'BD Feedstock'!U402)</f>
        <v>12.773566250859661</v>
      </c>
      <c r="AD404" s="251">
        <f>'BD Feedstock'!J402</f>
        <v>0.90199999999999991</v>
      </c>
      <c r="AE404" s="251">
        <f>SUM('BD Feedstock'!B402,'BD Feedstock'!P402,'BD Feedstock'!Q402,'BD Feedstock'!R402)</f>
        <v>70.93020833333334</v>
      </c>
      <c r="AF404" s="251">
        <f>'BD Feedstock'!S402</f>
        <v>1.40625</v>
      </c>
      <c r="AG404" s="251">
        <f t="shared" si="179"/>
        <v>107.82482059462075</v>
      </c>
      <c r="AK404" s="237">
        <f t="shared" ref="AK404:AO426" si="189">AB404/$AG404</f>
        <v>0.20229846792359021</v>
      </c>
      <c r="AL404" s="237">
        <f t="shared" si="189"/>
        <v>0.11846591703484753</v>
      </c>
      <c r="AM404" s="237">
        <f t="shared" si="189"/>
        <v>8.3654208282077092E-3</v>
      </c>
      <c r="AN404" s="237">
        <f t="shared" si="189"/>
        <v>0.65782820636449979</v>
      </c>
      <c r="AO404" s="237">
        <f t="shared" si="189"/>
        <v>1.304198784885487E-2</v>
      </c>
      <c r="AP404" s="237">
        <f t="shared" si="180"/>
        <v>1</v>
      </c>
      <c r="AQ404" s="237"/>
      <c r="AR404" s="237">
        <f t="shared" si="181"/>
        <v>0.61464645366918802</v>
      </c>
      <c r="AS404" s="237">
        <f t="shared" si="182"/>
        <v>0.35993676340465403</v>
      </c>
      <c r="AT404" s="237">
        <f t="shared" si="183"/>
        <v>2.5416782926158003E-2</v>
      </c>
      <c r="AU404" s="237">
        <f t="shared" si="169"/>
        <v>0.98055959563958928</v>
      </c>
      <c r="AV404" s="237">
        <f t="shared" si="169"/>
        <v>1.9440404360410696E-2</v>
      </c>
      <c r="AX404" s="251">
        <f t="shared" si="172"/>
        <v>29102.494708628205</v>
      </c>
      <c r="AY404" s="251">
        <f t="shared" si="172"/>
        <v>18097.941436890611</v>
      </c>
      <c r="AZ404" s="251">
        <f t="shared" si="172"/>
        <v>1273.320023004633</v>
      </c>
      <c r="BA404" s="251">
        <f t="shared" si="173"/>
        <v>90971.359860890399</v>
      </c>
      <c r="BB404" s="251">
        <f t="shared" si="173"/>
        <v>1815.6869717196196</v>
      </c>
      <c r="BC404" s="251">
        <f t="shared" si="174"/>
        <v>141260.80300113346</v>
      </c>
      <c r="BD404" s="270">
        <f t="shared" si="170"/>
        <v>7.6100191206778565</v>
      </c>
      <c r="BY404" s="252">
        <f t="shared" si="177"/>
        <v>1.5678131264078243</v>
      </c>
      <c r="BZ404" s="252">
        <f t="shared" si="177"/>
        <v>0.97497449719679541</v>
      </c>
      <c r="CA404" s="252">
        <f t="shared" si="177"/>
        <v>6.8596450791303207E-2</v>
      </c>
      <c r="CB404" s="252">
        <f t="shared" si="177"/>
        <v>4.9008201374155238</v>
      </c>
      <c r="CC404" s="252">
        <f t="shared" si="176"/>
        <v>9.7814908866411532E-2</v>
      </c>
    </row>
    <row r="405" spans="1:81">
      <c r="A405" s="11">
        <v>51957</v>
      </c>
      <c r="B405" s="268">
        <v>70</v>
      </c>
      <c r="C405" s="268">
        <v>13</v>
      </c>
      <c r="D405" s="268">
        <f t="shared" si="168"/>
        <v>20</v>
      </c>
      <c r="E405" s="268">
        <v>3</v>
      </c>
      <c r="F405" s="269">
        <v>0.2</v>
      </c>
      <c r="G405" s="269">
        <v>1.32</v>
      </c>
      <c r="H405" s="269"/>
      <c r="I405" s="269">
        <v>5</v>
      </c>
      <c r="J405" s="269"/>
      <c r="K405" s="269"/>
      <c r="L405" s="269"/>
      <c r="M405" s="269">
        <f t="shared" si="167"/>
        <v>1.5</v>
      </c>
      <c r="N405" s="269">
        <v>45</v>
      </c>
      <c r="O405" s="269">
        <f t="shared" si="175"/>
        <v>17.699535849485258</v>
      </c>
      <c r="Q405" s="251">
        <f t="shared" si="184"/>
        <v>176.71953584948523</v>
      </c>
      <c r="R405" s="251">
        <f>'RD Plant List'!N273</f>
        <v>664.33</v>
      </c>
      <c r="S405" s="251">
        <f>SUM(B405:O405)+'RD Plant List'!N273</f>
        <v>841.04953584948521</v>
      </c>
      <c r="T405" s="237">
        <f t="shared" si="171"/>
        <v>0.7898821314121609</v>
      </c>
      <c r="U405" s="251">
        <f t="shared" si="188"/>
        <v>499.54992622120557</v>
      </c>
      <c r="V405" s="271">
        <f t="shared" si="178"/>
        <v>0.59396017110531452</v>
      </c>
      <c r="W405" s="251">
        <f t="shared" si="185"/>
        <v>41.6291605184338</v>
      </c>
      <c r="X405" s="242">
        <f t="shared" si="186"/>
        <v>7.6100191206778582</v>
      </c>
      <c r="Y405" s="273">
        <f t="shared" si="187"/>
        <v>7.6100191206778582</v>
      </c>
      <c r="AB405" s="251">
        <f>SUM('BD Feedstock'!C403,'BD Feedstock'!E403,'BD Feedstock'!G403,'BD Feedstock'!K403,'BD Feedstock'!T403)</f>
        <v>21.812796010427753</v>
      </c>
      <c r="AC405" s="251">
        <f>SUM('BD Feedstock'!D403,'BD Feedstock'!F403,'BD Feedstock'!H403,'BD Feedstock'!I403,'BD Feedstock'!L403,'BD Feedstock'!M403,'BD Feedstock'!N403,'BD Feedstock'!O403,'BD Feedstock'!U403)</f>
        <v>12.773566250859661</v>
      </c>
      <c r="AD405" s="251">
        <f>'BD Feedstock'!J403</f>
        <v>0.90199999999999991</v>
      </c>
      <c r="AE405" s="251">
        <f>SUM('BD Feedstock'!B403,'BD Feedstock'!P403,'BD Feedstock'!Q403,'BD Feedstock'!R403)</f>
        <v>70.93020833333334</v>
      </c>
      <c r="AF405" s="251">
        <f>'BD Feedstock'!S403</f>
        <v>1.40625</v>
      </c>
      <c r="AG405" s="251">
        <f t="shared" si="179"/>
        <v>107.82482059462075</v>
      </c>
      <c r="AK405" s="237">
        <f t="shared" si="189"/>
        <v>0.20229846792359021</v>
      </c>
      <c r="AL405" s="237">
        <f t="shared" si="189"/>
        <v>0.11846591703484753</v>
      </c>
      <c r="AM405" s="237">
        <f t="shared" si="189"/>
        <v>8.3654208282077092E-3</v>
      </c>
      <c r="AN405" s="237">
        <f t="shared" si="189"/>
        <v>0.65782820636449979</v>
      </c>
      <c r="AO405" s="237">
        <f t="shared" si="189"/>
        <v>1.304198784885487E-2</v>
      </c>
      <c r="AP405" s="237">
        <f t="shared" si="180"/>
        <v>1</v>
      </c>
      <c r="AQ405" s="237"/>
      <c r="AR405" s="237">
        <f t="shared" si="181"/>
        <v>0.61464645366918802</v>
      </c>
      <c r="AS405" s="237">
        <f t="shared" si="182"/>
        <v>0.35993676340465403</v>
      </c>
      <c r="AT405" s="237">
        <f t="shared" si="183"/>
        <v>2.5416782926158003E-2</v>
      </c>
      <c r="AU405" s="237">
        <f t="shared" si="169"/>
        <v>0.98055959563958928</v>
      </c>
      <c r="AV405" s="237">
        <f t="shared" si="169"/>
        <v>1.9440404360410696E-2</v>
      </c>
      <c r="AX405" s="251">
        <f t="shared" si="172"/>
        <v>29604.505580611487</v>
      </c>
      <c r="AY405" s="251">
        <f t="shared" si="172"/>
        <v>18410.126473012002</v>
      </c>
      <c r="AZ405" s="251">
        <f t="shared" si="172"/>
        <v>1295.2844800541802</v>
      </c>
      <c r="BA405" s="251">
        <f t="shared" si="173"/>
        <v>92540.59343163755</v>
      </c>
      <c r="BB405" s="251">
        <f t="shared" si="173"/>
        <v>1847.0071251651389</v>
      </c>
      <c r="BC405" s="251">
        <f t="shared" si="174"/>
        <v>143697.51709048037</v>
      </c>
      <c r="BD405" s="270">
        <f t="shared" si="170"/>
        <v>7.6100191206778591</v>
      </c>
      <c r="BY405" s="252">
        <f t="shared" si="177"/>
        <v>1.5678131264078239</v>
      </c>
      <c r="BZ405" s="252">
        <f t="shared" si="177"/>
        <v>0.97497449719679485</v>
      </c>
      <c r="CA405" s="252">
        <f t="shared" si="177"/>
        <v>6.8596450791303207E-2</v>
      </c>
      <c r="CB405" s="252">
        <f t="shared" si="177"/>
        <v>4.9008201374155238</v>
      </c>
      <c r="CC405" s="252">
        <f t="shared" si="176"/>
        <v>9.7814908866411518E-2</v>
      </c>
    </row>
    <row r="406" spans="1:81">
      <c r="A406" s="11">
        <v>51987</v>
      </c>
      <c r="B406" s="268">
        <v>70</v>
      </c>
      <c r="C406" s="268">
        <v>13</v>
      </c>
      <c r="D406" s="268">
        <f t="shared" si="168"/>
        <v>20</v>
      </c>
      <c r="E406" s="268">
        <v>3</v>
      </c>
      <c r="F406" s="269">
        <v>0.2</v>
      </c>
      <c r="G406" s="269">
        <v>1.32</v>
      </c>
      <c r="H406" s="269"/>
      <c r="I406" s="269">
        <v>5</v>
      </c>
      <c r="J406" s="269"/>
      <c r="K406" s="269"/>
      <c r="L406" s="269"/>
      <c r="M406" s="269">
        <f t="shared" si="167"/>
        <v>1.5</v>
      </c>
      <c r="N406" s="269">
        <v>45</v>
      </c>
      <c r="O406" s="269">
        <f t="shared" si="175"/>
        <v>17.699535849485258</v>
      </c>
      <c r="Q406" s="251">
        <f t="shared" si="184"/>
        <v>176.71953584948523</v>
      </c>
      <c r="R406" s="251">
        <f>'RD Plant List'!N274</f>
        <v>664.33</v>
      </c>
      <c r="S406" s="251">
        <f>SUM(B406:O406)+'RD Plant List'!N274</f>
        <v>841.04953584948521</v>
      </c>
      <c r="T406" s="237">
        <f t="shared" si="171"/>
        <v>0.7898821314121609</v>
      </c>
      <c r="U406" s="251">
        <f t="shared" si="188"/>
        <v>485.36558490807943</v>
      </c>
      <c r="V406" s="271">
        <f t="shared" si="178"/>
        <v>0.57709512248627026</v>
      </c>
      <c r="W406" s="251">
        <f t="shared" si="185"/>
        <v>40.447132075673288</v>
      </c>
      <c r="X406" s="242">
        <f t="shared" si="186"/>
        <v>7.6100191206778556</v>
      </c>
      <c r="Y406" s="273">
        <f t="shared" si="187"/>
        <v>7.6100191206778556</v>
      </c>
      <c r="AB406" s="251">
        <f>SUM('BD Feedstock'!C404,'BD Feedstock'!E404,'BD Feedstock'!G404,'BD Feedstock'!K404,'BD Feedstock'!T404)</f>
        <v>21.812796010427753</v>
      </c>
      <c r="AC406" s="251">
        <f>SUM('BD Feedstock'!D404,'BD Feedstock'!F404,'BD Feedstock'!H404,'BD Feedstock'!I404,'BD Feedstock'!L404,'BD Feedstock'!M404,'BD Feedstock'!N404,'BD Feedstock'!O404,'BD Feedstock'!U404)</f>
        <v>12.773566250859661</v>
      </c>
      <c r="AD406" s="251">
        <f>'BD Feedstock'!J404</f>
        <v>0.90199999999999991</v>
      </c>
      <c r="AE406" s="251">
        <f>SUM('BD Feedstock'!B404,'BD Feedstock'!P404,'BD Feedstock'!Q404,'BD Feedstock'!R404)</f>
        <v>70.93020833333334</v>
      </c>
      <c r="AF406" s="251">
        <f>'BD Feedstock'!S404</f>
        <v>1.40625</v>
      </c>
      <c r="AG406" s="251">
        <f t="shared" si="179"/>
        <v>107.82482059462075</v>
      </c>
      <c r="AK406" s="237">
        <f t="shared" si="189"/>
        <v>0.20229846792359021</v>
      </c>
      <c r="AL406" s="237">
        <f t="shared" si="189"/>
        <v>0.11846591703484753</v>
      </c>
      <c r="AM406" s="237">
        <f t="shared" si="189"/>
        <v>8.3654208282077092E-3</v>
      </c>
      <c r="AN406" s="237">
        <f t="shared" si="189"/>
        <v>0.65782820636449979</v>
      </c>
      <c r="AO406" s="237">
        <f t="shared" si="189"/>
        <v>1.304198784885487E-2</v>
      </c>
      <c r="AP406" s="237">
        <f t="shared" si="180"/>
        <v>1</v>
      </c>
      <c r="AQ406" s="237"/>
      <c r="AR406" s="237">
        <f t="shared" si="181"/>
        <v>0.61464645366918802</v>
      </c>
      <c r="AS406" s="237">
        <f t="shared" si="182"/>
        <v>0.35993676340465403</v>
      </c>
      <c r="AT406" s="237">
        <f t="shared" si="183"/>
        <v>2.5416782926158003E-2</v>
      </c>
      <c r="AU406" s="237">
        <f t="shared" si="169"/>
        <v>0.98055959563958928</v>
      </c>
      <c r="AV406" s="237">
        <f t="shared" si="169"/>
        <v>1.9440404360410696E-2</v>
      </c>
      <c r="AX406" s="251">
        <f t="shared" si="172"/>
        <v>28763.908095715055</v>
      </c>
      <c r="AY406" s="251">
        <f t="shared" si="172"/>
        <v>17887.384893433857</v>
      </c>
      <c r="AZ406" s="251">
        <f t="shared" si="172"/>
        <v>1258.5058595433889</v>
      </c>
      <c r="BA406" s="251">
        <f t="shared" si="173"/>
        <v>89912.973460831374</v>
      </c>
      <c r="BB406" s="251">
        <f t="shared" si="173"/>
        <v>1794.5627585543884</v>
      </c>
      <c r="BC406" s="251">
        <f t="shared" si="174"/>
        <v>139617.33506807804</v>
      </c>
      <c r="BD406" s="270">
        <f t="shared" si="170"/>
        <v>7.6100191206778565</v>
      </c>
      <c r="BY406" s="252">
        <f t="shared" si="177"/>
        <v>1.5678131264078237</v>
      </c>
      <c r="BZ406" s="252">
        <f t="shared" si="177"/>
        <v>0.9749744971967953</v>
      </c>
      <c r="CA406" s="252">
        <f t="shared" si="177"/>
        <v>6.8596450791303221E-2</v>
      </c>
      <c r="CB406" s="252">
        <f t="shared" si="177"/>
        <v>4.9008201374155229</v>
      </c>
      <c r="CC406" s="252">
        <f t="shared" si="176"/>
        <v>9.7814908866411504E-2</v>
      </c>
    </row>
    <row r="407" spans="1:81">
      <c r="A407" s="11">
        <v>52018</v>
      </c>
      <c r="B407" s="268">
        <v>70</v>
      </c>
      <c r="C407" s="268">
        <v>13</v>
      </c>
      <c r="D407" s="268">
        <f t="shared" si="168"/>
        <v>20</v>
      </c>
      <c r="E407" s="268">
        <v>3</v>
      </c>
      <c r="F407" s="269">
        <v>0.2</v>
      </c>
      <c r="G407" s="269">
        <v>1.32</v>
      </c>
      <c r="H407" s="269"/>
      <c r="I407" s="269">
        <v>5</v>
      </c>
      <c r="J407" s="269"/>
      <c r="K407" s="269"/>
      <c r="L407" s="269"/>
      <c r="M407" s="269">
        <f t="shared" ref="M407:M470" si="190">$M$3</f>
        <v>1.5</v>
      </c>
      <c r="N407" s="269">
        <v>45</v>
      </c>
      <c r="O407" s="269">
        <f t="shared" si="175"/>
        <v>17.699535849485258</v>
      </c>
      <c r="Q407" s="251">
        <f t="shared" si="184"/>
        <v>176.71953584948523</v>
      </c>
      <c r="R407" s="251">
        <f>'RD Plant List'!N275</f>
        <v>664.33</v>
      </c>
      <c r="S407" s="251">
        <f>SUM(B407:O407)+'RD Plant List'!N275</f>
        <v>841.04953584948521</v>
      </c>
      <c r="T407" s="237">
        <f t="shared" si="171"/>
        <v>0.7898821314121609</v>
      </c>
      <c r="U407" s="251">
        <f t="shared" si="188"/>
        <v>541.70005572189984</v>
      </c>
      <c r="V407" s="271">
        <f t="shared" si="178"/>
        <v>0.64407627925835143</v>
      </c>
      <c r="W407" s="251">
        <f t="shared" si="185"/>
        <v>45.141671310158323</v>
      </c>
      <c r="X407" s="242">
        <f t="shared" si="186"/>
        <v>7.6100191206778582</v>
      </c>
      <c r="Y407" s="273">
        <f t="shared" si="187"/>
        <v>7.6100191206778582</v>
      </c>
      <c r="AB407" s="251">
        <f>SUM('BD Feedstock'!C405,'BD Feedstock'!E405,'BD Feedstock'!G405,'BD Feedstock'!K405,'BD Feedstock'!T405)</f>
        <v>21.812796010427753</v>
      </c>
      <c r="AC407" s="251">
        <f>SUM('BD Feedstock'!D405,'BD Feedstock'!F405,'BD Feedstock'!H405,'BD Feedstock'!I405,'BD Feedstock'!L405,'BD Feedstock'!M405,'BD Feedstock'!N405,'BD Feedstock'!O405,'BD Feedstock'!U405)</f>
        <v>12.773566250859661</v>
      </c>
      <c r="AD407" s="251">
        <f>'BD Feedstock'!J405</f>
        <v>0.90199999999999991</v>
      </c>
      <c r="AE407" s="251">
        <f>SUM('BD Feedstock'!B405,'BD Feedstock'!P405,'BD Feedstock'!Q405,'BD Feedstock'!R405)</f>
        <v>70.93020833333334</v>
      </c>
      <c r="AF407" s="251">
        <f>'BD Feedstock'!S405</f>
        <v>1.40625</v>
      </c>
      <c r="AG407" s="251">
        <f t="shared" si="179"/>
        <v>107.82482059462075</v>
      </c>
      <c r="AK407" s="237">
        <f t="shared" si="189"/>
        <v>0.20229846792359021</v>
      </c>
      <c r="AL407" s="237">
        <f t="shared" si="189"/>
        <v>0.11846591703484753</v>
      </c>
      <c r="AM407" s="237">
        <f t="shared" si="189"/>
        <v>8.3654208282077092E-3</v>
      </c>
      <c r="AN407" s="237">
        <f t="shared" si="189"/>
        <v>0.65782820636449979</v>
      </c>
      <c r="AO407" s="237">
        <f t="shared" si="189"/>
        <v>1.304198784885487E-2</v>
      </c>
      <c r="AP407" s="237">
        <f t="shared" si="180"/>
        <v>1</v>
      </c>
      <c r="AQ407" s="237"/>
      <c r="AR407" s="237">
        <f t="shared" si="181"/>
        <v>0.61464645366918802</v>
      </c>
      <c r="AS407" s="237">
        <f t="shared" si="182"/>
        <v>0.35993676340465403</v>
      </c>
      <c r="AT407" s="237">
        <f t="shared" si="183"/>
        <v>2.5416782926158003E-2</v>
      </c>
      <c r="AU407" s="237">
        <f t="shared" si="169"/>
        <v>0.98055959563958928</v>
      </c>
      <c r="AV407" s="237">
        <f t="shared" si="169"/>
        <v>1.9440404360410696E-2</v>
      </c>
      <c r="AX407" s="251">
        <f t="shared" si="172"/>
        <v>32102.421561634466</v>
      </c>
      <c r="AY407" s="251">
        <f t="shared" si="172"/>
        <v>19963.503171176104</v>
      </c>
      <c r="AZ407" s="251">
        <f t="shared" si="172"/>
        <v>1404.5756754057882</v>
      </c>
      <c r="BA407" s="251">
        <f t="shared" si="173"/>
        <v>100348.81798032338</v>
      </c>
      <c r="BB407" s="251">
        <f t="shared" si="173"/>
        <v>2002.8505863048815</v>
      </c>
      <c r="BC407" s="251">
        <f t="shared" si="174"/>
        <v>155822.16897484462</v>
      </c>
      <c r="BD407" s="270">
        <f t="shared" si="170"/>
        <v>7.6100191206778574</v>
      </c>
      <c r="BY407" s="252">
        <f t="shared" si="177"/>
        <v>1.5678131264078243</v>
      </c>
      <c r="BZ407" s="252">
        <f t="shared" si="177"/>
        <v>0.9749744971967953</v>
      </c>
      <c r="CA407" s="252">
        <f t="shared" si="177"/>
        <v>6.8596450791303221E-2</v>
      </c>
      <c r="CB407" s="252">
        <f t="shared" si="177"/>
        <v>4.9008201374155229</v>
      </c>
      <c r="CC407" s="252">
        <f t="shared" si="176"/>
        <v>9.7814908866411532E-2</v>
      </c>
    </row>
    <row r="408" spans="1:81">
      <c r="A408" s="11">
        <v>52048</v>
      </c>
      <c r="B408" s="268">
        <v>70</v>
      </c>
      <c r="C408" s="268">
        <v>13</v>
      </c>
      <c r="D408" s="268">
        <f t="shared" si="168"/>
        <v>20</v>
      </c>
      <c r="E408" s="268">
        <v>3</v>
      </c>
      <c r="F408" s="269">
        <v>0.2</v>
      </c>
      <c r="G408" s="269">
        <v>1.32</v>
      </c>
      <c r="H408" s="269"/>
      <c r="I408" s="269">
        <v>5</v>
      </c>
      <c r="J408" s="269"/>
      <c r="K408" s="269"/>
      <c r="L408" s="269"/>
      <c r="M408" s="269">
        <f t="shared" si="190"/>
        <v>1.5</v>
      </c>
      <c r="N408" s="269">
        <v>45</v>
      </c>
      <c r="O408" s="269">
        <f t="shared" si="175"/>
        <v>17.699535849485258</v>
      </c>
      <c r="Q408" s="251">
        <f t="shared" si="184"/>
        <v>176.71953584948523</v>
      </c>
      <c r="R408" s="251">
        <f>'RD Plant List'!N276</f>
        <v>664.33</v>
      </c>
      <c r="S408" s="251">
        <f>SUM(B408:O408)+'RD Plant List'!N276</f>
        <v>841.04953584948521</v>
      </c>
      <c r="T408" s="237">
        <f t="shared" si="171"/>
        <v>0.7898821314121609</v>
      </c>
      <c r="U408" s="251">
        <f t="shared" si="188"/>
        <v>556.29793586532662</v>
      </c>
      <c r="V408" s="271">
        <f t="shared" si="178"/>
        <v>0.66143302166316409</v>
      </c>
      <c r="W408" s="251">
        <f t="shared" si="185"/>
        <v>46.358161322110554</v>
      </c>
      <c r="X408" s="242">
        <f t="shared" si="186"/>
        <v>7.6100191206778574</v>
      </c>
      <c r="Y408" s="273">
        <f t="shared" si="187"/>
        <v>7.6100191206778574</v>
      </c>
      <c r="AB408" s="251">
        <f>SUM('BD Feedstock'!C406,'BD Feedstock'!E406,'BD Feedstock'!G406,'BD Feedstock'!K406,'BD Feedstock'!T406)</f>
        <v>21.812796010427753</v>
      </c>
      <c r="AC408" s="251">
        <f>SUM('BD Feedstock'!D406,'BD Feedstock'!F406,'BD Feedstock'!H406,'BD Feedstock'!I406,'BD Feedstock'!L406,'BD Feedstock'!M406,'BD Feedstock'!N406,'BD Feedstock'!O406,'BD Feedstock'!U406)</f>
        <v>12.773566250859661</v>
      </c>
      <c r="AD408" s="251">
        <f>'BD Feedstock'!J406</f>
        <v>0.90199999999999991</v>
      </c>
      <c r="AE408" s="251">
        <f>SUM('BD Feedstock'!B406,'BD Feedstock'!P406,'BD Feedstock'!Q406,'BD Feedstock'!R406)</f>
        <v>70.93020833333334</v>
      </c>
      <c r="AF408" s="251">
        <f>'BD Feedstock'!S406</f>
        <v>1.40625</v>
      </c>
      <c r="AG408" s="251">
        <f t="shared" si="179"/>
        <v>107.82482059462075</v>
      </c>
      <c r="AK408" s="237">
        <f t="shared" si="189"/>
        <v>0.20229846792359021</v>
      </c>
      <c r="AL408" s="237">
        <f t="shared" si="189"/>
        <v>0.11846591703484753</v>
      </c>
      <c r="AM408" s="237">
        <f t="shared" si="189"/>
        <v>8.3654208282077092E-3</v>
      </c>
      <c r="AN408" s="237">
        <f t="shared" si="189"/>
        <v>0.65782820636449979</v>
      </c>
      <c r="AO408" s="237">
        <f t="shared" si="189"/>
        <v>1.304198784885487E-2</v>
      </c>
      <c r="AP408" s="237">
        <f t="shared" si="180"/>
        <v>1</v>
      </c>
      <c r="AQ408" s="237"/>
      <c r="AR408" s="237">
        <f t="shared" si="181"/>
        <v>0.61464645366918802</v>
      </c>
      <c r="AS408" s="237">
        <f t="shared" si="182"/>
        <v>0.35993676340465403</v>
      </c>
      <c r="AT408" s="237">
        <f t="shared" si="183"/>
        <v>2.5416782926158003E-2</v>
      </c>
      <c r="AU408" s="237">
        <f t="shared" si="169"/>
        <v>0.98055959563958928</v>
      </c>
      <c r="AV408" s="237">
        <f t="shared" si="169"/>
        <v>1.9440404360410696E-2</v>
      </c>
      <c r="AX408" s="251">
        <f t="shared" si="172"/>
        <v>32967.526331922854</v>
      </c>
      <c r="AY408" s="251">
        <f t="shared" si="172"/>
        <v>20501.485073628341</v>
      </c>
      <c r="AZ408" s="251">
        <f t="shared" si="172"/>
        <v>1442.4265619718267</v>
      </c>
      <c r="BA408" s="251">
        <f t="shared" si="173"/>
        <v>103053.04516645342</v>
      </c>
      <c r="BB408" s="251">
        <f t="shared" si="173"/>
        <v>2056.82394756863</v>
      </c>
      <c r="BC408" s="251">
        <f t="shared" si="174"/>
        <v>160021.30708154506</v>
      </c>
      <c r="BD408" s="270">
        <f t="shared" si="170"/>
        <v>7.6100191206778574</v>
      </c>
      <c r="BY408" s="252">
        <f t="shared" si="177"/>
        <v>1.5678131264078243</v>
      </c>
      <c r="BZ408" s="252">
        <f t="shared" si="177"/>
        <v>0.97497449719679508</v>
      </c>
      <c r="CA408" s="252">
        <f t="shared" si="177"/>
        <v>6.8596450791303207E-2</v>
      </c>
      <c r="CB408" s="252">
        <f t="shared" si="177"/>
        <v>4.9008201374155229</v>
      </c>
      <c r="CC408" s="252">
        <f t="shared" si="176"/>
        <v>9.7814908866411532E-2</v>
      </c>
    </row>
    <row r="409" spans="1:81">
      <c r="A409" s="11">
        <v>52079</v>
      </c>
      <c r="B409" s="268">
        <v>70</v>
      </c>
      <c r="C409" s="268">
        <v>13</v>
      </c>
      <c r="D409" s="268">
        <f t="shared" si="168"/>
        <v>20</v>
      </c>
      <c r="E409" s="268">
        <v>3</v>
      </c>
      <c r="F409" s="269">
        <v>0.2</v>
      </c>
      <c r="G409" s="269">
        <v>1.32</v>
      </c>
      <c r="H409" s="269"/>
      <c r="I409" s="269">
        <v>5</v>
      </c>
      <c r="J409" s="269"/>
      <c r="K409" s="269"/>
      <c r="L409" s="269"/>
      <c r="M409" s="269">
        <f t="shared" si="190"/>
        <v>1.5</v>
      </c>
      <c r="N409" s="269">
        <v>45</v>
      </c>
      <c r="O409" s="269">
        <f t="shared" si="175"/>
        <v>17.699535849485258</v>
      </c>
      <c r="Q409" s="251">
        <f t="shared" si="184"/>
        <v>176.71953584948523</v>
      </c>
      <c r="R409" s="251">
        <f>'RD Plant List'!N277</f>
        <v>664.33</v>
      </c>
      <c r="S409" s="251">
        <f>SUM(B409:O409)+'RD Plant List'!N277</f>
        <v>841.04953584948521</v>
      </c>
      <c r="T409" s="237">
        <f t="shared" si="171"/>
        <v>0.7898821314121609</v>
      </c>
      <c r="U409" s="251">
        <f t="shared" si="188"/>
        <v>524.99506134679621</v>
      </c>
      <c r="V409" s="271">
        <f t="shared" si="178"/>
        <v>0.62421419781955589</v>
      </c>
      <c r="W409" s="251">
        <f t="shared" si="185"/>
        <v>43.749588445566353</v>
      </c>
      <c r="X409" s="242">
        <f t="shared" si="186"/>
        <v>7.6100191206778582</v>
      </c>
      <c r="Y409" s="273">
        <f t="shared" si="187"/>
        <v>7.6100191206778582</v>
      </c>
      <c r="AB409" s="251">
        <f>SUM('BD Feedstock'!C407,'BD Feedstock'!E407,'BD Feedstock'!G407,'BD Feedstock'!K407,'BD Feedstock'!T407)</f>
        <v>21.812796010427753</v>
      </c>
      <c r="AC409" s="251">
        <f>SUM('BD Feedstock'!D407,'BD Feedstock'!F407,'BD Feedstock'!H407,'BD Feedstock'!I407,'BD Feedstock'!L407,'BD Feedstock'!M407,'BD Feedstock'!N407,'BD Feedstock'!O407,'BD Feedstock'!U407)</f>
        <v>12.773566250859661</v>
      </c>
      <c r="AD409" s="251">
        <f>'BD Feedstock'!J407</f>
        <v>0.90199999999999991</v>
      </c>
      <c r="AE409" s="251">
        <f>SUM('BD Feedstock'!B407,'BD Feedstock'!P407,'BD Feedstock'!Q407,'BD Feedstock'!R407)</f>
        <v>70.93020833333334</v>
      </c>
      <c r="AF409" s="251">
        <f>'BD Feedstock'!S407</f>
        <v>1.40625</v>
      </c>
      <c r="AG409" s="251">
        <f t="shared" si="179"/>
        <v>107.82482059462075</v>
      </c>
      <c r="AK409" s="237">
        <f t="shared" si="189"/>
        <v>0.20229846792359021</v>
      </c>
      <c r="AL409" s="237">
        <f t="shared" si="189"/>
        <v>0.11846591703484753</v>
      </c>
      <c r="AM409" s="237">
        <f t="shared" si="189"/>
        <v>8.3654208282077092E-3</v>
      </c>
      <c r="AN409" s="237">
        <f t="shared" si="189"/>
        <v>0.65782820636449979</v>
      </c>
      <c r="AO409" s="237">
        <f t="shared" si="189"/>
        <v>1.304198784885487E-2</v>
      </c>
      <c r="AP409" s="237">
        <f t="shared" si="180"/>
        <v>1</v>
      </c>
      <c r="AQ409" s="237"/>
      <c r="AR409" s="237">
        <f t="shared" si="181"/>
        <v>0.61464645366918802</v>
      </c>
      <c r="AS409" s="237">
        <f t="shared" si="182"/>
        <v>0.35993676340465403</v>
      </c>
      <c r="AT409" s="237">
        <f t="shared" si="183"/>
        <v>2.5416782926158003E-2</v>
      </c>
      <c r="AU409" s="237">
        <f t="shared" si="169"/>
        <v>0.98055959563958928</v>
      </c>
      <c r="AV409" s="237">
        <f t="shared" si="169"/>
        <v>1.9440404360410696E-2</v>
      </c>
      <c r="AX409" s="251">
        <f t="shared" si="172"/>
        <v>31112.444237560456</v>
      </c>
      <c r="AY409" s="251">
        <f t="shared" si="172"/>
        <v>19347.866889327412</v>
      </c>
      <c r="AZ409" s="251">
        <f t="shared" si="172"/>
        <v>1361.2612461211309</v>
      </c>
      <c r="BA409" s="251">
        <f t="shared" si="173"/>
        <v>97254.252229032063</v>
      </c>
      <c r="BB409" s="251">
        <f t="shared" si="173"/>
        <v>1941.0865022421453</v>
      </c>
      <c r="BC409" s="251">
        <f t="shared" si="174"/>
        <v>151016.91110428321</v>
      </c>
      <c r="BD409" s="270">
        <f t="shared" si="170"/>
        <v>7.6100191206778582</v>
      </c>
      <c r="BY409" s="252">
        <f t="shared" si="177"/>
        <v>1.5678131264078241</v>
      </c>
      <c r="BZ409" s="252">
        <f t="shared" si="177"/>
        <v>0.97497449719679508</v>
      </c>
      <c r="CA409" s="252">
        <f t="shared" si="177"/>
        <v>6.8596450791303193E-2</v>
      </c>
      <c r="CB409" s="252">
        <f t="shared" si="177"/>
        <v>4.9008201374155229</v>
      </c>
      <c r="CC409" s="252">
        <f t="shared" si="176"/>
        <v>9.7814908866411504E-2</v>
      </c>
    </row>
    <row r="410" spans="1:81">
      <c r="A410" s="11">
        <v>52110</v>
      </c>
      <c r="B410" s="268">
        <v>70</v>
      </c>
      <c r="C410" s="268">
        <v>13</v>
      </c>
      <c r="D410" s="268">
        <f t="shared" si="168"/>
        <v>20</v>
      </c>
      <c r="E410" s="268">
        <v>3</v>
      </c>
      <c r="F410" s="269">
        <v>0.2</v>
      </c>
      <c r="G410" s="269">
        <v>1.32</v>
      </c>
      <c r="H410" s="269"/>
      <c r="I410" s="269">
        <v>5</v>
      </c>
      <c r="J410" s="269"/>
      <c r="K410" s="269"/>
      <c r="L410" s="269"/>
      <c r="M410" s="269">
        <f t="shared" si="190"/>
        <v>1.5</v>
      </c>
      <c r="N410" s="269">
        <v>45</v>
      </c>
      <c r="O410" s="269">
        <f t="shared" si="175"/>
        <v>17.699535849485258</v>
      </c>
      <c r="Q410" s="251">
        <f t="shared" si="184"/>
        <v>176.71953584948523</v>
      </c>
      <c r="R410" s="251">
        <f>'RD Plant List'!N278</f>
        <v>664.33</v>
      </c>
      <c r="S410" s="251">
        <f>SUM(B410:O410)+'RD Plant List'!N278</f>
        <v>841.04953584948521</v>
      </c>
      <c r="T410" s="237">
        <f t="shared" si="171"/>
        <v>0.7898821314121609</v>
      </c>
      <c r="U410" s="251">
        <f t="shared" si="188"/>
        <v>569.07727880054404</v>
      </c>
      <c r="V410" s="271">
        <f t="shared" si="178"/>
        <v>0.67662754040492867</v>
      </c>
      <c r="W410" s="251">
        <f t="shared" si="185"/>
        <v>47.423106566712001</v>
      </c>
      <c r="X410" s="242">
        <f t="shared" si="186"/>
        <v>7.6100191206778582</v>
      </c>
      <c r="Y410" s="273">
        <f t="shared" si="187"/>
        <v>7.6100191206778582</v>
      </c>
      <c r="AB410" s="251">
        <f>SUM('BD Feedstock'!C408,'BD Feedstock'!E408,'BD Feedstock'!G408,'BD Feedstock'!K408,'BD Feedstock'!T408)</f>
        <v>21.812796010427753</v>
      </c>
      <c r="AC410" s="251">
        <f>SUM('BD Feedstock'!D408,'BD Feedstock'!F408,'BD Feedstock'!H408,'BD Feedstock'!I408,'BD Feedstock'!L408,'BD Feedstock'!M408,'BD Feedstock'!N408,'BD Feedstock'!O408,'BD Feedstock'!U408)</f>
        <v>12.773566250859661</v>
      </c>
      <c r="AD410" s="251">
        <f>'BD Feedstock'!J408</f>
        <v>0.90199999999999991</v>
      </c>
      <c r="AE410" s="251">
        <f>SUM('BD Feedstock'!B408,'BD Feedstock'!P408,'BD Feedstock'!Q408,'BD Feedstock'!R408)</f>
        <v>70.93020833333334</v>
      </c>
      <c r="AF410" s="251">
        <f>'BD Feedstock'!S408</f>
        <v>1.40625</v>
      </c>
      <c r="AG410" s="251">
        <f t="shared" si="179"/>
        <v>107.82482059462075</v>
      </c>
      <c r="AK410" s="237">
        <f t="shared" si="189"/>
        <v>0.20229846792359021</v>
      </c>
      <c r="AL410" s="237">
        <f t="shared" si="189"/>
        <v>0.11846591703484753</v>
      </c>
      <c r="AM410" s="237">
        <f t="shared" si="189"/>
        <v>8.3654208282077092E-3</v>
      </c>
      <c r="AN410" s="237">
        <f t="shared" si="189"/>
        <v>0.65782820636449979</v>
      </c>
      <c r="AO410" s="237">
        <f t="shared" si="189"/>
        <v>1.304198784885487E-2</v>
      </c>
      <c r="AP410" s="237">
        <f t="shared" si="180"/>
        <v>1</v>
      </c>
      <c r="AQ410" s="237"/>
      <c r="AR410" s="237">
        <f t="shared" si="181"/>
        <v>0.61464645366918802</v>
      </c>
      <c r="AS410" s="237">
        <f t="shared" si="182"/>
        <v>0.35993676340465403</v>
      </c>
      <c r="AT410" s="237">
        <f t="shared" si="183"/>
        <v>2.5416782926158003E-2</v>
      </c>
      <c r="AU410" s="237">
        <f t="shared" si="169"/>
        <v>0.98055959563958928</v>
      </c>
      <c r="AV410" s="237">
        <f t="shared" si="169"/>
        <v>1.9440404360410696E-2</v>
      </c>
      <c r="AX410" s="251">
        <f t="shared" si="172"/>
        <v>33724.860302731337</v>
      </c>
      <c r="AY410" s="251">
        <f t="shared" si="172"/>
        <v>20972.447648798785</v>
      </c>
      <c r="AZ410" s="251">
        <f t="shared" si="172"/>
        <v>1475.5621580362474</v>
      </c>
      <c r="BA410" s="251">
        <f t="shared" si="173"/>
        <v>105420.39208578365</v>
      </c>
      <c r="BB410" s="251">
        <f t="shared" si="173"/>
        <v>2104.0735540990959</v>
      </c>
      <c r="BC410" s="251">
        <f t="shared" si="174"/>
        <v>163697.33574944912</v>
      </c>
      <c r="BD410" s="270">
        <f t="shared" si="170"/>
        <v>7.6100191206778574</v>
      </c>
      <c r="BY410" s="252">
        <f t="shared" si="177"/>
        <v>1.5678131264078241</v>
      </c>
      <c r="BZ410" s="252">
        <f t="shared" si="177"/>
        <v>0.9749744971967953</v>
      </c>
      <c r="CA410" s="252">
        <f t="shared" si="177"/>
        <v>6.8596450791303207E-2</v>
      </c>
      <c r="CB410" s="252">
        <f t="shared" si="177"/>
        <v>4.9008201374155238</v>
      </c>
      <c r="CC410" s="252">
        <f t="shared" si="176"/>
        <v>9.7814908866411546E-2</v>
      </c>
    </row>
    <row r="411" spans="1:81">
      <c r="A411" s="11">
        <v>52140</v>
      </c>
      <c r="B411" s="268">
        <v>70</v>
      </c>
      <c r="C411" s="268">
        <v>13</v>
      </c>
      <c r="D411" s="268">
        <f t="shared" si="168"/>
        <v>20</v>
      </c>
      <c r="E411" s="268">
        <v>3</v>
      </c>
      <c r="F411" s="269">
        <v>0.2</v>
      </c>
      <c r="G411" s="269">
        <v>1.32</v>
      </c>
      <c r="H411" s="269"/>
      <c r="I411" s="269">
        <v>5</v>
      </c>
      <c r="J411" s="269"/>
      <c r="K411" s="269"/>
      <c r="L411" s="269"/>
      <c r="M411" s="269">
        <f t="shared" si="190"/>
        <v>1.5</v>
      </c>
      <c r="N411" s="269">
        <v>45</v>
      </c>
      <c r="O411" s="269">
        <f t="shared" si="175"/>
        <v>17.699535849485258</v>
      </c>
      <c r="Q411" s="251">
        <f t="shared" si="184"/>
        <v>176.71953584948523</v>
      </c>
      <c r="R411" s="251">
        <f>'RD Plant List'!N279</f>
        <v>664.33</v>
      </c>
      <c r="S411" s="251">
        <f>SUM(B411:O411)+'RD Plant List'!N279</f>
        <v>841.04953584948521</v>
      </c>
      <c r="T411" s="237">
        <f t="shared" si="171"/>
        <v>0.7898821314121609</v>
      </c>
      <c r="U411" s="251">
        <f t="shared" si="188"/>
        <v>595.81850633467934</v>
      </c>
      <c r="V411" s="271">
        <f t="shared" si="178"/>
        <v>0.70842260882158958</v>
      </c>
      <c r="W411" s="251">
        <f t="shared" si="185"/>
        <v>49.651542194556612</v>
      </c>
      <c r="X411" s="242">
        <f t="shared" si="186"/>
        <v>7.6100191206778591</v>
      </c>
      <c r="Y411" s="273">
        <f t="shared" si="187"/>
        <v>7.6100191206778591</v>
      </c>
      <c r="AB411" s="251">
        <f>SUM('BD Feedstock'!C409,'BD Feedstock'!E409,'BD Feedstock'!G409,'BD Feedstock'!K409,'BD Feedstock'!T409)</f>
        <v>21.812796010427753</v>
      </c>
      <c r="AC411" s="251">
        <f>SUM('BD Feedstock'!D409,'BD Feedstock'!F409,'BD Feedstock'!H409,'BD Feedstock'!I409,'BD Feedstock'!L409,'BD Feedstock'!M409,'BD Feedstock'!N409,'BD Feedstock'!O409,'BD Feedstock'!U409)</f>
        <v>12.773566250859661</v>
      </c>
      <c r="AD411" s="251">
        <f>'BD Feedstock'!J409</f>
        <v>0.90199999999999991</v>
      </c>
      <c r="AE411" s="251">
        <f>SUM('BD Feedstock'!B409,'BD Feedstock'!P409,'BD Feedstock'!Q409,'BD Feedstock'!R409)</f>
        <v>70.93020833333334</v>
      </c>
      <c r="AF411" s="251">
        <f>'BD Feedstock'!S409</f>
        <v>1.40625</v>
      </c>
      <c r="AG411" s="251">
        <f t="shared" si="179"/>
        <v>107.82482059462075</v>
      </c>
      <c r="AK411" s="237">
        <f t="shared" si="189"/>
        <v>0.20229846792359021</v>
      </c>
      <c r="AL411" s="237">
        <f t="shared" si="189"/>
        <v>0.11846591703484753</v>
      </c>
      <c r="AM411" s="237">
        <f t="shared" si="189"/>
        <v>8.3654208282077092E-3</v>
      </c>
      <c r="AN411" s="237">
        <f t="shared" si="189"/>
        <v>0.65782820636449979</v>
      </c>
      <c r="AO411" s="237">
        <f t="shared" si="189"/>
        <v>1.304198784885487E-2</v>
      </c>
      <c r="AP411" s="237">
        <f t="shared" si="180"/>
        <v>1</v>
      </c>
      <c r="AQ411" s="237"/>
      <c r="AR411" s="237">
        <f t="shared" si="181"/>
        <v>0.61464645366918802</v>
      </c>
      <c r="AS411" s="237">
        <f t="shared" si="182"/>
        <v>0.35993676340465403</v>
      </c>
      <c r="AT411" s="237">
        <f t="shared" si="183"/>
        <v>2.5416782926158003E-2</v>
      </c>
      <c r="AU411" s="237">
        <f t="shared" si="169"/>
        <v>0.98055959563958928</v>
      </c>
      <c r="AV411" s="237">
        <f t="shared" si="169"/>
        <v>1.9440404360410696E-2</v>
      </c>
      <c r="AX411" s="251">
        <f t="shared" si="172"/>
        <v>35309.608449438412</v>
      </c>
      <c r="AY411" s="251">
        <f t="shared" si="172"/>
        <v>21957.95351138803</v>
      </c>
      <c r="AZ411" s="251">
        <f t="shared" si="172"/>
        <v>1544.8995659397474</v>
      </c>
      <c r="BA411" s="251">
        <f t="shared" si="173"/>
        <v>110374.14932846521</v>
      </c>
      <c r="BB411" s="251">
        <f t="shared" si="173"/>
        <v>2202.9450285978014</v>
      </c>
      <c r="BC411" s="251">
        <f t="shared" si="174"/>
        <v>171389.55588382922</v>
      </c>
      <c r="BD411" s="270">
        <f t="shared" si="170"/>
        <v>7.61001912067786</v>
      </c>
      <c r="BY411" s="252">
        <f t="shared" si="177"/>
        <v>1.5678131264078243</v>
      </c>
      <c r="BZ411" s="252">
        <f t="shared" si="177"/>
        <v>0.97497449719679541</v>
      </c>
      <c r="CA411" s="252">
        <f t="shared" si="177"/>
        <v>6.8596450791303207E-2</v>
      </c>
      <c r="CB411" s="252">
        <f t="shared" si="177"/>
        <v>4.9008201374155238</v>
      </c>
      <c r="CC411" s="252">
        <f t="shared" si="176"/>
        <v>9.7814908866411546E-2</v>
      </c>
    </row>
    <row r="412" spans="1:81">
      <c r="A412" s="11">
        <v>52171</v>
      </c>
      <c r="B412" s="268">
        <v>70</v>
      </c>
      <c r="C412" s="268">
        <v>13</v>
      </c>
      <c r="D412" s="268">
        <f t="shared" si="168"/>
        <v>20</v>
      </c>
      <c r="E412" s="268">
        <v>3</v>
      </c>
      <c r="F412" s="269">
        <v>0.2</v>
      </c>
      <c r="G412" s="269">
        <v>1.32</v>
      </c>
      <c r="H412" s="269"/>
      <c r="I412" s="269">
        <v>5</v>
      </c>
      <c r="J412" s="269"/>
      <c r="K412" s="269"/>
      <c r="L412" s="269"/>
      <c r="M412" s="269">
        <f t="shared" si="190"/>
        <v>1.5</v>
      </c>
      <c r="N412" s="269">
        <v>45</v>
      </c>
      <c r="O412" s="269">
        <f t="shared" si="175"/>
        <v>17.699535849485258</v>
      </c>
      <c r="Q412" s="251">
        <f t="shared" si="184"/>
        <v>176.71953584948523</v>
      </c>
      <c r="R412" s="251">
        <f>'RD Plant List'!N280</f>
        <v>664.33</v>
      </c>
      <c r="S412" s="251">
        <f>SUM(B412:O412)+'RD Plant List'!N280</f>
        <v>841.04953584948521</v>
      </c>
      <c r="T412" s="237">
        <f t="shared" si="171"/>
        <v>0.7898821314121609</v>
      </c>
      <c r="U412" s="251">
        <f t="shared" si="188"/>
        <v>641.02731473183815</v>
      </c>
      <c r="V412" s="271">
        <f t="shared" si="178"/>
        <v>0.76217545745909165</v>
      </c>
      <c r="W412" s="251">
        <f t="shared" si="185"/>
        <v>53.418942894319848</v>
      </c>
      <c r="X412" s="242">
        <f t="shared" si="186"/>
        <v>7.6100191206778565</v>
      </c>
      <c r="Y412" s="273">
        <f t="shared" si="187"/>
        <v>7.6100191206778565</v>
      </c>
      <c r="AB412" s="251">
        <f>SUM('BD Feedstock'!C410,'BD Feedstock'!E410,'BD Feedstock'!G410,'BD Feedstock'!K410,'BD Feedstock'!T410)</f>
        <v>21.812796010427753</v>
      </c>
      <c r="AC412" s="251">
        <f>SUM('BD Feedstock'!D410,'BD Feedstock'!F410,'BD Feedstock'!H410,'BD Feedstock'!I410,'BD Feedstock'!L410,'BD Feedstock'!M410,'BD Feedstock'!N410,'BD Feedstock'!O410,'BD Feedstock'!U410)</f>
        <v>12.773566250859661</v>
      </c>
      <c r="AD412" s="251">
        <f>'BD Feedstock'!J410</f>
        <v>0.90199999999999991</v>
      </c>
      <c r="AE412" s="251">
        <f>SUM('BD Feedstock'!B410,'BD Feedstock'!P410,'BD Feedstock'!Q410,'BD Feedstock'!R410)</f>
        <v>70.93020833333334</v>
      </c>
      <c r="AF412" s="251">
        <f>'BD Feedstock'!S410</f>
        <v>1.40625</v>
      </c>
      <c r="AG412" s="251">
        <f t="shared" si="179"/>
        <v>107.82482059462075</v>
      </c>
      <c r="AK412" s="237">
        <f t="shared" si="189"/>
        <v>0.20229846792359021</v>
      </c>
      <c r="AL412" s="237">
        <f t="shared" si="189"/>
        <v>0.11846591703484753</v>
      </c>
      <c r="AM412" s="237">
        <f t="shared" si="189"/>
        <v>8.3654208282077092E-3</v>
      </c>
      <c r="AN412" s="237">
        <f t="shared" si="189"/>
        <v>0.65782820636449979</v>
      </c>
      <c r="AO412" s="237">
        <f t="shared" si="189"/>
        <v>1.304198784885487E-2</v>
      </c>
      <c r="AP412" s="237">
        <f t="shared" si="180"/>
        <v>1</v>
      </c>
      <c r="AQ412" s="237"/>
      <c r="AR412" s="237">
        <f t="shared" si="181"/>
        <v>0.61464645366918802</v>
      </c>
      <c r="AS412" s="237">
        <f t="shared" si="182"/>
        <v>0.35993676340465403</v>
      </c>
      <c r="AT412" s="237">
        <f t="shared" si="183"/>
        <v>2.5416782926158003E-2</v>
      </c>
      <c r="AU412" s="237">
        <f t="shared" si="169"/>
        <v>0.98055959563958928</v>
      </c>
      <c r="AV412" s="237">
        <f t="shared" si="169"/>
        <v>1.9440404360410696E-2</v>
      </c>
      <c r="AX412" s="251">
        <f t="shared" si="172"/>
        <v>37988.788948193673</v>
      </c>
      <c r="AY412" s="251">
        <f t="shared" si="172"/>
        <v>23624.053007351748</v>
      </c>
      <c r="AZ412" s="251">
        <f t="shared" si="172"/>
        <v>1662.1216188415283</v>
      </c>
      <c r="BA412" s="251">
        <f t="shared" si="173"/>
        <v>118748.98783371146</v>
      </c>
      <c r="BB412" s="251">
        <f t="shared" si="173"/>
        <v>2370.0974729218606</v>
      </c>
      <c r="BC412" s="251">
        <f t="shared" si="174"/>
        <v>184394.04888102025</v>
      </c>
      <c r="BD412" s="270">
        <f t="shared" si="170"/>
        <v>7.6100191206778565</v>
      </c>
      <c r="BY412" s="252">
        <f t="shared" si="177"/>
        <v>1.5678131264078241</v>
      </c>
      <c r="BZ412" s="252">
        <f t="shared" si="177"/>
        <v>0.97497449719679541</v>
      </c>
      <c r="CA412" s="252">
        <f t="shared" si="177"/>
        <v>6.8596450791303207E-2</v>
      </c>
      <c r="CB412" s="252">
        <f t="shared" si="177"/>
        <v>4.9008201374155238</v>
      </c>
      <c r="CC412" s="252">
        <f t="shared" si="176"/>
        <v>9.7814908866411532E-2</v>
      </c>
    </row>
    <row r="413" spans="1:81">
      <c r="A413" s="11">
        <v>52201</v>
      </c>
      <c r="B413" s="268">
        <v>70</v>
      </c>
      <c r="C413" s="268">
        <v>13</v>
      </c>
      <c r="D413" s="268">
        <f t="shared" si="168"/>
        <v>20</v>
      </c>
      <c r="E413" s="268">
        <v>3</v>
      </c>
      <c r="F413" s="269">
        <v>0.2</v>
      </c>
      <c r="G413" s="269">
        <v>1.32</v>
      </c>
      <c r="H413" s="269"/>
      <c r="I413" s="269">
        <v>5</v>
      </c>
      <c r="J413" s="269"/>
      <c r="K413" s="269"/>
      <c r="L413" s="269"/>
      <c r="M413" s="269">
        <f t="shared" si="190"/>
        <v>1.5</v>
      </c>
      <c r="N413" s="269">
        <v>45</v>
      </c>
      <c r="O413" s="269">
        <f t="shared" si="175"/>
        <v>17.699535849485258</v>
      </c>
      <c r="Q413" s="251">
        <f t="shared" si="184"/>
        <v>176.71953584948523</v>
      </c>
      <c r="R413" s="251">
        <f>'RD Plant List'!N281</f>
        <v>664.33</v>
      </c>
      <c r="S413" s="251">
        <f>SUM(B413:O413)+'RD Plant List'!N281</f>
        <v>841.04953584948521</v>
      </c>
      <c r="T413" s="237">
        <f t="shared" si="171"/>
        <v>0.7898821314121609</v>
      </c>
      <c r="U413" s="251">
        <f>S413*V413</f>
        <v>582.91843682003912</v>
      </c>
      <c r="V413" s="271">
        <f t="shared" si="178"/>
        <v>0.69308454731060998</v>
      </c>
      <c r="W413" s="251">
        <f t="shared" si="185"/>
        <v>48.576536401669927</v>
      </c>
      <c r="X413" s="242">
        <f t="shared" si="186"/>
        <v>7.6100191206778574</v>
      </c>
      <c r="Y413" s="273">
        <f t="shared" si="187"/>
        <v>7.6100191206778574</v>
      </c>
      <c r="AB413" s="251">
        <f>SUM('BD Feedstock'!C411,'BD Feedstock'!E411,'BD Feedstock'!G411,'BD Feedstock'!K411,'BD Feedstock'!T411)</f>
        <v>21.812796010427753</v>
      </c>
      <c r="AC413" s="251">
        <f>SUM('BD Feedstock'!D411,'BD Feedstock'!F411,'BD Feedstock'!H411,'BD Feedstock'!I411,'BD Feedstock'!L411,'BD Feedstock'!M411,'BD Feedstock'!N411,'BD Feedstock'!O411,'BD Feedstock'!U411)</f>
        <v>12.773566250859661</v>
      </c>
      <c r="AD413" s="251">
        <f>'BD Feedstock'!J411</f>
        <v>0.90199999999999991</v>
      </c>
      <c r="AE413" s="251">
        <f>SUM('BD Feedstock'!B411,'BD Feedstock'!P411,'BD Feedstock'!Q411,'BD Feedstock'!R411)</f>
        <v>70.93020833333334</v>
      </c>
      <c r="AF413" s="251">
        <f>'BD Feedstock'!S411</f>
        <v>1.40625</v>
      </c>
      <c r="AG413" s="251">
        <f t="shared" si="179"/>
        <v>107.82482059462075</v>
      </c>
      <c r="AK413" s="237">
        <f t="shared" si="189"/>
        <v>0.20229846792359021</v>
      </c>
      <c r="AL413" s="237">
        <f t="shared" si="189"/>
        <v>0.11846591703484753</v>
      </c>
      <c r="AM413" s="237">
        <f t="shared" si="189"/>
        <v>8.3654208282077092E-3</v>
      </c>
      <c r="AN413" s="237">
        <f t="shared" si="189"/>
        <v>0.65782820636449979</v>
      </c>
      <c r="AO413" s="237">
        <f t="shared" si="189"/>
        <v>1.304198784885487E-2</v>
      </c>
      <c r="AP413" s="237">
        <f t="shared" si="180"/>
        <v>1</v>
      </c>
      <c r="AQ413" s="237"/>
      <c r="AR413" s="237">
        <f t="shared" si="181"/>
        <v>0.61464645366918802</v>
      </c>
      <c r="AS413" s="237">
        <f t="shared" si="182"/>
        <v>0.35993676340465403</v>
      </c>
      <c r="AT413" s="237">
        <f t="shared" si="183"/>
        <v>2.5416782926158003E-2</v>
      </c>
      <c r="AU413" s="237">
        <f t="shared" si="169"/>
        <v>0.98055959563958928</v>
      </c>
      <c r="AV413" s="237">
        <f t="shared" si="169"/>
        <v>1.9440404360410696E-2</v>
      </c>
      <c r="AX413" s="251">
        <f t="shared" si="172"/>
        <v>34545.119937098338</v>
      </c>
      <c r="AY413" s="251">
        <f t="shared" si="172"/>
        <v>21482.54174810011</v>
      </c>
      <c r="AZ413" s="251">
        <f t="shared" si="172"/>
        <v>1511.4509375707491</v>
      </c>
      <c r="BA413" s="251">
        <f t="shared" si="173"/>
        <v>107984.43805931458</v>
      </c>
      <c r="BB413" s="251">
        <f t="shared" si="173"/>
        <v>2155.249054565938</v>
      </c>
      <c r="BC413" s="251">
        <f t="shared" si="174"/>
        <v>167678.7997366497</v>
      </c>
      <c r="BD413" s="270">
        <f t="shared" si="170"/>
        <v>7.6100191206778574</v>
      </c>
    </row>
    <row r="414" spans="1:81">
      <c r="A414" s="11">
        <v>52232</v>
      </c>
      <c r="B414" s="268">
        <v>70</v>
      </c>
      <c r="C414" s="268">
        <v>13</v>
      </c>
      <c r="D414" s="268">
        <f t="shared" si="168"/>
        <v>20</v>
      </c>
      <c r="E414" s="268">
        <v>3</v>
      </c>
      <c r="F414" s="269">
        <v>0.2</v>
      </c>
      <c r="G414" s="269">
        <v>1.32</v>
      </c>
      <c r="I414" s="269">
        <v>5</v>
      </c>
      <c r="M414" s="269">
        <f t="shared" si="190"/>
        <v>1.5</v>
      </c>
      <c r="N414" s="269">
        <v>45</v>
      </c>
      <c r="O414" s="269">
        <f t="shared" si="175"/>
        <v>17.699535849485258</v>
      </c>
      <c r="Q414" s="251">
        <f t="shared" ref="Q414:Q477" si="191">SUM(B414:O414)</f>
        <v>176.71953584948523</v>
      </c>
      <c r="R414" s="251">
        <f>'RD Plant List'!N282</f>
        <v>664.33</v>
      </c>
      <c r="S414" s="251">
        <f>SUM(B414:O414)+'RD Plant List'!N282</f>
        <v>841.04953584948521</v>
      </c>
      <c r="T414" s="237">
        <f t="shared" si="171"/>
        <v>0.7898821314121609</v>
      </c>
      <c r="U414" s="251">
        <f t="shared" ref="U414:U427" si="192">S414*V414</f>
        <v>477.89302153125311</v>
      </c>
      <c r="V414" s="271">
        <f t="shared" si="178"/>
        <v>0.56821031480454576</v>
      </c>
      <c r="W414" s="251">
        <f t="shared" si="185"/>
        <v>39.824418460937757</v>
      </c>
      <c r="X414" s="242">
        <f t="shared" si="186"/>
        <v>7.6100191206778582</v>
      </c>
      <c r="Y414" s="273">
        <f t="shared" si="187"/>
        <v>7.6100191206778582</v>
      </c>
      <c r="AB414" s="251">
        <f>SUM('BD Feedstock'!C412,'BD Feedstock'!E412,'BD Feedstock'!G412,'BD Feedstock'!K412,'BD Feedstock'!T412)</f>
        <v>21.812796010427753</v>
      </c>
      <c r="AC414" s="251">
        <f>SUM('BD Feedstock'!D412,'BD Feedstock'!F412,'BD Feedstock'!H412,'BD Feedstock'!I412,'BD Feedstock'!L412,'BD Feedstock'!M412,'BD Feedstock'!N412,'BD Feedstock'!O412,'BD Feedstock'!U412)</f>
        <v>12.773566250859661</v>
      </c>
      <c r="AD414" s="251">
        <f>'BD Feedstock'!J412</f>
        <v>0.90199999999999991</v>
      </c>
      <c r="AE414" s="251">
        <f>SUM('BD Feedstock'!B412,'BD Feedstock'!P412,'BD Feedstock'!Q412,'BD Feedstock'!R412)</f>
        <v>70.93020833333334</v>
      </c>
      <c r="AF414" s="251">
        <f>'BD Feedstock'!S412</f>
        <v>1.40625</v>
      </c>
      <c r="AG414" s="251">
        <f t="shared" si="179"/>
        <v>107.82482059462075</v>
      </c>
      <c r="AK414" s="237">
        <f t="shared" si="189"/>
        <v>0.20229846792359021</v>
      </c>
      <c r="AL414" s="237">
        <f t="shared" si="189"/>
        <v>0.11846591703484753</v>
      </c>
      <c r="AM414" s="237">
        <f t="shared" si="189"/>
        <v>8.3654208282077092E-3</v>
      </c>
      <c r="AN414" s="237">
        <f t="shared" si="189"/>
        <v>0.65782820636449979</v>
      </c>
      <c r="AO414" s="237">
        <f t="shared" si="189"/>
        <v>1.304198784885487E-2</v>
      </c>
      <c r="AP414" s="237">
        <f t="shared" si="180"/>
        <v>1</v>
      </c>
      <c r="AQ414" s="237"/>
      <c r="AR414" s="237">
        <f t="shared" si="181"/>
        <v>0.61464645366918802</v>
      </c>
      <c r="AS414" s="237">
        <f t="shared" si="182"/>
        <v>0.35993676340465403</v>
      </c>
      <c r="AT414" s="237">
        <f t="shared" si="183"/>
        <v>2.5416782926158003E-2</v>
      </c>
      <c r="AU414" s="237">
        <f t="shared" ref="AU414:AV431" si="193">AE414/SUM($AE414:$AF414)</f>
        <v>0.98055959563958928</v>
      </c>
      <c r="AV414" s="237">
        <f t="shared" si="193"/>
        <v>1.9440404360410696E-2</v>
      </c>
      <c r="AX414" s="251">
        <f t="shared" ref="AX414:AZ431" si="194">($U414/12*AK414*AB$5/2204.622*1000000)-($BJ414*AR414)</f>
        <v>28321.066384448804</v>
      </c>
      <c r="AY414" s="251">
        <f t="shared" si="194"/>
        <v>17611.995328499652</v>
      </c>
      <c r="AZ414" s="251">
        <f t="shared" si="194"/>
        <v>1239.1302278794208</v>
      </c>
      <c r="BA414" s="251">
        <f t="shared" ref="BA414:BB431" si="195">($U414/12*AN414*AE$5/2204.622*1000000)-($BK414*AU414)</f>
        <v>88528.69650861976</v>
      </c>
      <c r="BB414" s="251">
        <f t="shared" si="195"/>
        <v>1766.9341331141866</v>
      </c>
      <c r="BC414" s="251">
        <f t="shared" si="174"/>
        <v>137467.82258256181</v>
      </c>
      <c r="BD414" s="270">
        <f t="shared" si="170"/>
        <v>7.6100191206778574</v>
      </c>
    </row>
    <row r="415" spans="1:81">
      <c r="A415" s="11">
        <v>52263</v>
      </c>
      <c r="B415" s="268">
        <v>70</v>
      </c>
      <c r="C415" s="268">
        <v>13</v>
      </c>
      <c r="D415" s="268">
        <f t="shared" si="168"/>
        <v>20</v>
      </c>
      <c r="E415" s="268">
        <v>3</v>
      </c>
      <c r="F415" s="269">
        <v>0.2</v>
      </c>
      <c r="G415" s="269">
        <v>1.32</v>
      </c>
      <c r="I415" s="269">
        <v>5</v>
      </c>
      <c r="M415" s="269">
        <f t="shared" si="190"/>
        <v>1.5</v>
      </c>
      <c r="N415" s="269">
        <v>45</v>
      </c>
      <c r="O415" s="269">
        <f t="shared" si="175"/>
        <v>17.699535849485258</v>
      </c>
      <c r="Q415" s="251">
        <f t="shared" si="191"/>
        <v>176.71953584948523</v>
      </c>
      <c r="R415" s="251">
        <f>'RD Plant List'!N283</f>
        <v>664.33</v>
      </c>
      <c r="S415" s="251">
        <f>SUM(B415:O415)+'RD Plant List'!N283</f>
        <v>841.04953584948521</v>
      </c>
      <c r="T415" s="237">
        <f t="shared" si="171"/>
        <v>0.7898821314121609</v>
      </c>
      <c r="U415" s="251">
        <f t="shared" si="192"/>
        <v>441.91630858204854</v>
      </c>
      <c r="V415" s="271">
        <f t="shared" si="178"/>
        <v>0.52543434095793162</v>
      </c>
      <c r="W415" s="251">
        <f t="shared" si="185"/>
        <v>36.826359048504045</v>
      </c>
      <c r="X415" s="242">
        <f t="shared" si="186"/>
        <v>7.6100191206778565</v>
      </c>
      <c r="Y415" s="273">
        <f t="shared" si="187"/>
        <v>7.6100191206778565</v>
      </c>
      <c r="AB415" s="251">
        <f>SUM('BD Feedstock'!C413,'BD Feedstock'!E413,'BD Feedstock'!G413,'BD Feedstock'!K413,'BD Feedstock'!T413)</f>
        <v>21.812796010427753</v>
      </c>
      <c r="AC415" s="251">
        <f>SUM('BD Feedstock'!D413,'BD Feedstock'!F413,'BD Feedstock'!H413,'BD Feedstock'!I413,'BD Feedstock'!L413,'BD Feedstock'!M413,'BD Feedstock'!N413,'BD Feedstock'!O413,'BD Feedstock'!U413)</f>
        <v>12.773566250859661</v>
      </c>
      <c r="AD415" s="251">
        <f>'BD Feedstock'!J413</f>
        <v>0.90199999999999991</v>
      </c>
      <c r="AE415" s="251">
        <f>SUM('BD Feedstock'!B413,'BD Feedstock'!P413,'BD Feedstock'!Q413,'BD Feedstock'!R413)</f>
        <v>70.93020833333334</v>
      </c>
      <c r="AF415" s="251">
        <f>'BD Feedstock'!S413</f>
        <v>1.40625</v>
      </c>
      <c r="AG415" s="251">
        <f t="shared" si="179"/>
        <v>107.82482059462075</v>
      </c>
      <c r="AK415" s="237">
        <f t="shared" si="189"/>
        <v>0.20229846792359021</v>
      </c>
      <c r="AL415" s="237">
        <f t="shared" si="189"/>
        <v>0.11846591703484753</v>
      </c>
      <c r="AM415" s="237">
        <f t="shared" si="189"/>
        <v>8.3654208282077092E-3</v>
      </c>
      <c r="AN415" s="237">
        <f t="shared" si="189"/>
        <v>0.65782820636449979</v>
      </c>
      <c r="AO415" s="237">
        <f t="shared" si="189"/>
        <v>1.304198784885487E-2</v>
      </c>
      <c r="AP415" s="237">
        <f t="shared" si="180"/>
        <v>1</v>
      </c>
      <c r="AQ415" s="237"/>
      <c r="AR415" s="237">
        <f t="shared" si="181"/>
        <v>0.61464645366918802</v>
      </c>
      <c r="AS415" s="237">
        <f t="shared" si="182"/>
        <v>0.35993676340465403</v>
      </c>
      <c r="AT415" s="237">
        <f t="shared" si="183"/>
        <v>2.5416782926158003E-2</v>
      </c>
      <c r="AU415" s="237">
        <f t="shared" si="193"/>
        <v>0.98055959563958928</v>
      </c>
      <c r="AV415" s="237">
        <f t="shared" si="193"/>
        <v>1.9440404360410696E-2</v>
      </c>
      <c r="AX415" s="251">
        <f t="shared" si="194"/>
        <v>26189.0016129986</v>
      </c>
      <c r="AY415" s="251">
        <f t="shared" si="194"/>
        <v>16286.130183271272</v>
      </c>
      <c r="AZ415" s="251">
        <f t="shared" si="194"/>
        <v>1145.8461025489048</v>
      </c>
      <c r="BA415" s="251">
        <f t="shared" si="195"/>
        <v>81864.084642448011</v>
      </c>
      <c r="BB415" s="251">
        <f t="shared" si="195"/>
        <v>1633.9159067682228</v>
      </c>
      <c r="BC415" s="251">
        <f t="shared" si="174"/>
        <v>127118.97844803501</v>
      </c>
      <c r="BD415" s="270">
        <f t="shared" si="170"/>
        <v>7.6100191206778574</v>
      </c>
    </row>
    <row r="416" spans="1:81">
      <c r="A416" s="11">
        <v>52291</v>
      </c>
      <c r="B416" s="268">
        <v>70</v>
      </c>
      <c r="C416" s="268">
        <v>13</v>
      </c>
      <c r="D416" s="268">
        <f t="shared" si="168"/>
        <v>20</v>
      </c>
      <c r="E416" s="268">
        <v>3</v>
      </c>
      <c r="F416" s="269">
        <v>0.2</v>
      </c>
      <c r="G416" s="269">
        <v>1.32</v>
      </c>
      <c r="I416" s="269">
        <v>5</v>
      </c>
      <c r="M416" s="269">
        <f t="shared" si="190"/>
        <v>1.5</v>
      </c>
      <c r="N416" s="269">
        <v>45</v>
      </c>
      <c r="O416" s="269">
        <f t="shared" si="175"/>
        <v>17.699535849485258</v>
      </c>
      <c r="Q416" s="251">
        <f t="shared" si="191"/>
        <v>176.71953584948523</v>
      </c>
      <c r="R416" s="251">
        <f>'RD Plant List'!N284</f>
        <v>664.33</v>
      </c>
      <c r="S416" s="251">
        <f>SUM(B416:O416)+'RD Plant List'!N284</f>
        <v>841.04953584948521</v>
      </c>
      <c r="T416" s="237">
        <f t="shared" si="171"/>
        <v>0.7898821314121609</v>
      </c>
      <c r="U416" s="251">
        <f t="shared" si="192"/>
        <v>491.09799261736265</v>
      </c>
      <c r="V416" s="271">
        <f t="shared" si="178"/>
        <v>0.58391090142073376</v>
      </c>
      <c r="W416" s="251">
        <f t="shared" si="185"/>
        <v>40.924832718113556</v>
      </c>
      <c r="X416" s="242">
        <f t="shared" si="186"/>
        <v>7.6100191206778565</v>
      </c>
      <c r="Y416" s="273">
        <f t="shared" si="187"/>
        <v>7.6100191206778565</v>
      </c>
      <c r="AB416" s="251">
        <f>SUM('BD Feedstock'!C414,'BD Feedstock'!E414,'BD Feedstock'!G414,'BD Feedstock'!K414,'BD Feedstock'!T414)</f>
        <v>21.812796010427753</v>
      </c>
      <c r="AC416" s="251">
        <f>SUM('BD Feedstock'!D414,'BD Feedstock'!F414,'BD Feedstock'!H414,'BD Feedstock'!I414,'BD Feedstock'!L414,'BD Feedstock'!M414,'BD Feedstock'!N414,'BD Feedstock'!O414,'BD Feedstock'!U414)</f>
        <v>12.773566250859661</v>
      </c>
      <c r="AD416" s="251">
        <f>'BD Feedstock'!J414</f>
        <v>0.90199999999999991</v>
      </c>
      <c r="AE416" s="251">
        <f>SUM('BD Feedstock'!B414,'BD Feedstock'!P414,'BD Feedstock'!Q414,'BD Feedstock'!R414)</f>
        <v>70.93020833333334</v>
      </c>
      <c r="AF416" s="251">
        <f>'BD Feedstock'!S414</f>
        <v>1.40625</v>
      </c>
      <c r="AG416" s="251">
        <f t="shared" si="179"/>
        <v>107.82482059462075</v>
      </c>
      <c r="AK416" s="237">
        <f t="shared" si="189"/>
        <v>0.20229846792359021</v>
      </c>
      <c r="AL416" s="237">
        <f t="shared" si="189"/>
        <v>0.11846591703484753</v>
      </c>
      <c r="AM416" s="237">
        <f t="shared" si="189"/>
        <v>8.3654208282077092E-3</v>
      </c>
      <c r="AN416" s="237">
        <f t="shared" si="189"/>
        <v>0.65782820636449979</v>
      </c>
      <c r="AO416" s="237">
        <f t="shared" si="189"/>
        <v>1.304198784885487E-2</v>
      </c>
      <c r="AP416" s="237">
        <f t="shared" si="180"/>
        <v>1</v>
      </c>
      <c r="AQ416" s="237"/>
      <c r="AR416" s="237">
        <f t="shared" si="181"/>
        <v>0.61464645366918802</v>
      </c>
      <c r="AS416" s="237">
        <f t="shared" si="182"/>
        <v>0.35993676340465403</v>
      </c>
      <c r="AT416" s="237">
        <f t="shared" si="183"/>
        <v>2.5416782926158003E-2</v>
      </c>
      <c r="AU416" s="237">
        <f t="shared" si="193"/>
        <v>0.98055959563958928</v>
      </c>
      <c r="AV416" s="237">
        <f t="shared" si="193"/>
        <v>1.9440404360410696E-2</v>
      </c>
      <c r="AX416" s="251">
        <f t="shared" si="194"/>
        <v>29103.624082270257</v>
      </c>
      <c r="AY416" s="251">
        <f t="shared" si="194"/>
        <v>18098.643759431649</v>
      </c>
      <c r="AZ416" s="251">
        <f t="shared" si="194"/>
        <v>1273.3694364341789</v>
      </c>
      <c r="BA416" s="251">
        <f t="shared" si="195"/>
        <v>90974.890164977318</v>
      </c>
      <c r="BB416" s="251">
        <f t="shared" si="195"/>
        <v>1815.7574326553099</v>
      </c>
      <c r="BC416" s="251">
        <f t="shared" si="174"/>
        <v>141266.2848757687</v>
      </c>
      <c r="BD416" s="270">
        <f t="shared" si="170"/>
        <v>7.6100191206778556</v>
      </c>
    </row>
    <row r="417" spans="1:56">
      <c r="A417" s="11">
        <v>52322</v>
      </c>
      <c r="B417" s="268">
        <v>70</v>
      </c>
      <c r="C417" s="268">
        <v>13</v>
      </c>
      <c r="D417" s="268">
        <f t="shared" si="168"/>
        <v>20</v>
      </c>
      <c r="E417" s="268">
        <v>3</v>
      </c>
      <c r="F417" s="269">
        <v>0.2</v>
      </c>
      <c r="G417" s="269">
        <v>1.32</v>
      </c>
      <c r="I417" s="269">
        <v>5</v>
      </c>
      <c r="M417" s="269">
        <f t="shared" si="190"/>
        <v>1.5</v>
      </c>
      <c r="N417" s="269">
        <v>45</v>
      </c>
      <c r="O417" s="269">
        <f t="shared" si="175"/>
        <v>17.699535849485258</v>
      </c>
      <c r="Q417" s="251">
        <f t="shared" si="191"/>
        <v>176.71953584948523</v>
      </c>
      <c r="R417" s="251">
        <f>'RD Plant List'!N285</f>
        <v>664.33</v>
      </c>
      <c r="S417" s="251">
        <f>SUM(B417:O417)+'RD Plant List'!N285</f>
        <v>841.04953584948521</v>
      </c>
      <c r="T417" s="237">
        <f t="shared" si="171"/>
        <v>0.7898821314121609</v>
      </c>
      <c r="U417" s="251">
        <f t="shared" si="192"/>
        <v>499.5663747132387</v>
      </c>
      <c r="V417" s="271">
        <f t="shared" si="178"/>
        <v>0.59397972820787748</v>
      </c>
      <c r="W417" s="251">
        <f t="shared" si="185"/>
        <v>41.630531226103223</v>
      </c>
      <c r="X417" s="242">
        <f t="shared" si="186"/>
        <v>7.6100191206778565</v>
      </c>
      <c r="Y417" s="273">
        <f t="shared" si="187"/>
        <v>7.6100191206778565</v>
      </c>
      <c r="AB417" s="251">
        <f>SUM('BD Feedstock'!C415,'BD Feedstock'!E415,'BD Feedstock'!G415,'BD Feedstock'!K415,'BD Feedstock'!T415)</f>
        <v>21.812796010427753</v>
      </c>
      <c r="AC417" s="251">
        <f>SUM('BD Feedstock'!D415,'BD Feedstock'!F415,'BD Feedstock'!H415,'BD Feedstock'!I415,'BD Feedstock'!L415,'BD Feedstock'!M415,'BD Feedstock'!N415,'BD Feedstock'!O415,'BD Feedstock'!U415)</f>
        <v>12.773566250859661</v>
      </c>
      <c r="AD417" s="251">
        <f>'BD Feedstock'!J415</f>
        <v>0.90199999999999991</v>
      </c>
      <c r="AE417" s="251">
        <f>SUM('BD Feedstock'!B415,'BD Feedstock'!P415,'BD Feedstock'!Q415,'BD Feedstock'!R415)</f>
        <v>70.93020833333334</v>
      </c>
      <c r="AF417" s="251">
        <f>'BD Feedstock'!S415</f>
        <v>1.40625</v>
      </c>
      <c r="AG417" s="251">
        <f t="shared" si="179"/>
        <v>107.82482059462075</v>
      </c>
      <c r="AK417" s="237">
        <f t="shared" si="189"/>
        <v>0.20229846792359021</v>
      </c>
      <c r="AL417" s="237">
        <f t="shared" si="189"/>
        <v>0.11846591703484753</v>
      </c>
      <c r="AM417" s="237">
        <f t="shared" si="189"/>
        <v>8.3654208282077092E-3</v>
      </c>
      <c r="AN417" s="237">
        <f t="shared" si="189"/>
        <v>0.65782820636449979</v>
      </c>
      <c r="AO417" s="237">
        <f t="shared" si="189"/>
        <v>1.304198784885487E-2</v>
      </c>
      <c r="AP417" s="237">
        <f t="shared" si="180"/>
        <v>1</v>
      </c>
      <c r="AQ417" s="237"/>
      <c r="AR417" s="237">
        <f t="shared" si="181"/>
        <v>0.61464645366918802</v>
      </c>
      <c r="AS417" s="237">
        <f t="shared" si="182"/>
        <v>0.35993676340465403</v>
      </c>
      <c r="AT417" s="237">
        <f t="shared" si="183"/>
        <v>2.5416782926158003E-2</v>
      </c>
      <c r="AU417" s="237">
        <f t="shared" si="193"/>
        <v>0.98055959563958928</v>
      </c>
      <c r="AV417" s="237">
        <f t="shared" si="193"/>
        <v>1.9440404360410696E-2</v>
      </c>
      <c r="AX417" s="251">
        <f t="shared" si="194"/>
        <v>29605.480357002445</v>
      </c>
      <c r="AY417" s="251">
        <f t="shared" si="194"/>
        <v>18410.732656303655</v>
      </c>
      <c r="AZ417" s="251">
        <f t="shared" si="194"/>
        <v>1295.3271293977841</v>
      </c>
      <c r="BA417" s="251">
        <f t="shared" si="195"/>
        <v>92543.640480859045</v>
      </c>
      <c r="BB417" s="251">
        <f t="shared" si="195"/>
        <v>1847.067940872216</v>
      </c>
      <c r="BC417" s="251">
        <f t="shared" si="174"/>
        <v>143702.24856443514</v>
      </c>
      <c r="BD417" s="270">
        <f t="shared" si="170"/>
        <v>7.6100191206778574</v>
      </c>
    </row>
    <row r="418" spans="1:56">
      <c r="A418" s="11">
        <v>52352</v>
      </c>
      <c r="B418" s="268">
        <v>70</v>
      </c>
      <c r="C418" s="268">
        <v>13</v>
      </c>
      <c r="D418" s="268">
        <f t="shared" ref="D418:D481" si="196">$D$3</f>
        <v>20</v>
      </c>
      <c r="E418" s="268">
        <v>3</v>
      </c>
      <c r="F418" s="269">
        <v>0.2</v>
      </c>
      <c r="G418" s="269">
        <v>1.32</v>
      </c>
      <c r="I418" s="269">
        <v>5</v>
      </c>
      <c r="M418" s="269">
        <f t="shared" si="190"/>
        <v>1.5</v>
      </c>
      <c r="N418" s="269">
        <v>45</v>
      </c>
      <c r="O418" s="269">
        <f t="shared" si="175"/>
        <v>17.699535849485258</v>
      </c>
      <c r="Q418" s="251">
        <f t="shared" si="191"/>
        <v>176.71953584948523</v>
      </c>
      <c r="R418" s="251">
        <f>'RD Plant List'!N286</f>
        <v>664.33</v>
      </c>
      <c r="S418" s="251">
        <f>SUM(B418:O418)+'RD Plant List'!N286</f>
        <v>841.04953584948521</v>
      </c>
      <c r="T418" s="237">
        <f t="shared" si="171"/>
        <v>0.7898821314121609</v>
      </c>
      <c r="U418" s="251">
        <f t="shared" si="192"/>
        <v>485.35864410984902</v>
      </c>
      <c r="V418" s="271">
        <f t="shared" si="178"/>
        <v>0.57708686994235392</v>
      </c>
      <c r="W418" s="251">
        <f t="shared" si="185"/>
        <v>40.446553675820752</v>
      </c>
      <c r="X418" s="242">
        <f t="shared" si="186"/>
        <v>7.6100191206778574</v>
      </c>
      <c r="Y418" s="273">
        <f t="shared" si="187"/>
        <v>7.6100191206778574</v>
      </c>
      <c r="AB418" s="251">
        <f>SUM('BD Feedstock'!C416,'BD Feedstock'!E416,'BD Feedstock'!G416,'BD Feedstock'!K416,'BD Feedstock'!T416)</f>
        <v>21.812796010427753</v>
      </c>
      <c r="AC418" s="251">
        <f>SUM('BD Feedstock'!D416,'BD Feedstock'!F416,'BD Feedstock'!H416,'BD Feedstock'!I416,'BD Feedstock'!L416,'BD Feedstock'!M416,'BD Feedstock'!N416,'BD Feedstock'!O416,'BD Feedstock'!U416)</f>
        <v>12.773566250859661</v>
      </c>
      <c r="AD418" s="251">
        <f>'BD Feedstock'!J416</f>
        <v>0.90199999999999991</v>
      </c>
      <c r="AE418" s="251">
        <f>SUM('BD Feedstock'!B416,'BD Feedstock'!P416,'BD Feedstock'!Q416,'BD Feedstock'!R416)</f>
        <v>70.93020833333334</v>
      </c>
      <c r="AF418" s="251">
        <f>'BD Feedstock'!S416</f>
        <v>1.40625</v>
      </c>
      <c r="AG418" s="251">
        <f t="shared" si="179"/>
        <v>107.82482059462075</v>
      </c>
      <c r="AK418" s="237">
        <f t="shared" si="189"/>
        <v>0.20229846792359021</v>
      </c>
      <c r="AL418" s="237">
        <f t="shared" si="189"/>
        <v>0.11846591703484753</v>
      </c>
      <c r="AM418" s="237">
        <f t="shared" si="189"/>
        <v>8.3654208282077092E-3</v>
      </c>
      <c r="AN418" s="237">
        <f t="shared" si="189"/>
        <v>0.65782820636449979</v>
      </c>
      <c r="AO418" s="237">
        <f t="shared" si="189"/>
        <v>1.304198784885487E-2</v>
      </c>
      <c r="AP418" s="237">
        <f t="shared" si="180"/>
        <v>1</v>
      </c>
      <c r="AQ418" s="237"/>
      <c r="AR418" s="237">
        <f t="shared" si="181"/>
        <v>0.61464645366918802</v>
      </c>
      <c r="AS418" s="237">
        <f t="shared" si="182"/>
        <v>0.35993676340465403</v>
      </c>
      <c r="AT418" s="237">
        <f t="shared" si="183"/>
        <v>2.5416782926158003E-2</v>
      </c>
      <c r="AU418" s="237">
        <f t="shared" si="193"/>
        <v>0.98055959563958928</v>
      </c>
      <c r="AV418" s="237">
        <f t="shared" si="193"/>
        <v>1.9440404360410696E-2</v>
      </c>
      <c r="AX418" s="251">
        <f t="shared" si="194"/>
        <v>28763.49676765922</v>
      </c>
      <c r="AY418" s="251">
        <f t="shared" si="194"/>
        <v>17887.129101236646</v>
      </c>
      <c r="AZ418" s="251">
        <f t="shared" si="194"/>
        <v>1258.4878627271441</v>
      </c>
      <c r="BA418" s="251">
        <f t="shared" si="195"/>
        <v>89911.687692275693</v>
      </c>
      <c r="BB418" s="251">
        <f t="shared" si="195"/>
        <v>1794.5370960467733</v>
      </c>
      <c r="BC418" s="251">
        <f t="shared" si="174"/>
        <v>139615.33851994548</v>
      </c>
      <c r="BD418" s="270">
        <f t="shared" si="170"/>
        <v>7.6100191206778574</v>
      </c>
    </row>
    <row r="419" spans="1:56">
      <c r="A419" s="11">
        <v>52383</v>
      </c>
      <c r="B419" s="268">
        <v>70</v>
      </c>
      <c r="C419" s="268">
        <v>13</v>
      </c>
      <c r="D419" s="268">
        <f t="shared" si="196"/>
        <v>20</v>
      </c>
      <c r="E419" s="268">
        <v>3</v>
      </c>
      <c r="F419" s="269">
        <v>0.2</v>
      </c>
      <c r="G419" s="269">
        <v>1.32</v>
      </c>
      <c r="I419" s="269">
        <v>5</v>
      </c>
      <c r="M419" s="269">
        <f t="shared" si="190"/>
        <v>1.5</v>
      </c>
      <c r="N419" s="269">
        <v>45</v>
      </c>
      <c r="O419" s="269">
        <f t="shared" si="175"/>
        <v>17.699535849485258</v>
      </c>
      <c r="Q419" s="251">
        <f t="shared" si="191"/>
        <v>176.71953584948523</v>
      </c>
      <c r="R419" s="251">
        <f>'RD Plant List'!N287</f>
        <v>664.33</v>
      </c>
      <c r="S419" s="251">
        <f>SUM(B419:O419)+'RD Plant List'!N287</f>
        <v>841.04953584948521</v>
      </c>
      <c r="T419" s="237">
        <f t="shared" si="171"/>
        <v>0.7898821314121609</v>
      </c>
      <c r="U419" s="251">
        <f t="shared" si="192"/>
        <v>541.7285729787136</v>
      </c>
      <c r="V419" s="271">
        <f t="shared" si="178"/>
        <v>0.64411018600890313</v>
      </c>
      <c r="W419" s="251">
        <f t="shared" si="185"/>
        <v>45.144047748226136</v>
      </c>
      <c r="X419" s="242">
        <f t="shared" si="186"/>
        <v>7.6100191206778565</v>
      </c>
      <c r="Y419" s="273">
        <f t="shared" si="187"/>
        <v>7.6100191206778565</v>
      </c>
      <c r="AB419" s="251">
        <f>SUM('BD Feedstock'!C417,'BD Feedstock'!E417,'BD Feedstock'!G417,'BD Feedstock'!K417,'BD Feedstock'!T417)</f>
        <v>21.812796010427753</v>
      </c>
      <c r="AC419" s="251">
        <f>SUM('BD Feedstock'!D417,'BD Feedstock'!F417,'BD Feedstock'!H417,'BD Feedstock'!I417,'BD Feedstock'!L417,'BD Feedstock'!M417,'BD Feedstock'!N417,'BD Feedstock'!O417,'BD Feedstock'!U417)</f>
        <v>12.773566250859661</v>
      </c>
      <c r="AD419" s="251">
        <f>'BD Feedstock'!J417</f>
        <v>0.90199999999999991</v>
      </c>
      <c r="AE419" s="251">
        <f>SUM('BD Feedstock'!B417,'BD Feedstock'!P417,'BD Feedstock'!Q417,'BD Feedstock'!R417)</f>
        <v>70.93020833333334</v>
      </c>
      <c r="AF419" s="251">
        <f>'BD Feedstock'!S417</f>
        <v>1.40625</v>
      </c>
      <c r="AG419" s="251">
        <f t="shared" si="179"/>
        <v>107.82482059462075</v>
      </c>
      <c r="AK419" s="237">
        <f t="shared" si="189"/>
        <v>0.20229846792359021</v>
      </c>
      <c r="AL419" s="237">
        <f t="shared" si="189"/>
        <v>0.11846591703484753</v>
      </c>
      <c r="AM419" s="237">
        <f t="shared" si="189"/>
        <v>8.3654208282077092E-3</v>
      </c>
      <c r="AN419" s="237">
        <f t="shared" si="189"/>
        <v>0.65782820636449979</v>
      </c>
      <c r="AO419" s="237">
        <f t="shared" si="189"/>
        <v>1.304198784885487E-2</v>
      </c>
      <c r="AP419" s="237">
        <f t="shared" si="180"/>
        <v>1</v>
      </c>
      <c r="AQ419" s="237"/>
      <c r="AR419" s="237">
        <f t="shared" si="181"/>
        <v>0.61464645366918802</v>
      </c>
      <c r="AS419" s="237">
        <f t="shared" si="182"/>
        <v>0.35993676340465403</v>
      </c>
      <c r="AT419" s="237">
        <f t="shared" si="183"/>
        <v>2.5416782926158003E-2</v>
      </c>
      <c r="AU419" s="237">
        <f t="shared" si="193"/>
        <v>0.98055959563958928</v>
      </c>
      <c r="AV419" s="237">
        <f t="shared" si="193"/>
        <v>1.9440404360410696E-2</v>
      </c>
      <c r="AX419" s="251">
        <f t="shared" si="194"/>
        <v>32104.111561460653</v>
      </c>
      <c r="AY419" s="251">
        <f t="shared" si="194"/>
        <v>19964.55412980316</v>
      </c>
      <c r="AZ419" s="251">
        <f t="shared" si="194"/>
        <v>1404.6496178852597</v>
      </c>
      <c r="BA419" s="251">
        <f t="shared" si="195"/>
        <v>100354.1007433268</v>
      </c>
      <c r="BB419" s="251">
        <f t="shared" si="195"/>
        <v>2002.9560243677467</v>
      </c>
      <c r="BC419" s="251">
        <f t="shared" si="174"/>
        <v>155830.3720768436</v>
      </c>
      <c r="BD419" s="270">
        <f t="shared" si="170"/>
        <v>7.6100191206778574</v>
      </c>
    </row>
    <row r="420" spans="1:56">
      <c r="A420" s="11">
        <v>52413</v>
      </c>
      <c r="B420" s="268">
        <v>70</v>
      </c>
      <c r="C420" s="268">
        <v>13</v>
      </c>
      <c r="D420" s="268">
        <f t="shared" si="196"/>
        <v>20</v>
      </c>
      <c r="E420" s="268">
        <v>3</v>
      </c>
      <c r="F420" s="269">
        <v>0.2</v>
      </c>
      <c r="G420" s="269">
        <v>1.32</v>
      </c>
      <c r="I420" s="269">
        <v>5</v>
      </c>
      <c r="M420" s="269">
        <f t="shared" si="190"/>
        <v>1.5</v>
      </c>
      <c r="N420" s="269">
        <v>45</v>
      </c>
      <c r="O420" s="269">
        <f t="shared" si="175"/>
        <v>17.699535849485258</v>
      </c>
      <c r="Q420" s="251">
        <f t="shared" si="191"/>
        <v>176.71953584948523</v>
      </c>
      <c r="R420" s="251">
        <f>'RD Plant List'!N288</f>
        <v>664.33</v>
      </c>
      <c r="S420" s="251">
        <f>SUM(B420:O420)+'RD Plant List'!N288</f>
        <v>841.04953584948521</v>
      </c>
      <c r="T420" s="237">
        <f t="shared" si="171"/>
        <v>0.7898821314121609</v>
      </c>
      <c r="U420" s="251">
        <f t="shared" si="192"/>
        <v>556.31041658267634</v>
      </c>
      <c r="V420" s="271">
        <f t="shared" si="178"/>
        <v>0.66144786111888898</v>
      </c>
      <c r="W420" s="251">
        <f t="shared" si="185"/>
        <v>46.359201381889697</v>
      </c>
      <c r="X420" s="242">
        <f t="shared" si="186"/>
        <v>7.6100191206778556</v>
      </c>
      <c r="Y420" s="273">
        <f t="shared" si="187"/>
        <v>7.6100191206778556</v>
      </c>
      <c r="AB420" s="251">
        <f>SUM('BD Feedstock'!C418,'BD Feedstock'!E418,'BD Feedstock'!G418,'BD Feedstock'!K418,'BD Feedstock'!T418)</f>
        <v>21.812796010427753</v>
      </c>
      <c r="AC420" s="251">
        <f>SUM('BD Feedstock'!D418,'BD Feedstock'!F418,'BD Feedstock'!H418,'BD Feedstock'!I418,'BD Feedstock'!L418,'BD Feedstock'!M418,'BD Feedstock'!N418,'BD Feedstock'!O418,'BD Feedstock'!U418)</f>
        <v>12.773566250859661</v>
      </c>
      <c r="AD420" s="251">
        <f>'BD Feedstock'!J418</f>
        <v>0.90199999999999991</v>
      </c>
      <c r="AE420" s="251">
        <f>SUM('BD Feedstock'!B418,'BD Feedstock'!P418,'BD Feedstock'!Q418,'BD Feedstock'!R418)</f>
        <v>70.93020833333334</v>
      </c>
      <c r="AF420" s="251">
        <f>'BD Feedstock'!S418</f>
        <v>1.40625</v>
      </c>
      <c r="AG420" s="251">
        <f t="shared" si="179"/>
        <v>107.82482059462075</v>
      </c>
      <c r="AK420" s="237">
        <f t="shared" si="189"/>
        <v>0.20229846792359021</v>
      </c>
      <c r="AL420" s="237">
        <f t="shared" si="189"/>
        <v>0.11846591703484753</v>
      </c>
      <c r="AM420" s="237">
        <f t="shared" si="189"/>
        <v>8.3654208282077092E-3</v>
      </c>
      <c r="AN420" s="237">
        <f t="shared" si="189"/>
        <v>0.65782820636449979</v>
      </c>
      <c r="AO420" s="237">
        <f t="shared" si="189"/>
        <v>1.304198784885487E-2</v>
      </c>
      <c r="AP420" s="237">
        <f t="shared" si="180"/>
        <v>1</v>
      </c>
      <c r="AQ420" s="237"/>
      <c r="AR420" s="237">
        <f t="shared" si="181"/>
        <v>0.61464645366918802</v>
      </c>
      <c r="AS420" s="237">
        <f t="shared" si="182"/>
        <v>0.35993676340465403</v>
      </c>
      <c r="AT420" s="237">
        <f t="shared" si="183"/>
        <v>2.5416782926158003E-2</v>
      </c>
      <c r="AU420" s="237">
        <f t="shared" si="193"/>
        <v>0.98055959563958928</v>
      </c>
      <c r="AV420" s="237">
        <f t="shared" si="193"/>
        <v>1.9440404360410696E-2</v>
      </c>
      <c r="AX420" s="251">
        <f t="shared" si="194"/>
        <v>32968.265968637897</v>
      </c>
      <c r="AY420" s="251">
        <f t="shared" si="194"/>
        <v>20501.945030827454</v>
      </c>
      <c r="AZ420" s="251">
        <f t="shared" si="194"/>
        <v>1442.4589232607279</v>
      </c>
      <c r="BA420" s="251">
        <f t="shared" si="195"/>
        <v>103055.357193599</v>
      </c>
      <c r="BB420" s="251">
        <f t="shared" si="195"/>
        <v>2056.8700930541199</v>
      </c>
      <c r="BC420" s="251">
        <f t="shared" si="174"/>
        <v>160024.89720937918</v>
      </c>
      <c r="BD420" s="270">
        <f t="shared" si="170"/>
        <v>7.6100191206778565</v>
      </c>
    </row>
    <row r="421" spans="1:56">
      <c r="A421" s="11">
        <v>52444</v>
      </c>
      <c r="B421" s="268">
        <v>70</v>
      </c>
      <c r="C421" s="268">
        <v>13</v>
      </c>
      <c r="D421" s="268">
        <f t="shared" si="196"/>
        <v>20</v>
      </c>
      <c r="E421" s="268">
        <v>3</v>
      </c>
      <c r="F421" s="269">
        <v>0.2</v>
      </c>
      <c r="G421" s="269">
        <v>1.32</v>
      </c>
      <c r="I421" s="269">
        <v>5</v>
      </c>
      <c r="M421" s="269">
        <f t="shared" si="190"/>
        <v>1.5</v>
      </c>
      <c r="N421" s="269">
        <v>45</v>
      </c>
      <c r="O421" s="269">
        <f t="shared" si="175"/>
        <v>17.699535849485258</v>
      </c>
      <c r="Q421" s="251">
        <f t="shared" si="191"/>
        <v>176.71953584948523</v>
      </c>
      <c r="R421" s="251">
        <f>'RD Plant List'!N289</f>
        <v>664.33</v>
      </c>
      <c r="S421" s="251">
        <f>SUM(B421:O421)+'RD Plant List'!N289</f>
        <v>841.04953584948521</v>
      </c>
      <c r="T421" s="237">
        <f t="shared" si="171"/>
        <v>0.7898821314121609</v>
      </c>
      <c r="U421" s="251">
        <f t="shared" si="192"/>
        <v>525.01263271825383</v>
      </c>
      <c r="V421" s="271">
        <f t="shared" si="178"/>
        <v>0.62423509001520983</v>
      </c>
      <c r="W421" s="251">
        <f t="shared" si="185"/>
        <v>43.751052726521152</v>
      </c>
      <c r="X421" s="242">
        <f t="shared" si="186"/>
        <v>7.6100191206778582</v>
      </c>
      <c r="Y421" s="273">
        <f t="shared" si="187"/>
        <v>7.6100191206778582</v>
      </c>
      <c r="AB421" s="251">
        <f>SUM('BD Feedstock'!C419,'BD Feedstock'!E419,'BD Feedstock'!G419,'BD Feedstock'!K419,'BD Feedstock'!T419)</f>
        <v>21.812796010427753</v>
      </c>
      <c r="AC421" s="251">
        <f>SUM('BD Feedstock'!D419,'BD Feedstock'!F419,'BD Feedstock'!H419,'BD Feedstock'!I419,'BD Feedstock'!L419,'BD Feedstock'!M419,'BD Feedstock'!N419,'BD Feedstock'!O419,'BD Feedstock'!U419)</f>
        <v>12.773566250859661</v>
      </c>
      <c r="AD421" s="251">
        <f>'BD Feedstock'!J419</f>
        <v>0.90199999999999991</v>
      </c>
      <c r="AE421" s="251">
        <f>SUM('BD Feedstock'!B419,'BD Feedstock'!P419,'BD Feedstock'!Q419,'BD Feedstock'!R419)</f>
        <v>70.93020833333334</v>
      </c>
      <c r="AF421" s="251">
        <f>'BD Feedstock'!S419</f>
        <v>1.40625</v>
      </c>
      <c r="AG421" s="251">
        <f t="shared" si="179"/>
        <v>107.82482059462075</v>
      </c>
      <c r="AK421" s="237">
        <f t="shared" si="189"/>
        <v>0.20229846792359021</v>
      </c>
      <c r="AL421" s="237">
        <f t="shared" si="189"/>
        <v>0.11846591703484753</v>
      </c>
      <c r="AM421" s="237">
        <f t="shared" si="189"/>
        <v>8.3654208282077092E-3</v>
      </c>
      <c r="AN421" s="237">
        <f t="shared" si="189"/>
        <v>0.65782820636449979</v>
      </c>
      <c r="AO421" s="237">
        <f t="shared" si="189"/>
        <v>1.304198784885487E-2</v>
      </c>
      <c r="AP421" s="237">
        <f t="shared" si="180"/>
        <v>1</v>
      </c>
      <c r="AQ421" s="237"/>
      <c r="AR421" s="237">
        <f t="shared" si="181"/>
        <v>0.61464645366918802</v>
      </c>
      <c r="AS421" s="237">
        <f t="shared" si="182"/>
        <v>0.35993676340465403</v>
      </c>
      <c r="AT421" s="237">
        <f t="shared" si="183"/>
        <v>2.5416782926158003E-2</v>
      </c>
      <c r="AU421" s="237">
        <f t="shared" si="193"/>
        <v>0.98055959563958928</v>
      </c>
      <c r="AV421" s="237">
        <f t="shared" si="193"/>
        <v>1.9440404360410696E-2</v>
      </c>
      <c r="AX421" s="251">
        <f t="shared" si="194"/>
        <v>31113.48555843165</v>
      </c>
      <c r="AY421" s="251">
        <f t="shared" si="194"/>
        <v>19348.514454573367</v>
      </c>
      <c r="AZ421" s="251">
        <f t="shared" si="194"/>
        <v>1361.3068069821134</v>
      </c>
      <c r="BA421" s="251">
        <f t="shared" si="195"/>
        <v>97257.507289350848</v>
      </c>
      <c r="BB421" s="251">
        <f t="shared" si="195"/>
        <v>1941.1514696189333</v>
      </c>
      <c r="BC421" s="251">
        <f t="shared" si="174"/>
        <v>151021.96557895691</v>
      </c>
      <c r="BD421" s="270">
        <f t="shared" si="170"/>
        <v>7.6100191206778582</v>
      </c>
    </row>
    <row r="422" spans="1:56">
      <c r="A422" s="11">
        <v>52475</v>
      </c>
      <c r="B422" s="268">
        <v>70</v>
      </c>
      <c r="C422" s="268">
        <v>13</v>
      </c>
      <c r="D422" s="268">
        <f t="shared" si="196"/>
        <v>20</v>
      </c>
      <c r="E422" s="268">
        <v>3</v>
      </c>
      <c r="F422" s="269">
        <v>0.2</v>
      </c>
      <c r="G422" s="269">
        <v>1.32</v>
      </c>
      <c r="I422" s="269">
        <v>5</v>
      </c>
      <c r="M422" s="269">
        <f t="shared" si="190"/>
        <v>1.5</v>
      </c>
      <c r="N422" s="269">
        <v>45</v>
      </c>
      <c r="O422" s="269">
        <f t="shared" si="175"/>
        <v>17.699535849485258</v>
      </c>
      <c r="Q422" s="251">
        <f t="shared" si="191"/>
        <v>176.71953584948523</v>
      </c>
      <c r="R422" s="251">
        <f>'RD Plant List'!N290</f>
        <v>664.33</v>
      </c>
      <c r="S422" s="251">
        <f>SUM(B422:O422)+'RD Plant List'!N290</f>
        <v>841.04953584948521</v>
      </c>
      <c r="T422" s="237">
        <f t="shared" si="171"/>
        <v>0.7898821314121609</v>
      </c>
      <c r="U422" s="251">
        <f t="shared" si="192"/>
        <v>569.08377265868364</v>
      </c>
      <c r="V422" s="271">
        <f t="shared" si="178"/>
        <v>0.67663526154127407</v>
      </c>
      <c r="W422" s="251">
        <f t="shared" si="185"/>
        <v>47.423647721556968</v>
      </c>
      <c r="X422" s="242">
        <f t="shared" si="186"/>
        <v>7.6100191206778565</v>
      </c>
      <c r="Y422" s="273">
        <f t="shared" si="187"/>
        <v>7.6100191206778565</v>
      </c>
      <c r="AB422" s="251">
        <f>SUM('BD Feedstock'!C420,'BD Feedstock'!E420,'BD Feedstock'!G420,'BD Feedstock'!K420,'BD Feedstock'!T420)</f>
        <v>21.812796010427753</v>
      </c>
      <c r="AC422" s="251">
        <f>SUM('BD Feedstock'!D420,'BD Feedstock'!F420,'BD Feedstock'!H420,'BD Feedstock'!I420,'BD Feedstock'!L420,'BD Feedstock'!M420,'BD Feedstock'!N420,'BD Feedstock'!O420,'BD Feedstock'!U420)</f>
        <v>12.773566250859661</v>
      </c>
      <c r="AD422" s="251">
        <f>'BD Feedstock'!J420</f>
        <v>0.90199999999999991</v>
      </c>
      <c r="AE422" s="251">
        <f>SUM('BD Feedstock'!B420,'BD Feedstock'!P420,'BD Feedstock'!Q420,'BD Feedstock'!R420)</f>
        <v>70.93020833333334</v>
      </c>
      <c r="AF422" s="251">
        <f>'BD Feedstock'!S420</f>
        <v>1.40625</v>
      </c>
      <c r="AG422" s="251">
        <f t="shared" si="179"/>
        <v>107.82482059462075</v>
      </c>
      <c r="AK422" s="237">
        <f t="shared" si="189"/>
        <v>0.20229846792359021</v>
      </c>
      <c r="AL422" s="237">
        <f t="shared" si="189"/>
        <v>0.11846591703484753</v>
      </c>
      <c r="AM422" s="237">
        <f t="shared" si="189"/>
        <v>8.3654208282077092E-3</v>
      </c>
      <c r="AN422" s="237">
        <f t="shared" si="189"/>
        <v>0.65782820636449979</v>
      </c>
      <c r="AO422" s="237">
        <f t="shared" si="189"/>
        <v>1.304198784885487E-2</v>
      </c>
      <c r="AP422" s="237">
        <f t="shared" si="180"/>
        <v>1</v>
      </c>
      <c r="AQ422" s="237"/>
      <c r="AR422" s="237">
        <f t="shared" si="181"/>
        <v>0.61464645366918802</v>
      </c>
      <c r="AS422" s="237">
        <f t="shared" si="182"/>
        <v>0.35993676340465403</v>
      </c>
      <c r="AT422" s="237">
        <f t="shared" si="183"/>
        <v>2.5416782926158003E-2</v>
      </c>
      <c r="AU422" s="237">
        <f t="shared" si="193"/>
        <v>0.98055959563958928</v>
      </c>
      <c r="AV422" s="237">
        <f t="shared" si="193"/>
        <v>1.9440404360410696E-2</v>
      </c>
      <c r="AX422" s="251">
        <f t="shared" si="194"/>
        <v>33725.245144064385</v>
      </c>
      <c r="AY422" s="251">
        <f t="shared" si="194"/>
        <v>20972.686969722225</v>
      </c>
      <c r="AZ422" s="251">
        <f t="shared" si="194"/>
        <v>1475.5789959802094</v>
      </c>
      <c r="BA422" s="251">
        <f t="shared" si="195"/>
        <v>105421.5950596094</v>
      </c>
      <c r="BB422" s="251">
        <f t="shared" si="195"/>
        <v>2104.0975641161613</v>
      </c>
      <c r="BC422" s="251">
        <f t="shared" si="174"/>
        <v>163699.20373349238</v>
      </c>
      <c r="BD422" s="270">
        <f t="shared" si="170"/>
        <v>7.6100191206778574</v>
      </c>
    </row>
    <row r="423" spans="1:56">
      <c r="A423" s="11">
        <v>52505</v>
      </c>
      <c r="B423" s="268">
        <v>70</v>
      </c>
      <c r="C423" s="268">
        <v>13</v>
      </c>
      <c r="D423" s="268">
        <f t="shared" si="196"/>
        <v>20</v>
      </c>
      <c r="E423" s="268">
        <v>3</v>
      </c>
      <c r="F423" s="269">
        <v>0.2</v>
      </c>
      <c r="G423" s="269">
        <v>1.32</v>
      </c>
      <c r="I423" s="269">
        <v>5</v>
      </c>
      <c r="M423" s="269">
        <f t="shared" si="190"/>
        <v>1.5</v>
      </c>
      <c r="N423" s="269">
        <v>45</v>
      </c>
      <c r="O423" s="269">
        <f t="shared" si="175"/>
        <v>17.699535849485258</v>
      </c>
      <c r="Q423" s="251">
        <f t="shared" si="191"/>
        <v>176.71953584948523</v>
      </c>
      <c r="R423" s="251">
        <f>'RD Plant List'!N291</f>
        <v>664.33</v>
      </c>
      <c r="S423" s="251">
        <f>SUM(B423:O423)+'RD Plant List'!N291</f>
        <v>841.04953584948521</v>
      </c>
      <c r="T423" s="237">
        <f t="shared" si="171"/>
        <v>0.7898821314121609</v>
      </c>
      <c r="U423" s="251">
        <f t="shared" si="192"/>
        <v>595.80894448454535</v>
      </c>
      <c r="V423" s="271">
        <f t="shared" si="178"/>
        <v>0.70841123987157362</v>
      </c>
      <c r="W423" s="251">
        <f t="shared" si="185"/>
        <v>49.650745373712112</v>
      </c>
      <c r="X423" s="242">
        <f t="shared" si="186"/>
        <v>7.6100191206778574</v>
      </c>
      <c r="Y423" s="273">
        <f t="shared" si="187"/>
        <v>7.6100191206778574</v>
      </c>
      <c r="AB423" s="251">
        <f>SUM('BD Feedstock'!C421,'BD Feedstock'!E421,'BD Feedstock'!G421,'BD Feedstock'!K421,'BD Feedstock'!T421)</f>
        <v>21.812796010427753</v>
      </c>
      <c r="AC423" s="251">
        <f>SUM('BD Feedstock'!D421,'BD Feedstock'!F421,'BD Feedstock'!H421,'BD Feedstock'!I421,'BD Feedstock'!L421,'BD Feedstock'!M421,'BD Feedstock'!N421,'BD Feedstock'!O421,'BD Feedstock'!U421)</f>
        <v>12.773566250859661</v>
      </c>
      <c r="AD423" s="251">
        <f>'BD Feedstock'!J421</f>
        <v>0.90199999999999991</v>
      </c>
      <c r="AE423" s="251">
        <f>SUM('BD Feedstock'!B421,'BD Feedstock'!P421,'BD Feedstock'!Q421,'BD Feedstock'!R421)</f>
        <v>70.93020833333334</v>
      </c>
      <c r="AF423" s="251">
        <f>'BD Feedstock'!S421</f>
        <v>1.40625</v>
      </c>
      <c r="AG423" s="251">
        <f t="shared" si="179"/>
        <v>107.82482059462075</v>
      </c>
      <c r="AK423" s="237">
        <f t="shared" si="189"/>
        <v>0.20229846792359021</v>
      </c>
      <c r="AL423" s="237">
        <f t="shared" si="189"/>
        <v>0.11846591703484753</v>
      </c>
      <c r="AM423" s="237">
        <f t="shared" si="189"/>
        <v>8.3654208282077092E-3</v>
      </c>
      <c r="AN423" s="237">
        <f t="shared" si="189"/>
        <v>0.65782820636449979</v>
      </c>
      <c r="AO423" s="237">
        <f t="shared" si="189"/>
        <v>1.304198784885487E-2</v>
      </c>
      <c r="AP423" s="237">
        <f t="shared" si="180"/>
        <v>1</v>
      </c>
      <c r="AQ423" s="237"/>
      <c r="AR423" s="237">
        <f t="shared" si="181"/>
        <v>0.61464645366918802</v>
      </c>
      <c r="AS423" s="237">
        <f t="shared" si="182"/>
        <v>0.35993676340465403</v>
      </c>
      <c r="AT423" s="237">
        <f t="shared" si="183"/>
        <v>2.5416782926158003E-2</v>
      </c>
      <c r="AU423" s="237">
        <f t="shared" si="193"/>
        <v>0.98055959563958928</v>
      </c>
      <c r="AV423" s="237">
        <f t="shared" si="193"/>
        <v>1.9440404360410696E-2</v>
      </c>
      <c r="AX423" s="251">
        <f t="shared" si="194"/>
        <v>35309.041791671501</v>
      </c>
      <c r="AY423" s="251">
        <f t="shared" si="194"/>
        <v>21957.601124447221</v>
      </c>
      <c r="AZ423" s="251">
        <f t="shared" si="194"/>
        <v>1544.8747729902764</v>
      </c>
      <c r="BA423" s="251">
        <f t="shared" si="195"/>
        <v>110372.37801545071</v>
      </c>
      <c r="BB423" s="251">
        <f t="shared" si="195"/>
        <v>2202.9096751638394</v>
      </c>
      <c r="BC423" s="251">
        <f t="shared" si="174"/>
        <v>171386.80537972355</v>
      </c>
      <c r="BD423" s="270">
        <f t="shared" si="170"/>
        <v>7.6100191206778582</v>
      </c>
    </row>
    <row r="424" spans="1:56">
      <c r="A424" s="11">
        <v>52536</v>
      </c>
      <c r="B424" s="268">
        <v>70</v>
      </c>
      <c r="C424" s="268">
        <v>13</v>
      </c>
      <c r="D424" s="268">
        <f t="shared" si="196"/>
        <v>20</v>
      </c>
      <c r="E424" s="268">
        <v>3</v>
      </c>
      <c r="F424" s="269">
        <v>0.2</v>
      </c>
      <c r="G424" s="269">
        <v>1.32</v>
      </c>
      <c r="I424" s="269">
        <v>5</v>
      </c>
      <c r="M424" s="269">
        <f t="shared" si="190"/>
        <v>1.5</v>
      </c>
      <c r="N424" s="269">
        <v>45</v>
      </c>
      <c r="O424" s="269">
        <f t="shared" si="175"/>
        <v>17.699535849485258</v>
      </c>
      <c r="Q424" s="251">
        <f t="shared" si="191"/>
        <v>176.71953584948523</v>
      </c>
      <c r="R424" s="251">
        <f>'RD Plant List'!N292</f>
        <v>664.33</v>
      </c>
      <c r="S424" s="251">
        <f>SUM(B424:O424)+'RD Plant List'!N292</f>
        <v>841.04953584948521</v>
      </c>
      <c r="T424" s="237">
        <f t="shared" si="171"/>
        <v>0.7898821314121609</v>
      </c>
      <c r="U424" s="251">
        <f t="shared" si="192"/>
        <v>641.009725441304</v>
      </c>
      <c r="V424" s="271">
        <f t="shared" si="178"/>
        <v>0.76215454395782412</v>
      </c>
      <c r="W424" s="251">
        <f t="shared" si="185"/>
        <v>53.417477120108664</v>
      </c>
      <c r="X424" s="242">
        <f t="shared" si="186"/>
        <v>7.6100191206778582</v>
      </c>
      <c r="Y424" s="273">
        <f t="shared" si="187"/>
        <v>7.6100191206778582</v>
      </c>
      <c r="AB424" s="251">
        <f>SUM('BD Feedstock'!C422,'BD Feedstock'!E422,'BD Feedstock'!G422,'BD Feedstock'!K422,'BD Feedstock'!T422)</f>
        <v>21.812796010427753</v>
      </c>
      <c r="AC424" s="251">
        <f>SUM('BD Feedstock'!D422,'BD Feedstock'!F422,'BD Feedstock'!H422,'BD Feedstock'!I422,'BD Feedstock'!L422,'BD Feedstock'!M422,'BD Feedstock'!N422,'BD Feedstock'!O422,'BD Feedstock'!U422)</f>
        <v>12.773566250859661</v>
      </c>
      <c r="AD424" s="251">
        <f>'BD Feedstock'!J422</f>
        <v>0.90199999999999991</v>
      </c>
      <c r="AE424" s="251">
        <f>SUM('BD Feedstock'!B422,'BD Feedstock'!P422,'BD Feedstock'!Q422,'BD Feedstock'!R422)</f>
        <v>70.93020833333334</v>
      </c>
      <c r="AF424" s="251">
        <f>'BD Feedstock'!S422</f>
        <v>1.40625</v>
      </c>
      <c r="AG424" s="251">
        <f t="shared" si="179"/>
        <v>107.82482059462075</v>
      </c>
      <c r="AK424" s="237">
        <f t="shared" si="189"/>
        <v>0.20229846792359021</v>
      </c>
      <c r="AL424" s="237">
        <f t="shared" si="189"/>
        <v>0.11846591703484753</v>
      </c>
      <c r="AM424" s="237">
        <f t="shared" si="189"/>
        <v>8.3654208282077092E-3</v>
      </c>
      <c r="AN424" s="237">
        <f t="shared" si="189"/>
        <v>0.65782820636449979</v>
      </c>
      <c r="AO424" s="237">
        <f t="shared" si="189"/>
        <v>1.304198784885487E-2</v>
      </c>
      <c r="AP424" s="237">
        <f t="shared" si="180"/>
        <v>1</v>
      </c>
      <c r="AQ424" s="237"/>
      <c r="AR424" s="237">
        <f t="shared" si="181"/>
        <v>0.61464645366918802</v>
      </c>
      <c r="AS424" s="237">
        <f t="shared" si="182"/>
        <v>0.35993676340465403</v>
      </c>
      <c r="AT424" s="237">
        <f t="shared" si="183"/>
        <v>2.5416782926158003E-2</v>
      </c>
      <c r="AU424" s="237">
        <f t="shared" si="193"/>
        <v>0.98055959563958928</v>
      </c>
      <c r="AV424" s="237">
        <f t="shared" si="193"/>
        <v>1.9440404360410696E-2</v>
      </c>
      <c r="AX424" s="251">
        <f t="shared" si="194"/>
        <v>37987.746565395792</v>
      </c>
      <c r="AY424" s="251">
        <f t="shared" si="194"/>
        <v>23623.404781726422</v>
      </c>
      <c r="AZ424" s="251">
        <f t="shared" si="194"/>
        <v>1662.0760115181192</v>
      </c>
      <c r="BA424" s="251">
        <f t="shared" si="195"/>
        <v>118745.72945392071</v>
      </c>
      <c r="BB424" s="251">
        <f t="shared" si="195"/>
        <v>2370.0324392921111</v>
      </c>
      <c r="BC424" s="251">
        <f t="shared" si="174"/>
        <v>184388.98925185314</v>
      </c>
      <c r="BD424" s="270">
        <f t="shared" si="170"/>
        <v>7.6100191206778591</v>
      </c>
    </row>
    <row r="425" spans="1:56">
      <c r="A425" s="11">
        <v>52566</v>
      </c>
      <c r="B425" s="268">
        <v>70</v>
      </c>
      <c r="C425" s="268">
        <v>13</v>
      </c>
      <c r="D425" s="268">
        <f t="shared" si="196"/>
        <v>20</v>
      </c>
      <c r="E425" s="268">
        <v>3</v>
      </c>
      <c r="F425" s="269">
        <v>0.2</v>
      </c>
      <c r="G425" s="269">
        <v>1.32</v>
      </c>
      <c r="I425" s="269">
        <v>5</v>
      </c>
      <c r="M425" s="269">
        <f t="shared" si="190"/>
        <v>1.5</v>
      </c>
      <c r="N425" s="269">
        <v>45</v>
      </c>
      <c r="O425" s="269">
        <f t="shared" si="175"/>
        <v>17.699535849485258</v>
      </c>
      <c r="Q425" s="251">
        <f t="shared" si="191"/>
        <v>176.71953584948523</v>
      </c>
      <c r="R425" s="251">
        <f>'RD Plant List'!N293</f>
        <v>664.33</v>
      </c>
      <c r="S425" s="251">
        <f>SUM(B425:O425)+'RD Plant List'!N293</f>
        <v>841.04953584948521</v>
      </c>
      <c r="T425" s="237">
        <f t="shared" si="171"/>
        <v>0.7898821314121609</v>
      </c>
      <c r="U425" s="251">
        <f t="shared" si="192"/>
        <v>582.9232877594784</v>
      </c>
      <c r="V425" s="271">
        <f t="shared" si="178"/>
        <v>0.6930903150320491</v>
      </c>
      <c r="W425" s="251">
        <f t="shared" si="185"/>
        <v>48.5769406466232</v>
      </c>
      <c r="X425" s="242">
        <f t="shared" si="186"/>
        <v>7.6100191206778574</v>
      </c>
      <c r="Y425" s="273">
        <f t="shared" si="187"/>
        <v>7.6100191206778574</v>
      </c>
      <c r="AB425" s="251">
        <f>SUM('BD Feedstock'!C423,'BD Feedstock'!E423,'BD Feedstock'!G423,'BD Feedstock'!K423,'BD Feedstock'!T423)</f>
        <v>21.812796010427753</v>
      </c>
      <c r="AC425" s="251">
        <f>SUM('BD Feedstock'!D423,'BD Feedstock'!F423,'BD Feedstock'!H423,'BD Feedstock'!I423,'BD Feedstock'!L423,'BD Feedstock'!M423,'BD Feedstock'!N423,'BD Feedstock'!O423,'BD Feedstock'!U423)</f>
        <v>12.773566250859661</v>
      </c>
      <c r="AD425" s="251">
        <f>'BD Feedstock'!J423</f>
        <v>0.90199999999999991</v>
      </c>
      <c r="AE425" s="251">
        <f>SUM('BD Feedstock'!B423,'BD Feedstock'!P423,'BD Feedstock'!Q423,'BD Feedstock'!R423)</f>
        <v>70.93020833333334</v>
      </c>
      <c r="AF425" s="251">
        <f>'BD Feedstock'!S423</f>
        <v>1.40625</v>
      </c>
      <c r="AG425" s="251">
        <f t="shared" si="179"/>
        <v>107.82482059462075</v>
      </c>
      <c r="AK425" s="237">
        <f t="shared" si="189"/>
        <v>0.20229846792359021</v>
      </c>
      <c r="AL425" s="237">
        <f t="shared" si="189"/>
        <v>0.11846591703484753</v>
      </c>
      <c r="AM425" s="237">
        <f t="shared" si="189"/>
        <v>8.3654208282077092E-3</v>
      </c>
      <c r="AN425" s="237">
        <f t="shared" si="189"/>
        <v>0.65782820636449979</v>
      </c>
      <c r="AO425" s="237">
        <f t="shared" si="189"/>
        <v>1.304198784885487E-2</v>
      </c>
      <c r="AP425" s="237">
        <f t="shared" si="180"/>
        <v>1</v>
      </c>
      <c r="AQ425" s="237"/>
      <c r="AR425" s="237">
        <f t="shared" si="181"/>
        <v>0.61464645366918802</v>
      </c>
      <c r="AS425" s="237">
        <f t="shared" si="182"/>
        <v>0.35993676340465403</v>
      </c>
      <c r="AT425" s="237">
        <f t="shared" si="183"/>
        <v>2.5416782926158003E-2</v>
      </c>
      <c r="AU425" s="237">
        <f t="shared" si="193"/>
        <v>0.98055959563958928</v>
      </c>
      <c r="AV425" s="237">
        <f t="shared" si="193"/>
        <v>1.9440404360410696E-2</v>
      </c>
      <c r="AX425" s="251">
        <f t="shared" si="194"/>
        <v>34545.407415198446</v>
      </c>
      <c r="AY425" s="251">
        <f t="shared" si="194"/>
        <v>21482.720521840038</v>
      </c>
      <c r="AZ425" s="251">
        <f t="shared" si="194"/>
        <v>1511.4635155859578</v>
      </c>
      <c r="BA425" s="251">
        <f t="shared" si="195"/>
        <v>107985.33668583985</v>
      </c>
      <c r="BB425" s="251">
        <f t="shared" si="195"/>
        <v>2155.2669901500258</v>
      </c>
      <c r="BC425" s="251">
        <f t="shared" si="174"/>
        <v>167680.19512861432</v>
      </c>
      <c r="BD425" s="270">
        <f t="shared" si="170"/>
        <v>7.6100191206778574</v>
      </c>
    </row>
    <row r="426" spans="1:56">
      <c r="A426" s="11">
        <v>52597</v>
      </c>
      <c r="B426" s="268">
        <v>70</v>
      </c>
      <c r="C426" s="268">
        <v>13</v>
      </c>
      <c r="D426" s="268">
        <f t="shared" si="196"/>
        <v>20</v>
      </c>
      <c r="E426" s="268">
        <v>3</v>
      </c>
      <c r="F426" s="269">
        <v>0.2</v>
      </c>
      <c r="G426" s="269">
        <v>1.32</v>
      </c>
      <c r="I426" s="269">
        <v>5</v>
      </c>
      <c r="M426" s="269">
        <f t="shared" si="190"/>
        <v>1.5</v>
      </c>
      <c r="N426" s="269">
        <v>45</v>
      </c>
      <c r="O426" s="269">
        <f t="shared" si="175"/>
        <v>17.699535849485258</v>
      </c>
      <c r="Q426" s="251">
        <f t="shared" si="191"/>
        <v>176.71953584948523</v>
      </c>
      <c r="R426" s="251">
        <f>'RD Plant List'!N294</f>
        <v>664.33</v>
      </c>
      <c r="S426" s="251">
        <f>SUM(B426:O426)+'RD Plant List'!N294</f>
        <v>841.04953584948521</v>
      </c>
      <c r="T426" s="237">
        <f t="shared" si="171"/>
        <v>0.7898821314121609</v>
      </c>
      <c r="U426" s="251">
        <f t="shared" si="192"/>
        <v>477.84453263663295</v>
      </c>
      <c r="V426" s="271">
        <f t="shared" si="178"/>
        <v>0.56815266196419179</v>
      </c>
      <c r="W426" s="251">
        <f t="shared" si="185"/>
        <v>39.82037771971941</v>
      </c>
      <c r="X426" s="242">
        <f t="shared" si="186"/>
        <v>7.6100191206778574</v>
      </c>
      <c r="Y426" s="273">
        <f t="shared" si="187"/>
        <v>7.6100191206778574</v>
      </c>
      <c r="AB426" s="251">
        <f>SUM('BD Feedstock'!C424,'BD Feedstock'!E424,'BD Feedstock'!G424,'BD Feedstock'!K424,'BD Feedstock'!T424)</f>
        <v>21.812796010427753</v>
      </c>
      <c r="AC426" s="251">
        <f>SUM('BD Feedstock'!D424,'BD Feedstock'!F424,'BD Feedstock'!H424,'BD Feedstock'!I424,'BD Feedstock'!L424,'BD Feedstock'!M424,'BD Feedstock'!N424,'BD Feedstock'!O424,'BD Feedstock'!U424)</f>
        <v>12.773566250859661</v>
      </c>
      <c r="AD426" s="251">
        <f>'BD Feedstock'!J424</f>
        <v>0.90199999999999991</v>
      </c>
      <c r="AE426" s="251">
        <f>SUM('BD Feedstock'!B424,'BD Feedstock'!P424,'BD Feedstock'!Q424,'BD Feedstock'!R424)</f>
        <v>70.93020833333334</v>
      </c>
      <c r="AF426" s="251">
        <f>'BD Feedstock'!S424</f>
        <v>1.40625</v>
      </c>
      <c r="AG426" s="251">
        <f t="shared" si="179"/>
        <v>107.82482059462075</v>
      </c>
      <c r="AK426" s="237">
        <f t="shared" si="189"/>
        <v>0.20229846792359021</v>
      </c>
      <c r="AL426" s="237">
        <f t="shared" si="189"/>
        <v>0.11846591703484753</v>
      </c>
      <c r="AM426" s="237">
        <f t="shared" si="189"/>
        <v>8.3654208282077092E-3</v>
      </c>
      <c r="AN426" s="237">
        <f t="shared" si="189"/>
        <v>0.65782820636449979</v>
      </c>
      <c r="AO426" s="237">
        <f t="shared" si="189"/>
        <v>1.304198784885487E-2</v>
      </c>
      <c r="AP426" s="237">
        <f t="shared" si="180"/>
        <v>1</v>
      </c>
      <c r="AQ426" s="237"/>
      <c r="AR426" s="237">
        <f t="shared" si="181"/>
        <v>0.61464645366918802</v>
      </c>
      <c r="AS426" s="237">
        <f t="shared" si="182"/>
        <v>0.35993676340465403</v>
      </c>
      <c r="AT426" s="237">
        <f t="shared" si="183"/>
        <v>2.5416782926158003E-2</v>
      </c>
      <c r="AU426" s="237">
        <f t="shared" si="193"/>
        <v>0.98055959563958928</v>
      </c>
      <c r="AV426" s="237">
        <f t="shared" si="193"/>
        <v>1.9440404360410696E-2</v>
      </c>
      <c r="AX426" s="251">
        <f t="shared" si="194"/>
        <v>28318.192818312502</v>
      </c>
      <c r="AY426" s="251">
        <f t="shared" si="194"/>
        <v>17610.20834658726</v>
      </c>
      <c r="AZ426" s="251">
        <f t="shared" si="194"/>
        <v>1239.0045008812574</v>
      </c>
      <c r="BA426" s="251">
        <f t="shared" si="195"/>
        <v>88519.714040907391</v>
      </c>
      <c r="BB426" s="251">
        <f t="shared" si="195"/>
        <v>1766.754853067981</v>
      </c>
      <c r="BC426" s="251">
        <f t="shared" si="174"/>
        <v>137453.8745597564</v>
      </c>
      <c r="BD426" s="270">
        <f t="shared" si="170"/>
        <v>7.6100191206778565</v>
      </c>
    </row>
    <row r="427" spans="1:56">
      <c r="A427" s="11">
        <v>52628</v>
      </c>
      <c r="B427" s="268">
        <v>70</v>
      </c>
      <c r="C427" s="268">
        <v>13</v>
      </c>
      <c r="D427" s="268">
        <f t="shared" si="196"/>
        <v>20</v>
      </c>
      <c r="E427" s="268">
        <v>3</v>
      </c>
      <c r="F427" s="269">
        <v>0.2</v>
      </c>
      <c r="G427" s="269">
        <v>1.32</v>
      </c>
      <c r="I427" s="269">
        <v>5</v>
      </c>
      <c r="M427" s="269">
        <f t="shared" si="190"/>
        <v>1.5</v>
      </c>
      <c r="N427" s="269">
        <v>45</v>
      </c>
      <c r="O427" s="269">
        <f t="shared" si="175"/>
        <v>17.699535849485258</v>
      </c>
      <c r="Q427" s="251">
        <f t="shared" si="191"/>
        <v>176.71953584948523</v>
      </c>
      <c r="R427" s="251">
        <f>'RD Plant List'!N295</f>
        <v>664.33</v>
      </c>
      <c r="S427" s="251">
        <f>SUM(B427:O427)+'RD Plant List'!N295</f>
        <v>841.04953584948521</v>
      </c>
      <c r="T427" s="237">
        <f t="shared" si="171"/>
        <v>0.7898821314121609</v>
      </c>
      <c r="U427" s="251">
        <f t="shared" si="192"/>
        <v>441.87541949898298</v>
      </c>
      <c r="V427" s="271">
        <f t="shared" si="178"/>
        <v>0.52538572422214769</v>
      </c>
      <c r="W427" s="251">
        <f t="shared" si="185"/>
        <v>36.822951624915248</v>
      </c>
      <c r="X427" s="242">
        <f t="shared" si="186"/>
        <v>7.6100191206778574</v>
      </c>
      <c r="Y427" s="273">
        <f t="shared" si="187"/>
        <v>7.6100191206778574</v>
      </c>
      <c r="AB427" s="251">
        <f>SUM('BD Feedstock'!C425,'BD Feedstock'!E425,'BD Feedstock'!G425,'BD Feedstock'!K425,'BD Feedstock'!T425)</f>
        <v>21.812796010427753</v>
      </c>
      <c r="AC427" s="251">
        <f>SUM('BD Feedstock'!D425,'BD Feedstock'!F425,'BD Feedstock'!H425,'BD Feedstock'!I425,'BD Feedstock'!L425,'BD Feedstock'!M425,'BD Feedstock'!N425,'BD Feedstock'!O425,'BD Feedstock'!U425)</f>
        <v>12.773566250859661</v>
      </c>
      <c r="AD427" s="251">
        <f>'BD Feedstock'!J425</f>
        <v>0.90199999999999991</v>
      </c>
      <c r="AE427" s="251">
        <f>SUM('BD Feedstock'!B425,'BD Feedstock'!P425,'BD Feedstock'!Q425,'BD Feedstock'!R425)</f>
        <v>70.93020833333334</v>
      </c>
      <c r="AF427" s="251">
        <f>'BD Feedstock'!S425</f>
        <v>1.40625</v>
      </c>
      <c r="AG427" s="251">
        <f t="shared" si="179"/>
        <v>107.82482059462075</v>
      </c>
      <c r="AK427" s="237">
        <f t="shared" ref="AK427:AO444" si="197">AB427/$AG427</f>
        <v>0.20229846792359021</v>
      </c>
      <c r="AL427" s="237">
        <f t="shared" si="197"/>
        <v>0.11846591703484753</v>
      </c>
      <c r="AM427" s="237">
        <f t="shared" si="197"/>
        <v>8.3654208282077092E-3</v>
      </c>
      <c r="AN427" s="237">
        <f t="shared" si="197"/>
        <v>0.65782820636449979</v>
      </c>
      <c r="AO427" s="237">
        <f t="shared" si="197"/>
        <v>1.304198784885487E-2</v>
      </c>
      <c r="AP427" s="237">
        <f t="shared" si="180"/>
        <v>1</v>
      </c>
      <c r="AQ427" s="237"/>
      <c r="AR427" s="237">
        <f t="shared" si="181"/>
        <v>0.61464645366918802</v>
      </c>
      <c r="AS427" s="237">
        <f t="shared" si="182"/>
        <v>0.35993676340465403</v>
      </c>
      <c r="AT427" s="237">
        <f t="shared" si="183"/>
        <v>2.5416782926158003E-2</v>
      </c>
      <c r="AU427" s="237">
        <f t="shared" si="193"/>
        <v>0.98055959563958928</v>
      </c>
      <c r="AV427" s="237">
        <f t="shared" si="193"/>
        <v>1.9440404360410696E-2</v>
      </c>
      <c r="AX427" s="251">
        <f t="shared" si="194"/>
        <v>26186.578429600377</v>
      </c>
      <c r="AY427" s="251">
        <f t="shared" si="194"/>
        <v>16284.623280455182</v>
      </c>
      <c r="AZ427" s="251">
        <f t="shared" si="194"/>
        <v>1145.7400811245818</v>
      </c>
      <c r="BA427" s="251">
        <f t="shared" si="195"/>
        <v>81856.510024150324</v>
      </c>
      <c r="BB427" s="251">
        <f t="shared" si="195"/>
        <v>1633.764725827541</v>
      </c>
      <c r="BC427" s="251">
        <f t="shared" si="174"/>
        <v>127107.21654115801</v>
      </c>
      <c r="BD427" s="270">
        <f t="shared" si="170"/>
        <v>7.6100191206778574</v>
      </c>
    </row>
    <row r="428" spans="1:56">
      <c r="A428" s="11">
        <v>52657</v>
      </c>
      <c r="B428" s="268">
        <v>70</v>
      </c>
      <c r="C428" s="268">
        <v>13</v>
      </c>
      <c r="D428" s="268">
        <f t="shared" si="196"/>
        <v>20</v>
      </c>
      <c r="E428" s="268">
        <v>3</v>
      </c>
      <c r="F428" s="269">
        <v>0.2</v>
      </c>
      <c r="G428" s="269">
        <v>1.32</v>
      </c>
      <c r="I428" s="269">
        <v>5</v>
      </c>
      <c r="M428" s="269">
        <f t="shared" si="190"/>
        <v>1.5</v>
      </c>
      <c r="N428" s="269">
        <v>45</v>
      </c>
      <c r="O428" s="269">
        <f t="shared" si="175"/>
        <v>17.699535849485258</v>
      </c>
      <c r="Q428" s="251">
        <f t="shared" si="191"/>
        <v>176.71953584948523</v>
      </c>
      <c r="R428" s="251">
        <f>'RD Plant List'!N296</f>
        <v>664.33</v>
      </c>
      <c r="S428" s="251">
        <f>SUM(B428:O428)+'RD Plant List'!N296</f>
        <v>841.04953584948521</v>
      </c>
      <c r="T428" s="237">
        <f t="shared" si="171"/>
        <v>0.7898821314121609</v>
      </c>
      <c r="U428" s="251">
        <f>S428*V428</f>
        <v>491.07839096917002</v>
      </c>
      <c r="V428" s="271">
        <f t="shared" si="178"/>
        <v>0.5838875952451078</v>
      </c>
      <c r="W428" s="251">
        <f t="shared" si="185"/>
        <v>40.923199247430837</v>
      </c>
      <c r="X428" s="242">
        <f t="shared" si="186"/>
        <v>7.6100191206778582</v>
      </c>
      <c r="Y428" s="273">
        <f t="shared" si="187"/>
        <v>7.6100191206778582</v>
      </c>
      <c r="AB428" s="251">
        <f>SUM('BD Feedstock'!C426,'BD Feedstock'!E426,'BD Feedstock'!G426,'BD Feedstock'!K426,'BD Feedstock'!T426)</f>
        <v>21.812796010427753</v>
      </c>
      <c r="AC428" s="251">
        <f>SUM('BD Feedstock'!D426,'BD Feedstock'!F426,'BD Feedstock'!H426,'BD Feedstock'!I426,'BD Feedstock'!L426,'BD Feedstock'!M426,'BD Feedstock'!N426,'BD Feedstock'!O426,'BD Feedstock'!U426)</f>
        <v>12.773566250859661</v>
      </c>
      <c r="AD428" s="251">
        <f>'BD Feedstock'!J426</f>
        <v>0.90199999999999991</v>
      </c>
      <c r="AE428" s="251">
        <f>SUM('BD Feedstock'!B426,'BD Feedstock'!P426,'BD Feedstock'!Q426,'BD Feedstock'!R426)</f>
        <v>70.93020833333334</v>
      </c>
      <c r="AF428" s="251">
        <f>'BD Feedstock'!S426</f>
        <v>1.40625</v>
      </c>
      <c r="AG428" s="251">
        <f t="shared" si="179"/>
        <v>107.82482059462075</v>
      </c>
      <c r="AK428" s="237">
        <f t="shared" si="197"/>
        <v>0.20229846792359021</v>
      </c>
      <c r="AL428" s="237">
        <f t="shared" si="197"/>
        <v>0.11846591703484753</v>
      </c>
      <c r="AM428" s="237">
        <f t="shared" si="197"/>
        <v>8.3654208282077092E-3</v>
      </c>
      <c r="AN428" s="237">
        <f t="shared" si="197"/>
        <v>0.65782820636449979</v>
      </c>
      <c r="AO428" s="237">
        <f t="shared" si="197"/>
        <v>1.304198784885487E-2</v>
      </c>
      <c r="AP428" s="237">
        <f t="shared" si="180"/>
        <v>1</v>
      </c>
      <c r="AQ428" s="237"/>
      <c r="AR428" s="237">
        <f t="shared" si="181"/>
        <v>0.61464645366918802</v>
      </c>
      <c r="AS428" s="237">
        <f t="shared" si="182"/>
        <v>0.35993676340465403</v>
      </c>
      <c r="AT428" s="237">
        <f t="shared" si="183"/>
        <v>2.5416782926158003E-2</v>
      </c>
      <c r="AU428" s="237">
        <f t="shared" si="193"/>
        <v>0.98055959563958928</v>
      </c>
      <c r="AV428" s="237">
        <f t="shared" si="193"/>
        <v>1.9440404360410696E-2</v>
      </c>
      <c r="AX428" s="251">
        <f t="shared" si="194"/>
        <v>29102.46244241637</v>
      </c>
      <c r="AY428" s="251">
        <f t="shared" si="194"/>
        <v>18097.921371531334</v>
      </c>
      <c r="AZ428" s="251">
        <f t="shared" si="194"/>
        <v>1273.3186112626499</v>
      </c>
      <c r="BA428" s="251">
        <f t="shared" si="195"/>
        <v>90971.259000081132</v>
      </c>
      <c r="BB428" s="251">
        <f t="shared" si="195"/>
        <v>1815.6849586502576</v>
      </c>
      <c r="BC428" s="251">
        <f t="shared" si="174"/>
        <v>141260.64638394176</v>
      </c>
      <c r="BD428" s="270">
        <f t="shared" si="170"/>
        <v>7.6100191206778591</v>
      </c>
    </row>
    <row r="429" spans="1:56">
      <c r="A429" s="11">
        <v>52688</v>
      </c>
      <c r="B429" s="268">
        <v>70</v>
      </c>
      <c r="C429" s="268">
        <v>13</v>
      </c>
      <c r="D429" s="268">
        <f t="shared" si="196"/>
        <v>20</v>
      </c>
      <c r="E429" s="268">
        <v>3</v>
      </c>
      <c r="F429" s="269">
        <v>0.2</v>
      </c>
      <c r="G429" s="269">
        <v>1.32</v>
      </c>
      <c r="I429" s="269">
        <v>5</v>
      </c>
      <c r="M429" s="269">
        <f t="shared" si="190"/>
        <v>1.5</v>
      </c>
      <c r="N429" s="269">
        <v>45</v>
      </c>
      <c r="O429" s="269">
        <f t="shared" si="175"/>
        <v>17.699535849485258</v>
      </c>
      <c r="Q429" s="251">
        <f t="shared" si="191"/>
        <v>176.71953584948523</v>
      </c>
      <c r="R429" s="251">
        <f>'RD Plant List'!N297</f>
        <v>664.33</v>
      </c>
      <c r="S429" s="251">
        <f>SUM(B429:O429)+'RD Plant List'!N297</f>
        <v>841.04953584948521</v>
      </c>
      <c r="T429" s="237">
        <f t="shared" si="171"/>
        <v>0.7898821314121609</v>
      </c>
      <c r="U429" s="251">
        <f t="shared" ref="U429:U492" si="198">S429*V429</f>
        <v>499.54009457722617</v>
      </c>
      <c r="V429" s="271">
        <f t="shared" si="178"/>
        <v>0.59394848137294998</v>
      </c>
      <c r="W429" s="251">
        <f t="shared" si="185"/>
        <v>41.628341214768845</v>
      </c>
      <c r="X429" s="242">
        <f t="shared" si="186"/>
        <v>7.6100191206778591</v>
      </c>
      <c r="Y429" s="273">
        <f t="shared" si="187"/>
        <v>7.6100191206778591</v>
      </c>
      <c r="AB429" s="251">
        <f>SUM('BD Feedstock'!C427,'BD Feedstock'!E427,'BD Feedstock'!G427,'BD Feedstock'!K427,'BD Feedstock'!T427)</f>
        <v>21.812796010427753</v>
      </c>
      <c r="AC429" s="251">
        <f>SUM('BD Feedstock'!D427,'BD Feedstock'!F427,'BD Feedstock'!H427,'BD Feedstock'!I427,'BD Feedstock'!L427,'BD Feedstock'!M427,'BD Feedstock'!N427,'BD Feedstock'!O427,'BD Feedstock'!U427)</f>
        <v>12.773566250859661</v>
      </c>
      <c r="AD429" s="251">
        <f>'BD Feedstock'!J427</f>
        <v>0.90199999999999991</v>
      </c>
      <c r="AE429" s="251">
        <f>SUM('BD Feedstock'!B427,'BD Feedstock'!P427,'BD Feedstock'!Q427,'BD Feedstock'!R427)</f>
        <v>70.93020833333334</v>
      </c>
      <c r="AF429" s="251">
        <f>'BD Feedstock'!S427</f>
        <v>1.40625</v>
      </c>
      <c r="AG429" s="251">
        <f t="shared" si="179"/>
        <v>107.82482059462075</v>
      </c>
      <c r="AK429" s="237">
        <f t="shared" si="197"/>
        <v>0.20229846792359021</v>
      </c>
      <c r="AL429" s="237">
        <f t="shared" si="197"/>
        <v>0.11846591703484753</v>
      </c>
      <c r="AM429" s="237">
        <f t="shared" si="197"/>
        <v>8.3654208282077092E-3</v>
      </c>
      <c r="AN429" s="237">
        <f t="shared" si="197"/>
        <v>0.65782820636449979</v>
      </c>
      <c r="AO429" s="237">
        <f t="shared" si="197"/>
        <v>1.304198784885487E-2</v>
      </c>
      <c r="AP429" s="237">
        <f t="shared" si="180"/>
        <v>1</v>
      </c>
      <c r="AQ429" s="237"/>
      <c r="AR429" s="237">
        <f t="shared" si="181"/>
        <v>0.61464645366918802</v>
      </c>
      <c r="AS429" s="237">
        <f t="shared" si="182"/>
        <v>0.35993676340465403</v>
      </c>
      <c r="AT429" s="237">
        <f t="shared" si="183"/>
        <v>2.5416782926158003E-2</v>
      </c>
      <c r="AU429" s="237">
        <f t="shared" si="193"/>
        <v>0.98055959563958928</v>
      </c>
      <c r="AV429" s="237">
        <f t="shared" si="193"/>
        <v>1.9440404360410696E-2</v>
      </c>
      <c r="AX429" s="251">
        <f t="shared" si="194"/>
        <v>29603.922934225651</v>
      </c>
      <c r="AY429" s="251">
        <f t="shared" si="194"/>
        <v>18409.764143243552</v>
      </c>
      <c r="AZ429" s="251">
        <f t="shared" si="194"/>
        <v>1295.2589875554497</v>
      </c>
      <c r="BA429" s="251">
        <f t="shared" si="195"/>
        <v>92538.772139869674</v>
      </c>
      <c r="BB429" s="251">
        <f t="shared" si="195"/>
        <v>1846.9707742109524</v>
      </c>
      <c r="BC429" s="251">
        <f t="shared" si="174"/>
        <v>143694.6889791053</v>
      </c>
      <c r="BD429" s="270">
        <f t="shared" ref="BD429:BD492" si="199">(BC429*2204.622/1000000)/(U429/12)</f>
        <v>7.6100191206778582</v>
      </c>
    </row>
    <row r="430" spans="1:56">
      <c r="A430" s="11">
        <v>52718</v>
      </c>
      <c r="B430" s="268">
        <v>70</v>
      </c>
      <c r="C430" s="268">
        <v>13</v>
      </c>
      <c r="D430" s="268">
        <f t="shared" si="196"/>
        <v>20</v>
      </c>
      <c r="E430" s="268">
        <v>3</v>
      </c>
      <c r="F430" s="269">
        <v>0.2</v>
      </c>
      <c r="G430" s="269">
        <v>1.32</v>
      </c>
      <c r="I430" s="269">
        <v>5</v>
      </c>
      <c r="M430" s="269">
        <f t="shared" si="190"/>
        <v>1.5</v>
      </c>
      <c r="N430" s="269">
        <v>45</v>
      </c>
      <c r="O430" s="269">
        <f t="shared" si="175"/>
        <v>17.699535849485258</v>
      </c>
      <c r="Q430" s="251">
        <f t="shared" si="191"/>
        <v>176.71953584948523</v>
      </c>
      <c r="R430" s="251">
        <f>'RD Plant List'!N298</f>
        <v>664.33</v>
      </c>
      <c r="S430" s="251">
        <f>SUM(B430:O430)+'RD Plant List'!N298</f>
        <v>841.04953584948521</v>
      </c>
      <c r="T430" s="237">
        <f t="shared" si="171"/>
        <v>0.7898821314121609</v>
      </c>
      <c r="U430" s="251">
        <f t="shared" si="198"/>
        <v>485.32732340863004</v>
      </c>
      <c r="V430" s="271">
        <f t="shared" si="178"/>
        <v>0.5770496299227309</v>
      </c>
      <c r="W430" s="251">
        <f t="shared" si="185"/>
        <v>40.443943617385834</v>
      </c>
      <c r="X430" s="242">
        <f t="shared" si="186"/>
        <v>7.6100191206778582</v>
      </c>
      <c r="Y430" s="273">
        <f t="shared" si="187"/>
        <v>7.6100191206778582</v>
      </c>
      <c r="AB430" s="251">
        <f>SUM('BD Feedstock'!C428,'BD Feedstock'!E428,'BD Feedstock'!G428,'BD Feedstock'!K428,'BD Feedstock'!T428)</f>
        <v>21.812796010427753</v>
      </c>
      <c r="AC430" s="251">
        <f>SUM('BD Feedstock'!D428,'BD Feedstock'!F428,'BD Feedstock'!H428,'BD Feedstock'!I428,'BD Feedstock'!L428,'BD Feedstock'!M428,'BD Feedstock'!N428,'BD Feedstock'!O428,'BD Feedstock'!U428)</f>
        <v>12.773566250859661</v>
      </c>
      <c r="AD430" s="251">
        <f>'BD Feedstock'!J428</f>
        <v>0.90199999999999991</v>
      </c>
      <c r="AE430" s="251">
        <f>SUM('BD Feedstock'!B428,'BD Feedstock'!P428,'BD Feedstock'!Q428,'BD Feedstock'!R428)</f>
        <v>70.93020833333334</v>
      </c>
      <c r="AF430" s="251">
        <f>'BD Feedstock'!S428</f>
        <v>1.40625</v>
      </c>
      <c r="AG430" s="251">
        <f t="shared" si="179"/>
        <v>107.82482059462075</v>
      </c>
      <c r="AK430" s="237">
        <f t="shared" si="197"/>
        <v>0.20229846792359021</v>
      </c>
      <c r="AL430" s="237">
        <f t="shared" si="197"/>
        <v>0.11846591703484753</v>
      </c>
      <c r="AM430" s="237">
        <f t="shared" si="197"/>
        <v>8.3654208282077092E-3</v>
      </c>
      <c r="AN430" s="237">
        <f t="shared" si="197"/>
        <v>0.65782820636449979</v>
      </c>
      <c r="AO430" s="237">
        <f t="shared" si="197"/>
        <v>1.304198784885487E-2</v>
      </c>
      <c r="AP430" s="237">
        <f t="shared" si="180"/>
        <v>1</v>
      </c>
      <c r="AQ430" s="237"/>
      <c r="AR430" s="237">
        <f t="shared" si="181"/>
        <v>0.61464645366918802</v>
      </c>
      <c r="AS430" s="237">
        <f t="shared" si="182"/>
        <v>0.35993676340465403</v>
      </c>
      <c r="AT430" s="237">
        <f t="shared" si="183"/>
        <v>2.5416782926158003E-2</v>
      </c>
      <c r="AU430" s="237">
        <f t="shared" si="193"/>
        <v>0.98055959563958928</v>
      </c>
      <c r="AV430" s="237">
        <f t="shared" si="193"/>
        <v>1.9440404360410696E-2</v>
      </c>
      <c r="AX430" s="251">
        <f t="shared" si="194"/>
        <v>28761.640629112593</v>
      </c>
      <c r="AY430" s="251">
        <f t="shared" si="194"/>
        <v>17885.974826077349</v>
      </c>
      <c r="AZ430" s="251">
        <f t="shared" si="194"/>
        <v>1258.4066511883891</v>
      </c>
      <c r="BA430" s="251">
        <f t="shared" si="195"/>
        <v>89905.885596978784</v>
      </c>
      <c r="BB430" s="251">
        <f t="shared" si="195"/>
        <v>1794.4212926900311</v>
      </c>
      <c r="BC430" s="251">
        <f t="shared" si="174"/>
        <v>139606.32899604714</v>
      </c>
      <c r="BD430" s="270">
        <f t="shared" si="199"/>
        <v>7.6100191206778591</v>
      </c>
    </row>
    <row r="431" spans="1:56">
      <c r="A431" s="11">
        <v>52749</v>
      </c>
      <c r="B431" s="268">
        <v>70</v>
      </c>
      <c r="C431" s="268">
        <v>13</v>
      </c>
      <c r="D431" s="268">
        <f t="shared" si="196"/>
        <v>20</v>
      </c>
      <c r="E431" s="268">
        <v>3</v>
      </c>
      <c r="F431" s="269">
        <v>0.2</v>
      </c>
      <c r="G431" s="269">
        <v>1.32</v>
      </c>
      <c r="I431" s="269">
        <v>5</v>
      </c>
      <c r="M431" s="269">
        <f t="shared" si="190"/>
        <v>1.5</v>
      </c>
      <c r="N431" s="269">
        <v>45</v>
      </c>
      <c r="O431" s="269">
        <f t="shared" si="175"/>
        <v>17.699535849485258</v>
      </c>
      <c r="Q431" s="251">
        <f t="shared" si="191"/>
        <v>176.71953584948523</v>
      </c>
      <c r="R431" s="251">
        <f>'RD Plant List'!N299</f>
        <v>664.33</v>
      </c>
      <c r="S431" s="251">
        <f>SUM(B431:O431)+'RD Plant List'!N299</f>
        <v>841.04953584948521</v>
      </c>
      <c r="T431" s="237">
        <f t="shared" si="171"/>
        <v>0.7898821314121609</v>
      </c>
      <c r="U431" s="251">
        <f t="shared" si="198"/>
        <v>541.69423738936848</v>
      </c>
      <c r="V431" s="271">
        <f t="shared" si="178"/>
        <v>0.64406936131561032</v>
      </c>
      <c r="W431" s="251">
        <f t="shared" si="185"/>
        <v>45.141186449114038</v>
      </c>
      <c r="X431" s="242">
        <f t="shared" si="186"/>
        <v>7.6100191206778565</v>
      </c>
      <c r="Y431" s="273">
        <f t="shared" si="187"/>
        <v>7.6100191206778565</v>
      </c>
      <c r="AB431" s="251">
        <f>SUM('BD Feedstock'!C429,'BD Feedstock'!E429,'BD Feedstock'!G429,'BD Feedstock'!K429,'BD Feedstock'!T429)</f>
        <v>21.812796010427753</v>
      </c>
      <c r="AC431" s="251">
        <f>SUM('BD Feedstock'!D429,'BD Feedstock'!F429,'BD Feedstock'!H429,'BD Feedstock'!I429,'BD Feedstock'!L429,'BD Feedstock'!M429,'BD Feedstock'!N429,'BD Feedstock'!O429,'BD Feedstock'!U429)</f>
        <v>12.773566250859661</v>
      </c>
      <c r="AD431" s="251">
        <f>'BD Feedstock'!J429</f>
        <v>0.90199999999999991</v>
      </c>
      <c r="AE431" s="251">
        <f>SUM('BD Feedstock'!B429,'BD Feedstock'!P429,'BD Feedstock'!Q429,'BD Feedstock'!R429)</f>
        <v>70.93020833333334</v>
      </c>
      <c r="AF431" s="251">
        <f>'BD Feedstock'!S429</f>
        <v>1.40625</v>
      </c>
      <c r="AG431" s="251">
        <f t="shared" si="179"/>
        <v>107.82482059462075</v>
      </c>
      <c r="AK431" s="237">
        <f t="shared" si="197"/>
        <v>0.20229846792359021</v>
      </c>
      <c r="AL431" s="237">
        <f t="shared" si="197"/>
        <v>0.11846591703484753</v>
      </c>
      <c r="AM431" s="237">
        <f t="shared" si="197"/>
        <v>8.3654208282077092E-3</v>
      </c>
      <c r="AN431" s="237">
        <f t="shared" si="197"/>
        <v>0.65782820636449979</v>
      </c>
      <c r="AO431" s="237">
        <f t="shared" si="197"/>
        <v>1.304198784885487E-2</v>
      </c>
      <c r="AP431" s="237">
        <f t="shared" si="180"/>
        <v>1</v>
      </c>
      <c r="AQ431" s="237"/>
      <c r="AR431" s="237">
        <f t="shared" si="181"/>
        <v>0.61464645366918802</v>
      </c>
      <c r="AS431" s="237">
        <f t="shared" si="182"/>
        <v>0.35993676340465403</v>
      </c>
      <c r="AT431" s="237">
        <f t="shared" si="183"/>
        <v>2.5416782926158003E-2</v>
      </c>
      <c r="AU431" s="237">
        <f t="shared" si="193"/>
        <v>0.98055959563958928</v>
      </c>
      <c r="AV431" s="237">
        <f t="shared" si="193"/>
        <v>1.9440404360410696E-2</v>
      </c>
      <c r="AX431" s="251">
        <f t="shared" si="194"/>
        <v>32102.076753540507</v>
      </c>
      <c r="AY431" s="251">
        <f t="shared" si="194"/>
        <v>19963.288745685993</v>
      </c>
      <c r="AZ431" s="251">
        <f t="shared" si="194"/>
        <v>1404.5605890341722</v>
      </c>
      <c r="BA431" s="251">
        <f t="shared" si="195"/>
        <v>100347.74014622318</v>
      </c>
      <c r="BB431" s="251">
        <f t="shared" si="195"/>
        <v>2002.8290739372919</v>
      </c>
      <c r="BC431" s="251">
        <f t="shared" si="174"/>
        <v>155820.49530842114</v>
      </c>
      <c r="BD431" s="270">
        <f t="shared" si="199"/>
        <v>7.6100191206778565</v>
      </c>
    </row>
    <row r="432" spans="1:56">
      <c r="A432" s="11">
        <v>52779</v>
      </c>
      <c r="B432" s="268">
        <v>70</v>
      </c>
      <c r="C432" s="268">
        <v>13</v>
      </c>
      <c r="D432" s="268">
        <f t="shared" si="196"/>
        <v>20</v>
      </c>
      <c r="E432" s="268">
        <v>3</v>
      </c>
      <c r="F432" s="269">
        <v>0.2</v>
      </c>
      <c r="G432" s="269">
        <v>1.32</v>
      </c>
      <c r="I432" s="269">
        <v>5</v>
      </c>
      <c r="M432" s="269">
        <f t="shared" si="190"/>
        <v>1.5</v>
      </c>
      <c r="N432" s="269">
        <v>45</v>
      </c>
      <c r="O432" s="269">
        <f t="shared" si="175"/>
        <v>17.699535849485258</v>
      </c>
      <c r="Q432" s="251">
        <f t="shared" si="191"/>
        <v>176.71953584948523</v>
      </c>
      <c r="R432" s="251">
        <f>'RD Plant List'!N300</f>
        <v>664.33</v>
      </c>
      <c r="S432" s="251">
        <f>SUM(B432:O432)+'RD Plant List'!N300</f>
        <v>841.04953584948521</v>
      </c>
      <c r="T432" s="237">
        <f t="shared" si="171"/>
        <v>0.7898821314121609</v>
      </c>
      <c r="U432" s="251">
        <f t="shared" si="198"/>
        <v>556.25762145299677</v>
      </c>
      <c r="V432" s="271">
        <f t="shared" si="178"/>
        <v>0.66138508820548836</v>
      </c>
      <c r="W432" s="251">
        <f t="shared" si="185"/>
        <v>46.354801787749729</v>
      </c>
      <c r="X432" s="242">
        <f t="shared" si="186"/>
        <v>7.6100191206778574</v>
      </c>
      <c r="Y432" s="273">
        <f t="shared" si="187"/>
        <v>7.6100191206778574</v>
      </c>
      <c r="AB432" s="251">
        <f>SUM('BD Feedstock'!C430,'BD Feedstock'!E430,'BD Feedstock'!G430,'BD Feedstock'!K430,'BD Feedstock'!T430)</f>
        <v>21.812796010427753</v>
      </c>
      <c r="AC432" s="251">
        <f>SUM('BD Feedstock'!D430,'BD Feedstock'!F430,'BD Feedstock'!H430,'BD Feedstock'!I430,'BD Feedstock'!L430,'BD Feedstock'!M430,'BD Feedstock'!N430,'BD Feedstock'!O430,'BD Feedstock'!U430)</f>
        <v>12.773566250859661</v>
      </c>
      <c r="AD432" s="251">
        <f>'BD Feedstock'!J430</f>
        <v>0.90199999999999991</v>
      </c>
      <c r="AE432" s="251">
        <f>SUM('BD Feedstock'!B430,'BD Feedstock'!P430,'BD Feedstock'!Q430,'BD Feedstock'!R430)</f>
        <v>70.93020833333334</v>
      </c>
      <c r="AF432" s="251">
        <f>'BD Feedstock'!S430</f>
        <v>1.40625</v>
      </c>
      <c r="AG432" s="251">
        <f t="shared" si="179"/>
        <v>107.82482059462075</v>
      </c>
      <c r="AK432" s="237">
        <f t="shared" si="197"/>
        <v>0.20229846792359021</v>
      </c>
      <c r="AL432" s="237">
        <f t="shared" si="197"/>
        <v>0.11846591703484753</v>
      </c>
      <c r="AM432" s="237">
        <f t="shared" si="197"/>
        <v>8.3654208282077092E-3</v>
      </c>
      <c r="AN432" s="237">
        <f t="shared" si="197"/>
        <v>0.65782820636449979</v>
      </c>
      <c r="AO432" s="237">
        <f t="shared" si="197"/>
        <v>1.304198784885487E-2</v>
      </c>
      <c r="AP432" s="237">
        <f t="shared" si="180"/>
        <v>1</v>
      </c>
      <c r="AQ432" s="237"/>
      <c r="AR432" s="237">
        <f t="shared" si="181"/>
        <v>0.61464645366918802</v>
      </c>
      <c r="AS432" s="237">
        <f t="shared" si="182"/>
        <v>0.35993676340465403</v>
      </c>
      <c r="AT432" s="237">
        <f t="shared" si="183"/>
        <v>2.5416782926158003E-2</v>
      </c>
      <c r="AU432" s="237">
        <f t="shared" ref="AU432:AV495" si="200">AE432/SUM($AE432:$AF432)</f>
        <v>0.98055959563958928</v>
      </c>
      <c r="AV432" s="237">
        <f t="shared" si="200"/>
        <v>1.9440404360410696E-2</v>
      </c>
      <c r="AX432" s="251">
        <f t="shared" ref="AX432:AZ495" si="201">($U432/12*AK432*AB$5/2204.622*1000000)-($BJ432*AR432)</f>
        <v>32965.137204866369</v>
      </c>
      <c r="AY432" s="251">
        <f t="shared" si="201"/>
        <v>20499.999349397945</v>
      </c>
      <c r="AZ432" s="251">
        <f t="shared" si="201"/>
        <v>1442.3220306129524</v>
      </c>
      <c r="BA432" s="251">
        <f t="shared" ref="BA432:BB495" si="202">($U432/12*AN432*AE$5/2204.622*1000000)-($BK432*AU432)</f>
        <v>103045.57700472417</v>
      </c>
      <c r="BB432" s="251">
        <f t="shared" si="202"/>
        <v>2056.6748913824272</v>
      </c>
      <c r="BC432" s="251">
        <f t="shared" si="174"/>
        <v>160009.71048098386</v>
      </c>
      <c r="BD432" s="270">
        <f t="shared" si="199"/>
        <v>7.6100191206778574</v>
      </c>
    </row>
    <row r="433" spans="1:56">
      <c r="A433" s="11">
        <v>52810</v>
      </c>
      <c r="B433" s="268">
        <v>70</v>
      </c>
      <c r="C433" s="268">
        <v>13</v>
      </c>
      <c r="D433" s="268">
        <f t="shared" si="196"/>
        <v>20</v>
      </c>
      <c r="E433" s="268">
        <v>3</v>
      </c>
      <c r="F433" s="269">
        <v>0.2</v>
      </c>
      <c r="G433" s="269">
        <v>1.32</v>
      </c>
      <c r="I433" s="269">
        <v>5</v>
      </c>
      <c r="M433" s="269">
        <f t="shared" si="190"/>
        <v>1.5</v>
      </c>
      <c r="N433" s="269">
        <v>45</v>
      </c>
      <c r="O433" s="269">
        <f t="shared" si="175"/>
        <v>17.699535849485258</v>
      </c>
      <c r="Q433" s="251">
        <f t="shared" si="191"/>
        <v>176.71953584948523</v>
      </c>
      <c r="R433" s="251">
        <f>'RD Plant List'!N301</f>
        <v>664.33</v>
      </c>
      <c r="S433" s="251">
        <f>SUM(B433:O433)+'RD Plant List'!N301</f>
        <v>841.04953584948521</v>
      </c>
      <c r="T433" s="237">
        <f t="shared" si="171"/>
        <v>0.7898821314121609</v>
      </c>
      <c r="U433" s="251">
        <f t="shared" si="198"/>
        <v>524.98185610480607</v>
      </c>
      <c r="V433" s="271">
        <f t="shared" si="178"/>
        <v>0.6241984969108374</v>
      </c>
      <c r="W433" s="251">
        <f t="shared" si="185"/>
        <v>43.748488008733837</v>
      </c>
      <c r="X433" s="242">
        <f t="shared" si="186"/>
        <v>7.6100191206778565</v>
      </c>
      <c r="Y433" s="273">
        <f t="shared" si="187"/>
        <v>7.6100191206778565</v>
      </c>
      <c r="AB433" s="251">
        <f>SUM('BD Feedstock'!C431,'BD Feedstock'!E431,'BD Feedstock'!G431,'BD Feedstock'!K431,'BD Feedstock'!T431)</f>
        <v>21.812796010427753</v>
      </c>
      <c r="AC433" s="251">
        <f>SUM('BD Feedstock'!D431,'BD Feedstock'!F431,'BD Feedstock'!H431,'BD Feedstock'!I431,'BD Feedstock'!L431,'BD Feedstock'!M431,'BD Feedstock'!N431,'BD Feedstock'!O431,'BD Feedstock'!U431)</f>
        <v>12.773566250859661</v>
      </c>
      <c r="AD433" s="251">
        <f>'BD Feedstock'!J431</f>
        <v>0.90199999999999991</v>
      </c>
      <c r="AE433" s="251">
        <f>SUM('BD Feedstock'!B431,'BD Feedstock'!P431,'BD Feedstock'!Q431,'BD Feedstock'!R431)</f>
        <v>70.93020833333334</v>
      </c>
      <c r="AF433" s="251">
        <f>'BD Feedstock'!S431</f>
        <v>1.40625</v>
      </c>
      <c r="AG433" s="251">
        <f t="shared" si="179"/>
        <v>107.82482059462075</v>
      </c>
      <c r="AK433" s="237">
        <f t="shared" si="197"/>
        <v>0.20229846792359021</v>
      </c>
      <c r="AL433" s="237">
        <f t="shared" si="197"/>
        <v>0.11846591703484753</v>
      </c>
      <c r="AM433" s="237">
        <f t="shared" si="197"/>
        <v>8.3654208282077092E-3</v>
      </c>
      <c r="AN433" s="237">
        <f t="shared" si="197"/>
        <v>0.65782820636449979</v>
      </c>
      <c r="AO433" s="237">
        <f t="shared" si="197"/>
        <v>1.304198784885487E-2</v>
      </c>
      <c r="AP433" s="237">
        <f t="shared" si="180"/>
        <v>1</v>
      </c>
      <c r="AQ433" s="237"/>
      <c r="AR433" s="237">
        <f t="shared" si="181"/>
        <v>0.61464645366918802</v>
      </c>
      <c r="AS433" s="237">
        <f t="shared" si="182"/>
        <v>0.35993676340465403</v>
      </c>
      <c r="AT433" s="237">
        <f t="shared" si="183"/>
        <v>2.5416782926158003E-2</v>
      </c>
      <c r="AU433" s="237">
        <f t="shared" si="200"/>
        <v>0.98055959563958928</v>
      </c>
      <c r="AV433" s="237">
        <f t="shared" si="200"/>
        <v>1.9440404360410696E-2</v>
      </c>
      <c r="AX433" s="251">
        <f t="shared" si="201"/>
        <v>31111.66166380822</v>
      </c>
      <c r="AY433" s="251">
        <f t="shared" si="201"/>
        <v>19347.380230912739</v>
      </c>
      <c r="AZ433" s="251">
        <f t="shared" si="201"/>
        <v>1361.2270062101484</v>
      </c>
      <c r="BA433" s="251">
        <f t="shared" si="202"/>
        <v>97251.805985191284</v>
      </c>
      <c r="BB433" s="251">
        <f t="shared" si="202"/>
        <v>1941.0376779409794</v>
      </c>
      <c r="BC433" s="251">
        <f t="shared" si="174"/>
        <v>151013.11256406334</v>
      </c>
      <c r="BD433" s="270">
        <f t="shared" si="199"/>
        <v>7.6100191206778565</v>
      </c>
    </row>
    <row r="434" spans="1:56">
      <c r="A434" s="11">
        <v>52841</v>
      </c>
      <c r="B434" s="268">
        <v>70</v>
      </c>
      <c r="C434" s="268">
        <v>13</v>
      </c>
      <c r="D434" s="268">
        <f t="shared" si="196"/>
        <v>20</v>
      </c>
      <c r="E434" s="268">
        <v>3</v>
      </c>
      <c r="F434" s="269">
        <v>0.2</v>
      </c>
      <c r="G434" s="269">
        <v>1.32</v>
      </c>
      <c r="I434" s="269">
        <v>5</v>
      </c>
      <c r="M434" s="269">
        <f t="shared" si="190"/>
        <v>1.5</v>
      </c>
      <c r="N434" s="269">
        <v>45</v>
      </c>
      <c r="O434" s="269">
        <f t="shared" si="175"/>
        <v>17.699535849485258</v>
      </c>
      <c r="Q434" s="251">
        <f t="shared" si="191"/>
        <v>176.71953584948523</v>
      </c>
      <c r="R434" s="251">
        <f>'RD Plant List'!N302</f>
        <v>664.33</v>
      </c>
      <c r="S434" s="251">
        <f>SUM(B434:O434)+'RD Plant List'!N302</f>
        <v>841.04953584948521</v>
      </c>
      <c r="T434" s="237">
        <f t="shared" ref="T434:T497" si="203">R434/S434</f>
        <v>0.7898821314121609</v>
      </c>
      <c r="U434" s="251">
        <f t="shared" si="198"/>
        <v>569.07981893360704</v>
      </c>
      <c r="V434" s="271">
        <f t="shared" si="178"/>
        <v>0.67663056059928672</v>
      </c>
      <c r="W434" s="251">
        <f t="shared" si="185"/>
        <v>47.423318244467254</v>
      </c>
      <c r="X434" s="242">
        <f t="shared" si="186"/>
        <v>7.6100191206778591</v>
      </c>
      <c r="Y434" s="273">
        <f t="shared" si="187"/>
        <v>7.6100191206778591</v>
      </c>
      <c r="AB434" s="251">
        <f>SUM('BD Feedstock'!C432,'BD Feedstock'!E432,'BD Feedstock'!G432,'BD Feedstock'!K432,'BD Feedstock'!T432)</f>
        <v>21.812796010427753</v>
      </c>
      <c r="AC434" s="251">
        <f>SUM('BD Feedstock'!D432,'BD Feedstock'!F432,'BD Feedstock'!H432,'BD Feedstock'!I432,'BD Feedstock'!L432,'BD Feedstock'!M432,'BD Feedstock'!N432,'BD Feedstock'!O432,'BD Feedstock'!U432)</f>
        <v>12.773566250859661</v>
      </c>
      <c r="AD434" s="251">
        <f>'BD Feedstock'!J432</f>
        <v>0.90199999999999991</v>
      </c>
      <c r="AE434" s="251">
        <f>SUM('BD Feedstock'!B432,'BD Feedstock'!P432,'BD Feedstock'!Q432,'BD Feedstock'!R432)</f>
        <v>70.93020833333334</v>
      </c>
      <c r="AF434" s="251">
        <f>'BD Feedstock'!S432</f>
        <v>1.40625</v>
      </c>
      <c r="AG434" s="251">
        <f t="shared" si="179"/>
        <v>107.82482059462075</v>
      </c>
      <c r="AK434" s="237">
        <f t="shared" si="197"/>
        <v>0.20229846792359021</v>
      </c>
      <c r="AL434" s="237">
        <f t="shared" si="197"/>
        <v>0.11846591703484753</v>
      </c>
      <c r="AM434" s="237">
        <f t="shared" si="197"/>
        <v>8.3654208282077092E-3</v>
      </c>
      <c r="AN434" s="237">
        <f t="shared" si="197"/>
        <v>0.65782820636449979</v>
      </c>
      <c r="AO434" s="237">
        <f t="shared" si="197"/>
        <v>1.304198784885487E-2</v>
      </c>
      <c r="AP434" s="237">
        <f t="shared" si="180"/>
        <v>1</v>
      </c>
      <c r="AQ434" s="237"/>
      <c r="AR434" s="237">
        <f t="shared" si="181"/>
        <v>0.61464645366918802</v>
      </c>
      <c r="AS434" s="237">
        <f t="shared" si="182"/>
        <v>0.35993676340465403</v>
      </c>
      <c r="AT434" s="237">
        <f t="shared" si="183"/>
        <v>2.5416782926158003E-2</v>
      </c>
      <c r="AU434" s="237">
        <f t="shared" si="200"/>
        <v>0.98055959563958928</v>
      </c>
      <c r="AV434" s="237">
        <f t="shared" si="200"/>
        <v>1.9440404360410696E-2</v>
      </c>
      <c r="AX434" s="251">
        <f t="shared" si="201"/>
        <v>33725.010837001275</v>
      </c>
      <c r="AY434" s="251">
        <f t="shared" si="201"/>
        <v>20972.54126140584</v>
      </c>
      <c r="AZ434" s="251">
        <f t="shared" si="201"/>
        <v>1475.5687443547738</v>
      </c>
      <c r="BA434" s="251">
        <f t="shared" si="202"/>
        <v>105420.86264019417</v>
      </c>
      <c r="BB434" s="251">
        <f t="shared" si="202"/>
        <v>2104.0829458407816</v>
      </c>
      <c r="BC434" s="251">
        <f t="shared" si="174"/>
        <v>163698.06642879685</v>
      </c>
      <c r="BD434" s="270">
        <f t="shared" si="199"/>
        <v>7.6100191206778591</v>
      </c>
    </row>
    <row r="435" spans="1:56">
      <c r="A435" s="11">
        <v>52871</v>
      </c>
      <c r="B435" s="268">
        <v>70</v>
      </c>
      <c r="C435" s="268">
        <v>13</v>
      </c>
      <c r="D435" s="268">
        <f t="shared" si="196"/>
        <v>20</v>
      </c>
      <c r="E435" s="268">
        <v>3</v>
      </c>
      <c r="F435" s="269">
        <v>0.2</v>
      </c>
      <c r="G435" s="269">
        <v>1.32</v>
      </c>
      <c r="I435" s="269">
        <v>5</v>
      </c>
      <c r="M435" s="269">
        <f t="shared" si="190"/>
        <v>1.5</v>
      </c>
      <c r="N435" s="269">
        <v>45</v>
      </c>
      <c r="O435" s="269">
        <f t="shared" si="175"/>
        <v>17.699535849485258</v>
      </c>
      <c r="Q435" s="251">
        <f t="shared" si="191"/>
        <v>176.71953584948523</v>
      </c>
      <c r="R435" s="251">
        <f>'RD Plant List'!N303</f>
        <v>664.33</v>
      </c>
      <c r="S435" s="251">
        <f>SUM(B435:O435)+'RD Plant List'!N303</f>
        <v>841.04953584948521</v>
      </c>
      <c r="T435" s="237">
        <f t="shared" si="203"/>
        <v>0.7898821314121609</v>
      </c>
      <c r="U435" s="251">
        <f t="shared" si="198"/>
        <v>595.81904433665591</v>
      </c>
      <c r="V435" s="271">
        <f t="shared" si="178"/>
        <v>0.70842324850088745</v>
      </c>
      <c r="W435" s="251">
        <f t="shared" si="185"/>
        <v>49.651587028054657</v>
      </c>
      <c r="X435" s="242">
        <f t="shared" si="186"/>
        <v>7.6100191206778582</v>
      </c>
      <c r="Y435" s="273">
        <f t="shared" si="187"/>
        <v>7.6100191206778582</v>
      </c>
      <c r="AB435" s="251">
        <f>SUM('BD Feedstock'!C433,'BD Feedstock'!E433,'BD Feedstock'!G433,'BD Feedstock'!K433,'BD Feedstock'!T433)</f>
        <v>21.812796010427753</v>
      </c>
      <c r="AC435" s="251">
        <f>SUM('BD Feedstock'!D433,'BD Feedstock'!F433,'BD Feedstock'!H433,'BD Feedstock'!I433,'BD Feedstock'!L433,'BD Feedstock'!M433,'BD Feedstock'!N433,'BD Feedstock'!O433,'BD Feedstock'!U433)</f>
        <v>12.773566250859661</v>
      </c>
      <c r="AD435" s="251">
        <f>'BD Feedstock'!J433</f>
        <v>0.90199999999999991</v>
      </c>
      <c r="AE435" s="251">
        <f>SUM('BD Feedstock'!B433,'BD Feedstock'!P433,'BD Feedstock'!Q433,'BD Feedstock'!R433)</f>
        <v>70.93020833333334</v>
      </c>
      <c r="AF435" s="251">
        <f>'BD Feedstock'!S433</f>
        <v>1.40625</v>
      </c>
      <c r="AG435" s="251">
        <f t="shared" si="179"/>
        <v>107.82482059462075</v>
      </c>
      <c r="AK435" s="237">
        <f t="shared" si="197"/>
        <v>0.20229846792359021</v>
      </c>
      <c r="AL435" s="237">
        <f t="shared" si="197"/>
        <v>0.11846591703484753</v>
      </c>
      <c r="AM435" s="237">
        <f t="shared" si="197"/>
        <v>8.3654208282077092E-3</v>
      </c>
      <c r="AN435" s="237">
        <f t="shared" si="197"/>
        <v>0.65782820636449979</v>
      </c>
      <c r="AO435" s="237">
        <f t="shared" si="197"/>
        <v>1.304198784885487E-2</v>
      </c>
      <c r="AP435" s="237">
        <f t="shared" si="180"/>
        <v>1</v>
      </c>
      <c r="AQ435" s="237"/>
      <c r="AR435" s="237">
        <f t="shared" si="181"/>
        <v>0.61464645366918802</v>
      </c>
      <c r="AS435" s="237">
        <f t="shared" si="182"/>
        <v>0.35993676340465403</v>
      </c>
      <c r="AT435" s="237">
        <f t="shared" si="183"/>
        <v>2.5416782926158003E-2</v>
      </c>
      <c r="AU435" s="237">
        <f t="shared" si="200"/>
        <v>0.98055959563958928</v>
      </c>
      <c r="AV435" s="237">
        <f t="shared" si="200"/>
        <v>1.9440404360410696E-2</v>
      </c>
      <c r="AX435" s="251">
        <f t="shared" si="201"/>
        <v>35309.640332703086</v>
      </c>
      <c r="AY435" s="251">
        <f t="shared" si="201"/>
        <v>21957.973338604312</v>
      </c>
      <c r="AZ435" s="251">
        <f t="shared" si="201"/>
        <v>1544.9009609266623</v>
      </c>
      <c r="BA435" s="251">
        <f t="shared" si="202"/>
        <v>110374.24899222166</v>
      </c>
      <c r="BB435" s="251">
        <f t="shared" si="202"/>
        <v>2202.9470177753224</v>
      </c>
      <c r="BC435" s="251">
        <f t="shared" si="174"/>
        <v>171389.71064223105</v>
      </c>
      <c r="BD435" s="270">
        <f t="shared" si="199"/>
        <v>7.6100191206778591</v>
      </c>
    </row>
    <row r="436" spans="1:56">
      <c r="A436" s="11">
        <v>52902</v>
      </c>
      <c r="B436" s="268">
        <v>70</v>
      </c>
      <c r="C436" s="268">
        <v>13</v>
      </c>
      <c r="D436" s="268">
        <f t="shared" si="196"/>
        <v>20</v>
      </c>
      <c r="E436" s="268">
        <v>3</v>
      </c>
      <c r="F436" s="269">
        <v>0.2</v>
      </c>
      <c r="G436" s="269">
        <v>1.32</v>
      </c>
      <c r="I436" s="269">
        <v>5</v>
      </c>
      <c r="M436" s="269">
        <f t="shared" si="190"/>
        <v>1.5</v>
      </c>
      <c r="N436" s="269">
        <v>45</v>
      </c>
      <c r="O436" s="269">
        <f t="shared" si="175"/>
        <v>17.699535849485258</v>
      </c>
      <c r="Q436" s="251">
        <f t="shared" si="191"/>
        <v>176.71953584948523</v>
      </c>
      <c r="R436" s="251">
        <f>'RD Plant List'!N304</f>
        <v>664.33</v>
      </c>
      <c r="S436" s="251">
        <f>SUM(B436:O436)+'RD Plant List'!N304</f>
        <v>841.04953584948521</v>
      </c>
      <c r="T436" s="237">
        <f t="shared" si="203"/>
        <v>0.7898821314121609</v>
      </c>
      <c r="U436" s="251">
        <f t="shared" si="198"/>
        <v>641.01074590039468</v>
      </c>
      <c r="V436" s="271">
        <f t="shared" si="178"/>
        <v>0.76215575727410001</v>
      </c>
      <c r="W436" s="251">
        <f t="shared" si="185"/>
        <v>53.417562158366223</v>
      </c>
      <c r="X436" s="242">
        <f t="shared" si="186"/>
        <v>7.6100191206778591</v>
      </c>
      <c r="Y436" s="273">
        <f t="shared" si="187"/>
        <v>7.6100191206778591</v>
      </c>
      <c r="AB436" s="251">
        <f>SUM('BD Feedstock'!C434,'BD Feedstock'!E434,'BD Feedstock'!G434,'BD Feedstock'!K434,'BD Feedstock'!T434)</f>
        <v>21.812796010427753</v>
      </c>
      <c r="AC436" s="251">
        <f>SUM('BD Feedstock'!D434,'BD Feedstock'!F434,'BD Feedstock'!H434,'BD Feedstock'!I434,'BD Feedstock'!L434,'BD Feedstock'!M434,'BD Feedstock'!N434,'BD Feedstock'!O434,'BD Feedstock'!U434)</f>
        <v>12.773566250859661</v>
      </c>
      <c r="AD436" s="251">
        <f>'BD Feedstock'!J434</f>
        <v>0.90199999999999991</v>
      </c>
      <c r="AE436" s="251">
        <f>SUM('BD Feedstock'!B434,'BD Feedstock'!P434,'BD Feedstock'!Q434,'BD Feedstock'!R434)</f>
        <v>70.93020833333334</v>
      </c>
      <c r="AF436" s="251">
        <f>'BD Feedstock'!S434</f>
        <v>1.40625</v>
      </c>
      <c r="AG436" s="251">
        <f t="shared" si="179"/>
        <v>107.82482059462075</v>
      </c>
      <c r="AK436" s="237">
        <f t="shared" si="197"/>
        <v>0.20229846792359021</v>
      </c>
      <c r="AL436" s="237">
        <f t="shared" si="197"/>
        <v>0.11846591703484753</v>
      </c>
      <c r="AM436" s="237">
        <f t="shared" si="197"/>
        <v>8.3654208282077092E-3</v>
      </c>
      <c r="AN436" s="237">
        <f t="shared" si="197"/>
        <v>0.65782820636449979</v>
      </c>
      <c r="AO436" s="237">
        <f t="shared" si="197"/>
        <v>1.304198784885487E-2</v>
      </c>
      <c r="AP436" s="237">
        <f t="shared" si="180"/>
        <v>1</v>
      </c>
      <c r="AQ436" s="237"/>
      <c r="AR436" s="237">
        <f t="shared" si="181"/>
        <v>0.61464645366918802</v>
      </c>
      <c r="AS436" s="237">
        <f t="shared" si="182"/>
        <v>0.35993676340465403</v>
      </c>
      <c r="AT436" s="237">
        <f t="shared" si="183"/>
        <v>2.5416782926158003E-2</v>
      </c>
      <c r="AU436" s="237">
        <f t="shared" si="200"/>
        <v>0.98055959563958928</v>
      </c>
      <c r="AV436" s="237">
        <f t="shared" si="200"/>
        <v>1.9440404360410696E-2</v>
      </c>
      <c r="AX436" s="251">
        <f t="shared" si="201"/>
        <v>37987.807040205727</v>
      </c>
      <c r="AY436" s="251">
        <f t="shared" si="201"/>
        <v>23623.44238914048</v>
      </c>
      <c r="AZ436" s="251">
        <f t="shared" si="201"/>
        <v>1662.0786574695114</v>
      </c>
      <c r="BA436" s="251">
        <f t="shared" si="202"/>
        <v>118745.91849186241</v>
      </c>
      <c r="BB436" s="251">
        <f t="shared" si="202"/>
        <v>2370.0362122787787</v>
      </c>
      <c r="BC436" s="251">
        <f t="shared" ref="BC436:BC499" si="204">SUM(AX436:BB436)</f>
        <v>184389.28279095693</v>
      </c>
      <c r="BD436" s="270">
        <f t="shared" si="199"/>
        <v>7.6100191206778591</v>
      </c>
    </row>
    <row r="437" spans="1:56">
      <c r="A437" s="11">
        <v>52932</v>
      </c>
      <c r="B437" s="268">
        <v>70</v>
      </c>
      <c r="C437" s="268">
        <v>13</v>
      </c>
      <c r="D437" s="268">
        <f t="shared" si="196"/>
        <v>20</v>
      </c>
      <c r="E437" s="268">
        <v>3</v>
      </c>
      <c r="F437" s="269">
        <v>0.2</v>
      </c>
      <c r="G437" s="269">
        <v>1.32</v>
      </c>
      <c r="I437" s="269">
        <v>5</v>
      </c>
      <c r="M437" s="269">
        <f t="shared" si="190"/>
        <v>1.5</v>
      </c>
      <c r="N437" s="269">
        <v>45</v>
      </c>
      <c r="O437" s="269">
        <f t="shared" si="175"/>
        <v>17.699535849485258</v>
      </c>
      <c r="Q437" s="251">
        <f t="shared" si="191"/>
        <v>176.71953584948523</v>
      </c>
      <c r="R437" s="251">
        <f>'RD Plant List'!N305</f>
        <v>664.33</v>
      </c>
      <c r="S437" s="251">
        <f>SUM(B437:O437)+'RD Plant List'!N305</f>
        <v>841.04953584948521</v>
      </c>
      <c r="T437" s="237">
        <f t="shared" si="203"/>
        <v>0.7898821314121609</v>
      </c>
      <c r="U437" s="251">
        <f t="shared" si="198"/>
        <v>582.91999855546487</v>
      </c>
      <c r="V437" s="271">
        <f t="shared" si="178"/>
        <v>0.69308640419936529</v>
      </c>
      <c r="W437" s="251">
        <f t="shared" si="185"/>
        <v>48.576666546288742</v>
      </c>
      <c r="X437" s="242">
        <f t="shared" si="186"/>
        <v>7.6100191206778574</v>
      </c>
      <c r="Y437" s="273">
        <f t="shared" si="187"/>
        <v>7.6100191206778574</v>
      </c>
      <c r="AB437" s="251">
        <f>SUM('BD Feedstock'!C435,'BD Feedstock'!E435,'BD Feedstock'!G435,'BD Feedstock'!K435,'BD Feedstock'!T435)</f>
        <v>21.812796010427753</v>
      </c>
      <c r="AC437" s="251">
        <f>SUM('BD Feedstock'!D435,'BD Feedstock'!F435,'BD Feedstock'!H435,'BD Feedstock'!I435,'BD Feedstock'!L435,'BD Feedstock'!M435,'BD Feedstock'!N435,'BD Feedstock'!O435,'BD Feedstock'!U435)</f>
        <v>12.773566250859661</v>
      </c>
      <c r="AD437" s="251">
        <f>'BD Feedstock'!J435</f>
        <v>0.90199999999999991</v>
      </c>
      <c r="AE437" s="251">
        <f>SUM('BD Feedstock'!B435,'BD Feedstock'!P435,'BD Feedstock'!Q435,'BD Feedstock'!R435)</f>
        <v>70.93020833333334</v>
      </c>
      <c r="AF437" s="251">
        <f>'BD Feedstock'!S435</f>
        <v>1.40625</v>
      </c>
      <c r="AG437" s="251">
        <f t="shared" si="179"/>
        <v>107.82482059462075</v>
      </c>
      <c r="AK437" s="237">
        <f t="shared" si="197"/>
        <v>0.20229846792359021</v>
      </c>
      <c r="AL437" s="237">
        <f t="shared" si="197"/>
        <v>0.11846591703484753</v>
      </c>
      <c r="AM437" s="237">
        <f t="shared" si="197"/>
        <v>8.3654208282077092E-3</v>
      </c>
      <c r="AN437" s="237">
        <f t="shared" si="197"/>
        <v>0.65782820636449979</v>
      </c>
      <c r="AO437" s="237">
        <f t="shared" si="197"/>
        <v>1.304198784885487E-2</v>
      </c>
      <c r="AP437" s="237">
        <f t="shared" si="180"/>
        <v>1</v>
      </c>
      <c r="AQ437" s="237"/>
      <c r="AR437" s="237">
        <f t="shared" si="181"/>
        <v>0.61464645366918802</v>
      </c>
      <c r="AS437" s="237">
        <f t="shared" si="182"/>
        <v>0.35993676340465403</v>
      </c>
      <c r="AT437" s="237">
        <f t="shared" si="183"/>
        <v>2.5416782926158003E-2</v>
      </c>
      <c r="AU437" s="237">
        <f t="shared" si="200"/>
        <v>0.98055959563958928</v>
      </c>
      <c r="AV437" s="237">
        <f t="shared" si="200"/>
        <v>1.9440404360410696E-2</v>
      </c>
      <c r="AX437" s="251">
        <f t="shared" si="201"/>
        <v>34545.212489219157</v>
      </c>
      <c r="AY437" s="251">
        <f t="shared" si="201"/>
        <v>21482.599303401788</v>
      </c>
      <c r="AZ437" s="251">
        <f t="shared" si="201"/>
        <v>1511.4549869991504</v>
      </c>
      <c r="BA437" s="251">
        <f t="shared" si="202"/>
        <v>107984.72736758087</v>
      </c>
      <c r="BB437" s="251">
        <f t="shared" si="202"/>
        <v>2155.254828836551</v>
      </c>
      <c r="BC437" s="251">
        <f t="shared" si="204"/>
        <v>167679.24897603752</v>
      </c>
      <c r="BD437" s="270">
        <f t="shared" si="199"/>
        <v>7.6100191206778582</v>
      </c>
    </row>
    <row r="438" spans="1:56">
      <c r="A438" s="11">
        <v>52963</v>
      </c>
      <c r="B438" s="268">
        <v>70</v>
      </c>
      <c r="C438" s="268">
        <v>13</v>
      </c>
      <c r="D438" s="268">
        <f t="shared" si="196"/>
        <v>20</v>
      </c>
      <c r="E438" s="268">
        <v>3</v>
      </c>
      <c r="F438" s="269">
        <v>0.2</v>
      </c>
      <c r="G438" s="269">
        <v>1.32</v>
      </c>
      <c r="I438" s="269">
        <v>5</v>
      </c>
      <c r="M438" s="269">
        <f t="shared" si="190"/>
        <v>1.5</v>
      </c>
      <c r="N438" s="269">
        <v>45</v>
      </c>
      <c r="O438" s="269">
        <f t="shared" si="175"/>
        <v>17.699535849485258</v>
      </c>
      <c r="Q438" s="251">
        <f t="shared" si="191"/>
        <v>176.71953584948523</v>
      </c>
      <c r="R438" s="251">
        <f>'RD Plant List'!N306</f>
        <v>664.33</v>
      </c>
      <c r="S438" s="251">
        <f>SUM(B438:O438)+'RD Plant List'!N306</f>
        <v>841.04953584948521</v>
      </c>
      <c r="T438" s="237">
        <f t="shared" si="203"/>
        <v>0.7898821314121609</v>
      </c>
      <c r="U438" s="251">
        <f t="shared" si="198"/>
        <v>477.85878076315851</v>
      </c>
      <c r="V438" s="271">
        <f t="shared" si="178"/>
        <v>0.56816960285282936</v>
      </c>
      <c r="W438" s="251">
        <f t="shared" si="185"/>
        <v>39.821565063596545</v>
      </c>
      <c r="X438" s="242">
        <f t="shared" si="186"/>
        <v>7.6100191206778574</v>
      </c>
      <c r="Y438" s="273">
        <f t="shared" si="187"/>
        <v>7.6100191206778574</v>
      </c>
      <c r="AB438" s="251">
        <f>SUM('BD Feedstock'!C436,'BD Feedstock'!E436,'BD Feedstock'!G436,'BD Feedstock'!K436,'BD Feedstock'!T436)</f>
        <v>21.812796010427753</v>
      </c>
      <c r="AC438" s="251">
        <f>SUM('BD Feedstock'!D436,'BD Feedstock'!F436,'BD Feedstock'!H436,'BD Feedstock'!I436,'BD Feedstock'!L436,'BD Feedstock'!M436,'BD Feedstock'!N436,'BD Feedstock'!O436,'BD Feedstock'!U436)</f>
        <v>12.773566250859661</v>
      </c>
      <c r="AD438" s="251">
        <f>'BD Feedstock'!J436</f>
        <v>0.90199999999999991</v>
      </c>
      <c r="AE438" s="251">
        <f>SUM('BD Feedstock'!B436,'BD Feedstock'!P436,'BD Feedstock'!Q436,'BD Feedstock'!R436)</f>
        <v>70.93020833333334</v>
      </c>
      <c r="AF438" s="251">
        <f>'BD Feedstock'!S436</f>
        <v>1.40625</v>
      </c>
      <c r="AG438" s="251">
        <f t="shared" si="179"/>
        <v>107.82482059462075</v>
      </c>
      <c r="AK438" s="237">
        <f t="shared" si="197"/>
        <v>0.20229846792359021</v>
      </c>
      <c r="AL438" s="237">
        <f t="shared" si="197"/>
        <v>0.11846591703484753</v>
      </c>
      <c r="AM438" s="237">
        <f t="shared" si="197"/>
        <v>8.3654208282077092E-3</v>
      </c>
      <c r="AN438" s="237">
        <f t="shared" si="197"/>
        <v>0.65782820636449979</v>
      </c>
      <c r="AO438" s="237">
        <f t="shared" si="197"/>
        <v>1.304198784885487E-2</v>
      </c>
      <c r="AP438" s="237">
        <f t="shared" si="180"/>
        <v>1</v>
      </c>
      <c r="AQ438" s="237"/>
      <c r="AR438" s="237">
        <f t="shared" si="181"/>
        <v>0.61464645366918802</v>
      </c>
      <c r="AS438" s="237">
        <f t="shared" si="182"/>
        <v>0.35993676340465403</v>
      </c>
      <c r="AT438" s="237">
        <f t="shared" si="183"/>
        <v>2.5416782926158003E-2</v>
      </c>
      <c r="AU438" s="237">
        <f t="shared" si="200"/>
        <v>0.98055959563958928</v>
      </c>
      <c r="AV438" s="237">
        <f t="shared" si="200"/>
        <v>1.9440404360410696E-2</v>
      </c>
      <c r="AX438" s="251">
        <f t="shared" si="201"/>
        <v>28319.037195859379</v>
      </c>
      <c r="AY438" s="251">
        <f t="shared" si="201"/>
        <v>17610.733438870477</v>
      </c>
      <c r="AZ438" s="251">
        <f t="shared" si="201"/>
        <v>1239.041444890634</v>
      </c>
      <c r="BA438" s="251">
        <f t="shared" si="202"/>
        <v>88522.353476957243</v>
      </c>
      <c r="BB438" s="251">
        <f t="shared" si="202"/>
        <v>1766.8075332703625</v>
      </c>
      <c r="BC438" s="251">
        <f t="shared" si="204"/>
        <v>137457.97308984809</v>
      </c>
      <c r="BD438" s="270">
        <f t="shared" si="199"/>
        <v>7.6100191206778582</v>
      </c>
    </row>
    <row r="439" spans="1:56">
      <c r="A439" s="11">
        <v>52994</v>
      </c>
      <c r="B439" s="268">
        <v>70</v>
      </c>
      <c r="C439" s="268">
        <v>13</v>
      </c>
      <c r="D439" s="268">
        <f t="shared" si="196"/>
        <v>20</v>
      </c>
      <c r="E439" s="268">
        <v>3</v>
      </c>
      <c r="F439" s="269">
        <v>0.2</v>
      </c>
      <c r="G439" s="269">
        <v>1.32</v>
      </c>
      <c r="I439" s="269">
        <v>5</v>
      </c>
      <c r="M439" s="269">
        <f t="shared" si="190"/>
        <v>1.5</v>
      </c>
      <c r="N439" s="269">
        <v>45</v>
      </c>
      <c r="O439" s="269">
        <f t="shared" si="175"/>
        <v>17.699535849485258</v>
      </c>
      <c r="Q439" s="251">
        <f t="shared" si="191"/>
        <v>176.71953584948523</v>
      </c>
      <c r="R439" s="251">
        <f>'RD Plant List'!N307</f>
        <v>664.33</v>
      </c>
      <c r="S439" s="251">
        <f>SUM(B439:O439)+'RD Plant List'!N307</f>
        <v>841.04953584948521</v>
      </c>
      <c r="T439" s="237">
        <f t="shared" si="203"/>
        <v>0.7898821314121609</v>
      </c>
      <c r="U439" s="251">
        <f t="shared" si="198"/>
        <v>441.86959464781273</v>
      </c>
      <c r="V439" s="271">
        <f t="shared" si="178"/>
        <v>0.52537879852880631</v>
      </c>
      <c r="W439" s="251">
        <f t="shared" si="185"/>
        <v>36.822466220651059</v>
      </c>
      <c r="X439" s="242">
        <f t="shared" si="186"/>
        <v>7.6100191206778565</v>
      </c>
      <c r="Y439" s="273">
        <f t="shared" si="187"/>
        <v>7.6100191206778565</v>
      </c>
      <c r="AB439" s="251">
        <f>SUM('BD Feedstock'!C437,'BD Feedstock'!E437,'BD Feedstock'!G437,'BD Feedstock'!K437,'BD Feedstock'!T437)</f>
        <v>21.812796010427753</v>
      </c>
      <c r="AC439" s="251">
        <f>SUM('BD Feedstock'!D437,'BD Feedstock'!F437,'BD Feedstock'!H437,'BD Feedstock'!I437,'BD Feedstock'!L437,'BD Feedstock'!M437,'BD Feedstock'!N437,'BD Feedstock'!O437,'BD Feedstock'!U437)</f>
        <v>12.773566250859661</v>
      </c>
      <c r="AD439" s="251">
        <f>'BD Feedstock'!J437</f>
        <v>0.90199999999999991</v>
      </c>
      <c r="AE439" s="251">
        <f>SUM('BD Feedstock'!B437,'BD Feedstock'!P437,'BD Feedstock'!Q437,'BD Feedstock'!R437)</f>
        <v>70.93020833333334</v>
      </c>
      <c r="AF439" s="251">
        <f>'BD Feedstock'!S437</f>
        <v>1.40625</v>
      </c>
      <c r="AG439" s="251">
        <f t="shared" si="179"/>
        <v>107.82482059462075</v>
      </c>
      <c r="AK439" s="237">
        <f t="shared" si="197"/>
        <v>0.20229846792359021</v>
      </c>
      <c r="AL439" s="237">
        <f t="shared" si="197"/>
        <v>0.11846591703484753</v>
      </c>
      <c r="AM439" s="237">
        <f t="shared" si="197"/>
        <v>8.3654208282077092E-3</v>
      </c>
      <c r="AN439" s="237">
        <f t="shared" si="197"/>
        <v>0.65782820636449979</v>
      </c>
      <c r="AO439" s="237">
        <f t="shared" si="197"/>
        <v>1.304198784885487E-2</v>
      </c>
      <c r="AP439" s="237">
        <f t="shared" si="180"/>
        <v>1</v>
      </c>
      <c r="AQ439" s="237"/>
      <c r="AR439" s="237">
        <f t="shared" si="181"/>
        <v>0.61464645366918802</v>
      </c>
      <c r="AS439" s="237">
        <f t="shared" si="182"/>
        <v>0.35993676340465403</v>
      </c>
      <c r="AT439" s="237">
        <f t="shared" si="183"/>
        <v>2.5416782926158003E-2</v>
      </c>
      <c r="AU439" s="237">
        <f t="shared" si="200"/>
        <v>0.98055959563958928</v>
      </c>
      <c r="AV439" s="237">
        <f t="shared" si="200"/>
        <v>1.9440404360410696E-2</v>
      </c>
      <c r="AX439" s="251">
        <f t="shared" si="201"/>
        <v>26186.233235196527</v>
      </c>
      <c r="AY439" s="251">
        <f t="shared" si="201"/>
        <v>16284.408614730888</v>
      </c>
      <c r="AZ439" s="251">
        <f t="shared" si="201"/>
        <v>1145.7249778507676</v>
      </c>
      <c r="BA439" s="251">
        <f t="shared" si="202"/>
        <v>81855.430982485705</v>
      </c>
      <c r="BB439" s="251">
        <f t="shared" si="202"/>
        <v>1633.7431893583118</v>
      </c>
      <c r="BC439" s="251">
        <f t="shared" si="204"/>
        <v>127105.5409996222</v>
      </c>
      <c r="BD439" s="270">
        <f t="shared" si="199"/>
        <v>7.6100191206778574</v>
      </c>
    </row>
    <row r="440" spans="1:56">
      <c r="A440" s="11">
        <v>53022</v>
      </c>
      <c r="B440" s="268">
        <v>70</v>
      </c>
      <c r="C440" s="268">
        <v>13</v>
      </c>
      <c r="D440" s="268">
        <f t="shared" si="196"/>
        <v>20</v>
      </c>
      <c r="E440" s="268">
        <v>3</v>
      </c>
      <c r="F440" s="269">
        <v>0.2</v>
      </c>
      <c r="G440" s="269">
        <v>1.32</v>
      </c>
      <c r="I440" s="269">
        <v>5</v>
      </c>
      <c r="M440" s="269">
        <f t="shared" si="190"/>
        <v>1.5</v>
      </c>
      <c r="N440" s="269">
        <v>45</v>
      </c>
      <c r="O440" s="269">
        <f t="shared" ref="O440:O503" si="205">$O$3</f>
        <v>17.699535849485258</v>
      </c>
      <c r="Q440" s="251">
        <f t="shared" si="191"/>
        <v>176.71953584948523</v>
      </c>
      <c r="R440" s="251">
        <f>'RD Plant List'!N308</f>
        <v>664.33</v>
      </c>
      <c r="S440" s="251">
        <f>SUM(B440:O440)+'RD Plant List'!N308</f>
        <v>841.04953584948521</v>
      </c>
      <c r="T440" s="237">
        <f t="shared" si="203"/>
        <v>0.7898821314121609</v>
      </c>
      <c r="U440" s="251">
        <f t="shared" si="198"/>
        <v>491.07356810296676</v>
      </c>
      <c r="V440" s="271">
        <f t="shared" si="178"/>
        <v>0.58388186090248273</v>
      </c>
      <c r="W440" s="251">
        <f t="shared" si="185"/>
        <v>40.922797341913899</v>
      </c>
      <c r="X440" s="242">
        <f t="shared" si="186"/>
        <v>7.6100191206778565</v>
      </c>
      <c r="Y440" s="273">
        <f t="shared" si="187"/>
        <v>7.6100191206778565</v>
      </c>
      <c r="AB440" s="251">
        <f>SUM('BD Feedstock'!C438,'BD Feedstock'!E438,'BD Feedstock'!G438,'BD Feedstock'!K438,'BD Feedstock'!T438)</f>
        <v>21.812796010427753</v>
      </c>
      <c r="AC440" s="251">
        <f>SUM('BD Feedstock'!D438,'BD Feedstock'!F438,'BD Feedstock'!H438,'BD Feedstock'!I438,'BD Feedstock'!L438,'BD Feedstock'!M438,'BD Feedstock'!N438,'BD Feedstock'!O438,'BD Feedstock'!U438)</f>
        <v>12.773566250859661</v>
      </c>
      <c r="AD440" s="251">
        <f>'BD Feedstock'!J438</f>
        <v>0.90199999999999991</v>
      </c>
      <c r="AE440" s="251">
        <f>SUM('BD Feedstock'!B438,'BD Feedstock'!P438,'BD Feedstock'!Q438,'BD Feedstock'!R438)</f>
        <v>70.93020833333334</v>
      </c>
      <c r="AF440" s="251">
        <f>'BD Feedstock'!S438</f>
        <v>1.40625</v>
      </c>
      <c r="AG440" s="251">
        <f t="shared" si="179"/>
        <v>107.82482059462075</v>
      </c>
      <c r="AK440" s="237">
        <f t="shared" si="197"/>
        <v>0.20229846792359021</v>
      </c>
      <c r="AL440" s="237">
        <f t="shared" si="197"/>
        <v>0.11846591703484753</v>
      </c>
      <c r="AM440" s="237">
        <f t="shared" si="197"/>
        <v>8.3654208282077092E-3</v>
      </c>
      <c r="AN440" s="237">
        <f t="shared" si="197"/>
        <v>0.65782820636449979</v>
      </c>
      <c r="AO440" s="237">
        <f t="shared" si="197"/>
        <v>1.304198784885487E-2</v>
      </c>
      <c r="AP440" s="237">
        <f t="shared" si="180"/>
        <v>1</v>
      </c>
      <c r="AQ440" s="237"/>
      <c r="AR440" s="237">
        <f t="shared" si="181"/>
        <v>0.61464645366918802</v>
      </c>
      <c r="AS440" s="237">
        <f t="shared" si="182"/>
        <v>0.35993676340465403</v>
      </c>
      <c r="AT440" s="237">
        <f t="shared" si="183"/>
        <v>2.5416782926158003E-2</v>
      </c>
      <c r="AU440" s="237">
        <f t="shared" si="200"/>
        <v>0.98055959563958928</v>
      </c>
      <c r="AV440" s="237">
        <f t="shared" si="200"/>
        <v>1.9440404360410696E-2</v>
      </c>
      <c r="AX440" s="251">
        <f t="shared" si="201"/>
        <v>29102.176628002362</v>
      </c>
      <c r="AY440" s="251">
        <f t="shared" si="201"/>
        <v>18097.743632386348</v>
      </c>
      <c r="AZ440" s="251">
        <f t="shared" si="201"/>
        <v>1273.3061060386183</v>
      </c>
      <c r="BA440" s="251">
        <f t="shared" si="202"/>
        <v>90970.365574064897</v>
      </c>
      <c r="BB440" s="251">
        <f t="shared" si="202"/>
        <v>1815.667126862535</v>
      </c>
      <c r="BC440" s="251">
        <f t="shared" si="204"/>
        <v>141259.25906735475</v>
      </c>
      <c r="BD440" s="270">
        <f t="shared" si="199"/>
        <v>7.6100191206778565</v>
      </c>
    </row>
    <row r="441" spans="1:56">
      <c r="A441" s="11">
        <v>53053</v>
      </c>
      <c r="B441" s="268">
        <v>70</v>
      </c>
      <c r="C441" s="268">
        <v>13</v>
      </c>
      <c r="D441" s="268">
        <f t="shared" si="196"/>
        <v>20</v>
      </c>
      <c r="E441" s="268">
        <v>3</v>
      </c>
      <c r="F441" s="269">
        <v>0.2</v>
      </c>
      <c r="G441" s="269">
        <v>1.32</v>
      </c>
      <c r="I441" s="269">
        <v>5</v>
      </c>
      <c r="M441" s="269">
        <f t="shared" si="190"/>
        <v>1.5</v>
      </c>
      <c r="N441" s="269">
        <v>45</v>
      </c>
      <c r="O441" s="269">
        <f t="shared" si="205"/>
        <v>17.699535849485258</v>
      </c>
      <c r="Q441" s="251">
        <f t="shared" si="191"/>
        <v>176.71953584948523</v>
      </c>
      <c r="R441" s="251">
        <f>'RD Plant List'!N309</f>
        <v>664.33</v>
      </c>
      <c r="S441" s="251">
        <f>SUM(B441:O441)+'RD Plant List'!N309</f>
        <v>841.04953584948521</v>
      </c>
      <c r="T441" s="237">
        <f t="shared" si="203"/>
        <v>0.7898821314121609</v>
      </c>
      <c r="U441" s="251">
        <f t="shared" si="198"/>
        <v>499.53509092318768</v>
      </c>
      <c r="V441" s="271">
        <f t="shared" si="178"/>
        <v>0.59394253207528647</v>
      </c>
      <c r="W441" s="251">
        <f t="shared" si="185"/>
        <v>41.627924243598976</v>
      </c>
      <c r="X441" s="242">
        <f t="shared" si="186"/>
        <v>7.6100191206778574</v>
      </c>
      <c r="Y441" s="273">
        <f t="shared" si="187"/>
        <v>7.6100191206778574</v>
      </c>
      <c r="AB441" s="251">
        <f>SUM('BD Feedstock'!C439,'BD Feedstock'!E439,'BD Feedstock'!G439,'BD Feedstock'!K439,'BD Feedstock'!T439)</f>
        <v>21.812796010427753</v>
      </c>
      <c r="AC441" s="251">
        <f>SUM('BD Feedstock'!D439,'BD Feedstock'!F439,'BD Feedstock'!H439,'BD Feedstock'!I439,'BD Feedstock'!L439,'BD Feedstock'!M439,'BD Feedstock'!N439,'BD Feedstock'!O439,'BD Feedstock'!U439)</f>
        <v>12.773566250859661</v>
      </c>
      <c r="AD441" s="251">
        <f>'BD Feedstock'!J439</f>
        <v>0.90199999999999991</v>
      </c>
      <c r="AE441" s="251">
        <f>SUM('BD Feedstock'!B439,'BD Feedstock'!P439,'BD Feedstock'!Q439,'BD Feedstock'!R439)</f>
        <v>70.93020833333334</v>
      </c>
      <c r="AF441" s="251">
        <f>'BD Feedstock'!S439</f>
        <v>1.40625</v>
      </c>
      <c r="AG441" s="251">
        <f t="shared" si="179"/>
        <v>107.82482059462075</v>
      </c>
      <c r="AK441" s="237">
        <f t="shared" si="197"/>
        <v>0.20229846792359021</v>
      </c>
      <c r="AL441" s="237">
        <f t="shared" si="197"/>
        <v>0.11846591703484753</v>
      </c>
      <c r="AM441" s="237">
        <f t="shared" si="197"/>
        <v>8.3654208282077092E-3</v>
      </c>
      <c r="AN441" s="237">
        <f t="shared" si="197"/>
        <v>0.65782820636449979</v>
      </c>
      <c r="AO441" s="237">
        <f t="shared" si="197"/>
        <v>1.304198784885487E-2</v>
      </c>
      <c r="AP441" s="237">
        <f t="shared" si="180"/>
        <v>1</v>
      </c>
      <c r="AQ441" s="237"/>
      <c r="AR441" s="237">
        <f t="shared" si="181"/>
        <v>0.61464645366918802</v>
      </c>
      <c r="AS441" s="237">
        <f t="shared" si="182"/>
        <v>0.35993676340465403</v>
      </c>
      <c r="AT441" s="237">
        <f t="shared" si="183"/>
        <v>2.5416782926158003E-2</v>
      </c>
      <c r="AU441" s="237">
        <f t="shared" si="200"/>
        <v>0.98055959563958928</v>
      </c>
      <c r="AV441" s="237">
        <f t="shared" si="200"/>
        <v>1.9440404360410696E-2</v>
      </c>
      <c r="AX441" s="251">
        <f t="shared" si="201"/>
        <v>29603.626405898602</v>
      </c>
      <c r="AY441" s="251">
        <f t="shared" si="201"/>
        <v>18409.579741447378</v>
      </c>
      <c r="AZ441" s="251">
        <f t="shared" si="201"/>
        <v>1295.2460135661058</v>
      </c>
      <c r="BA441" s="251">
        <f t="shared" si="202"/>
        <v>92537.845223279888</v>
      </c>
      <c r="BB441" s="251">
        <f t="shared" si="202"/>
        <v>1846.9522739887009</v>
      </c>
      <c r="BC441" s="251">
        <f t="shared" si="204"/>
        <v>143693.24965818066</v>
      </c>
      <c r="BD441" s="270">
        <f t="shared" si="199"/>
        <v>7.6100191206778574</v>
      </c>
    </row>
    <row r="442" spans="1:56">
      <c r="A442" s="11">
        <v>53083</v>
      </c>
      <c r="B442" s="268">
        <v>70</v>
      </c>
      <c r="C442" s="268">
        <v>13</v>
      </c>
      <c r="D442" s="268">
        <f t="shared" si="196"/>
        <v>20</v>
      </c>
      <c r="E442" s="268">
        <v>3</v>
      </c>
      <c r="F442" s="269">
        <v>0.2</v>
      </c>
      <c r="G442" s="269">
        <v>1.32</v>
      </c>
      <c r="I442" s="269">
        <v>5</v>
      </c>
      <c r="M442" s="269">
        <f t="shared" si="190"/>
        <v>1.5</v>
      </c>
      <c r="N442" s="269">
        <v>45</v>
      </c>
      <c r="O442" s="269">
        <f t="shared" si="205"/>
        <v>17.699535849485258</v>
      </c>
      <c r="Q442" s="251">
        <f t="shared" si="191"/>
        <v>176.71953584948523</v>
      </c>
      <c r="R442" s="251">
        <f>'RD Plant List'!N310</f>
        <v>664.33</v>
      </c>
      <c r="S442" s="251">
        <f>SUM(B442:O442)+'RD Plant List'!N310</f>
        <v>841.04953584948521</v>
      </c>
      <c r="T442" s="237">
        <f t="shared" si="203"/>
        <v>0.7898821314121609</v>
      </c>
      <c r="U442" s="251">
        <f t="shared" si="198"/>
        <v>485.32562503064139</v>
      </c>
      <c r="V442" s="271">
        <f t="shared" si="178"/>
        <v>0.57704761056725151</v>
      </c>
      <c r="W442" s="251">
        <f t="shared" si="185"/>
        <v>40.44380208588678</v>
      </c>
      <c r="X442" s="242">
        <f t="shared" si="186"/>
        <v>7.6100191206778582</v>
      </c>
      <c r="Y442" s="273">
        <f t="shared" si="187"/>
        <v>7.6100191206778582</v>
      </c>
      <c r="AB442" s="251">
        <f>SUM('BD Feedstock'!C440,'BD Feedstock'!E440,'BD Feedstock'!G440,'BD Feedstock'!K440,'BD Feedstock'!T440)</f>
        <v>21.812796010427753</v>
      </c>
      <c r="AC442" s="251">
        <f>SUM('BD Feedstock'!D440,'BD Feedstock'!F440,'BD Feedstock'!H440,'BD Feedstock'!I440,'BD Feedstock'!L440,'BD Feedstock'!M440,'BD Feedstock'!N440,'BD Feedstock'!O440,'BD Feedstock'!U440)</f>
        <v>12.773566250859661</v>
      </c>
      <c r="AD442" s="251">
        <f>'BD Feedstock'!J440</f>
        <v>0.90199999999999991</v>
      </c>
      <c r="AE442" s="251">
        <f>SUM('BD Feedstock'!B440,'BD Feedstock'!P440,'BD Feedstock'!Q440,'BD Feedstock'!R440)</f>
        <v>70.93020833333334</v>
      </c>
      <c r="AF442" s="251">
        <f>'BD Feedstock'!S440</f>
        <v>1.40625</v>
      </c>
      <c r="AG442" s="251">
        <f t="shared" si="179"/>
        <v>107.82482059462075</v>
      </c>
      <c r="AK442" s="237">
        <f t="shared" si="197"/>
        <v>0.20229846792359021</v>
      </c>
      <c r="AL442" s="237">
        <f t="shared" si="197"/>
        <v>0.11846591703484753</v>
      </c>
      <c r="AM442" s="237">
        <f t="shared" si="197"/>
        <v>8.3654208282077092E-3</v>
      </c>
      <c r="AN442" s="237">
        <f t="shared" si="197"/>
        <v>0.65782820636449979</v>
      </c>
      <c r="AO442" s="237">
        <f t="shared" si="197"/>
        <v>1.304198784885487E-2</v>
      </c>
      <c r="AP442" s="237">
        <f t="shared" si="180"/>
        <v>1</v>
      </c>
      <c r="AQ442" s="237"/>
      <c r="AR442" s="237">
        <f t="shared" si="181"/>
        <v>0.61464645366918802</v>
      </c>
      <c r="AS442" s="237">
        <f t="shared" si="182"/>
        <v>0.35993676340465403</v>
      </c>
      <c r="AT442" s="237">
        <f t="shared" si="183"/>
        <v>2.5416782926158003E-2</v>
      </c>
      <c r="AU442" s="237">
        <f t="shared" si="200"/>
        <v>0.98055959563958928</v>
      </c>
      <c r="AV442" s="237">
        <f t="shared" si="200"/>
        <v>1.9440404360410696E-2</v>
      </c>
      <c r="AX442" s="251">
        <f t="shared" si="201"/>
        <v>28761.539979231555</v>
      </c>
      <c r="AY442" s="251">
        <f t="shared" si="201"/>
        <v>17885.912235029027</v>
      </c>
      <c r="AZ442" s="251">
        <f t="shared" si="201"/>
        <v>1258.4022474590831</v>
      </c>
      <c r="BA442" s="251">
        <f t="shared" si="202"/>
        <v>89905.570975959563</v>
      </c>
      <c r="BB442" s="251">
        <f t="shared" si="202"/>
        <v>1794.4150132050754</v>
      </c>
      <c r="BC442" s="251">
        <f t="shared" si="204"/>
        <v>139605.84045088431</v>
      </c>
      <c r="BD442" s="270">
        <f t="shared" si="199"/>
        <v>7.6100191206778582</v>
      </c>
    </row>
    <row r="443" spans="1:56">
      <c r="A443" s="11">
        <v>53114</v>
      </c>
      <c r="B443" s="268">
        <v>70</v>
      </c>
      <c r="C443" s="268">
        <v>13</v>
      </c>
      <c r="D443" s="268">
        <f t="shared" si="196"/>
        <v>20</v>
      </c>
      <c r="E443" s="268">
        <v>3</v>
      </c>
      <c r="F443" s="269">
        <v>0.2</v>
      </c>
      <c r="G443" s="269">
        <v>1.32</v>
      </c>
      <c r="I443" s="269">
        <v>5</v>
      </c>
      <c r="M443" s="269">
        <f t="shared" si="190"/>
        <v>1.5</v>
      </c>
      <c r="N443" s="269">
        <v>45</v>
      </c>
      <c r="O443" s="269">
        <f t="shared" si="205"/>
        <v>17.699535849485258</v>
      </c>
      <c r="Q443" s="251">
        <f t="shared" si="191"/>
        <v>176.71953584948523</v>
      </c>
      <c r="R443" s="251">
        <f>'RD Plant List'!N311</f>
        <v>664.33</v>
      </c>
      <c r="S443" s="251">
        <f>SUM(B443:O443)+'RD Plant List'!N311</f>
        <v>841.04953584948521</v>
      </c>
      <c r="T443" s="237">
        <f t="shared" si="203"/>
        <v>0.7898821314121609</v>
      </c>
      <c r="U443" s="251">
        <f t="shared" si="198"/>
        <v>541.68657094914806</v>
      </c>
      <c r="V443" s="271">
        <f t="shared" si="178"/>
        <v>0.6440602459901823</v>
      </c>
      <c r="W443" s="251">
        <f t="shared" si="185"/>
        <v>45.140547579095674</v>
      </c>
      <c r="X443" s="242">
        <f t="shared" si="186"/>
        <v>7.6100191206778565</v>
      </c>
      <c r="Y443" s="273">
        <f t="shared" si="187"/>
        <v>7.6100191206778565</v>
      </c>
      <c r="AB443" s="251">
        <f>SUM('BD Feedstock'!C441,'BD Feedstock'!E441,'BD Feedstock'!G441,'BD Feedstock'!K441,'BD Feedstock'!T441)</f>
        <v>21.812796010427753</v>
      </c>
      <c r="AC443" s="251">
        <f>SUM('BD Feedstock'!D441,'BD Feedstock'!F441,'BD Feedstock'!H441,'BD Feedstock'!I441,'BD Feedstock'!L441,'BD Feedstock'!M441,'BD Feedstock'!N441,'BD Feedstock'!O441,'BD Feedstock'!U441)</f>
        <v>12.773566250859661</v>
      </c>
      <c r="AD443" s="251">
        <f>'BD Feedstock'!J441</f>
        <v>0.90199999999999991</v>
      </c>
      <c r="AE443" s="251">
        <f>SUM('BD Feedstock'!B441,'BD Feedstock'!P441,'BD Feedstock'!Q441,'BD Feedstock'!R441)</f>
        <v>70.93020833333334</v>
      </c>
      <c r="AF443" s="251">
        <f>'BD Feedstock'!S441</f>
        <v>1.40625</v>
      </c>
      <c r="AG443" s="251">
        <f t="shared" si="179"/>
        <v>107.82482059462075</v>
      </c>
      <c r="AK443" s="237">
        <f t="shared" si="197"/>
        <v>0.20229846792359021</v>
      </c>
      <c r="AL443" s="237">
        <f t="shared" si="197"/>
        <v>0.11846591703484753</v>
      </c>
      <c r="AM443" s="237">
        <f t="shared" si="197"/>
        <v>8.3654208282077092E-3</v>
      </c>
      <c r="AN443" s="237">
        <f t="shared" si="197"/>
        <v>0.65782820636449979</v>
      </c>
      <c r="AO443" s="237">
        <f t="shared" si="197"/>
        <v>1.304198784885487E-2</v>
      </c>
      <c r="AP443" s="237">
        <f t="shared" si="180"/>
        <v>1</v>
      </c>
      <c r="AQ443" s="237"/>
      <c r="AR443" s="237">
        <f t="shared" si="181"/>
        <v>0.61464645366918802</v>
      </c>
      <c r="AS443" s="237">
        <f t="shared" si="182"/>
        <v>0.35993676340465403</v>
      </c>
      <c r="AT443" s="237">
        <f t="shared" si="183"/>
        <v>2.5416782926158003E-2</v>
      </c>
      <c r="AU443" s="237">
        <f t="shared" si="200"/>
        <v>0.98055959563958928</v>
      </c>
      <c r="AV443" s="237">
        <f t="shared" si="200"/>
        <v>1.9440404360410696E-2</v>
      </c>
      <c r="AX443" s="251">
        <f t="shared" si="201"/>
        <v>32101.622422230717</v>
      </c>
      <c r="AY443" s="251">
        <f t="shared" si="201"/>
        <v>19963.006211095064</v>
      </c>
      <c r="AZ443" s="251">
        <f t="shared" si="201"/>
        <v>1404.5407106986677</v>
      </c>
      <c r="BA443" s="251">
        <f t="shared" si="202"/>
        <v>100346.3199539856</v>
      </c>
      <c r="BB443" s="251">
        <f t="shared" si="202"/>
        <v>2002.800728482777</v>
      </c>
      <c r="BC443" s="251">
        <f t="shared" si="204"/>
        <v>155818.29002649282</v>
      </c>
      <c r="BD443" s="270">
        <f t="shared" si="199"/>
        <v>7.6100191206778574</v>
      </c>
    </row>
    <row r="444" spans="1:56">
      <c r="A444" s="11">
        <v>53144</v>
      </c>
      <c r="B444" s="268">
        <v>70</v>
      </c>
      <c r="C444" s="268">
        <v>13</v>
      </c>
      <c r="D444" s="268">
        <f t="shared" si="196"/>
        <v>20</v>
      </c>
      <c r="E444" s="268">
        <v>3</v>
      </c>
      <c r="F444" s="269">
        <v>0.2</v>
      </c>
      <c r="G444" s="269">
        <v>1.32</v>
      </c>
      <c r="I444" s="269">
        <v>5</v>
      </c>
      <c r="M444" s="269">
        <f t="shared" si="190"/>
        <v>1.5</v>
      </c>
      <c r="N444" s="269">
        <v>45</v>
      </c>
      <c r="O444" s="269">
        <f t="shared" si="205"/>
        <v>17.699535849485258</v>
      </c>
      <c r="Q444" s="251">
        <f t="shared" si="191"/>
        <v>176.71953584948523</v>
      </c>
      <c r="R444" s="251">
        <f>'RD Plant List'!N312</f>
        <v>664.33</v>
      </c>
      <c r="S444" s="251">
        <f>SUM(B444:O444)+'RD Plant List'!N312</f>
        <v>841.04953584948521</v>
      </c>
      <c r="T444" s="237">
        <f t="shared" si="203"/>
        <v>0.7898821314121609</v>
      </c>
      <c r="U444" s="251">
        <f t="shared" si="198"/>
        <v>556.25087343476275</v>
      </c>
      <c r="V444" s="271">
        <f t="shared" si="178"/>
        <v>0.66137706487517733</v>
      </c>
      <c r="W444" s="251">
        <f t="shared" si="185"/>
        <v>46.354239452896898</v>
      </c>
      <c r="X444" s="242">
        <f t="shared" si="186"/>
        <v>7.6100191206778591</v>
      </c>
      <c r="Y444" s="273">
        <f t="shared" si="187"/>
        <v>7.6100191206778591</v>
      </c>
      <c r="AB444" s="251">
        <f>SUM('BD Feedstock'!C442,'BD Feedstock'!E442,'BD Feedstock'!G442,'BD Feedstock'!K442,'BD Feedstock'!T442)</f>
        <v>21.812796010427753</v>
      </c>
      <c r="AC444" s="251">
        <f>SUM('BD Feedstock'!D442,'BD Feedstock'!F442,'BD Feedstock'!H442,'BD Feedstock'!I442,'BD Feedstock'!L442,'BD Feedstock'!M442,'BD Feedstock'!N442,'BD Feedstock'!O442,'BD Feedstock'!U442)</f>
        <v>12.773566250859661</v>
      </c>
      <c r="AD444" s="251">
        <f>'BD Feedstock'!J442</f>
        <v>0.90199999999999991</v>
      </c>
      <c r="AE444" s="251">
        <f>SUM('BD Feedstock'!B442,'BD Feedstock'!P442,'BD Feedstock'!Q442,'BD Feedstock'!R442)</f>
        <v>70.93020833333334</v>
      </c>
      <c r="AF444" s="251">
        <f>'BD Feedstock'!S442</f>
        <v>1.40625</v>
      </c>
      <c r="AG444" s="251">
        <f t="shared" si="179"/>
        <v>107.82482059462075</v>
      </c>
      <c r="AK444" s="237">
        <f t="shared" si="197"/>
        <v>0.20229846792359021</v>
      </c>
      <c r="AL444" s="237">
        <f t="shared" si="197"/>
        <v>0.11846591703484753</v>
      </c>
      <c r="AM444" s="237">
        <f t="shared" si="197"/>
        <v>8.3654208282077092E-3</v>
      </c>
      <c r="AN444" s="237">
        <f t="shared" si="197"/>
        <v>0.65782820636449979</v>
      </c>
      <c r="AO444" s="237">
        <f t="shared" si="197"/>
        <v>1.304198784885487E-2</v>
      </c>
      <c r="AP444" s="237">
        <f t="shared" si="180"/>
        <v>1</v>
      </c>
      <c r="AQ444" s="237"/>
      <c r="AR444" s="237">
        <f t="shared" si="181"/>
        <v>0.61464645366918802</v>
      </c>
      <c r="AS444" s="237">
        <f t="shared" si="182"/>
        <v>0.35993676340465403</v>
      </c>
      <c r="AT444" s="237">
        <f t="shared" si="183"/>
        <v>2.5416782926158003E-2</v>
      </c>
      <c r="AU444" s="237">
        <f t="shared" si="200"/>
        <v>0.98055959563958928</v>
      </c>
      <c r="AV444" s="237">
        <f t="shared" si="200"/>
        <v>1.9440404360410696E-2</v>
      </c>
      <c r="AX444" s="251">
        <f t="shared" si="201"/>
        <v>32964.737301407316</v>
      </c>
      <c r="AY444" s="251">
        <f t="shared" si="201"/>
        <v>20499.750661804159</v>
      </c>
      <c r="AZ444" s="251">
        <f t="shared" si="201"/>
        <v>1442.3045336565308</v>
      </c>
      <c r="BA444" s="251">
        <f t="shared" si="202"/>
        <v>103044.32694826518</v>
      </c>
      <c r="BB444" s="251">
        <f t="shared" si="202"/>
        <v>2056.6499416484676</v>
      </c>
      <c r="BC444" s="251">
        <f t="shared" si="204"/>
        <v>160007.76938678167</v>
      </c>
      <c r="BD444" s="270">
        <f t="shared" si="199"/>
        <v>7.6100191206778591</v>
      </c>
    </row>
    <row r="445" spans="1:56">
      <c r="A445" s="11">
        <v>53175</v>
      </c>
      <c r="B445" s="268">
        <v>70</v>
      </c>
      <c r="C445" s="268">
        <v>13</v>
      </c>
      <c r="D445" s="268">
        <f t="shared" si="196"/>
        <v>20</v>
      </c>
      <c r="E445" s="268">
        <v>3</v>
      </c>
      <c r="F445" s="269">
        <v>0.2</v>
      </c>
      <c r="G445" s="269">
        <v>1.32</v>
      </c>
      <c r="I445" s="269">
        <v>5</v>
      </c>
      <c r="M445" s="269">
        <f t="shared" si="190"/>
        <v>1.5</v>
      </c>
      <c r="N445" s="269">
        <v>45</v>
      </c>
      <c r="O445" s="269">
        <f t="shared" si="205"/>
        <v>17.699535849485258</v>
      </c>
      <c r="Q445" s="251">
        <f t="shared" si="191"/>
        <v>176.71953584948523</v>
      </c>
      <c r="R445" s="251">
        <f>'RD Plant List'!N313</f>
        <v>664.33</v>
      </c>
      <c r="S445" s="251">
        <f>SUM(B445:O445)+'RD Plant List'!N313</f>
        <v>841.04953584948521</v>
      </c>
      <c r="T445" s="237">
        <f t="shared" si="203"/>
        <v>0.7898821314121609</v>
      </c>
      <c r="U445" s="251">
        <f t="shared" si="198"/>
        <v>524.97626810566067</v>
      </c>
      <c r="V445" s="271">
        <f t="shared" si="178"/>
        <v>0.62419185283232925</v>
      </c>
      <c r="W445" s="251">
        <f t="shared" si="185"/>
        <v>43.748022342138391</v>
      </c>
      <c r="X445" s="242">
        <f t="shared" si="186"/>
        <v>7.6100191206778574</v>
      </c>
      <c r="Y445" s="273">
        <f t="shared" si="187"/>
        <v>7.6100191206778574</v>
      </c>
      <c r="AB445" s="251">
        <f>SUM('BD Feedstock'!C443,'BD Feedstock'!E443,'BD Feedstock'!G443,'BD Feedstock'!K443,'BD Feedstock'!T443)</f>
        <v>21.812796010427753</v>
      </c>
      <c r="AC445" s="251">
        <f>SUM('BD Feedstock'!D443,'BD Feedstock'!F443,'BD Feedstock'!H443,'BD Feedstock'!I443,'BD Feedstock'!L443,'BD Feedstock'!M443,'BD Feedstock'!N443,'BD Feedstock'!O443,'BD Feedstock'!U443)</f>
        <v>12.773566250859661</v>
      </c>
      <c r="AD445" s="251">
        <f>'BD Feedstock'!J443</f>
        <v>0.90199999999999991</v>
      </c>
      <c r="AE445" s="251">
        <f>SUM('BD Feedstock'!B443,'BD Feedstock'!P443,'BD Feedstock'!Q443,'BD Feedstock'!R443)</f>
        <v>70.93020833333334</v>
      </c>
      <c r="AF445" s="251">
        <f>'BD Feedstock'!S443</f>
        <v>1.40625</v>
      </c>
      <c r="AG445" s="251">
        <f t="shared" si="179"/>
        <v>107.82482059462075</v>
      </c>
      <c r="AK445" s="237">
        <f t="shared" ref="AK445:AO508" si="206">AB445/$AG445</f>
        <v>0.20229846792359021</v>
      </c>
      <c r="AL445" s="237">
        <f t="shared" si="206"/>
        <v>0.11846591703484753</v>
      </c>
      <c r="AM445" s="237">
        <f t="shared" si="206"/>
        <v>8.3654208282077092E-3</v>
      </c>
      <c r="AN445" s="237">
        <f t="shared" si="206"/>
        <v>0.65782820636449979</v>
      </c>
      <c r="AO445" s="237">
        <f t="shared" si="206"/>
        <v>1.304198784885487E-2</v>
      </c>
      <c r="AP445" s="237">
        <f t="shared" si="180"/>
        <v>1</v>
      </c>
      <c r="AQ445" s="237"/>
      <c r="AR445" s="237">
        <f t="shared" si="181"/>
        <v>0.61464645366918802</v>
      </c>
      <c r="AS445" s="237">
        <f t="shared" si="182"/>
        <v>0.35993676340465403</v>
      </c>
      <c r="AT445" s="237">
        <f t="shared" si="183"/>
        <v>2.5416782926158003E-2</v>
      </c>
      <c r="AU445" s="237">
        <f t="shared" si="200"/>
        <v>0.98055959563958928</v>
      </c>
      <c r="AV445" s="237">
        <f t="shared" si="200"/>
        <v>1.9440404360410696E-2</v>
      </c>
      <c r="AX445" s="251">
        <f t="shared" si="201"/>
        <v>31111.330505813399</v>
      </c>
      <c r="AY445" s="251">
        <f t="shared" si="201"/>
        <v>19347.174293997134</v>
      </c>
      <c r="AZ445" s="251">
        <f t="shared" si="201"/>
        <v>1361.2125170706497</v>
      </c>
      <c r="BA445" s="251">
        <f t="shared" si="202"/>
        <v>97250.770819875732</v>
      </c>
      <c r="BB445" s="251">
        <f t="shared" si="202"/>
        <v>1941.0170171947855</v>
      </c>
      <c r="BC445" s="251">
        <f t="shared" si="204"/>
        <v>151011.5051539517</v>
      </c>
      <c r="BD445" s="270">
        <f t="shared" si="199"/>
        <v>7.6100191206778574</v>
      </c>
    </row>
    <row r="446" spans="1:56">
      <c r="A446" s="11">
        <v>53206</v>
      </c>
      <c r="B446" s="268">
        <v>70</v>
      </c>
      <c r="C446" s="268">
        <v>13</v>
      </c>
      <c r="D446" s="268">
        <f t="shared" si="196"/>
        <v>20</v>
      </c>
      <c r="E446" s="268">
        <v>3</v>
      </c>
      <c r="F446" s="269">
        <v>0.2</v>
      </c>
      <c r="G446" s="269">
        <v>1.32</v>
      </c>
      <c r="I446" s="269">
        <v>5</v>
      </c>
      <c r="M446" s="269">
        <f t="shared" si="190"/>
        <v>1.5</v>
      </c>
      <c r="N446" s="269">
        <v>45</v>
      </c>
      <c r="O446" s="269">
        <f t="shared" si="205"/>
        <v>17.699535849485258</v>
      </c>
      <c r="Q446" s="251">
        <f t="shared" si="191"/>
        <v>176.71953584948523</v>
      </c>
      <c r="R446" s="251">
        <f>'RD Plant List'!N314</f>
        <v>664.33</v>
      </c>
      <c r="S446" s="251">
        <f>SUM(B446:O446)+'RD Plant List'!N314</f>
        <v>841.04953584948521</v>
      </c>
      <c r="T446" s="237">
        <f t="shared" si="203"/>
        <v>0.7898821314121609</v>
      </c>
      <c r="U446" s="251">
        <f t="shared" si="198"/>
        <v>569.07842036185275</v>
      </c>
      <c r="V446" s="271">
        <f t="shared" si="178"/>
        <v>0.67662889771060453</v>
      </c>
      <c r="W446" s="251">
        <f t="shared" si="185"/>
        <v>47.42320169682106</v>
      </c>
      <c r="X446" s="242">
        <f t="shared" si="186"/>
        <v>7.6100191206778574</v>
      </c>
      <c r="Y446" s="273">
        <f t="shared" si="187"/>
        <v>7.6100191206778574</v>
      </c>
      <c r="AB446" s="251">
        <f>SUM('BD Feedstock'!C444,'BD Feedstock'!E444,'BD Feedstock'!G444,'BD Feedstock'!K444,'BD Feedstock'!T444)</f>
        <v>21.812796010427753</v>
      </c>
      <c r="AC446" s="251">
        <f>SUM('BD Feedstock'!D444,'BD Feedstock'!F444,'BD Feedstock'!H444,'BD Feedstock'!I444,'BD Feedstock'!L444,'BD Feedstock'!M444,'BD Feedstock'!N444,'BD Feedstock'!O444,'BD Feedstock'!U444)</f>
        <v>12.773566250859661</v>
      </c>
      <c r="AD446" s="251">
        <f>'BD Feedstock'!J444</f>
        <v>0.90199999999999991</v>
      </c>
      <c r="AE446" s="251">
        <f>SUM('BD Feedstock'!B444,'BD Feedstock'!P444,'BD Feedstock'!Q444,'BD Feedstock'!R444)</f>
        <v>70.93020833333334</v>
      </c>
      <c r="AF446" s="251">
        <f>'BD Feedstock'!S444</f>
        <v>1.40625</v>
      </c>
      <c r="AG446" s="251">
        <f t="shared" si="179"/>
        <v>107.82482059462075</v>
      </c>
      <c r="AK446" s="237">
        <f t="shared" si="206"/>
        <v>0.20229846792359021</v>
      </c>
      <c r="AL446" s="237">
        <f t="shared" si="206"/>
        <v>0.11846591703484753</v>
      </c>
      <c r="AM446" s="237">
        <f t="shared" si="206"/>
        <v>8.3654208282077092E-3</v>
      </c>
      <c r="AN446" s="237">
        <f t="shared" si="206"/>
        <v>0.65782820636449979</v>
      </c>
      <c r="AO446" s="237">
        <f t="shared" si="206"/>
        <v>1.304198784885487E-2</v>
      </c>
      <c r="AP446" s="237">
        <f t="shared" si="180"/>
        <v>1</v>
      </c>
      <c r="AQ446" s="237"/>
      <c r="AR446" s="237">
        <f t="shared" si="181"/>
        <v>0.61464645366918802</v>
      </c>
      <c r="AS446" s="237">
        <f t="shared" si="182"/>
        <v>0.35993676340465403</v>
      </c>
      <c r="AT446" s="237">
        <f t="shared" si="183"/>
        <v>2.5416782926158003E-2</v>
      </c>
      <c r="AU446" s="237">
        <f t="shared" si="200"/>
        <v>0.98055959563958928</v>
      </c>
      <c r="AV446" s="237">
        <f t="shared" si="200"/>
        <v>1.9440404360410696E-2</v>
      </c>
      <c r="AX446" s="251">
        <f t="shared" si="201"/>
        <v>33724.927954344035</v>
      </c>
      <c r="AY446" s="251">
        <f t="shared" si="201"/>
        <v>20972.489719244531</v>
      </c>
      <c r="AZ446" s="251">
        <f t="shared" si="201"/>
        <v>1475.5651179939384</v>
      </c>
      <c r="BA446" s="251">
        <f t="shared" si="202"/>
        <v>105420.60355766145</v>
      </c>
      <c r="BB446" s="251">
        <f t="shared" si="202"/>
        <v>2104.0777748421292</v>
      </c>
      <c r="BC446" s="251">
        <f t="shared" si="204"/>
        <v>163697.66412408609</v>
      </c>
      <c r="BD446" s="270">
        <f t="shared" si="199"/>
        <v>7.6100191206778582</v>
      </c>
    </row>
    <row r="447" spans="1:56">
      <c r="A447" s="11">
        <v>53236</v>
      </c>
      <c r="B447" s="268">
        <v>70</v>
      </c>
      <c r="C447" s="268">
        <v>13</v>
      </c>
      <c r="D447" s="268">
        <f t="shared" si="196"/>
        <v>20</v>
      </c>
      <c r="E447" s="268">
        <v>3</v>
      </c>
      <c r="F447" s="269">
        <v>0.2</v>
      </c>
      <c r="G447" s="269">
        <v>1.32</v>
      </c>
      <c r="I447" s="269">
        <v>5</v>
      </c>
      <c r="M447" s="269">
        <f t="shared" si="190"/>
        <v>1.5</v>
      </c>
      <c r="N447" s="269">
        <v>45</v>
      </c>
      <c r="O447" s="269">
        <f t="shared" si="205"/>
        <v>17.699535849485258</v>
      </c>
      <c r="Q447" s="251">
        <f t="shared" si="191"/>
        <v>176.71953584948523</v>
      </c>
      <c r="R447" s="251">
        <f>'RD Plant List'!N315</f>
        <v>664.33</v>
      </c>
      <c r="S447" s="251">
        <f>SUM(B447:O447)+'RD Plant List'!N315</f>
        <v>841.04953584948521</v>
      </c>
      <c r="T447" s="237">
        <f t="shared" si="203"/>
        <v>0.7898821314121609</v>
      </c>
      <c r="U447" s="251">
        <f t="shared" si="198"/>
        <v>595.82148797568573</v>
      </c>
      <c r="V447" s="271">
        <f t="shared" si="178"/>
        <v>0.70842615396474617</v>
      </c>
      <c r="W447" s="251">
        <f t="shared" si="185"/>
        <v>49.65179066464048</v>
      </c>
      <c r="X447" s="242">
        <f t="shared" si="186"/>
        <v>7.6100191206778574</v>
      </c>
      <c r="Y447" s="273">
        <f t="shared" si="187"/>
        <v>7.6100191206778574</v>
      </c>
      <c r="AB447" s="251">
        <f>SUM('BD Feedstock'!C445,'BD Feedstock'!E445,'BD Feedstock'!G445,'BD Feedstock'!K445,'BD Feedstock'!T445)</f>
        <v>21.812796010427753</v>
      </c>
      <c r="AC447" s="251">
        <f>SUM('BD Feedstock'!D445,'BD Feedstock'!F445,'BD Feedstock'!H445,'BD Feedstock'!I445,'BD Feedstock'!L445,'BD Feedstock'!M445,'BD Feedstock'!N445,'BD Feedstock'!O445,'BD Feedstock'!U445)</f>
        <v>12.773566250859661</v>
      </c>
      <c r="AD447" s="251">
        <f>'BD Feedstock'!J445</f>
        <v>0.90199999999999991</v>
      </c>
      <c r="AE447" s="251">
        <f>SUM('BD Feedstock'!B445,'BD Feedstock'!P445,'BD Feedstock'!Q445,'BD Feedstock'!R445)</f>
        <v>70.93020833333334</v>
      </c>
      <c r="AF447" s="251">
        <f>'BD Feedstock'!S445</f>
        <v>1.40625</v>
      </c>
      <c r="AG447" s="251">
        <f t="shared" si="179"/>
        <v>107.82482059462075</v>
      </c>
      <c r="AK447" s="237">
        <f t="shared" si="206"/>
        <v>0.20229846792359021</v>
      </c>
      <c r="AL447" s="237">
        <f t="shared" si="206"/>
        <v>0.11846591703484753</v>
      </c>
      <c r="AM447" s="237">
        <f t="shared" si="206"/>
        <v>8.3654208282077092E-3</v>
      </c>
      <c r="AN447" s="237">
        <f t="shared" si="206"/>
        <v>0.65782820636449979</v>
      </c>
      <c r="AO447" s="237">
        <f t="shared" si="206"/>
        <v>1.304198784885487E-2</v>
      </c>
      <c r="AP447" s="237">
        <f t="shared" si="180"/>
        <v>1</v>
      </c>
      <c r="AQ447" s="237"/>
      <c r="AR447" s="237">
        <f t="shared" si="181"/>
        <v>0.61464645366918802</v>
      </c>
      <c r="AS447" s="237">
        <f t="shared" si="182"/>
        <v>0.35993676340465403</v>
      </c>
      <c r="AT447" s="237">
        <f t="shared" si="183"/>
        <v>2.5416782926158003E-2</v>
      </c>
      <c r="AU447" s="237">
        <f t="shared" si="200"/>
        <v>0.98055959563958928</v>
      </c>
      <c r="AV447" s="237">
        <f t="shared" si="200"/>
        <v>1.9440404360410696E-2</v>
      </c>
      <c r="AX447" s="251">
        <f t="shared" si="201"/>
        <v>35309.785148509276</v>
      </c>
      <c r="AY447" s="251">
        <f t="shared" si="201"/>
        <v>21958.063395075613</v>
      </c>
      <c r="AZ447" s="251">
        <f t="shared" si="201"/>
        <v>1544.9072970455247</v>
      </c>
      <c r="BA447" s="251">
        <f t="shared" si="202"/>
        <v>110374.70167131153</v>
      </c>
      <c r="BB447" s="251">
        <f t="shared" si="202"/>
        <v>2202.9560527455278</v>
      </c>
      <c r="BC447" s="251">
        <f t="shared" si="204"/>
        <v>171390.41356468745</v>
      </c>
      <c r="BD447" s="270">
        <f t="shared" si="199"/>
        <v>7.6100191206778565</v>
      </c>
    </row>
    <row r="448" spans="1:56">
      <c r="A448" s="11">
        <v>53267</v>
      </c>
      <c r="B448" s="268">
        <v>70</v>
      </c>
      <c r="C448" s="268">
        <v>13</v>
      </c>
      <c r="D448" s="268">
        <f t="shared" si="196"/>
        <v>20</v>
      </c>
      <c r="E448" s="268">
        <v>3</v>
      </c>
      <c r="F448" s="269">
        <v>0.2</v>
      </c>
      <c r="G448" s="269">
        <v>1.32</v>
      </c>
      <c r="I448" s="269">
        <v>5</v>
      </c>
      <c r="M448" s="269">
        <f t="shared" si="190"/>
        <v>1.5</v>
      </c>
      <c r="N448" s="269">
        <v>45</v>
      </c>
      <c r="O448" s="269">
        <f t="shared" si="205"/>
        <v>17.699535849485258</v>
      </c>
      <c r="Q448" s="251">
        <f t="shared" si="191"/>
        <v>176.71953584948523</v>
      </c>
      <c r="R448" s="251">
        <f>'RD Plant List'!N316</f>
        <v>664.33</v>
      </c>
      <c r="S448" s="251">
        <f>SUM(B448:O448)+'RD Plant List'!N316</f>
        <v>841.04953584948521</v>
      </c>
      <c r="T448" s="237">
        <f t="shared" si="203"/>
        <v>0.7898821314121609</v>
      </c>
      <c r="U448" s="251">
        <f t="shared" si="198"/>
        <v>641.01366373255235</v>
      </c>
      <c r="V448" s="271">
        <f t="shared" si="178"/>
        <v>0.76215922654913459</v>
      </c>
      <c r="W448" s="251">
        <f t="shared" si="185"/>
        <v>53.417805311046031</v>
      </c>
      <c r="X448" s="242">
        <f t="shared" si="186"/>
        <v>7.6100191206778574</v>
      </c>
      <c r="Y448" s="273">
        <f t="shared" si="187"/>
        <v>7.6100191206778574</v>
      </c>
      <c r="AB448" s="251">
        <f>SUM('BD Feedstock'!C446,'BD Feedstock'!E446,'BD Feedstock'!G446,'BD Feedstock'!K446,'BD Feedstock'!T446)</f>
        <v>21.812796010427753</v>
      </c>
      <c r="AC448" s="251">
        <f>SUM('BD Feedstock'!D446,'BD Feedstock'!F446,'BD Feedstock'!H446,'BD Feedstock'!I446,'BD Feedstock'!L446,'BD Feedstock'!M446,'BD Feedstock'!N446,'BD Feedstock'!O446,'BD Feedstock'!U446)</f>
        <v>12.773566250859661</v>
      </c>
      <c r="AD448" s="251">
        <f>'BD Feedstock'!J446</f>
        <v>0.90199999999999991</v>
      </c>
      <c r="AE448" s="251">
        <f>SUM('BD Feedstock'!B446,'BD Feedstock'!P446,'BD Feedstock'!Q446,'BD Feedstock'!R446)</f>
        <v>70.93020833333334</v>
      </c>
      <c r="AF448" s="251">
        <f>'BD Feedstock'!S446</f>
        <v>1.40625</v>
      </c>
      <c r="AG448" s="251">
        <f t="shared" si="179"/>
        <v>107.82482059462075</v>
      </c>
      <c r="AK448" s="237">
        <f t="shared" si="206"/>
        <v>0.20229846792359021</v>
      </c>
      <c r="AL448" s="237">
        <f t="shared" si="206"/>
        <v>0.11846591703484753</v>
      </c>
      <c r="AM448" s="237">
        <f t="shared" si="206"/>
        <v>8.3654208282077092E-3</v>
      </c>
      <c r="AN448" s="237">
        <f t="shared" si="206"/>
        <v>0.65782820636449979</v>
      </c>
      <c r="AO448" s="237">
        <f t="shared" si="206"/>
        <v>1.304198784885487E-2</v>
      </c>
      <c r="AP448" s="237">
        <f t="shared" si="180"/>
        <v>1</v>
      </c>
      <c r="AQ448" s="237"/>
      <c r="AR448" s="237">
        <f t="shared" si="181"/>
        <v>0.61464645366918802</v>
      </c>
      <c r="AS448" s="237">
        <f t="shared" si="182"/>
        <v>0.35993676340465403</v>
      </c>
      <c r="AT448" s="237">
        <f t="shared" si="183"/>
        <v>2.5416782926158003E-2</v>
      </c>
      <c r="AU448" s="237">
        <f t="shared" si="200"/>
        <v>0.98055959563958928</v>
      </c>
      <c r="AV448" s="237">
        <f t="shared" si="200"/>
        <v>1.9440404360410696E-2</v>
      </c>
      <c r="AX448" s="251">
        <f t="shared" si="201"/>
        <v>37987.979957813885</v>
      </c>
      <c r="AY448" s="251">
        <f t="shared" si="201"/>
        <v>23623.54992125335</v>
      </c>
      <c r="AZ448" s="251">
        <f t="shared" si="201"/>
        <v>1662.0862231251365</v>
      </c>
      <c r="BA448" s="251">
        <f t="shared" si="202"/>
        <v>118746.4590142511</v>
      </c>
      <c r="BB448" s="251">
        <f t="shared" si="202"/>
        <v>2370.047000503343</v>
      </c>
      <c r="BC448" s="251">
        <f t="shared" si="204"/>
        <v>184390.12211694682</v>
      </c>
      <c r="BD448" s="270">
        <f t="shared" si="199"/>
        <v>7.6100191206778574</v>
      </c>
    </row>
    <row r="449" spans="1:56">
      <c r="A449" s="11">
        <v>53297</v>
      </c>
      <c r="B449" s="268">
        <v>70</v>
      </c>
      <c r="C449" s="268">
        <v>13</v>
      </c>
      <c r="D449" s="268">
        <f t="shared" si="196"/>
        <v>20</v>
      </c>
      <c r="E449" s="268">
        <v>3</v>
      </c>
      <c r="F449" s="269">
        <v>0.2</v>
      </c>
      <c r="G449" s="269">
        <v>1.32</v>
      </c>
      <c r="I449" s="269">
        <v>5</v>
      </c>
      <c r="M449" s="269">
        <f t="shared" si="190"/>
        <v>1.5</v>
      </c>
      <c r="N449" s="269">
        <v>45</v>
      </c>
      <c r="O449" s="269">
        <f t="shared" si="205"/>
        <v>17.699535849485258</v>
      </c>
      <c r="Q449" s="251">
        <f t="shared" si="191"/>
        <v>176.71953584948523</v>
      </c>
      <c r="R449" s="251">
        <f>'RD Plant List'!N317</f>
        <v>664.33</v>
      </c>
      <c r="S449" s="251">
        <f>SUM(B449:O449)+'RD Plant List'!N317</f>
        <v>841.04953584948521</v>
      </c>
      <c r="T449" s="237">
        <f t="shared" si="203"/>
        <v>0.7898821314121609</v>
      </c>
      <c r="U449" s="251">
        <f t="shared" si="198"/>
        <v>582.91892365504395</v>
      </c>
      <c r="V449" s="271">
        <f t="shared" si="178"/>
        <v>0.693085126152859</v>
      </c>
      <c r="W449" s="251">
        <f t="shared" si="185"/>
        <v>48.576576971253665</v>
      </c>
      <c r="X449" s="242">
        <f t="shared" si="186"/>
        <v>7.6100191206778591</v>
      </c>
      <c r="Y449" s="273">
        <f t="shared" si="187"/>
        <v>7.6100191206778591</v>
      </c>
      <c r="AB449" s="251">
        <f>SUM('BD Feedstock'!C447,'BD Feedstock'!E447,'BD Feedstock'!G447,'BD Feedstock'!K447,'BD Feedstock'!T447)</f>
        <v>21.812796010427753</v>
      </c>
      <c r="AC449" s="251">
        <f>SUM('BD Feedstock'!D447,'BD Feedstock'!F447,'BD Feedstock'!H447,'BD Feedstock'!I447,'BD Feedstock'!L447,'BD Feedstock'!M447,'BD Feedstock'!N447,'BD Feedstock'!O447,'BD Feedstock'!U447)</f>
        <v>12.773566250859661</v>
      </c>
      <c r="AD449" s="251">
        <f>'BD Feedstock'!J447</f>
        <v>0.90199999999999991</v>
      </c>
      <c r="AE449" s="251">
        <f>SUM('BD Feedstock'!B447,'BD Feedstock'!P447,'BD Feedstock'!Q447,'BD Feedstock'!R447)</f>
        <v>70.93020833333334</v>
      </c>
      <c r="AF449" s="251">
        <f>'BD Feedstock'!S447</f>
        <v>1.40625</v>
      </c>
      <c r="AG449" s="251">
        <f t="shared" si="179"/>
        <v>107.82482059462075</v>
      </c>
      <c r="AK449" s="237">
        <f t="shared" si="206"/>
        <v>0.20229846792359021</v>
      </c>
      <c r="AL449" s="237">
        <f t="shared" si="206"/>
        <v>0.11846591703484753</v>
      </c>
      <c r="AM449" s="237">
        <f t="shared" si="206"/>
        <v>8.3654208282077092E-3</v>
      </c>
      <c r="AN449" s="237">
        <f t="shared" si="206"/>
        <v>0.65782820636449979</v>
      </c>
      <c r="AO449" s="237">
        <f t="shared" si="206"/>
        <v>1.304198784885487E-2</v>
      </c>
      <c r="AP449" s="237">
        <f t="shared" si="180"/>
        <v>1</v>
      </c>
      <c r="AQ449" s="237"/>
      <c r="AR449" s="237">
        <f t="shared" si="181"/>
        <v>0.61464645366918802</v>
      </c>
      <c r="AS449" s="237">
        <f t="shared" si="182"/>
        <v>0.35993676340465403</v>
      </c>
      <c r="AT449" s="237">
        <f t="shared" si="183"/>
        <v>2.5416782926158003E-2</v>
      </c>
      <c r="AU449" s="237">
        <f t="shared" si="200"/>
        <v>0.98055959563958928</v>
      </c>
      <c r="AV449" s="237">
        <f t="shared" si="200"/>
        <v>1.9440404360410696E-2</v>
      </c>
      <c r="AX449" s="251">
        <f t="shared" si="201"/>
        <v>34545.148788087725</v>
      </c>
      <c r="AY449" s="251">
        <f t="shared" si="201"/>
        <v>21482.559689638161</v>
      </c>
      <c r="AZ449" s="251">
        <f t="shared" si="201"/>
        <v>1511.4521998866721</v>
      </c>
      <c r="BA449" s="251">
        <f t="shared" si="202"/>
        <v>107984.52824449506</v>
      </c>
      <c r="BB449" s="251">
        <f t="shared" si="202"/>
        <v>2155.2508545616447</v>
      </c>
      <c r="BC449" s="251">
        <f t="shared" si="204"/>
        <v>167678.93977666929</v>
      </c>
      <c r="BD449" s="270">
        <f t="shared" si="199"/>
        <v>7.6100191206778591</v>
      </c>
    </row>
    <row r="450" spans="1:56">
      <c r="A450" s="11">
        <v>53328</v>
      </c>
      <c r="B450" s="268">
        <v>70</v>
      </c>
      <c r="C450" s="268">
        <v>13</v>
      </c>
      <c r="D450" s="268">
        <f t="shared" si="196"/>
        <v>20</v>
      </c>
      <c r="E450" s="268">
        <v>3</v>
      </c>
      <c r="F450" s="269">
        <v>0.2</v>
      </c>
      <c r="G450" s="269">
        <v>1.32</v>
      </c>
      <c r="I450" s="269">
        <v>5</v>
      </c>
      <c r="M450" s="269">
        <f t="shared" si="190"/>
        <v>1.5</v>
      </c>
      <c r="N450" s="269">
        <v>45</v>
      </c>
      <c r="O450" s="269">
        <f t="shared" si="205"/>
        <v>17.699535849485258</v>
      </c>
      <c r="Q450" s="251">
        <f t="shared" si="191"/>
        <v>176.71953584948523</v>
      </c>
      <c r="R450" s="251">
        <f>'RD Plant List'!N318</f>
        <v>664.33</v>
      </c>
      <c r="S450" s="251">
        <f>SUM(B450:O450)+'RD Plant List'!N318</f>
        <v>841.04953584948521</v>
      </c>
      <c r="T450" s="237">
        <f t="shared" si="203"/>
        <v>0.7898821314121609</v>
      </c>
      <c r="U450" s="251">
        <f t="shared" si="198"/>
        <v>477.87270065233957</v>
      </c>
      <c r="V450" s="271">
        <f t="shared" si="178"/>
        <v>0.56818615347034684</v>
      </c>
      <c r="W450" s="251">
        <f t="shared" si="185"/>
        <v>39.822725054361634</v>
      </c>
      <c r="X450" s="242">
        <f t="shared" si="186"/>
        <v>7.6100191206778591</v>
      </c>
      <c r="Y450" s="273">
        <f t="shared" si="187"/>
        <v>7.6100191206778591</v>
      </c>
      <c r="AB450" s="251">
        <f>SUM('BD Feedstock'!C448,'BD Feedstock'!E448,'BD Feedstock'!G448,'BD Feedstock'!K448,'BD Feedstock'!T448)</f>
        <v>21.812796010427753</v>
      </c>
      <c r="AC450" s="251">
        <f>SUM('BD Feedstock'!D448,'BD Feedstock'!F448,'BD Feedstock'!H448,'BD Feedstock'!I448,'BD Feedstock'!L448,'BD Feedstock'!M448,'BD Feedstock'!N448,'BD Feedstock'!O448,'BD Feedstock'!U448)</f>
        <v>12.773566250859661</v>
      </c>
      <c r="AD450" s="251">
        <f>'BD Feedstock'!J448</f>
        <v>0.90199999999999991</v>
      </c>
      <c r="AE450" s="251">
        <f>SUM('BD Feedstock'!B448,'BD Feedstock'!P448,'BD Feedstock'!Q448,'BD Feedstock'!R448)</f>
        <v>70.93020833333334</v>
      </c>
      <c r="AF450" s="251">
        <f>'BD Feedstock'!S448</f>
        <v>1.40625</v>
      </c>
      <c r="AG450" s="251">
        <f t="shared" si="179"/>
        <v>107.82482059462075</v>
      </c>
      <c r="AK450" s="237">
        <f t="shared" si="206"/>
        <v>0.20229846792359021</v>
      </c>
      <c r="AL450" s="237">
        <f t="shared" si="206"/>
        <v>0.11846591703484753</v>
      </c>
      <c r="AM450" s="237">
        <f t="shared" si="206"/>
        <v>8.3654208282077092E-3</v>
      </c>
      <c r="AN450" s="237">
        <f t="shared" si="206"/>
        <v>0.65782820636449979</v>
      </c>
      <c r="AO450" s="237">
        <f t="shared" si="206"/>
        <v>1.304198784885487E-2</v>
      </c>
      <c r="AP450" s="237">
        <f t="shared" si="180"/>
        <v>1</v>
      </c>
      <c r="AQ450" s="237"/>
      <c r="AR450" s="237">
        <f t="shared" si="181"/>
        <v>0.61464645366918802</v>
      </c>
      <c r="AS450" s="237">
        <f t="shared" si="182"/>
        <v>0.35993676340465403</v>
      </c>
      <c r="AT450" s="237">
        <f t="shared" si="183"/>
        <v>2.5416782926158003E-2</v>
      </c>
      <c r="AU450" s="237">
        <f t="shared" si="200"/>
        <v>0.98055959563958928</v>
      </c>
      <c r="AV450" s="237">
        <f t="shared" si="200"/>
        <v>1.9440404360410696E-2</v>
      </c>
      <c r="AX450" s="251">
        <f t="shared" si="201"/>
        <v>28319.862121287872</v>
      </c>
      <c r="AY450" s="251">
        <f t="shared" si="201"/>
        <v>17611.246434482851</v>
      </c>
      <c r="AZ450" s="251">
        <f t="shared" si="201"/>
        <v>1239.0775378124301</v>
      </c>
      <c r="BA450" s="251">
        <f t="shared" si="202"/>
        <v>88524.932107716071</v>
      </c>
      <c r="BB450" s="251">
        <f t="shared" si="202"/>
        <v>1766.8589998668917</v>
      </c>
      <c r="BC450" s="251">
        <f t="shared" si="204"/>
        <v>137461.97720116613</v>
      </c>
      <c r="BD450" s="270">
        <f t="shared" si="199"/>
        <v>7.6100191206778582</v>
      </c>
    </row>
    <row r="451" spans="1:56">
      <c r="A451" s="11">
        <v>53359</v>
      </c>
      <c r="B451" s="268">
        <v>70</v>
      </c>
      <c r="C451" s="268">
        <v>13</v>
      </c>
      <c r="D451" s="268">
        <f t="shared" si="196"/>
        <v>20</v>
      </c>
      <c r="E451" s="268">
        <v>3</v>
      </c>
      <c r="F451" s="269">
        <v>0.2</v>
      </c>
      <c r="G451" s="269">
        <v>1.32</v>
      </c>
      <c r="I451" s="269">
        <v>5</v>
      </c>
      <c r="M451" s="269">
        <f t="shared" si="190"/>
        <v>1.5</v>
      </c>
      <c r="N451" s="269">
        <v>45</v>
      </c>
      <c r="O451" s="269">
        <f t="shared" si="205"/>
        <v>17.699535849485258</v>
      </c>
      <c r="Q451" s="251">
        <f t="shared" si="191"/>
        <v>176.71953584948523</v>
      </c>
      <c r="R451" s="251">
        <f>'RD Plant List'!N319</f>
        <v>664.33</v>
      </c>
      <c r="S451" s="251">
        <f>SUM(B451:O451)+'RD Plant List'!N319</f>
        <v>841.04953584948521</v>
      </c>
      <c r="T451" s="237">
        <f t="shared" si="203"/>
        <v>0.7898821314121609</v>
      </c>
      <c r="U451" s="251">
        <f t="shared" si="198"/>
        <v>441.87999263571095</v>
      </c>
      <c r="V451" s="271">
        <f t="shared" si="178"/>
        <v>0.52539116163877186</v>
      </c>
      <c r="W451" s="251">
        <f t="shared" si="185"/>
        <v>36.823332719642579</v>
      </c>
      <c r="X451" s="242">
        <f t="shared" si="186"/>
        <v>7.6100191206778574</v>
      </c>
      <c r="Y451" s="273">
        <f t="shared" si="187"/>
        <v>7.6100191206778574</v>
      </c>
      <c r="AB451" s="251">
        <f>SUM('BD Feedstock'!C449,'BD Feedstock'!E449,'BD Feedstock'!G449,'BD Feedstock'!K449,'BD Feedstock'!T449)</f>
        <v>21.812796010427753</v>
      </c>
      <c r="AC451" s="251">
        <f>SUM('BD Feedstock'!D449,'BD Feedstock'!F449,'BD Feedstock'!H449,'BD Feedstock'!I449,'BD Feedstock'!L449,'BD Feedstock'!M449,'BD Feedstock'!N449,'BD Feedstock'!O449,'BD Feedstock'!U449)</f>
        <v>12.773566250859661</v>
      </c>
      <c r="AD451" s="251">
        <f>'BD Feedstock'!J449</f>
        <v>0.90199999999999991</v>
      </c>
      <c r="AE451" s="251">
        <f>SUM('BD Feedstock'!B449,'BD Feedstock'!P449,'BD Feedstock'!Q449,'BD Feedstock'!R449)</f>
        <v>70.93020833333334</v>
      </c>
      <c r="AF451" s="251">
        <f>'BD Feedstock'!S449</f>
        <v>1.40625</v>
      </c>
      <c r="AG451" s="251">
        <f t="shared" si="179"/>
        <v>107.82482059462075</v>
      </c>
      <c r="AK451" s="237">
        <f t="shared" si="206"/>
        <v>0.20229846792359021</v>
      </c>
      <c r="AL451" s="237">
        <f t="shared" si="206"/>
        <v>0.11846591703484753</v>
      </c>
      <c r="AM451" s="237">
        <f t="shared" si="206"/>
        <v>8.3654208282077092E-3</v>
      </c>
      <c r="AN451" s="237">
        <f t="shared" si="206"/>
        <v>0.65782820636449979</v>
      </c>
      <c r="AO451" s="237">
        <f t="shared" si="206"/>
        <v>1.304198784885487E-2</v>
      </c>
      <c r="AP451" s="237">
        <f t="shared" si="180"/>
        <v>1</v>
      </c>
      <c r="AQ451" s="237"/>
      <c r="AR451" s="237">
        <f t="shared" si="181"/>
        <v>0.61464645366918802</v>
      </c>
      <c r="AS451" s="237">
        <f t="shared" si="182"/>
        <v>0.35993676340465403</v>
      </c>
      <c r="AT451" s="237">
        <f t="shared" si="183"/>
        <v>2.5416782926158003E-2</v>
      </c>
      <c r="AU451" s="237">
        <f t="shared" si="200"/>
        <v>0.98055959563958928</v>
      </c>
      <c r="AV451" s="237">
        <f t="shared" si="200"/>
        <v>1.9440404360410696E-2</v>
      </c>
      <c r="AX451" s="251">
        <f t="shared" si="201"/>
        <v>26186.849444457308</v>
      </c>
      <c r="AY451" s="251">
        <f t="shared" si="201"/>
        <v>16284.791816213312</v>
      </c>
      <c r="AZ451" s="251">
        <f t="shared" si="201"/>
        <v>1145.751938824319</v>
      </c>
      <c r="BA451" s="251">
        <f t="shared" si="202"/>
        <v>81857.357188296373</v>
      </c>
      <c r="BB451" s="251">
        <f t="shared" si="202"/>
        <v>1633.7816342798853</v>
      </c>
      <c r="BC451" s="251">
        <f t="shared" si="204"/>
        <v>127108.5320220712</v>
      </c>
      <c r="BD451" s="270">
        <f t="shared" si="199"/>
        <v>7.6100191206778582</v>
      </c>
    </row>
    <row r="452" spans="1:56">
      <c r="A452" s="11">
        <v>53387</v>
      </c>
      <c r="B452" s="268">
        <v>70</v>
      </c>
      <c r="C452" s="268">
        <v>13</v>
      </c>
      <c r="D452" s="268">
        <f t="shared" si="196"/>
        <v>20</v>
      </c>
      <c r="E452" s="268">
        <v>3</v>
      </c>
      <c r="F452" s="269">
        <v>0.2</v>
      </c>
      <c r="G452" s="269">
        <v>1.32</v>
      </c>
      <c r="I452" s="269">
        <v>5</v>
      </c>
      <c r="M452" s="269">
        <f t="shared" si="190"/>
        <v>1.5</v>
      </c>
      <c r="N452" s="269">
        <v>45</v>
      </c>
      <c r="O452" s="269">
        <f t="shared" si="205"/>
        <v>17.699535849485258</v>
      </c>
      <c r="Q452" s="251">
        <f t="shared" si="191"/>
        <v>176.71953584948523</v>
      </c>
      <c r="R452" s="251">
        <f>'RD Plant List'!N320</f>
        <v>664.33</v>
      </c>
      <c r="S452" s="251">
        <f>SUM(B452:O452)+'RD Plant List'!N320</f>
        <v>841.04953584948521</v>
      </c>
      <c r="T452" s="237">
        <f t="shared" si="203"/>
        <v>0.7898821314121609</v>
      </c>
      <c r="U452" s="251">
        <f t="shared" si="198"/>
        <v>491.07678130794523</v>
      </c>
      <c r="V452" s="271">
        <f t="shared" si="178"/>
        <v>0.58388568137302754</v>
      </c>
      <c r="W452" s="251">
        <f t="shared" si="185"/>
        <v>40.923065108995438</v>
      </c>
      <c r="X452" s="242">
        <f t="shared" si="186"/>
        <v>7.6100191206778565</v>
      </c>
      <c r="Y452" s="273">
        <f t="shared" si="187"/>
        <v>7.6100191206778565</v>
      </c>
      <c r="AB452" s="251">
        <f>SUM('BD Feedstock'!C450,'BD Feedstock'!E450,'BD Feedstock'!G450,'BD Feedstock'!K450,'BD Feedstock'!T450)</f>
        <v>21.812796010427753</v>
      </c>
      <c r="AC452" s="251">
        <f>SUM('BD Feedstock'!D450,'BD Feedstock'!F450,'BD Feedstock'!H450,'BD Feedstock'!I450,'BD Feedstock'!L450,'BD Feedstock'!M450,'BD Feedstock'!N450,'BD Feedstock'!O450,'BD Feedstock'!U450)</f>
        <v>12.773566250859661</v>
      </c>
      <c r="AD452" s="251">
        <f>'BD Feedstock'!J450</f>
        <v>0.90199999999999991</v>
      </c>
      <c r="AE452" s="251">
        <f>SUM('BD Feedstock'!B450,'BD Feedstock'!P450,'BD Feedstock'!Q450,'BD Feedstock'!R450)</f>
        <v>70.93020833333334</v>
      </c>
      <c r="AF452" s="251">
        <f>'BD Feedstock'!S450</f>
        <v>1.40625</v>
      </c>
      <c r="AG452" s="251">
        <f t="shared" si="179"/>
        <v>107.82482059462075</v>
      </c>
      <c r="AK452" s="237">
        <f t="shared" si="206"/>
        <v>0.20229846792359021</v>
      </c>
      <c r="AL452" s="237">
        <f t="shared" si="206"/>
        <v>0.11846591703484753</v>
      </c>
      <c r="AM452" s="237">
        <f t="shared" si="206"/>
        <v>8.3654208282077092E-3</v>
      </c>
      <c r="AN452" s="237">
        <f t="shared" si="206"/>
        <v>0.65782820636449979</v>
      </c>
      <c r="AO452" s="237">
        <f t="shared" si="206"/>
        <v>1.304198784885487E-2</v>
      </c>
      <c r="AP452" s="237">
        <f t="shared" si="180"/>
        <v>1</v>
      </c>
      <c r="AQ452" s="237"/>
      <c r="AR452" s="237">
        <f t="shared" si="181"/>
        <v>0.61464645366918802</v>
      </c>
      <c r="AS452" s="237">
        <f t="shared" si="182"/>
        <v>0.35993676340465403</v>
      </c>
      <c r="AT452" s="237">
        <f t="shared" si="183"/>
        <v>2.5416782926158003E-2</v>
      </c>
      <c r="AU452" s="237">
        <f t="shared" si="200"/>
        <v>0.98055959563958928</v>
      </c>
      <c r="AV452" s="237">
        <f t="shared" si="200"/>
        <v>1.9440404360410696E-2</v>
      </c>
      <c r="AX452" s="251">
        <f t="shared" si="201"/>
        <v>29102.367050099787</v>
      </c>
      <c r="AY452" s="251">
        <f t="shared" si="201"/>
        <v>18097.862049999745</v>
      </c>
      <c r="AZ452" s="251">
        <f t="shared" si="201"/>
        <v>1273.3144375673032</v>
      </c>
      <c r="BA452" s="251">
        <f t="shared" si="202"/>
        <v>90970.960813659403</v>
      </c>
      <c r="BB452" s="251">
        <f t="shared" si="202"/>
        <v>1815.6790071815549</v>
      </c>
      <c r="BC452" s="251">
        <f t="shared" si="204"/>
        <v>141260.18335850778</v>
      </c>
      <c r="BD452" s="270">
        <f t="shared" si="199"/>
        <v>7.6100191206778565</v>
      </c>
    </row>
    <row r="453" spans="1:56">
      <c r="A453" s="11">
        <v>53418</v>
      </c>
      <c r="B453" s="268">
        <v>70</v>
      </c>
      <c r="C453" s="268">
        <v>13</v>
      </c>
      <c r="D453" s="268">
        <f t="shared" si="196"/>
        <v>20</v>
      </c>
      <c r="E453" s="268">
        <v>3</v>
      </c>
      <c r="F453" s="269">
        <v>0.2</v>
      </c>
      <c r="G453" s="269">
        <v>1.32</v>
      </c>
      <c r="I453" s="269">
        <v>5</v>
      </c>
      <c r="M453" s="269">
        <f t="shared" si="190"/>
        <v>1.5</v>
      </c>
      <c r="N453" s="269">
        <v>45</v>
      </c>
      <c r="O453" s="269">
        <f t="shared" si="205"/>
        <v>17.699535849485258</v>
      </c>
      <c r="Q453" s="251">
        <f t="shared" si="191"/>
        <v>176.71953584948523</v>
      </c>
      <c r="R453" s="251">
        <f>'RD Plant List'!N321</f>
        <v>664.33</v>
      </c>
      <c r="S453" s="251">
        <f>SUM(B453:O453)+'RD Plant List'!N321</f>
        <v>841.04953584948521</v>
      </c>
      <c r="T453" s="237">
        <f t="shared" si="203"/>
        <v>0.7898821314121609</v>
      </c>
      <c r="U453" s="251">
        <f t="shared" si="198"/>
        <v>499.54067472635552</v>
      </c>
      <c r="V453" s="271">
        <f t="shared" si="178"/>
        <v>0.59394917116481671</v>
      </c>
      <c r="W453" s="251">
        <f t="shared" si="185"/>
        <v>41.628389560529627</v>
      </c>
      <c r="X453" s="242">
        <f t="shared" si="186"/>
        <v>7.6100191206778574</v>
      </c>
      <c r="Y453" s="273">
        <f t="shared" si="187"/>
        <v>7.6100191206778574</v>
      </c>
      <c r="AB453" s="251">
        <f>SUM('BD Feedstock'!C451,'BD Feedstock'!E451,'BD Feedstock'!G451,'BD Feedstock'!K451,'BD Feedstock'!T451)</f>
        <v>21.812796010427753</v>
      </c>
      <c r="AC453" s="251">
        <f>SUM('BD Feedstock'!D451,'BD Feedstock'!F451,'BD Feedstock'!H451,'BD Feedstock'!I451,'BD Feedstock'!L451,'BD Feedstock'!M451,'BD Feedstock'!N451,'BD Feedstock'!O451,'BD Feedstock'!U451)</f>
        <v>12.773566250859661</v>
      </c>
      <c r="AD453" s="251">
        <f>'BD Feedstock'!J451</f>
        <v>0.90199999999999991</v>
      </c>
      <c r="AE453" s="251">
        <f>SUM('BD Feedstock'!B451,'BD Feedstock'!P451,'BD Feedstock'!Q451,'BD Feedstock'!R451)</f>
        <v>70.93020833333334</v>
      </c>
      <c r="AF453" s="251">
        <f>'BD Feedstock'!S451</f>
        <v>1.40625</v>
      </c>
      <c r="AG453" s="251">
        <f t="shared" si="179"/>
        <v>107.82482059462075</v>
      </c>
      <c r="AK453" s="237">
        <f t="shared" si="206"/>
        <v>0.20229846792359021</v>
      </c>
      <c r="AL453" s="237">
        <f t="shared" si="206"/>
        <v>0.11846591703484753</v>
      </c>
      <c r="AM453" s="237">
        <f t="shared" si="206"/>
        <v>8.3654208282077092E-3</v>
      </c>
      <c r="AN453" s="237">
        <f t="shared" si="206"/>
        <v>0.65782820636449979</v>
      </c>
      <c r="AO453" s="237">
        <f t="shared" si="206"/>
        <v>1.304198784885487E-2</v>
      </c>
      <c r="AP453" s="237">
        <f t="shared" si="180"/>
        <v>1</v>
      </c>
      <c r="AQ453" s="237"/>
      <c r="AR453" s="237">
        <f t="shared" si="181"/>
        <v>0.61464645366918802</v>
      </c>
      <c r="AS453" s="237">
        <f t="shared" si="182"/>
        <v>0.35993676340465403</v>
      </c>
      <c r="AT453" s="237">
        <f t="shared" si="183"/>
        <v>2.5416782926158003E-2</v>
      </c>
      <c r="AU453" s="237">
        <f t="shared" si="200"/>
        <v>0.98055959563958928</v>
      </c>
      <c r="AV453" s="237">
        <f t="shared" si="200"/>
        <v>1.9440404360410696E-2</v>
      </c>
      <c r="AX453" s="251">
        <f t="shared" si="201"/>
        <v>29603.957315229905</v>
      </c>
      <c r="AY453" s="251">
        <f t="shared" si="201"/>
        <v>18409.785523726834</v>
      </c>
      <c r="AZ453" s="251">
        <f t="shared" si="201"/>
        <v>1295.2604918258419</v>
      </c>
      <c r="BA453" s="251">
        <f t="shared" si="202"/>
        <v>92538.879611299257</v>
      </c>
      <c r="BB453" s="251">
        <f t="shared" si="202"/>
        <v>1846.9729192209286</v>
      </c>
      <c r="BC453" s="251">
        <f t="shared" si="204"/>
        <v>143694.85586130276</v>
      </c>
      <c r="BD453" s="270">
        <f t="shared" si="199"/>
        <v>7.6100191206778582</v>
      </c>
    </row>
    <row r="454" spans="1:56">
      <c r="A454" s="11">
        <v>53448</v>
      </c>
      <c r="B454" s="268">
        <v>70</v>
      </c>
      <c r="C454" s="268">
        <v>13</v>
      </c>
      <c r="D454" s="268">
        <f t="shared" si="196"/>
        <v>20</v>
      </c>
      <c r="E454" s="268">
        <v>3</v>
      </c>
      <c r="F454" s="269">
        <v>0.2</v>
      </c>
      <c r="G454" s="269">
        <v>1.32</v>
      </c>
      <c r="I454" s="269">
        <v>5</v>
      </c>
      <c r="M454" s="269">
        <f t="shared" si="190"/>
        <v>1.5</v>
      </c>
      <c r="N454" s="269">
        <v>45</v>
      </c>
      <c r="O454" s="269">
        <f t="shared" si="205"/>
        <v>17.699535849485258</v>
      </c>
      <c r="Q454" s="251">
        <f t="shared" si="191"/>
        <v>176.71953584948523</v>
      </c>
      <c r="R454" s="251">
        <f>'RD Plant List'!N322</f>
        <v>664.33</v>
      </c>
      <c r="S454" s="251">
        <f>SUM(B454:O454)+'RD Plant List'!N322</f>
        <v>841.04953584948521</v>
      </c>
      <c r="T454" s="237">
        <f t="shared" si="203"/>
        <v>0.7898821314121609</v>
      </c>
      <c r="U454" s="251">
        <f t="shared" si="198"/>
        <v>485.33600063293693</v>
      </c>
      <c r="V454" s="271">
        <f t="shared" si="178"/>
        <v>0.57705994706094577</v>
      </c>
      <c r="W454" s="251">
        <f t="shared" si="185"/>
        <v>40.444666719411408</v>
      </c>
      <c r="X454" s="242">
        <f t="shared" si="186"/>
        <v>7.6100191206778556</v>
      </c>
      <c r="Y454" s="273">
        <f t="shared" si="187"/>
        <v>7.6100191206778556</v>
      </c>
      <c r="AB454" s="251">
        <f>SUM('BD Feedstock'!C452,'BD Feedstock'!E452,'BD Feedstock'!G452,'BD Feedstock'!K452,'BD Feedstock'!T452)</f>
        <v>21.812796010427753</v>
      </c>
      <c r="AC454" s="251">
        <f>SUM('BD Feedstock'!D452,'BD Feedstock'!F452,'BD Feedstock'!H452,'BD Feedstock'!I452,'BD Feedstock'!L452,'BD Feedstock'!M452,'BD Feedstock'!N452,'BD Feedstock'!O452,'BD Feedstock'!U452)</f>
        <v>12.773566250859661</v>
      </c>
      <c r="AD454" s="251">
        <f>'BD Feedstock'!J452</f>
        <v>0.90199999999999991</v>
      </c>
      <c r="AE454" s="251">
        <f>SUM('BD Feedstock'!B452,'BD Feedstock'!P452,'BD Feedstock'!Q452,'BD Feedstock'!R452)</f>
        <v>70.93020833333334</v>
      </c>
      <c r="AF454" s="251">
        <f>'BD Feedstock'!S452</f>
        <v>1.40625</v>
      </c>
      <c r="AG454" s="251">
        <f t="shared" si="179"/>
        <v>107.82482059462075</v>
      </c>
      <c r="AK454" s="237">
        <f t="shared" si="206"/>
        <v>0.20229846792359021</v>
      </c>
      <c r="AL454" s="237">
        <f t="shared" si="206"/>
        <v>0.11846591703484753</v>
      </c>
      <c r="AM454" s="237">
        <f t="shared" si="206"/>
        <v>8.3654208282077092E-3</v>
      </c>
      <c r="AN454" s="237">
        <f t="shared" si="206"/>
        <v>0.65782820636449979</v>
      </c>
      <c r="AO454" s="237">
        <f t="shared" si="206"/>
        <v>1.304198784885487E-2</v>
      </c>
      <c r="AP454" s="237">
        <f t="shared" si="180"/>
        <v>1</v>
      </c>
      <c r="AQ454" s="237"/>
      <c r="AR454" s="237">
        <f t="shared" si="181"/>
        <v>0.61464645366918802</v>
      </c>
      <c r="AS454" s="237">
        <f t="shared" si="182"/>
        <v>0.35993676340465403</v>
      </c>
      <c r="AT454" s="237">
        <f t="shared" si="183"/>
        <v>2.5416782926158003E-2</v>
      </c>
      <c r="AU454" s="237">
        <f t="shared" si="200"/>
        <v>0.98055959563958928</v>
      </c>
      <c r="AV454" s="237">
        <f t="shared" si="200"/>
        <v>1.9440404360410696E-2</v>
      </c>
      <c r="AX454" s="251">
        <f t="shared" si="201"/>
        <v>28762.154861868785</v>
      </c>
      <c r="AY454" s="251">
        <f t="shared" si="201"/>
        <v>17886.294611525282</v>
      </c>
      <c r="AZ454" s="251">
        <f t="shared" si="201"/>
        <v>1258.429150388939</v>
      </c>
      <c r="BA454" s="251">
        <f t="shared" si="202"/>
        <v>89907.493034883475</v>
      </c>
      <c r="BB454" s="251">
        <f t="shared" si="202"/>
        <v>1794.4533753594105</v>
      </c>
      <c r="BC454" s="251">
        <f t="shared" si="204"/>
        <v>139608.82503402588</v>
      </c>
      <c r="BD454" s="270">
        <f t="shared" si="199"/>
        <v>7.6100191206778565</v>
      </c>
    </row>
    <row r="455" spans="1:56">
      <c r="A455" s="11">
        <v>53479</v>
      </c>
      <c r="B455" s="268">
        <v>70</v>
      </c>
      <c r="C455" s="268">
        <v>13</v>
      </c>
      <c r="D455" s="268">
        <f t="shared" si="196"/>
        <v>20</v>
      </c>
      <c r="E455" s="268">
        <v>3</v>
      </c>
      <c r="F455" s="269">
        <v>0.2</v>
      </c>
      <c r="G455" s="269">
        <v>1.32</v>
      </c>
      <c r="I455" s="269">
        <v>5</v>
      </c>
      <c r="M455" s="269">
        <f t="shared" si="190"/>
        <v>1.5</v>
      </c>
      <c r="N455" s="269">
        <v>45</v>
      </c>
      <c r="O455" s="269">
        <f t="shared" si="205"/>
        <v>17.699535849485258</v>
      </c>
      <c r="Q455" s="251">
        <f t="shared" si="191"/>
        <v>176.71953584948523</v>
      </c>
      <c r="R455" s="251">
        <f>'RD Plant List'!N323</f>
        <v>664.33</v>
      </c>
      <c r="S455" s="251">
        <f>SUM(B455:O455)+'RD Plant List'!N323</f>
        <v>841.04953584948521</v>
      </c>
      <c r="T455" s="237">
        <f t="shared" si="203"/>
        <v>0.7898821314121609</v>
      </c>
      <c r="U455" s="251">
        <f t="shared" si="198"/>
        <v>541.69288131503845</v>
      </c>
      <c r="V455" s="271">
        <f t="shared" ref="V455:V509" si="207">AVERAGE(V431,V419,V443,V407,V395)</f>
        <v>0.64406774895596663</v>
      </c>
      <c r="W455" s="251">
        <f t="shared" si="185"/>
        <v>45.141073442919868</v>
      </c>
      <c r="X455" s="242">
        <f t="shared" si="186"/>
        <v>7.6100191206778591</v>
      </c>
      <c r="Y455" s="273">
        <f t="shared" si="187"/>
        <v>7.6100191206778591</v>
      </c>
      <c r="AB455" s="251">
        <f>SUM('BD Feedstock'!C453,'BD Feedstock'!E453,'BD Feedstock'!G453,'BD Feedstock'!K453,'BD Feedstock'!T453)</f>
        <v>21.812796010427753</v>
      </c>
      <c r="AC455" s="251">
        <f>SUM('BD Feedstock'!D453,'BD Feedstock'!F453,'BD Feedstock'!H453,'BD Feedstock'!I453,'BD Feedstock'!L453,'BD Feedstock'!M453,'BD Feedstock'!N453,'BD Feedstock'!O453,'BD Feedstock'!U453)</f>
        <v>12.773566250859661</v>
      </c>
      <c r="AD455" s="251">
        <f>'BD Feedstock'!J453</f>
        <v>0.90199999999999991</v>
      </c>
      <c r="AE455" s="251">
        <f>SUM('BD Feedstock'!B453,'BD Feedstock'!P453,'BD Feedstock'!Q453,'BD Feedstock'!R453)</f>
        <v>70.93020833333334</v>
      </c>
      <c r="AF455" s="251">
        <f>'BD Feedstock'!S453</f>
        <v>1.40625</v>
      </c>
      <c r="AG455" s="251">
        <f t="shared" ref="AG455:AG518" si="208">SUM(AB455:AF455)</f>
        <v>107.82482059462075</v>
      </c>
      <c r="AK455" s="237">
        <f t="shared" si="206"/>
        <v>0.20229846792359021</v>
      </c>
      <c r="AL455" s="237">
        <f t="shared" si="206"/>
        <v>0.11846591703484753</v>
      </c>
      <c r="AM455" s="237">
        <f t="shared" si="206"/>
        <v>8.3654208282077092E-3</v>
      </c>
      <c r="AN455" s="237">
        <f t="shared" si="206"/>
        <v>0.65782820636449979</v>
      </c>
      <c r="AO455" s="237">
        <f t="shared" si="206"/>
        <v>1.304198784885487E-2</v>
      </c>
      <c r="AP455" s="237">
        <f t="shared" ref="AP455:AP518" si="209">SUM(AK455:AO455)</f>
        <v>1</v>
      </c>
      <c r="AQ455" s="237"/>
      <c r="AR455" s="237">
        <f t="shared" ref="AR455:AR518" si="210">AB455/SUM($AB455:$AD455)</f>
        <v>0.61464645366918802</v>
      </c>
      <c r="AS455" s="237">
        <f t="shared" ref="AS455:AS518" si="211">AC455/SUM($AB455:$AD455)</f>
        <v>0.35993676340465403</v>
      </c>
      <c r="AT455" s="237">
        <f t="shared" ref="AT455:AT518" si="212">AD455/SUM($AB455:$AD455)</f>
        <v>2.5416782926158003E-2</v>
      </c>
      <c r="AU455" s="237">
        <f t="shared" si="200"/>
        <v>0.98055959563958928</v>
      </c>
      <c r="AV455" s="237">
        <f t="shared" si="200"/>
        <v>1.9440404360410696E-2</v>
      </c>
      <c r="AX455" s="251">
        <f t="shared" si="201"/>
        <v>32101.996389380773</v>
      </c>
      <c r="AY455" s="251">
        <f t="shared" si="201"/>
        <v>19963.238769700387</v>
      </c>
      <c r="AZ455" s="251">
        <f t="shared" si="201"/>
        <v>1404.5570728650341</v>
      </c>
      <c r="BA455" s="251">
        <f t="shared" si="202"/>
        <v>100347.48893625067</v>
      </c>
      <c r="BB455" s="251">
        <f t="shared" si="202"/>
        <v>2002.8240600661684</v>
      </c>
      <c r="BC455" s="251">
        <f t="shared" si="204"/>
        <v>155820.10522826304</v>
      </c>
      <c r="BD455" s="270">
        <f t="shared" si="199"/>
        <v>7.6100191206778582</v>
      </c>
    </row>
    <row r="456" spans="1:56">
      <c r="A456" s="11">
        <v>53509</v>
      </c>
      <c r="B456" s="268">
        <v>70</v>
      </c>
      <c r="C456" s="268">
        <v>13</v>
      </c>
      <c r="D456" s="268">
        <f t="shared" si="196"/>
        <v>20</v>
      </c>
      <c r="E456" s="268">
        <v>3</v>
      </c>
      <c r="F456" s="269">
        <v>0.2</v>
      </c>
      <c r="G456" s="269">
        <v>1.32</v>
      </c>
      <c r="I456" s="269">
        <v>5</v>
      </c>
      <c r="M456" s="269">
        <f t="shared" si="190"/>
        <v>1.5</v>
      </c>
      <c r="N456" s="269">
        <v>45</v>
      </c>
      <c r="O456" s="269">
        <f t="shared" si="205"/>
        <v>17.699535849485258</v>
      </c>
      <c r="Q456" s="251">
        <f t="shared" si="191"/>
        <v>176.71953584948523</v>
      </c>
      <c r="R456" s="251">
        <f>'RD Plant List'!N324</f>
        <v>664.33</v>
      </c>
      <c r="S456" s="251">
        <f>SUM(B456:O456)+'RD Plant List'!N324</f>
        <v>841.04953584948521</v>
      </c>
      <c r="T456" s="237">
        <f t="shared" si="203"/>
        <v>0.7898821314121609</v>
      </c>
      <c r="U456" s="251">
        <f t="shared" si="198"/>
        <v>556.26497339274647</v>
      </c>
      <c r="V456" s="271">
        <f t="shared" si="207"/>
        <v>0.66139382959281012</v>
      </c>
      <c r="W456" s="251">
        <f t="shared" si="185"/>
        <v>46.355414449395539</v>
      </c>
      <c r="X456" s="242">
        <f t="shared" si="186"/>
        <v>7.6100191206778574</v>
      </c>
      <c r="Y456" s="273">
        <f t="shared" si="187"/>
        <v>7.6100191206778574</v>
      </c>
      <c r="AB456" s="251">
        <f>SUM('BD Feedstock'!C454,'BD Feedstock'!E454,'BD Feedstock'!G454,'BD Feedstock'!K454,'BD Feedstock'!T454)</f>
        <v>21.812796010427753</v>
      </c>
      <c r="AC456" s="251">
        <f>SUM('BD Feedstock'!D454,'BD Feedstock'!F454,'BD Feedstock'!H454,'BD Feedstock'!I454,'BD Feedstock'!L454,'BD Feedstock'!M454,'BD Feedstock'!N454,'BD Feedstock'!O454,'BD Feedstock'!U454)</f>
        <v>12.773566250859661</v>
      </c>
      <c r="AD456" s="251">
        <f>'BD Feedstock'!J454</f>
        <v>0.90199999999999991</v>
      </c>
      <c r="AE456" s="251">
        <f>SUM('BD Feedstock'!B454,'BD Feedstock'!P454,'BD Feedstock'!Q454,'BD Feedstock'!R454)</f>
        <v>70.93020833333334</v>
      </c>
      <c r="AF456" s="251">
        <f>'BD Feedstock'!S454</f>
        <v>1.40625</v>
      </c>
      <c r="AG456" s="251">
        <f t="shared" si="208"/>
        <v>107.82482059462075</v>
      </c>
      <c r="AK456" s="237">
        <f t="shared" si="206"/>
        <v>0.20229846792359021</v>
      </c>
      <c r="AL456" s="237">
        <f t="shared" si="206"/>
        <v>0.11846591703484753</v>
      </c>
      <c r="AM456" s="237">
        <f t="shared" si="206"/>
        <v>8.3654208282077092E-3</v>
      </c>
      <c r="AN456" s="237">
        <f t="shared" si="206"/>
        <v>0.65782820636449979</v>
      </c>
      <c r="AO456" s="237">
        <f t="shared" si="206"/>
        <v>1.304198784885487E-2</v>
      </c>
      <c r="AP456" s="237">
        <f t="shared" si="209"/>
        <v>1</v>
      </c>
      <c r="AQ456" s="237"/>
      <c r="AR456" s="237">
        <f t="shared" si="210"/>
        <v>0.61464645366918802</v>
      </c>
      <c r="AS456" s="237">
        <f t="shared" si="211"/>
        <v>0.35993676340465403</v>
      </c>
      <c r="AT456" s="237">
        <f t="shared" si="212"/>
        <v>2.5416782926158003E-2</v>
      </c>
      <c r="AU456" s="237">
        <f t="shared" si="200"/>
        <v>0.98055959563958928</v>
      </c>
      <c r="AV456" s="237">
        <f t="shared" si="200"/>
        <v>1.9440404360410696E-2</v>
      </c>
      <c r="AX456" s="251">
        <f t="shared" si="201"/>
        <v>32965.572898137296</v>
      </c>
      <c r="AY456" s="251">
        <f t="shared" si="201"/>
        <v>20500.270293568905</v>
      </c>
      <c r="AZ456" s="251">
        <f t="shared" si="201"/>
        <v>1442.3410934792571</v>
      </c>
      <c r="BA456" s="251">
        <f t="shared" si="202"/>
        <v>103046.93893639826</v>
      </c>
      <c r="BB456" s="251">
        <f t="shared" si="202"/>
        <v>2056.7020740210164</v>
      </c>
      <c r="BC456" s="251">
        <f t="shared" si="204"/>
        <v>160011.82529560474</v>
      </c>
      <c r="BD456" s="270">
        <f t="shared" si="199"/>
        <v>7.6100191206778565</v>
      </c>
    </row>
    <row r="457" spans="1:56">
      <c r="A457" s="11">
        <v>53540</v>
      </c>
      <c r="B457" s="268">
        <v>70</v>
      </c>
      <c r="C457" s="268">
        <v>13</v>
      </c>
      <c r="D457" s="268">
        <f t="shared" si="196"/>
        <v>20</v>
      </c>
      <c r="E457" s="268">
        <v>3</v>
      </c>
      <c r="F457" s="269">
        <v>0.2</v>
      </c>
      <c r="G457" s="269">
        <v>1.32</v>
      </c>
      <c r="I457" s="269">
        <v>5</v>
      </c>
      <c r="M457" s="269">
        <f t="shared" si="190"/>
        <v>1.5</v>
      </c>
      <c r="N457" s="269">
        <v>45</v>
      </c>
      <c r="O457" s="269">
        <f t="shared" si="205"/>
        <v>17.699535849485258</v>
      </c>
      <c r="Q457" s="251">
        <f t="shared" si="191"/>
        <v>176.71953584948523</v>
      </c>
      <c r="R457" s="251">
        <f>'RD Plant List'!N325</f>
        <v>664.33</v>
      </c>
      <c r="S457" s="251">
        <f>SUM(B457:O457)+'RD Plant List'!N325</f>
        <v>841.04953584948521</v>
      </c>
      <c r="T457" s="237">
        <f t="shared" si="203"/>
        <v>0.7898821314121609</v>
      </c>
      <c r="U457" s="251">
        <f t="shared" si="198"/>
        <v>524.98304438109392</v>
      </c>
      <c r="V457" s="271">
        <f t="shared" si="207"/>
        <v>0.62419990976018469</v>
      </c>
      <c r="W457" s="251">
        <f t="shared" si="185"/>
        <v>43.748587031757829</v>
      </c>
      <c r="X457" s="242">
        <f t="shared" si="186"/>
        <v>7.6100191206778565</v>
      </c>
      <c r="Y457" s="273">
        <f t="shared" si="187"/>
        <v>7.6100191206778565</v>
      </c>
      <c r="AB457" s="251">
        <f>SUM('BD Feedstock'!C455,'BD Feedstock'!E455,'BD Feedstock'!G455,'BD Feedstock'!K455,'BD Feedstock'!T455)</f>
        <v>21.812796010427753</v>
      </c>
      <c r="AC457" s="251">
        <f>SUM('BD Feedstock'!D455,'BD Feedstock'!F455,'BD Feedstock'!H455,'BD Feedstock'!I455,'BD Feedstock'!L455,'BD Feedstock'!M455,'BD Feedstock'!N455,'BD Feedstock'!O455,'BD Feedstock'!U455)</f>
        <v>12.773566250859661</v>
      </c>
      <c r="AD457" s="251">
        <f>'BD Feedstock'!J455</f>
        <v>0.90199999999999991</v>
      </c>
      <c r="AE457" s="251">
        <f>SUM('BD Feedstock'!B455,'BD Feedstock'!P455,'BD Feedstock'!Q455,'BD Feedstock'!R455)</f>
        <v>70.93020833333334</v>
      </c>
      <c r="AF457" s="251">
        <f>'BD Feedstock'!S455</f>
        <v>1.40625</v>
      </c>
      <c r="AG457" s="251">
        <f t="shared" si="208"/>
        <v>107.82482059462075</v>
      </c>
      <c r="AK457" s="237">
        <f t="shared" si="206"/>
        <v>0.20229846792359021</v>
      </c>
      <c r="AL457" s="237">
        <f t="shared" si="206"/>
        <v>0.11846591703484753</v>
      </c>
      <c r="AM457" s="237">
        <f t="shared" si="206"/>
        <v>8.3654208282077092E-3</v>
      </c>
      <c r="AN457" s="237">
        <f t="shared" si="206"/>
        <v>0.65782820636449979</v>
      </c>
      <c r="AO457" s="237">
        <f t="shared" si="206"/>
        <v>1.304198784885487E-2</v>
      </c>
      <c r="AP457" s="237">
        <f t="shared" si="209"/>
        <v>1</v>
      </c>
      <c r="AQ457" s="237"/>
      <c r="AR457" s="237">
        <f t="shared" si="210"/>
        <v>0.61464645366918802</v>
      </c>
      <c r="AS457" s="237">
        <f t="shared" si="211"/>
        <v>0.35993676340465403</v>
      </c>
      <c r="AT457" s="237">
        <f t="shared" si="212"/>
        <v>2.5416782926158003E-2</v>
      </c>
      <c r="AU457" s="237">
        <f t="shared" si="200"/>
        <v>0.98055959563958928</v>
      </c>
      <c r="AV457" s="237">
        <f t="shared" si="200"/>
        <v>1.9440404360410696E-2</v>
      </c>
      <c r="AX457" s="251">
        <f t="shared" si="201"/>
        <v>31111.73208386065</v>
      </c>
      <c r="AY457" s="251">
        <f t="shared" si="201"/>
        <v>19347.424022965537</v>
      </c>
      <c r="AZ457" s="251">
        <f t="shared" si="201"/>
        <v>1361.2300872952469</v>
      </c>
      <c r="BA457" s="251">
        <f t="shared" si="202"/>
        <v>97252.026110922612</v>
      </c>
      <c r="BB457" s="251">
        <f t="shared" si="202"/>
        <v>1941.0420714052859</v>
      </c>
      <c r="BC457" s="251">
        <f t="shared" si="204"/>
        <v>151013.45437644931</v>
      </c>
      <c r="BD457" s="270">
        <f t="shared" si="199"/>
        <v>7.6100191206778565</v>
      </c>
    </row>
    <row r="458" spans="1:56">
      <c r="A458" s="11">
        <v>53571</v>
      </c>
      <c r="B458" s="268">
        <v>70</v>
      </c>
      <c r="C458" s="268">
        <v>13</v>
      </c>
      <c r="D458" s="268">
        <f t="shared" si="196"/>
        <v>20</v>
      </c>
      <c r="E458" s="268">
        <v>3</v>
      </c>
      <c r="F458" s="269">
        <v>0.2</v>
      </c>
      <c r="G458" s="269">
        <v>1.32</v>
      </c>
      <c r="I458" s="269">
        <v>5</v>
      </c>
      <c r="M458" s="269">
        <f t="shared" si="190"/>
        <v>1.5</v>
      </c>
      <c r="N458" s="269">
        <v>45</v>
      </c>
      <c r="O458" s="269">
        <f t="shared" si="205"/>
        <v>17.699535849485258</v>
      </c>
      <c r="Q458" s="251">
        <f t="shared" si="191"/>
        <v>176.71953584948523</v>
      </c>
      <c r="R458" s="251">
        <f>'RD Plant List'!N326</f>
        <v>664.33</v>
      </c>
      <c r="S458" s="251">
        <f>SUM(B458:O458)+'RD Plant List'!N326</f>
        <v>841.04953584948521</v>
      </c>
      <c r="T458" s="237">
        <f t="shared" si="203"/>
        <v>0.7898821314121609</v>
      </c>
      <c r="U458" s="251">
        <f t="shared" si="198"/>
        <v>569.07869702054165</v>
      </c>
      <c r="V458" s="271">
        <f t="shared" si="207"/>
        <v>0.67662922665518754</v>
      </c>
      <c r="W458" s="251">
        <f t="shared" si="185"/>
        <v>47.423224751711807</v>
      </c>
      <c r="X458" s="242">
        <f t="shared" si="186"/>
        <v>7.6100191206778582</v>
      </c>
      <c r="Y458" s="273">
        <f t="shared" si="187"/>
        <v>7.6100191206778582</v>
      </c>
      <c r="AB458" s="251">
        <f>SUM('BD Feedstock'!C456,'BD Feedstock'!E456,'BD Feedstock'!G456,'BD Feedstock'!K456,'BD Feedstock'!T456)</f>
        <v>21.812796010427753</v>
      </c>
      <c r="AC458" s="251">
        <f>SUM('BD Feedstock'!D456,'BD Feedstock'!F456,'BD Feedstock'!H456,'BD Feedstock'!I456,'BD Feedstock'!L456,'BD Feedstock'!M456,'BD Feedstock'!N456,'BD Feedstock'!O456,'BD Feedstock'!U456)</f>
        <v>12.773566250859661</v>
      </c>
      <c r="AD458" s="251">
        <f>'BD Feedstock'!J456</f>
        <v>0.90199999999999991</v>
      </c>
      <c r="AE458" s="251">
        <f>SUM('BD Feedstock'!B456,'BD Feedstock'!P456,'BD Feedstock'!Q456,'BD Feedstock'!R456)</f>
        <v>70.93020833333334</v>
      </c>
      <c r="AF458" s="251">
        <f>'BD Feedstock'!S456</f>
        <v>1.40625</v>
      </c>
      <c r="AG458" s="251">
        <f t="shared" si="208"/>
        <v>107.82482059462075</v>
      </c>
      <c r="AK458" s="237">
        <f t="shared" si="206"/>
        <v>0.20229846792359021</v>
      </c>
      <c r="AL458" s="237">
        <f t="shared" si="206"/>
        <v>0.11846591703484753</v>
      </c>
      <c r="AM458" s="237">
        <f t="shared" si="206"/>
        <v>8.3654208282077092E-3</v>
      </c>
      <c r="AN458" s="237">
        <f t="shared" si="206"/>
        <v>0.65782820636449979</v>
      </c>
      <c r="AO458" s="237">
        <f t="shared" si="206"/>
        <v>1.304198784885487E-2</v>
      </c>
      <c r="AP458" s="237">
        <f t="shared" si="209"/>
        <v>1</v>
      </c>
      <c r="AQ458" s="237"/>
      <c r="AR458" s="237">
        <f t="shared" si="210"/>
        <v>0.61464645366918802</v>
      </c>
      <c r="AS458" s="237">
        <f t="shared" si="211"/>
        <v>0.35993676340465403</v>
      </c>
      <c r="AT458" s="237">
        <f t="shared" si="212"/>
        <v>2.5416782926158003E-2</v>
      </c>
      <c r="AU458" s="237">
        <f t="shared" si="200"/>
        <v>0.98055959563958928</v>
      </c>
      <c r="AV458" s="237">
        <f t="shared" si="200"/>
        <v>1.9440404360410696E-2</v>
      </c>
      <c r="AX458" s="251">
        <f t="shared" si="201"/>
        <v>33724.944349789759</v>
      </c>
      <c r="AY458" s="251">
        <f t="shared" si="201"/>
        <v>20972.499915065182</v>
      </c>
      <c r="AZ458" s="251">
        <f t="shared" si="201"/>
        <v>1475.5658353430708</v>
      </c>
      <c r="BA458" s="251">
        <f t="shared" si="202"/>
        <v>105420.65480811293</v>
      </c>
      <c r="BB458" s="251">
        <f t="shared" si="202"/>
        <v>2104.0787977440314</v>
      </c>
      <c r="BC458" s="251">
        <f t="shared" si="204"/>
        <v>163697.74370605499</v>
      </c>
      <c r="BD458" s="270">
        <f t="shared" si="199"/>
        <v>7.6100191206778591</v>
      </c>
    </row>
    <row r="459" spans="1:56">
      <c r="A459" s="11">
        <v>53601</v>
      </c>
      <c r="B459" s="268">
        <v>70</v>
      </c>
      <c r="C459" s="268">
        <v>13</v>
      </c>
      <c r="D459" s="268">
        <f t="shared" si="196"/>
        <v>20</v>
      </c>
      <c r="E459" s="268">
        <v>3</v>
      </c>
      <c r="F459" s="269">
        <v>0.2</v>
      </c>
      <c r="G459" s="269">
        <v>1.32</v>
      </c>
      <c r="I459" s="269">
        <v>5</v>
      </c>
      <c r="M459" s="269">
        <f t="shared" si="190"/>
        <v>1.5</v>
      </c>
      <c r="N459" s="269">
        <v>45</v>
      </c>
      <c r="O459" s="269">
        <f t="shared" si="205"/>
        <v>17.699535849485258</v>
      </c>
      <c r="Q459" s="251">
        <f t="shared" si="191"/>
        <v>176.71953584948523</v>
      </c>
      <c r="R459" s="251">
        <f>'RD Plant List'!N327</f>
        <v>664.33</v>
      </c>
      <c r="S459" s="251">
        <f>SUM(B459:O459)+'RD Plant List'!N327</f>
        <v>841.04953584948521</v>
      </c>
      <c r="T459" s="237">
        <f t="shared" si="203"/>
        <v>0.7898821314121609</v>
      </c>
      <c r="U459" s="251">
        <f t="shared" si="198"/>
        <v>595.81979626497923</v>
      </c>
      <c r="V459" s="271">
        <f t="shared" si="207"/>
        <v>0.70842414253660269</v>
      </c>
      <c r="W459" s="251">
        <f t="shared" ref="W459:W509" si="213">U459/12</f>
        <v>49.651649688748272</v>
      </c>
      <c r="X459" s="242">
        <f t="shared" ref="X459:X522" si="214">(BC459*2204.622)/(W459*1000000)</f>
        <v>7.6100191206778582</v>
      </c>
      <c r="Y459" s="273">
        <f t="shared" ref="Y459:Y522" si="215">X459-BP459</f>
        <v>7.6100191206778582</v>
      </c>
      <c r="AB459" s="251">
        <f>SUM('BD Feedstock'!C457,'BD Feedstock'!E457,'BD Feedstock'!G457,'BD Feedstock'!K457,'BD Feedstock'!T457)</f>
        <v>21.812796010427753</v>
      </c>
      <c r="AC459" s="251">
        <f>SUM('BD Feedstock'!D457,'BD Feedstock'!F457,'BD Feedstock'!H457,'BD Feedstock'!I457,'BD Feedstock'!L457,'BD Feedstock'!M457,'BD Feedstock'!N457,'BD Feedstock'!O457,'BD Feedstock'!U457)</f>
        <v>12.773566250859661</v>
      </c>
      <c r="AD459" s="251">
        <f>'BD Feedstock'!J457</f>
        <v>0.90199999999999991</v>
      </c>
      <c r="AE459" s="251">
        <f>SUM('BD Feedstock'!B457,'BD Feedstock'!P457,'BD Feedstock'!Q457,'BD Feedstock'!R457)</f>
        <v>70.93020833333334</v>
      </c>
      <c r="AF459" s="251">
        <f>'BD Feedstock'!S457</f>
        <v>1.40625</v>
      </c>
      <c r="AG459" s="251">
        <f t="shared" si="208"/>
        <v>107.82482059462075</v>
      </c>
      <c r="AK459" s="237">
        <f t="shared" si="206"/>
        <v>0.20229846792359021</v>
      </c>
      <c r="AL459" s="237">
        <f t="shared" si="206"/>
        <v>0.11846591703484753</v>
      </c>
      <c r="AM459" s="237">
        <f t="shared" si="206"/>
        <v>8.3654208282077092E-3</v>
      </c>
      <c r="AN459" s="237">
        <f t="shared" si="206"/>
        <v>0.65782820636449979</v>
      </c>
      <c r="AO459" s="237">
        <f t="shared" si="206"/>
        <v>1.304198784885487E-2</v>
      </c>
      <c r="AP459" s="237">
        <f t="shared" si="209"/>
        <v>1</v>
      </c>
      <c r="AQ459" s="237"/>
      <c r="AR459" s="237">
        <f t="shared" si="210"/>
        <v>0.61464645366918802</v>
      </c>
      <c r="AS459" s="237">
        <f t="shared" si="211"/>
        <v>0.35993676340465403</v>
      </c>
      <c r="AT459" s="237">
        <f t="shared" si="212"/>
        <v>2.5416782926158003E-2</v>
      </c>
      <c r="AU459" s="237">
        <f t="shared" si="200"/>
        <v>0.98055959563958928</v>
      </c>
      <c r="AV459" s="237">
        <f t="shared" si="200"/>
        <v>1.9440404360410696E-2</v>
      </c>
      <c r="AX459" s="251">
        <f t="shared" si="201"/>
        <v>35309.684893747086</v>
      </c>
      <c r="AY459" s="251">
        <f t="shared" si="201"/>
        <v>21958.001049739483</v>
      </c>
      <c r="AZ459" s="251">
        <f t="shared" si="201"/>
        <v>1544.9029106038342</v>
      </c>
      <c r="BA459" s="251">
        <f t="shared" si="202"/>
        <v>110374.38828539259</v>
      </c>
      <c r="BB459" s="251">
        <f t="shared" si="202"/>
        <v>2202.9497979117973</v>
      </c>
      <c r="BC459" s="251">
        <f t="shared" si="204"/>
        <v>171389.9269373948</v>
      </c>
      <c r="BD459" s="270">
        <f t="shared" si="199"/>
        <v>7.6100191206778582</v>
      </c>
    </row>
    <row r="460" spans="1:56">
      <c r="A460" s="11">
        <v>53632</v>
      </c>
      <c r="B460" s="268">
        <v>70</v>
      </c>
      <c r="C460" s="268">
        <v>13</v>
      </c>
      <c r="D460" s="268">
        <f t="shared" si="196"/>
        <v>20</v>
      </c>
      <c r="E460" s="268">
        <v>3</v>
      </c>
      <c r="F460" s="269">
        <v>0.2</v>
      </c>
      <c r="G460" s="269">
        <v>1.32</v>
      </c>
      <c r="I460" s="269">
        <v>5</v>
      </c>
      <c r="M460" s="269">
        <f t="shared" si="190"/>
        <v>1.5</v>
      </c>
      <c r="N460" s="269">
        <v>45</v>
      </c>
      <c r="O460" s="269">
        <f t="shared" si="205"/>
        <v>17.699535849485258</v>
      </c>
      <c r="Q460" s="251">
        <f t="shared" si="191"/>
        <v>176.71953584948523</v>
      </c>
      <c r="R460" s="251">
        <f>'RD Plant List'!N328</f>
        <v>664.33</v>
      </c>
      <c r="S460" s="251">
        <f>SUM(B460:O460)+'RD Plant List'!N328</f>
        <v>841.04953584948521</v>
      </c>
      <c r="T460" s="237">
        <f t="shared" si="203"/>
        <v>0.7898821314121609</v>
      </c>
      <c r="U460" s="251">
        <f t="shared" si="198"/>
        <v>641.01582295919513</v>
      </c>
      <c r="V460" s="271">
        <f t="shared" si="207"/>
        <v>0.76216179384933613</v>
      </c>
      <c r="W460" s="251">
        <f t="shared" si="213"/>
        <v>53.417985246599592</v>
      </c>
      <c r="X460" s="242">
        <f t="shared" si="214"/>
        <v>7.6100191206778574</v>
      </c>
      <c r="Y460" s="273">
        <f t="shared" si="215"/>
        <v>7.6100191206778574</v>
      </c>
      <c r="AB460" s="251">
        <f>SUM('BD Feedstock'!C458,'BD Feedstock'!E458,'BD Feedstock'!G458,'BD Feedstock'!K458,'BD Feedstock'!T458)</f>
        <v>21.812796010427753</v>
      </c>
      <c r="AC460" s="251">
        <f>SUM('BD Feedstock'!D458,'BD Feedstock'!F458,'BD Feedstock'!H458,'BD Feedstock'!I458,'BD Feedstock'!L458,'BD Feedstock'!M458,'BD Feedstock'!N458,'BD Feedstock'!O458,'BD Feedstock'!U458)</f>
        <v>12.773566250859661</v>
      </c>
      <c r="AD460" s="251">
        <f>'BD Feedstock'!J458</f>
        <v>0.90199999999999991</v>
      </c>
      <c r="AE460" s="251">
        <f>SUM('BD Feedstock'!B458,'BD Feedstock'!P458,'BD Feedstock'!Q458,'BD Feedstock'!R458)</f>
        <v>70.93020833333334</v>
      </c>
      <c r="AF460" s="251">
        <f>'BD Feedstock'!S458</f>
        <v>1.40625</v>
      </c>
      <c r="AG460" s="251">
        <f t="shared" si="208"/>
        <v>107.82482059462075</v>
      </c>
      <c r="AK460" s="237">
        <f t="shared" si="206"/>
        <v>0.20229846792359021</v>
      </c>
      <c r="AL460" s="237">
        <f t="shared" si="206"/>
        <v>0.11846591703484753</v>
      </c>
      <c r="AM460" s="237">
        <f t="shared" si="206"/>
        <v>8.3654208282077092E-3</v>
      </c>
      <c r="AN460" s="237">
        <f t="shared" si="206"/>
        <v>0.65782820636449979</v>
      </c>
      <c r="AO460" s="237">
        <f t="shared" si="206"/>
        <v>1.304198784885487E-2</v>
      </c>
      <c r="AP460" s="237">
        <f t="shared" si="209"/>
        <v>1</v>
      </c>
      <c r="AQ460" s="237"/>
      <c r="AR460" s="237">
        <f t="shared" si="210"/>
        <v>0.61464645366918802</v>
      </c>
      <c r="AS460" s="237">
        <f t="shared" si="211"/>
        <v>0.35993676340465403</v>
      </c>
      <c r="AT460" s="237">
        <f t="shared" si="212"/>
        <v>2.5416782926158003E-2</v>
      </c>
      <c r="AU460" s="237">
        <f t="shared" si="200"/>
        <v>0.98055959563958928</v>
      </c>
      <c r="AV460" s="237">
        <f t="shared" si="200"/>
        <v>1.9440404360410696E-2</v>
      </c>
      <c r="AX460" s="251">
        <f t="shared" si="201"/>
        <v>37988.107918671929</v>
      </c>
      <c r="AY460" s="251">
        <f t="shared" si="201"/>
        <v>23623.629496153655</v>
      </c>
      <c r="AZ460" s="251">
        <f t="shared" si="201"/>
        <v>1662.0918217902797</v>
      </c>
      <c r="BA460" s="251">
        <f t="shared" si="202"/>
        <v>118746.85900653292</v>
      </c>
      <c r="BB460" s="251">
        <f t="shared" si="202"/>
        <v>2370.0549839035698</v>
      </c>
      <c r="BC460" s="251">
        <f t="shared" si="204"/>
        <v>184390.74322705236</v>
      </c>
      <c r="BD460" s="270">
        <f t="shared" si="199"/>
        <v>7.6100191206778574</v>
      </c>
    </row>
    <row r="461" spans="1:56">
      <c r="A461" s="11">
        <v>53662</v>
      </c>
      <c r="B461" s="268">
        <v>70</v>
      </c>
      <c r="C461" s="268">
        <v>13</v>
      </c>
      <c r="D461" s="268">
        <f t="shared" si="196"/>
        <v>20</v>
      </c>
      <c r="E461" s="268">
        <v>3</v>
      </c>
      <c r="F461" s="269">
        <v>0.2</v>
      </c>
      <c r="G461" s="269">
        <v>1.32</v>
      </c>
      <c r="I461" s="269">
        <v>5</v>
      </c>
      <c r="M461" s="269">
        <f t="shared" si="190"/>
        <v>1.5</v>
      </c>
      <c r="N461" s="269">
        <v>45</v>
      </c>
      <c r="O461" s="269">
        <f t="shared" si="205"/>
        <v>17.699535849485258</v>
      </c>
      <c r="Q461" s="251">
        <f t="shared" si="191"/>
        <v>176.71953584948523</v>
      </c>
      <c r="R461" s="251">
        <f>'RD Plant List'!N329</f>
        <v>664.33</v>
      </c>
      <c r="S461" s="251">
        <f>SUM(B461:O461)+'RD Plant List'!N329</f>
        <v>841.04953584948521</v>
      </c>
      <c r="T461" s="237">
        <f t="shared" si="203"/>
        <v>0.7898821314121609</v>
      </c>
      <c r="U461" s="251">
        <f t="shared" si="198"/>
        <v>582.91923111598601</v>
      </c>
      <c r="V461" s="271">
        <f t="shared" si="207"/>
        <v>0.69308549172103184</v>
      </c>
      <c r="W461" s="251">
        <f t="shared" si="213"/>
        <v>48.576602592998832</v>
      </c>
      <c r="X461" s="242">
        <f t="shared" si="214"/>
        <v>7.6100191206778574</v>
      </c>
      <c r="Y461" s="273">
        <f t="shared" si="215"/>
        <v>7.6100191206778574</v>
      </c>
      <c r="AB461" s="251">
        <f>SUM('BD Feedstock'!C459,'BD Feedstock'!E459,'BD Feedstock'!G459,'BD Feedstock'!K459,'BD Feedstock'!T459)</f>
        <v>21.812796010427753</v>
      </c>
      <c r="AC461" s="251">
        <f>SUM('BD Feedstock'!D459,'BD Feedstock'!F459,'BD Feedstock'!H459,'BD Feedstock'!I459,'BD Feedstock'!L459,'BD Feedstock'!M459,'BD Feedstock'!N459,'BD Feedstock'!O459,'BD Feedstock'!U459)</f>
        <v>12.773566250859661</v>
      </c>
      <c r="AD461" s="251">
        <f>'BD Feedstock'!J459</f>
        <v>0.90199999999999991</v>
      </c>
      <c r="AE461" s="251">
        <f>SUM('BD Feedstock'!B459,'BD Feedstock'!P459,'BD Feedstock'!Q459,'BD Feedstock'!R459)</f>
        <v>70.93020833333334</v>
      </c>
      <c r="AF461" s="251">
        <f>'BD Feedstock'!S459</f>
        <v>1.40625</v>
      </c>
      <c r="AG461" s="251">
        <f t="shared" si="208"/>
        <v>107.82482059462075</v>
      </c>
      <c r="AK461" s="237">
        <f t="shared" si="206"/>
        <v>0.20229846792359021</v>
      </c>
      <c r="AL461" s="237">
        <f t="shared" si="206"/>
        <v>0.11846591703484753</v>
      </c>
      <c r="AM461" s="237">
        <f t="shared" si="206"/>
        <v>8.3654208282077092E-3</v>
      </c>
      <c r="AN461" s="237">
        <f t="shared" si="206"/>
        <v>0.65782820636449979</v>
      </c>
      <c r="AO461" s="237">
        <f t="shared" si="206"/>
        <v>1.304198784885487E-2</v>
      </c>
      <c r="AP461" s="237">
        <f t="shared" si="209"/>
        <v>1</v>
      </c>
      <c r="AQ461" s="237"/>
      <c r="AR461" s="237">
        <f t="shared" si="210"/>
        <v>0.61464645366918802</v>
      </c>
      <c r="AS461" s="237">
        <f t="shared" si="211"/>
        <v>0.35993676340465403</v>
      </c>
      <c r="AT461" s="237">
        <f t="shared" si="212"/>
        <v>2.5416782926158003E-2</v>
      </c>
      <c r="AU461" s="237">
        <f t="shared" si="200"/>
        <v>0.98055959563958928</v>
      </c>
      <c r="AV461" s="237">
        <f t="shared" si="200"/>
        <v>1.9440404360410696E-2</v>
      </c>
      <c r="AX461" s="251">
        <f t="shared" si="201"/>
        <v>34545.16700894753</v>
      </c>
      <c r="AY461" s="251">
        <f t="shared" si="201"/>
        <v>21482.57102062738</v>
      </c>
      <c r="AZ461" s="251">
        <f t="shared" si="201"/>
        <v>1511.4529971030574</v>
      </c>
      <c r="BA461" s="251">
        <f t="shared" si="202"/>
        <v>107984.58520100036</v>
      </c>
      <c r="BB461" s="251">
        <f t="shared" si="202"/>
        <v>2155.2519913500232</v>
      </c>
      <c r="BC461" s="251">
        <f t="shared" si="204"/>
        <v>167679.02821902835</v>
      </c>
      <c r="BD461" s="270">
        <f t="shared" si="199"/>
        <v>7.6100191206778574</v>
      </c>
    </row>
    <row r="462" spans="1:56">
      <c r="A462" s="11">
        <v>53693</v>
      </c>
      <c r="B462" s="268">
        <v>70</v>
      </c>
      <c r="C462" s="268">
        <v>13</v>
      </c>
      <c r="D462" s="268">
        <f t="shared" si="196"/>
        <v>20</v>
      </c>
      <c r="E462" s="268">
        <v>3</v>
      </c>
      <c r="F462" s="269">
        <v>0.2</v>
      </c>
      <c r="G462" s="269">
        <v>1.32</v>
      </c>
      <c r="I462" s="269">
        <v>5</v>
      </c>
      <c r="M462" s="269">
        <f t="shared" si="190"/>
        <v>1.5</v>
      </c>
      <c r="N462" s="269">
        <v>45</v>
      </c>
      <c r="O462" s="269">
        <f t="shared" si="205"/>
        <v>17.699535849485258</v>
      </c>
      <c r="Q462" s="251">
        <f t="shared" si="191"/>
        <v>176.71953584948523</v>
      </c>
      <c r="R462" s="251">
        <f>'RD Plant List'!N330</f>
        <v>664.33</v>
      </c>
      <c r="S462" s="251">
        <f>SUM(B462:O462)+'RD Plant List'!N330</f>
        <v>841.04953584948521</v>
      </c>
      <c r="T462" s="237">
        <f t="shared" si="203"/>
        <v>0.7898821314121609</v>
      </c>
      <c r="U462" s="251">
        <f t="shared" si="198"/>
        <v>477.87675080175978</v>
      </c>
      <c r="V462" s="271">
        <f t="shared" si="207"/>
        <v>0.56819096905997335</v>
      </c>
      <c r="W462" s="251">
        <f t="shared" si="213"/>
        <v>39.823062566813313</v>
      </c>
      <c r="X462" s="242">
        <f t="shared" si="214"/>
        <v>7.6100191206778565</v>
      </c>
      <c r="Y462" s="273">
        <f t="shared" si="215"/>
        <v>7.6100191206778565</v>
      </c>
      <c r="AB462" s="251">
        <f>SUM('BD Feedstock'!C460,'BD Feedstock'!E460,'BD Feedstock'!G460,'BD Feedstock'!K460,'BD Feedstock'!T460)</f>
        <v>21.812796010427753</v>
      </c>
      <c r="AC462" s="251">
        <f>SUM('BD Feedstock'!D460,'BD Feedstock'!F460,'BD Feedstock'!H460,'BD Feedstock'!I460,'BD Feedstock'!L460,'BD Feedstock'!M460,'BD Feedstock'!N460,'BD Feedstock'!O460,'BD Feedstock'!U460)</f>
        <v>12.773566250859661</v>
      </c>
      <c r="AD462" s="251">
        <f>'BD Feedstock'!J460</f>
        <v>0.90199999999999991</v>
      </c>
      <c r="AE462" s="251">
        <f>SUM('BD Feedstock'!B460,'BD Feedstock'!P460,'BD Feedstock'!Q460,'BD Feedstock'!R460)</f>
        <v>70.93020833333334</v>
      </c>
      <c r="AF462" s="251">
        <f>'BD Feedstock'!S460</f>
        <v>1.40625</v>
      </c>
      <c r="AG462" s="251">
        <f t="shared" si="208"/>
        <v>107.82482059462075</v>
      </c>
      <c r="AK462" s="237">
        <f t="shared" si="206"/>
        <v>0.20229846792359021</v>
      </c>
      <c r="AL462" s="237">
        <f t="shared" si="206"/>
        <v>0.11846591703484753</v>
      </c>
      <c r="AM462" s="237">
        <f t="shared" si="206"/>
        <v>8.3654208282077092E-3</v>
      </c>
      <c r="AN462" s="237">
        <f t="shared" si="206"/>
        <v>0.65782820636449979</v>
      </c>
      <c r="AO462" s="237">
        <f t="shared" si="206"/>
        <v>1.304198784885487E-2</v>
      </c>
      <c r="AP462" s="237">
        <f t="shared" si="209"/>
        <v>1</v>
      </c>
      <c r="AQ462" s="237"/>
      <c r="AR462" s="237">
        <f t="shared" si="210"/>
        <v>0.61464645366918802</v>
      </c>
      <c r="AS462" s="237">
        <f t="shared" si="211"/>
        <v>0.35993676340465403</v>
      </c>
      <c r="AT462" s="237">
        <f t="shared" si="212"/>
        <v>2.5416782926158003E-2</v>
      </c>
      <c r="AU462" s="237">
        <f t="shared" si="200"/>
        <v>0.98055959563958928</v>
      </c>
      <c r="AV462" s="237">
        <f t="shared" si="200"/>
        <v>1.9440404360410696E-2</v>
      </c>
      <c r="AX462" s="251">
        <f t="shared" si="201"/>
        <v>28320.102142684766</v>
      </c>
      <c r="AY462" s="251">
        <f t="shared" si="201"/>
        <v>17611.395696366693</v>
      </c>
      <c r="AZ462" s="251">
        <f t="shared" si="201"/>
        <v>1239.0880394568314</v>
      </c>
      <c r="BA462" s="251">
        <f t="shared" si="202"/>
        <v>88525.682389542068</v>
      </c>
      <c r="BB462" s="251">
        <f t="shared" si="202"/>
        <v>1766.8739746560857</v>
      </c>
      <c r="BC462" s="251">
        <f t="shared" si="204"/>
        <v>137463.14224270644</v>
      </c>
      <c r="BD462" s="270">
        <f t="shared" si="199"/>
        <v>7.6100191206778565</v>
      </c>
    </row>
    <row r="463" spans="1:56">
      <c r="A463" s="11">
        <v>53724</v>
      </c>
      <c r="B463" s="268">
        <v>70</v>
      </c>
      <c r="C463" s="268">
        <v>13</v>
      </c>
      <c r="D463" s="268">
        <f t="shared" si="196"/>
        <v>20</v>
      </c>
      <c r="E463" s="268">
        <v>3</v>
      </c>
      <c r="F463" s="269">
        <v>0.2</v>
      </c>
      <c r="G463" s="269">
        <v>1.32</v>
      </c>
      <c r="I463" s="269">
        <v>5</v>
      </c>
      <c r="M463" s="269">
        <f t="shared" si="190"/>
        <v>1.5</v>
      </c>
      <c r="N463" s="269">
        <v>45</v>
      </c>
      <c r="O463" s="269">
        <f t="shared" si="205"/>
        <v>17.699535849485258</v>
      </c>
      <c r="Q463" s="251">
        <f t="shared" si="191"/>
        <v>176.71953584948523</v>
      </c>
      <c r="R463" s="251">
        <f>'RD Plant List'!N331</f>
        <v>664.33</v>
      </c>
      <c r="S463" s="251">
        <f>SUM(B463:O463)+'RD Plant List'!N331</f>
        <v>841.04953584948521</v>
      </c>
      <c r="T463" s="237">
        <f t="shared" si="203"/>
        <v>0.7898821314121609</v>
      </c>
      <c r="U463" s="251">
        <f t="shared" si="198"/>
        <v>441.88884644792978</v>
      </c>
      <c r="V463" s="271">
        <f t="shared" si="207"/>
        <v>0.52540168873835569</v>
      </c>
      <c r="W463" s="251">
        <f t="shared" si="213"/>
        <v>36.824070537327479</v>
      </c>
      <c r="X463" s="242">
        <f t="shared" si="214"/>
        <v>7.6100191206778591</v>
      </c>
      <c r="Y463" s="273">
        <f t="shared" si="215"/>
        <v>7.6100191206778591</v>
      </c>
      <c r="AB463" s="251">
        <f>SUM('BD Feedstock'!C461,'BD Feedstock'!E461,'BD Feedstock'!G461,'BD Feedstock'!K461,'BD Feedstock'!T461)</f>
        <v>21.812796010427753</v>
      </c>
      <c r="AC463" s="251">
        <f>SUM('BD Feedstock'!D461,'BD Feedstock'!F461,'BD Feedstock'!H461,'BD Feedstock'!I461,'BD Feedstock'!L461,'BD Feedstock'!M461,'BD Feedstock'!N461,'BD Feedstock'!O461,'BD Feedstock'!U461)</f>
        <v>12.773566250859661</v>
      </c>
      <c r="AD463" s="251">
        <f>'BD Feedstock'!J461</f>
        <v>0.90199999999999991</v>
      </c>
      <c r="AE463" s="251">
        <f>SUM('BD Feedstock'!B461,'BD Feedstock'!P461,'BD Feedstock'!Q461,'BD Feedstock'!R461)</f>
        <v>70.93020833333334</v>
      </c>
      <c r="AF463" s="251">
        <f>'BD Feedstock'!S461</f>
        <v>1.40625</v>
      </c>
      <c r="AG463" s="251">
        <f t="shared" si="208"/>
        <v>107.82482059462075</v>
      </c>
      <c r="AK463" s="237">
        <f t="shared" si="206"/>
        <v>0.20229846792359021</v>
      </c>
      <c r="AL463" s="237">
        <f t="shared" si="206"/>
        <v>0.11846591703484753</v>
      </c>
      <c r="AM463" s="237">
        <f t="shared" si="206"/>
        <v>8.3654208282077092E-3</v>
      </c>
      <c r="AN463" s="237">
        <f t="shared" si="206"/>
        <v>0.65782820636449979</v>
      </c>
      <c r="AO463" s="237">
        <f t="shared" si="206"/>
        <v>1.304198784885487E-2</v>
      </c>
      <c r="AP463" s="237">
        <f t="shared" si="209"/>
        <v>1</v>
      </c>
      <c r="AQ463" s="237"/>
      <c r="AR463" s="237">
        <f t="shared" si="210"/>
        <v>0.61464645366918802</v>
      </c>
      <c r="AS463" s="237">
        <f t="shared" si="211"/>
        <v>0.35993676340465403</v>
      </c>
      <c r="AT463" s="237">
        <f t="shared" si="212"/>
        <v>2.5416782926158003E-2</v>
      </c>
      <c r="AU463" s="237">
        <f t="shared" si="200"/>
        <v>0.98055959563958928</v>
      </c>
      <c r="AV463" s="237">
        <f t="shared" si="200"/>
        <v>1.9440404360410696E-2</v>
      </c>
      <c r="AX463" s="251">
        <f t="shared" si="201"/>
        <v>26187.374142229211</v>
      </c>
      <c r="AY463" s="251">
        <f t="shared" si="201"/>
        <v>16285.118109530878</v>
      </c>
      <c r="AZ463" s="251">
        <f t="shared" si="201"/>
        <v>1145.7748959001876</v>
      </c>
      <c r="BA463" s="251">
        <f t="shared" si="202"/>
        <v>81858.997338747504</v>
      </c>
      <c r="BB463" s="251">
        <f t="shared" si="202"/>
        <v>1633.8143698552392</v>
      </c>
      <c r="BC463" s="251">
        <f t="shared" si="204"/>
        <v>127111.07885626303</v>
      </c>
      <c r="BD463" s="270">
        <f t="shared" si="199"/>
        <v>7.6100191206778582</v>
      </c>
    </row>
    <row r="464" spans="1:56">
      <c r="A464" s="11">
        <v>53752</v>
      </c>
      <c r="B464" s="268">
        <v>70</v>
      </c>
      <c r="C464" s="268">
        <v>13</v>
      </c>
      <c r="D464" s="268">
        <f t="shared" si="196"/>
        <v>20</v>
      </c>
      <c r="E464" s="268">
        <v>3</v>
      </c>
      <c r="F464" s="269">
        <v>0.2</v>
      </c>
      <c r="G464" s="269">
        <v>1.32</v>
      </c>
      <c r="I464" s="269">
        <v>5</v>
      </c>
      <c r="M464" s="269">
        <f t="shared" si="190"/>
        <v>1.5</v>
      </c>
      <c r="N464" s="269">
        <v>45</v>
      </c>
      <c r="O464" s="269">
        <f t="shared" si="205"/>
        <v>17.699535849485258</v>
      </c>
      <c r="Q464" s="251">
        <f t="shared" si="191"/>
        <v>176.71953584948523</v>
      </c>
      <c r="R464" s="251">
        <f>'RD Plant List'!N332</f>
        <v>664.33</v>
      </c>
      <c r="S464" s="251">
        <f>SUM(B464:O464)+'RD Plant List'!N332</f>
        <v>841.04953584948521</v>
      </c>
      <c r="T464" s="237">
        <f t="shared" si="203"/>
        <v>0.7898821314121609</v>
      </c>
      <c r="U464" s="251">
        <f t="shared" si="198"/>
        <v>491.08113368609742</v>
      </c>
      <c r="V464" s="271">
        <f t="shared" si="207"/>
        <v>0.58389085630977822</v>
      </c>
      <c r="W464" s="251">
        <f t="shared" si="213"/>
        <v>40.923427807174782</v>
      </c>
      <c r="X464" s="242">
        <f t="shared" si="214"/>
        <v>7.6100191206778582</v>
      </c>
      <c r="Y464" s="273">
        <f t="shared" si="215"/>
        <v>7.6100191206778582</v>
      </c>
      <c r="AB464" s="251">
        <f>SUM('BD Feedstock'!C462,'BD Feedstock'!E462,'BD Feedstock'!G462,'BD Feedstock'!K462,'BD Feedstock'!T462)</f>
        <v>21.812796010427753</v>
      </c>
      <c r="AC464" s="251">
        <f>SUM('BD Feedstock'!D462,'BD Feedstock'!F462,'BD Feedstock'!H462,'BD Feedstock'!I462,'BD Feedstock'!L462,'BD Feedstock'!M462,'BD Feedstock'!N462,'BD Feedstock'!O462,'BD Feedstock'!U462)</f>
        <v>12.773566250859661</v>
      </c>
      <c r="AD464" s="251">
        <f>'BD Feedstock'!J462</f>
        <v>0.90199999999999991</v>
      </c>
      <c r="AE464" s="251">
        <f>SUM('BD Feedstock'!B462,'BD Feedstock'!P462,'BD Feedstock'!Q462,'BD Feedstock'!R462)</f>
        <v>70.93020833333334</v>
      </c>
      <c r="AF464" s="251">
        <f>'BD Feedstock'!S462</f>
        <v>1.40625</v>
      </c>
      <c r="AG464" s="251">
        <f t="shared" si="208"/>
        <v>107.82482059462075</v>
      </c>
      <c r="AK464" s="237">
        <f t="shared" si="206"/>
        <v>0.20229846792359021</v>
      </c>
      <c r="AL464" s="237">
        <f t="shared" si="206"/>
        <v>0.11846591703484753</v>
      </c>
      <c r="AM464" s="237">
        <f t="shared" si="206"/>
        <v>8.3654208282077092E-3</v>
      </c>
      <c r="AN464" s="237">
        <f t="shared" si="206"/>
        <v>0.65782820636449979</v>
      </c>
      <c r="AO464" s="237">
        <f t="shared" si="206"/>
        <v>1.304198784885487E-2</v>
      </c>
      <c r="AP464" s="237">
        <f t="shared" si="209"/>
        <v>1</v>
      </c>
      <c r="AQ464" s="237"/>
      <c r="AR464" s="237">
        <f t="shared" si="210"/>
        <v>0.61464645366918802</v>
      </c>
      <c r="AS464" s="237">
        <f t="shared" si="211"/>
        <v>0.35993676340465403</v>
      </c>
      <c r="AT464" s="237">
        <f t="shared" si="212"/>
        <v>2.5416782926158003E-2</v>
      </c>
      <c r="AU464" s="237">
        <f t="shared" si="200"/>
        <v>0.98055959563958928</v>
      </c>
      <c r="AV464" s="237">
        <f t="shared" si="200"/>
        <v>1.9440404360410696E-2</v>
      </c>
      <c r="AX464" s="251">
        <f t="shared" si="201"/>
        <v>29102.624982283396</v>
      </c>
      <c r="AY464" s="251">
        <f t="shared" si="201"/>
        <v>18098.022450047938</v>
      </c>
      <c r="AZ464" s="251">
        <f t="shared" si="201"/>
        <v>1273.3257228614768</v>
      </c>
      <c r="BA464" s="251">
        <f t="shared" si="202"/>
        <v>90971.76708273463</v>
      </c>
      <c r="BB464" s="251">
        <f t="shared" si="202"/>
        <v>1815.6950994138551</v>
      </c>
      <c r="BC464" s="251">
        <f t="shared" si="204"/>
        <v>141261.4353373413</v>
      </c>
      <c r="BD464" s="270">
        <f t="shared" si="199"/>
        <v>7.6100191206778574</v>
      </c>
    </row>
    <row r="465" spans="1:56">
      <c r="A465" s="11">
        <v>53783</v>
      </c>
      <c r="B465" s="268">
        <v>70</v>
      </c>
      <c r="C465" s="268">
        <v>13</v>
      </c>
      <c r="D465" s="268">
        <f t="shared" si="196"/>
        <v>20</v>
      </c>
      <c r="E465" s="268">
        <v>3</v>
      </c>
      <c r="F465" s="269">
        <v>0.2</v>
      </c>
      <c r="G465" s="269">
        <v>1.32</v>
      </c>
      <c r="I465" s="269">
        <v>5</v>
      </c>
      <c r="M465" s="269">
        <f t="shared" si="190"/>
        <v>1.5</v>
      </c>
      <c r="N465" s="269">
        <v>45</v>
      </c>
      <c r="O465" s="269">
        <f t="shared" si="205"/>
        <v>17.699535849485258</v>
      </c>
      <c r="Q465" s="251">
        <f t="shared" si="191"/>
        <v>176.71953584948523</v>
      </c>
      <c r="R465" s="251">
        <f>'RD Plant List'!N333</f>
        <v>664.33</v>
      </c>
      <c r="S465" s="251">
        <f>SUM(B465:O465)+'RD Plant List'!N333</f>
        <v>841.04953584948521</v>
      </c>
      <c r="T465" s="237">
        <f t="shared" si="203"/>
        <v>0.7898821314121609</v>
      </c>
      <c r="U465" s="251">
        <f t="shared" si="198"/>
        <v>499.54643223224275</v>
      </c>
      <c r="V465" s="271">
        <f t="shared" si="207"/>
        <v>0.59395601678524901</v>
      </c>
      <c r="W465" s="251">
        <f t="shared" si="213"/>
        <v>41.628869352686898</v>
      </c>
      <c r="X465" s="242">
        <f t="shared" si="214"/>
        <v>7.6100191206778574</v>
      </c>
      <c r="Y465" s="273">
        <f t="shared" si="215"/>
        <v>7.6100191206778574</v>
      </c>
      <c r="AB465" s="251">
        <f>SUM('BD Feedstock'!C463,'BD Feedstock'!E463,'BD Feedstock'!G463,'BD Feedstock'!K463,'BD Feedstock'!T463)</f>
        <v>21.812796010427753</v>
      </c>
      <c r="AC465" s="251">
        <f>SUM('BD Feedstock'!D463,'BD Feedstock'!F463,'BD Feedstock'!H463,'BD Feedstock'!I463,'BD Feedstock'!L463,'BD Feedstock'!M463,'BD Feedstock'!N463,'BD Feedstock'!O463,'BD Feedstock'!U463)</f>
        <v>12.773566250859661</v>
      </c>
      <c r="AD465" s="251">
        <f>'BD Feedstock'!J463</f>
        <v>0.90199999999999991</v>
      </c>
      <c r="AE465" s="251">
        <f>SUM('BD Feedstock'!B463,'BD Feedstock'!P463,'BD Feedstock'!Q463,'BD Feedstock'!R463)</f>
        <v>70.93020833333334</v>
      </c>
      <c r="AF465" s="251">
        <f>'BD Feedstock'!S463</f>
        <v>1.40625</v>
      </c>
      <c r="AG465" s="251">
        <f t="shared" si="208"/>
        <v>107.82482059462075</v>
      </c>
      <c r="AK465" s="237">
        <f t="shared" si="206"/>
        <v>0.20229846792359021</v>
      </c>
      <c r="AL465" s="237">
        <f t="shared" si="206"/>
        <v>0.11846591703484753</v>
      </c>
      <c r="AM465" s="237">
        <f t="shared" si="206"/>
        <v>8.3654208282077092E-3</v>
      </c>
      <c r="AN465" s="237">
        <f t="shared" si="206"/>
        <v>0.65782820636449979</v>
      </c>
      <c r="AO465" s="237">
        <f t="shared" si="206"/>
        <v>1.304198784885487E-2</v>
      </c>
      <c r="AP465" s="237">
        <f t="shared" si="209"/>
        <v>1</v>
      </c>
      <c r="AQ465" s="237"/>
      <c r="AR465" s="237">
        <f t="shared" si="210"/>
        <v>0.61464645366918802</v>
      </c>
      <c r="AS465" s="237">
        <f t="shared" si="211"/>
        <v>0.35993676340465403</v>
      </c>
      <c r="AT465" s="237">
        <f t="shared" si="212"/>
        <v>2.5416782926158003E-2</v>
      </c>
      <c r="AU465" s="237">
        <f t="shared" si="200"/>
        <v>0.98055959563958928</v>
      </c>
      <c r="AV465" s="237">
        <f t="shared" si="200"/>
        <v>1.9440404360410696E-2</v>
      </c>
      <c r="AX465" s="251">
        <f t="shared" si="201"/>
        <v>29604.29851859362</v>
      </c>
      <c r="AY465" s="251">
        <f t="shared" si="201"/>
        <v>18409.997707546681</v>
      </c>
      <c r="AZ465" s="251">
        <f t="shared" si="201"/>
        <v>1295.2754204798723</v>
      </c>
      <c r="BA465" s="251">
        <f t="shared" si="202"/>
        <v>92539.946177389094</v>
      </c>
      <c r="BB465" s="251">
        <f t="shared" si="202"/>
        <v>1846.9942066915874</v>
      </c>
      <c r="BC465" s="251">
        <f t="shared" si="204"/>
        <v>143696.51203070086</v>
      </c>
      <c r="BD465" s="270">
        <f t="shared" si="199"/>
        <v>7.6100191206778574</v>
      </c>
    </row>
    <row r="466" spans="1:56">
      <c r="A466" s="11">
        <v>53813</v>
      </c>
      <c r="B466" s="268">
        <v>70</v>
      </c>
      <c r="C466" s="268">
        <v>13</v>
      </c>
      <c r="D466" s="268">
        <f t="shared" si="196"/>
        <v>20</v>
      </c>
      <c r="E466" s="268">
        <v>3</v>
      </c>
      <c r="F466" s="269">
        <v>0.2</v>
      </c>
      <c r="G466" s="269">
        <v>1.32</v>
      </c>
      <c r="I466" s="269">
        <v>5</v>
      </c>
      <c r="M466" s="269">
        <f t="shared" si="190"/>
        <v>1.5</v>
      </c>
      <c r="N466" s="269">
        <v>45</v>
      </c>
      <c r="O466" s="269">
        <f t="shared" si="205"/>
        <v>17.699535849485258</v>
      </c>
      <c r="Q466" s="251">
        <f t="shared" si="191"/>
        <v>176.71953584948523</v>
      </c>
      <c r="R466" s="251">
        <f>'RD Plant List'!N334</f>
        <v>664.33</v>
      </c>
      <c r="S466" s="251">
        <f>SUM(B466:O466)+'RD Plant List'!N334</f>
        <v>841.04953584948521</v>
      </c>
      <c r="T466" s="237">
        <f t="shared" si="203"/>
        <v>0.7898821314121609</v>
      </c>
      <c r="U466" s="251">
        <f t="shared" si="198"/>
        <v>485.34263561802737</v>
      </c>
      <c r="V466" s="271">
        <f t="shared" si="207"/>
        <v>0.57706783599591049</v>
      </c>
      <c r="W466" s="251">
        <f t="shared" si="213"/>
        <v>40.445219634835617</v>
      </c>
      <c r="X466" s="242">
        <f t="shared" si="214"/>
        <v>7.6100191206778574</v>
      </c>
      <c r="Y466" s="273">
        <f t="shared" si="215"/>
        <v>7.6100191206778574</v>
      </c>
      <c r="AB466" s="251">
        <f>SUM('BD Feedstock'!C464,'BD Feedstock'!E464,'BD Feedstock'!G464,'BD Feedstock'!K464,'BD Feedstock'!T464)</f>
        <v>21.812796010427753</v>
      </c>
      <c r="AC466" s="251">
        <f>SUM('BD Feedstock'!D464,'BD Feedstock'!F464,'BD Feedstock'!H464,'BD Feedstock'!I464,'BD Feedstock'!L464,'BD Feedstock'!M464,'BD Feedstock'!N464,'BD Feedstock'!O464,'BD Feedstock'!U464)</f>
        <v>12.773566250859661</v>
      </c>
      <c r="AD466" s="251">
        <f>'BD Feedstock'!J464</f>
        <v>0.90199999999999991</v>
      </c>
      <c r="AE466" s="251">
        <f>SUM('BD Feedstock'!B464,'BD Feedstock'!P464,'BD Feedstock'!Q464,'BD Feedstock'!R464)</f>
        <v>70.93020833333334</v>
      </c>
      <c r="AF466" s="251">
        <f>'BD Feedstock'!S464</f>
        <v>1.40625</v>
      </c>
      <c r="AG466" s="251">
        <f t="shared" si="208"/>
        <v>107.82482059462075</v>
      </c>
      <c r="AK466" s="237">
        <f t="shared" si="206"/>
        <v>0.20229846792359021</v>
      </c>
      <c r="AL466" s="237">
        <f t="shared" si="206"/>
        <v>0.11846591703484753</v>
      </c>
      <c r="AM466" s="237">
        <f t="shared" si="206"/>
        <v>8.3654208282077092E-3</v>
      </c>
      <c r="AN466" s="237">
        <f t="shared" si="206"/>
        <v>0.65782820636449979</v>
      </c>
      <c r="AO466" s="237">
        <f t="shared" si="206"/>
        <v>1.304198784885487E-2</v>
      </c>
      <c r="AP466" s="237">
        <f t="shared" si="209"/>
        <v>1</v>
      </c>
      <c r="AQ466" s="237"/>
      <c r="AR466" s="237">
        <f t="shared" si="210"/>
        <v>0.61464645366918802</v>
      </c>
      <c r="AS466" s="237">
        <f t="shared" si="211"/>
        <v>0.35993676340465403</v>
      </c>
      <c r="AT466" s="237">
        <f t="shared" si="212"/>
        <v>2.5416782926158003E-2</v>
      </c>
      <c r="AU466" s="237">
        <f t="shared" si="200"/>
        <v>0.98055959563958928</v>
      </c>
      <c r="AV466" s="237">
        <f t="shared" si="200"/>
        <v>1.9440404360410696E-2</v>
      </c>
      <c r="AX466" s="251">
        <f t="shared" si="201"/>
        <v>28762.548066717442</v>
      </c>
      <c r="AY466" s="251">
        <f t="shared" si="201"/>
        <v>17886.539133460432</v>
      </c>
      <c r="AZ466" s="251">
        <f t="shared" si="201"/>
        <v>1258.4463542613892</v>
      </c>
      <c r="BA466" s="251">
        <f t="shared" si="202"/>
        <v>89908.722152185786</v>
      </c>
      <c r="BB466" s="251">
        <f t="shared" si="202"/>
        <v>1794.4779071711357</v>
      </c>
      <c r="BC466" s="251">
        <f t="shared" si="204"/>
        <v>139610.73361379618</v>
      </c>
      <c r="BD466" s="270">
        <f t="shared" si="199"/>
        <v>7.6100191206778574</v>
      </c>
    </row>
    <row r="467" spans="1:56">
      <c r="A467" s="11">
        <v>53844</v>
      </c>
      <c r="B467" s="268">
        <v>70</v>
      </c>
      <c r="C467" s="268">
        <v>13</v>
      </c>
      <c r="D467" s="268">
        <f t="shared" si="196"/>
        <v>20</v>
      </c>
      <c r="E467" s="268">
        <v>3</v>
      </c>
      <c r="F467" s="269">
        <v>0.2</v>
      </c>
      <c r="G467" s="269">
        <v>1.32</v>
      </c>
      <c r="I467" s="269">
        <v>5</v>
      </c>
      <c r="M467" s="269">
        <f t="shared" si="190"/>
        <v>1.5</v>
      </c>
      <c r="N467" s="269">
        <v>45</v>
      </c>
      <c r="O467" s="269">
        <f t="shared" si="205"/>
        <v>17.699535849485258</v>
      </c>
      <c r="Q467" s="251">
        <f t="shared" si="191"/>
        <v>176.71953584948523</v>
      </c>
      <c r="R467" s="251">
        <f>'RD Plant List'!N335</f>
        <v>664.33</v>
      </c>
      <c r="S467" s="251">
        <f>SUM(B467:O467)+'RD Plant List'!N335</f>
        <v>841.04953584948521</v>
      </c>
      <c r="T467" s="237">
        <f t="shared" si="203"/>
        <v>0.7898821314121609</v>
      </c>
      <c r="U467" s="251">
        <f t="shared" si="198"/>
        <v>541.70046367083364</v>
      </c>
      <c r="V467" s="271">
        <f t="shared" si="207"/>
        <v>0.64407676430580274</v>
      </c>
      <c r="W467" s="251">
        <f t="shared" si="213"/>
        <v>45.141705305902804</v>
      </c>
      <c r="X467" s="242">
        <f t="shared" si="214"/>
        <v>7.6100191206778565</v>
      </c>
      <c r="Y467" s="273">
        <f t="shared" si="215"/>
        <v>7.6100191206778565</v>
      </c>
      <c r="AB467" s="251">
        <f>SUM('BD Feedstock'!C465,'BD Feedstock'!E465,'BD Feedstock'!G465,'BD Feedstock'!K465,'BD Feedstock'!T465)</f>
        <v>21.812796010427753</v>
      </c>
      <c r="AC467" s="251">
        <f>SUM('BD Feedstock'!D465,'BD Feedstock'!F465,'BD Feedstock'!H465,'BD Feedstock'!I465,'BD Feedstock'!L465,'BD Feedstock'!M465,'BD Feedstock'!N465,'BD Feedstock'!O465,'BD Feedstock'!U465)</f>
        <v>12.773566250859661</v>
      </c>
      <c r="AD467" s="251">
        <f>'BD Feedstock'!J465</f>
        <v>0.90199999999999991</v>
      </c>
      <c r="AE467" s="251">
        <f>SUM('BD Feedstock'!B465,'BD Feedstock'!P465,'BD Feedstock'!Q465,'BD Feedstock'!R465)</f>
        <v>70.93020833333334</v>
      </c>
      <c r="AF467" s="251">
        <f>'BD Feedstock'!S465</f>
        <v>1.40625</v>
      </c>
      <c r="AG467" s="251">
        <f t="shared" si="208"/>
        <v>107.82482059462075</v>
      </c>
      <c r="AK467" s="237">
        <f t="shared" si="206"/>
        <v>0.20229846792359021</v>
      </c>
      <c r="AL467" s="237">
        <f t="shared" si="206"/>
        <v>0.11846591703484753</v>
      </c>
      <c r="AM467" s="237">
        <f t="shared" si="206"/>
        <v>8.3654208282077092E-3</v>
      </c>
      <c r="AN467" s="237">
        <f t="shared" si="206"/>
        <v>0.65782820636449979</v>
      </c>
      <c r="AO467" s="237">
        <f t="shared" si="206"/>
        <v>1.304198784885487E-2</v>
      </c>
      <c r="AP467" s="237">
        <f t="shared" si="209"/>
        <v>1</v>
      </c>
      <c r="AQ467" s="237"/>
      <c r="AR467" s="237">
        <f t="shared" si="210"/>
        <v>0.61464645366918802</v>
      </c>
      <c r="AS467" s="237">
        <f t="shared" si="211"/>
        <v>0.35993676340465403</v>
      </c>
      <c r="AT467" s="237">
        <f t="shared" si="212"/>
        <v>2.5416782926158003E-2</v>
      </c>
      <c r="AU467" s="237">
        <f t="shared" si="200"/>
        <v>0.98055959563958928</v>
      </c>
      <c r="AV467" s="237">
        <f t="shared" si="200"/>
        <v>1.9440404360410696E-2</v>
      </c>
      <c r="AX467" s="251">
        <f t="shared" si="201"/>
        <v>32102.445737649421</v>
      </c>
      <c r="AY467" s="251">
        <f t="shared" si="201"/>
        <v>19963.518205492139</v>
      </c>
      <c r="AZ467" s="251">
        <f t="shared" si="201"/>
        <v>1404.5767331777843</v>
      </c>
      <c r="BA467" s="251">
        <f t="shared" si="202"/>
        <v>100348.89355202191</v>
      </c>
      <c r="BB467" s="251">
        <f t="shared" si="202"/>
        <v>2002.8520946317728</v>
      </c>
      <c r="BC467" s="251">
        <f t="shared" si="204"/>
        <v>155822.286322973</v>
      </c>
      <c r="BD467" s="270">
        <f t="shared" si="199"/>
        <v>7.6100191206778556</v>
      </c>
    </row>
    <row r="468" spans="1:56">
      <c r="A468" s="11">
        <v>53874</v>
      </c>
      <c r="B468" s="268">
        <v>70</v>
      </c>
      <c r="C468" s="268">
        <v>13</v>
      </c>
      <c r="D468" s="268">
        <f t="shared" si="196"/>
        <v>20</v>
      </c>
      <c r="E468" s="268">
        <v>3</v>
      </c>
      <c r="F468" s="269">
        <v>0.2</v>
      </c>
      <c r="G468" s="269">
        <v>1.32</v>
      </c>
      <c r="I468" s="269">
        <v>5</v>
      </c>
      <c r="M468" s="269">
        <f t="shared" si="190"/>
        <v>1.5</v>
      </c>
      <c r="N468" s="269">
        <v>45</v>
      </c>
      <c r="O468" s="269">
        <f t="shared" si="205"/>
        <v>17.699535849485258</v>
      </c>
      <c r="Q468" s="251">
        <f t="shared" si="191"/>
        <v>176.71953584948523</v>
      </c>
      <c r="R468" s="251">
        <f>'RD Plant List'!N336</f>
        <v>664.33</v>
      </c>
      <c r="S468" s="251">
        <f>SUM(B468:O468)+'RD Plant List'!N336</f>
        <v>841.04953584948521</v>
      </c>
      <c r="T468" s="237">
        <f t="shared" si="203"/>
        <v>0.7898821314121609</v>
      </c>
      <c r="U468" s="251">
        <f t="shared" si="198"/>
        <v>556.27636414570179</v>
      </c>
      <c r="V468" s="271">
        <f t="shared" si="207"/>
        <v>0.66140737309110575</v>
      </c>
      <c r="W468" s="251">
        <f t="shared" si="213"/>
        <v>46.356363678808485</v>
      </c>
      <c r="X468" s="242">
        <f t="shared" si="214"/>
        <v>7.6100191206778574</v>
      </c>
      <c r="Y468" s="273">
        <f t="shared" si="215"/>
        <v>7.6100191206778574</v>
      </c>
      <c r="AB468" s="251">
        <f>SUM('BD Feedstock'!C466,'BD Feedstock'!E466,'BD Feedstock'!G466,'BD Feedstock'!K466,'BD Feedstock'!T466)</f>
        <v>21.812796010427753</v>
      </c>
      <c r="AC468" s="251">
        <f>SUM('BD Feedstock'!D466,'BD Feedstock'!F466,'BD Feedstock'!H466,'BD Feedstock'!I466,'BD Feedstock'!L466,'BD Feedstock'!M466,'BD Feedstock'!N466,'BD Feedstock'!O466,'BD Feedstock'!U466)</f>
        <v>12.773566250859661</v>
      </c>
      <c r="AD468" s="251">
        <f>'BD Feedstock'!J466</f>
        <v>0.90199999999999991</v>
      </c>
      <c r="AE468" s="251">
        <f>SUM('BD Feedstock'!B466,'BD Feedstock'!P466,'BD Feedstock'!Q466,'BD Feedstock'!R466)</f>
        <v>70.93020833333334</v>
      </c>
      <c r="AF468" s="251">
        <f>'BD Feedstock'!S466</f>
        <v>1.40625</v>
      </c>
      <c r="AG468" s="251">
        <f t="shared" si="208"/>
        <v>107.82482059462075</v>
      </c>
      <c r="AK468" s="237">
        <f t="shared" si="206"/>
        <v>0.20229846792359021</v>
      </c>
      <c r="AL468" s="237">
        <f t="shared" si="206"/>
        <v>0.11846591703484753</v>
      </c>
      <c r="AM468" s="237">
        <f t="shared" si="206"/>
        <v>8.3654208282077092E-3</v>
      </c>
      <c r="AN468" s="237">
        <f t="shared" si="206"/>
        <v>0.65782820636449979</v>
      </c>
      <c r="AO468" s="237">
        <f t="shared" si="206"/>
        <v>1.304198784885487E-2</v>
      </c>
      <c r="AP468" s="237">
        <f t="shared" si="209"/>
        <v>1</v>
      </c>
      <c r="AQ468" s="237"/>
      <c r="AR468" s="237">
        <f t="shared" si="210"/>
        <v>0.61464645366918802</v>
      </c>
      <c r="AS468" s="237">
        <f t="shared" si="211"/>
        <v>0.35993676340465403</v>
      </c>
      <c r="AT468" s="237">
        <f t="shared" si="212"/>
        <v>2.5416782926158003E-2</v>
      </c>
      <c r="AU468" s="237">
        <f t="shared" si="200"/>
        <v>0.98055959563958928</v>
      </c>
      <c r="AV468" s="237">
        <f t="shared" si="200"/>
        <v>1.9440404360410696E-2</v>
      </c>
      <c r="AX468" s="251">
        <f t="shared" si="201"/>
        <v>32966.247940994341</v>
      </c>
      <c r="AY468" s="251">
        <f t="shared" si="201"/>
        <v>20500.690081845358</v>
      </c>
      <c r="AZ468" s="251">
        <f t="shared" si="201"/>
        <v>1442.3706285962592</v>
      </c>
      <c r="BA468" s="251">
        <f t="shared" si="202"/>
        <v>103049.04904988801</v>
      </c>
      <c r="BB468" s="251">
        <f t="shared" si="202"/>
        <v>2056.744189534932</v>
      </c>
      <c r="BC468" s="251">
        <f t="shared" si="204"/>
        <v>160015.1018908589</v>
      </c>
      <c r="BD468" s="270">
        <f t="shared" si="199"/>
        <v>7.6100191206778574</v>
      </c>
    </row>
    <row r="469" spans="1:56">
      <c r="A469" s="11">
        <v>53905</v>
      </c>
      <c r="B469" s="268">
        <v>70</v>
      </c>
      <c r="C469" s="268">
        <v>13</v>
      </c>
      <c r="D469" s="268">
        <f t="shared" si="196"/>
        <v>20</v>
      </c>
      <c r="E469" s="268">
        <v>3</v>
      </c>
      <c r="F469" s="269">
        <v>0.2</v>
      </c>
      <c r="G469" s="269">
        <v>1.32</v>
      </c>
      <c r="I469" s="269">
        <v>5</v>
      </c>
      <c r="M469" s="269">
        <f t="shared" si="190"/>
        <v>1.5</v>
      </c>
      <c r="N469" s="269">
        <v>45</v>
      </c>
      <c r="O469" s="269">
        <f t="shared" si="205"/>
        <v>17.699535849485258</v>
      </c>
      <c r="Q469" s="251">
        <f t="shared" si="191"/>
        <v>176.71953584948523</v>
      </c>
      <c r="R469" s="251">
        <f>'RD Plant List'!N337</f>
        <v>664.33</v>
      </c>
      <c r="S469" s="251">
        <f>SUM(B469:O469)+'RD Plant List'!N337</f>
        <v>841.04953584948521</v>
      </c>
      <c r="T469" s="237">
        <f t="shared" si="203"/>
        <v>0.7898821314121609</v>
      </c>
      <c r="U469" s="251">
        <f t="shared" si="198"/>
        <v>524.98977253132216</v>
      </c>
      <c r="V469" s="271">
        <f t="shared" si="207"/>
        <v>0.62420790946762339</v>
      </c>
      <c r="W469" s="251">
        <f t="shared" si="213"/>
        <v>43.749147710943511</v>
      </c>
      <c r="X469" s="242">
        <f t="shared" si="214"/>
        <v>7.6100191206778582</v>
      </c>
      <c r="Y469" s="273">
        <f t="shared" si="215"/>
        <v>7.6100191206778582</v>
      </c>
      <c r="AB469" s="251">
        <f>SUM('BD Feedstock'!C467,'BD Feedstock'!E467,'BD Feedstock'!G467,'BD Feedstock'!K467,'BD Feedstock'!T467)</f>
        <v>21.812796010427753</v>
      </c>
      <c r="AC469" s="251">
        <f>SUM('BD Feedstock'!D467,'BD Feedstock'!F467,'BD Feedstock'!H467,'BD Feedstock'!I467,'BD Feedstock'!L467,'BD Feedstock'!M467,'BD Feedstock'!N467,'BD Feedstock'!O467,'BD Feedstock'!U467)</f>
        <v>12.773566250859661</v>
      </c>
      <c r="AD469" s="251">
        <f>'BD Feedstock'!J467</f>
        <v>0.90199999999999991</v>
      </c>
      <c r="AE469" s="251">
        <f>SUM('BD Feedstock'!B467,'BD Feedstock'!P467,'BD Feedstock'!Q467,'BD Feedstock'!R467)</f>
        <v>70.93020833333334</v>
      </c>
      <c r="AF469" s="251">
        <f>'BD Feedstock'!S467</f>
        <v>1.40625</v>
      </c>
      <c r="AG469" s="251">
        <f t="shared" si="208"/>
        <v>107.82482059462075</v>
      </c>
      <c r="AK469" s="237">
        <f t="shared" si="206"/>
        <v>0.20229846792359021</v>
      </c>
      <c r="AL469" s="237">
        <f t="shared" si="206"/>
        <v>0.11846591703484753</v>
      </c>
      <c r="AM469" s="237">
        <f t="shared" si="206"/>
        <v>8.3654208282077092E-3</v>
      </c>
      <c r="AN469" s="237">
        <f t="shared" si="206"/>
        <v>0.65782820636449979</v>
      </c>
      <c r="AO469" s="237">
        <f t="shared" si="206"/>
        <v>1.304198784885487E-2</v>
      </c>
      <c r="AP469" s="237">
        <f t="shared" si="209"/>
        <v>1</v>
      </c>
      <c r="AQ469" s="237"/>
      <c r="AR469" s="237">
        <f t="shared" si="210"/>
        <v>0.61464645366918802</v>
      </c>
      <c r="AS469" s="237">
        <f t="shared" si="211"/>
        <v>0.35993676340465403</v>
      </c>
      <c r="AT469" s="237">
        <f t="shared" si="212"/>
        <v>2.5416782926158003E-2</v>
      </c>
      <c r="AU469" s="237">
        <f t="shared" si="200"/>
        <v>0.98055959563958928</v>
      </c>
      <c r="AV469" s="237">
        <f t="shared" si="200"/>
        <v>1.9440404360410696E-2</v>
      </c>
      <c r="AX469" s="251">
        <f t="shared" si="201"/>
        <v>31112.130809894872</v>
      </c>
      <c r="AY469" s="251">
        <f t="shared" si="201"/>
        <v>19347.67197835524</v>
      </c>
      <c r="AZ469" s="251">
        <f t="shared" si="201"/>
        <v>1361.2475327358577</v>
      </c>
      <c r="BA469" s="251">
        <f t="shared" si="202"/>
        <v>97253.272486874499</v>
      </c>
      <c r="BB469" s="251">
        <f t="shared" si="202"/>
        <v>1941.066947680426</v>
      </c>
      <c r="BC469" s="251">
        <f t="shared" si="204"/>
        <v>151015.38975554091</v>
      </c>
      <c r="BD469" s="270">
        <f t="shared" si="199"/>
        <v>7.6100191206778591</v>
      </c>
    </row>
    <row r="470" spans="1:56">
      <c r="A470" s="11">
        <v>53936</v>
      </c>
      <c r="B470" s="268">
        <v>70</v>
      </c>
      <c r="C470" s="268">
        <v>13</v>
      </c>
      <c r="D470" s="268">
        <f t="shared" si="196"/>
        <v>20</v>
      </c>
      <c r="E470" s="268">
        <v>3</v>
      </c>
      <c r="F470" s="269">
        <v>0.2</v>
      </c>
      <c r="G470" s="269">
        <v>1.32</v>
      </c>
      <c r="I470" s="269">
        <v>5</v>
      </c>
      <c r="M470" s="269">
        <f t="shared" si="190"/>
        <v>1.5</v>
      </c>
      <c r="N470" s="269">
        <v>45</v>
      </c>
      <c r="O470" s="269">
        <f t="shared" si="205"/>
        <v>17.699535849485258</v>
      </c>
      <c r="Q470" s="251">
        <f t="shared" si="191"/>
        <v>176.71953584948523</v>
      </c>
      <c r="R470" s="251">
        <f>'RD Plant List'!N338</f>
        <v>664.33</v>
      </c>
      <c r="S470" s="251">
        <f>SUM(B470:O470)+'RD Plant List'!N338</f>
        <v>841.04953584948521</v>
      </c>
      <c r="T470" s="237">
        <f t="shared" si="203"/>
        <v>0.7898821314121609</v>
      </c>
      <c r="U470" s="251">
        <f t="shared" si="198"/>
        <v>569.07959755504578</v>
      </c>
      <c r="V470" s="271">
        <f t="shared" si="207"/>
        <v>0.67663029738225633</v>
      </c>
      <c r="W470" s="251">
        <f t="shared" si="213"/>
        <v>47.423299796253815</v>
      </c>
      <c r="X470" s="242">
        <f t="shared" si="214"/>
        <v>7.6100191206778582</v>
      </c>
      <c r="Y470" s="273">
        <f t="shared" si="215"/>
        <v>7.6100191206778582</v>
      </c>
      <c r="AB470" s="251">
        <f>SUM('BD Feedstock'!C468,'BD Feedstock'!E468,'BD Feedstock'!G468,'BD Feedstock'!K468,'BD Feedstock'!T468)</f>
        <v>21.812796010427753</v>
      </c>
      <c r="AC470" s="251">
        <f>SUM('BD Feedstock'!D468,'BD Feedstock'!F468,'BD Feedstock'!H468,'BD Feedstock'!I468,'BD Feedstock'!L468,'BD Feedstock'!M468,'BD Feedstock'!N468,'BD Feedstock'!O468,'BD Feedstock'!U468)</f>
        <v>12.773566250859661</v>
      </c>
      <c r="AD470" s="251">
        <f>'BD Feedstock'!J468</f>
        <v>0.90199999999999991</v>
      </c>
      <c r="AE470" s="251">
        <f>SUM('BD Feedstock'!B468,'BD Feedstock'!P468,'BD Feedstock'!Q468,'BD Feedstock'!R468)</f>
        <v>70.93020833333334</v>
      </c>
      <c r="AF470" s="251">
        <f>'BD Feedstock'!S468</f>
        <v>1.40625</v>
      </c>
      <c r="AG470" s="251">
        <f t="shared" si="208"/>
        <v>107.82482059462075</v>
      </c>
      <c r="AK470" s="237">
        <f t="shared" si="206"/>
        <v>0.20229846792359021</v>
      </c>
      <c r="AL470" s="237">
        <f t="shared" si="206"/>
        <v>0.11846591703484753</v>
      </c>
      <c r="AM470" s="237">
        <f t="shared" si="206"/>
        <v>8.3654208282077092E-3</v>
      </c>
      <c r="AN470" s="237">
        <f t="shared" si="206"/>
        <v>0.65782820636449979</v>
      </c>
      <c r="AO470" s="237">
        <f t="shared" si="206"/>
        <v>1.304198784885487E-2</v>
      </c>
      <c r="AP470" s="237">
        <f t="shared" si="209"/>
        <v>1</v>
      </c>
      <c r="AQ470" s="237"/>
      <c r="AR470" s="237">
        <f t="shared" si="210"/>
        <v>0.61464645366918802</v>
      </c>
      <c r="AS470" s="237">
        <f t="shared" si="211"/>
        <v>0.35993676340465403</v>
      </c>
      <c r="AT470" s="237">
        <f t="shared" si="212"/>
        <v>2.5416782926158003E-2</v>
      </c>
      <c r="AU470" s="237">
        <f t="shared" si="200"/>
        <v>0.98055959563958928</v>
      </c>
      <c r="AV470" s="237">
        <f t="shared" si="200"/>
        <v>1.9440404360410696E-2</v>
      </c>
      <c r="AX470" s="251">
        <f t="shared" si="201"/>
        <v>33724.997717586157</v>
      </c>
      <c r="AY470" s="251">
        <f t="shared" si="201"/>
        <v>20972.533102847316</v>
      </c>
      <c r="AZ470" s="251">
        <f t="shared" si="201"/>
        <v>1475.5681703416478</v>
      </c>
      <c r="BA470" s="251">
        <f t="shared" si="202"/>
        <v>105420.82163027232</v>
      </c>
      <c r="BB470" s="251">
        <f t="shared" si="202"/>
        <v>2104.0821273284396</v>
      </c>
      <c r="BC470" s="251">
        <f t="shared" si="204"/>
        <v>163698.00274837587</v>
      </c>
      <c r="BD470" s="270">
        <f t="shared" si="199"/>
        <v>7.6100191206778582</v>
      </c>
    </row>
    <row r="471" spans="1:56">
      <c r="A471" s="11">
        <v>53966</v>
      </c>
      <c r="B471" s="268">
        <v>70</v>
      </c>
      <c r="C471" s="268">
        <v>13</v>
      </c>
      <c r="D471" s="268">
        <f t="shared" si="196"/>
        <v>20</v>
      </c>
      <c r="E471" s="268">
        <v>3</v>
      </c>
      <c r="F471" s="269">
        <v>0.2</v>
      </c>
      <c r="G471" s="269">
        <v>1.32</v>
      </c>
      <c r="I471" s="269">
        <v>5</v>
      </c>
      <c r="M471" s="269">
        <f t="shared" ref="M471:M509" si="216">$M$3</f>
        <v>1.5</v>
      </c>
      <c r="N471" s="269">
        <v>45</v>
      </c>
      <c r="O471" s="269">
        <f t="shared" si="205"/>
        <v>17.699535849485258</v>
      </c>
      <c r="Q471" s="251">
        <f t="shared" si="191"/>
        <v>176.71953584948523</v>
      </c>
      <c r="R471" s="251">
        <f>'RD Plant List'!N339</f>
        <v>664.33</v>
      </c>
      <c r="S471" s="251">
        <f>SUM(B471:O471)+'RD Plant List'!N339</f>
        <v>841.04953584948521</v>
      </c>
      <c r="T471" s="237">
        <f t="shared" si="203"/>
        <v>0.7898821314121609</v>
      </c>
      <c r="U471" s="251">
        <f t="shared" si="198"/>
        <v>595.81755587930911</v>
      </c>
      <c r="V471" s="271">
        <f t="shared" si="207"/>
        <v>0.7084214787390799</v>
      </c>
      <c r="W471" s="251">
        <f t="shared" si="213"/>
        <v>49.651462989942424</v>
      </c>
      <c r="X471" s="242">
        <f t="shared" si="214"/>
        <v>7.6100191206778574</v>
      </c>
      <c r="Y471" s="273">
        <f t="shared" si="215"/>
        <v>7.6100191206778574</v>
      </c>
      <c r="AB471" s="251">
        <f>SUM('BD Feedstock'!C469,'BD Feedstock'!E469,'BD Feedstock'!G469,'BD Feedstock'!K469,'BD Feedstock'!T469)</f>
        <v>21.812796010427753</v>
      </c>
      <c r="AC471" s="251">
        <f>SUM('BD Feedstock'!D469,'BD Feedstock'!F469,'BD Feedstock'!H469,'BD Feedstock'!I469,'BD Feedstock'!L469,'BD Feedstock'!M469,'BD Feedstock'!N469,'BD Feedstock'!O469,'BD Feedstock'!U469)</f>
        <v>12.773566250859661</v>
      </c>
      <c r="AD471" s="251">
        <f>'BD Feedstock'!J469</f>
        <v>0.90199999999999991</v>
      </c>
      <c r="AE471" s="251">
        <f>SUM('BD Feedstock'!B469,'BD Feedstock'!P469,'BD Feedstock'!Q469,'BD Feedstock'!R469)</f>
        <v>70.93020833333334</v>
      </c>
      <c r="AF471" s="251">
        <f>'BD Feedstock'!S469</f>
        <v>1.40625</v>
      </c>
      <c r="AG471" s="251">
        <f t="shared" si="208"/>
        <v>107.82482059462075</v>
      </c>
      <c r="AK471" s="237">
        <f t="shared" si="206"/>
        <v>0.20229846792359021</v>
      </c>
      <c r="AL471" s="237">
        <f t="shared" si="206"/>
        <v>0.11846591703484753</v>
      </c>
      <c r="AM471" s="237">
        <f t="shared" si="206"/>
        <v>8.3654208282077092E-3</v>
      </c>
      <c r="AN471" s="237">
        <f t="shared" si="206"/>
        <v>0.65782820636449979</v>
      </c>
      <c r="AO471" s="237">
        <f t="shared" si="206"/>
        <v>1.304198784885487E-2</v>
      </c>
      <c r="AP471" s="237">
        <f t="shared" si="209"/>
        <v>1</v>
      </c>
      <c r="AQ471" s="237"/>
      <c r="AR471" s="237">
        <f t="shared" si="210"/>
        <v>0.61464645366918802</v>
      </c>
      <c r="AS471" s="237">
        <f t="shared" si="211"/>
        <v>0.35993676340465403</v>
      </c>
      <c r="AT471" s="237">
        <f t="shared" si="212"/>
        <v>2.5416782926158003E-2</v>
      </c>
      <c r="AU471" s="237">
        <f t="shared" si="200"/>
        <v>0.98055959563958928</v>
      </c>
      <c r="AV471" s="237">
        <f t="shared" si="200"/>
        <v>1.9440404360410696E-2</v>
      </c>
      <c r="AX471" s="251">
        <f t="shared" si="201"/>
        <v>35309.552123213871</v>
      </c>
      <c r="AY471" s="251">
        <f t="shared" si="201"/>
        <v>21957.918483850928</v>
      </c>
      <c r="AZ471" s="251">
        <f t="shared" si="201"/>
        <v>1544.8971015012089</v>
      </c>
      <c r="BA471" s="251">
        <f t="shared" si="202"/>
        <v>110373.97325856834</v>
      </c>
      <c r="BB471" s="251">
        <f t="shared" si="202"/>
        <v>2202.9415144388572</v>
      </c>
      <c r="BC471" s="251">
        <f t="shared" si="204"/>
        <v>171389.2824815732</v>
      </c>
      <c r="BD471" s="270">
        <f t="shared" si="199"/>
        <v>7.6100191206778574</v>
      </c>
    </row>
    <row r="472" spans="1:56">
      <c r="A472" s="11">
        <v>53997</v>
      </c>
      <c r="B472" s="268">
        <v>70</v>
      </c>
      <c r="C472" s="268">
        <v>13</v>
      </c>
      <c r="D472" s="268">
        <f t="shared" si="196"/>
        <v>20</v>
      </c>
      <c r="E472" s="268">
        <v>3</v>
      </c>
      <c r="F472" s="269">
        <v>0.2</v>
      </c>
      <c r="G472" s="269">
        <v>1.32</v>
      </c>
      <c r="I472" s="269">
        <v>5</v>
      </c>
      <c r="M472" s="269">
        <f t="shared" si="216"/>
        <v>1.5</v>
      </c>
      <c r="N472" s="269">
        <v>45</v>
      </c>
      <c r="O472" s="269">
        <f t="shared" si="205"/>
        <v>17.699535849485258</v>
      </c>
      <c r="Q472" s="251">
        <f t="shared" si="191"/>
        <v>176.71953584948523</v>
      </c>
      <c r="R472" s="251">
        <f>'RD Plant List'!N340</f>
        <v>664.33</v>
      </c>
      <c r="S472" s="251">
        <f>SUM(B472:O472)+'RD Plant List'!N340</f>
        <v>841.04953584948521</v>
      </c>
      <c r="T472" s="237">
        <f t="shared" si="203"/>
        <v>0.7898821314121609</v>
      </c>
      <c r="U472" s="251">
        <f t="shared" si="198"/>
        <v>641.01545455305677</v>
      </c>
      <c r="V472" s="271">
        <f t="shared" si="207"/>
        <v>0.76216135581789723</v>
      </c>
      <c r="W472" s="251">
        <f t="shared" si="213"/>
        <v>53.417954546088062</v>
      </c>
      <c r="X472" s="242">
        <f t="shared" si="214"/>
        <v>7.6100191206778574</v>
      </c>
      <c r="Y472" s="273">
        <f t="shared" si="215"/>
        <v>7.6100191206778574</v>
      </c>
      <c r="AB472" s="251">
        <f>SUM('BD Feedstock'!C470,'BD Feedstock'!E470,'BD Feedstock'!G470,'BD Feedstock'!K470,'BD Feedstock'!T470)</f>
        <v>21.812796010427753</v>
      </c>
      <c r="AC472" s="251">
        <f>SUM('BD Feedstock'!D470,'BD Feedstock'!F470,'BD Feedstock'!H470,'BD Feedstock'!I470,'BD Feedstock'!L470,'BD Feedstock'!M470,'BD Feedstock'!N470,'BD Feedstock'!O470,'BD Feedstock'!U470)</f>
        <v>12.773566250859661</v>
      </c>
      <c r="AD472" s="251">
        <f>'BD Feedstock'!J470</f>
        <v>0.90199999999999991</v>
      </c>
      <c r="AE472" s="251">
        <f>SUM('BD Feedstock'!B470,'BD Feedstock'!P470,'BD Feedstock'!Q470,'BD Feedstock'!R470)</f>
        <v>70.93020833333334</v>
      </c>
      <c r="AF472" s="251">
        <f>'BD Feedstock'!S470</f>
        <v>1.40625</v>
      </c>
      <c r="AG472" s="251">
        <f t="shared" si="208"/>
        <v>107.82482059462075</v>
      </c>
      <c r="AK472" s="237">
        <f t="shared" si="206"/>
        <v>0.20229846792359021</v>
      </c>
      <c r="AL472" s="237">
        <f t="shared" si="206"/>
        <v>0.11846591703484753</v>
      </c>
      <c r="AM472" s="237">
        <f t="shared" si="206"/>
        <v>8.3654208282077092E-3</v>
      </c>
      <c r="AN472" s="237">
        <f t="shared" si="206"/>
        <v>0.65782820636449979</v>
      </c>
      <c r="AO472" s="237">
        <f t="shared" si="206"/>
        <v>1.304198784885487E-2</v>
      </c>
      <c r="AP472" s="237">
        <f t="shared" si="209"/>
        <v>1</v>
      </c>
      <c r="AQ472" s="237"/>
      <c r="AR472" s="237">
        <f t="shared" si="210"/>
        <v>0.61464645366918802</v>
      </c>
      <c r="AS472" s="237">
        <f t="shared" si="211"/>
        <v>0.35993676340465403</v>
      </c>
      <c r="AT472" s="237">
        <f t="shared" si="212"/>
        <v>2.5416782926158003E-2</v>
      </c>
      <c r="AU472" s="237">
        <f t="shared" si="200"/>
        <v>0.98055959563958928</v>
      </c>
      <c r="AV472" s="237">
        <f t="shared" si="200"/>
        <v>1.9440404360410696E-2</v>
      </c>
      <c r="AX472" s="251">
        <f t="shared" si="201"/>
        <v>37988.086086056195</v>
      </c>
      <c r="AY472" s="251">
        <f t="shared" si="201"/>
        <v>23623.615919125128</v>
      </c>
      <c r="AZ472" s="251">
        <f t="shared" si="201"/>
        <v>1662.0908665489148</v>
      </c>
      <c r="BA472" s="251">
        <f t="shared" si="202"/>
        <v>118746.79076005571</v>
      </c>
      <c r="BB472" s="251">
        <f t="shared" si="202"/>
        <v>2370.0536217799322</v>
      </c>
      <c r="BC472" s="251">
        <f t="shared" si="204"/>
        <v>184390.63725356586</v>
      </c>
      <c r="BD472" s="270">
        <f t="shared" si="199"/>
        <v>7.6100191206778574</v>
      </c>
    </row>
    <row r="473" spans="1:56">
      <c r="A473" s="11">
        <v>54027</v>
      </c>
      <c r="B473" s="268">
        <v>70</v>
      </c>
      <c r="C473" s="268">
        <v>13</v>
      </c>
      <c r="D473" s="268">
        <f t="shared" si="196"/>
        <v>20</v>
      </c>
      <c r="E473" s="268">
        <v>3</v>
      </c>
      <c r="F473" s="269">
        <v>0.2</v>
      </c>
      <c r="G473" s="269">
        <v>1.32</v>
      </c>
      <c r="I473" s="269">
        <v>5</v>
      </c>
      <c r="M473" s="269">
        <f t="shared" si="216"/>
        <v>1.5</v>
      </c>
      <c r="N473" s="269">
        <v>45</v>
      </c>
      <c r="O473" s="269">
        <f t="shared" si="205"/>
        <v>17.699535849485258</v>
      </c>
      <c r="Q473" s="251">
        <f t="shared" si="191"/>
        <v>176.71953584948523</v>
      </c>
      <c r="R473" s="251">
        <f>'RD Plant List'!N341</f>
        <v>664.33</v>
      </c>
      <c r="S473" s="251">
        <f>SUM(B473:O473)+'RD Plant List'!N341</f>
        <v>841.04953584948521</v>
      </c>
      <c r="T473" s="237">
        <f t="shared" si="203"/>
        <v>0.7898821314121609</v>
      </c>
      <c r="U473" s="251">
        <f t="shared" si="198"/>
        <v>582.91997558120249</v>
      </c>
      <c r="V473" s="271">
        <f t="shared" si="207"/>
        <v>0.69308637688318309</v>
      </c>
      <c r="W473" s="251">
        <f t="shared" si="213"/>
        <v>48.576664631766874</v>
      </c>
      <c r="X473" s="242">
        <f t="shared" si="214"/>
        <v>7.6100191206778574</v>
      </c>
      <c r="Y473" s="273">
        <f t="shared" si="215"/>
        <v>7.6100191206778574</v>
      </c>
      <c r="AB473" s="251">
        <f>SUM('BD Feedstock'!C471,'BD Feedstock'!E471,'BD Feedstock'!G471,'BD Feedstock'!K471,'BD Feedstock'!T471)</f>
        <v>21.812796010427753</v>
      </c>
      <c r="AC473" s="251">
        <f>SUM('BD Feedstock'!D471,'BD Feedstock'!F471,'BD Feedstock'!H471,'BD Feedstock'!I471,'BD Feedstock'!L471,'BD Feedstock'!M471,'BD Feedstock'!N471,'BD Feedstock'!O471,'BD Feedstock'!U471)</f>
        <v>12.773566250859661</v>
      </c>
      <c r="AD473" s="251">
        <f>'BD Feedstock'!J471</f>
        <v>0.90199999999999991</v>
      </c>
      <c r="AE473" s="251">
        <f>SUM('BD Feedstock'!B471,'BD Feedstock'!P471,'BD Feedstock'!Q471,'BD Feedstock'!R471)</f>
        <v>70.93020833333334</v>
      </c>
      <c r="AF473" s="251">
        <f>'BD Feedstock'!S471</f>
        <v>1.40625</v>
      </c>
      <c r="AG473" s="251">
        <f t="shared" si="208"/>
        <v>107.82482059462075</v>
      </c>
      <c r="AK473" s="237">
        <f t="shared" si="206"/>
        <v>0.20229846792359021</v>
      </c>
      <c r="AL473" s="237">
        <f t="shared" si="206"/>
        <v>0.11846591703484753</v>
      </c>
      <c r="AM473" s="237">
        <f t="shared" si="206"/>
        <v>8.3654208282077092E-3</v>
      </c>
      <c r="AN473" s="237">
        <f t="shared" si="206"/>
        <v>0.65782820636449979</v>
      </c>
      <c r="AO473" s="237">
        <f t="shared" si="206"/>
        <v>1.304198784885487E-2</v>
      </c>
      <c r="AP473" s="237">
        <f t="shared" si="209"/>
        <v>1</v>
      </c>
      <c r="AQ473" s="237"/>
      <c r="AR473" s="237">
        <f t="shared" si="210"/>
        <v>0.61464645366918802</v>
      </c>
      <c r="AS473" s="237">
        <f t="shared" si="211"/>
        <v>0.35993676340465403</v>
      </c>
      <c r="AT473" s="237">
        <f t="shared" si="212"/>
        <v>2.5416782926158003E-2</v>
      </c>
      <c r="AU473" s="237">
        <f t="shared" si="200"/>
        <v>0.98055959563958928</v>
      </c>
      <c r="AV473" s="237">
        <f t="shared" si="200"/>
        <v>1.9440404360410696E-2</v>
      </c>
      <c r="AX473" s="251">
        <f t="shared" si="201"/>
        <v>34545.211127710238</v>
      </c>
      <c r="AY473" s="251">
        <f t="shared" si="201"/>
        <v>21482.598456721495</v>
      </c>
      <c r="AZ473" s="251">
        <f t="shared" si="201"/>
        <v>1511.4549274291171</v>
      </c>
      <c r="BA473" s="251">
        <f t="shared" si="202"/>
        <v>107984.72311164616</v>
      </c>
      <c r="BB473" s="251">
        <f t="shared" si="202"/>
        <v>2155.2547438928364</v>
      </c>
      <c r="BC473" s="251">
        <f t="shared" si="204"/>
        <v>167679.24236739986</v>
      </c>
      <c r="BD473" s="270">
        <f t="shared" si="199"/>
        <v>7.6100191206778582</v>
      </c>
    </row>
    <row r="474" spans="1:56">
      <c r="A474" s="11">
        <v>54058</v>
      </c>
      <c r="B474" s="268">
        <v>70</v>
      </c>
      <c r="C474" s="268">
        <v>13</v>
      </c>
      <c r="D474" s="268">
        <f t="shared" si="196"/>
        <v>20</v>
      </c>
      <c r="E474" s="268">
        <v>3</v>
      </c>
      <c r="F474" s="269">
        <v>0.2</v>
      </c>
      <c r="G474" s="269">
        <v>1.32</v>
      </c>
      <c r="I474" s="269">
        <v>5</v>
      </c>
      <c r="M474" s="269">
        <f t="shared" si="216"/>
        <v>1.5</v>
      </c>
      <c r="N474" s="269">
        <v>45</v>
      </c>
      <c r="O474" s="269">
        <f t="shared" si="205"/>
        <v>17.699535849485258</v>
      </c>
      <c r="Q474" s="251">
        <f t="shared" si="191"/>
        <v>176.71953584948523</v>
      </c>
      <c r="R474" s="251">
        <f>'RD Plant List'!N342</f>
        <v>664.33</v>
      </c>
      <c r="S474" s="251">
        <f>SUM(B474:O474)+'RD Plant List'!N342</f>
        <v>841.04953584948521</v>
      </c>
      <c r="T474" s="237">
        <f t="shared" si="203"/>
        <v>0.7898821314121609</v>
      </c>
      <c r="U474" s="251">
        <f t="shared" si="198"/>
        <v>477.86915727702876</v>
      </c>
      <c r="V474" s="271">
        <f t="shared" si="207"/>
        <v>0.5681819404303774</v>
      </c>
      <c r="W474" s="251">
        <f t="shared" si="213"/>
        <v>39.82242977308573</v>
      </c>
      <c r="X474" s="242">
        <f t="shared" si="214"/>
        <v>7.6100191206778565</v>
      </c>
      <c r="Y474" s="273">
        <f t="shared" si="215"/>
        <v>7.6100191206778565</v>
      </c>
      <c r="AB474" s="251">
        <f>SUM('BD Feedstock'!C472,'BD Feedstock'!E472,'BD Feedstock'!G472,'BD Feedstock'!K472,'BD Feedstock'!T472)</f>
        <v>21.812796010427753</v>
      </c>
      <c r="AC474" s="251">
        <f>SUM('BD Feedstock'!D472,'BD Feedstock'!F472,'BD Feedstock'!H472,'BD Feedstock'!I472,'BD Feedstock'!L472,'BD Feedstock'!M472,'BD Feedstock'!N472,'BD Feedstock'!O472,'BD Feedstock'!U472)</f>
        <v>12.773566250859661</v>
      </c>
      <c r="AD474" s="251">
        <f>'BD Feedstock'!J472</f>
        <v>0.90199999999999991</v>
      </c>
      <c r="AE474" s="251">
        <f>SUM('BD Feedstock'!B472,'BD Feedstock'!P472,'BD Feedstock'!Q472,'BD Feedstock'!R472)</f>
        <v>70.93020833333334</v>
      </c>
      <c r="AF474" s="251">
        <f>'BD Feedstock'!S472</f>
        <v>1.40625</v>
      </c>
      <c r="AG474" s="251">
        <f t="shared" si="208"/>
        <v>107.82482059462075</v>
      </c>
      <c r="AK474" s="237">
        <f t="shared" si="206"/>
        <v>0.20229846792359021</v>
      </c>
      <c r="AL474" s="237">
        <f t="shared" si="206"/>
        <v>0.11846591703484753</v>
      </c>
      <c r="AM474" s="237">
        <f t="shared" si="206"/>
        <v>8.3654208282077092E-3</v>
      </c>
      <c r="AN474" s="237">
        <f t="shared" si="206"/>
        <v>0.65782820636449979</v>
      </c>
      <c r="AO474" s="237">
        <f t="shared" si="206"/>
        <v>1.304198784885487E-2</v>
      </c>
      <c r="AP474" s="237">
        <f t="shared" si="209"/>
        <v>1</v>
      </c>
      <c r="AQ474" s="237"/>
      <c r="AR474" s="237">
        <f t="shared" si="210"/>
        <v>0.61464645366918802</v>
      </c>
      <c r="AS474" s="237">
        <f t="shared" si="211"/>
        <v>0.35993676340465403</v>
      </c>
      <c r="AT474" s="237">
        <f t="shared" si="212"/>
        <v>2.5416782926158003E-2</v>
      </c>
      <c r="AU474" s="237">
        <f t="shared" si="200"/>
        <v>0.98055959563958928</v>
      </c>
      <c r="AV474" s="237">
        <f t="shared" si="200"/>
        <v>1.9440404360410696E-2</v>
      </c>
      <c r="AX474" s="251">
        <f t="shared" si="201"/>
        <v>28319.652132518662</v>
      </c>
      <c r="AY474" s="251">
        <f t="shared" si="201"/>
        <v>17611.115848961388</v>
      </c>
      <c r="AZ474" s="251">
        <f t="shared" si="201"/>
        <v>1239.0683501841147</v>
      </c>
      <c r="BA474" s="251">
        <f t="shared" si="202"/>
        <v>88524.275704748507</v>
      </c>
      <c r="BB474" s="251">
        <f t="shared" si="202"/>
        <v>1766.8458987951012</v>
      </c>
      <c r="BC474" s="251">
        <f t="shared" si="204"/>
        <v>137460.95793520776</v>
      </c>
      <c r="BD474" s="270">
        <f t="shared" si="199"/>
        <v>7.6100191206778565</v>
      </c>
    </row>
    <row r="475" spans="1:56">
      <c r="A475" s="11">
        <v>54089</v>
      </c>
      <c r="B475" s="268">
        <v>70</v>
      </c>
      <c r="C475" s="268">
        <v>13</v>
      </c>
      <c r="D475" s="268">
        <f t="shared" si="196"/>
        <v>20</v>
      </c>
      <c r="E475" s="268">
        <v>3</v>
      </c>
      <c r="F475" s="269">
        <v>0.2</v>
      </c>
      <c r="G475" s="269">
        <v>1.32</v>
      </c>
      <c r="I475" s="269">
        <v>5</v>
      </c>
      <c r="M475" s="269">
        <f t="shared" si="216"/>
        <v>1.5</v>
      </c>
      <c r="N475" s="269">
        <v>45</v>
      </c>
      <c r="O475" s="269">
        <f t="shared" si="205"/>
        <v>17.699535849485258</v>
      </c>
      <c r="Q475" s="251">
        <f t="shared" si="191"/>
        <v>176.71953584948523</v>
      </c>
      <c r="R475" s="251">
        <f>'RD Plant List'!N343</f>
        <v>664.33</v>
      </c>
      <c r="S475" s="251">
        <f>SUM(B475:O475)+'RD Plant List'!N343</f>
        <v>841.04953584948521</v>
      </c>
      <c r="T475" s="237">
        <f t="shared" si="203"/>
        <v>0.7898821314121609</v>
      </c>
      <c r="U475" s="251">
        <f t="shared" si="198"/>
        <v>441.88603236249691</v>
      </c>
      <c r="V475" s="271">
        <f t="shared" si="207"/>
        <v>0.52539834281720255</v>
      </c>
      <c r="W475" s="251">
        <f t="shared" si="213"/>
        <v>36.823836030208078</v>
      </c>
      <c r="X475" s="242">
        <f t="shared" si="214"/>
        <v>7.6100191206778565</v>
      </c>
      <c r="Y475" s="273">
        <f t="shared" si="215"/>
        <v>7.6100191206778565</v>
      </c>
      <c r="AB475" s="251">
        <f>SUM('BD Feedstock'!C473,'BD Feedstock'!E473,'BD Feedstock'!G473,'BD Feedstock'!K473,'BD Feedstock'!T473)</f>
        <v>21.812796010427753</v>
      </c>
      <c r="AC475" s="251">
        <f>SUM('BD Feedstock'!D473,'BD Feedstock'!F473,'BD Feedstock'!H473,'BD Feedstock'!I473,'BD Feedstock'!L473,'BD Feedstock'!M473,'BD Feedstock'!N473,'BD Feedstock'!O473,'BD Feedstock'!U473)</f>
        <v>12.773566250859661</v>
      </c>
      <c r="AD475" s="251">
        <f>'BD Feedstock'!J473</f>
        <v>0.90199999999999991</v>
      </c>
      <c r="AE475" s="251">
        <f>SUM('BD Feedstock'!B473,'BD Feedstock'!P473,'BD Feedstock'!Q473,'BD Feedstock'!R473)</f>
        <v>70.93020833333334</v>
      </c>
      <c r="AF475" s="251">
        <f>'BD Feedstock'!S473</f>
        <v>1.40625</v>
      </c>
      <c r="AG475" s="251">
        <f t="shared" si="208"/>
        <v>107.82482059462075</v>
      </c>
      <c r="AK475" s="237">
        <f t="shared" si="206"/>
        <v>0.20229846792359021</v>
      </c>
      <c r="AL475" s="237">
        <f t="shared" si="206"/>
        <v>0.11846591703484753</v>
      </c>
      <c r="AM475" s="237">
        <f t="shared" si="206"/>
        <v>8.3654208282077092E-3</v>
      </c>
      <c r="AN475" s="237">
        <f t="shared" si="206"/>
        <v>0.65782820636449979</v>
      </c>
      <c r="AO475" s="237">
        <f t="shared" si="206"/>
        <v>1.304198784885487E-2</v>
      </c>
      <c r="AP475" s="237">
        <f t="shared" si="209"/>
        <v>1</v>
      </c>
      <c r="AQ475" s="237"/>
      <c r="AR475" s="237">
        <f t="shared" si="210"/>
        <v>0.61464645366918802</v>
      </c>
      <c r="AS475" s="237">
        <f t="shared" si="211"/>
        <v>0.35993676340465403</v>
      </c>
      <c r="AT475" s="237">
        <f t="shared" si="212"/>
        <v>2.5416782926158003E-2</v>
      </c>
      <c r="AU475" s="237">
        <f t="shared" si="200"/>
        <v>0.98055959563958928</v>
      </c>
      <c r="AV475" s="237">
        <f t="shared" si="200"/>
        <v>1.9440404360410696E-2</v>
      </c>
      <c r="AX475" s="251">
        <f t="shared" si="201"/>
        <v>26187.207372896406</v>
      </c>
      <c r="AY475" s="251">
        <f t="shared" si="201"/>
        <v>16285.014400840306</v>
      </c>
      <c r="AZ475" s="251">
        <f t="shared" si="201"/>
        <v>1145.767599249752</v>
      </c>
      <c r="BA475" s="251">
        <f t="shared" si="202"/>
        <v>81858.476035225569</v>
      </c>
      <c r="BB475" s="251">
        <f t="shared" si="202"/>
        <v>1633.8039652178397</v>
      </c>
      <c r="BC475" s="251">
        <f t="shared" si="204"/>
        <v>127110.26937342988</v>
      </c>
      <c r="BD475" s="270">
        <f t="shared" si="199"/>
        <v>7.6100191206778574</v>
      </c>
    </row>
    <row r="476" spans="1:56">
      <c r="A476" s="11">
        <v>54118</v>
      </c>
      <c r="B476" s="268">
        <v>70</v>
      </c>
      <c r="C476" s="268">
        <v>13</v>
      </c>
      <c r="D476" s="268">
        <f t="shared" si="196"/>
        <v>20</v>
      </c>
      <c r="E476" s="268">
        <v>3</v>
      </c>
      <c r="F476" s="269">
        <v>0.2</v>
      </c>
      <c r="G476" s="269">
        <v>1.32</v>
      </c>
      <c r="I476" s="269">
        <v>5</v>
      </c>
      <c r="M476" s="269">
        <f t="shared" si="216"/>
        <v>1.5</v>
      </c>
      <c r="N476" s="269">
        <v>45</v>
      </c>
      <c r="O476" s="269">
        <f t="shared" si="205"/>
        <v>17.699535849485258</v>
      </c>
      <c r="Q476" s="251">
        <f t="shared" si="191"/>
        <v>176.71953584948523</v>
      </c>
      <c r="R476" s="251">
        <f>'RD Plant List'!N344</f>
        <v>664.33</v>
      </c>
      <c r="S476" s="251">
        <f>SUM(B476:O476)+'RD Plant List'!N344</f>
        <v>841.04953584948521</v>
      </c>
      <c r="T476" s="237">
        <f t="shared" si="203"/>
        <v>0.7898821314121609</v>
      </c>
      <c r="U476" s="251">
        <f t="shared" si="198"/>
        <v>491.08157333670846</v>
      </c>
      <c r="V476" s="271">
        <f t="shared" si="207"/>
        <v>0.58389137905022603</v>
      </c>
      <c r="W476" s="251">
        <f t="shared" si="213"/>
        <v>40.923464444725703</v>
      </c>
      <c r="X476" s="242">
        <f t="shared" si="214"/>
        <v>7.6100191206778574</v>
      </c>
      <c r="Y476" s="273">
        <f t="shared" si="215"/>
        <v>7.6100191206778574</v>
      </c>
      <c r="AB476" s="251">
        <f>SUM('BD Feedstock'!C474,'BD Feedstock'!E474,'BD Feedstock'!G474,'BD Feedstock'!K474,'BD Feedstock'!T474)</f>
        <v>21.812796010427753</v>
      </c>
      <c r="AC476" s="251">
        <f>SUM('BD Feedstock'!D474,'BD Feedstock'!F474,'BD Feedstock'!H474,'BD Feedstock'!I474,'BD Feedstock'!L474,'BD Feedstock'!M474,'BD Feedstock'!N474,'BD Feedstock'!O474,'BD Feedstock'!U474)</f>
        <v>12.773566250859661</v>
      </c>
      <c r="AD476" s="251">
        <f>'BD Feedstock'!J474</f>
        <v>0.90199999999999991</v>
      </c>
      <c r="AE476" s="251">
        <f>SUM('BD Feedstock'!B474,'BD Feedstock'!P474,'BD Feedstock'!Q474,'BD Feedstock'!R474)</f>
        <v>70.93020833333334</v>
      </c>
      <c r="AF476" s="251">
        <f>'BD Feedstock'!S474</f>
        <v>1.40625</v>
      </c>
      <c r="AG476" s="251">
        <f t="shared" si="208"/>
        <v>107.82482059462075</v>
      </c>
      <c r="AK476" s="237">
        <f t="shared" si="206"/>
        <v>0.20229846792359021</v>
      </c>
      <c r="AL476" s="237">
        <f t="shared" si="206"/>
        <v>0.11846591703484753</v>
      </c>
      <c r="AM476" s="237">
        <f t="shared" si="206"/>
        <v>8.3654208282077092E-3</v>
      </c>
      <c r="AN476" s="237">
        <f t="shared" si="206"/>
        <v>0.65782820636449979</v>
      </c>
      <c r="AO476" s="237">
        <f t="shared" si="206"/>
        <v>1.304198784885487E-2</v>
      </c>
      <c r="AP476" s="237">
        <f t="shared" si="209"/>
        <v>1</v>
      </c>
      <c r="AQ476" s="237"/>
      <c r="AR476" s="237">
        <f t="shared" si="210"/>
        <v>0.61464645366918802</v>
      </c>
      <c r="AS476" s="237">
        <f t="shared" si="211"/>
        <v>0.35993676340465403</v>
      </c>
      <c r="AT476" s="237">
        <f t="shared" si="212"/>
        <v>2.5416782926158003E-2</v>
      </c>
      <c r="AU476" s="237">
        <f t="shared" si="200"/>
        <v>0.98055959563958928</v>
      </c>
      <c r="AV476" s="237">
        <f t="shared" si="200"/>
        <v>1.9440404360410696E-2</v>
      </c>
      <c r="AX476" s="251">
        <f t="shared" si="201"/>
        <v>29102.651037014439</v>
      </c>
      <c r="AY476" s="251">
        <f t="shared" si="201"/>
        <v>18098.038652679403</v>
      </c>
      <c r="AZ476" s="251">
        <f t="shared" si="201"/>
        <v>1273.3268628328453</v>
      </c>
      <c r="BA476" s="251">
        <f t="shared" si="202"/>
        <v>90971.848527103473</v>
      </c>
      <c r="BB476" s="251">
        <f t="shared" si="202"/>
        <v>1815.6967249527027</v>
      </c>
      <c r="BC476" s="251">
        <f t="shared" si="204"/>
        <v>141261.56180458286</v>
      </c>
      <c r="BD476" s="270">
        <f t="shared" si="199"/>
        <v>7.6100191206778574</v>
      </c>
    </row>
    <row r="477" spans="1:56">
      <c r="A477" s="11">
        <v>54149</v>
      </c>
      <c r="B477" s="268">
        <v>70</v>
      </c>
      <c r="C477" s="268">
        <v>13</v>
      </c>
      <c r="D477" s="268">
        <f t="shared" si="196"/>
        <v>20</v>
      </c>
      <c r="E477" s="268">
        <v>3</v>
      </c>
      <c r="F477" s="269">
        <v>0.2</v>
      </c>
      <c r="G477" s="269">
        <v>1.32</v>
      </c>
      <c r="I477" s="269">
        <v>5</v>
      </c>
      <c r="M477" s="269">
        <f t="shared" si="216"/>
        <v>1.5</v>
      </c>
      <c r="N477" s="269">
        <v>45</v>
      </c>
      <c r="O477" s="269">
        <f t="shared" si="205"/>
        <v>17.699535849485258</v>
      </c>
      <c r="Q477" s="251">
        <f t="shared" si="191"/>
        <v>176.71953584948523</v>
      </c>
      <c r="R477" s="251">
        <f>'RD Plant List'!N345</f>
        <v>664.33</v>
      </c>
      <c r="S477" s="251">
        <f>SUM(B477:O477)+'RD Plant List'!N345</f>
        <v>841.04953584948521</v>
      </c>
      <c r="T477" s="237">
        <f t="shared" si="203"/>
        <v>0.7898821314121609</v>
      </c>
      <c r="U477" s="251">
        <f t="shared" si="198"/>
        <v>499.5457334344502</v>
      </c>
      <c r="V477" s="271">
        <f t="shared" si="207"/>
        <v>0.59395518592123597</v>
      </c>
      <c r="W477" s="251">
        <f t="shared" si="213"/>
        <v>41.628811119537517</v>
      </c>
      <c r="X477" s="242">
        <f t="shared" si="214"/>
        <v>7.6100191206778574</v>
      </c>
      <c r="Y477" s="273">
        <f t="shared" si="215"/>
        <v>7.6100191206778574</v>
      </c>
      <c r="AB477" s="251">
        <f>SUM('BD Feedstock'!C475,'BD Feedstock'!E475,'BD Feedstock'!G475,'BD Feedstock'!K475,'BD Feedstock'!T475)</f>
        <v>21.812796010427753</v>
      </c>
      <c r="AC477" s="251">
        <f>SUM('BD Feedstock'!D475,'BD Feedstock'!F475,'BD Feedstock'!H475,'BD Feedstock'!I475,'BD Feedstock'!L475,'BD Feedstock'!M475,'BD Feedstock'!N475,'BD Feedstock'!O475,'BD Feedstock'!U475)</f>
        <v>12.773566250859661</v>
      </c>
      <c r="AD477" s="251">
        <f>'BD Feedstock'!J475</f>
        <v>0.90199999999999991</v>
      </c>
      <c r="AE477" s="251">
        <f>SUM('BD Feedstock'!B475,'BD Feedstock'!P475,'BD Feedstock'!Q475,'BD Feedstock'!R475)</f>
        <v>70.93020833333334</v>
      </c>
      <c r="AF477" s="251">
        <f>'BD Feedstock'!S475</f>
        <v>1.40625</v>
      </c>
      <c r="AG477" s="251">
        <f t="shared" si="208"/>
        <v>107.82482059462075</v>
      </c>
      <c r="AK477" s="237">
        <f t="shared" si="206"/>
        <v>0.20229846792359021</v>
      </c>
      <c r="AL477" s="237">
        <f t="shared" si="206"/>
        <v>0.11846591703484753</v>
      </c>
      <c r="AM477" s="237">
        <f t="shared" si="206"/>
        <v>8.3654208282077092E-3</v>
      </c>
      <c r="AN477" s="237">
        <f t="shared" si="206"/>
        <v>0.65782820636449979</v>
      </c>
      <c r="AO477" s="237">
        <f t="shared" si="206"/>
        <v>1.304198784885487E-2</v>
      </c>
      <c r="AP477" s="237">
        <f t="shared" si="209"/>
        <v>1</v>
      </c>
      <c r="AQ477" s="237"/>
      <c r="AR477" s="237">
        <f t="shared" si="210"/>
        <v>0.61464645366918802</v>
      </c>
      <c r="AS477" s="237">
        <f t="shared" si="211"/>
        <v>0.35993676340465403</v>
      </c>
      <c r="AT477" s="237">
        <f t="shared" si="212"/>
        <v>2.5416782926158003E-2</v>
      </c>
      <c r="AU477" s="237">
        <f t="shared" si="200"/>
        <v>0.98055959563958928</v>
      </c>
      <c r="AV477" s="237">
        <f t="shared" si="200"/>
        <v>1.9440404360410696E-2</v>
      </c>
      <c r="AX477" s="251">
        <f t="shared" si="201"/>
        <v>29604.257106190049</v>
      </c>
      <c r="AY477" s="251">
        <f t="shared" si="201"/>
        <v>18409.97195445362</v>
      </c>
      <c r="AZ477" s="251">
        <f t="shared" si="201"/>
        <v>1295.2736085650108</v>
      </c>
      <c r="BA477" s="251">
        <f t="shared" si="202"/>
        <v>92539.8167265394</v>
      </c>
      <c r="BB477" s="251">
        <f t="shared" si="202"/>
        <v>1846.9916229968769</v>
      </c>
      <c r="BC477" s="251">
        <f t="shared" si="204"/>
        <v>143696.31101874495</v>
      </c>
      <c r="BD477" s="270">
        <f t="shared" si="199"/>
        <v>7.6100191206778574</v>
      </c>
    </row>
    <row r="478" spans="1:56">
      <c r="A478" s="11">
        <v>54179</v>
      </c>
      <c r="B478" s="268">
        <v>70</v>
      </c>
      <c r="C478" s="268">
        <v>13</v>
      </c>
      <c r="D478" s="268">
        <f t="shared" si="196"/>
        <v>20</v>
      </c>
      <c r="E478" s="268">
        <v>3</v>
      </c>
      <c r="F478" s="269">
        <v>0.2</v>
      </c>
      <c r="G478" s="269">
        <v>1.32</v>
      </c>
      <c r="I478" s="269">
        <v>5</v>
      </c>
      <c r="M478" s="269">
        <f t="shared" si="216"/>
        <v>1.5</v>
      </c>
      <c r="N478" s="269">
        <v>45</v>
      </c>
      <c r="O478" s="269">
        <f t="shared" si="205"/>
        <v>17.699535849485258</v>
      </c>
      <c r="Q478" s="251">
        <f t="shared" ref="Q478:Q509" si="217">SUM(B478:O478)</f>
        <v>176.71953584948523</v>
      </c>
      <c r="R478" s="251">
        <f>'RD Plant List'!N346</f>
        <v>664.33</v>
      </c>
      <c r="S478" s="251">
        <f>SUM(B478:O478)+'RD Plant List'!N346</f>
        <v>841.04953584948521</v>
      </c>
      <c r="T478" s="237">
        <f t="shared" si="203"/>
        <v>0.7898821314121609</v>
      </c>
      <c r="U478" s="251">
        <f t="shared" si="198"/>
        <v>485.33804576001694</v>
      </c>
      <c r="V478" s="271">
        <f t="shared" si="207"/>
        <v>0.5770623786978385</v>
      </c>
      <c r="W478" s="251">
        <f t="shared" si="213"/>
        <v>40.444837146668078</v>
      </c>
      <c r="X478" s="242">
        <f t="shared" si="214"/>
        <v>7.6100191206778574</v>
      </c>
      <c r="Y478" s="273">
        <f t="shared" si="215"/>
        <v>7.6100191206778574</v>
      </c>
      <c r="AB478" s="251">
        <f>SUM('BD Feedstock'!C476,'BD Feedstock'!E476,'BD Feedstock'!G476,'BD Feedstock'!K476,'BD Feedstock'!T476)</f>
        <v>21.812796010427753</v>
      </c>
      <c r="AC478" s="251">
        <f>SUM('BD Feedstock'!D476,'BD Feedstock'!F476,'BD Feedstock'!H476,'BD Feedstock'!I476,'BD Feedstock'!L476,'BD Feedstock'!M476,'BD Feedstock'!N476,'BD Feedstock'!O476,'BD Feedstock'!U476)</f>
        <v>12.773566250859661</v>
      </c>
      <c r="AD478" s="251">
        <f>'BD Feedstock'!J476</f>
        <v>0.90199999999999991</v>
      </c>
      <c r="AE478" s="251">
        <f>SUM('BD Feedstock'!B476,'BD Feedstock'!P476,'BD Feedstock'!Q476,'BD Feedstock'!R476)</f>
        <v>70.93020833333334</v>
      </c>
      <c r="AF478" s="251">
        <f>'BD Feedstock'!S476</f>
        <v>1.40625</v>
      </c>
      <c r="AG478" s="251">
        <f t="shared" si="208"/>
        <v>107.82482059462075</v>
      </c>
      <c r="AK478" s="237">
        <f t="shared" si="206"/>
        <v>0.20229846792359021</v>
      </c>
      <c r="AL478" s="237">
        <f t="shared" si="206"/>
        <v>0.11846591703484753</v>
      </c>
      <c r="AM478" s="237">
        <f t="shared" si="206"/>
        <v>8.3654208282077092E-3</v>
      </c>
      <c r="AN478" s="237">
        <f t="shared" si="206"/>
        <v>0.65782820636449979</v>
      </c>
      <c r="AO478" s="237">
        <f t="shared" si="206"/>
        <v>1.304198784885487E-2</v>
      </c>
      <c r="AP478" s="237">
        <f t="shared" si="209"/>
        <v>1</v>
      </c>
      <c r="AQ478" s="237"/>
      <c r="AR478" s="237">
        <f t="shared" si="210"/>
        <v>0.61464645366918802</v>
      </c>
      <c r="AS478" s="237">
        <f t="shared" si="211"/>
        <v>0.35993676340465403</v>
      </c>
      <c r="AT478" s="237">
        <f t="shared" si="212"/>
        <v>2.5416782926158003E-2</v>
      </c>
      <c r="AU478" s="237">
        <f t="shared" si="200"/>
        <v>0.98055959563958928</v>
      </c>
      <c r="AV478" s="237">
        <f t="shared" si="200"/>
        <v>1.9440404360410696E-2</v>
      </c>
      <c r="AX478" s="251">
        <f t="shared" si="201"/>
        <v>28762.276060917917</v>
      </c>
      <c r="AY478" s="251">
        <f t="shared" si="201"/>
        <v>17886.369981465748</v>
      </c>
      <c r="AZ478" s="251">
        <f t="shared" si="201"/>
        <v>1258.434453204989</v>
      </c>
      <c r="BA478" s="251">
        <f t="shared" si="202"/>
        <v>89907.871890456649</v>
      </c>
      <c r="BB478" s="251">
        <f t="shared" si="202"/>
        <v>1794.4609368944853</v>
      </c>
      <c r="BC478" s="251">
        <f t="shared" si="204"/>
        <v>139609.4133229398</v>
      </c>
      <c r="BD478" s="270">
        <f t="shared" si="199"/>
        <v>7.6100191206778574</v>
      </c>
    </row>
    <row r="479" spans="1:56">
      <c r="A479" s="11">
        <v>54210</v>
      </c>
      <c r="B479" s="268">
        <v>70</v>
      </c>
      <c r="C479" s="268">
        <v>13</v>
      </c>
      <c r="D479" s="268">
        <f t="shared" si="196"/>
        <v>20</v>
      </c>
      <c r="E479" s="268">
        <v>3</v>
      </c>
      <c r="F479" s="269">
        <v>0.2</v>
      </c>
      <c r="G479" s="269">
        <v>1.32</v>
      </c>
      <c r="I479" s="269">
        <v>5</v>
      </c>
      <c r="M479" s="269">
        <f t="shared" si="216"/>
        <v>1.5</v>
      </c>
      <c r="N479" s="269">
        <v>45</v>
      </c>
      <c r="O479" s="269">
        <f t="shared" si="205"/>
        <v>17.699535849485258</v>
      </c>
      <c r="Q479" s="251">
        <f t="shared" si="217"/>
        <v>176.71953584948523</v>
      </c>
      <c r="R479" s="251">
        <f>'RD Plant List'!N347</f>
        <v>664.33</v>
      </c>
      <c r="S479" s="251">
        <f>SUM(B479:O479)+'RD Plant List'!N347</f>
        <v>841.04953584948521</v>
      </c>
      <c r="T479" s="237">
        <f t="shared" si="203"/>
        <v>0.7898821314121609</v>
      </c>
      <c r="U479" s="251">
        <f t="shared" si="198"/>
        <v>541.7005452606204</v>
      </c>
      <c r="V479" s="271">
        <f t="shared" si="207"/>
        <v>0.64407686131529296</v>
      </c>
      <c r="W479" s="251">
        <f t="shared" si="213"/>
        <v>45.141712105051703</v>
      </c>
      <c r="X479" s="242">
        <f t="shared" si="214"/>
        <v>7.6100191206778565</v>
      </c>
      <c r="Y479" s="273">
        <f t="shared" si="215"/>
        <v>7.6100191206778565</v>
      </c>
      <c r="AB479" s="251">
        <f>SUM('BD Feedstock'!C477,'BD Feedstock'!E477,'BD Feedstock'!G477,'BD Feedstock'!K477,'BD Feedstock'!T477)</f>
        <v>21.812796010427753</v>
      </c>
      <c r="AC479" s="251">
        <f>SUM('BD Feedstock'!D477,'BD Feedstock'!F477,'BD Feedstock'!H477,'BD Feedstock'!I477,'BD Feedstock'!L477,'BD Feedstock'!M477,'BD Feedstock'!N477,'BD Feedstock'!O477,'BD Feedstock'!U477)</f>
        <v>12.773566250859661</v>
      </c>
      <c r="AD479" s="251">
        <f>'BD Feedstock'!J477</f>
        <v>0.90199999999999991</v>
      </c>
      <c r="AE479" s="251">
        <f>SUM('BD Feedstock'!B477,'BD Feedstock'!P477,'BD Feedstock'!Q477,'BD Feedstock'!R477)</f>
        <v>70.93020833333334</v>
      </c>
      <c r="AF479" s="251">
        <f>'BD Feedstock'!S477</f>
        <v>1.40625</v>
      </c>
      <c r="AG479" s="251">
        <f t="shared" si="208"/>
        <v>107.82482059462075</v>
      </c>
      <c r="AK479" s="237">
        <f t="shared" si="206"/>
        <v>0.20229846792359021</v>
      </c>
      <c r="AL479" s="237">
        <f t="shared" si="206"/>
        <v>0.11846591703484753</v>
      </c>
      <c r="AM479" s="237">
        <f t="shared" si="206"/>
        <v>8.3654208282077092E-3</v>
      </c>
      <c r="AN479" s="237">
        <f t="shared" si="206"/>
        <v>0.65782820636449979</v>
      </c>
      <c r="AO479" s="237">
        <f t="shared" si="206"/>
        <v>1.304198784885487E-2</v>
      </c>
      <c r="AP479" s="237">
        <f t="shared" si="209"/>
        <v>1</v>
      </c>
      <c r="AQ479" s="237"/>
      <c r="AR479" s="237">
        <f t="shared" si="210"/>
        <v>0.61464645366918802</v>
      </c>
      <c r="AS479" s="237">
        <f t="shared" si="211"/>
        <v>0.35993676340465403</v>
      </c>
      <c r="AT479" s="237">
        <f t="shared" si="212"/>
        <v>2.5416782926158003E-2</v>
      </c>
      <c r="AU479" s="237">
        <f t="shared" si="200"/>
        <v>0.98055959563958928</v>
      </c>
      <c r="AV479" s="237">
        <f t="shared" si="200"/>
        <v>1.9440404360410696E-2</v>
      </c>
      <c r="AX479" s="251">
        <f t="shared" si="201"/>
        <v>32102.450572852416</v>
      </c>
      <c r="AY479" s="251">
        <f t="shared" si="201"/>
        <v>19963.521212355347</v>
      </c>
      <c r="AZ479" s="251">
        <f t="shared" si="201"/>
        <v>1404.5769447321834</v>
      </c>
      <c r="BA479" s="251">
        <f t="shared" si="202"/>
        <v>100348.90866636163</v>
      </c>
      <c r="BB479" s="251">
        <f t="shared" si="202"/>
        <v>2002.8523962971517</v>
      </c>
      <c r="BC479" s="251">
        <f t="shared" si="204"/>
        <v>155822.30979259871</v>
      </c>
      <c r="BD479" s="270">
        <f t="shared" si="199"/>
        <v>7.6100191206778574</v>
      </c>
    </row>
    <row r="480" spans="1:56">
      <c r="A480" s="11">
        <v>54240</v>
      </c>
      <c r="B480" s="268">
        <v>70</v>
      </c>
      <c r="C480" s="268">
        <v>13</v>
      </c>
      <c r="D480" s="268">
        <f t="shared" si="196"/>
        <v>20</v>
      </c>
      <c r="E480" s="268">
        <v>3</v>
      </c>
      <c r="F480" s="269">
        <v>0.2</v>
      </c>
      <c r="G480" s="269">
        <v>1.32</v>
      </c>
      <c r="I480" s="269">
        <v>5</v>
      </c>
      <c r="M480" s="269">
        <f t="shared" si="216"/>
        <v>1.5</v>
      </c>
      <c r="N480" s="269">
        <v>45</v>
      </c>
      <c r="O480" s="269">
        <f t="shared" si="205"/>
        <v>17.699535849485258</v>
      </c>
      <c r="Q480" s="251">
        <f t="shared" si="217"/>
        <v>176.71953584948523</v>
      </c>
      <c r="R480" s="251">
        <f>'RD Plant List'!N348</f>
        <v>664.33</v>
      </c>
      <c r="S480" s="251">
        <f>SUM(B480:O480)+'RD Plant List'!N348</f>
        <v>841.04953584948521</v>
      </c>
      <c r="T480" s="237">
        <f t="shared" si="203"/>
        <v>0.7898821314121609</v>
      </c>
      <c r="U480" s="251">
        <f t="shared" si="198"/>
        <v>556.2720498017768</v>
      </c>
      <c r="V480" s="271">
        <f t="shared" si="207"/>
        <v>0.66140224337669407</v>
      </c>
      <c r="W480" s="251">
        <f t="shared" si="213"/>
        <v>46.356004150148067</v>
      </c>
      <c r="X480" s="242">
        <f t="shared" si="214"/>
        <v>7.6100191206778591</v>
      </c>
      <c r="Y480" s="273">
        <f t="shared" si="215"/>
        <v>7.6100191206778591</v>
      </c>
      <c r="AB480" s="251">
        <f>SUM('BD Feedstock'!C478,'BD Feedstock'!E478,'BD Feedstock'!G478,'BD Feedstock'!K478,'BD Feedstock'!T478)</f>
        <v>21.812796010427753</v>
      </c>
      <c r="AC480" s="251">
        <f>SUM('BD Feedstock'!D478,'BD Feedstock'!F478,'BD Feedstock'!H478,'BD Feedstock'!I478,'BD Feedstock'!L478,'BD Feedstock'!M478,'BD Feedstock'!N478,'BD Feedstock'!O478,'BD Feedstock'!U478)</f>
        <v>12.773566250859661</v>
      </c>
      <c r="AD480" s="251">
        <f>'BD Feedstock'!J478</f>
        <v>0.90199999999999991</v>
      </c>
      <c r="AE480" s="251">
        <f>SUM('BD Feedstock'!B478,'BD Feedstock'!P478,'BD Feedstock'!Q478,'BD Feedstock'!R478)</f>
        <v>70.93020833333334</v>
      </c>
      <c r="AF480" s="251">
        <f>'BD Feedstock'!S478</f>
        <v>1.40625</v>
      </c>
      <c r="AG480" s="251">
        <f t="shared" si="208"/>
        <v>107.82482059462075</v>
      </c>
      <c r="AK480" s="237">
        <f t="shared" si="206"/>
        <v>0.20229846792359021</v>
      </c>
      <c r="AL480" s="237">
        <f t="shared" si="206"/>
        <v>0.11846591703484753</v>
      </c>
      <c r="AM480" s="237">
        <f t="shared" si="206"/>
        <v>8.3654208282077092E-3</v>
      </c>
      <c r="AN480" s="237">
        <f t="shared" si="206"/>
        <v>0.65782820636449979</v>
      </c>
      <c r="AO480" s="237">
        <f t="shared" si="206"/>
        <v>1.304198784885487E-2</v>
      </c>
      <c r="AP480" s="237">
        <f t="shared" si="209"/>
        <v>1</v>
      </c>
      <c r="AQ480" s="237"/>
      <c r="AR480" s="237">
        <f t="shared" si="210"/>
        <v>0.61464645366918802</v>
      </c>
      <c r="AS480" s="237">
        <f t="shared" si="211"/>
        <v>0.35993676340465403</v>
      </c>
      <c r="AT480" s="237">
        <f t="shared" si="212"/>
        <v>2.5416782926158003E-2</v>
      </c>
      <c r="AU480" s="237">
        <f t="shared" si="200"/>
        <v>0.98055959563958928</v>
      </c>
      <c r="AV480" s="237">
        <f t="shared" si="200"/>
        <v>1.9440404360410696E-2</v>
      </c>
      <c r="AX480" s="251">
        <f t="shared" si="201"/>
        <v>32965.992262808642</v>
      </c>
      <c r="AY480" s="251">
        <f t="shared" si="201"/>
        <v>20500.531083488768</v>
      </c>
      <c r="AZ480" s="251">
        <f t="shared" si="201"/>
        <v>1442.3594419211454</v>
      </c>
      <c r="BA480" s="251">
        <f t="shared" si="202"/>
        <v>103048.24982657493</v>
      </c>
      <c r="BB480" s="251">
        <f t="shared" si="202"/>
        <v>2056.7282379281928</v>
      </c>
      <c r="BC480" s="251">
        <f t="shared" si="204"/>
        <v>160013.86085272167</v>
      </c>
      <c r="BD480" s="270">
        <f t="shared" si="199"/>
        <v>7.6100191206778582</v>
      </c>
    </row>
    <row r="481" spans="1:56">
      <c r="A481" s="11">
        <v>54271</v>
      </c>
      <c r="B481" s="268">
        <v>70</v>
      </c>
      <c r="C481" s="268">
        <v>13</v>
      </c>
      <c r="D481" s="268">
        <f t="shared" si="196"/>
        <v>20</v>
      </c>
      <c r="E481" s="268">
        <v>3</v>
      </c>
      <c r="F481" s="269">
        <v>0.2</v>
      </c>
      <c r="G481" s="269">
        <v>1.32</v>
      </c>
      <c r="I481" s="269">
        <v>5</v>
      </c>
      <c r="M481" s="269">
        <f t="shared" si="216"/>
        <v>1.5</v>
      </c>
      <c r="N481" s="269">
        <v>45</v>
      </c>
      <c r="O481" s="269">
        <f t="shared" si="205"/>
        <v>17.699535849485258</v>
      </c>
      <c r="Q481" s="251">
        <f t="shared" si="217"/>
        <v>176.71953584948523</v>
      </c>
      <c r="R481" s="251">
        <f>'RD Plant List'!N349</f>
        <v>664.33</v>
      </c>
      <c r="S481" s="251">
        <f>SUM(B481:O481)+'RD Plant List'!N349</f>
        <v>841.04953584948521</v>
      </c>
      <c r="T481" s="237">
        <f t="shared" si="203"/>
        <v>0.7898821314121609</v>
      </c>
      <c r="U481" s="251">
        <f t="shared" si="198"/>
        <v>524.98871476822728</v>
      </c>
      <c r="V481" s="271">
        <f t="shared" si="207"/>
        <v>0.62420665179723689</v>
      </c>
      <c r="W481" s="251">
        <f t="shared" si="213"/>
        <v>43.749059564018943</v>
      </c>
      <c r="X481" s="242">
        <f t="shared" si="214"/>
        <v>7.6100191206778574</v>
      </c>
      <c r="Y481" s="273">
        <f t="shared" si="215"/>
        <v>7.6100191206778574</v>
      </c>
      <c r="AB481" s="251">
        <f>SUM('BD Feedstock'!C479,'BD Feedstock'!E479,'BD Feedstock'!G479,'BD Feedstock'!K479,'BD Feedstock'!T479)</f>
        <v>21.812796010427753</v>
      </c>
      <c r="AC481" s="251">
        <f>SUM('BD Feedstock'!D479,'BD Feedstock'!F479,'BD Feedstock'!H479,'BD Feedstock'!I479,'BD Feedstock'!L479,'BD Feedstock'!M479,'BD Feedstock'!N479,'BD Feedstock'!O479,'BD Feedstock'!U479)</f>
        <v>12.773566250859661</v>
      </c>
      <c r="AD481" s="251">
        <f>'BD Feedstock'!J479</f>
        <v>0.90199999999999991</v>
      </c>
      <c r="AE481" s="251">
        <f>SUM('BD Feedstock'!B479,'BD Feedstock'!P479,'BD Feedstock'!Q479,'BD Feedstock'!R479)</f>
        <v>70.93020833333334</v>
      </c>
      <c r="AF481" s="251">
        <f>'BD Feedstock'!S479</f>
        <v>1.40625</v>
      </c>
      <c r="AG481" s="251">
        <f t="shared" si="208"/>
        <v>107.82482059462075</v>
      </c>
      <c r="AK481" s="237">
        <f t="shared" si="206"/>
        <v>0.20229846792359021</v>
      </c>
      <c r="AL481" s="237">
        <f t="shared" si="206"/>
        <v>0.11846591703484753</v>
      </c>
      <c r="AM481" s="237">
        <f t="shared" si="206"/>
        <v>8.3654208282077092E-3</v>
      </c>
      <c r="AN481" s="237">
        <f t="shared" si="206"/>
        <v>0.65782820636449979</v>
      </c>
      <c r="AO481" s="237">
        <f t="shared" si="206"/>
        <v>1.304198784885487E-2</v>
      </c>
      <c r="AP481" s="237">
        <f t="shared" si="209"/>
        <v>1</v>
      </c>
      <c r="AQ481" s="237"/>
      <c r="AR481" s="237">
        <f t="shared" si="210"/>
        <v>0.61464645366918802</v>
      </c>
      <c r="AS481" s="237">
        <f t="shared" si="211"/>
        <v>0.35993676340465403</v>
      </c>
      <c r="AT481" s="237">
        <f t="shared" si="212"/>
        <v>2.5416782926158003E-2</v>
      </c>
      <c r="AU481" s="237">
        <f t="shared" si="200"/>
        <v>0.98055959563958928</v>
      </c>
      <c r="AV481" s="237">
        <f t="shared" si="200"/>
        <v>1.9440404360410696E-2</v>
      </c>
      <c r="AX481" s="251">
        <f t="shared" si="201"/>
        <v>31112.068124361758</v>
      </c>
      <c r="AY481" s="251">
        <f t="shared" si="201"/>
        <v>19347.632996160799</v>
      </c>
      <c r="AZ481" s="251">
        <f t="shared" si="201"/>
        <v>1361.2447900588031</v>
      </c>
      <c r="BA481" s="251">
        <f t="shared" si="202"/>
        <v>97253.076538442983</v>
      </c>
      <c r="BB481" s="251">
        <f t="shared" si="202"/>
        <v>1941.0630367680819</v>
      </c>
      <c r="BC481" s="251">
        <f t="shared" si="204"/>
        <v>151015.08548579243</v>
      </c>
      <c r="BD481" s="270">
        <f t="shared" si="199"/>
        <v>7.6100191206778574</v>
      </c>
    </row>
    <row r="482" spans="1:56">
      <c r="A482" s="11">
        <v>54302</v>
      </c>
      <c r="B482" s="268">
        <v>70</v>
      </c>
      <c r="C482" s="268">
        <v>13</v>
      </c>
      <c r="D482" s="268">
        <f t="shared" ref="D482:D509" si="218">$D$3</f>
        <v>20</v>
      </c>
      <c r="E482" s="268">
        <v>3</v>
      </c>
      <c r="F482" s="269">
        <v>0.2</v>
      </c>
      <c r="G482" s="269">
        <v>1.32</v>
      </c>
      <c r="I482" s="269">
        <v>5</v>
      </c>
      <c r="M482" s="269">
        <f t="shared" si="216"/>
        <v>1.5</v>
      </c>
      <c r="N482" s="269">
        <v>45</v>
      </c>
      <c r="O482" s="269">
        <f t="shared" si="205"/>
        <v>17.699535849485258</v>
      </c>
      <c r="Q482" s="251">
        <f t="shared" si="217"/>
        <v>176.71953584948523</v>
      </c>
      <c r="R482" s="251">
        <f>'RD Plant List'!N350</f>
        <v>664.33</v>
      </c>
      <c r="S482" s="251">
        <f>SUM(B482:O482)+'RD Plant List'!N350</f>
        <v>841.04953584948521</v>
      </c>
      <c r="T482" s="237">
        <f t="shared" si="203"/>
        <v>0.7898821314121609</v>
      </c>
      <c r="U482" s="251">
        <f t="shared" si="198"/>
        <v>569.08006130594629</v>
      </c>
      <c r="V482" s="271">
        <f t="shared" si="207"/>
        <v>0.67663084877772195</v>
      </c>
      <c r="W482" s="251">
        <f t="shared" si="213"/>
        <v>47.423338442162191</v>
      </c>
      <c r="X482" s="242">
        <f t="shared" si="214"/>
        <v>7.6100191206778574</v>
      </c>
      <c r="Y482" s="273">
        <f t="shared" si="215"/>
        <v>7.6100191206778574</v>
      </c>
      <c r="AB482" s="251">
        <f>SUM('BD Feedstock'!C480,'BD Feedstock'!E480,'BD Feedstock'!G480,'BD Feedstock'!K480,'BD Feedstock'!T480)</f>
        <v>21.812796010427753</v>
      </c>
      <c r="AC482" s="251">
        <f>SUM('BD Feedstock'!D480,'BD Feedstock'!F480,'BD Feedstock'!H480,'BD Feedstock'!I480,'BD Feedstock'!L480,'BD Feedstock'!M480,'BD Feedstock'!N480,'BD Feedstock'!O480,'BD Feedstock'!U480)</f>
        <v>12.773566250859661</v>
      </c>
      <c r="AD482" s="251">
        <f>'BD Feedstock'!J480</f>
        <v>0.90199999999999991</v>
      </c>
      <c r="AE482" s="251">
        <f>SUM('BD Feedstock'!B480,'BD Feedstock'!P480,'BD Feedstock'!Q480,'BD Feedstock'!R480)</f>
        <v>70.93020833333334</v>
      </c>
      <c r="AF482" s="251">
        <f>'BD Feedstock'!S480</f>
        <v>1.40625</v>
      </c>
      <c r="AG482" s="251">
        <f t="shared" si="208"/>
        <v>107.82482059462075</v>
      </c>
      <c r="AK482" s="237">
        <f t="shared" si="206"/>
        <v>0.20229846792359021</v>
      </c>
      <c r="AL482" s="237">
        <f t="shared" si="206"/>
        <v>0.11846591703484753</v>
      </c>
      <c r="AM482" s="237">
        <f t="shared" si="206"/>
        <v>8.3654208282077092E-3</v>
      </c>
      <c r="AN482" s="237">
        <f t="shared" si="206"/>
        <v>0.65782820636449979</v>
      </c>
      <c r="AO482" s="237">
        <f t="shared" si="206"/>
        <v>1.304198784885487E-2</v>
      </c>
      <c r="AP482" s="237">
        <f t="shared" si="209"/>
        <v>1</v>
      </c>
      <c r="AQ482" s="237"/>
      <c r="AR482" s="237">
        <f t="shared" si="210"/>
        <v>0.61464645366918802</v>
      </c>
      <c r="AS482" s="237">
        <f t="shared" si="211"/>
        <v>0.35993676340465403</v>
      </c>
      <c r="AT482" s="237">
        <f t="shared" si="212"/>
        <v>2.5416782926158003E-2</v>
      </c>
      <c r="AU482" s="237">
        <f t="shared" si="200"/>
        <v>0.98055959563958928</v>
      </c>
      <c r="AV482" s="237">
        <f t="shared" si="200"/>
        <v>1.9440404360410696E-2</v>
      </c>
      <c r="AX482" s="251">
        <f t="shared" si="201"/>
        <v>33725.025200557131</v>
      </c>
      <c r="AY482" s="251">
        <f t="shared" si="201"/>
        <v>20972.550193657025</v>
      </c>
      <c r="AZ482" s="251">
        <f t="shared" si="201"/>
        <v>1475.5693728027284</v>
      </c>
      <c r="BA482" s="251">
        <f t="shared" si="202"/>
        <v>105420.90753917006</v>
      </c>
      <c r="BB482" s="251">
        <f t="shared" si="202"/>
        <v>2104.0838419743091</v>
      </c>
      <c r="BC482" s="251">
        <f t="shared" si="204"/>
        <v>163698.13614816125</v>
      </c>
      <c r="BD482" s="270">
        <f t="shared" si="199"/>
        <v>7.6100191206778574</v>
      </c>
    </row>
    <row r="483" spans="1:56">
      <c r="A483" s="11">
        <v>54332</v>
      </c>
      <c r="B483" s="268">
        <v>70</v>
      </c>
      <c r="C483" s="268">
        <v>13</v>
      </c>
      <c r="D483" s="268">
        <f t="shared" si="218"/>
        <v>20</v>
      </c>
      <c r="E483" s="268">
        <v>3</v>
      </c>
      <c r="F483" s="269">
        <v>0.2</v>
      </c>
      <c r="G483" s="269">
        <v>1.32</v>
      </c>
      <c r="I483" s="269">
        <v>5</v>
      </c>
      <c r="M483" s="269">
        <f t="shared" si="216"/>
        <v>1.5</v>
      </c>
      <c r="N483" s="269">
        <v>45</v>
      </c>
      <c r="O483" s="269">
        <f t="shared" si="205"/>
        <v>17.699535849485258</v>
      </c>
      <c r="Q483" s="251">
        <f t="shared" si="217"/>
        <v>176.71953584948523</v>
      </c>
      <c r="R483" s="251">
        <f>'RD Plant List'!N351</f>
        <v>664.33</v>
      </c>
      <c r="S483" s="251">
        <f>SUM(B483:O483)+'RD Plant List'!N351</f>
        <v>841.04953584948521</v>
      </c>
      <c r="T483" s="237">
        <f t="shared" si="203"/>
        <v>0.7898821314121609</v>
      </c>
      <c r="U483" s="251">
        <f t="shared" si="198"/>
        <v>595.81736578823507</v>
      </c>
      <c r="V483" s="271">
        <f t="shared" si="207"/>
        <v>0.70842125272257794</v>
      </c>
      <c r="W483" s="251">
        <f t="shared" si="213"/>
        <v>49.651447149019589</v>
      </c>
      <c r="X483" s="242">
        <f t="shared" si="214"/>
        <v>7.6100191206778574</v>
      </c>
      <c r="Y483" s="273">
        <f t="shared" si="215"/>
        <v>7.6100191206778574</v>
      </c>
      <c r="AB483" s="251">
        <f>SUM('BD Feedstock'!C481,'BD Feedstock'!E481,'BD Feedstock'!G481,'BD Feedstock'!K481,'BD Feedstock'!T481)</f>
        <v>21.812796010427753</v>
      </c>
      <c r="AC483" s="251">
        <f>SUM('BD Feedstock'!D481,'BD Feedstock'!F481,'BD Feedstock'!H481,'BD Feedstock'!I481,'BD Feedstock'!L481,'BD Feedstock'!M481,'BD Feedstock'!N481,'BD Feedstock'!O481,'BD Feedstock'!U481)</f>
        <v>12.773566250859661</v>
      </c>
      <c r="AD483" s="251">
        <f>'BD Feedstock'!J481</f>
        <v>0.90199999999999991</v>
      </c>
      <c r="AE483" s="251">
        <f>SUM('BD Feedstock'!B481,'BD Feedstock'!P481,'BD Feedstock'!Q481,'BD Feedstock'!R481)</f>
        <v>70.93020833333334</v>
      </c>
      <c r="AF483" s="251">
        <f>'BD Feedstock'!S481</f>
        <v>1.40625</v>
      </c>
      <c r="AG483" s="251">
        <f t="shared" si="208"/>
        <v>107.82482059462075</v>
      </c>
      <c r="AK483" s="237">
        <f t="shared" si="206"/>
        <v>0.20229846792359021</v>
      </c>
      <c r="AL483" s="237">
        <f t="shared" si="206"/>
        <v>0.11846591703484753</v>
      </c>
      <c r="AM483" s="237">
        <f t="shared" si="206"/>
        <v>8.3654208282077092E-3</v>
      </c>
      <c r="AN483" s="237">
        <f t="shared" si="206"/>
        <v>0.65782820636449979</v>
      </c>
      <c r="AO483" s="237">
        <f t="shared" si="206"/>
        <v>1.304198784885487E-2</v>
      </c>
      <c r="AP483" s="237">
        <f t="shared" si="209"/>
        <v>1</v>
      </c>
      <c r="AQ483" s="237"/>
      <c r="AR483" s="237">
        <f t="shared" si="210"/>
        <v>0.61464645366918802</v>
      </c>
      <c r="AS483" s="237">
        <f t="shared" si="211"/>
        <v>0.35993676340465403</v>
      </c>
      <c r="AT483" s="237">
        <f t="shared" si="212"/>
        <v>2.5416782926158003E-2</v>
      </c>
      <c r="AU483" s="237">
        <f t="shared" si="200"/>
        <v>0.98055959563958928</v>
      </c>
      <c r="AV483" s="237">
        <f t="shared" si="200"/>
        <v>1.9440404360410696E-2</v>
      </c>
      <c r="AX483" s="251">
        <f t="shared" si="201"/>
        <v>35309.540857968968</v>
      </c>
      <c r="AY483" s="251">
        <f t="shared" si="201"/>
        <v>21957.911478343511</v>
      </c>
      <c r="AZ483" s="251">
        <f t="shared" si="201"/>
        <v>1544.8966086135013</v>
      </c>
      <c r="BA483" s="251">
        <f t="shared" si="202"/>
        <v>110373.93804458895</v>
      </c>
      <c r="BB483" s="251">
        <f t="shared" si="202"/>
        <v>2202.9408116070695</v>
      </c>
      <c r="BC483" s="251">
        <f t="shared" si="204"/>
        <v>171389.227801122</v>
      </c>
      <c r="BD483" s="270">
        <f t="shared" si="199"/>
        <v>7.6100191206778582</v>
      </c>
    </row>
    <row r="484" spans="1:56">
      <c r="A484" s="11">
        <v>54363</v>
      </c>
      <c r="B484" s="268">
        <v>70</v>
      </c>
      <c r="C484" s="268">
        <v>13</v>
      </c>
      <c r="D484" s="268">
        <f t="shared" si="218"/>
        <v>20</v>
      </c>
      <c r="E484" s="268">
        <v>3</v>
      </c>
      <c r="F484" s="269">
        <v>0.2</v>
      </c>
      <c r="G484" s="269">
        <v>1.32</v>
      </c>
      <c r="I484" s="269">
        <v>5</v>
      </c>
      <c r="M484" s="269">
        <f t="shared" si="216"/>
        <v>1.5</v>
      </c>
      <c r="N484" s="269">
        <v>45</v>
      </c>
      <c r="O484" s="269">
        <f t="shared" si="205"/>
        <v>17.699535849485258</v>
      </c>
      <c r="Q484" s="251">
        <f t="shared" si="217"/>
        <v>176.71953584948523</v>
      </c>
      <c r="R484" s="251">
        <f>'RD Plant List'!N352</f>
        <v>664.33</v>
      </c>
      <c r="S484" s="251">
        <f>SUM(B484:O484)+'RD Plant List'!N352</f>
        <v>841.04953584948521</v>
      </c>
      <c r="T484" s="237">
        <f t="shared" si="203"/>
        <v>0.7898821314121609</v>
      </c>
      <c r="U484" s="251">
        <f t="shared" si="198"/>
        <v>641.01308251730063</v>
      </c>
      <c r="V484" s="271">
        <f t="shared" si="207"/>
        <v>0.76215853548965851</v>
      </c>
      <c r="W484" s="251">
        <f t="shared" si="213"/>
        <v>53.417756876441722</v>
      </c>
      <c r="X484" s="242">
        <f t="shared" si="214"/>
        <v>7.6100191206778574</v>
      </c>
      <c r="Y484" s="273">
        <f t="shared" si="215"/>
        <v>7.6100191206778574</v>
      </c>
      <c r="AB484" s="251">
        <f>SUM('BD Feedstock'!C482,'BD Feedstock'!E482,'BD Feedstock'!G482,'BD Feedstock'!K482,'BD Feedstock'!T482)</f>
        <v>21.812796010427753</v>
      </c>
      <c r="AC484" s="251">
        <f>SUM('BD Feedstock'!D482,'BD Feedstock'!F482,'BD Feedstock'!H482,'BD Feedstock'!I482,'BD Feedstock'!L482,'BD Feedstock'!M482,'BD Feedstock'!N482,'BD Feedstock'!O482,'BD Feedstock'!U482)</f>
        <v>12.773566250859661</v>
      </c>
      <c r="AD484" s="251">
        <f>'BD Feedstock'!J482</f>
        <v>0.90199999999999991</v>
      </c>
      <c r="AE484" s="251">
        <f>SUM('BD Feedstock'!B482,'BD Feedstock'!P482,'BD Feedstock'!Q482,'BD Feedstock'!R482)</f>
        <v>70.93020833333334</v>
      </c>
      <c r="AF484" s="251">
        <f>'BD Feedstock'!S482</f>
        <v>1.40625</v>
      </c>
      <c r="AG484" s="251">
        <f t="shared" si="208"/>
        <v>107.82482059462075</v>
      </c>
      <c r="AK484" s="237">
        <f t="shared" si="206"/>
        <v>0.20229846792359021</v>
      </c>
      <c r="AL484" s="237">
        <f t="shared" si="206"/>
        <v>0.11846591703484753</v>
      </c>
      <c r="AM484" s="237">
        <f t="shared" si="206"/>
        <v>8.3654208282077092E-3</v>
      </c>
      <c r="AN484" s="237">
        <f t="shared" si="206"/>
        <v>0.65782820636449979</v>
      </c>
      <c r="AO484" s="237">
        <f t="shared" si="206"/>
        <v>1.304198784885487E-2</v>
      </c>
      <c r="AP484" s="237">
        <f t="shared" si="209"/>
        <v>1</v>
      </c>
      <c r="AQ484" s="237"/>
      <c r="AR484" s="237">
        <f t="shared" si="210"/>
        <v>0.61464645366918802</v>
      </c>
      <c r="AS484" s="237">
        <f t="shared" si="211"/>
        <v>0.35993676340465403</v>
      </c>
      <c r="AT484" s="237">
        <f t="shared" si="212"/>
        <v>2.5416782926158003E-2</v>
      </c>
      <c r="AU484" s="237">
        <f t="shared" si="200"/>
        <v>0.98055959563958928</v>
      </c>
      <c r="AV484" s="237">
        <f t="shared" si="200"/>
        <v>1.9440404360410696E-2</v>
      </c>
      <c r="AX484" s="251">
        <f t="shared" si="201"/>
        <v>37987.945513628707</v>
      </c>
      <c r="AY484" s="251">
        <f t="shared" si="201"/>
        <v>23623.52850147981</v>
      </c>
      <c r="AZ484" s="251">
        <f t="shared" si="201"/>
        <v>1662.0847160903925</v>
      </c>
      <c r="BA484" s="251">
        <f t="shared" si="202"/>
        <v>118746.35134532458</v>
      </c>
      <c r="BB484" s="251">
        <f t="shared" si="202"/>
        <v>2370.0448515515468</v>
      </c>
      <c r="BC484" s="251">
        <f t="shared" si="204"/>
        <v>184389.95492807505</v>
      </c>
      <c r="BD484" s="270">
        <f t="shared" si="199"/>
        <v>7.6100191206778574</v>
      </c>
    </row>
    <row r="485" spans="1:56">
      <c r="A485" s="11">
        <v>54393</v>
      </c>
      <c r="B485" s="268">
        <v>70</v>
      </c>
      <c r="C485" s="268">
        <v>13</v>
      </c>
      <c r="D485" s="268">
        <f t="shared" si="218"/>
        <v>20</v>
      </c>
      <c r="E485" s="268">
        <v>3</v>
      </c>
      <c r="F485" s="269">
        <v>0.2</v>
      </c>
      <c r="G485" s="269">
        <v>1.32</v>
      </c>
      <c r="I485" s="269">
        <v>5</v>
      </c>
      <c r="M485" s="269">
        <f t="shared" si="216"/>
        <v>1.5</v>
      </c>
      <c r="N485" s="269">
        <v>45</v>
      </c>
      <c r="O485" s="269">
        <f t="shared" si="205"/>
        <v>17.699535849485258</v>
      </c>
      <c r="Q485" s="251">
        <f t="shared" si="217"/>
        <v>176.71953584948523</v>
      </c>
      <c r="R485" s="251">
        <f>'RD Plant List'!N353</f>
        <v>664.33</v>
      </c>
      <c r="S485" s="251">
        <f>SUM(B485:O485)+'RD Plant List'!N353</f>
        <v>841.04953584948521</v>
      </c>
      <c r="T485" s="237">
        <f t="shared" si="203"/>
        <v>0.7898821314121609</v>
      </c>
      <c r="U485" s="251">
        <f t="shared" si="198"/>
        <v>582.92028333343512</v>
      </c>
      <c r="V485" s="271">
        <f t="shared" si="207"/>
        <v>0.69308674279769766</v>
      </c>
      <c r="W485" s="251">
        <f t="shared" si="213"/>
        <v>48.576690277786263</v>
      </c>
      <c r="X485" s="242">
        <f t="shared" si="214"/>
        <v>7.6100191206778582</v>
      </c>
      <c r="Y485" s="273">
        <f t="shared" si="215"/>
        <v>7.6100191206778582</v>
      </c>
      <c r="AB485" s="251">
        <f>SUM('BD Feedstock'!C483,'BD Feedstock'!E483,'BD Feedstock'!G483,'BD Feedstock'!K483,'BD Feedstock'!T483)</f>
        <v>21.812796010427753</v>
      </c>
      <c r="AC485" s="251">
        <f>SUM('BD Feedstock'!D483,'BD Feedstock'!F483,'BD Feedstock'!H483,'BD Feedstock'!I483,'BD Feedstock'!L483,'BD Feedstock'!M483,'BD Feedstock'!N483,'BD Feedstock'!O483,'BD Feedstock'!U483)</f>
        <v>12.773566250859661</v>
      </c>
      <c r="AD485" s="251">
        <f>'BD Feedstock'!J483</f>
        <v>0.90199999999999991</v>
      </c>
      <c r="AE485" s="251">
        <f>SUM('BD Feedstock'!B483,'BD Feedstock'!P483,'BD Feedstock'!Q483,'BD Feedstock'!R483)</f>
        <v>70.93020833333334</v>
      </c>
      <c r="AF485" s="251">
        <f>'BD Feedstock'!S483</f>
        <v>1.40625</v>
      </c>
      <c r="AG485" s="251">
        <f t="shared" si="208"/>
        <v>107.82482059462075</v>
      </c>
      <c r="AK485" s="237">
        <f t="shared" si="206"/>
        <v>0.20229846792359021</v>
      </c>
      <c r="AL485" s="237">
        <f t="shared" si="206"/>
        <v>0.11846591703484753</v>
      </c>
      <c r="AM485" s="237">
        <f t="shared" si="206"/>
        <v>8.3654208282077092E-3</v>
      </c>
      <c r="AN485" s="237">
        <f t="shared" si="206"/>
        <v>0.65782820636449979</v>
      </c>
      <c r="AO485" s="237">
        <f t="shared" si="206"/>
        <v>1.304198784885487E-2</v>
      </c>
      <c r="AP485" s="237">
        <f t="shared" si="209"/>
        <v>1</v>
      </c>
      <c r="AQ485" s="237"/>
      <c r="AR485" s="237">
        <f t="shared" si="210"/>
        <v>0.61464645366918802</v>
      </c>
      <c r="AS485" s="237">
        <f t="shared" si="211"/>
        <v>0.35993676340465403</v>
      </c>
      <c r="AT485" s="237">
        <f t="shared" si="212"/>
        <v>2.5416782926158003E-2</v>
      </c>
      <c r="AU485" s="237">
        <f t="shared" si="200"/>
        <v>0.98055959563958928</v>
      </c>
      <c r="AV485" s="237">
        <f t="shared" si="200"/>
        <v>1.9440404360410696E-2</v>
      </c>
      <c r="AX485" s="251">
        <f t="shared" si="201"/>
        <v>34545.229365832623</v>
      </c>
      <c r="AY485" s="251">
        <f t="shared" si="201"/>
        <v>21482.60979844577</v>
      </c>
      <c r="AZ485" s="251">
        <f t="shared" si="201"/>
        <v>1511.4557254007909</v>
      </c>
      <c r="BA485" s="251">
        <f t="shared" si="202"/>
        <v>107984.78012211247</v>
      </c>
      <c r="BB485" s="251">
        <f t="shared" si="202"/>
        <v>2155.2558817582162</v>
      </c>
      <c r="BC485" s="251">
        <f t="shared" si="204"/>
        <v>167679.33089354986</v>
      </c>
      <c r="BD485" s="270">
        <f t="shared" si="199"/>
        <v>7.6100191206778582</v>
      </c>
    </row>
    <row r="486" spans="1:56">
      <c r="A486" s="11">
        <v>54424</v>
      </c>
      <c r="B486" s="268">
        <v>70</v>
      </c>
      <c r="C486" s="268">
        <v>13</v>
      </c>
      <c r="D486" s="268">
        <f t="shared" si="218"/>
        <v>20</v>
      </c>
      <c r="E486" s="268">
        <v>3</v>
      </c>
      <c r="F486" s="269">
        <v>0.2</v>
      </c>
      <c r="G486" s="269">
        <v>1.32</v>
      </c>
      <c r="I486" s="269">
        <v>5</v>
      </c>
      <c r="M486" s="269">
        <f t="shared" si="216"/>
        <v>1.5</v>
      </c>
      <c r="N486" s="269">
        <v>45</v>
      </c>
      <c r="O486" s="269">
        <f t="shared" si="205"/>
        <v>17.699535849485258</v>
      </c>
      <c r="Q486" s="251">
        <f t="shared" si="217"/>
        <v>176.71953584948523</v>
      </c>
      <c r="R486" s="251">
        <f>'RD Plant List'!N354</f>
        <v>664.33</v>
      </c>
      <c r="S486" s="251">
        <f>SUM(B486:O486)+'RD Plant List'!N354</f>
        <v>841.04953584948521</v>
      </c>
      <c r="T486" s="237">
        <f t="shared" si="203"/>
        <v>0.7898821314121609</v>
      </c>
      <c r="U486" s="251">
        <f t="shared" si="198"/>
        <v>477.86438442618396</v>
      </c>
      <c r="V486" s="271">
        <f t="shared" si="207"/>
        <v>0.56817626555554379</v>
      </c>
      <c r="W486" s="251">
        <f t="shared" si="213"/>
        <v>39.822032035515328</v>
      </c>
      <c r="X486" s="242">
        <f t="shared" si="214"/>
        <v>7.6100191206778574</v>
      </c>
      <c r="Y486" s="273">
        <f t="shared" si="215"/>
        <v>7.6100191206778574</v>
      </c>
      <c r="AB486" s="251">
        <f>SUM('BD Feedstock'!C484,'BD Feedstock'!E484,'BD Feedstock'!G484,'BD Feedstock'!K484,'BD Feedstock'!T484)</f>
        <v>21.812796010427753</v>
      </c>
      <c r="AC486" s="251">
        <f>SUM('BD Feedstock'!D484,'BD Feedstock'!F484,'BD Feedstock'!H484,'BD Feedstock'!I484,'BD Feedstock'!L484,'BD Feedstock'!M484,'BD Feedstock'!N484,'BD Feedstock'!O484,'BD Feedstock'!U484)</f>
        <v>12.773566250859661</v>
      </c>
      <c r="AD486" s="251">
        <f>'BD Feedstock'!J484</f>
        <v>0.90199999999999991</v>
      </c>
      <c r="AE486" s="251">
        <f>SUM('BD Feedstock'!B484,'BD Feedstock'!P484,'BD Feedstock'!Q484,'BD Feedstock'!R484)</f>
        <v>70.93020833333334</v>
      </c>
      <c r="AF486" s="251">
        <f>'BD Feedstock'!S484</f>
        <v>1.40625</v>
      </c>
      <c r="AG486" s="251">
        <f t="shared" si="208"/>
        <v>107.82482059462075</v>
      </c>
      <c r="AK486" s="237">
        <f t="shared" si="206"/>
        <v>0.20229846792359021</v>
      </c>
      <c r="AL486" s="237">
        <f t="shared" si="206"/>
        <v>0.11846591703484753</v>
      </c>
      <c r="AM486" s="237">
        <f t="shared" si="206"/>
        <v>8.3654208282077092E-3</v>
      </c>
      <c r="AN486" s="237">
        <f t="shared" si="206"/>
        <v>0.65782820636449979</v>
      </c>
      <c r="AO486" s="237">
        <f t="shared" si="206"/>
        <v>1.304198784885487E-2</v>
      </c>
      <c r="AP486" s="237">
        <f t="shared" si="209"/>
        <v>1</v>
      </c>
      <c r="AQ486" s="237"/>
      <c r="AR486" s="237">
        <f t="shared" si="210"/>
        <v>0.61464645366918802</v>
      </c>
      <c r="AS486" s="237">
        <f t="shared" si="211"/>
        <v>0.35993676340465403</v>
      </c>
      <c r="AT486" s="237">
        <f t="shared" si="212"/>
        <v>2.5416782926158003E-2</v>
      </c>
      <c r="AU486" s="237">
        <f t="shared" si="200"/>
        <v>0.98055959563958928</v>
      </c>
      <c r="AV486" s="237">
        <f t="shared" si="200"/>
        <v>1.9440404360410696E-2</v>
      </c>
      <c r="AX486" s="251">
        <f t="shared" si="201"/>
        <v>28319.36928213264</v>
      </c>
      <c r="AY486" s="251">
        <f t="shared" si="201"/>
        <v>17610.939953053734</v>
      </c>
      <c r="AZ486" s="251">
        <f t="shared" si="201"/>
        <v>1239.0559746450538</v>
      </c>
      <c r="BA486" s="251">
        <f t="shared" si="202"/>
        <v>88523.391543974256</v>
      </c>
      <c r="BB486" s="251">
        <f t="shared" si="202"/>
        <v>1766.8282519312845</v>
      </c>
      <c r="BC486" s="251">
        <f t="shared" si="204"/>
        <v>137459.58500573697</v>
      </c>
      <c r="BD486" s="270">
        <f t="shared" si="199"/>
        <v>7.6100191206778582</v>
      </c>
    </row>
    <row r="487" spans="1:56">
      <c r="A487" s="11">
        <v>54455</v>
      </c>
      <c r="B487" s="268">
        <v>70</v>
      </c>
      <c r="C487" s="268">
        <v>13</v>
      </c>
      <c r="D487" s="268">
        <f t="shared" si="218"/>
        <v>20</v>
      </c>
      <c r="E487" s="268">
        <v>3</v>
      </c>
      <c r="F487" s="269">
        <v>0.2</v>
      </c>
      <c r="G487" s="269">
        <v>1.32</v>
      </c>
      <c r="I487" s="269">
        <v>5</v>
      </c>
      <c r="M487" s="269">
        <f t="shared" si="216"/>
        <v>1.5</v>
      </c>
      <c r="N487" s="269">
        <v>45</v>
      </c>
      <c r="O487" s="269">
        <f t="shared" si="205"/>
        <v>17.699535849485258</v>
      </c>
      <c r="Q487" s="251">
        <f t="shared" si="217"/>
        <v>176.71953584948523</v>
      </c>
      <c r="R487" s="251">
        <f>'RD Plant List'!N355</f>
        <v>664.33</v>
      </c>
      <c r="S487" s="251">
        <f>SUM(B487:O487)+'RD Plant List'!N355</f>
        <v>841.04953584948521</v>
      </c>
      <c r="T487" s="237">
        <f t="shared" si="203"/>
        <v>0.7898821314121609</v>
      </c>
      <c r="U487" s="251">
        <f t="shared" si="198"/>
        <v>441.87997711858662</v>
      </c>
      <c r="V487" s="271">
        <f t="shared" si="207"/>
        <v>0.52539114318905678</v>
      </c>
      <c r="W487" s="251">
        <f t="shared" si="213"/>
        <v>36.823331426548883</v>
      </c>
      <c r="X487" s="242">
        <f t="shared" si="214"/>
        <v>7.6100191206778582</v>
      </c>
      <c r="Y487" s="273">
        <f t="shared" si="215"/>
        <v>7.6100191206778582</v>
      </c>
      <c r="AB487" s="251">
        <f>SUM('BD Feedstock'!C485,'BD Feedstock'!E485,'BD Feedstock'!G485,'BD Feedstock'!K485,'BD Feedstock'!T485)</f>
        <v>21.812796010427753</v>
      </c>
      <c r="AC487" s="251">
        <f>SUM('BD Feedstock'!D485,'BD Feedstock'!F485,'BD Feedstock'!H485,'BD Feedstock'!I485,'BD Feedstock'!L485,'BD Feedstock'!M485,'BD Feedstock'!N485,'BD Feedstock'!O485,'BD Feedstock'!U485)</f>
        <v>12.773566250859661</v>
      </c>
      <c r="AD487" s="251">
        <f>'BD Feedstock'!J485</f>
        <v>0.90199999999999991</v>
      </c>
      <c r="AE487" s="251">
        <f>SUM('BD Feedstock'!B485,'BD Feedstock'!P485,'BD Feedstock'!Q485,'BD Feedstock'!R485)</f>
        <v>70.93020833333334</v>
      </c>
      <c r="AF487" s="251">
        <f>'BD Feedstock'!S485</f>
        <v>1.40625</v>
      </c>
      <c r="AG487" s="251">
        <f t="shared" si="208"/>
        <v>107.82482059462075</v>
      </c>
      <c r="AK487" s="237">
        <f t="shared" si="206"/>
        <v>0.20229846792359021</v>
      </c>
      <c r="AL487" s="237">
        <f t="shared" si="206"/>
        <v>0.11846591703484753</v>
      </c>
      <c r="AM487" s="237">
        <f t="shared" si="206"/>
        <v>8.3654208282077092E-3</v>
      </c>
      <c r="AN487" s="237">
        <f t="shared" si="206"/>
        <v>0.65782820636449979</v>
      </c>
      <c r="AO487" s="237">
        <f t="shared" si="206"/>
        <v>1.304198784885487E-2</v>
      </c>
      <c r="AP487" s="237">
        <f t="shared" si="209"/>
        <v>1</v>
      </c>
      <c r="AQ487" s="237"/>
      <c r="AR487" s="237">
        <f t="shared" si="210"/>
        <v>0.61464645366918802</v>
      </c>
      <c r="AS487" s="237">
        <f t="shared" si="211"/>
        <v>0.35993676340465403</v>
      </c>
      <c r="AT487" s="237">
        <f t="shared" si="212"/>
        <v>2.5416782926158003E-2</v>
      </c>
      <c r="AU487" s="237">
        <f t="shared" si="200"/>
        <v>0.98055959563958928</v>
      </c>
      <c r="AV487" s="237">
        <f t="shared" si="200"/>
        <v>1.9440404360410696E-2</v>
      </c>
      <c r="AX487" s="251">
        <f t="shared" si="201"/>
        <v>26186.848524875964</v>
      </c>
      <c r="AY487" s="251">
        <f t="shared" si="201"/>
        <v>16284.79124435411</v>
      </c>
      <c r="AZ487" s="251">
        <f t="shared" si="201"/>
        <v>1145.7518985899212</v>
      </c>
      <c r="BA487" s="251">
        <f t="shared" si="202"/>
        <v>81857.354313781092</v>
      </c>
      <c r="BB487" s="251">
        <f t="shared" si="202"/>
        <v>1633.7815769077631</v>
      </c>
      <c r="BC487" s="251">
        <f t="shared" si="204"/>
        <v>127108.52755850885</v>
      </c>
      <c r="BD487" s="270">
        <f t="shared" si="199"/>
        <v>7.6100191206778574</v>
      </c>
    </row>
    <row r="488" spans="1:56">
      <c r="A488" s="11">
        <v>54483</v>
      </c>
      <c r="B488" s="268">
        <v>70</v>
      </c>
      <c r="C488" s="268">
        <v>13</v>
      </c>
      <c r="D488" s="268">
        <f t="shared" si="218"/>
        <v>20</v>
      </c>
      <c r="E488" s="268">
        <v>3</v>
      </c>
      <c r="F488" s="269">
        <v>0.2</v>
      </c>
      <c r="G488" s="269">
        <v>1.32</v>
      </c>
      <c r="I488" s="269">
        <v>5</v>
      </c>
      <c r="M488" s="269">
        <f t="shared" si="216"/>
        <v>1.5</v>
      </c>
      <c r="N488" s="269">
        <v>45</v>
      </c>
      <c r="O488" s="269">
        <f t="shared" si="205"/>
        <v>17.699535849485258</v>
      </c>
      <c r="Q488" s="251">
        <f t="shared" si="217"/>
        <v>176.71953584948523</v>
      </c>
      <c r="R488" s="251">
        <f>'RD Plant List'!N356</f>
        <v>664.33</v>
      </c>
      <c r="S488" s="251">
        <f>SUM(B488:O488)+'RD Plant List'!N356</f>
        <v>841.04953584948521</v>
      </c>
      <c r="T488" s="237">
        <f t="shared" si="203"/>
        <v>0.7898821314121609</v>
      </c>
      <c r="U488" s="251">
        <f t="shared" si="198"/>
        <v>491.07828948057755</v>
      </c>
      <c r="V488" s="271">
        <f t="shared" si="207"/>
        <v>0.58388747457612444</v>
      </c>
      <c r="W488" s="251">
        <f t="shared" si="213"/>
        <v>40.923190790048132</v>
      </c>
      <c r="X488" s="242">
        <f t="shared" si="214"/>
        <v>7.6100191206778591</v>
      </c>
      <c r="Y488" s="273">
        <f t="shared" si="215"/>
        <v>7.6100191206778591</v>
      </c>
      <c r="AB488" s="251">
        <f>SUM('BD Feedstock'!C486,'BD Feedstock'!E486,'BD Feedstock'!G486,'BD Feedstock'!K486,'BD Feedstock'!T486)</f>
        <v>21.812796010427753</v>
      </c>
      <c r="AC488" s="251">
        <f>SUM('BD Feedstock'!D486,'BD Feedstock'!F486,'BD Feedstock'!H486,'BD Feedstock'!I486,'BD Feedstock'!L486,'BD Feedstock'!M486,'BD Feedstock'!N486,'BD Feedstock'!O486,'BD Feedstock'!U486)</f>
        <v>12.773566250859661</v>
      </c>
      <c r="AD488" s="251">
        <f>'BD Feedstock'!J486</f>
        <v>0.90199999999999991</v>
      </c>
      <c r="AE488" s="251">
        <f>SUM('BD Feedstock'!B486,'BD Feedstock'!P486,'BD Feedstock'!Q486,'BD Feedstock'!R486)</f>
        <v>70.93020833333334</v>
      </c>
      <c r="AF488" s="251">
        <f>'BD Feedstock'!S486</f>
        <v>1.40625</v>
      </c>
      <c r="AG488" s="251">
        <f t="shared" si="208"/>
        <v>107.82482059462075</v>
      </c>
      <c r="AK488" s="237">
        <f t="shared" si="206"/>
        <v>0.20229846792359021</v>
      </c>
      <c r="AL488" s="237">
        <f t="shared" si="206"/>
        <v>0.11846591703484753</v>
      </c>
      <c r="AM488" s="237">
        <f t="shared" si="206"/>
        <v>8.3654208282077092E-3</v>
      </c>
      <c r="AN488" s="237">
        <f t="shared" si="206"/>
        <v>0.65782820636449979</v>
      </c>
      <c r="AO488" s="237">
        <f t="shared" si="206"/>
        <v>1.304198784885487E-2</v>
      </c>
      <c r="AP488" s="237">
        <f t="shared" si="209"/>
        <v>1</v>
      </c>
      <c r="AQ488" s="237"/>
      <c r="AR488" s="237">
        <f t="shared" si="210"/>
        <v>0.61464645366918802</v>
      </c>
      <c r="AS488" s="237">
        <f t="shared" si="211"/>
        <v>0.35993676340465403</v>
      </c>
      <c r="AT488" s="237">
        <f t="shared" si="212"/>
        <v>2.5416782926158003E-2</v>
      </c>
      <c r="AU488" s="237">
        <f t="shared" si="200"/>
        <v>0.98055959563958928</v>
      </c>
      <c r="AV488" s="237">
        <f t="shared" si="200"/>
        <v>1.9440404360410696E-2</v>
      </c>
      <c r="AX488" s="251">
        <f t="shared" si="201"/>
        <v>29102.456427963276</v>
      </c>
      <c r="AY488" s="251">
        <f t="shared" si="201"/>
        <v>18097.917631328954</v>
      </c>
      <c r="AZ488" s="251">
        <f t="shared" si="201"/>
        <v>1273.3183481125789</v>
      </c>
      <c r="BA488" s="251">
        <f t="shared" si="202"/>
        <v>90971.240199528707</v>
      </c>
      <c r="BB488" s="251">
        <f t="shared" si="202"/>
        <v>1815.6845834121812</v>
      </c>
      <c r="BC488" s="251">
        <f t="shared" si="204"/>
        <v>141260.61719034571</v>
      </c>
      <c r="BD488" s="270">
        <f t="shared" si="199"/>
        <v>7.6100191206778591</v>
      </c>
    </row>
    <row r="489" spans="1:56">
      <c r="A489" s="11">
        <v>54514</v>
      </c>
      <c r="B489" s="268">
        <v>70</v>
      </c>
      <c r="C489" s="268">
        <v>13</v>
      </c>
      <c r="D489" s="268">
        <f t="shared" si="218"/>
        <v>20</v>
      </c>
      <c r="E489" s="268">
        <v>3</v>
      </c>
      <c r="F489" s="269">
        <v>0.2</v>
      </c>
      <c r="G489" s="269">
        <v>1.32</v>
      </c>
      <c r="I489" s="269">
        <v>5</v>
      </c>
      <c r="M489" s="269">
        <f t="shared" si="216"/>
        <v>1.5</v>
      </c>
      <c r="N489" s="269">
        <v>45</v>
      </c>
      <c r="O489" s="269">
        <f t="shared" si="205"/>
        <v>17.699535849485258</v>
      </c>
      <c r="Q489" s="251">
        <f t="shared" si="217"/>
        <v>176.71953584948523</v>
      </c>
      <c r="R489" s="251">
        <f>'RD Plant List'!N357</f>
        <v>664.33</v>
      </c>
      <c r="S489" s="251">
        <f>SUM(B489:O489)+'RD Plant List'!N357</f>
        <v>841.04953584948521</v>
      </c>
      <c r="T489" s="237">
        <f t="shared" si="203"/>
        <v>0.7898821314121609</v>
      </c>
      <c r="U489" s="251">
        <f t="shared" si="198"/>
        <v>499.54160517869246</v>
      </c>
      <c r="V489" s="271">
        <f t="shared" si="207"/>
        <v>0.59395027746390761</v>
      </c>
      <c r="W489" s="251">
        <f t="shared" si="213"/>
        <v>41.62846709822437</v>
      </c>
      <c r="X489" s="242">
        <f t="shared" si="214"/>
        <v>7.6100191206778565</v>
      </c>
      <c r="Y489" s="273">
        <f t="shared" si="215"/>
        <v>7.6100191206778565</v>
      </c>
      <c r="AB489" s="251">
        <f>SUM('BD Feedstock'!C487,'BD Feedstock'!E487,'BD Feedstock'!G487,'BD Feedstock'!K487,'BD Feedstock'!T487)</f>
        <v>21.812796010427753</v>
      </c>
      <c r="AC489" s="251">
        <f>SUM('BD Feedstock'!D487,'BD Feedstock'!F487,'BD Feedstock'!H487,'BD Feedstock'!I487,'BD Feedstock'!L487,'BD Feedstock'!M487,'BD Feedstock'!N487,'BD Feedstock'!O487,'BD Feedstock'!U487)</f>
        <v>12.773566250859661</v>
      </c>
      <c r="AD489" s="251">
        <f>'BD Feedstock'!J487</f>
        <v>0.90199999999999991</v>
      </c>
      <c r="AE489" s="251">
        <f>SUM('BD Feedstock'!B487,'BD Feedstock'!P487,'BD Feedstock'!Q487,'BD Feedstock'!R487)</f>
        <v>70.93020833333334</v>
      </c>
      <c r="AF489" s="251">
        <f>'BD Feedstock'!S487</f>
        <v>1.40625</v>
      </c>
      <c r="AG489" s="251">
        <f t="shared" si="208"/>
        <v>107.82482059462075</v>
      </c>
      <c r="AK489" s="237">
        <f t="shared" si="206"/>
        <v>0.20229846792359021</v>
      </c>
      <c r="AL489" s="237">
        <f t="shared" si="206"/>
        <v>0.11846591703484753</v>
      </c>
      <c r="AM489" s="237">
        <f t="shared" si="206"/>
        <v>8.3654208282077092E-3</v>
      </c>
      <c r="AN489" s="237">
        <f t="shared" si="206"/>
        <v>0.65782820636449979</v>
      </c>
      <c r="AO489" s="237">
        <f t="shared" si="206"/>
        <v>1.304198784885487E-2</v>
      </c>
      <c r="AP489" s="237">
        <f t="shared" si="209"/>
        <v>1</v>
      </c>
      <c r="AQ489" s="237"/>
      <c r="AR489" s="237">
        <f t="shared" si="210"/>
        <v>0.61464645366918802</v>
      </c>
      <c r="AS489" s="237">
        <f t="shared" si="211"/>
        <v>0.35993676340465403</v>
      </c>
      <c r="AT489" s="237">
        <f t="shared" si="212"/>
        <v>2.5416782926158003E-2</v>
      </c>
      <c r="AU489" s="237">
        <f t="shared" si="200"/>
        <v>0.98055959563958928</v>
      </c>
      <c r="AV489" s="237">
        <f t="shared" si="200"/>
        <v>1.9440404360410696E-2</v>
      </c>
      <c r="AX489" s="251">
        <f t="shared" si="201"/>
        <v>29604.012456027562</v>
      </c>
      <c r="AY489" s="251">
        <f t="shared" si="201"/>
        <v>18409.81981408361</v>
      </c>
      <c r="AZ489" s="251">
        <f t="shared" si="201"/>
        <v>1295.2629043984562</v>
      </c>
      <c r="BA489" s="251">
        <f t="shared" si="202"/>
        <v>92539.051975675451</v>
      </c>
      <c r="BB489" s="251">
        <f t="shared" si="202"/>
        <v>1846.9763594218093</v>
      </c>
      <c r="BC489" s="251">
        <f t="shared" si="204"/>
        <v>143695.12350960687</v>
      </c>
      <c r="BD489" s="270">
        <f t="shared" si="199"/>
        <v>7.6100191206778574</v>
      </c>
    </row>
    <row r="490" spans="1:56">
      <c r="A490" s="11">
        <v>54544</v>
      </c>
      <c r="B490" s="268">
        <v>70</v>
      </c>
      <c r="C490" s="268">
        <v>13</v>
      </c>
      <c r="D490" s="268">
        <f t="shared" si="218"/>
        <v>20</v>
      </c>
      <c r="E490" s="268">
        <v>3</v>
      </c>
      <c r="F490" s="269">
        <v>0.2</v>
      </c>
      <c r="G490" s="269">
        <v>1.32</v>
      </c>
      <c r="I490" s="269">
        <v>5</v>
      </c>
      <c r="M490" s="269">
        <f t="shared" si="216"/>
        <v>1.5</v>
      </c>
      <c r="N490" s="269">
        <v>45</v>
      </c>
      <c r="O490" s="269">
        <f t="shared" si="205"/>
        <v>17.699535849485258</v>
      </c>
      <c r="Q490" s="251">
        <f t="shared" si="217"/>
        <v>176.71953584948523</v>
      </c>
      <c r="R490" s="251">
        <f>'RD Plant List'!N358</f>
        <v>664.33</v>
      </c>
      <c r="S490" s="251">
        <f>SUM(B490:O490)+'RD Plant List'!N358</f>
        <v>841.04953584948521</v>
      </c>
      <c r="T490" s="237">
        <f t="shared" si="203"/>
        <v>0.7898821314121609</v>
      </c>
      <c r="U490" s="251">
        <f t="shared" si="198"/>
        <v>485.33392609005057</v>
      </c>
      <c r="V490" s="271">
        <f t="shared" si="207"/>
        <v>0.57705748044893546</v>
      </c>
      <c r="W490" s="251">
        <f t="shared" si="213"/>
        <v>40.444493840837545</v>
      </c>
      <c r="X490" s="242">
        <f t="shared" si="214"/>
        <v>7.6100191206778582</v>
      </c>
      <c r="Y490" s="273">
        <f t="shared" si="215"/>
        <v>7.6100191206778582</v>
      </c>
      <c r="AB490" s="251">
        <f>SUM('BD Feedstock'!C488,'BD Feedstock'!E488,'BD Feedstock'!G488,'BD Feedstock'!K488,'BD Feedstock'!T488)</f>
        <v>21.812796010427753</v>
      </c>
      <c r="AC490" s="251">
        <f>SUM('BD Feedstock'!D488,'BD Feedstock'!F488,'BD Feedstock'!H488,'BD Feedstock'!I488,'BD Feedstock'!L488,'BD Feedstock'!M488,'BD Feedstock'!N488,'BD Feedstock'!O488,'BD Feedstock'!U488)</f>
        <v>12.773566250859661</v>
      </c>
      <c r="AD490" s="251">
        <f>'BD Feedstock'!J488</f>
        <v>0.90199999999999991</v>
      </c>
      <c r="AE490" s="251">
        <f>SUM('BD Feedstock'!B488,'BD Feedstock'!P488,'BD Feedstock'!Q488,'BD Feedstock'!R488)</f>
        <v>70.93020833333334</v>
      </c>
      <c r="AF490" s="251">
        <f>'BD Feedstock'!S488</f>
        <v>1.40625</v>
      </c>
      <c r="AG490" s="251">
        <f t="shared" si="208"/>
        <v>107.82482059462075</v>
      </c>
      <c r="AK490" s="237">
        <f t="shared" si="206"/>
        <v>0.20229846792359021</v>
      </c>
      <c r="AL490" s="237">
        <f t="shared" si="206"/>
        <v>0.11846591703484753</v>
      </c>
      <c r="AM490" s="237">
        <f t="shared" si="206"/>
        <v>8.3654208282077092E-3</v>
      </c>
      <c r="AN490" s="237">
        <f t="shared" si="206"/>
        <v>0.65782820636449979</v>
      </c>
      <c r="AO490" s="237">
        <f t="shared" si="206"/>
        <v>1.304198784885487E-2</v>
      </c>
      <c r="AP490" s="237">
        <f t="shared" si="209"/>
        <v>1</v>
      </c>
      <c r="AQ490" s="237"/>
      <c r="AR490" s="237">
        <f t="shared" si="210"/>
        <v>0.61464645366918802</v>
      </c>
      <c r="AS490" s="237">
        <f t="shared" si="211"/>
        <v>0.35993676340465403</v>
      </c>
      <c r="AT490" s="237">
        <f t="shared" si="212"/>
        <v>2.5416782926158003E-2</v>
      </c>
      <c r="AU490" s="237">
        <f t="shared" si="200"/>
        <v>0.98055959563958928</v>
      </c>
      <c r="AV490" s="237">
        <f t="shared" si="200"/>
        <v>1.9440404360410696E-2</v>
      </c>
      <c r="AX490" s="251">
        <f t="shared" si="201"/>
        <v>28762.031919569661</v>
      </c>
      <c r="AY490" s="251">
        <f t="shared" si="201"/>
        <v>17886.218157511568</v>
      </c>
      <c r="AZ490" s="251">
        <f t="shared" si="201"/>
        <v>1258.4237713005577</v>
      </c>
      <c r="BA490" s="251">
        <f t="shared" si="202"/>
        <v>89907.108730092863</v>
      </c>
      <c r="BB490" s="251">
        <f t="shared" si="202"/>
        <v>1794.4457050640276</v>
      </c>
      <c r="BC490" s="251">
        <f t="shared" si="204"/>
        <v>139608.22828353869</v>
      </c>
      <c r="BD490" s="270">
        <f t="shared" si="199"/>
        <v>7.6100191206778591</v>
      </c>
    </row>
    <row r="491" spans="1:56">
      <c r="A491" s="11">
        <v>54575</v>
      </c>
      <c r="B491" s="268">
        <v>70</v>
      </c>
      <c r="C491" s="268">
        <v>13</v>
      </c>
      <c r="D491" s="268">
        <f t="shared" si="218"/>
        <v>20</v>
      </c>
      <c r="E491" s="268">
        <v>3</v>
      </c>
      <c r="F491" s="269">
        <v>0.2</v>
      </c>
      <c r="G491" s="269">
        <v>1.32</v>
      </c>
      <c r="I491" s="269">
        <v>5</v>
      </c>
      <c r="M491" s="269">
        <f t="shared" si="216"/>
        <v>1.5</v>
      </c>
      <c r="N491" s="269">
        <v>45</v>
      </c>
      <c r="O491" s="269">
        <f t="shared" si="205"/>
        <v>17.699535849485258</v>
      </c>
      <c r="Q491" s="251">
        <f t="shared" si="217"/>
        <v>176.71953584948523</v>
      </c>
      <c r="R491" s="251">
        <f>'RD Plant List'!N359</f>
        <v>664.33</v>
      </c>
      <c r="S491" s="251">
        <f>SUM(B491:O491)+'RD Plant List'!N359</f>
        <v>841.04953584948521</v>
      </c>
      <c r="T491" s="237">
        <f t="shared" si="203"/>
        <v>0.7898821314121609</v>
      </c>
      <c r="U491" s="251">
        <f t="shared" si="198"/>
        <v>541.69493971700172</v>
      </c>
      <c r="V491" s="271">
        <f t="shared" si="207"/>
        <v>0.64407019637657092</v>
      </c>
      <c r="W491" s="251">
        <f t="shared" si="213"/>
        <v>45.141244976416807</v>
      </c>
      <c r="X491" s="242">
        <f t="shared" si="214"/>
        <v>7.6100191206778582</v>
      </c>
      <c r="Y491" s="273">
        <f t="shared" si="215"/>
        <v>7.6100191206778582</v>
      </c>
      <c r="AB491" s="251">
        <f>SUM('BD Feedstock'!C489,'BD Feedstock'!E489,'BD Feedstock'!G489,'BD Feedstock'!K489,'BD Feedstock'!T489)</f>
        <v>21.812796010427753</v>
      </c>
      <c r="AC491" s="251">
        <f>SUM('BD Feedstock'!D489,'BD Feedstock'!F489,'BD Feedstock'!H489,'BD Feedstock'!I489,'BD Feedstock'!L489,'BD Feedstock'!M489,'BD Feedstock'!N489,'BD Feedstock'!O489,'BD Feedstock'!U489)</f>
        <v>12.773566250859661</v>
      </c>
      <c r="AD491" s="251">
        <f>'BD Feedstock'!J489</f>
        <v>0.90199999999999991</v>
      </c>
      <c r="AE491" s="251">
        <f>SUM('BD Feedstock'!B489,'BD Feedstock'!P489,'BD Feedstock'!Q489,'BD Feedstock'!R489)</f>
        <v>70.93020833333334</v>
      </c>
      <c r="AF491" s="251">
        <f>'BD Feedstock'!S489</f>
        <v>1.40625</v>
      </c>
      <c r="AG491" s="251">
        <f t="shared" si="208"/>
        <v>107.82482059462075</v>
      </c>
      <c r="AK491" s="237">
        <f t="shared" si="206"/>
        <v>0.20229846792359021</v>
      </c>
      <c r="AL491" s="237">
        <f t="shared" si="206"/>
        <v>0.11846591703484753</v>
      </c>
      <c r="AM491" s="237">
        <f t="shared" si="206"/>
        <v>8.3654208282077092E-3</v>
      </c>
      <c r="AN491" s="237">
        <f t="shared" si="206"/>
        <v>0.65782820636449979</v>
      </c>
      <c r="AO491" s="237">
        <f t="shared" si="206"/>
        <v>1.304198784885487E-2</v>
      </c>
      <c r="AP491" s="237">
        <f t="shared" si="209"/>
        <v>1</v>
      </c>
      <c r="AQ491" s="237"/>
      <c r="AR491" s="237">
        <f t="shared" si="210"/>
        <v>0.61464645366918802</v>
      </c>
      <c r="AS491" s="237">
        <f t="shared" si="211"/>
        <v>0.35993676340465403</v>
      </c>
      <c r="AT491" s="237">
        <f t="shared" si="212"/>
        <v>2.5416782926158003E-2</v>
      </c>
      <c r="AU491" s="237">
        <f t="shared" si="200"/>
        <v>0.98055959563958928</v>
      </c>
      <c r="AV491" s="237">
        <f t="shared" si="200"/>
        <v>1.9440404360410696E-2</v>
      </c>
      <c r="AX491" s="251">
        <f t="shared" si="201"/>
        <v>32102.118375130758</v>
      </c>
      <c r="AY491" s="251">
        <f t="shared" si="201"/>
        <v>19963.314628865781</v>
      </c>
      <c r="AZ491" s="251">
        <f t="shared" si="201"/>
        <v>1404.562410101568</v>
      </c>
      <c r="BA491" s="251">
        <f t="shared" si="202"/>
        <v>100347.87025096858</v>
      </c>
      <c r="BB491" s="251">
        <f t="shared" si="202"/>
        <v>2002.8316706830317</v>
      </c>
      <c r="BC491" s="251">
        <f t="shared" si="204"/>
        <v>155820.69733574972</v>
      </c>
      <c r="BD491" s="270">
        <f t="shared" si="199"/>
        <v>7.6100191206778574</v>
      </c>
    </row>
    <row r="492" spans="1:56">
      <c r="A492" s="11">
        <v>54605</v>
      </c>
      <c r="B492" s="268">
        <v>70</v>
      </c>
      <c r="C492" s="268">
        <v>13</v>
      </c>
      <c r="D492" s="268">
        <f t="shared" si="218"/>
        <v>20</v>
      </c>
      <c r="E492" s="268">
        <v>3</v>
      </c>
      <c r="F492" s="269">
        <v>0.2</v>
      </c>
      <c r="G492" s="269">
        <v>1.32</v>
      </c>
      <c r="I492" s="269">
        <v>5</v>
      </c>
      <c r="M492" s="269">
        <f t="shared" si="216"/>
        <v>1.5</v>
      </c>
      <c r="N492" s="269">
        <v>45</v>
      </c>
      <c r="O492" s="269">
        <f t="shared" si="205"/>
        <v>17.699535849485258</v>
      </c>
      <c r="Q492" s="251">
        <f t="shared" si="217"/>
        <v>176.71953584948523</v>
      </c>
      <c r="R492" s="251">
        <f>'RD Plant List'!N360</f>
        <v>664.33</v>
      </c>
      <c r="S492" s="251">
        <f>SUM(B492:O492)+'RD Plant List'!N360</f>
        <v>841.04953584948521</v>
      </c>
      <c r="T492" s="237">
        <f t="shared" si="203"/>
        <v>0.7898821314121609</v>
      </c>
      <c r="U492" s="251">
        <f t="shared" si="198"/>
        <v>556.26437644559701</v>
      </c>
      <c r="V492" s="271">
        <f t="shared" si="207"/>
        <v>0.66139311982825522</v>
      </c>
      <c r="W492" s="251">
        <f t="shared" si="213"/>
        <v>46.355364703799751</v>
      </c>
      <c r="X492" s="242">
        <f t="shared" si="214"/>
        <v>7.6100191206778582</v>
      </c>
      <c r="Y492" s="273">
        <f t="shared" si="215"/>
        <v>7.6100191206778582</v>
      </c>
      <c r="AB492" s="251">
        <f>SUM('BD Feedstock'!C490,'BD Feedstock'!E490,'BD Feedstock'!G490,'BD Feedstock'!K490,'BD Feedstock'!T490)</f>
        <v>21.812796010427753</v>
      </c>
      <c r="AC492" s="251">
        <f>SUM('BD Feedstock'!D490,'BD Feedstock'!F490,'BD Feedstock'!H490,'BD Feedstock'!I490,'BD Feedstock'!L490,'BD Feedstock'!M490,'BD Feedstock'!N490,'BD Feedstock'!O490,'BD Feedstock'!U490)</f>
        <v>12.773566250859661</v>
      </c>
      <c r="AD492" s="251">
        <f>'BD Feedstock'!J490</f>
        <v>0.90199999999999991</v>
      </c>
      <c r="AE492" s="251">
        <f>SUM('BD Feedstock'!B490,'BD Feedstock'!P490,'BD Feedstock'!Q490,'BD Feedstock'!R490)</f>
        <v>70.93020833333334</v>
      </c>
      <c r="AF492" s="251">
        <f>'BD Feedstock'!S490</f>
        <v>1.40625</v>
      </c>
      <c r="AG492" s="251">
        <f t="shared" si="208"/>
        <v>107.82482059462075</v>
      </c>
      <c r="AK492" s="237">
        <f t="shared" si="206"/>
        <v>0.20229846792359021</v>
      </c>
      <c r="AL492" s="237">
        <f t="shared" si="206"/>
        <v>0.11846591703484753</v>
      </c>
      <c r="AM492" s="237">
        <f t="shared" si="206"/>
        <v>8.3654208282077092E-3</v>
      </c>
      <c r="AN492" s="237">
        <f t="shared" si="206"/>
        <v>0.65782820636449979</v>
      </c>
      <c r="AO492" s="237">
        <f t="shared" si="206"/>
        <v>1.304198784885487E-2</v>
      </c>
      <c r="AP492" s="237">
        <f t="shared" si="209"/>
        <v>1</v>
      </c>
      <c r="AQ492" s="237"/>
      <c r="AR492" s="237">
        <f t="shared" si="210"/>
        <v>0.61464645366918802</v>
      </c>
      <c r="AS492" s="237">
        <f t="shared" si="211"/>
        <v>0.35993676340465403</v>
      </c>
      <c r="AT492" s="237">
        <f t="shared" si="212"/>
        <v>2.5416782926158003E-2</v>
      </c>
      <c r="AU492" s="237">
        <f t="shared" si="200"/>
        <v>0.98055959563958928</v>
      </c>
      <c r="AV492" s="237">
        <f t="shared" si="200"/>
        <v>1.9440404360410696E-2</v>
      </c>
      <c r="AX492" s="251">
        <f t="shared" si="201"/>
        <v>32965.5375216428</v>
      </c>
      <c r="AY492" s="251">
        <f t="shared" si="201"/>
        <v>20500.248294021032</v>
      </c>
      <c r="AZ492" s="251">
        <f t="shared" si="201"/>
        <v>1442.3395456532292</v>
      </c>
      <c r="BA492" s="251">
        <f t="shared" si="202"/>
        <v>103046.82835317013</v>
      </c>
      <c r="BB492" s="251">
        <f t="shared" si="202"/>
        <v>2056.6998669030077</v>
      </c>
      <c r="BC492" s="251">
        <f t="shared" si="204"/>
        <v>160011.65358139022</v>
      </c>
      <c r="BD492" s="270">
        <f t="shared" si="199"/>
        <v>7.6100191206778591</v>
      </c>
    </row>
    <row r="493" spans="1:56">
      <c r="A493" s="11">
        <v>54636</v>
      </c>
      <c r="B493" s="268">
        <v>70</v>
      </c>
      <c r="C493" s="268">
        <v>13</v>
      </c>
      <c r="D493" s="268">
        <f t="shared" si="218"/>
        <v>20</v>
      </c>
      <c r="E493" s="268">
        <v>3</v>
      </c>
      <c r="F493" s="269">
        <v>0.2</v>
      </c>
      <c r="G493" s="269">
        <v>1.32</v>
      </c>
      <c r="I493" s="269">
        <v>5</v>
      </c>
      <c r="M493" s="269">
        <f t="shared" si="216"/>
        <v>1.5</v>
      </c>
      <c r="N493" s="269">
        <v>45</v>
      </c>
      <c r="O493" s="269">
        <f t="shared" si="205"/>
        <v>17.699535849485258</v>
      </c>
      <c r="Q493" s="251">
        <f t="shared" si="217"/>
        <v>176.71953584948523</v>
      </c>
      <c r="R493" s="251">
        <f>'RD Plant List'!N361</f>
        <v>664.33</v>
      </c>
      <c r="S493" s="251">
        <f>SUM(B493:O493)+'RD Plant List'!N361</f>
        <v>841.04953584948521</v>
      </c>
      <c r="T493" s="237">
        <f t="shared" si="203"/>
        <v>0.7898821314121609</v>
      </c>
      <c r="U493" s="251">
        <f t="shared" ref="U493:U509" si="219">S493*V493</f>
        <v>524.98393117822206</v>
      </c>
      <c r="V493" s="271">
        <f t="shared" si="207"/>
        <v>0.62420096415364235</v>
      </c>
      <c r="W493" s="251">
        <f t="shared" si="213"/>
        <v>43.748660931518508</v>
      </c>
      <c r="X493" s="242">
        <f t="shared" si="214"/>
        <v>7.6100191206778574</v>
      </c>
      <c r="Y493" s="273">
        <f t="shared" si="215"/>
        <v>7.6100191206778574</v>
      </c>
      <c r="AB493" s="251">
        <f>SUM('BD Feedstock'!C491,'BD Feedstock'!E491,'BD Feedstock'!G491,'BD Feedstock'!K491,'BD Feedstock'!T491)</f>
        <v>21.812796010427753</v>
      </c>
      <c r="AC493" s="251">
        <f>SUM('BD Feedstock'!D491,'BD Feedstock'!F491,'BD Feedstock'!H491,'BD Feedstock'!I491,'BD Feedstock'!L491,'BD Feedstock'!M491,'BD Feedstock'!N491,'BD Feedstock'!O491,'BD Feedstock'!U491)</f>
        <v>12.773566250859661</v>
      </c>
      <c r="AD493" s="251">
        <f>'BD Feedstock'!J491</f>
        <v>0.90199999999999991</v>
      </c>
      <c r="AE493" s="251">
        <f>SUM('BD Feedstock'!B491,'BD Feedstock'!P491,'BD Feedstock'!Q491,'BD Feedstock'!R491)</f>
        <v>70.93020833333334</v>
      </c>
      <c r="AF493" s="251">
        <f>'BD Feedstock'!S491</f>
        <v>1.40625</v>
      </c>
      <c r="AG493" s="251">
        <f t="shared" si="208"/>
        <v>107.82482059462075</v>
      </c>
      <c r="AK493" s="237">
        <f t="shared" si="206"/>
        <v>0.20229846792359021</v>
      </c>
      <c r="AL493" s="237">
        <f t="shared" si="206"/>
        <v>0.11846591703484753</v>
      </c>
      <c r="AM493" s="237">
        <f t="shared" si="206"/>
        <v>8.3654208282077092E-3</v>
      </c>
      <c r="AN493" s="237">
        <f t="shared" si="206"/>
        <v>0.65782820636449979</v>
      </c>
      <c r="AO493" s="237">
        <f t="shared" si="206"/>
        <v>1.304198784885487E-2</v>
      </c>
      <c r="AP493" s="237">
        <f t="shared" si="209"/>
        <v>1</v>
      </c>
      <c r="AQ493" s="237"/>
      <c r="AR493" s="237">
        <f t="shared" si="210"/>
        <v>0.61464645366918802</v>
      </c>
      <c r="AS493" s="237">
        <f t="shared" si="211"/>
        <v>0.35993676340465403</v>
      </c>
      <c r="AT493" s="237">
        <f t="shared" si="212"/>
        <v>2.5416782926158003E-2</v>
      </c>
      <c r="AU493" s="237">
        <f t="shared" si="200"/>
        <v>0.98055959563958928</v>
      </c>
      <c r="AV493" s="237">
        <f t="shared" si="200"/>
        <v>1.9440404360410696E-2</v>
      </c>
      <c r="AX493" s="251">
        <f t="shared" si="201"/>
        <v>31111.784637547782</v>
      </c>
      <c r="AY493" s="251">
        <f t="shared" si="201"/>
        <v>19347.456704478289</v>
      </c>
      <c r="AZ493" s="251">
        <f t="shared" si="201"/>
        <v>1361.2323866741415</v>
      </c>
      <c r="BA493" s="251">
        <f t="shared" si="202"/>
        <v>97252.190388261428</v>
      </c>
      <c r="BB493" s="251">
        <f t="shared" si="202"/>
        <v>1941.0453501979123</v>
      </c>
      <c r="BC493" s="251">
        <f t="shared" si="204"/>
        <v>151013.70946715956</v>
      </c>
      <c r="BD493" s="270">
        <f t="shared" ref="BD493:BD556" si="220">(BC493*2204.622/1000000)/(U493/12)</f>
        <v>7.6100191206778582</v>
      </c>
    </row>
    <row r="494" spans="1:56">
      <c r="A494" s="11">
        <v>54667</v>
      </c>
      <c r="B494" s="268">
        <v>70</v>
      </c>
      <c r="C494" s="268">
        <v>13</v>
      </c>
      <c r="D494" s="268">
        <f t="shared" si="218"/>
        <v>20</v>
      </c>
      <c r="E494" s="268">
        <v>3</v>
      </c>
      <c r="F494" s="269">
        <v>0.2</v>
      </c>
      <c r="G494" s="269">
        <v>1.32</v>
      </c>
      <c r="I494" s="269">
        <v>5</v>
      </c>
      <c r="M494" s="269">
        <f t="shared" si="216"/>
        <v>1.5</v>
      </c>
      <c r="N494" s="269">
        <v>45</v>
      </c>
      <c r="O494" s="269">
        <f t="shared" si="205"/>
        <v>17.699535849485258</v>
      </c>
      <c r="Q494" s="251">
        <f t="shared" si="217"/>
        <v>176.71953584948523</v>
      </c>
      <c r="R494" s="251">
        <f>'RD Plant List'!N362</f>
        <v>664.33</v>
      </c>
      <c r="S494" s="251">
        <f>SUM(B494:O494)+'RD Plant List'!N362</f>
        <v>841.04953584948521</v>
      </c>
      <c r="T494" s="237">
        <f t="shared" si="203"/>
        <v>0.7898821314121609</v>
      </c>
      <c r="U494" s="251">
        <f t="shared" si="219"/>
        <v>569.07931903539873</v>
      </c>
      <c r="V494" s="271">
        <f t="shared" si="207"/>
        <v>0.67662996622501148</v>
      </c>
      <c r="W494" s="251">
        <f t="shared" si="213"/>
        <v>47.42327658628323</v>
      </c>
      <c r="X494" s="242">
        <f t="shared" si="214"/>
        <v>7.6100191206778574</v>
      </c>
      <c r="Y494" s="273">
        <f t="shared" si="215"/>
        <v>7.6100191206778574</v>
      </c>
      <c r="AB494" s="251">
        <f>SUM('BD Feedstock'!C492,'BD Feedstock'!E492,'BD Feedstock'!G492,'BD Feedstock'!K492,'BD Feedstock'!T492)</f>
        <v>21.812796010427753</v>
      </c>
      <c r="AC494" s="251">
        <f>SUM('BD Feedstock'!D492,'BD Feedstock'!F492,'BD Feedstock'!H492,'BD Feedstock'!I492,'BD Feedstock'!L492,'BD Feedstock'!M492,'BD Feedstock'!N492,'BD Feedstock'!O492,'BD Feedstock'!U492)</f>
        <v>12.773566250859661</v>
      </c>
      <c r="AD494" s="251">
        <f>'BD Feedstock'!J492</f>
        <v>0.90199999999999991</v>
      </c>
      <c r="AE494" s="251">
        <f>SUM('BD Feedstock'!B492,'BD Feedstock'!P492,'BD Feedstock'!Q492,'BD Feedstock'!R492)</f>
        <v>70.93020833333334</v>
      </c>
      <c r="AF494" s="251">
        <f>'BD Feedstock'!S492</f>
        <v>1.40625</v>
      </c>
      <c r="AG494" s="251">
        <f t="shared" si="208"/>
        <v>107.82482059462075</v>
      </c>
      <c r="AK494" s="237">
        <f t="shared" si="206"/>
        <v>0.20229846792359021</v>
      </c>
      <c r="AL494" s="237">
        <f t="shared" si="206"/>
        <v>0.11846591703484753</v>
      </c>
      <c r="AM494" s="237">
        <f t="shared" si="206"/>
        <v>8.3654208282077092E-3</v>
      </c>
      <c r="AN494" s="237">
        <f t="shared" si="206"/>
        <v>0.65782820636449979</v>
      </c>
      <c r="AO494" s="237">
        <f t="shared" si="206"/>
        <v>1.304198784885487E-2</v>
      </c>
      <c r="AP494" s="237">
        <f t="shared" si="209"/>
        <v>1</v>
      </c>
      <c r="AQ494" s="237"/>
      <c r="AR494" s="237">
        <f t="shared" si="210"/>
        <v>0.61464645366918802</v>
      </c>
      <c r="AS494" s="237">
        <f t="shared" si="211"/>
        <v>0.35993676340465403</v>
      </c>
      <c r="AT494" s="237">
        <f t="shared" si="212"/>
        <v>2.5416782926158003E-2</v>
      </c>
      <c r="AU494" s="237">
        <f t="shared" si="200"/>
        <v>0.98055959563958928</v>
      </c>
      <c r="AV494" s="237">
        <f t="shared" si="200"/>
        <v>1.9440404360410696E-2</v>
      </c>
      <c r="AX494" s="251">
        <f t="shared" si="201"/>
        <v>33724.98121185568</v>
      </c>
      <c r="AY494" s="251">
        <f t="shared" si="201"/>
        <v>20972.522838443976</v>
      </c>
      <c r="AZ494" s="251">
        <f t="shared" si="201"/>
        <v>1475.567448167232</v>
      </c>
      <c r="BA494" s="251">
        <f t="shared" si="202"/>
        <v>105420.7700350822</v>
      </c>
      <c r="BB494" s="251">
        <f t="shared" si="202"/>
        <v>2104.0810975459381</v>
      </c>
      <c r="BC494" s="251">
        <f t="shared" si="204"/>
        <v>163697.92263109502</v>
      </c>
      <c r="BD494" s="270">
        <f t="shared" si="220"/>
        <v>7.6100191206778574</v>
      </c>
    </row>
    <row r="495" spans="1:56">
      <c r="A495" s="11">
        <v>54697</v>
      </c>
      <c r="B495" s="268">
        <v>70</v>
      </c>
      <c r="C495" s="268">
        <v>13</v>
      </c>
      <c r="D495" s="268">
        <f t="shared" si="218"/>
        <v>20</v>
      </c>
      <c r="E495" s="268">
        <v>3</v>
      </c>
      <c r="F495" s="269">
        <v>0.2</v>
      </c>
      <c r="G495" s="269">
        <v>1.32</v>
      </c>
      <c r="I495" s="269">
        <v>5</v>
      </c>
      <c r="M495" s="269">
        <f t="shared" si="216"/>
        <v>1.5</v>
      </c>
      <c r="N495" s="269">
        <v>45</v>
      </c>
      <c r="O495" s="269">
        <f t="shared" si="205"/>
        <v>17.699535849485258</v>
      </c>
      <c r="Q495" s="251">
        <f t="shared" si="217"/>
        <v>176.71953584948523</v>
      </c>
      <c r="R495" s="251">
        <f>'RD Plant List'!N363</f>
        <v>664.33</v>
      </c>
      <c r="S495" s="251">
        <f>SUM(B495:O495)+'RD Plant List'!N363</f>
        <v>841.04953584948521</v>
      </c>
      <c r="T495" s="237">
        <f t="shared" si="203"/>
        <v>0.7898821314121609</v>
      </c>
      <c r="U495" s="251">
        <f t="shared" si="219"/>
        <v>595.81905004897294</v>
      </c>
      <c r="V495" s="271">
        <f t="shared" si="207"/>
        <v>0.70842325529277872</v>
      </c>
      <c r="W495" s="251">
        <f t="shared" si="213"/>
        <v>49.651587504081078</v>
      </c>
      <c r="X495" s="242">
        <f t="shared" si="214"/>
        <v>7.6100191206778582</v>
      </c>
      <c r="Y495" s="273">
        <f t="shared" si="215"/>
        <v>7.6100191206778582</v>
      </c>
      <c r="AB495" s="251">
        <f>SUM('BD Feedstock'!C493,'BD Feedstock'!E493,'BD Feedstock'!G493,'BD Feedstock'!K493,'BD Feedstock'!T493)</f>
        <v>21.812796010427753</v>
      </c>
      <c r="AC495" s="251">
        <f>SUM('BD Feedstock'!D493,'BD Feedstock'!F493,'BD Feedstock'!H493,'BD Feedstock'!I493,'BD Feedstock'!L493,'BD Feedstock'!M493,'BD Feedstock'!N493,'BD Feedstock'!O493,'BD Feedstock'!U493)</f>
        <v>12.773566250859661</v>
      </c>
      <c r="AD495" s="251">
        <f>'BD Feedstock'!J493</f>
        <v>0.90199999999999991</v>
      </c>
      <c r="AE495" s="251">
        <f>SUM('BD Feedstock'!B493,'BD Feedstock'!P493,'BD Feedstock'!Q493,'BD Feedstock'!R493)</f>
        <v>70.93020833333334</v>
      </c>
      <c r="AF495" s="251">
        <f>'BD Feedstock'!S493</f>
        <v>1.40625</v>
      </c>
      <c r="AG495" s="251">
        <f t="shared" si="208"/>
        <v>107.82482059462075</v>
      </c>
      <c r="AK495" s="237">
        <f t="shared" si="206"/>
        <v>0.20229846792359021</v>
      </c>
      <c r="AL495" s="237">
        <f t="shared" si="206"/>
        <v>0.11846591703484753</v>
      </c>
      <c r="AM495" s="237">
        <f t="shared" si="206"/>
        <v>8.3654208282077092E-3</v>
      </c>
      <c r="AN495" s="237">
        <f t="shared" si="206"/>
        <v>0.65782820636449979</v>
      </c>
      <c r="AO495" s="237">
        <f t="shared" si="206"/>
        <v>1.304198784885487E-2</v>
      </c>
      <c r="AP495" s="237">
        <f t="shared" si="209"/>
        <v>1</v>
      </c>
      <c r="AQ495" s="237"/>
      <c r="AR495" s="237">
        <f t="shared" si="210"/>
        <v>0.61464645366918802</v>
      </c>
      <c r="AS495" s="237">
        <f t="shared" si="211"/>
        <v>0.35993676340465403</v>
      </c>
      <c r="AT495" s="237">
        <f t="shared" si="212"/>
        <v>2.5416782926158003E-2</v>
      </c>
      <c r="AU495" s="237">
        <f t="shared" si="200"/>
        <v>0.98055959563958928</v>
      </c>
      <c r="AV495" s="237">
        <f t="shared" si="200"/>
        <v>1.9440404360410696E-2</v>
      </c>
      <c r="AX495" s="251">
        <f t="shared" si="201"/>
        <v>35309.640671228452</v>
      </c>
      <c r="AY495" s="251">
        <f t="shared" si="201"/>
        <v>21957.973549122766</v>
      </c>
      <c r="AZ495" s="251">
        <f t="shared" si="201"/>
        <v>1544.9009757381461</v>
      </c>
      <c r="BA495" s="251">
        <f t="shared" si="202"/>
        <v>110374.25005041661</v>
      </c>
      <c r="BB495" s="251">
        <f t="shared" si="202"/>
        <v>2202.9470388957152</v>
      </c>
      <c r="BC495" s="251">
        <f t="shared" si="204"/>
        <v>171389.71228540168</v>
      </c>
      <c r="BD495" s="270">
        <f t="shared" si="220"/>
        <v>7.6100191206778582</v>
      </c>
    </row>
    <row r="496" spans="1:56">
      <c r="A496" s="11">
        <v>54728</v>
      </c>
      <c r="B496" s="268">
        <v>70</v>
      </c>
      <c r="C496" s="268">
        <v>13</v>
      </c>
      <c r="D496" s="268">
        <f t="shared" si="218"/>
        <v>20</v>
      </c>
      <c r="E496" s="268">
        <v>3</v>
      </c>
      <c r="F496" s="269">
        <v>0.2</v>
      </c>
      <c r="G496" s="269">
        <v>1.32</v>
      </c>
      <c r="I496" s="269">
        <v>5</v>
      </c>
      <c r="M496" s="269">
        <f t="shared" si="216"/>
        <v>1.5</v>
      </c>
      <c r="N496" s="269">
        <v>45</v>
      </c>
      <c r="O496" s="269">
        <f t="shared" si="205"/>
        <v>17.699535849485258</v>
      </c>
      <c r="Q496" s="251">
        <f t="shared" si="217"/>
        <v>176.71953584948523</v>
      </c>
      <c r="R496" s="251">
        <f>'RD Plant List'!N364</f>
        <v>664.33</v>
      </c>
      <c r="S496" s="251">
        <f>SUM(B496:O496)+'RD Plant List'!N364</f>
        <v>841.04953584948521</v>
      </c>
      <c r="T496" s="237">
        <f t="shared" si="203"/>
        <v>0.7898821314121609</v>
      </c>
      <c r="U496" s="251">
        <f t="shared" si="219"/>
        <v>641.01375393249998</v>
      </c>
      <c r="V496" s="271">
        <f t="shared" si="207"/>
        <v>0.7621593337960253</v>
      </c>
      <c r="W496" s="251">
        <f t="shared" si="213"/>
        <v>53.417812827708332</v>
      </c>
      <c r="X496" s="242">
        <f t="shared" si="214"/>
        <v>7.6100191206778574</v>
      </c>
      <c r="Y496" s="273">
        <f t="shared" si="215"/>
        <v>7.6100191206778574</v>
      </c>
      <c r="AB496" s="251">
        <f>SUM('BD Feedstock'!C494,'BD Feedstock'!E494,'BD Feedstock'!G494,'BD Feedstock'!K494,'BD Feedstock'!T494)</f>
        <v>21.812796010427753</v>
      </c>
      <c r="AC496" s="251">
        <f>SUM('BD Feedstock'!D494,'BD Feedstock'!F494,'BD Feedstock'!H494,'BD Feedstock'!I494,'BD Feedstock'!L494,'BD Feedstock'!M494,'BD Feedstock'!N494,'BD Feedstock'!O494,'BD Feedstock'!U494)</f>
        <v>12.773566250859661</v>
      </c>
      <c r="AD496" s="251">
        <f>'BD Feedstock'!J494</f>
        <v>0.90199999999999991</v>
      </c>
      <c r="AE496" s="251">
        <f>SUM('BD Feedstock'!B494,'BD Feedstock'!P494,'BD Feedstock'!Q494,'BD Feedstock'!R494)</f>
        <v>70.93020833333334</v>
      </c>
      <c r="AF496" s="251">
        <f>'BD Feedstock'!S494</f>
        <v>1.40625</v>
      </c>
      <c r="AG496" s="251">
        <f t="shared" si="208"/>
        <v>107.82482059462075</v>
      </c>
      <c r="AK496" s="237">
        <f t="shared" ref="AK496:AO509" si="221">AB496/$AG496</f>
        <v>0.20229846792359021</v>
      </c>
      <c r="AL496" s="237">
        <f t="shared" si="221"/>
        <v>0.11846591703484753</v>
      </c>
      <c r="AM496" s="237">
        <f t="shared" si="221"/>
        <v>8.3654208282077092E-3</v>
      </c>
      <c r="AN496" s="237">
        <f t="shared" si="221"/>
        <v>0.65782820636449979</v>
      </c>
      <c r="AO496" s="237">
        <f t="shared" si="221"/>
        <v>1.304198784885487E-2</v>
      </c>
      <c r="AP496" s="237">
        <f t="shared" si="209"/>
        <v>1</v>
      </c>
      <c r="AQ496" s="237"/>
      <c r="AR496" s="237">
        <f t="shared" si="210"/>
        <v>0.61464645366918802</v>
      </c>
      <c r="AS496" s="237">
        <f t="shared" si="211"/>
        <v>0.35993676340465403</v>
      </c>
      <c r="AT496" s="237">
        <f t="shared" si="212"/>
        <v>2.5416782926158003E-2</v>
      </c>
      <c r="AU496" s="237">
        <f t="shared" ref="AU496:AV509" si="222">AE496/SUM($AE496:$AF496)</f>
        <v>0.98055959563958928</v>
      </c>
      <c r="AV496" s="237">
        <f t="shared" si="222"/>
        <v>1.9440404360410696E-2</v>
      </c>
      <c r="AX496" s="251">
        <f t="shared" ref="AX496:AZ509" si="223">($U496/12*AK496*AB$5/2204.622*1000000)-($BJ496*AR496)</f>
        <v>37987.985303275287</v>
      </c>
      <c r="AY496" s="251">
        <f t="shared" si="223"/>
        <v>23623.553245430488</v>
      </c>
      <c r="AZ496" s="251">
        <f t="shared" si="223"/>
        <v>1662.086457004847</v>
      </c>
      <c r="BA496" s="251">
        <f t="shared" ref="BA496:BB509" si="224">($U496/12*AN496*AE$5/2204.622*1000000)-($BK496*AU496)</f>
        <v>118746.47572360536</v>
      </c>
      <c r="BB496" s="251">
        <f t="shared" si="224"/>
        <v>2370.0473340034346</v>
      </c>
      <c r="BC496" s="251">
        <f t="shared" si="204"/>
        <v>184390.14806331942</v>
      </c>
      <c r="BD496" s="270">
        <f t="shared" si="220"/>
        <v>7.6100191206778574</v>
      </c>
    </row>
    <row r="497" spans="1:56">
      <c r="A497" s="11">
        <v>54758</v>
      </c>
      <c r="B497" s="268">
        <v>70</v>
      </c>
      <c r="C497" s="268">
        <v>13</v>
      </c>
      <c r="D497" s="268">
        <f t="shared" si="218"/>
        <v>20</v>
      </c>
      <c r="E497" s="268">
        <v>3</v>
      </c>
      <c r="F497" s="269">
        <v>0.2</v>
      </c>
      <c r="G497" s="269">
        <v>1.32</v>
      </c>
      <c r="I497" s="269">
        <v>5</v>
      </c>
      <c r="M497" s="269">
        <f t="shared" si="216"/>
        <v>1.5</v>
      </c>
      <c r="N497" s="269">
        <v>45</v>
      </c>
      <c r="O497" s="269">
        <f t="shared" si="205"/>
        <v>17.699535849485258</v>
      </c>
      <c r="Q497" s="251">
        <f t="shared" si="217"/>
        <v>176.71953584948523</v>
      </c>
      <c r="R497" s="251">
        <f>'RD Plant List'!N365</f>
        <v>664.33</v>
      </c>
      <c r="S497" s="251">
        <f>SUM(B497:O497)+'RD Plant List'!N365</f>
        <v>841.04953584948521</v>
      </c>
      <c r="T497" s="237">
        <f t="shared" si="203"/>
        <v>0.7898821314121609</v>
      </c>
      <c r="U497" s="251">
        <f t="shared" si="219"/>
        <v>582.91968244822647</v>
      </c>
      <c r="V497" s="271">
        <f t="shared" si="207"/>
        <v>0.69308602835082733</v>
      </c>
      <c r="W497" s="251">
        <f t="shared" si="213"/>
        <v>48.576640204018872</v>
      </c>
      <c r="X497" s="242">
        <f t="shared" si="214"/>
        <v>7.6100191206778582</v>
      </c>
      <c r="Y497" s="273">
        <f t="shared" si="215"/>
        <v>7.6100191206778582</v>
      </c>
      <c r="AB497" s="251">
        <f>SUM('BD Feedstock'!C495,'BD Feedstock'!E495,'BD Feedstock'!G495,'BD Feedstock'!K495,'BD Feedstock'!T495)</f>
        <v>21.812796010427753</v>
      </c>
      <c r="AC497" s="251">
        <f>SUM('BD Feedstock'!D495,'BD Feedstock'!F495,'BD Feedstock'!H495,'BD Feedstock'!I495,'BD Feedstock'!L495,'BD Feedstock'!M495,'BD Feedstock'!N495,'BD Feedstock'!O495,'BD Feedstock'!U495)</f>
        <v>12.773566250859661</v>
      </c>
      <c r="AD497" s="251">
        <f>'BD Feedstock'!J495</f>
        <v>0.90199999999999991</v>
      </c>
      <c r="AE497" s="251">
        <f>SUM('BD Feedstock'!B495,'BD Feedstock'!P495,'BD Feedstock'!Q495,'BD Feedstock'!R495)</f>
        <v>70.93020833333334</v>
      </c>
      <c r="AF497" s="251">
        <f>'BD Feedstock'!S495</f>
        <v>1.40625</v>
      </c>
      <c r="AG497" s="251">
        <f t="shared" si="208"/>
        <v>107.82482059462075</v>
      </c>
      <c r="AK497" s="237">
        <f t="shared" si="221"/>
        <v>0.20229846792359021</v>
      </c>
      <c r="AL497" s="237">
        <f t="shared" si="221"/>
        <v>0.11846591703484753</v>
      </c>
      <c r="AM497" s="237">
        <f t="shared" si="221"/>
        <v>8.3654208282077092E-3</v>
      </c>
      <c r="AN497" s="237">
        <f t="shared" si="221"/>
        <v>0.65782820636449979</v>
      </c>
      <c r="AO497" s="237">
        <f t="shared" si="221"/>
        <v>1.304198784885487E-2</v>
      </c>
      <c r="AP497" s="237">
        <f t="shared" si="209"/>
        <v>1</v>
      </c>
      <c r="AQ497" s="237"/>
      <c r="AR497" s="237">
        <f t="shared" si="210"/>
        <v>0.61464645366918802</v>
      </c>
      <c r="AS497" s="237">
        <f t="shared" si="211"/>
        <v>0.35993676340465403</v>
      </c>
      <c r="AT497" s="237">
        <f t="shared" si="212"/>
        <v>2.5416782926158003E-2</v>
      </c>
      <c r="AU497" s="237">
        <f t="shared" si="222"/>
        <v>0.98055959563958928</v>
      </c>
      <c r="AV497" s="237">
        <f t="shared" si="222"/>
        <v>1.9440404360410696E-2</v>
      </c>
      <c r="AX497" s="251">
        <f t="shared" si="223"/>
        <v>34545.193755959459</v>
      </c>
      <c r="AY497" s="251">
        <f t="shared" si="223"/>
        <v>21482.587653766921</v>
      </c>
      <c r="AZ497" s="251">
        <f t="shared" si="223"/>
        <v>1511.4541673637573</v>
      </c>
      <c r="BA497" s="251">
        <f t="shared" si="224"/>
        <v>107984.66880936697</v>
      </c>
      <c r="BB497" s="251">
        <f t="shared" si="224"/>
        <v>2155.2536600798544</v>
      </c>
      <c r="BC497" s="251">
        <f t="shared" si="204"/>
        <v>167679.15804653696</v>
      </c>
      <c r="BD497" s="270">
        <f t="shared" si="220"/>
        <v>7.6100191206778582</v>
      </c>
    </row>
    <row r="498" spans="1:56">
      <c r="A498" s="11">
        <v>54789</v>
      </c>
      <c r="B498" s="268">
        <v>70</v>
      </c>
      <c r="C498" s="268">
        <v>13</v>
      </c>
      <c r="D498" s="268">
        <f t="shared" si="218"/>
        <v>20</v>
      </c>
      <c r="E498" s="268">
        <v>3</v>
      </c>
      <c r="F498" s="269">
        <v>0.2</v>
      </c>
      <c r="G498" s="269">
        <v>1.32</v>
      </c>
      <c r="I498" s="269">
        <v>5</v>
      </c>
      <c r="M498" s="269">
        <f t="shared" si="216"/>
        <v>1.5</v>
      </c>
      <c r="N498" s="269">
        <v>45</v>
      </c>
      <c r="O498" s="269">
        <f t="shared" si="205"/>
        <v>17.699535849485258</v>
      </c>
      <c r="Q498" s="251">
        <f t="shared" si="217"/>
        <v>176.71953584948523</v>
      </c>
      <c r="R498" s="251">
        <f>'RD Plant List'!N366</f>
        <v>664.33</v>
      </c>
      <c r="S498" s="251">
        <f>SUM(B498:O498)+'RD Plant List'!N366</f>
        <v>841.04953584948521</v>
      </c>
      <c r="T498" s="237">
        <f t="shared" ref="T498:T529" si="225">R498/S498</f>
        <v>0.7898821314121609</v>
      </c>
      <c r="U498" s="251">
        <f t="shared" si="219"/>
        <v>477.86835478409415</v>
      </c>
      <c r="V498" s="271">
        <f t="shared" si="207"/>
        <v>0.56818098627381419</v>
      </c>
      <c r="W498" s="251">
        <f t="shared" si="213"/>
        <v>39.822362898674513</v>
      </c>
      <c r="X498" s="242">
        <f t="shared" si="214"/>
        <v>7.6100191206778591</v>
      </c>
      <c r="Y498" s="273">
        <f t="shared" si="215"/>
        <v>7.6100191206778591</v>
      </c>
      <c r="AB498" s="251">
        <f>SUM('BD Feedstock'!C496,'BD Feedstock'!E496,'BD Feedstock'!G496,'BD Feedstock'!K496,'BD Feedstock'!T496)</f>
        <v>21.812796010427753</v>
      </c>
      <c r="AC498" s="251">
        <f>SUM('BD Feedstock'!D496,'BD Feedstock'!F496,'BD Feedstock'!H496,'BD Feedstock'!I496,'BD Feedstock'!L496,'BD Feedstock'!M496,'BD Feedstock'!N496,'BD Feedstock'!O496,'BD Feedstock'!U496)</f>
        <v>12.773566250859661</v>
      </c>
      <c r="AD498" s="251">
        <f>'BD Feedstock'!J496</f>
        <v>0.90199999999999991</v>
      </c>
      <c r="AE498" s="251">
        <f>SUM('BD Feedstock'!B496,'BD Feedstock'!P496,'BD Feedstock'!Q496,'BD Feedstock'!R496)</f>
        <v>70.93020833333334</v>
      </c>
      <c r="AF498" s="251">
        <f>'BD Feedstock'!S496</f>
        <v>1.40625</v>
      </c>
      <c r="AG498" s="251">
        <f t="shared" si="208"/>
        <v>107.82482059462075</v>
      </c>
      <c r="AK498" s="237">
        <f t="shared" si="221"/>
        <v>0.20229846792359021</v>
      </c>
      <c r="AL498" s="237">
        <f t="shared" si="221"/>
        <v>0.11846591703484753</v>
      </c>
      <c r="AM498" s="237">
        <f t="shared" si="221"/>
        <v>8.3654208282077092E-3</v>
      </c>
      <c r="AN498" s="237">
        <f t="shared" si="221"/>
        <v>0.65782820636449979</v>
      </c>
      <c r="AO498" s="237">
        <f t="shared" si="221"/>
        <v>1.304198784885487E-2</v>
      </c>
      <c r="AP498" s="237">
        <f t="shared" si="209"/>
        <v>1</v>
      </c>
      <c r="AQ498" s="237"/>
      <c r="AR498" s="237">
        <f t="shared" si="210"/>
        <v>0.61464645366918802</v>
      </c>
      <c r="AS498" s="237">
        <f t="shared" si="211"/>
        <v>0.35993676340465403</v>
      </c>
      <c r="AT498" s="237">
        <f t="shared" si="212"/>
        <v>2.5416782926158003E-2</v>
      </c>
      <c r="AU498" s="237">
        <f t="shared" si="222"/>
        <v>0.98055959563958928</v>
      </c>
      <c r="AV498" s="237">
        <f t="shared" si="222"/>
        <v>1.9440404360410696E-2</v>
      </c>
      <c r="AX498" s="251">
        <f t="shared" si="223"/>
        <v>28319.604574896664</v>
      </c>
      <c r="AY498" s="251">
        <f t="shared" si="223"/>
        <v>17611.086274347032</v>
      </c>
      <c r="AZ498" s="251">
        <f t="shared" si="223"/>
        <v>1239.0662693978129</v>
      </c>
      <c r="BA498" s="251">
        <f t="shared" si="224"/>
        <v>88524.127044587643</v>
      </c>
      <c r="BB498" s="251">
        <f t="shared" si="224"/>
        <v>1766.8429317039454</v>
      </c>
      <c r="BC498" s="251">
        <f t="shared" si="204"/>
        <v>137460.7270949331</v>
      </c>
      <c r="BD498" s="270">
        <f t="shared" si="220"/>
        <v>7.6100191206778582</v>
      </c>
    </row>
    <row r="499" spans="1:56">
      <c r="A499" s="11">
        <v>54820</v>
      </c>
      <c r="B499" s="268">
        <v>70</v>
      </c>
      <c r="C499" s="268">
        <v>13</v>
      </c>
      <c r="D499" s="268">
        <f t="shared" si="218"/>
        <v>20</v>
      </c>
      <c r="E499" s="268">
        <v>3</v>
      </c>
      <c r="F499" s="269">
        <v>0.2</v>
      </c>
      <c r="G499" s="269">
        <v>1.32</v>
      </c>
      <c r="I499" s="269">
        <v>5</v>
      </c>
      <c r="M499" s="269">
        <f t="shared" si="216"/>
        <v>1.5</v>
      </c>
      <c r="N499" s="269">
        <v>45</v>
      </c>
      <c r="O499" s="269">
        <f t="shared" si="205"/>
        <v>17.699535849485258</v>
      </c>
      <c r="Q499" s="251">
        <f t="shared" si="217"/>
        <v>176.71953584948523</v>
      </c>
      <c r="R499" s="251">
        <f>'RD Plant List'!N367</f>
        <v>664.33</v>
      </c>
      <c r="S499" s="251">
        <f>SUM(B499:O499)+'RD Plant List'!N367</f>
        <v>841.04953584948521</v>
      </c>
      <c r="T499" s="237">
        <f t="shared" si="225"/>
        <v>0.7898821314121609</v>
      </c>
      <c r="U499" s="251">
        <f t="shared" si="219"/>
        <v>441.88088864250733</v>
      </c>
      <c r="V499" s="271">
        <f t="shared" si="207"/>
        <v>0.52539222698243859</v>
      </c>
      <c r="W499" s="251">
        <f t="shared" si="213"/>
        <v>36.823407386875608</v>
      </c>
      <c r="X499" s="242">
        <f t="shared" si="214"/>
        <v>7.6100191206778582</v>
      </c>
      <c r="Y499" s="273">
        <f t="shared" si="215"/>
        <v>7.6100191206778582</v>
      </c>
      <c r="AB499" s="251">
        <f>SUM('BD Feedstock'!C497,'BD Feedstock'!E497,'BD Feedstock'!G497,'BD Feedstock'!K497,'BD Feedstock'!T497)</f>
        <v>21.812796010427753</v>
      </c>
      <c r="AC499" s="251">
        <f>SUM('BD Feedstock'!D497,'BD Feedstock'!F497,'BD Feedstock'!H497,'BD Feedstock'!I497,'BD Feedstock'!L497,'BD Feedstock'!M497,'BD Feedstock'!N497,'BD Feedstock'!O497,'BD Feedstock'!U497)</f>
        <v>12.773566250859661</v>
      </c>
      <c r="AD499" s="251">
        <f>'BD Feedstock'!J497</f>
        <v>0.90199999999999991</v>
      </c>
      <c r="AE499" s="251">
        <f>SUM('BD Feedstock'!B497,'BD Feedstock'!P497,'BD Feedstock'!Q497,'BD Feedstock'!R497)</f>
        <v>70.93020833333334</v>
      </c>
      <c r="AF499" s="251">
        <f>'BD Feedstock'!S497</f>
        <v>1.40625</v>
      </c>
      <c r="AG499" s="251">
        <f t="shared" si="208"/>
        <v>107.82482059462075</v>
      </c>
      <c r="AK499" s="237">
        <f t="shared" si="221"/>
        <v>0.20229846792359021</v>
      </c>
      <c r="AL499" s="237">
        <f t="shared" si="221"/>
        <v>0.11846591703484753</v>
      </c>
      <c r="AM499" s="237">
        <f t="shared" si="221"/>
        <v>8.3654208282077092E-3</v>
      </c>
      <c r="AN499" s="237">
        <f t="shared" si="221"/>
        <v>0.65782820636449979</v>
      </c>
      <c r="AO499" s="237">
        <f t="shared" si="221"/>
        <v>1.304198784885487E-2</v>
      </c>
      <c r="AP499" s="237">
        <f t="shared" si="209"/>
        <v>1</v>
      </c>
      <c r="AQ499" s="237"/>
      <c r="AR499" s="237">
        <f t="shared" si="210"/>
        <v>0.61464645366918802</v>
      </c>
      <c r="AS499" s="237">
        <f t="shared" si="211"/>
        <v>0.35993676340465403</v>
      </c>
      <c r="AT499" s="237">
        <f t="shared" si="212"/>
        <v>2.5416782926158003E-2</v>
      </c>
      <c r="AU499" s="237">
        <f t="shared" si="222"/>
        <v>0.98055959563958928</v>
      </c>
      <c r="AV499" s="237">
        <f t="shared" si="222"/>
        <v>1.9440404360410696E-2</v>
      </c>
      <c r="AX499" s="251">
        <f t="shared" si="223"/>
        <v>26186.902543931075</v>
      </c>
      <c r="AY499" s="251">
        <f t="shared" si="223"/>
        <v>16284.824837133896</v>
      </c>
      <c r="AZ499" s="251">
        <f t="shared" si="223"/>
        <v>1145.7542620829893</v>
      </c>
      <c r="BA499" s="251">
        <f t="shared" si="224"/>
        <v>81857.523171707231</v>
      </c>
      <c r="BB499" s="251">
        <f t="shared" si="224"/>
        <v>1633.7849471238076</v>
      </c>
      <c r="BC499" s="251">
        <f t="shared" si="204"/>
        <v>127108.789761979</v>
      </c>
      <c r="BD499" s="270">
        <f t="shared" si="220"/>
        <v>7.6100191206778574</v>
      </c>
    </row>
    <row r="500" spans="1:56">
      <c r="A500" s="11">
        <v>54848</v>
      </c>
      <c r="B500" s="268">
        <v>70</v>
      </c>
      <c r="C500" s="268">
        <v>13</v>
      </c>
      <c r="D500" s="268">
        <f t="shared" si="218"/>
        <v>20</v>
      </c>
      <c r="E500" s="268">
        <v>3</v>
      </c>
      <c r="F500" s="269">
        <v>0.2</v>
      </c>
      <c r="G500" s="269">
        <v>1.32</v>
      </c>
      <c r="I500" s="269">
        <v>5</v>
      </c>
      <c r="M500" s="269">
        <f t="shared" si="216"/>
        <v>1.5</v>
      </c>
      <c r="N500" s="269">
        <v>45</v>
      </c>
      <c r="O500" s="269">
        <f t="shared" si="205"/>
        <v>17.699535849485258</v>
      </c>
      <c r="Q500" s="251">
        <f t="shared" si="217"/>
        <v>176.71953584948523</v>
      </c>
      <c r="R500" s="251">
        <f>'RD Plant List'!N368</f>
        <v>664.33</v>
      </c>
      <c r="S500" s="251">
        <f>SUM(B500:O500)+'RD Plant List'!N368</f>
        <v>841.04953584948521</v>
      </c>
      <c r="T500" s="237">
        <f t="shared" si="225"/>
        <v>0.7898821314121609</v>
      </c>
      <c r="U500" s="251">
        <f t="shared" si="219"/>
        <v>491.078269182859</v>
      </c>
      <c r="V500" s="271">
        <f t="shared" si="207"/>
        <v>0.5838874504423277</v>
      </c>
      <c r="W500" s="251">
        <f t="shared" si="213"/>
        <v>40.923189098571584</v>
      </c>
      <c r="X500" s="242">
        <f t="shared" si="214"/>
        <v>7.6100191206778556</v>
      </c>
      <c r="Y500" s="273">
        <f t="shared" si="215"/>
        <v>7.6100191206778556</v>
      </c>
      <c r="AB500" s="251">
        <f>SUM('BD Feedstock'!C498,'BD Feedstock'!E498,'BD Feedstock'!G498,'BD Feedstock'!K498,'BD Feedstock'!T498)</f>
        <v>21.812796010427753</v>
      </c>
      <c r="AC500" s="251">
        <f>SUM('BD Feedstock'!D498,'BD Feedstock'!F498,'BD Feedstock'!H498,'BD Feedstock'!I498,'BD Feedstock'!L498,'BD Feedstock'!M498,'BD Feedstock'!N498,'BD Feedstock'!O498,'BD Feedstock'!U498)</f>
        <v>12.773566250859661</v>
      </c>
      <c r="AD500" s="251">
        <f>'BD Feedstock'!J498</f>
        <v>0.90199999999999991</v>
      </c>
      <c r="AE500" s="251">
        <f>SUM('BD Feedstock'!B498,'BD Feedstock'!P498,'BD Feedstock'!Q498,'BD Feedstock'!R498)</f>
        <v>70.93020833333334</v>
      </c>
      <c r="AF500" s="251">
        <f>'BD Feedstock'!S498</f>
        <v>1.40625</v>
      </c>
      <c r="AG500" s="251">
        <f t="shared" si="208"/>
        <v>107.82482059462075</v>
      </c>
      <c r="AK500" s="237">
        <f t="shared" si="221"/>
        <v>0.20229846792359021</v>
      </c>
      <c r="AL500" s="237">
        <f t="shared" si="221"/>
        <v>0.11846591703484753</v>
      </c>
      <c r="AM500" s="237">
        <f t="shared" si="221"/>
        <v>8.3654208282077092E-3</v>
      </c>
      <c r="AN500" s="237">
        <f t="shared" si="221"/>
        <v>0.65782820636449979</v>
      </c>
      <c r="AO500" s="237">
        <f t="shared" si="221"/>
        <v>1.304198784885487E-2</v>
      </c>
      <c r="AP500" s="237">
        <f t="shared" si="209"/>
        <v>1</v>
      </c>
      <c r="AQ500" s="237"/>
      <c r="AR500" s="237">
        <f t="shared" si="210"/>
        <v>0.61464645366918802</v>
      </c>
      <c r="AS500" s="237">
        <f t="shared" si="211"/>
        <v>0.35993676340465403</v>
      </c>
      <c r="AT500" s="237">
        <f t="shared" si="212"/>
        <v>2.5416782926158003E-2</v>
      </c>
      <c r="AU500" s="237">
        <f t="shared" si="222"/>
        <v>0.98055959563958928</v>
      </c>
      <c r="AV500" s="237">
        <f t="shared" si="222"/>
        <v>1.9440404360410696E-2</v>
      </c>
      <c r="AX500" s="251">
        <f t="shared" si="223"/>
        <v>29102.455225072645</v>
      </c>
      <c r="AY500" s="251">
        <f t="shared" si="223"/>
        <v>18097.916883288472</v>
      </c>
      <c r="AZ500" s="251">
        <f t="shared" si="223"/>
        <v>1273.3182954825643</v>
      </c>
      <c r="BA500" s="251">
        <f t="shared" si="224"/>
        <v>90971.236439418208</v>
      </c>
      <c r="BB500" s="251">
        <f t="shared" si="224"/>
        <v>1815.6845083645653</v>
      </c>
      <c r="BC500" s="251">
        <f t="shared" ref="BC500:BC513" si="226">SUM(AX500:BB500)</f>
        <v>141260.61135162643</v>
      </c>
      <c r="BD500" s="270">
        <f t="shared" si="220"/>
        <v>7.6100191206778556</v>
      </c>
    </row>
    <row r="501" spans="1:56">
      <c r="A501" s="11">
        <v>54879</v>
      </c>
      <c r="B501" s="268">
        <v>70</v>
      </c>
      <c r="C501" s="268">
        <v>13</v>
      </c>
      <c r="D501" s="268">
        <f t="shared" si="218"/>
        <v>20</v>
      </c>
      <c r="E501" s="268">
        <v>3</v>
      </c>
      <c r="F501" s="269">
        <v>0.2</v>
      </c>
      <c r="G501" s="269">
        <v>1.32</v>
      </c>
      <c r="I501" s="269">
        <v>5</v>
      </c>
      <c r="M501" s="269">
        <f t="shared" si="216"/>
        <v>1.5</v>
      </c>
      <c r="N501" s="269">
        <v>45</v>
      </c>
      <c r="O501" s="269">
        <f t="shared" si="205"/>
        <v>17.699535849485258</v>
      </c>
      <c r="Q501" s="251">
        <f t="shared" si="217"/>
        <v>176.71953584948523</v>
      </c>
      <c r="R501" s="251">
        <f>'RD Plant List'!N369</f>
        <v>664.33</v>
      </c>
      <c r="S501" s="251">
        <f>SUM(B501:O501)+'RD Plant List'!N369</f>
        <v>841.04953584948521</v>
      </c>
      <c r="T501" s="237">
        <f t="shared" si="225"/>
        <v>0.7898821314121609</v>
      </c>
      <c r="U501" s="251">
        <f t="shared" si="219"/>
        <v>499.54190729898568</v>
      </c>
      <c r="V501" s="271">
        <f t="shared" si="207"/>
        <v>0.59395063668209913</v>
      </c>
      <c r="W501" s="251">
        <f t="shared" si="213"/>
        <v>41.628492274915473</v>
      </c>
      <c r="X501" s="242">
        <f t="shared" si="214"/>
        <v>7.6100191206778574</v>
      </c>
      <c r="Y501" s="273">
        <f t="shared" si="215"/>
        <v>7.6100191206778574</v>
      </c>
      <c r="AB501" s="251">
        <f>SUM('BD Feedstock'!C499,'BD Feedstock'!E499,'BD Feedstock'!G499,'BD Feedstock'!K499,'BD Feedstock'!T499)</f>
        <v>21.812796010427753</v>
      </c>
      <c r="AC501" s="251">
        <f>SUM('BD Feedstock'!D499,'BD Feedstock'!F499,'BD Feedstock'!H499,'BD Feedstock'!I499,'BD Feedstock'!L499,'BD Feedstock'!M499,'BD Feedstock'!N499,'BD Feedstock'!O499,'BD Feedstock'!U499)</f>
        <v>12.773566250859661</v>
      </c>
      <c r="AD501" s="251">
        <f>'BD Feedstock'!J499</f>
        <v>0.90199999999999991</v>
      </c>
      <c r="AE501" s="251">
        <f>SUM('BD Feedstock'!B499,'BD Feedstock'!P499,'BD Feedstock'!Q499,'BD Feedstock'!R499)</f>
        <v>70.93020833333334</v>
      </c>
      <c r="AF501" s="251">
        <f>'BD Feedstock'!S499</f>
        <v>1.40625</v>
      </c>
      <c r="AG501" s="251">
        <f t="shared" si="208"/>
        <v>107.82482059462075</v>
      </c>
      <c r="AK501" s="237">
        <f t="shared" si="221"/>
        <v>0.20229846792359021</v>
      </c>
      <c r="AL501" s="237">
        <f t="shared" si="221"/>
        <v>0.11846591703484753</v>
      </c>
      <c r="AM501" s="237">
        <f t="shared" si="221"/>
        <v>8.3654208282077092E-3</v>
      </c>
      <c r="AN501" s="237">
        <f t="shared" si="221"/>
        <v>0.65782820636449979</v>
      </c>
      <c r="AO501" s="237">
        <f t="shared" si="221"/>
        <v>1.304198784885487E-2</v>
      </c>
      <c r="AP501" s="237">
        <f t="shared" si="209"/>
        <v>1</v>
      </c>
      <c r="AQ501" s="237"/>
      <c r="AR501" s="237">
        <f t="shared" si="210"/>
        <v>0.61464645366918802</v>
      </c>
      <c r="AS501" s="237">
        <f t="shared" si="211"/>
        <v>0.35993676340465403</v>
      </c>
      <c r="AT501" s="237">
        <f t="shared" si="212"/>
        <v>2.5416782926158003E-2</v>
      </c>
      <c r="AU501" s="237">
        <f t="shared" si="222"/>
        <v>0.98055959563958928</v>
      </c>
      <c r="AV501" s="237">
        <f t="shared" si="222"/>
        <v>1.9440404360410696E-2</v>
      </c>
      <c r="AX501" s="251">
        <f t="shared" si="223"/>
        <v>29604.030360387944</v>
      </c>
      <c r="AY501" s="251">
        <f t="shared" si="223"/>
        <v>18409.830948251623</v>
      </c>
      <c r="AZ501" s="251">
        <f t="shared" si="223"/>
        <v>1295.263687767057</v>
      </c>
      <c r="BA501" s="251">
        <f t="shared" si="224"/>
        <v>92539.107942836607</v>
      </c>
      <c r="BB501" s="251">
        <f t="shared" si="224"/>
        <v>1846.9774764639803</v>
      </c>
      <c r="BC501" s="251">
        <f t="shared" si="226"/>
        <v>143695.2104157072</v>
      </c>
      <c r="BD501" s="270">
        <f t="shared" si="220"/>
        <v>7.6100191206778565</v>
      </c>
    </row>
    <row r="502" spans="1:56">
      <c r="A502" s="11">
        <v>54909</v>
      </c>
      <c r="B502" s="268">
        <v>70</v>
      </c>
      <c r="C502" s="268">
        <v>13</v>
      </c>
      <c r="D502" s="268">
        <f t="shared" si="218"/>
        <v>20</v>
      </c>
      <c r="E502" s="268">
        <v>3</v>
      </c>
      <c r="F502" s="269">
        <v>0.2</v>
      </c>
      <c r="G502" s="269">
        <v>1.32</v>
      </c>
      <c r="I502" s="269">
        <v>5</v>
      </c>
      <c r="M502" s="269">
        <f t="shared" si="216"/>
        <v>1.5</v>
      </c>
      <c r="N502" s="269">
        <v>45</v>
      </c>
      <c r="O502" s="269">
        <f t="shared" si="205"/>
        <v>17.699535849485258</v>
      </c>
      <c r="Q502" s="251">
        <f t="shared" si="217"/>
        <v>176.71953584948523</v>
      </c>
      <c r="R502" s="251">
        <f>'RD Plant List'!N370</f>
        <v>664.33</v>
      </c>
      <c r="S502" s="251">
        <f>SUM(B502:O502)+'RD Plant List'!N370</f>
        <v>841.04953584948521</v>
      </c>
      <c r="T502" s="237">
        <f t="shared" si="225"/>
        <v>0.7898821314121609</v>
      </c>
      <c r="U502" s="251">
        <f t="shared" si="219"/>
        <v>485.33524662633465</v>
      </c>
      <c r="V502" s="271">
        <f t="shared" si="207"/>
        <v>0.57705905055417639</v>
      </c>
      <c r="W502" s="251">
        <f t="shared" si="213"/>
        <v>40.44460388552789</v>
      </c>
      <c r="X502" s="242">
        <f t="shared" si="214"/>
        <v>7.61001912067786</v>
      </c>
      <c r="Y502" s="273">
        <f t="shared" si="215"/>
        <v>7.61001912067786</v>
      </c>
      <c r="AB502" s="251">
        <f>SUM('BD Feedstock'!C500,'BD Feedstock'!E500,'BD Feedstock'!G500,'BD Feedstock'!K500,'BD Feedstock'!T500)</f>
        <v>21.812796010427753</v>
      </c>
      <c r="AC502" s="251">
        <f>SUM('BD Feedstock'!D500,'BD Feedstock'!F500,'BD Feedstock'!H500,'BD Feedstock'!I500,'BD Feedstock'!L500,'BD Feedstock'!M500,'BD Feedstock'!N500,'BD Feedstock'!O500,'BD Feedstock'!U500)</f>
        <v>12.773566250859661</v>
      </c>
      <c r="AD502" s="251">
        <f>'BD Feedstock'!J500</f>
        <v>0.90199999999999991</v>
      </c>
      <c r="AE502" s="251">
        <f>SUM('BD Feedstock'!B500,'BD Feedstock'!P500,'BD Feedstock'!Q500,'BD Feedstock'!R500)</f>
        <v>70.93020833333334</v>
      </c>
      <c r="AF502" s="251">
        <f>'BD Feedstock'!S500</f>
        <v>1.40625</v>
      </c>
      <c r="AG502" s="251">
        <f t="shared" si="208"/>
        <v>107.82482059462075</v>
      </c>
      <c r="AK502" s="237">
        <f t="shared" si="221"/>
        <v>0.20229846792359021</v>
      </c>
      <c r="AL502" s="237">
        <f t="shared" si="221"/>
        <v>0.11846591703484753</v>
      </c>
      <c r="AM502" s="237">
        <f t="shared" si="221"/>
        <v>8.3654208282077092E-3</v>
      </c>
      <c r="AN502" s="237">
        <f t="shared" si="221"/>
        <v>0.65782820636449979</v>
      </c>
      <c r="AO502" s="237">
        <f t="shared" si="221"/>
        <v>1.304198784885487E-2</v>
      </c>
      <c r="AP502" s="237">
        <f t="shared" si="209"/>
        <v>1</v>
      </c>
      <c r="AQ502" s="237"/>
      <c r="AR502" s="237">
        <f t="shared" si="210"/>
        <v>0.61464645366918802</v>
      </c>
      <c r="AS502" s="237">
        <f t="shared" si="211"/>
        <v>0.35993676340465403</v>
      </c>
      <c r="AT502" s="237">
        <f t="shared" si="212"/>
        <v>2.5416782926158003E-2</v>
      </c>
      <c r="AU502" s="237">
        <f t="shared" si="222"/>
        <v>0.98055959563958928</v>
      </c>
      <c r="AV502" s="237">
        <f t="shared" si="222"/>
        <v>1.9440404360410696E-2</v>
      </c>
      <c r="AX502" s="251">
        <f t="shared" si="223"/>
        <v>28762.110177661078</v>
      </c>
      <c r="AY502" s="251">
        <f t="shared" si="223"/>
        <v>17886.266823798418</v>
      </c>
      <c r="AZ502" s="251">
        <f t="shared" si="223"/>
        <v>1258.4271953229916</v>
      </c>
      <c r="BA502" s="251">
        <f t="shared" si="224"/>
        <v>89907.353356715685</v>
      </c>
      <c r="BB502" s="251">
        <f t="shared" si="224"/>
        <v>1794.4505875388274</v>
      </c>
      <c r="BC502" s="251">
        <f t="shared" si="226"/>
        <v>139608.608141037</v>
      </c>
      <c r="BD502" s="270">
        <f t="shared" si="220"/>
        <v>7.6100191206778591</v>
      </c>
    </row>
    <row r="503" spans="1:56">
      <c r="A503" s="11">
        <v>54940</v>
      </c>
      <c r="B503" s="268">
        <v>70</v>
      </c>
      <c r="C503" s="268">
        <v>13</v>
      </c>
      <c r="D503" s="268">
        <f t="shared" si="218"/>
        <v>20</v>
      </c>
      <c r="E503" s="268">
        <v>3</v>
      </c>
      <c r="F503" s="269">
        <v>0.2</v>
      </c>
      <c r="G503" s="269">
        <v>1.32</v>
      </c>
      <c r="I503" s="269">
        <v>5</v>
      </c>
      <c r="M503" s="269">
        <f t="shared" si="216"/>
        <v>1.5</v>
      </c>
      <c r="N503" s="269">
        <v>45</v>
      </c>
      <c r="O503" s="269">
        <f t="shared" si="205"/>
        <v>17.699535849485258</v>
      </c>
      <c r="Q503" s="251">
        <f t="shared" si="217"/>
        <v>176.71953584948523</v>
      </c>
      <c r="R503" s="251">
        <f>'RD Plant List'!N371</f>
        <v>664.33</v>
      </c>
      <c r="S503" s="251">
        <f>SUM(B503:O503)+'RD Plant List'!N371</f>
        <v>841.04953584948521</v>
      </c>
      <c r="T503" s="237">
        <f t="shared" si="225"/>
        <v>0.7898821314121609</v>
      </c>
      <c r="U503" s="251">
        <f t="shared" si="219"/>
        <v>541.6950801825285</v>
      </c>
      <c r="V503" s="271">
        <f t="shared" si="207"/>
        <v>0.64407036338876311</v>
      </c>
      <c r="W503" s="251">
        <f t="shared" si="213"/>
        <v>45.141256681877373</v>
      </c>
      <c r="X503" s="242">
        <f t="shared" si="214"/>
        <v>7.6100191206778574</v>
      </c>
      <c r="Y503" s="273">
        <f t="shared" si="215"/>
        <v>7.6100191206778574</v>
      </c>
      <c r="AB503" s="251">
        <f>SUM('BD Feedstock'!C501,'BD Feedstock'!E501,'BD Feedstock'!G501,'BD Feedstock'!K501,'BD Feedstock'!T501)</f>
        <v>21.812796010427753</v>
      </c>
      <c r="AC503" s="251">
        <f>SUM('BD Feedstock'!D501,'BD Feedstock'!F501,'BD Feedstock'!H501,'BD Feedstock'!I501,'BD Feedstock'!L501,'BD Feedstock'!M501,'BD Feedstock'!N501,'BD Feedstock'!O501,'BD Feedstock'!U501)</f>
        <v>12.773566250859661</v>
      </c>
      <c r="AD503" s="251">
        <f>'BD Feedstock'!J501</f>
        <v>0.90199999999999991</v>
      </c>
      <c r="AE503" s="251">
        <f>SUM('BD Feedstock'!B501,'BD Feedstock'!P501,'BD Feedstock'!Q501,'BD Feedstock'!R501)</f>
        <v>70.93020833333334</v>
      </c>
      <c r="AF503" s="251">
        <f>'BD Feedstock'!S501</f>
        <v>1.40625</v>
      </c>
      <c r="AG503" s="251">
        <f t="shared" si="208"/>
        <v>107.82482059462075</v>
      </c>
      <c r="AK503" s="237">
        <f t="shared" si="221"/>
        <v>0.20229846792359021</v>
      </c>
      <c r="AL503" s="237">
        <f t="shared" si="221"/>
        <v>0.11846591703484753</v>
      </c>
      <c r="AM503" s="237">
        <f t="shared" si="221"/>
        <v>8.3654208282077092E-3</v>
      </c>
      <c r="AN503" s="237">
        <f t="shared" si="221"/>
        <v>0.65782820636449979</v>
      </c>
      <c r="AO503" s="237">
        <f t="shared" si="221"/>
        <v>1.304198784885487E-2</v>
      </c>
      <c r="AP503" s="237">
        <f t="shared" si="209"/>
        <v>1</v>
      </c>
      <c r="AQ503" s="237"/>
      <c r="AR503" s="237">
        <f t="shared" si="210"/>
        <v>0.61464645366918802</v>
      </c>
      <c r="AS503" s="237">
        <f t="shared" si="211"/>
        <v>0.35993676340465403</v>
      </c>
      <c r="AT503" s="237">
        <f t="shared" si="212"/>
        <v>2.5416782926158003E-2</v>
      </c>
      <c r="AU503" s="237">
        <f t="shared" si="222"/>
        <v>0.98055959563958928</v>
      </c>
      <c r="AV503" s="237">
        <f t="shared" si="222"/>
        <v>1.9440404360410696E-2</v>
      </c>
      <c r="AX503" s="251">
        <f t="shared" si="223"/>
        <v>32102.126699448814</v>
      </c>
      <c r="AY503" s="251">
        <f t="shared" si="223"/>
        <v>19963.319805501742</v>
      </c>
      <c r="AZ503" s="251">
        <f t="shared" si="223"/>
        <v>1404.5627743150474</v>
      </c>
      <c r="BA503" s="251">
        <f t="shared" si="224"/>
        <v>100347.89627191769</v>
      </c>
      <c r="BB503" s="251">
        <f t="shared" si="224"/>
        <v>2002.8321900321805</v>
      </c>
      <c r="BC503" s="251">
        <f t="shared" si="226"/>
        <v>155820.73774121547</v>
      </c>
      <c r="BD503" s="270">
        <f t="shared" si="220"/>
        <v>7.6100191206778591</v>
      </c>
    </row>
    <row r="504" spans="1:56">
      <c r="A504" s="11">
        <v>54970</v>
      </c>
      <c r="B504" s="268">
        <v>70</v>
      </c>
      <c r="C504" s="268">
        <v>13</v>
      </c>
      <c r="D504" s="268">
        <f t="shared" si="218"/>
        <v>20</v>
      </c>
      <c r="E504" s="268">
        <v>3</v>
      </c>
      <c r="F504" s="269">
        <v>0.2</v>
      </c>
      <c r="G504" s="269">
        <v>1.32</v>
      </c>
      <c r="I504" s="269">
        <v>5</v>
      </c>
      <c r="M504" s="269">
        <f t="shared" si="216"/>
        <v>1.5</v>
      </c>
      <c r="N504" s="269">
        <v>45</v>
      </c>
      <c r="O504" s="269">
        <f t="shared" ref="O504:O509" si="227">$O$3</f>
        <v>17.699535849485258</v>
      </c>
      <c r="Q504" s="251">
        <f t="shared" si="217"/>
        <v>176.71953584948523</v>
      </c>
      <c r="R504" s="251">
        <f>'RD Plant List'!N372</f>
        <v>664.33</v>
      </c>
      <c r="S504" s="251">
        <f>SUM(B504:O504)+'RD Plant List'!N372</f>
        <v>841.04953584948521</v>
      </c>
      <c r="T504" s="237">
        <f t="shared" si="225"/>
        <v>0.7898821314121609</v>
      </c>
      <c r="U504" s="251">
        <f t="shared" si="219"/>
        <v>556.26572744411681</v>
      </c>
      <c r="V504" s="271">
        <f t="shared" si="207"/>
        <v>0.66139472615280837</v>
      </c>
      <c r="W504" s="251">
        <f t="shared" si="213"/>
        <v>46.355477287009734</v>
      </c>
      <c r="X504" s="242">
        <f t="shared" si="214"/>
        <v>7.6100191206778582</v>
      </c>
      <c r="Y504" s="273">
        <f t="shared" si="215"/>
        <v>7.6100191206778582</v>
      </c>
      <c r="AB504" s="251">
        <f>SUM('BD Feedstock'!C502,'BD Feedstock'!E502,'BD Feedstock'!G502,'BD Feedstock'!K502,'BD Feedstock'!T502)</f>
        <v>21.812796010427753</v>
      </c>
      <c r="AC504" s="251">
        <f>SUM('BD Feedstock'!D502,'BD Feedstock'!F502,'BD Feedstock'!H502,'BD Feedstock'!I502,'BD Feedstock'!L502,'BD Feedstock'!M502,'BD Feedstock'!N502,'BD Feedstock'!O502,'BD Feedstock'!U502)</f>
        <v>12.773566250859661</v>
      </c>
      <c r="AD504" s="251">
        <f>'BD Feedstock'!J502</f>
        <v>0.90199999999999991</v>
      </c>
      <c r="AE504" s="251">
        <f>SUM('BD Feedstock'!B502,'BD Feedstock'!P502,'BD Feedstock'!Q502,'BD Feedstock'!R502)</f>
        <v>70.93020833333334</v>
      </c>
      <c r="AF504" s="251">
        <f>'BD Feedstock'!S502</f>
        <v>1.40625</v>
      </c>
      <c r="AG504" s="251">
        <f t="shared" si="208"/>
        <v>107.82482059462075</v>
      </c>
      <c r="AK504" s="237">
        <f t="shared" si="221"/>
        <v>0.20229846792359021</v>
      </c>
      <c r="AL504" s="237">
        <f t="shared" si="221"/>
        <v>0.11846591703484753</v>
      </c>
      <c r="AM504" s="237">
        <f t="shared" si="221"/>
        <v>8.3654208282077092E-3</v>
      </c>
      <c r="AN504" s="237">
        <f t="shared" si="221"/>
        <v>0.65782820636449979</v>
      </c>
      <c r="AO504" s="237">
        <f t="shared" si="221"/>
        <v>1.304198784885487E-2</v>
      </c>
      <c r="AP504" s="237">
        <f t="shared" si="209"/>
        <v>1</v>
      </c>
      <c r="AQ504" s="237"/>
      <c r="AR504" s="237">
        <f t="shared" si="210"/>
        <v>0.61464645366918802</v>
      </c>
      <c r="AS504" s="237">
        <f t="shared" si="211"/>
        <v>0.35993676340465403</v>
      </c>
      <c r="AT504" s="237">
        <f t="shared" si="212"/>
        <v>2.5416782926158003E-2</v>
      </c>
      <c r="AU504" s="237">
        <f t="shared" si="222"/>
        <v>0.98055959563958928</v>
      </c>
      <c r="AV504" s="237">
        <f t="shared" si="222"/>
        <v>1.9440404360410696E-2</v>
      </c>
      <c r="AX504" s="251">
        <f t="shared" si="223"/>
        <v>32965.617584998072</v>
      </c>
      <c r="AY504" s="251">
        <f t="shared" si="223"/>
        <v>20500.298082945639</v>
      </c>
      <c r="AZ504" s="251">
        <f t="shared" si="223"/>
        <v>1442.343048661284</v>
      </c>
      <c r="BA504" s="251">
        <f t="shared" si="224"/>
        <v>103047.07862285926</v>
      </c>
      <c r="BB504" s="251">
        <f t="shared" si="224"/>
        <v>2056.7048620071223</v>
      </c>
      <c r="BC504" s="251">
        <f t="shared" si="226"/>
        <v>160012.04220147137</v>
      </c>
      <c r="BD504" s="270">
        <f t="shared" si="220"/>
        <v>7.6100191206778582</v>
      </c>
    </row>
    <row r="505" spans="1:56">
      <c r="A505" s="11">
        <v>55001</v>
      </c>
      <c r="B505" s="268">
        <v>70</v>
      </c>
      <c r="C505" s="268">
        <v>13</v>
      </c>
      <c r="D505" s="268">
        <f t="shared" si="218"/>
        <v>20</v>
      </c>
      <c r="E505" s="268">
        <v>3</v>
      </c>
      <c r="F505" s="269">
        <v>0.2</v>
      </c>
      <c r="G505" s="269">
        <v>1.32</v>
      </c>
      <c r="I505" s="269">
        <v>5</v>
      </c>
      <c r="M505" s="269">
        <f t="shared" si="216"/>
        <v>1.5</v>
      </c>
      <c r="N505" s="269">
        <v>45</v>
      </c>
      <c r="O505" s="269">
        <f t="shared" si="227"/>
        <v>17.699535849485258</v>
      </c>
      <c r="Q505" s="251">
        <f t="shared" si="217"/>
        <v>176.71953584948523</v>
      </c>
      <c r="R505" s="251">
        <f>'RD Plant List'!N373</f>
        <v>664.33</v>
      </c>
      <c r="S505" s="251">
        <f>SUM(B505:O505)+'RD Plant List'!N373</f>
        <v>841.04953584948521</v>
      </c>
      <c r="T505" s="237">
        <f t="shared" si="225"/>
        <v>0.7898821314121609</v>
      </c>
      <c r="U505" s="251">
        <f t="shared" si="219"/>
        <v>524.98434619290526</v>
      </c>
      <c r="V505" s="271">
        <f t="shared" si="207"/>
        <v>0.62420145760220336</v>
      </c>
      <c r="W505" s="251">
        <f t="shared" si="213"/>
        <v>43.748695516075436</v>
      </c>
      <c r="X505" s="242">
        <f t="shared" si="214"/>
        <v>7.6100191206778565</v>
      </c>
      <c r="Y505" s="273">
        <f t="shared" si="215"/>
        <v>7.6100191206778565</v>
      </c>
      <c r="AB505" s="251">
        <f>SUM('BD Feedstock'!C503,'BD Feedstock'!E503,'BD Feedstock'!G503,'BD Feedstock'!K503,'BD Feedstock'!T503)</f>
        <v>21.812796010427753</v>
      </c>
      <c r="AC505" s="251">
        <f>SUM('BD Feedstock'!D503,'BD Feedstock'!F503,'BD Feedstock'!H503,'BD Feedstock'!I503,'BD Feedstock'!L503,'BD Feedstock'!M503,'BD Feedstock'!N503,'BD Feedstock'!O503,'BD Feedstock'!U503)</f>
        <v>12.773566250859661</v>
      </c>
      <c r="AD505" s="251">
        <f>'BD Feedstock'!J503</f>
        <v>0.90199999999999991</v>
      </c>
      <c r="AE505" s="251">
        <f>SUM('BD Feedstock'!B503,'BD Feedstock'!P503,'BD Feedstock'!Q503,'BD Feedstock'!R503)</f>
        <v>70.93020833333334</v>
      </c>
      <c r="AF505" s="251">
        <f>'BD Feedstock'!S503</f>
        <v>1.40625</v>
      </c>
      <c r="AG505" s="251">
        <f t="shared" si="208"/>
        <v>107.82482059462075</v>
      </c>
      <c r="AK505" s="237">
        <f t="shared" si="221"/>
        <v>0.20229846792359021</v>
      </c>
      <c r="AL505" s="237">
        <f t="shared" si="221"/>
        <v>0.11846591703484753</v>
      </c>
      <c r="AM505" s="237">
        <f t="shared" si="221"/>
        <v>8.3654208282077092E-3</v>
      </c>
      <c r="AN505" s="237">
        <f t="shared" si="221"/>
        <v>0.65782820636449979</v>
      </c>
      <c r="AO505" s="237">
        <f t="shared" si="221"/>
        <v>1.304198784885487E-2</v>
      </c>
      <c r="AP505" s="237">
        <f t="shared" si="209"/>
        <v>1</v>
      </c>
      <c r="AQ505" s="237"/>
      <c r="AR505" s="237">
        <f t="shared" si="210"/>
        <v>0.61464645366918802</v>
      </c>
      <c r="AS505" s="237">
        <f t="shared" si="211"/>
        <v>0.35993676340465403</v>
      </c>
      <c r="AT505" s="237">
        <f t="shared" si="212"/>
        <v>2.5416782926158003E-2</v>
      </c>
      <c r="AU505" s="237">
        <f t="shared" si="222"/>
        <v>0.98055959563958928</v>
      </c>
      <c r="AV505" s="237">
        <f t="shared" si="222"/>
        <v>1.9440404360410696E-2</v>
      </c>
      <c r="AX505" s="251">
        <f t="shared" si="223"/>
        <v>31111.809232295695</v>
      </c>
      <c r="AY505" s="251">
        <f t="shared" si="223"/>
        <v>19347.471999191403</v>
      </c>
      <c r="AZ505" s="251">
        <f t="shared" si="223"/>
        <v>1361.2334627669397</v>
      </c>
      <c r="BA505" s="251">
        <f t="shared" si="224"/>
        <v>97252.267268875454</v>
      </c>
      <c r="BB505" s="251">
        <f t="shared" si="224"/>
        <v>1941.0468846492986</v>
      </c>
      <c r="BC505" s="251">
        <f t="shared" si="226"/>
        <v>151013.82884777879</v>
      </c>
      <c r="BD505" s="270">
        <f t="shared" si="220"/>
        <v>7.6100191206778582</v>
      </c>
    </row>
    <row r="506" spans="1:56">
      <c r="A506" s="11">
        <v>55032</v>
      </c>
      <c r="B506" s="268">
        <v>70</v>
      </c>
      <c r="C506" s="268">
        <v>13</v>
      </c>
      <c r="D506" s="268">
        <f t="shared" si="218"/>
        <v>20</v>
      </c>
      <c r="E506" s="268">
        <v>3</v>
      </c>
      <c r="F506" s="269">
        <v>0.2</v>
      </c>
      <c r="G506" s="269">
        <v>1.32</v>
      </c>
      <c r="I506" s="269">
        <v>5</v>
      </c>
      <c r="M506" s="269">
        <f t="shared" si="216"/>
        <v>1.5</v>
      </c>
      <c r="N506" s="269">
        <v>45</v>
      </c>
      <c r="O506" s="269">
        <f t="shared" si="227"/>
        <v>17.699535849485258</v>
      </c>
      <c r="Q506" s="251">
        <f t="shared" si="217"/>
        <v>176.71953584948523</v>
      </c>
      <c r="R506" s="251">
        <f>'RD Plant List'!N374</f>
        <v>664.33</v>
      </c>
      <c r="S506" s="251">
        <f>SUM(B506:O506)+'RD Plant List'!N374</f>
        <v>841.04953584948521</v>
      </c>
      <c r="T506" s="237">
        <f t="shared" si="225"/>
        <v>0.7898821314121609</v>
      </c>
      <c r="U506" s="251">
        <f t="shared" si="219"/>
        <v>569.07921905575699</v>
      </c>
      <c r="V506" s="271">
        <f t="shared" si="207"/>
        <v>0.6766298473501563</v>
      </c>
      <c r="W506" s="251">
        <f t="shared" si="213"/>
        <v>47.423268254646416</v>
      </c>
      <c r="X506" s="242">
        <f t="shared" si="214"/>
        <v>7.6100191206778582</v>
      </c>
      <c r="Y506" s="273">
        <f t="shared" si="215"/>
        <v>7.6100191206778582</v>
      </c>
      <c r="AB506" s="251">
        <f>SUM('BD Feedstock'!C504,'BD Feedstock'!E504,'BD Feedstock'!G504,'BD Feedstock'!K504,'BD Feedstock'!T504)</f>
        <v>21.812796010427753</v>
      </c>
      <c r="AC506" s="251">
        <f>SUM('BD Feedstock'!D504,'BD Feedstock'!F504,'BD Feedstock'!H504,'BD Feedstock'!I504,'BD Feedstock'!L504,'BD Feedstock'!M504,'BD Feedstock'!N504,'BD Feedstock'!O504,'BD Feedstock'!U504)</f>
        <v>12.773566250859661</v>
      </c>
      <c r="AD506" s="251">
        <f>'BD Feedstock'!J504</f>
        <v>0.90199999999999991</v>
      </c>
      <c r="AE506" s="251">
        <f>SUM('BD Feedstock'!B504,'BD Feedstock'!P504,'BD Feedstock'!Q504,'BD Feedstock'!R504)</f>
        <v>70.93020833333334</v>
      </c>
      <c r="AF506" s="251">
        <f>'BD Feedstock'!S504</f>
        <v>1.40625</v>
      </c>
      <c r="AG506" s="251">
        <f t="shared" si="208"/>
        <v>107.82482059462075</v>
      </c>
      <c r="AK506" s="237">
        <f t="shared" si="221"/>
        <v>0.20229846792359021</v>
      </c>
      <c r="AL506" s="237">
        <f t="shared" si="221"/>
        <v>0.11846591703484753</v>
      </c>
      <c r="AM506" s="237">
        <f t="shared" si="221"/>
        <v>8.3654208282077092E-3</v>
      </c>
      <c r="AN506" s="237">
        <f t="shared" si="221"/>
        <v>0.65782820636449979</v>
      </c>
      <c r="AO506" s="237">
        <f t="shared" si="221"/>
        <v>1.304198784885487E-2</v>
      </c>
      <c r="AP506" s="237">
        <f t="shared" si="209"/>
        <v>1</v>
      </c>
      <c r="AQ506" s="237"/>
      <c r="AR506" s="237">
        <f t="shared" si="210"/>
        <v>0.61464645366918802</v>
      </c>
      <c r="AS506" s="237">
        <f t="shared" si="211"/>
        <v>0.35993676340465403</v>
      </c>
      <c r="AT506" s="237">
        <f t="shared" si="212"/>
        <v>2.5416782926158003E-2</v>
      </c>
      <c r="AU506" s="237">
        <f t="shared" si="222"/>
        <v>0.98055959563958928</v>
      </c>
      <c r="AV506" s="237">
        <f t="shared" si="222"/>
        <v>1.9440404360410696E-2</v>
      </c>
      <c r="AX506" s="251">
        <f t="shared" si="223"/>
        <v>33724.97528682655</v>
      </c>
      <c r="AY506" s="251">
        <f t="shared" si="223"/>
        <v>20972.519153851608</v>
      </c>
      <c r="AZ506" s="251">
        <f t="shared" si="223"/>
        <v>1475.5671889297234</v>
      </c>
      <c r="BA506" s="251">
        <f t="shared" si="224"/>
        <v>105420.75151405977</v>
      </c>
      <c r="BB506" s="251">
        <f t="shared" si="224"/>
        <v>2104.0807278869693</v>
      </c>
      <c r="BC506" s="251">
        <f t="shared" si="226"/>
        <v>163697.89387155461</v>
      </c>
      <c r="BD506" s="270">
        <f t="shared" si="220"/>
        <v>7.6100191206778582</v>
      </c>
    </row>
    <row r="507" spans="1:56">
      <c r="A507" s="11">
        <v>55062</v>
      </c>
      <c r="B507" s="268">
        <v>70</v>
      </c>
      <c r="C507" s="268">
        <v>13</v>
      </c>
      <c r="D507" s="268">
        <f t="shared" si="218"/>
        <v>20</v>
      </c>
      <c r="E507" s="268">
        <v>3</v>
      </c>
      <c r="F507" s="269">
        <v>0.2</v>
      </c>
      <c r="G507" s="269">
        <v>1.32</v>
      </c>
      <c r="I507" s="269">
        <v>5</v>
      </c>
      <c r="M507" s="269">
        <f t="shared" si="216"/>
        <v>1.5</v>
      </c>
      <c r="N507" s="269">
        <v>45</v>
      </c>
      <c r="O507" s="269">
        <f t="shared" si="227"/>
        <v>17.699535849485258</v>
      </c>
      <c r="Q507" s="251">
        <f t="shared" si="217"/>
        <v>176.71953584948523</v>
      </c>
      <c r="R507" s="251">
        <f>'RD Plant List'!N375</f>
        <v>664.33</v>
      </c>
      <c r="S507" s="251">
        <f>SUM(B507:O507)+'RD Plant List'!N375</f>
        <v>841.04953584948521</v>
      </c>
      <c r="T507" s="237">
        <f t="shared" si="225"/>
        <v>0.7898821314121609</v>
      </c>
      <c r="U507" s="251">
        <f t="shared" si="219"/>
        <v>595.8190511914363</v>
      </c>
      <c r="V507" s="271">
        <f t="shared" si="207"/>
        <v>0.70842325665115702</v>
      </c>
      <c r="W507" s="251">
        <f t="shared" si="213"/>
        <v>49.651587599286358</v>
      </c>
      <c r="X507" s="242">
        <f t="shared" si="214"/>
        <v>7.6100191206778574</v>
      </c>
      <c r="Y507" s="273">
        <f t="shared" si="215"/>
        <v>7.6100191206778574</v>
      </c>
      <c r="AB507" s="251">
        <f>SUM('BD Feedstock'!C505,'BD Feedstock'!E505,'BD Feedstock'!G505,'BD Feedstock'!K505,'BD Feedstock'!T505)</f>
        <v>21.812796010427753</v>
      </c>
      <c r="AC507" s="251">
        <f>SUM('BD Feedstock'!D505,'BD Feedstock'!F505,'BD Feedstock'!H505,'BD Feedstock'!I505,'BD Feedstock'!L505,'BD Feedstock'!M505,'BD Feedstock'!N505,'BD Feedstock'!O505,'BD Feedstock'!U505)</f>
        <v>12.773566250859661</v>
      </c>
      <c r="AD507" s="251">
        <f>'BD Feedstock'!J505</f>
        <v>0.90199999999999991</v>
      </c>
      <c r="AE507" s="251">
        <f>SUM('BD Feedstock'!B505,'BD Feedstock'!P505,'BD Feedstock'!Q505,'BD Feedstock'!R505)</f>
        <v>70.93020833333334</v>
      </c>
      <c r="AF507" s="251">
        <f>'BD Feedstock'!S505</f>
        <v>1.40625</v>
      </c>
      <c r="AG507" s="251">
        <f t="shared" si="208"/>
        <v>107.82482059462075</v>
      </c>
      <c r="AK507" s="237">
        <f t="shared" si="221"/>
        <v>0.20229846792359021</v>
      </c>
      <c r="AL507" s="237">
        <f t="shared" si="221"/>
        <v>0.11846591703484753</v>
      </c>
      <c r="AM507" s="237">
        <f t="shared" si="221"/>
        <v>8.3654208282077092E-3</v>
      </c>
      <c r="AN507" s="237">
        <f t="shared" si="221"/>
        <v>0.65782820636449979</v>
      </c>
      <c r="AO507" s="237">
        <f t="shared" si="221"/>
        <v>1.304198784885487E-2</v>
      </c>
      <c r="AP507" s="237">
        <f t="shared" si="209"/>
        <v>1</v>
      </c>
      <c r="AQ507" s="237"/>
      <c r="AR507" s="237">
        <f t="shared" si="210"/>
        <v>0.61464645366918802</v>
      </c>
      <c r="AS507" s="237">
        <f t="shared" si="211"/>
        <v>0.35993676340465403</v>
      </c>
      <c r="AT507" s="237">
        <f t="shared" si="212"/>
        <v>2.5416782926158003E-2</v>
      </c>
      <c r="AU507" s="237">
        <f t="shared" si="222"/>
        <v>0.98055959563958928</v>
      </c>
      <c r="AV507" s="237">
        <f t="shared" si="222"/>
        <v>1.9440404360410696E-2</v>
      </c>
      <c r="AX507" s="251">
        <f t="shared" si="223"/>
        <v>35309.640738933529</v>
      </c>
      <c r="AY507" s="251">
        <f t="shared" si="223"/>
        <v>21957.973591226455</v>
      </c>
      <c r="AZ507" s="251">
        <f t="shared" si="223"/>
        <v>1544.9009787004429</v>
      </c>
      <c r="BA507" s="251">
        <f t="shared" si="224"/>
        <v>110374.25026205558</v>
      </c>
      <c r="BB507" s="251">
        <f t="shared" si="224"/>
        <v>2202.9470431197933</v>
      </c>
      <c r="BC507" s="251">
        <f t="shared" si="226"/>
        <v>171389.71261403579</v>
      </c>
      <c r="BD507" s="270">
        <f t="shared" si="220"/>
        <v>7.6100191206778574</v>
      </c>
    </row>
    <row r="508" spans="1:56">
      <c r="A508" s="11">
        <v>55093</v>
      </c>
      <c r="B508" s="268">
        <v>70</v>
      </c>
      <c r="C508" s="268">
        <v>13</v>
      </c>
      <c r="D508" s="268">
        <f t="shared" si="218"/>
        <v>20</v>
      </c>
      <c r="E508" s="268">
        <v>3</v>
      </c>
      <c r="F508" s="269">
        <v>0.2</v>
      </c>
      <c r="G508" s="269">
        <v>1.32</v>
      </c>
      <c r="I508" s="269">
        <v>5</v>
      </c>
      <c r="M508" s="269">
        <f t="shared" si="216"/>
        <v>1.5</v>
      </c>
      <c r="N508" s="269">
        <v>45</v>
      </c>
      <c r="O508" s="269">
        <f t="shared" si="227"/>
        <v>17.699535849485258</v>
      </c>
      <c r="Q508" s="251">
        <f t="shared" si="217"/>
        <v>176.71953584948523</v>
      </c>
      <c r="R508" s="251">
        <f>'RD Plant List'!N376</f>
        <v>664.33</v>
      </c>
      <c r="S508" s="251">
        <f>SUM(B508:O508)+'RD Plant List'!N376</f>
        <v>841.04953584948521</v>
      </c>
      <c r="T508" s="237">
        <f t="shared" si="225"/>
        <v>0.7898821314121609</v>
      </c>
      <c r="U508" s="251">
        <f t="shared" si="219"/>
        <v>641.014355538921</v>
      </c>
      <c r="V508" s="271">
        <f t="shared" si="207"/>
        <v>0.76216004910041035</v>
      </c>
      <c r="W508" s="251">
        <f t="shared" si="213"/>
        <v>53.417862961576752</v>
      </c>
      <c r="X508" s="242">
        <f t="shared" si="214"/>
        <v>7.6100191206778565</v>
      </c>
      <c r="Y508" s="273">
        <f t="shared" si="215"/>
        <v>7.6100191206778565</v>
      </c>
      <c r="AB508" s="251">
        <f>SUM('BD Feedstock'!C506,'BD Feedstock'!E506,'BD Feedstock'!G506,'BD Feedstock'!K506,'BD Feedstock'!T506)</f>
        <v>21.812796010427753</v>
      </c>
      <c r="AC508" s="251">
        <f>SUM('BD Feedstock'!D506,'BD Feedstock'!F506,'BD Feedstock'!H506,'BD Feedstock'!I506,'BD Feedstock'!L506,'BD Feedstock'!M506,'BD Feedstock'!N506,'BD Feedstock'!O506,'BD Feedstock'!U506)</f>
        <v>12.773566250859661</v>
      </c>
      <c r="AD508" s="251">
        <f>'BD Feedstock'!J506</f>
        <v>0.90199999999999991</v>
      </c>
      <c r="AE508" s="251">
        <f>SUM('BD Feedstock'!B506,'BD Feedstock'!P506,'BD Feedstock'!Q506,'BD Feedstock'!R506)</f>
        <v>70.93020833333334</v>
      </c>
      <c r="AF508" s="251">
        <f>'BD Feedstock'!S506</f>
        <v>1.40625</v>
      </c>
      <c r="AG508" s="251">
        <f t="shared" si="208"/>
        <v>107.82482059462075</v>
      </c>
      <c r="AK508" s="237">
        <f t="shared" si="221"/>
        <v>0.20229846792359021</v>
      </c>
      <c r="AL508" s="237">
        <f t="shared" si="221"/>
        <v>0.11846591703484753</v>
      </c>
      <c r="AM508" s="237">
        <f t="shared" si="221"/>
        <v>8.3654208282077092E-3</v>
      </c>
      <c r="AN508" s="237">
        <f t="shared" si="221"/>
        <v>0.65782820636449979</v>
      </c>
      <c r="AO508" s="237">
        <f t="shared" si="221"/>
        <v>1.304198784885487E-2</v>
      </c>
      <c r="AP508" s="237">
        <f t="shared" si="209"/>
        <v>1</v>
      </c>
      <c r="AQ508" s="237"/>
      <c r="AR508" s="237">
        <f t="shared" si="210"/>
        <v>0.61464645366918802</v>
      </c>
      <c r="AS508" s="237">
        <f t="shared" si="211"/>
        <v>0.35993676340465403</v>
      </c>
      <c r="AT508" s="237">
        <f t="shared" si="212"/>
        <v>2.5416782926158003E-2</v>
      </c>
      <c r="AU508" s="237">
        <f t="shared" si="222"/>
        <v>0.98055959563958928</v>
      </c>
      <c r="AV508" s="237">
        <f t="shared" si="222"/>
        <v>1.9440404360410696E-2</v>
      </c>
      <c r="AX508" s="251">
        <f t="shared" si="223"/>
        <v>37988.020955889202</v>
      </c>
      <c r="AY508" s="251">
        <f t="shared" si="223"/>
        <v>23623.575416688491</v>
      </c>
      <c r="AZ508" s="251">
        <f t="shared" si="223"/>
        <v>1662.0880169119143</v>
      </c>
      <c r="BA508" s="251">
        <f t="shared" si="224"/>
        <v>118746.58716995393</v>
      </c>
      <c r="BB508" s="251">
        <f t="shared" si="224"/>
        <v>2370.0495583483653</v>
      </c>
      <c r="BC508" s="251">
        <f t="shared" si="226"/>
        <v>184390.3211177919</v>
      </c>
      <c r="BD508" s="270">
        <f t="shared" si="220"/>
        <v>7.6100191206778565</v>
      </c>
    </row>
    <row r="509" spans="1:56">
      <c r="A509" s="11">
        <v>55123</v>
      </c>
      <c r="B509" s="268">
        <v>70</v>
      </c>
      <c r="C509" s="268">
        <v>13</v>
      </c>
      <c r="D509" s="268">
        <f t="shared" si="218"/>
        <v>20</v>
      </c>
      <c r="E509" s="268">
        <v>3</v>
      </c>
      <c r="F509" s="269">
        <v>0.2</v>
      </c>
      <c r="G509" s="269">
        <v>1.32</v>
      </c>
      <c r="I509" s="269">
        <v>5</v>
      </c>
      <c r="M509" s="269">
        <f t="shared" si="216"/>
        <v>1.5</v>
      </c>
      <c r="N509" s="269">
        <v>45</v>
      </c>
      <c r="O509" s="269">
        <f t="shared" si="227"/>
        <v>17.699535849485258</v>
      </c>
      <c r="Q509" s="251">
        <f t="shared" si="217"/>
        <v>176.71953584948523</v>
      </c>
      <c r="R509" s="251">
        <f>'RD Plant List'!N377</f>
        <v>664.33</v>
      </c>
      <c r="S509" s="251">
        <f>SUM(B509:O509)+'RD Plant List'!N377</f>
        <v>841.04953584948521</v>
      </c>
      <c r="T509" s="237">
        <f t="shared" si="225"/>
        <v>0.7898821314121609</v>
      </c>
      <c r="U509" s="251">
        <f t="shared" si="219"/>
        <v>582.91961922677876</v>
      </c>
      <c r="V509" s="271">
        <f t="shared" si="207"/>
        <v>0.69308595318111976</v>
      </c>
      <c r="W509" s="251">
        <f t="shared" si="213"/>
        <v>48.576634935564897</v>
      </c>
      <c r="X509" s="242">
        <f t="shared" si="214"/>
        <v>7.6100191206778565</v>
      </c>
      <c r="Y509" s="273">
        <f t="shared" si="215"/>
        <v>7.6100191206778565</v>
      </c>
      <c r="AB509" s="251">
        <f>SUM('BD Feedstock'!C507,'BD Feedstock'!E507,'BD Feedstock'!G507,'BD Feedstock'!K507,'BD Feedstock'!T507)</f>
        <v>21.812796010427753</v>
      </c>
      <c r="AC509" s="251">
        <f>SUM('BD Feedstock'!D507,'BD Feedstock'!F507,'BD Feedstock'!H507,'BD Feedstock'!I507,'BD Feedstock'!L507,'BD Feedstock'!M507,'BD Feedstock'!N507,'BD Feedstock'!O507,'BD Feedstock'!U507)</f>
        <v>12.773566250859661</v>
      </c>
      <c r="AD509" s="251">
        <f>'BD Feedstock'!J507</f>
        <v>0.90199999999999991</v>
      </c>
      <c r="AE509" s="251">
        <f>SUM('BD Feedstock'!B507,'BD Feedstock'!P507,'BD Feedstock'!Q507,'BD Feedstock'!R507)</f>
        <v>70.93020833333334</v>
      </c>
      <c r="AF509" s="251">
        <f>'BD Feedstock'!S507</f>
        <v>1.40625</v>
      </c>
      <c r="AG509" s="251">
        <f t="shared" si="208"/>
        <v>107.82482059462075</v>
      </c>
      <c r="AK509" s="237">
        <f t="shared" si="221"/>
        <v>0.20229846792359021</v>
      </c>
      <c r="AL509" s="237">
        <f t="shared" si="221"/>
        <v>0.11846591703484753</v>
      </c>
      <c r="AM509" s="237">
        <f t="shared" si="221"/>
        <v>8.3654208282077092E-3</v>
      </c>
      <c r="AN509" s="237">
        <f t="shared" si="221"/>
        <v>0.65782820636449979</v>
      </c>
      <c r="AO509" s="237">
        <f t="shared" si="221"/>
        <v>1.304198784885487E-2</v>
      </c>
      <c r="AP509" s="237">
        <f t="shared" si="209"/>
        <v>1</v>
      </c>
      <c r="AQ509" s="237"/>
      <c r="AR509" s="237">
        <f t="shared" si="210"/>
        <v>0.61464645366918802</v>
      </c>
      <c r="AS509" s="237">
        <f t="shared" si="211"/>
        <v>0.35993676340465403</v>
      </c>
      <c r="AT509" s="237">
        <f t="shared" si="212"/>
        <v>2.5416782926158003E-2</v>
      </c>
      <c r="AU509" s="237">
        <f t="shared" si="222"/>
        <v>0.98055959563958928</v>
      </c>
      <c r="AV509" s="237">
        <f t="shared" si="222"/>
        <v>1.9440404360410696E-2</v>
      </c>
      <c r="AX509" s="251">
        <f t="shared" si="223"/>
        <v>34545.190009307509</v>
      </c>
      <c r="AY509" s="251">
        <f t="shared" si="223"/>
        <v>21482.585323839943</v>
      </c>
      <c r="AZ509" s="251">
        <f t="shared" si="223"/>
        <v>1511.4540034366789</v>
      </c>
      <c r="BA509" s="251">
        <f t="shared" si="224"/>
        <v>107984.65709772419</v>
      </c>
      <c r="BB509" s="251">
        <f t="shared" si="224"/>
        <v>2155.2534263285147</v>
      </c>
      <c r="BC509" s="251">
        <f t="shared" si="226"/>
        <v>167679.13986063682</v>
      </c>
      <c r="BD509" s="270">
        <f t="shared" si="220"/>
        <v>7.6100191206778565</v>
      </c>
    </row>
  </sheetData>
  <mergeCells count="13">
    <mergeCell ref="BM2:BN5"/>
    <mergeCell ref="BS2:BV2"/>
    <mergeCell ref="BW2:BX2"/>
    <mergeCell ref="BZ2:CA2"/>
    <mergeCell ref="CB2:CE2"/>
    <mergeCell ref="AB1:AG1"/>
    <mergeCell ref="AK1:AP1"/>
    <mergeCell ref="AR1:AV1"/>
    <mergeCell ref="AX1:BF1"/>
    <mergeCell ref="BG1:BH1"/>
    <mergeCell ref="BJ1:BK2"/>
    <mergeCell ref="AR2:AT2"/>
    <mergeCell ref="AU2:AV2"/>
  </mergeCells>
  <pageMargins left="0.7" right="0.7" top="0.75" bottom="0.75" header="0.3" footer="0.3"/>
  <pageSetup scale="1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D8ED-28F5-403C-AA0E-96B8258E5C3F}">
  <dimension ref="A1:BH377"/>
  <sheetViews>
    <sheetView zoomScale="115" zoomScaleNormal="115" workbookViewId="0">
      <pane xSplit="1" ySplit="5" topLeftCell="AP128" activePane="bottomRight" state="frozen"/>
      <selection activeCell="A7" sqref="A7"/>
      <selection pane="topRight" activeCell="A7" sqref="A7"/>
      <selection pane="bottomLeft" activeCell="A7" sqref="A7"/>
      <selection pane="bottomRight" activeCell="A7" sqref="A7"/>
    </sheetView>
  </sheetViews>
  <sheetFormatPr defaultRowHeight="11.25"/>
  <cols>
    <col min="1" max="1" width="13.83203125" style="113" bestFit="1" customWidth="1"/>
    <col min="2" max="12" width="20" style="113" customWidth="1"/>
    <col min="13" max="13" width="9.33203125" style="113"/>
    <col min="14" max="16" width="20" style="113" customWidth="1"/>
    <col min="17" max="24" width="9.33203125" style="113"/>
    <col min="25" max="30" width="16.6640625" style="113" customWidth="1"/>
    <col min="31" max="33" width="9.33203125" style="113"/>
    <col min="34" max="40" width="16.6640625" style="113" customWidth="1"/>
    <col min="41" max="45" width="23.33203125" style="113" customWidth="1"/>
    <col min="46" max="46" width="9.33203125" style="113"/>
    <col min="47" max="58" width="16.6640625" style="113" customWidth="1"/>
    <col min="59" max="16384" width="9.33203125" style="113"/>
  </cols>
  <sheetData>
    <row r="1" spans="1:60" ht="33.75">
      <c r="B1" s="256" t="s">
        <v>355</v>
      </c>
      <c r="C1" s="256" t="s">
        <v>356</v>
      </c>
      <c r="D1" s="256" t="s">
        <v>357</v>
      </c>
      <c r="E1" s="256" t="s">
        <v>358</v>
      </c>
      <c r="F1" s="256" t="s">
        <v>359</v>
      </c>
      <c r="G1" s="256" t="s">
        <v>360</v>
      </c>
      <c r="H1" s="256" t="s">
        <v>361</v>
      </c>
      <c r="I1" s="256" t="s">
        <v>362</v>
      </c>
      <c r="J1" s="256" t="s">
        <v>362</v>
      </c>
      <c r="K1" s="256" t="s">
        <v>362</v>
      </c>
      <c r="L1" s="256" t="s">
        <v>362</v>
      </c>
      <c r="N1" s="256" t="s">
        <v>363</v>
      </c>
      <c r="O1" s="256" t="s">
        <v>128</v>
      </c>
      <c r="P1" s="256" t="s">
        <v>364</v>
      </c>
      <c r="X1" s="257"/>
      <c r="Y1" s="258" t="s">
        <v>312</v>
      </c>
      <c r="Z1" s="258"/>
      <c r="AA1" s="258"/>
      <c r="AB1" s="258"/>
      <c r="AC1" s="258"/>
      <c r="AD1" s="258"/>
      <c r="AH1" s="258" t="s">
        <v>244</v>
      </c>
      <c r="AI1" s="258"/>
      <c r="AJ1" s="258"/>
      <c r="AK1" s="258"/>
      <c r="AL1" s="258"/>
      <c r="AM1" s="258"/>
      <c r="AN1" s="256"/>
      <c r="AO1" s="258" t="s">
        <v>313</v>
      </c>
      <c r="AP1" s="258"/>
      <c r="AQ1" s="258"/>
      <c r="AR1" s="258"/>
      <c r="AS1" s="258"/>
      <c r="AU1" s="258" t="s">
        <v>365</v>
      </c>
      <c r="AV1" s="258"/>
      <c r="AW1" s="258"/>
      <c r="AX1" s="258"/>
      <c r="AY1" s="258"/>
      <c r="AZ1" s="258"/>
      <c r="BA1" s="258"/>
      <c r="BB1" s="258"/>
      <c r="BC1" s="258"/>
      <c r="BD1" s="258" t="s">
        <v>315</v>
      </c>
      <c r="BE1" s="258"/>
      <c r="BG1" s="258" t="s">
        <v>316</v>
      </c>
      <c r="BH1" s="258"/>
    </row>
    <row r="2" spans="1:60" ht="36" customHeight="1">
      <c r="A2" s="259" t="s">
        <v>318</v>
      </c>
      <c r="B2" s="260" t="s">
        <v>366</v>
      </c>
      <c r="C2" s="260" t="s">
        <v>367</v>
      </c>
      <c r="D2" s="260" t="s">
        <v>320</v>
      </c>
      <c r="E2" s="260" t="s">
        <v>368</v>
      </c>
      <c r="F2" s="260" t="s">
        <v>369</v>
      </c>
      <c r="G2" s="260"/>
      <c r="H2" s="260"/>
      <c r="I2" s="260" t="s">
        <v>370</v>
      </c>
      <c r="J2" s="260" t="s">
        <v>371</v>
      </c>
      <c r="K2" s="260"/>
      <c r="L2" s="260"/>
      <c r="X2" s="257"/>
      <c r="Y2" s="256" t="s">
        <v>334</v>
      </c>
      <c r="Z2" s="256" t="s">
        <v>335</v>
      </c>
      <c r="AA2" s="256" t="s">
        <v>336</v>
      </c>
      <c r="AB2" s="256" t="s">
        <v>337</v>
      </c>
      <c r="AC2" s="256" t="s">
        <v>338</v>
      </c>
      <c r="AD2" s="256" t="s">
        <v>339</v>
      </c>
      <c r="AH2" s="256" t="s">
        <v>334</v>
      </c>
      <c r="AI2" s="256" t="s">
        <v>335</v>
      </c>
      <c r="AJ2" s="256" t="s">
        <v>336</v>
      </c>
      <c r="AK2" s="256" t="s">
        <v>337</v>
      </c>
      <c r="AL2" s="256" t="s">
        <v>338</v>
      </c>
      <c r="AM2" s="256" t="s">
        <v>339</v>
      </c>
      <c r="AN2" s="256"/>
      <c r="AO2" s="258" t="s">
        <v>340</v>
      </c>
      <c r="AP2" s="258"/>
      <c r="AQ2" s="258"/>
      <c r="AR2" s="258" t="s">
        <v>341</v>
      </c>
      <c r="AS2" s="258"/>
      <c r="AU2" s="256" t="s">
        <v>334</v>
      </c>
      <c r="AV2" s="256" t="s">
        <v>335</v>
      </c>
      <c r="AW2" s="256" t="s">
        <v>336</v>
      </c>
      <c r="AX2" s="256" t="s">
        <v>337</v>
      </c>
      <c r="AY2" s="256" t="s">
        <v>338</v>
      </c>
      <c r="AZ2" s="256" t="s">
        <v>339</v>
      </c>
      <c r="BA2" s="256" t="s">
        <v>344</v>
      </c>
      <c r="BB2" s="256" t="s">
        <v>340</v>
      </c>
      <c r="BC2" s="256" t="s">
        <v>341</v>
      </c>
      <c r="BD2" s="256" t="s">
        <v>340</v>
      </c>
      <c r="BE2" s="256" t="s">
        <v>341</v>
      </c>
      <c r="BF2" s="256" t="s">
        <v>344</v>
      </c>
      <c r="BG2" s="258"/>
      <c r="BH2" s="258"/>
    </row>
    <row r="3" spans="1:60" s="268" customFormat="1">
      <c r="A3" s="14" t="s">
        <v>347</v>
      </c>
      <c r="B3" s="268">
        <v>100</v>
      </c>
      <c r="C3" s="268">
        <v>295</v>
      </c>
      <c r="D3" s="268">
        <v>5</v>
      </c>
      <c r="E3" s="268">
        <v>220</v>
      </c>
      <c r="F3" s="268">
        <v>44</v>
      </c>
      <c r="G3" s="268">
        <v>45</v>
      </c>
      <c r="H3" s="268">
        <f>45/0.8</f>
        <v>56.25</v>
      </c>
      <c r="J3" s="268">
        <v>10</v>
      </c>
      <c r="X3" s="257"/>
      <c r="Y3" s="257"/>
      <c r="Z3" s="257"/>
      <c r="AA3" s="113"/>
      <c r="AB3" s="113"/>
      <c r="AC3" s="113"/>
      <c r="AD3" s="113"/>
      <c r="AE3" s="113"/>
      <c r="AF3" s="113"/>
      <c r="AG3" s="113"/>
      <c r="AH3" s="113"/>
      <c r="AI3" s="113"/>
      <c r="AJ3" s="113"/>
      <c r="AK3" s="113"/>
      <c r="AL3" s="113"/>
      <c r="AM3" s="113"/>
      <c r="AN3" s="113"/>
      <c r="AO3" s="256" t="s">
        <v>334</v>
      </c>
      <c r="AP3" s="256" t="s">
        <v>335</v>
      </c>
      <c r="AQ3" s="256" t="s">
        <v>372</v>
      </c>
      <c r="AR3" s="256" t="s">
        <v>337</v>
      </c>
      <c r="AS3" s="256" t="s">
        <v>338</v>
      </c>
      <c r="AT3" s="113"/>
      <c r="AU3" s="113"/>
      <c r="AV3" s="113"/>
      <c r="AW3" s="113"/>
      <c r="AX3" s="113"/>
      <c r="AY3" s="113"/>
      <c r="AZ3" s="113"/>
      <c r="BA3" s="113"/>
      <c r="BB3" s="113"/>
      <c r="BC3" s="113"/>
      <c r="BD3" s="113"/>
      <c r="BE3" s="113"/>
      <c r="BF3" s="113"/>
      <c r="BG3" s="256" t="s">
        <v>340</v>
      </c>
      <c r="BH3" s="256" t="s">
        <v>341</v>
      </c>
    </row>
    <row r="4" spans="1:60" ht="22.5">
      <c r="A4" s="259" t="s">
        <v>349</v>
      </c>
      <c r="B4" s="260" t="s">
        <v>373</v>
      </c>
      <c r="C4" s="260" t="s">
        <v>373</v>
      </c>
      <c r="D4" s="257" t="s">
        <v>350</v>
      </c>
      <c r="E4" s="260" t="s">
        <v>240</v>
      </c>
      <c r="F4" s="260" t="s">
        <v>350</v>
      </c>
      <c r="G4" s="260" t="s">
        <v>350</v>
      </c>
      <c r="H4" s="260"/>
      <c r="I4" s="257" t="s">
        <v>374</v>
      </c>
      <c r="J4" s="260" t="s">
        <v>375</v>
      </c>
      <c r="K4" s="260" t="s">
        <v>376</v>
      </c>
      <c r="L4" s="260"/>
      <c r="X4" s="265"/>
      <c r="Y4" s="257"/>
      <c r="Z4" s="257"/>
    </row>
    <row r="5" spans="1:60" s="257" customFormat="1">
      <c r="A5" s="265" t="s">
        <v>62</v>
      </c>
      <c r="B5" s="257">
        <v>2024</v>
      </c>
      <c r="C5" s="257">
        <v>2024</v>
      </c>
      <c r="D5" s="257" t="s">
        <v>377</v>
      </c>
      <c r="E5" s="257">
        <v>2027</v>
      </c>
      <c r="F5" s="257" t="s">
        <v>377</v>
      </c>
      <c r="G5" s="257">
        <v>2024</v>
      </c>
      <c r="I5" s="257" t="s">
        <v>111</v>
      </c>
      <c r="J5" s="257" t="s">
        <v>378</v>
      </c>
      <c r="X5" s="265" t="s">
        <v>354</v>
      </c>
      <c r="Y5" s="267">
        <f>'[4]Feedstock Conversion Rates'!$B$6</f>
        <v>9.3800000000000008</v>
      </c>
      <c r="Z5" s="267">
        <f>'[4]Feedstock Conversion Rates'!$B$3</f>
        <v>8.01</v>
      </c>
      <c r="AA5" s="267">
        <f>'[4]Feedstock Conversion Rates'!$B$7</f>
        <v>9.1999999999999993</v>
      </c>
      <c r="AB5" s="267">
        <f>'[4]Feedstock Conversion Rates'!$B$5</f>
        <v>7.55</v>
      </c>
      <c r="AC5" s="267">
        <f>'[4]Feedstock Conversion Rates'!$B$4</f>
        <v>7.5</v>
      </c>
      <c r="AD5" s="113"/>
      <c r="AE5" s="113"/>
      <c r="AF5" s="113"/>
      <c r="AG5" s="113"/>
      <c r="AH5" s="113"/>
      <c r="AI5" s="113"/>
      <c r="AJ5" s="113"/>
      <c r="AK5" s="113"/>
      <c r="AL5" s="113"/>
    </row>
    <row r="6" spans="1:60">
      <c r="A6" s="11">
        <v>43831</v>
      </c>
      <c r="B6" s="251"/>
      <c r="C6" s="251"/>
      <c r="D6" s="251"/>
      <c r="E6" s="251"/>
      <c r="F6" s="251"/>
      <c r="G6" s="251"/>
      <c r="H6" s="251"/>
      <c r="I6" s="251"/>
      <c r="J6" s="251"/>
      <c r="K6" s="251"/>
      <c r="L6" s="251"/>
      <c r="M6" s="13"/>
      <c r="N6" s="251">
        <f t="shared" ref="N6:N37" si="0">SUM(B6:L6)</f>
        <v>0</v>
      </c>
      <c r="O6" s="251"/>
      <c r="Y6" s="251">
        <f>SUM('RD Feedstock'!F4,'RD Feedstock'!I4)</f>
        <v>0</v>
      </c>
      <c r="Z6" s="251">
        <f>SUM('RD Feedstock'!G4,'RD Feedstock'!J4)</f>
        <v>0</v>
      </c>
      <c r="AA6" s="251">
        <v>0</v>
      </c>
      <c r="AB6" s="251">
        <f>SUM('RD Feedstock'!B4,'RD Feedstock'!D4,'RD Feedstock'!H4)</f>
        <v>0</v>
      </c>
      <c r="AC6" s="251">
        <f>SUM('RD Feedstock'!C4,'RD Feedstock'!E4)</f>
        <v>0</v>
      </c>
      <c r="AD6" s="251">
        <f>SUM(Y6:AC6)</f>
        <v>0</v>
      </c>
    </row>
    <row r="7" spans="1:60">
      <c r="A7" s="11">
        <v>43862</v>
      </c>
      <c r="B7" s="251"/>
      <c r="C7" s="251"/>
      <c r="D7" s="251"/>
      <c r="E7" s="251"/>
      <c r="F7" s="251"/>
      <c r="G7" s="251"/>
      <c r="H7" s="251"/>
      <c r="I7" s="251"/>
      <c r="J7" s="251"/>
      <c r="K7" s="251"/>
      <c r="L7" s="251"/>
      <c r="M7" s="13"/>
      <c r="N7" s="251">
        <f t="shared" si="0"/>
        <v>0</v>
      </c>
      <c r="O7" s="251"/>
      <c r="Y7" s="251">
        <f>SUM('RD Feedstock'!F5,'RD Feedstock'!I5)</f>
        <v>0</v>
      </c>
      <c r="Z7" s="251">
        <f>SUM('RD Feedstock'!G5,'RD Feedstock'!J5)</f>
        <v>0</v>
      </c>
      <c r="AA7" s="251">
        <v>0</v>
      </c>
      <c r="AB7" s="251">
        <f>SUM('RD Feedstock'!B5,'RD Feedstock'!D5,'RD Feedstock'!H5)</f>
        <v>0</v>
      </c>
      <c r="AC7" s="251">
        <f>SUM('RD Feedstock'!C5,'RD Feedstock'!E5)</f>
        <v>0</v>
      </c>
      <c r="AD7" s="251">
        <f t="shared" ref="AD7:AD70" si="1">SUM(Y7:AC7)</f>
        <v>0</v>
      </c>
    </row>
    <row r="8" spans="1:60">
      <c r="A8" s="11">
        <v>43891</v>
      </c>
      <c r="B8" s="251"/>
      <c r="C8" s="251"/>
      <c r="D8" s="251"/>
      <c r="E8" s="251"/>
      <c r="F8" s="251"/>
      <c r="G8" s="251"/>
      <c r="H8" s="251"/>
      <c r="I8" s="251"/>
      <c r="J8" s="251"/>
      <c r="K8" s="251"/>
      <c r="L8" s="251"/>
      <c r="M8" s="13"/>
      <c r="N8" s="251">
        <f t="shared" si="0"/>
        <v>0</v>
      </c>
      <c r="O8" s="251"/>
      <c r="Y8" s="251">
        <f>SUM('RD Feedstock'!F6,'RD Feedstock'!I6)</f>
        <v>0</v>
      </c>
      <c r="Z8" s="251">
        <f>SUM('RD Feedstock'!G6,'RD Feedstock'!J6)</f>
        <v>0</v>
      </c>
      <c r="AA8" s="251">
        <v>0</v>
      </c>
      <c r="AB8" s="251">
        <f>SUM('RD Feedstock'!B6,'RD Feedstock'!D6,'RD Feedstock'!H6)</f>
        <v>0</v>
      </c>
      <c r="AC8" s="251">
        <f>SUM('RD Feedstock'!C6,'RD Feedstock'!E6)</f>
        <v>0</v>
      </c>
      <c r="AD8" s="251">
        <f t="shared" si="1"/>
        <v>0</v>
      </c>
    </row>
    <row r="9" spans="1:60">
      <c r="A9" s="11">
        <v>43922</v>
      </c>
      <c r="B9" s="251"/>
      <c r="C9" s="251"/>
      <c r="D9" s="251"/>
      <c r="E9" s="251"/>
      <c r="F9" s="251"/>
      <c r="G9" s="251"/>
      <c r="H9" s="251"/>
      <c r="I9" s="251"/>
      <c r="J9" s="251"/>
      <c r="K9" s="251"/>
      <c r="L9" s="251"/>
      <c r="M9" s="13"/>
      <c r="N9" s="251">
        <f t="shared" si="0"/>
        <v>0</v>
      </c>
      <c r="O9" s="251"/>
      <c r="Y9" s="251">
        <f>SUM('RD Feedstock'!F7,'RD Feedstock'!I7)</f>
        <v>0</v>
      </c>
      <c r="Z9" s="251">
        <f>SUM('RD Feedstock'!G7,'RD Feedstock'!J7)</f>
        <v>0</v>
      </c>
      <c r="AA9" s="251">
        <v>0</v>
      </c>
      <c r="AB9" s="251">
        <f>SUM('RD Feedstock'!B7,'RD Feedstock'!D7,'RD Feedstock'!H7)</f>
        <v>0</v>
      </c>
      <c r="AC9" s="251">
        <f>SUM('RD Feedstock'!C7,'RD Feedstock'!E7)</f>
        <v>0</v>
      </c>
      <c r="AD9" s="251">
        <f t="shared" si="1"/>
        <v>0</v>
      </c>
    </row>
    <row r="10" spans="1:60">
      <c r="A10" s="11">
        <v>43952</v>
      </c>
      <c r="B10" s="251"/>
      <c r="C10" s="251"/>
      <c r="D10" s="251"/>
      <c r="E10" s="251"/>
      <c r="F10" s="251"/>
      <c r="G10" s="251"/>
      <c r="H10" s="251"/>
      <c r="I10" s="251"/>
      <c r="J10" s="251"/>
      <c r="K10" s="251"/>
      <c r="L10" s="251"/>
      <c r="M10" s="13"/>
      <c r="N10" s="251">
        <f t="shared" si="0"/>
        <v>0</v>
      </c>
      <c r="O10" s="251"/>
      <c r="Y10" s="251">
        <f>SUM('RD Feedstock'!F8,'RD Feedstock'!I8)</f>
        <v>0</v>
      </c>
      <c r="Z10" s="251">
        <f>SUM('RD Feedstock'!G8,'RD Feedstock'!J8)</f>
        <v>0</v>
      </c>
      <c r="AA10" s="251">
        <v>0</v>
      </c>
      <c r="AB10" s="251">
        <f>SUM('RD Feedstock'!B8,'RD Feedstock'!D8,'RD Feedstock'!H8)</f>
        <v>0</v>
      </c>
      <c r="AC10" s="251">
        <f>SUM('RD Feedstock'!C8,'RD Feedstock'!E8)</f>
        <v>0</v>
      </c>
      <c r="AD10" s="251">
        <f t="shared" si="1"/>
        <v>0</v>
      </c>
    </row>
    <row r="11" spans="1:60">
      <c r="A11" s="11">
        <v>43983</v>
      </c>
      <c r="B11" s="251"/>
      <c r="C11" s="251"/>
      <c r="D11" s="251"/>
      <c r="E11" s="251"/>
      <c r="F11" s="251"/>
      <c r="G11" s="251"/>
      <c r="H11" s="251"/>
      <c r="I11" s="251"/>
      <c r="J11" s="251"/>
      <c r="K11" s="251"/>
      <c r="L11" s="251"/>
      <c r="M11" s="13"/>
      <c r="N11" s="251">
        <f t="shared" si="0"/>
        <v>0</v>
      </c>
      <c r="O11" s="251"/>
      <c r="Y11" s="251">
        <f>SUM('RD Feedstock'!F9,'RD Feedstock'!I9)</f>
        <v>0</v>
      </c>
      <c r="Z11" s="251">
        <f>SUM('RD Feedstock'!G9,'RD Feedstock'!J9)</f>
        <v>0</v>
      </c>
      <c r="AA11" s="251">
        <v>0</v>
      </c>
      <c r="AB11" s="251">
        <f>SUM('RD Feedstock'!B9,'RD Feedstock'!D9,'RD Feedstock'!H9)</f>
        <v>0</v>
      </c>
      <c r="AC11" s="251">
        <f>SUM('RD Feedstock'!C9,'RD Feedstock'!E9)</f>
        <v>0</v>
      </c>
      <c r="AD11" s="251">
        <f t="shared" si="1"/>
        <v>0</v>
      </c>
    </row>
    <row r="12" spans="1:60">
      <c r="A12" s="11">
        <v>44013</v>
      </c>
      <c r="B12" s="251"/>
      <c r="C12" s="251"/>
      <c r="D12" s="251"/>
      <c r="E12" s="251"/>
      <c r="F12" s="251"/>
      <c r="G12" s="251"/>
      <c r="H12" s="251"/>
      <c r="I12" s="251"/>
      <c r="J12" s="251"/>
      <c r="K12" s="251"/>
      <c r="L12" s="251"/>
      <c r="M12" s="13"/>
      <c r="N12" s="251">
        <f t="shared" si="0"/>
        <v>0</v>
      </c>
      <c r="O12" s="251"/>
      <c r="Y12" s="251">
        <f>SUM('RD Feedstock'!F10,'RD Feedstock'!I10)</f>
        <v>0</v>
      </c>
      <c r="Z12" s="251">
        <f>SUM('RD Feedstock'!G10,'RD Feedstock'!J10)</f>
        <v>0</v>
      </c>
      <c r="AA12" s="251">
        <v>0</v>
      </c>
      <c r="AB12" s="251">
        <f>SUM('RD Feedstock'!B10,'RD Feedstock'!D10,'RD Feedstock'!H10)</f>
        <v>0</v>
      </c>
      <c r="AC12" s="251">
        <f>SUM('RD Feedstock'!C10,'RD Feedstock'!E10)</f>
        <v>0</v>
      </c>
      <c r="AD12" s="251">
        <f t="shared" si="1"/>
        <v>0</v>
      </c>
    </row>
    <row r="13" spans="1:60">
      <c r="A13" s="11">
        <v>44044</v>
      </c>
      <c r="B13" s="251"/>
      <c r="C13" s="251"/>
      <c r="D13" s="251"/>
      <c r="E13" s="251"/>
      <c r="F13" s="251"/>
      <c r="G13" s="251"/>
      <c r="H13" s="251"/>
      <c r="I13" s="251"/>
      <c r="J13" s="251"/>
      <c r="K13" s="251"/>
      <c r="L13" s="251"/>
      <c r="M13" s="13"/>
      <c r="N13" s="251">
        <f t="shared" si="0"/>
        <v>0</v>
      </c>
      <c r="O13" s="251"/>
      <c r="Y13" s="251">
        <f>SUM('RD Feedstock'!F11,'RD Feedstock'!I11)</f>
        <v>0</v>
      </c>
      <c r="Z13" s="251">
        <f>SUM('RD Feedstock'!G11,'RD Feedstock'!J11)</f>
        <v>0</v>
      </c>
      <c r="AA13" s="251">
        <v>0</v>
      </c>
      <c r="AB13" s="251">
        <f>SUM('RD Feedstock'!B11,'RD Feedstock'!D11,'RD Feedstock'!H11)</f>
        <v>0</v>
      </c>
      <c r="AC13" s="251">
        <f>SUM('RD Feedstock'!C11,'RD Feedstock'!E11)</f>
        <v>0</v>
      </c>
      <c r="AD13" s="251">
        <f t="shared" si="1"/>
        <v>0</v>
      </c>
    </row>
    <row r="14" spans="1:60">
      <c r="A14" s="11">
        <v>44075</v>
      </c>
      <c r="B14" s="251"/>
      <c r="C14" s="251"/>
      <c r="D14" s="251"/>
      <c r="E14" s="251"/>
      <c r="F14" s="251"/>
      <c r="G14" s="251"/>
      <c r="H14" s="251"/>
      <c r="I14" s="251"/>
      <c r="J14" s="251"/>
      <c r="K14" s="251"/>
      <c r="L14" s="251"/>
      <c r="M14" s="13"/>
      <c r="N14" s="251">
        <f t="shared" si="0"/>
        <v>0</v>
      </c>
      <c r="O14" s="251"/>
      <c r="Y14" s="251">
        <f>SUM('RD Feedstock'!F12,'RD Feedstock'!I12)</f>
        <v>0</v>
      </c>
      <c r="Z14" s="251">
        <f>SUM('RD Feedstock'!G12,'RD Feedstock'!J12)</f>
        <v>0</v>
      </c>
      <c r="AA14" s="251">
        <v>0</v>
      </c>
      <c r="AB14" s="251">
        <f>SUM('RD Feedstock'!B12,'RD Feedstock'!D12,'RD Feedstock'!H12)</f>
        <v>0</v>
      </c>
      <c r="AC14" s="251">
        <f>SUM('RD Feedstock'!C12,'RD Feedstock'!E12)</f>
        <v>0</v>
      </c>
      <c r="AD14" s="251">
        <f t="shared" si="1"/>
        <v>0</v>
      </c>
    </row>
    <row r="15" spans="1:60">
      <c r="A15" s="11">
        <v>44105</v>
      </c>
      <c r="B15" s="251"/>
      <c r="C15" s="251"/>
      <c r="D15" s="251"/>
      <c r="E15" s="251"/>
      <c r="F15" s="251"/>
      <c r="G15" s="251"/>
      <c r="H15" s="251"/>
      <c r="I15" s="251"/>
      <c r="J15" s="251"/>
      <c r="K15" s="251"/>
      <c r="L15" s="251"/>
      <c r="M15" s="13"/>
      <c r="N15" s="251">
        <f t="shared" si="0"/>
        <v>0</v>
      </c>
      <c r="O15" s="251"/>
      <c r="Y15" s="251">
        <f>SUM('RD Feedstock'!F13,'RD Feedstock'!I13)</f>
        <v>0</v>
      </c>
      <c r="Z15" s="251">
        <f>SUM('RD Feedstock'!G13,'RD Feedstock'!J13)</f>
        <v>0</v>
      </c>
      <c r="AA15" s="251">
        <v>0</v>
      </c>
      <c r="AB15" s="251">
        <f>SUM('RD Feedstock'!B13,'RD Feedstock'!D13,'RD Feedstock'!H13)</f>
        <v>0</v>
      </c>
      <c r="AC15" s="251">
        <f>SUM('RD Feedstock'!C13,'RD Feedstock'!E13)</f>
        <v>0</v>
      </c>
      <c r="AD15" s="251">
        <f t="shared" si="1"/>
        <v>0</v>
      </c>
    </row>
    <row r="16" spans="1:60">
      <c r="A16" s="11">
        <v>44136</v>
      </c>
      <c r="B16" s="251"/>
      <c r="C16" s="251"/>
      <c r="D16" s="251"/>
      <c r="E16" s="251"/>
      <c r="F16" s="251"/>
      <c r="G16" s="251"/>
      <c r="H16" s="251"/>
      <c r="I16" s="251"/>
      <c r="J16" s="251"/>
      <c r="K16" s="251"/>
      <c r="L16" s="251"/>
      <c r="M16" s="13"/>
      <c r="N16" s="251">
        <f t="shared" si="0"/>
        <v>0</v>
      </c>
      <c r="O16" s="251"/>
      <c r="Y16" s="251">
        <f>SUM('RD Feedstock'!F14,'RD Feedstock'!I14)</f>
        <v>0</v>
      </c>
      <c r="Z16" s="251">
        <f>SUM('RD Feedstock'!G14,'RD Feedstock'!J14)</f>
        <v>0</v>
      </c>
      <c r="AA16" s="251">
        <v>0</v>
      </c>
      <c r="AB16" s="251">
        <f>SUM('RD Feedstock'!B14,'RD Feedstock'!D14,'RD Feedstock'!H14)</f>
        <v>0</v>
      </c>
      <c r="AC16" s="251">
        <f>SUM('RD Feedstock'!C14,'RD Feedstock'!E14)</f>
        <v>0</v>
      </c>
      <c r="AD16" s="251">
        <f t="shared" si="1"/>
        <v>0</v>
      </c>
    </row>
    <row r="17" spans="1:30">
      <c r="A17" s="11">
        <v>44166</v>
      </c>
      <c r="B17" s="251"/>
      <c r="C17" s="251"/>
      <c r="D17" s="251"/>
      <c r="E17" s="251"/>
      <c r="F17" s="251"/>
      <c r="G17" s="251"/>
      <c r="H17" s="251"/>
      <c r="I17" s="251"/>
      <c r="J17" s="251"/>
      <c r="K17" s="251"/>
      <c r="L17" s="251"/>
      <c r="M17" s="13"/>
      <c r="N17" s="251">
        <f t="shared" si="0"/>
        <v>0</v>
      </c>
      <c r="O17" s="251"/>
      <c r="Y17" s="251">
        <f>SUM('RD Feedstock'!F15,'RD Feedstock'!I15)</f>
        <v>0</v>
      </c>
      <c r="Z17" s="251">
        <f>SUM('RD Feedstock'!G15,'RD Feedstock'!J15)</f>
        <v>0</v>
      </c>
      <c r="AA17" s="251">
        <v>0</v>
      </c>
      <c r="AB17" s="251">
        <f>SUM('RD Feedstock'!B15,'RD Feedstock'!D15,'RD Feedstock'!H15)</f>
        <v>0</v>
      </c>
      <c r="AC17" s="251">
        <f>SUM('RD Feedstock'!C15,'RD Feedstock'!E15)</f>
        <v>0</v>
      </c>
      <c r="AD17" s="251">
        <f t="shared" si="1"/>
        <v>0</v>
      </c>
    </row>
    <row r="18" spans="1:30">
      <c r="A18" s="11">
        <v>44197</v>
      </c>
      <c r="B18" s="251"/>
      <c r="C18" s="251"/>
      <c r="D18" s="251"/>
      <c r="E18" s="251"/>
      <c r="F18" s="251"/>
      <c r="G18" s="251"/>
      <c r="H18" s="251"/>
      <c r="I18" s="251"/>
      <c r="J18" s="251"/>
      <c r="K18" s="251"/>
      <c r="L18" s="251"/>
      <c r="M18" s="13"/>
      <c r="N18" s="251">
        <f t="shared" si="0"/>
        <v>0</v>
      </c>
      <c r="O18" s="251"/>
      <c r="Y18" s="251">
        <f>SUM('RD Feedstock'!F16,'RD Feedstock'!I16)</f>
        <v>0</v>
      </c>
      <c r="Z18" s="251">
        <f>SUM('RD Feedstock'!G16,'RD Feedstock'!J16)</f>
        <v>0</v>
      </c>
      <c r="AA18" s="251">
        <v>0</v>
      </c>
      <c r="AB18" s="251">
        <f>SUM('RD Feedstock'!B16,'RD Feedstock'!D16,'RD Feedstock'!H16)</f>
        <v>0</v>
      </c>
      <c r="AC18" s="251">
        <f>SUM('RD Feedstock'!C16,'RD Feedstock'!E16)</f>
        <v>0</v>
      </c>
      <c r="AD18" s="251">
        <f t="shared" si="1"/>
        <v>0</v>
      </c>
    </row>
    <row r="19" spans="1:30">
      <c r="A19" s="11">
        <v>44228</v>
      </c>
      <c r="B19" s="251"/>
      <c r="C19" s="251"/>
      <c r="D19" s="251"/>
      <c r="E19" s="251"/>
      <c r="F19" s="251"/>
      <c r="G19" s="251"/>
      <c r="H19" s="251"/>
      <c r="I19" s="251"/>
      <c r="J19" s="251"/>
      <c r="K19" s="251"/>
      <c r="L19" s="251"/>
      <c r="M19" s="13"/>
      <c r="N19" s="251">
        <f t="shared" si="0"/>
        <v>0</v>
      </c>
      <c r="O19" s="251"/>
      <c r="Y19" s="251">
        <f>SUM('RD Feedstock'!F17,'RD Feedstock'!I17)</f>
        <v>0</v>
      </c>
      <c r="Z19" s="251">
        <f>SUM('RD Feedstock'!G17,'RD Feedstock'!J17)</f>
        <v>0</v>
      </c>
      <c r="AA19" s="251">
        <v>0</v>
      </c>
      <c r="AB19" s="251">
        <f>SUM('RD Feedstock'!B17,'RD Feedstock'!D17,'RD Feedstock'!H17)</f>
        <v>0</v>
      </c>
      <c r="AC19" s="251">
        <f>SUM('RD Feedstock'!C17,'RD Feedstock'!E17)</f>
        <v>0</v>
      </c>
      <c r="AD19" s="251">
        <f t="shared" si="1"/>
        <v>0</v>
      </c>
    </row>
    <row r="20" spans="1:30">
      <c r="A20" s="11">
        <v>44256</v>
      </c>
      <c r="B20" s="251"/>
      <c r="C20" s="251"/>
      <c r="D20" s="251"/>
      <c r="E20" s="251"/>
      <c r="F20" s="251"/>
      <c r="G20" s="251"/>
      <c r="H20" s="251"/>
      <c r="I20" s="251"/>
      <c r="J20" s="251"/>
      <c r="K20" s="251"/>
      <c r="L20" s="251"/>
      <c r="M20" s="13"/>
      <c r="N20" s="251">
        <f t="shared" si="0"/>
        <v>0</v>
      </c>
      <c r="O20" s="251"/>
      <c r="Y20" s="251">
        <f>SUM('RD Feedstock'!F18,'RD Feedstock'!I18)</f>
        <v>0</v>
      </c>
      <c r="Z20" s="251">
        <f>SUM('RD Feedstock'!G18,'RD Feedstock'!J18)</f>
        <v>0</v>
      </c>
      <c r="AA20" s="251">
        <v>0</v>
      </c>
      <c r="AB20" s="251">
        <f>SUM('RD Feedstock'!B18,'RD Feedstock'!D18,'RD Feedstock'!H18)</f>
        <v>0</v>
      </c>
      <c r="AC20" s="251">
        <f>SUM('RD Feedstock'!C18,'RD Feedstock'!E18)</f>
        <v>0</v>
      </c>
      <c r="AD20" s="251">
        <f t="shared" si="1"/>
        <v>0</v>
      </c>
    </row>
    <row r="21" spans="1:30">
      <c r="A21" s="11">
        <v>44287</v>
      </c>
      <c r="B21" s="251"/>
      <c r="C21" s="251"/>
      <c r="D21" s="251"/>
      <c r="E21" s="251"/>
      <c r="F21" s="251"/>
      <c r="G21" s="251"/>
      <c r="H21" s="251"/>
      <c r="I21" s="251"/>
      <c r="J21" s="251"/>
      <c r="K21" s="251"/>
      <c r="L21" s="251"/>
      <c r="M21" s="13"/>
      <c r="N21" s="251">
        <f t="shared" si="0"/>
        <v>0</v>
      </c>
      <c r="O21" s="251"/>
      <c r="Y21" s="251">
        <f>SUM('RD Feedstock'!F19,'RD Feedstock'!I19)</f>
        <v>0</v>
      </c>
      <c r="Z21" s="251">
        <f>SUM('RD Feedstock'!G19,'RD Feedstock'!J19)</f>
        <v>0</v>
      </c>
      <c r="AA21" s="251">
        <v>0</v>
      </c>
      <c r="AB21" s="251">
        <f>SUM('RD Feedstock'!B19,'RD Feedstock'!D19,'RD Feedstock'!H19)</f>
        <v>0</v>
      </c>
      <c r="AC21" s="251">
        <f>SUM('RD Feedstock'!C19,'RD Feedstock'!E19)</f>
        <v>0</v>
      </c>
      <c r="AD21" s="251">
        <f t="shared" si="1"/>
        <v>0</v>
      </c>
    </row>
    <row r="22" spans="1:30">
      <c r="A22" s="11">
        <v>44317</v>
      </c>
      <c r="B22" s="251"/>
      <c r="C22" s="251"/>
      <c r="D22" s="251"/>
      <c r="E22" s="251"/>
      <c r="F22" s="251"/>
      <c r="G22" s="251"/>
      <c r="H22" s="251"/>
      <c r="I22" s="251"/>
      <c r="J22" s="251"/>
      <c r="K22" s="251"/>
      <c r="L22" s="251"/>
      <c r="M22" s="13"/>
      <c r="N22" s="251">
        <f t="shared" si="0"/>
        <v>0</v>
      </c>
      <c r="O22" s="251"/>
      <c r="Y22" s="251">
        <f>SUM('RD Feedstock'!F20,'RD Feedstock'!I20)</f>
        <v>0</v>
      </c>
      <c r="Z22" s="251">
        <f>SUM('RD Feedstock'!G20,'RD Feedstock'!J20)</f>
        <v>0</v>
      </c>
      <c r="AA22" s="251">
        <v>0</v>
      </c>
      <c r="AB22" s="251">
        <f>SUM('RD Feedstock'!B20,'RD Feedstock'!D20,'RD Feedstock'!H20)</f>
        <v>0</v>
      </c>
      <c r="AC22" s="251">
        <f>SUM('RD Feedstock'!C20,'RD Feedstock'!E20)</f>
        <v>0</v>
      </c>
      <c r="AD22" s="251">
        <f t="shared" si="1"/>
        <v>0</v>
      </c>
    </row>
    <row r="23" spans="1:30">
      <c r="A23" s="11">
        <v>44348</v>
      </c>
      <c r="B23" s="251"/>
      <c r="C23" s="251"/>
      <c r="D23" s="251"/>
      <c r="E23" s="251"/>
      <c r="F23" s="251"/>
      <c r="G23" s="251"/>
      <c r="H23" s="251"/>
      <c r="I23" s="251"/>
      <c r="J23" s="251"/>
      <c r="K23" s="251"/>
      <c r="L23" s="251"/>
      <c r="M23" s="13"/>
      <c r="N23" s="251">
        <f t="shared" si="0"/>
        <v>0</v>
      </c>
      <c r="O23" s="251"/>
      <c r="Y23" s="251">
        <f>SUM('RD Feedstock'!F21,'RD Feedstock'!I21)</f>
        <v>0</v>
      </c>
      <c r="Z23" s="251">
        <f>SUM('RD Feedstock'!G21,'RD Feedstock'!J21)</f>
        <v>0</v>
      </c>
      <c r="AA23" s="251">
        <v>0</v>
      </c>
      <c r="AB23" s="251">
        <f>SUM('RD Feedstock'!B21,'RD Feedstock'!D21,'RD Feedstock'!H21)</f>
        <v>0</v>
      </c>
      <c r="AC23" s="251">
        <f>SUM('RD Feedstock'!C21,'RD Feedstock'!E21)</f>
        <v>0</v>
      </c>
      <c r="AD23" s="251">
        <f t="shared" si="1"/>
        <v>0</v>
      </c>
    </row>
    <row r="24" spans="1:30">
      <c r="A24" s="11">
        <v>44378</v>
      </c>
      <c r="B24" s="251"/>
      <c r="C24" s="251"/>
      <c r="D24" s="251"/>
      <c r="E24" s="251"/>
      <c r="F24" s="251"/>
      <c r="G24" s="251"/>
      <c r="H24" s="251"/>
      <c r="I24" s="251"/>
      <c r="J24" s="251"/>
      <c r="K24" s="251"/>
      <c r="L24" s="251"/>
      <c r="M24" s="13"/>
      <c r="N24" s="251">
        <f t="shared" si="0"/>
        <v>0</v>
      </c>
      <c r="O24" s="251"/>
      <c r="Y24" s="251">
        <f>SUM('RD Feedstock'!F22,'RD Feedstock'!I22)</f>
        <v>0</v>
      </c>
      <c r="Z24" s="251">
        <f>SUM('RD Feedstock'!G22,'RD Feedstock'!J22)</f>
        <v>0</v>
      </c>
      <c r="AA24" s="251">
        <v>0</v>
      </c>
      <c r="AB24" s="251">
        <f>SUM('RD Feedstock'!B22,'RD Feedstock'!D22,'RD Feedstock'!H22)</f>
        <v>0</v>
      </c>
      <c r="AC24" s="251">
        <f>SUM('RD Feedstock'!C22,'RD Feedstock'!E22)</f>
        <v>0</v>
      </c>
      <c r="AD24" s="251">
        <f t="shared" si="1"/>
        <v>0</v>
      </c>
    </row>
    <row r="25" spans="1:30">
      <c r="A25" s="11">
        <v>44409</v>
      </c>
      <c r="B25" s="251"/>
      <c r="C25" s="251"/>
      <c r="D25" s="251"/>
      <c r="E25" s="251"/>
      <c r="F25" s="251"/>
      <c r="G25" s="251"/>
      <c r="H25" s="251"/>
      <c r="I25" s="251"/>
      <c r="J25" s="251"/>
      <c r="K25" s="251"/>
      <c r="L25" s="251"/>
      <c r="M25" s="13"/>
      <c r="N25" s="251">
        <f t="shared" si="0"/>
        <v>0</v>
      </c>
      <c r="O25" s="251"/>
      <c r="Y25" s="251">
        <f>SUM('RD Feedstock'!F23,'RD Feedstock'!I23)</f>
        <v>0</v>
      </c>
      <c r="Z25" s="251">
        <f>SUM('RD Feedstock'!G23,'RD Feedstock'!J23)</f>
        <v>0</v>
      </c>
      <c r="AA25" s="251">
        <v>0</v>
      </c>
      <c r="AB25" s="251">
        <f>SUM('RD Feedstock'!B23,'RD Feedstock'!D23,'RD Feedstock'!H23)</f>
        <v>0</v>
      </c>
      <c r="AC25" s="251">
        <f>SUM('RD Feedstock'!C23,'RD Feedstock'!E23)</f>
        <v>0</v>
      </c>
      <c r="AD25" s="251">
        <f t="shared" si="1"/>
        <v>0</v>
      </c>
    </row>
    <row r="26" spans="1:30">
      <c r="A26" s="11">
        <v>44440</v>
      </c>
      <c r="B26" s="251"/>
      <c r="C26" s="251"/>
      <c r="D26" s="251"/>
      <c r="E26" s="251"/>
      <c r="F26" s="251"/>
      <c r="G26" s="251"/>
      <c r="H26" s="251"/>
      <c r="I26" s="251"/>
      <c r="J26" s="251"/>
      <c r="K26" s="251"/>
      <c r="L26" s="251"/>
      <c r="M26" s="13"/>
      <c r="N26" s="251">
        <f t="shared" si="0"/>
        <v>0</v>
      </c>
      <c r="O26" s="251"/>
      <c r="Y26" s="251">
        <f>SUM('RD Feedstock'!F24,'RD Feedstock'!I24)</f>
        <v>0</v>
      </c>
      <c r="Z26" s="251">
        <f>SUM('RD Feedstock'!G24,'RD Feedstock'!J24)</f>
        <v>0</v>
      </c>
      <c r="AA26" s="251">
        <v>0</v>
      </c>
      <c r="AB26" s="251">
        <f>SUM('RD Feedstock'!B24,'RD Feedstock'!D24,'RD Feedstock'!H24)</f>
        <v>0</v>
      </c>
      <c r="AC26" s="251">
        <f>SUM('RD Feedstock'!C24,'RD Feedstock'!E24)</f>
        <v>0</v>
      </c>
      <c r="AD26" s="251">
        <f t="shared" si="1"/>
        <v>0</v>
      </c>
    </row>
    <row r="27" spans="1:30">
      <c r="A27" s="11">
        <v>44470</v>
      </c>
      <c r="B27" s="251"/>
      <c r="C27" s="251"/>
      <c r="D27" s="251"/>
      <c r="E27" s="251"/>
      <c r="F27" s="251"/>
      <c r="G27" s="251"/>
      <c r="H27" s="251"/>
      <c r="I27" s="251"/>
      <c r="J27" s="251"/>
      <c r="K27" s="251"/>
      <c r="L27" s="251"/>
      <c r="M27" s="13"/>
      <c r="N27" s="251">
        <f t="shared" si="0"/>
        <v>0</v>
      </c>
      <c r="O27" s="251"/>
      <c r="Y27" s="251">
        <f>SUM('RD Feedstock'!F25,'RD Feedstock'!I25)</f>
        <v>0</v>
      </c>
      <c r="Z27" s="251">
        <f>SUM('RD Feedstock'!G25,'RD Feedstock'!J25)</f>
        <v>0</v>
      </c>
      <c r="AA27" s="251">
        <v>0</v>
      </c>
      <c r="AB27" s="251">
        <f>SUM('RD Feedstock'!B25,'RD Feedstock'!D25,'RD Feedstock'!H25)</f>
        <v>0</v>
      </c>
      <c r="AC27" s="251">
        <f>SUM('RD Feedstock'!C25,'RD Feedstock'!E25)</f>
        <v>0</v>
      </c>
      <c r="AD27" s="251">
        <f t="shared" si="1"/>
        <v>0</v>
      </c>
    </row>
    <row r="28" spans="1:30">
      <c r="A28" s="11">
        <v>44501</v>
      </c>
      <c r="B28" s="251"/>
      <c r="C28" s="251"/>
      <c r="D28" s="251"/>
      <c r="E28" s="251"/>
      <c r="F28" s="251"/>
      <c r="G28" s="251"/>
      <c r="H28" s="251"/>
      <c r="I28" s="251"/>
      <c r="J28" s="251"/>
      <c r="K28" s="251"/>
      <c r="L28" s="251"/>
      <c r="M28" s="13"/>
      <c r="N28" s="251">
        <f t="shared" si="0"/>
        <v>0</v>
      </c>
      <c r="O28" s="251"/>
      <c r="Y28" s="251">
        <f>SUM('RD Feedstock'!F26,'RD Feedstock'!I26)</f>
        <v>0</v>
      </c>
      <c r="Z28" s="251">
        <f>SUM('RD Feedstock'!G26,'RD Feedstock'!J26)</f>
        <v>0</v>
      </c>
      <c r="AA28" s="251">
        <v>0</v>
      </c>
      <c r="AB28" s="251">
        <f>SUM('RD Feedstock'!B26,'RD Feedstock'!D26,'RD Feedstock'!H26)</f>
        <v>0</v>
      </c>
      <c r="AC28" s="251">
        <f>SUM('RD Feedstock'!C26,'RD Feedstock'!E26)</f>
        <v>0</v>
      </c>
      <c r="AD28" s="251">
        <f t="shared" si="1"/>
        <v>0</v>
      </c>
    </row>
    <row r="29" spans="1:30">
      <c r="A29" s="11">
        <v>44531</v>
      </c>
      <c r="B29" s="251"/>
      <c r="C29" s="251"/>
      <c r="D29" s="251"/>
      <c r="E29" s="251"/>
      <c r="F29" s="251"/>
      <c r="G29" s="251"/>
      <c r="H29" s="251"/>
      <c r="I29" s="251"/>
      <c r="J29" s="251"/>
      <c r="K29" s="251"/>
      <c r="L29" s="251"/>
      <c r="M29" s="13"/>
      <c r="N29" s="251">
        <f t="shared" si="0"/>
        <v>0</v>
      </c>
      <c r="O29" s="251"/>
      <c r="Y29" s="251">
        <f>SUM('RD Feedstock'!F27,'RD Feedstock'!I27)</f>
        <v>0</v>
      </c>
      <c r="Z29" s="251">
        <f>SUM('RD Feedstock'!G27,'RD Feedstock'!J27)</f>
        <v>0</v>
      </c>
      <c r="AA29" s="251">
        <v>0</v>
      </c>
      <c r="AB29" s="251">
        <f>SUM('RD Feedstock'!B27,'RD Feedstock'!D27,'RD Feedstock'!H27)</f>
        <v>0</v>
      </c>
      <c r="AC29" s="251">
        <f>SUM('RD Feedstock'!C27,'RD Feedstock'!E27)</f>
        <v>0</v>
      </c>
      <c r="AD29" s="251">
        <f t="shared" si="1"/>
        <v>0</v>
      </c>
    </row>
    <row r="30" spans="1:30">
      <c r="A30" s="11">
        <v>44562</v>
      </c>
      <c r="B30" s="251"/>
      <c r="C30" s="251"/>
      <c r="D30" s="251"/>
      <c r="E30" s="251"/>
      <c r="F30" s="251"/>
      <c r="G30" s="251"/>
      <c r="H30" s="251"/>
      <c r="I30" s="251"/>
      <c r="J30" s="251"/>
      <c r="K30" s="251"/>
      <c r="L30" s="251"/>
      <c r="M30" s="13"/>
      <c r="N30" s="251">
        <f t="shared" si="0"/>
        <v>0</v>
      </c>
      <c r="O30" s="251"/>
      <c r="Y30" s="251">
        <f>SUM('RD Feedstock'!F28,'RD Feedstock'!I28)</f>
        <v>0</v>
      </c>
      <c r="Z30" s="251">
        <f>SUM('RD Feedstock'!G28,'RD Feedstock'!J28)</f>
        <v>0</v>
      </c>
      <c r="AA30" s="251">
        <v>0</v>
      </c>
      <c r="AB30" s="251">
        <f>SUM('RD Feedstock'!B28,'RD Feedstock'!D28,'RD Feedstock'!H28)</f>
        <v>0</v>
      </c>
      <c r="AC30" s="251">
        <f>SUM('RD Feedstock'!C28,'RD Feedstock'!E28)</f>
        <v>0</v>
      </c>
      <c r="AD30" s="251">
        <f t="shared" si="1"/>
        <v>0</v>
      </c>
    </row>
    <row r="31" spans="1:30">
      <c r="A31" s="11">
        <v>44593</v>
      </c>
      <c r="B31" s="251"/>
      <c r="C31" s="251"/>
      <c r="D31" s="251"/>
      <c r="E31" s="251"/>
      <c r="F31" s="251"/>
      <c r="G31" s="251"/>
      <c r="H31" s="251"/>
      <c r="I31" s="251"/>
      <c r="J31" s="251"/>
      <c r="K31" s="251"/>
      <c r="L31" s="251"/>
      <c r="M31" s="13"/>
      <c r="N31" s="251">
        <f t="shared" si="0"/>
        <v>0</v>
      </c>
      <c r="O31" s="251"/>
      <c r="Y31" s="251">
        <f>SUM('RD Feedstock'!F29,'RD Feedstock'!I29)</f>
        <v>0</v>
      </c>
      <c r="Z31" s="251">
        <f>SUM('RD Feedstock'!G29,'RD Feedstock'!J29)</f>
        <v>0</v>
      </c>
      <c r="AA31" s="251">
        <v>0</v>
      </c>
      <c r="AB31" s="251">
        <f>SUM('RD Feedstock'!B29,'RD Feedstock'!D29,'RD Feedstock'!H29)</f>
        <v>0</v>
      </c>
      <c r="AC31" s="251">
        <f>SUM('RD Feedstock'!C29,'RD Feedstock'!E29)</f>
        <v>0</v>
      </c>
      <c r="AD31" s="251">
        <f t="shared" si="1"/>
        <v>0</v>
      </c>
    </row>
    <row r="32" spans="1:30">
      <c r="A32" s="11">
        <v>44621</v>
      </c>
      <c r="B32" s="251"/>
      <c r="C32" s="251"/>
      <c r="D32" s="251"/>
      <c r="E32" s="251"/>
      <c r="F32" s="251"/>
      <c r="G32" s="251"/>
      <c r="H32" s="251"/>
      <c r="I32" s="251"/>
      <c r="J32" s="251"/>
      <c r="K32" s="251"/>
      <c r="L32" s="251"/>
      <c r="M32" s="13"/>
      <c r="N32" s="251">
        <f t="shared" si="0"/>
        <v>0</v>
      </c>
      <c r="O32" s="251"/>
      <c r="Y32" s="251">
        <f>SUM('RD Feedstock'!F30,'RD Feedstock'!I30)</f>
        <v>0</v>
      </c>
      <c r="Z32" s="251">
        <f>SUM('RD Feedstock'!G30,'RD Feedstock'!J30)</f>
        <v>0</v>
      </c>
      <c r="AA32" s="251">
        <v>0</v>
      </c>
      <c r="AB32" s="251">
        <f>SUM('RD Feedstock'!B30,'RD Feedstock'!D30,'RD Feedstock'!H30)</f>
        <v>0</v>
      </c>
      <c r="AC32" s="251">
        <f>SUM('RD Feedstock'!C30,'RD Feedstock'!E30)</f>
        <v>0</v>
      </c>
      <c r="AD32" s="251">
        <f t="shared" si="1"/>
        <v>0</v>
      </c>
    </row>
    <row r="33" spans="1:57">
      <c r="A33" s="11">
        <v>44652</v>
      </c>
      <c r="B33" s="251"/>
      <c r="C33" s="251"/>
      <c r="D33" s="251"/>
      <c r="E33" s="251"/>
      <c r="F33" s="251"/>
      <c r="G33" s="251"/>
      <c r="H33" s="251"/>
      <c r="I33" s="251"/>
      <c r="J33" s="251"/>
      <c r="K33" s="251"/>
      <c r="L33" s="251"/>
      <c r="M33" s="13"/>
      <c r="N33" s="251">
        <f t="shared" si="0"/>
        <v>0</v>
      </c>
      <c r="O33" s="251"/>
      <c r="Y33" s="251">
        <f>SUM('RD Feedstock'!F31,'RD Feedstock'!I31)</f>
        <v>0</v>
      </c>
      <c r="Z33" s="251">
        <f>SUM('RD Feedstock'!G31,'RD Feedstock'!J31)</f>
        <v>0</v>
      </c>
      <c r="AA33" s="251">
        <v>0</v>
      </c>
      <c r="AB33" s="251">
        <f>SUM('RD Feedstock'!B31,'RD Feedstock'!D31,'RD Feedstock'!H31)</f>
        <v>0</v>
      </c>
      <c r="AC33" s="251">
        <f>SUM('RD Feedstock'!C31,'RD Feedstock'!E31)</f>
        <v>0</v>
      </c>
      <c r="AD33" s="251">
        <f t="shared" si="1"/>
        <v>0</v>
      </c>
    </row>
    <row r="34" spans="1:57">
      <c r="A34" s="11">
        <v>44682</v>
      </c>
      <c r="B34" s="251"/>
      <c r="C34" s="251"/>
      <c r="D34" s="251"/>
      <c r="E34" s="251"/>
      <c r="F34" s="251"/>
      <c r="G34" s="251"/>
      <c r="H34" s="251"/>
      <c r="I34" s="251"/>
      <c r="J34" s="251"/>
      <c r="K34" s="251"/>
      <c r="L34" s="251"/>
      <c r="M34" s="13"/>
      <c r="N34" s="251">
        <f t="shared" si="0"/>
        <v>0</v>
      </c>
      <c r="O34" s="251"/>
      <c r="Y34" s="251">
        <f>SUM('RD Feedstock'!F32,'RD Feedstock'!I32)</f>
        <v>0</v>
      </c>
      <c r="Z34" s="251">
        <f>SUM('RD Feedstock'!G32,'RD Feedstock'!J32)</f>
        <v>0</v>
      </c>
      <c r="AA34" s="251">
        <v>0</v>
      </c>
      <c r="AB34" s="251">
        <f>SUM('RD Feedstock'!B32,'RD Feedstock'!D32,'RD Feedstock'!H32)</f>
        <v>0</v>
      </c>
      <c r="AC34" s="251">
        <f>SUM('RD Feedstock'!C32,'RD Feedstock'!E32)</f>
        <v>0</v>
      </c>
      <c r="AD34" s="251">
        <f t="shared" si="1"/>
        <v>0</v>
      </c>
    </row>
    <row r="35" spans="1:57">
      <c r="A35" s="11">
        <v>44713</v>
      </c>
      <c r="B35" s="251"/>
      <c r="C35" s="251"/>
      <c r="D35" s="251"/>
      <c r="E35" s="251"/>
      <c r="F35" s="251"/>
      <c r="G35" s="251"/>
      <c r="H35" s="251"/>
      <c r="I35" s="251"/>
      <c r="J35" s="251"/>
      <c r="K35" s="251"/>
      <c r="L35" s="251"/>
      <c r="M35" s="13"/>
      <c r="N35" s="251">
        <f t="shared" si="0"/>
        <v>0</v>
      </c>
      <c r="O35" s="251"/>
      <c r="Y35" s="251">
        <f>SUM('RD Feedstock'!F33,'RD Feedstock'!I33)</f>
        <v>0</v>
      </c>
      <c r="Z35" s="251">
        <f>SUM('RD Feedstock'!G33,'RD Feedstock'!J33)</f>
        <v>0</v>
      </c>
      <c r="AA35" s="251">
        <v>0</v>
      </c>
      <c r="AB35" s="251">
        <f>SUM('RD Feedstock'!B33,'RD Feedstock'!D33,'RD Feedstock'!H33)</f>
        <v>0</v>
      </c>
      <c r="AC35" s="251">
        <f>SUM('RD Feedstock'!C33,'RD Feedstock'!E33)</f>
        <v>0</v>
      </c>
      <c r="AD35" s="251">
        <f t="shared" si="1"/>
        <v>0</v>
      </c>
    </row>
    <row r="36" spans="1:57">
      <c r="A36" s="11">
        <v>44743</v>
      </c>
      <c r="B36" s="251"/>
      <c r="C36" s="251"/>
      <c r="D36" s="251"/>
      <c r="E36" s="251"/>
      <c r="F36" s="251"/>
      <c r="G36" s="251"/>
      <c r="H36" s="251"/>
      <c r="I36" s="251"/>
      <c r="J36" s="251"/>
      <c r="K36" s="251"/>
      <c r="L36" s="251"/>
      <c r="M36" s="13"/>
      <c r="N36" s="251">
        <f t="shared" si="0"/>
        <v>0</v>
      </c>
      <c r="O36" s="251"/>
      <c r="Y36" s="251">
        <f>SUM('RD Feedstock'!F34,'RD Feedstock'!I34)</f>
        <v>0</v>
      </c>
      <c r="Z36" s="251">
        <f>SUM('RD Feedstock'!G34,'RD Feedstock'!J34)</f>
        <v>0</v>
      </c>
      <c r="AA36" s="251">
        <v>0</v>
      </c>
      <c r="AB36" s="251">
        <f>SUM('RD Feedstock'!B34,'RD Feedstock'!D34,'RD Feedstock'!H34)</f>
        <v>0</v>
      </c>
      <c r="AC36" s="251">
        <f>SUM('RD Feedstock'!C34,'RD Feedstock'!E34)</f>
        <v>0</v>
      </c>
      <c r="AD36" s="251">
        <f t="shared" si="1"/>
        <v>0</v>
      </c>
    </row>
    <row r="37" spans="1:57">
      <c r="A37" s="11">
        <v>44774</v>
      </c>
      <c r="B37" s="251"/>
      <c r="C37" s="251"/>
      <c r="D37" s="251"/>
      <c r="E37" s="251"/>
      <c r="F37" s="251"/>
      <c r="G37" s="251"/>
      <c r="H37" s="251"/>
      <c r="I37" s="251"/>
      <c r="J37" s="251"/>
      <c r="K37" s="251"/>
      <c r="L37" s="251"/>
      <c r="M37" s="13"/>
      <c r="N37" s="251">
        <f t="shared" si="0"/>
        <v>0</v>
      </c>
      <c r="O37" s="251"/>
      <c r="Y37" s="251">
        <f>SUM('RD Feedstock'!F35,'RD Feedstock'!I35)</f>
        <v>0</v>
      </c>
      <c r="Z37" s="251">
        <f>SUM('RD Feedstock'!G35,'RD Feedstock'!J35)</f>
        <v>0</v>
      </c>
      <c r="AA37" s="251">
        <v>0</v>
      </c>
      <c r="AB37" s="251">
        <f>SUM('RD Feedstock'!B35,'RD Feedstock'!D35,'RD Feedstock'!H35)</f>
        <v>0</v>
      </c>
      <c r="AC37" s="251">
        <f>SUM('RD Feedstock'!C35,'RD Feedstock'!E35)</f>
        <v>0</v>
      </c>
      <c r="AD37" s="251">
        <f t="shared" si="1"/>
        <v>0</v>
      </c>
    </row>
    <row r="38" spans="1:57">
      <c r="A38" s="11">
        <v>44805</v>
      </c>
      <c r="B38" s="251"/>
      <c r="C38" s="251"/>
      <c r="D38" s="251"/>
      <c r="E38" s="251"/>
      <c r="F38" s="251"/>
      <c r="G38" s="251"/>
      <c r="H38" s="251"/>
      <c r="I38" s="251"/>
      <c r="J38" s="251"/>
      <c r="K38" s="251"/>
      <c r="L38" s="251"/>
      <c r="M38" s="13"/>
      <c r="N38" s="251">
        <f t="shared" ref="N38:N101" si="2">SUM(B38:L38)</f>
        <v>0</v>
      </c>
      <c r="O38" s="251"/>
      <c r="Y38" s="251">
        <f>SUM('RD Feedstock'!F36,'RD Feedstock'!I36)</f>
        <v>0</v>
      </c>
      <c r="Z38" s="251">
        <f>SUM('RD Feedstock'!G36,'RD Feedstock'!J36)</f>
        <v>0</v>
      </c>
      <c r="AA38" s="251">
        <v>0</v>
      </c>
      <c r="AB38" s="251">
        <f>SUM('RD Feedstock'!B36,'RD Feedstock'!D36,'RD Feedstock'!H36)</f>
        <v>0</v>
      </c>
      <c r="AC38" s="251">
        <f>SUM('RD Feedstock'!C36,'RD Feedstock'!E36)</f>
        <v>0</v>
      </c>
      <c r="AD38" s="251">
        <f t="shared" si="1"/>
        <v>0</v>
      </c>
    </row>
    <row r="39" spans="1:57">
      <c r="A39" s="11">
        <v>44835</v>
      </c>
      <c r="B39" s="251"/>
      <c r="C39" s="251"/>
      <c r="D39" s="251"/>
      <c r="E39" s="251"/>
      <c r="F39" s="251"/>
      <c r="G39" s="251"/>
      <c r="H39" s="251"/>
      <c r="I39" s="251"/>
      <c r="J39" s="251"/>
      <c r="K39" s="251"/>
      <c r="L39" s="251"/>
      <c r="M39" s="13"/>
      <c r="N39" s="251">
        <f t="shared" si="2"/>
        <v>0</v>
      </c>
      <c r="O39" s="251"/>
      <c r="Y39" s="251">
        <f>SUM('RD Feedstock'!F37,'RD Feedstock'!I37)</f>
        <v>0</v>
      </c>
      <c r="Z39" s="251">
        <f>SUM('RD Feedstock'!G37,'RD Feedstock'!J37)</f>
        <v>0</v>
      </c>
      <c r="AA39" s="251">
        <v>0</v>
      </c>
      <c r="AB39" s="251">
        <f>SUM('RD Feedstock'!B37,'RD Feedstock'!D37,'RD Feedstock'!H37)</f>
        <v>0</v>
      </c>
      <c r="AC39" s="251">
        <f>SUM('RD Feedstock'!C37,'RD Feedstock'!E37)</f>
        <v>0</v>
      </c>
      <c r="AD39" s="251">
        <f t="shared" si="1"/>
        <v>0</v>
      </c>
    </row>
    <row r="40" spans="1:57">
      <c r="A40" s="11">
        <v>44866</v>
      </c>
      <c r="B40" s="251"/>
      <c r="C40" s="251"/>
      <c r="D40" s="251"/>
      <c r="E40" s="251"/>
      <c r="F40" s="251"/>
      <c r="G40" s="251"/>
      <c r="H40" s="251"/>
      <c r="I40" s="251"/>
      <c r="J40" s="251"/>
      <c r="K40" s="251"/>
      <c r="L40" s="251"/>
      <c r="M40" s="13"/>
      <c r="N40" s="251">
        <f t="shared" si="2"/>
        <v>0</v>
      </c>
      <c r="O40" s="251"/>
      <c r="Y40" s="251">
        <f>SUM('RD Feedstock'!F38,'RD Feedstock'!I38)</f>
        <v>0</v>
      </c>
      <c r="Z40" s="251">
        <f>SUM('RD Feedstock'!G38,'RD Feedstock'!J38)</f>
        <v>0</v>
      </c>
      <c r="AA40" s="251">
        <v>0</v>
      </c>
      <c r="AB40" s="251">
        <f>SUM('RD Feedstock'!B38,'RD Feedstock'!D38,'RD Feedstock'!H38)</f>
        <v>0</v>
      </c>
      <c r="AC40" s="251">
        <f>SUM('RD Feedstock'!C38,'RD Feedstock'!E38)</f>
        <v>0</v>
      </c>
      <c r="AD40" s="251">
        <f t="shared" si="1"/>
        <v>0</v>
      </c>
    </row>
    <row r="41" spans="1:57">
      <c r="A41" s="11">
        <v>44896</v>
      </c>
      <c r="B41" s="251"/>
      <c r="C41" s="251"/>
      <c r="D41" s="251"/>
      <c r="E41" s="251"/>
      <c r="F41" s="251"/>
      <c r="G41" s="251"/>
      <c r="H41" s="251"/>
      <c r="I41" s="251"/>
      <c r="J41" s="251"/>
      <c r="K41" s="251"/>
      <c r="L41" s="251"/>
      <c r="M41" s="13"/>
      <c r="N41" s="251">
        <f t="shared" si="2"/>
        <v>0</v>
      </c>
      <c r="O41" s="251"/>
      <c r="Y41" s="251">
        <f>SUM('RD Feedstock'!F39,'RD Feedstock'!I39)</f>
        <v>0</v>
      </c>
      <c r="Z41" s="251">
        <f>SUM('RD Feedstock'!G39,'RD Feedstock'!J39)</f>
        <v>0</v>
      </c>
      <c r="AA41" s="251">
        <v>0</v>
      </c>
      <c r="AB41" s="251">
        <f>SUM('RD Feedstock'!B39,'RD Feedstock'!D39,'RD Feedstock'!H39)</f>
        <v>0</v>
      </c>
      <c r="AC41" s="251">
        <f>SUM('RD Feedstock'!C39,'RD Feedstock'!E39)</f>
        <v>0</v>
      </c>
      <c r="AD41" s="251">
        <f t="shared" si="1"/>
        <v>0</v>
      </c>
    </row>
    <row r="42" spans="1:57">
      <c r="A42" s="11">
        <v>44927</v>
      </c>
      <c r="B42" s="251"/>
      <c r="C42" s="251"/>
      <c r="D42" s="251"/>
      <c r="E42" s="251"/>
      <c r="F42" s="251"/>
      <c r="G42" s="251"/>
      <c r="H42" s="251"/>
      <c r="I42" s="251"/>
      <c r="J42" s="251"/>
      <c r="K42" s="251"/>
      <c r="L42" s="251"/>
      <c r="M42" s="13"/>
      <c r="N42" s="251">
        <f t="shared" si="2"/>
        <v>0</v>
      </c>
      <c r="O42" s="251"/>
      <c r="Y42" s="251">
        <f>SUM('RD Feedstock'!F40,'RD Feedstock'!I40)</f>
        <v>0</v>
      </c>
      <c r="Z42" s="251">
        <f>SUM('RD Feedstock'!G40,'RD Feedstock'!J40)</f>
        <v>0</v>
      </c>
      <c r="AA42" s="251">
        <v>0</v>
      </c>
      <c r="AB42" s="251">
        <f>SUM('RD Feedstock'!B40,'RD Feedstock'!D40,'RD Feedstock'!H40)</f>
        <v>0</v>
      </c>
      <c r="AC42" s="251">
        <f>SUM('RD Feedstock'!C40,'RD Feedstock'!E40)</f>
        <v>0</v>
      </c>
      <c r="AD42" s="251">
        <f t="shared" si="1"/>
        <v>0</v>
      </c>
    </row>
    <row r="43" spans="1:57">
      <c r="A43" s="11">
        <v>44958</v>
      </c>
      <c r="B43" s="251"/>
      <c r="C43" s="251"/>
      <c r="D43" s="251"/>
      <c r="E43" s="251"/>
      <c r="F43" s="251"/>
      <c r="G43" s="251"/>
      <c r="H43" s="251"/>
      <c r="I43" s="251"/>
      <c r="J43" s="251"/>
      <c r="K43" s="251"/>
      <c r="L43" s="251"/>
      <c r="M43" s="13"/>
      <c r="N43" s="251">
        <f t="shared" si="2"/>
        <v>0</v>
      </c>
      <c r="O43" s="251"/>
      <c r="Y43" s="251">
        <f>SUM('RD Feedstock'!F41,'RD Feedstock'!I41)</f>
        <v>0</v>
      </c>
      <c r="Z43" s="251">
        <f>SUM('RD Feedstock'!G41,'RD Feedstock'!J41)</f>
        <v>0</v>
      </c>
      <c r="AA43" s="251">
        <v>0</v>
      </c>
      <c r="AB43" s="251">
        <f>SUM('RD Feedstock'!B41,'RD Feedstock'!D41,'RD Feedstock'!H41)</f>
        <v>0</v>
      </c>
      <c r="AC43" s="251">
        <f>SUM('RD Feedstock'!C41,'RD Feedstock'!E41)</f>
        <v>0</v>
      </c>
      <c r="AD43" s="251">
        <f t="shared" si="1"/>
        <v>0</v>
      </c>
    </row>
    <row r="44" spans="1:57">
      <c r="A44" s="11">
        <v>44986</v>
      </c>
      <c r="B44" s="251"/>
      <c r="C44" s="251"/>
      <c r="D44" s="251"/>
      <c r="E44" s="251"/>
      <c r="F44" s="251"/>
      <c r="G44" s="251"/>
      <c r="H44" s="251"/>
      <c r="I44" s="251"/>
      <c r="J44" s="251"/>
      <c r="K44" s="251"/>
      <c r="L44" s="251"/>
      <c r="M44" s="13"/>
      <c r="N44" s="251">
        <f t="shared" si="2"/>
        <v>0</v>
      </c>
      <c r="O44" s="251"/>
      <c r="Y44" s="251">
        <f>SUM('RD Feedstock'!F42,'RD Feedstock'!I42)</f>
        <v>0</v>
      </c>
      <c r="Z44" s="251">
        <f>SUM('RD Feedstock'!G42,'RD Feedstock'!J42)</f>
        <v>0</v>
      </c>
      <c r="AA44" s="251">
        <v>0</v>
      </c>
      <c r="AB44" s="251">
        <f>SUM('RD Feedstock'!B42,'RD Feedstock'!D42,'RD Feedstock'!H42)</f>
        <v>0</v>
      </c>
      <c r="AC44" s="251">
        <f>SUM('RD Feedstock'!C42,'RD Feedstock'!E42)</f>
        <v>0</v>
      </c>
      <c r="AD44" s="251">
        <f t="shared" si="1"/>
        <v>0</v>
      </c>
    </row>
    <row r="45" spans="1:57">
      <c r="A45" s="11">
        <v>45017</v>
      </c>
      <c r="B45" s="251"/>
      <c r="C45" s="251"/>
      <c r="D45" s="251">
        <v>1</v>
      </c>
      <c r="E45" s="251"/>
      <c r="F45" s="251">
        <v>10</v>
      </c>
      <c r="G45" s="251"/>
      <c r="H45" s="251"/>
      <c r="I45" s="251"/>
      <c r="J45" s="251"/>
      <c r="K45" s="251"/>
      <c r="L45" s="251"/>
      <c r="M45" s="13"/>
      <c r="N45" s="251">
        <f t="shared" si="2"/>
        <v>11</v>
      </c>
      <c r="O45" s="251">
        <f>'BBD Monthly Production'!O24*12</f>
        <v>6.4094513169557228</v>
      </c>
      <c r="P45" s="271">
        <f t="shared" ref="P45:P108" si="3">O45/N45</f>
        <v>0.5826773924505203</v>
      </c>
      <c r="Y45" s="251">
        <f>SUM('RD Feedstock'!F43,'RD Feedstock'!I43)</f>
        <v>5.1906249999999998</v>
      </c>
      <c r="Z45" s="251">
        <f>SUM('RD Feedstock'!G43,'RD Feedstock'!J43)</f>
        <v>1.71875</v>
      </c>
      <c r="AA45" s="251">
        <v>0</v>
      </c>
      <c r="AB45" s="251">
        <f>SUM('RD Feedstock'!B43,'RD Feedstock'!D43,'RD Feedstock'!H43)</f>
        <v>0</v>
      </c>
      <c r="AC45" s="251">
        <f>SUM('RD Feedstock'!C43,'RD Feedstock'!E43)</f>
        <v>0</v>
      </c>
      <c r="AD45" s="251">
        <f t="shared" si="1"/>
        <v>6.9093749999999998</v>
      </c>
      <c r="AH45" s="237">
        <f t="shared" ref="AH45:AL60" si="4">Y45/$AD45</f>
        <v>0.75124378109452739</v>
      </c>
      <c r="AI45" s="237">
        <f t="shared" si="4"/>
        <v>0.24875621890547264</v>
      </c>
      <c r="AJ45" s="237">
        <f t="shared" si="4"/>
        <v>0</v>
      </c>
      <c r="AU45" s="251">
        <f>(($O46/12)*(AH45*Y$5))/2204.622*1000000</f>
        <v>4910.4164370834751</v>
      </c>
      <c r="AV45" s="251">
        <f t="shared" ref="AV45:AY60" si="5">(($O45/12)*(AI45*Z$5))/2204.622*1000000</f>
        <v>482.73849620121979</v>
      </c>
      <c r="AW45" s="251">
        <f t="shared" si="5"/>
        <v>0</v>
      </c>
      <c r="AX45" s="251">
        <f t="shared" si="5"/>
        <v>0</v>
      </c>
      <c r="AY45" s="251">
        <f t="shared" si="5"/>
        <v>0</v>
      </c>
      <c r="AZ45" s="251">
        <f>SUM(AU45:AY45)</f>
        <v>5393.1549332846953</v>
      </c>
      <c r="BA45" s="270">
        <f>(AZ45*2204.622/1000000)/(O45/12)</f>
        <v>22.260628738452326</v>
      </c>
      <c r="BB45" s="251">
        <f>SUM(AU45:AW45)</f>
        <v>5393.1549332846953</v>
      </c>
      <c r="BC45" s="251">
        <f>SUM(AX45:AY45)</f>
        <v>0</v>
      </c>
      <c r="BD45" s="287"/>
      <c r="BE45" s="270"/>
    </row>
    <row r="46" spans="1:57">
      <c r="A46" s="11">
        <v>45047</v>
      </c>
      <c r="B46" s="251"/>
      <c r="C46" s="251"/>
      <c r="D46" s="251">
        <v>3</v>
      </c>
      <c r="E46" s="251"/>
      <c r="F46" s="251">
        <v>25</v>
      </c>
      <c r="G46" s="251"/>
      <c r="H46" s="251"/>
      <c r="I46" s="251"/>
      <c r="J46" s="251"/>
      <c r="K46" s="251"/>
      <c r="L46" s="251"/>
      <c r="M46" s="13"/>
      <c r="N46" s="251">
        <f t="shared" si="2"/>
        <v>28</v>
      </c>
      <c r="O46" s="251">
        <f>'BBD Monthly Production'!O25*12</f>
        <v>18.435290247342021</v>
      </c>
      <c r="P46" s="271">
        <f t="shared" si="3"/>
        <v>0.65840322311935784</v>
      </c>
      <c r="Y46" s="251">
        <f>SUM('RD Feedstock'!F44,'RD Feedstock'!I44)</f>
        <v>13.2125</v>
      </c>
      <c r="Z46" s="251">
        <f>SUM('RD Feedstock'!G44,'RD Feedstock'!J44)</f>
        <v>4.375</v>
      </c>
      <c r="AA46" s="251">
        <v>0</v>
      </c>
      <c r="AB46" s="251">
        <f>SUM('RD Feedstock'!B44,'RD Feedstock'!D44,'RD Feedstock'!H44)</f>
        <v>0</v>
      </c>
      <c r="AC46" s="251">
        <f>SUM('RD Feedstock'!C44,'RD Feedstock'!E44)</f>
        <v>0</v>
      </c>
      <c r="AD46" s="251">
        <f t="shared" si="1"/>
        <v>17.587499999999999</v>
      </c>
      <c r="AH46" s="237">
        <f t="shared" si="4"/>
        <v>0.7512437810945275</v>
      </c>
      <c r="AI46" s="237">
        <f t="shared" si="4"/>
        <v>0.24875621890547267</v>
      </c>
      <c r="AJ46" s="237">
        <f t="shared" si="4"/>
        <v>0</v>
      </c>
      <c r="AK46" s="237">
        <f>AB46/$AD46</f>
        <v>0</v>
      </c>
      <c r="AL46" s="237">
        <f>AC46/$AD46</f>
        <v>0</v>
      </c>
      <c r="AM46" s="237">
        <f>SUM(AH46:AL46)</f>
        <v>1.0000000000000002</v>
      </c>
      <c r="AO46" s="237">
        <f>Y46/SUM($Y46:$AA46)</f>
        <v>0.7512437810945275</v>
      </c>
      <c r="AP46" s="237">
        <f>Z46/SUM($Y46:$AA46)</f>
        <v>0.24875621890547267</v>
      </c>
      <c r="AQ46" s="237">
        <f>AA46/SUM($Y46:$AA46)</f>
        <v>0</v>
      </c>
      <c r="AR46" s="237"/>
      <c r="AS46" s="237"/>
      <c r="AU46" s="251">
        <f>(($O46/12)*(AH46*Y$5))/2204.622*1000000</f>
        <v>4910.4164370834751</v>
      </c>
      <c r="AV46" s="251">
        <f t="shared" si="5"/>
        <v>1388.4845755037009</v>
      </c>
      <c r="AW46" s="251">
        <f t="shared" si="5"/>
        <v>0</v>
      </c>
      <c r="AX46" s="251">
        <f t="shared" si="5"/>
        <v>0</v>
      </c>
      <c r="AY46" s="251">
        <f t="shared" si="5"/>
        <v>0</v>
      </c>
      <c r="AZ46" s="251">
        <f t="shared" ref="AZ46:AZ64" si="6">SUM(AU46:AY46)</f>
        <v>6298.9010125871755</v>
      </c>
      <c r="BA46" s="270">
        <f>(AZ46*2204.622/1000000)/(O46/12)</f>
        <v>9.0392039800995043</v>
      </c>
      <c r="BB46" s="251">
        <f t="shared" ref="BB46:BB109" si="7">SUM(AU46:AW46)</f>
        <v>6298.9010125871755</v>
      </c>
      <c r="BC46" s="251">
        <f t="shared" ref="BC46:BC109" si="8">SUM(AX46:AY46)</f>
        <v>0</v>
      </c>
      <c r="BD46" s="251"/>
      <c r="BE46" s="270"/>
    </row>
    <row r="47" spans="1:57">
      <c r="A47" s="11">
        <v>45078</v>
      </c>
      <c r="B47" s="251"/>
      <c r="C47" s="251"/>
      <c r="D47" s="251">
        <v>5</v>
      </c>
      <c r="E47" s="251"/>
      <c r="F47" s="251">
        <v>44</v>
      </c>
      <c r="G47" s="251"/>
      <c r="H47" s="251"/>
      <c r="I47" s="251"/>
      <c r="J47" s="251"/>
      <c r="K47" s="251"/>
      <c r="L47" s="251"/>
      <c r="M47" s="13"/>
      <c r="N47" s="251">
        <f t="shared" si="2"/>
        <v>49</v>
      </c>
      <c r="O47" s="251">
        <f>'BBD Monthly Production'!O26*12</f>
        <v>32.771985707512123</v>
      </c>
      <c r="P47" s="271">
        <f t="shared" si="3"/>
        <v>0.66881603484718621</v>
      </c>
      <c r="Y47" s="251">
        <f>SUM('RD Feedstock'!F45,'RD Feedstock'!I45)</f>
        <v>23.121874999999999</v>
      </c>
      <c r="Z47" s="251">
        <f>SUM('RD Feedstock'!G45,'RD Feedstock'!J45)</f>
        <v>7.65625</v>
      </c>
      <c r="AA47" s="251">
        <v>0</v>
      </c>
      <c r="AB47" s="251">
        <f>SUM('RD Feedstock'!B45,'RD Feedstock'!D45,'RD Feedstock'!H45)</f>
        <v>0</v>
      </c>
      <c r="AC47" s="251">
        <f>SUM('RD Feedstock'!C45,'RD Feedstock'!E45)</f>
        <v>0</v>
      </c>
      <c r="AD47" s="251">
        <f t="shared" si="1"/>
        <v>30.778124999999999</v>
      </c>
      <c r="AH47" s="237">
        <f t="shared" si="4"/>
        <v>0.75124378109452739</v>
      </c>
      <c r="AI47" s="237">
        <f t="shared" si="4"/>
        <v>0.24875621890547264</v>
      </c>
      <c r="AJ47" s="237">
        <f t="shared" si="4"/>
        <v>0</v>
      </c>
      <c r="AK47" s="237">
        <f t="shared" si="4"/>
        <v>0</v>
      </c>
      <c r="AL47" s="237">
        <f t="shared" si="4"/>
        <v>0</v>
      </c>
      <c r="AM47" s="237">
        <f t="shared" ref="AM47:AM110" si="9">SUM(AH47:AL47)</f>
        <v>1</v>
      </c>
      <c r="AO47" s="237">
        <f t="shared" ref="AO47:AO110" si="10">Y47/SUM($Y47:$AA47)</f>
        <v>0.75124378109452739</v>
      </c>
      <c r="AP47" s="237">
        <f t="shared" ref="AP47:AP110" si="11">Z47/SUM($Y47:$AA47)</f>
        <v>0.24875621890547264</v>
      </c>
      <c r="AQ47" s="237">
        <f t="shared" ref="AQ47:AQ110" si="12">AA47/SUM($Y47:$AA47)</f>
        <v>0</v>
      </c>
      <c r="AR47" s="237"/>
      <c r="AS47" s="237"/>
      <c r="AU47" s="251">
        <f t="shared" ref="AU47:AY65" si="13">(($O47/12)*(AH47*Y$5))/2204.622*1000000</f>
        <v>8729.1328281220904</v>
      </c>
      <c r="AV47" s="251">
        <f t="shared" si="5"/>
        <v>2468.27666139235</v>
      </c>
      <c r="AW47" s="251">
        <f t="shared" si="5"/>
        <v>0</v>
      </c>
      <c r="AX47" s="251">
        <f t="shared" si="5"/>
        <v>0</v>
      </c>
      <c r="AY47" s="251">
        <f t="shared" si="5"/>
        <v>0</v>
      </c>
      <c r="AZ47" s="251">
        <f t="shared" si="6"/>
        <v>11197.409489514441</v>
      </c>
      <c r="BA47" s="270">
        <f t="shared" ref="BA47:BA110" si="14">(AZ47*2204.622/1000000)/(O47/12)</f>
        <v>9.0392039800995025</v>
      </c>
      <c r="BB47" s="251">
        <f t="shared" si="7"/>
        <v>11197.409489514441</v>
      </c>
      <c r="BC47" s="251">
        <f t="shared" si="8"/>
        <v>0</v>
      </c>
      <c r="BD47" s="251"/>
      <c r="BE47" s="270"/>
    </row>
    <row r="48" spans="1:57">
      <c r="A48" s="11">
        <v>45108</v>
      </c>
      <c r="B48" s="251"/>
      <c r="C48" s="251"/>
      <c r="D48" s="251">
        <v>5</v>
      </c>
      <c r="E48" s="251"/>
      <c r="F48" s="251">
        <v>44</v>
      </c>
      <c r="G48" s="251"/>
      <c r="H48" s="251"/>
      <c r="I48" s="251"/>
      <c r="J48" s="251"/>
      <c r="K48" s="251"/>
      <c r="L48" s="251"/>
      <c r="M48" s="13"/>
      <c r="N48" s="251">
        <f t="shared" si="2"/>
        <v>49</v>
      </c>
      <c r="O48" s="251">
        <f>'BBD Monthly Production'!O27*12</f>
        <v>31.761753566513679</v>
      </c>
      <c r="P48" s="271">
        <f t="shared" si="3"/>
        <v>0.64819905237783015</v>
      </c>
      <c r="Y48" s="251">
        <f>SUM('RD Feedstock'!F46,'RD Feedstock'!I46)</f>
        <v>23.121874999999999</v>
      </c>
      <c r="Z48" s="251">
        <f>SUM('RD Feedstock'!G46,'RD Feedstock'!J46)</f>
        <v>7.65625</v>
      </c>
      <c r="AA48" s="251">
        <v>0</v>
      </c>
      <c r="AB48" s="251">
        <f>SUM('RD Feedstock'!B46,'RD Feedstock'!D46,'RD Feedstock'!H46)</f>
        <v>0</v>
      </c>
      <c r="AC48" s="251">
        <f>SUM('RD Feedstock'!C46,'RD Feedstock'!E46)</f>
        <v>0</v>
      </c>
      <c r="AD48" s="251">
        <f t="shared" si="1"/>
        <v>30.778124999999999</v>
      </c>
      <c r="AH48" s="237">
        <f t="shared" si="4"/>
        <v>0.75124378109452739</v>
      </c>
      <c r="AI48" s="237">
        <f t="shared" si="4"/>
        <v>0.24875621890547264</v>
      </c>
      <c r="AJ48" s="237">
        <f t="shared" si="4"/>
        <v>0</v>
      </c>
      <c r="AK48" s="237">
        <f t="shared" si="4"/>
        <v>0</v>
      </c>
      <c r="AL48" s="237">
        <f t="shared" si="4"/>
        <v>0</v>
      </c>
      <c r="AM48" s="237">
        <f t="shared" si="9"/>
        <v>1</v>
      </c>
      <c r="AO48" s="237">
        <f t="shared" si="10"/>
        <v>0.75124378109452739</v>
      </c>
      <c r="AP48" s="237">
        <f t="shared" si="11"/>
        <v>0.24875621890547264</v>
      </c>
      <c r="AQ48" s="237">
        <f t="shared" si="12"/>
        <v>0</v>
      </c>
      <c r="AR48" s="237"/>
      <c r="AS48" s="237"/>
      <c r="AU48" s="251">
        <f t="shared" si="13"/>
        <v>8460.047804568203</v>
      </c>
      <c r="AV48" s="251">
        <f t="shared" si="5"/>
        <v>2392.1893458885079</v>
      </c>
      <c r="AW48" s="251">
        <f t="shared" si="5"/>
        <v>0</v>
      </c>
      <c r="AX48" s="251">
        <f t="shared" si="5"/>
        <v>0</v>
      </c>
      <c r="AY48" s="251">
        <f t="shared" si="5"/>
        <v>0</v>
      </c>
      <c r="AZ48" s="251">
        <f>SUM(AU48:AY48)</f>
        <v>10852.237150456711</v>
      </c>
      <c r="BA48" s="270">
        <f>(AZ48*2204.622/1000000)/(O48/12)</f>
        <v>9.0392039800995043</v>
      </c>
      <c r="BB48" s="251">
        <f t="shared" si="7"/>
        <v>10852.237150456711</v>
      </c>
      <c r="BC48" s="251">
        <f t="shared" si="8"/>
        <v>0</v>
      </c>
      <c r="BD48" s="251"/>
      <c r="BE48" s="270"/>
    </row>
    <row r="49" spans="1:57">
      <c r="A49" s="11">
        <v>45139</v>
      </c>
      <c r="B49" s="251"/>
      <c r="C49" s="251"/>
      <c r="D49" s="251">
        <v>5</v>
      </c>
      <c r="E49" s="251"/>
      <c r="F49" s="251">
        <v>44</v>
      </c>
      <c r="G49" s="251"/>
      <c r="H49" s="251"/>
      <c r="I49" s="251"/>
      <c r="J49" s="251"/>
      <c r="K49" s="251"/>
      <c r="L49" s="251"/>
      <c r="M49" s="13"/>
      <c r="N49" s="251">
        <f t="shared" si="2"/>
        <v>49</v>
      </c>
      <c r="O49" s="251">
        <f>'BBD Monthly Production'!O28*12</f>
        <v>28.625767281411569</v>
      </c>
      <c r="P49" s="271">
        <f t="shared" si="3"/>
        <v>0.58419933227370546</v>
      </c>
      <c r="Y49" s="251">
        <f>SUM('RD Feedstock'!F47,'RD Feedstock'!I47)</f>
        <v>23.121874999999999</v>
      </c>
      <c r="Z49" s="251">
        <f>SUM('RD Feedstock'!G47,'RD Feedstock'!J47)</f>
        <v>7.65625</v>
      </c>
      <c r="AA49" s="251">
        <v>0</v>
      </c>
      <c r="AB49" s="251">
        <f>SUM('RD Feedstock'!B47,'RD Feedstock'!D47,'RD Feedstock'!H47)</f>
        <v>0</v>
      </c>
      <c r="AC49" s="251">
        <f>SUM('RD Feedstock'!C47,'RD Feedstock'!E47)</f>
        <v>0</v>
      </c>
      <c r="AD49" s="251">
        <f t="shared" si="1"/>
        <v>30.778124999999999</v>
      </c>
      <c r="AH49" s="237">
        <f t="shared" si="4"/>
        <v>0.75124378109452739</v>
      </c>
      <c r="AI49" s="237">
        <f t="shared" si="4"/>
        <v>0.24875621890547264</v>
      </c>
      <c r="AJ49" s="237">
        <f t="shared" si="4"/>
        <v>0</v>
      </c>
      <c r="AK49" s="237">
        <f t="shared" si="4"/>
        <v>0</v>
      </c>
      <c r="AL49" s="237">
        <f t="shared" si="4"/>
        <v>0</v>
      </c>
      <c r="AM49" s="237">
        <f t="shared" si="9"/>
        <v>1</v>
      </c>
      <c r="AO49" s="237">
        <f t="shared" si="10"/>
        <v>0.75124378109452739</v>
      </c>
      <c r="AP49" s="237">
        <f t="shared" si="11"/>
        <v>0.24875621890547264</v>
      </c>
      <c r="AQ49" s="237">
        <f t="shared" si="12"/>
        <v>0</v>
      </c>
      <c r="AR49" s="237"/>
      <c r="AS49" s="237"/>
      <c r="AU49" s="251">
        <f t="shared" si="13"/>
        <v>7624.747768917613</v>
      </c>
      <c r="AV49" s="251">
        <f t="shared" si="5"/>
        <v>2155.9973181289647</v>
      </c>
      <c r="AW49" s="251">
        <f t="shared" si="5"/>
        <v>0</v>
      </c>
      <c r="AX49" s="251">
        <f t="shared" si="5"/>
        <v>0</v>
      </c>
      <c r="AY49" s="251">
        <f t="shared" si="5"/>
        <v>0</v>
      </c>
      <c r="AZ49" s="251">
        <f>SUM(AU49:AY49)</f>
        <v>9780.7450870465782</v>
      </c>
      <c r="BA49" s="270">
        <f>(AZ49*2204.622/1000000)/(O49/12)</f>
        <v>9.0392039800995025</v>
      </c>
      <c r="BB49" s="251">
        <f t="shared" si="7"/>
        <v>9780.7450870465782</v>
      </c>
      <c r="BC49" s="251">
        <f t="shared" si="8"/>
        <v>0</v>
      </c>
      <c r="BD49" s="251"/>
      <c r="BE49" s="270"/>
    </row>
    <row r="50" spans="1:57">
      <c r="A50" s="11">
        <v>45170</v>
      </c>
      <c r="B50" s="251"/>
      <c r="C50" s="251"/>
      <c r="D50" s="251">
        <v>5</v>
      </c>
      <c r="E50" s="251"/>
      <c r="F50" s="251">
        <v>44</v>
      </c>
      <c r="G50" s="251"/>
      <c r="H50" s="251"/>
      <c r="I50" s="251"/>
      <c r="J50" s="251"/>
      <c r="K50" s="251"/>
      <c r="L50" s="251"/>
      <c r="M50" s="13"/>
      <c r="N50" s="251">
        <f t="shared" si="2"/>
        <v>49</v>
      </c>
      <c r="O50" s="251">
        <f>'BBD Monthly Production'!O29*12</f>
        <v>26.339669752530899</v>
      </c>
      <c r="P50" s="271">
        <f t="shared" si="3"/>
        <v>0.53754428066389592</v>
      </c>
      <c r="Y50" s="251">
        <f>SUM('RD Feedstock'!F48,'RD Feedstock'!I48)</f>
        <v>23.121874999999999</v>
      </c>
      <c r="Z50" s="251">
        <f>SUM('RD Feedstock'!G48,'RD Feedstock'!J48)</f>
        <v>7.65625</v>
      </c>
      <c r="AA50" s="251">
        <v>0</v>
      </c>
      <c r="AB50" s="251">
        <f>SUM('RD Feedstock'!B48,'RD Feedstock'!D48,'RD Feedstock'!H48)</f>
        <v>0</v>
      </c>
      <c r="AC50" s="251">
        <f>SUM('RD Feedstock'!C48,'RD Feedstock'!E48)</f>
        <v>0</v>
      </c>
      <c r="AD50" s="251">
        <f t="shared" si="1"/>
        <v>30.778124999999999</v>
      </c>
      <c r="AH50" s="237">
        <f t="shared" si="4"/>
        <v>0.75124378109452739</v>
      </c>
      <c r="AI50" s="237">
        <f t="shared" si="4"/>
        <v>0.24875621890547264</v>
      </c>
      <c r="AJ50" s="237">
        <f t="shared" si="4"/>
        <v>0</v>
      </c>
      <c r="AK50" s="237">
        <f t="shared" si="4"/>
        <v>0</v>
      </c>
      <c r="AL50" s="237">
        <f t="shared" si="4"/>
        <v>0</v>
      </c>
      <c r="AM50" s="237">
        <f t="shared" si="9"/>
        <v>1</v>
      </c>
      <c r="AO50" s="237">
        <f t="shared" si="10"/>
        <v>0.75124378109452739</v>
      </c>
      <c r="AP50" s="237">
        <f t="shared" si="11"/>
        <v>0.24875621890547264</v>
      </c>
      <c r="AQ50" s="237">
        <f t="shared" si="12"/>
        <v>0</v>
      </c>
      <c r="AR50" s="237"/>
      <c r="AS50" s="237"/>
      <c r="AU50" s="251">
        <f t="shared" si="13"/>
        <v>7015.8237578508461</v>
      </c>
      <c r="AV50" s="251">
        <f t="shared" si="5"/>
        <v>1983.8160769138674</v>
      </c>
      <c r="AW50" s="251">
        <f t="shared" si="5"/>
        <v>0</v>
      </c>
      <c r="AX50" s="251">
        <f t="shared" si="5"/>
        <v>0</v>
      </c>
      <c r="AY50" s="251">
        <f t="shared" si="5"/>
        <v>0</v>
      </c>
      <c r="AZ50" s="251">
        <f t="shared" si="6"/>
        <v>8999.6398347647137</v>
      </c>
      <c r="BA50" s="270">
        <f t="shared" si="14"/>
        <v>9.0392039800995025</v>
      </c>
      <c r="BB50" s="251">
        <f t="shared" si="7"/>
        <v>8999.6398347647137</v>
      </c>
      <c r="BC50" s="251">
        <f t="shared" si="8"/>
        <v>0</v>
      </c>
      <c r="BD50" s="251"/>
      <c r="BE50" s="270"/>
    </row>
    <row r="51" spans="1:57">
      <c r="A51" s="11">
        <v>45200</v>
      </c>
      <c r="B51" s="251"/>
      <c r="C51" s="251"/>
      <c r="D51" s="251">
        <v>5</v>
      </c>
      <c r="E51" s="251"/>
      <c r="F51" s="251">
        <v>44</v>
      </c>
      <c r="G51" s="251"/>
      <c r="H51" s="251"/>
      <c r="I51" s="251"/>
      <c r="J51" s="251"/>
      <c r="K51" s="251"/>
      <c r="L51" s="251"/>
      <c r="M51" s="13"/>
      <c r="N51" s="251">
        <f t="shared" si="2"/>
        <v>49</v>
      </c>
      <c r="O51" s="251">
        <f>'BBD Monthly Production'!O30*12</f>
        <v>28.031189236573248</v>
      </c>
      <c r="P51" s="271">
        <f t="shared" si="3"/>
        <v>0.57206508646067855</v>
      </c>
      <c r="Y51" s="251">
        <f>SUM('RD Feedstock'!F49,'RD Feedstock'!I49)</f>
        <v>23.121874999999999</v>
      </c>
      <c r="Z51" s="251">
        <f>SUM('RD Feedstock'!G49,'RD Feedstock'!J49)</f>
        <v>7.65625</v>
      </c>
      <c r="AA51" s="251">
        <v>0</v>
      </c>
      <c r="AB51" s="251">
        <f>SUM('RD Feedstock'!B49,'RD Feedstock'!D49,'RD Feedstock'!H49)</f>
        <v>0</v>
      </c>
      <c r="AC51" s="251">
        <f>SUM('RD Feedstock'!C49,'RD Feedstock'!E49)</f>
        <v>0</v>
      </c>
      <c r="AD51" s="251">
        <f t="shared" si="1"/>
        <v>30.778124999999999</v>
      </c>
      <c r="AH51" s="237">
        <f t="shared" si="4"/>
        <v>0.75124378109452739</v>
      </c>
      <c r="AI51" s="237">
        <f t="shared" si="4"/>
        <v>0.24875621890547264</v>
      </c>
      <c r="AJ51" s="237">
        <f t="shared" si="4"/>
        <v>0</v>
      </c>
      <c r="AK51" s="237">
        <f t="shared" si="4"/>
        <v>0</v>
      </c>
      <c r="AL51" s="237">
        <f t="shared" si="4"/>
        <v>0</v>
      </c>
      <c r="AM51" s="237">
        <f t="shared" si="9"/>
        <v>1</v>
      </c>
      <c r="AO51" s="237">
        <f t="shared" si="10"/>
        <v>0.75124378109452739</v>
      </c>
      <c r="AP51" s="237">
        <f t="shared" si="11"/>
        <v>0.24875621890547264</v>
      </c>
      <c r="AQ51" s="237">
        <f t="shared" si="12"/>
        <v>0</v>
      </c>
      <c r="AR51" s="237"/>
      <c r="AS51" s="237"/>
      <c r="AU51" s="251">
        <f t="shared" si="13"/>
        <v>7466.3762019213191</v>
      </c>
      <c r="AV51" s="251">
        <f>(($O51/12)*(AI51*Z$5))/2204.622*1000000</f>
        <v>2111.2156828460497</v>
      </c>
      <c r="AW51" s="251">
        <f t="shared" si="5"/>
        <v>0</v>
      </c>
      <c r="AX51" s="251">
        <f t="shared" si="5"/>
        <v>0</v>
      </c>
      <c r="AY51" s="251">
        <f t="shared" si="5"/>
        <v>0</v>
      </c>
      <c r="AZ51" s="251">
        <f t="shared" si="6"/>
        <v>9577.5918847673693</v>
      </c>
      <c r="BA51" s="270">
        <f t="shared" si="14"/>
        <v>9.0392039800995025</v>
      </c>
      <c r="BB51" s="251">
        <f t="shared" si="7"/>
        <v>9577.5918847673693</v>
      </c>
      <c r="BC51" s="251">
        <f t="shared" si="8"/>
        <v>0</v>
      </c>
      <c r="BD51" s="251"/>
      <c r="BE51" s="270"/>
    </row>
    <row r="52" spans="1:57">
      <c r="A52" s="11">
        <v>45231</v>
      </c>
      <c r="B52" s="251"/>
      <c r="C52" s="251"/>
      <c r="D52" s="251">
        <v>5</v>
      </c>
      <c r="E52" s="251"/>
      <c r="F52" s="251">
        <v>44</v>
      </c>
      <c r="G52" s="251"/>
      <c r="H52" s="251"/>
      <c r="I52" s="251"/>
      <c r="J52" s="251"/>
      <c r="K52" s="251"/>
      <c r="L52" s="251"/>
      <c r="M52" s="13"/>
      <c r="N52" s="251">
        <f t="shared" si="2"/>
        <v>49</v>
      </c>
      <c r="O52" s="251">
        <f>'BBD Monthly Production'!O31*12</f>
        <v>36.745473706234876</v>
      </c>
      <c r="P52" s="271">
        <f t="shared" si="3"/>
        <v>0.7499076266578546</v>
      </c>
      <c r="Y52" s="251">
        <f>SUM('RD Feedstock'!F50,'RD Feedstock'!I50)</f>
        <v>23.121874999999999</v>
      </c>
      <c r="Z52" s="251">
        <f>SUM('RD Feedstock'!G50,'RD Feedstock'!J50)</f>
        <v>7.65625</v>
      </c>
      <c r="AA52" s="251">
        <v>0</v>
      </c>
      <c r="AB52" s="251">
        <f>SUM('RD Feedstock'!B50,'RD Feedstock'!D50,'RD Feedstock'!H50)</f>
        <v>0</v>
      </c>
      <c r="AC52" s="251">
        <f>SUM('RD Feedstock'!C50,'RD Feedstock'!E50)</f>
        <v>0</v>
      </c>
      <c r="AD52" s="251">
        <f t="shared" si="1"/>
        <v>30.778124999999999</v>
      </c>
      <c r="AH52" s="237">
        <f t="shared" si="4"/>
        <v>0.75124378109452739</v>
      </c>
      <c r="AI52" s="237">
        <f t="shared" si="4"/>
        <v>0.24875621890547264</v>
      </c>
      <c r="AJ52" s="237">
        <f t="shared" si="4"/>
        <v>0</v>
      </c>
      <c r="AK52" s="237">
        <f t="shared" si="4"/>
        <v>0</v>
      </c>
      <c r="AL52" s="237">
        <f t="shared" si="4"/>
        <v>0</v>
      </c>
      <c r="AM52" s="237">
        <f t="shared" si="9"/>
        <v>1</v>
      </c>
      <c r="AO52" s="237">
        <f t="shared" si="10"/>
        <v>0.75124378109452739</v>
      </c>
      <c r="AP52" s="237">
        <f t="shared" si="11"/>
        <v>0.24875621890547264</v>
      </c>
      <c r="AQ52" s="237">
        <f t="shared" si="12"/>
        <v>0</v>
      </c>
      <c r="AR52" s="237"/>
      <c r="AS52" s="237"/>
      <c r="AU52" s="251">
        <f t="shared" si="13"/>
        <v>9787.5094807107453</v>
      </c>
      <c r="AV52" s="251">
        <f t="shared" si="5"/>
        <v>2767.5465249612766</v>
      </c>
      <c r="AW52" s="251">
        <f t="shared" si="5"/>
        <v>0</v>
      </c>
      <c r="AX52" s="251">
        <f t="shared" si="5"/>
        <v>0</v>
      </c>
      <c r="AY52" s="251">
        <f t="shared" si="5"/>
        <v>0</v>
      </c>
      <c r="AZ52" s="251">
        <f t="shared" si="6"/>
        <v>12555.056005672022</v>
      </c>
      <c r="BA52" s="270">
        <f t="shared" si="14"/>
        <v>9.0392039800995043</v>
      </c>
      <c r="BB52" s="251">
        <f t="shared" si="7"/>
        <v>12555.056005672022</v>
      </c>
      <c r="BC52" s="251">
        <f t="shared" si="8"/>
        <v>0</v>
      </c>
      <c r="BD52" s="251"/>
      <c r="BE52" s="270"/>
    </row>
    <row r="53" spans="1:57">
      <c r="A53" s="11">
        <v>45261</v>
      </c>
      <c r="B53" s="251"/>
      <c r="C53" s="251"/>
      <c r="D53" s="251">
        <v>5</v>
      </c>
      <c r="E53" s="251"/>
      <c r="F53" s="251">
        <v>44</v>
      </c>
      <c r="G53" s="251"/>
      <c r="H53" s="251"/>
      <c r="I53" s="251"/>
      <c r="J53" s="251"/>
      <c r="K53" s="251"/>
      <c r="L53" s="251"/>
      <c r="M53" s="13"/>
      <c r="N53" s="251">
        <f t="shared" si="2"/>
        <v>49</v>
      </c>
      <c r="O53" s="251">
        <f>'BBD Monthly Production'!O32*12</f>
        <v>32.079687659934173</v>
      </c>
      <c r="P53" s="271">
        <f t="shared" si="3"/>
        <v>0.65468750326396274</v>
      </c>
      <c r="Y53" s="251">
        <f>SUM('RD Feedstock'!F51,'RD Feedstock'!I51)</f>
        <v>23.121874999999999</v>
      </c>
      <c r="Z53" s="251">
        <f>SUM('RD Feedstock'!G51,'RD Feedstock'!J51)</f>
        <v>7.65625</v>
      </c>
      <c r="AA53" s="251">
        <v>0</v>
      </c>
      <c r="AB53" s="251">
        <f>SUM('RD Feedstock'!B51,'RD Feedstock'!D51,'RD Feedstock'!H51)</f>
        <v>0</v>
      </c>
      <c r="AC53" s="251">
        <f>SUM('RD Feedstock'!C51,'RD Feedstock'!E51)</f>
        <v>0</v>
      </c>
      <c r="AD53" s="251">
        <f t="shared" si="1"/>
        <v>30.778124999999999</v>
      </c>
      <c r="AH53" s="237">
        <f t="shared" si="4"/>
        <v>0.75124378109452739</v>
      </c>
      <c r="AI53" s="237">
        <f t="shared" si="4"/>
        <v>0.24875621890547264</v>
      </c>
      <c r="AJ53" s="237">
        <f t="shared" si="4"/>
        <v>0</v>
      </c>
      <c r="AK53" s="237">
        <f t="shared" si="4"/>
        <v>0</v>
      </c>
      <c r="AL53" s="237">
        <f t="shared" si="4"/>
        <v>0</v>
      </c>
      <c r="AM53" s="237">
        <f t="shared" si="9"/>
        <v>1</v>
      </c>
      <c r="AO53" s="237">
        <f t="shared" si="10"/>
        <v>0.75124378109452739</v>
      </c>
      <c r="AP53" s="237">
        <f t="shared" si="11"/>
        <v>0.24875621890547264</v>
      </c>
      <c r="AQ53" s="237">
        <f t="shared" si="12"/>
        <v>0</v>
      </c>
      <c r="AR53" s="237"/>
      <c r="AS53" s="237"/>
      <c r="AU53" s="251">
        <f t="shared" si="13"/>
        <v>8544.7326008092768</v>
      </c>
      <c r="AV53" s="251">
        <f t="shared" si="5"/>
        <v>2416.135081421734</v>
      </c>
      <c r="AW53" s="251">
        <f t="shared" si="5"/>
        <v>0</v>
      </c>
      <c r="AX53" s="251">
        <f t="shared" si="5"/>
        <v>0</v>
      </c>
      <c r="AY53" s="251">
        <f t="shared" si="5"/>
        <v>0</v>
      </c>
      <c r="AZ53" s="251">
        <f t="shared" si="6"/>
        <v>10960.867682231012</v>
      </c>
      <c r="BA53" s="270">
        <f t="shared" si="14"/>
        <v>9.0392039800995043</v>
      </c>
      <c r="BB53" s="251">
        <f t="shared" si="7"/>
        <v>10960.867682231012</v>
      </c>
      <c r="BC53" s="251">
        <f t="shared" si="8"/>
        <v>0</v>
      </c>
      <c r="BD53" s="251"/>
      <c r="BE53" s="270"/>
    </row>
    <row r="54" spans="1:57">
      <c r="A54" s="11">
        <v>45292</v>
      </c>
      <c r="B54" s="251"/>
      <c r="C54" s="251"/>
      <c r="D54" s="251">
        <v>5</v>
      </c>
      <c r="E54" s="251"/>
      <c r="F54" s="251">
        <v>44</v>
      </c>
      <c r="G54" s="251"/>
      <c r="H54" s="251"/>
      <c r="I54" s="251"/>
      <c r="J54" s="251"/>
      <c r="K54" s="251"/>
      <c r="L54" s="251"/>
      <c r="M54" s="13"/>
      <c r="N54" s="251">
        <f t="shared" si="2"/>
        <v>49</v>
      </c>
      <c r="O54" s="251">
        <f>'BBD Monthly Production'!P21*12</f>
        <v>30.832725371453808</v>
      </c>
      <c r="P54" s="271">
        <f t="shared" si="3"/>
        <v>0.62923929329497563</v>
      </c>
      <c r="Y54" s="251">
        <f>SUM('RD Feedstock'!F52,'RD Feedstock'!I52)</f>
        <v>23.121874999999999</v>
      </c>
      <c r="Z54" s="251">
        <f>SUM('RD Feedstock'!G52,'RD Feedstock'!J52)</f>
        <v>7.65625</v>
      </c>
      <c r="AA54" s="251">
        <v>0</v>
      </c>
      <c r="AB54" s="251">
        <f>SUM('RD Feedstock'!B52,'RD Feedstock'!D52,'RD Feedstock'!H52)</f>
        <v>0</v>
      </c>
      <c r="AC54" s="251">
        <f>SUM('RD Feedstock'!C52,'RD Feedstock'!E52)</f>
        <v>0</v>
      </c>
      <c r="AD54" s="251">
        <f t="shared" si="1"/>
        <v>30.778124999999999</v>
      </c>
      <c r="AH54" s="237">
        <f t="shared" si="4"/>
        <v>0.75124378109452739</v>
      </c>
      <c r="AI54" s="237">
        <f t="shared" si="4"/>
        <v>0.24875621890547264</v>
      </c>
      <c r="AJ54" s="237">
        <f t="shared" si="4"/>
        <v>0</v>
      </c>
      <c r="AK54" s="237">
        <f t="shared" si="4"/>
        <v>0</v>
      </c>
      <c r="AL54" s="237">
        <f t="shared" si="4"/>
        <v>0</v>
      </c>
      <c r="AM54" s="237">
        <f t="shared" si="9"/>
        <v>1</v>
      </c>
      <c r="AO54" s="237">
        <f t="shared" si="10"/>
        <v>0.75124378109452739</v>
      </c>
      <c r="AP54" s="237">
        <f t="shared" si="11"/>
        <v>0.24875621890547264</v>
      </c>
      <c r="AQ54" s="237">
        <f t="shared" si="12"/>
        <v>0</v>
      </c>
      <c r="AR54" s="237"/>
      <c r="AS54" s="237"/>
      <c r="AU54" s="251">
        <f t="shared" si="13"/>
        <v>8212.5922311364957</v>
      </c>
      <c r="AV54" s="251">
        <f t="shared" si="5"/>
        <v>2322.2180407589531</v>
      </c>
      <c r="AW54" s="251">
        <f t="shared" si="5"/>
        <v>0</v>
      </c>
      <c r="AX54" s="251">
        <f t="shared" si="5"/>
        <v>0</v>
      </c>
      <c r="AY54" s="251">
        <f t="shared" si="5"/>
        <v>0</v>
      </c>
      <c r="AZ54" s="251">
        <f t="shared" si="6"/>
        <v>10534.810271895449</v>
      </c>
      <c r="BA54" s="270">
        <f t="shared" si="14"/>
        <v>9.0392039800995043</v>
      </c>
      <c r="BB54" s="251">
        <f t="shared" si="7"/>
        <v>10534.810271895449</v>
      </c>
      <c r="BC54" s="251">
        <f t="shared" si="8"/>
        <v>0</v>
      </c>
      <c r="BD54" s="251"/>
      <c r="BE54" s="270"/>
    </row>
    <row r="55" spans="1:57">
      <c r="A55" s="11">
        <v>45323</v>
      </c>
      <c r="B55" s="251"/>
      <c r="C55" s="251"/>
      <c r="D55" s="251">
        <v>5</v>
      </c>
      <c r="E55" s="251"/>
      <c r="F55" s="251">
        <v>44</v>
      </c>
      <c r="G55" s="251"/>
      <c r="H55" s="251"/>
      <c r="I55" s="251"/>
      <c r="J55" s="251"/>
      <c r="K55" s="251"/>
      <c r="L55" s="251"/>
      <c r="M55" s="13"/>
      <c r="N55" s="251">
        <f t="shared" si="2"/>
        <v>49</v>
      </c>
      <c r="O55" s="251">
        <f>'BBD Monthly Production'!P22*12</f>
        <v>44.379332793493532</v>
      </c>
      <c r="P55" s="271">
        <f t="shared" si="3"/>
        <v>0.90570066925497006</v>
      </c>
      <c r="Y55" s="251">
        <f>SUM('RD Feedstock'!F53,'RD Feedstock'!I53)</f>
        <v>23.121874999999999</v>
      </c>
      <c r="Z55" s="251">
        <f>SUM('RD Feedstock'!G53,'RD Feedstock'!J53)</f>
        <v>7.65625</v>
      </c>
      <c r="AA55" s="251">
        <v>0</v>
      </c>
      <c r="AB55" s="251">
        <f>SUM('RD Feedstock'!B53,'RD Feedstock'!D53,'RD Feedstock'!H53)</f>
        <v>0</v>
      </c>
      <c r="AC55" s="251">
        <f>SUM('RD Feedstock'!C53,'RD Feedstock'!E53)</f>
        <v>0</v>
      </c>
      <c r="AD55" s="251">
        <f t="shared" si="1"/>
        <v>30.778124999999999</v>
      </c>
      <c r="AH55" s="237">
        <f t="shared" si="4"/>
        <v>0.75124378109452739</v>
      </c>
      <c r="AI55" s="237">
        <f t="shared" si="4"/>
        <v>0.24875621890547264</v>
      </c>
      <c r="AJ55" s="237">
        <f t="shared" si="4"/>
        <v>0</v>
      </c>
      <c r="AK55" s="237">
        <f t="shared" si="4"/>
        <v>0</v>
      </c>
      <c r="AL55" s="237">
        <f t="shared" si="4"/>
        <v>0</v>
      </c>
      <c r="AM55" s="237">
        <f t="shared" si="9"/>
        <v>1</v>
      </c>
      <c r="AO55" s="237">
        <f t="shared" si="10"/>
        <v>0.75124378109452739</v>
      </c>
      <c r="AP55" s="237">
        <f t="shared" si="11"/>
        <v>0.24875621890547264</v>
      </c>
      <c r="AQ55" s="237">
        <f t="shared" si="12"/>
        <v>0</v>
      </c>
      <c r="AR55" s="237"/>
      <c r="AS55" s="237"/>
      <c r="AU55" s="251">
        <f t="shared" si="13"/>
        <v>11820.861092620331</v>
      </c>
      <c r="AV55" s="251">
        <f t="shared" si="5"/>
        <v>3342.5033307406502</v>
      </c>
      <c r="AW55" s="251">
        <f t="shared" si="5"/>
        <v>0</v>
      </c>
      <c r="AX55" s="251">
        <f t="shared" si="5"/>
        <v>0</v>
      </c>
      <c r="AY55" s="251">
        <f t="shared" si="5"/>
        <v>0</v>
      </c>
      <c r="AZ55" s="251">
        <f t="shared" si="6"/>
        <v>15163.364423360981</v>
      </c>
      <c r="BA55" s="270">
        <f t="shared" si="14"/>
        <v>9.0392039800995025</v>
      </c>
      <c r="BB55" s="251">
        <f t="shared" si="7"/>
        <v>15163.364423360981</v>
      </c>
      <c r="BC55" s="251">
        <f t="shared" si="8"/>
        <v>0</v>
      </c>
      <c r="BD55" s="251"/>
      <c r="BE55" s="270"/>
    </row>
    <row r="56" spans="1:57">
      <c r="A56" s="11">
        <v>45352</v>
      </c>
      <c r="B56" s="251"/>
      <c r="C56" s="251"/>
      <c r="D56" s="251">
        <v>5</v>
      </c>
      <c r="E56" s="251"/>
      <c r="F56" s="251">
        <v>44</v>
      </c>
      <c r="G56" s="251"/>
      <c r="H56" s="251"/>
      <c r="I56" s="251"/>
      <c r="J56" s="251"/>
      <c r="K56" s="251"/>
      <c r="L56" s="251"/>
      <c r="M56" s="13"/>
      <c r="N56" s="251">
        <f t="shared" si="2"/>
        <v>49</v>
      </c>
      <c r="O56" s="251">
        <f>'BBD Monthly Production'!P23*12</f>
        <v>76.19682805171081</v>
      </c>
      <c r="P56" s="271">
        <f t="shared" si="3"/>
        <v>1.5550373071777717</v>
      </c>
      <c r="Y56" s="251">
        <f>SUM('RD Feedstock'!F54,'RD Feedstock'!I54)</f>
        <v>23.121874999999999</v>
      </c>
      <c r="Z56" s="251">
        <f>SUM('RD Feedstock'!G54,'RD Feedstock'!J54)</f>
        <v>7.65625</v>
      </c>
      <c r="AA56" s="251">
        <v>0</v>
      </c>
      <c r="AB56" s="251">
        <f>SUM('RD Feedstock'!B54,'RD Feedstock'!D54,'RD Feedstock'!H54)</f>
        <v>0</v>
      </c>
      <c r="AC56" s="251">
        <f>SUM('RD Feedstock'!C54,'RD Feedstock'!E54)</f>
        <v>0</v>
      </c>
      <c r="AD56" s="251">
        <f t="shared" si="1"/>
        <v>30.778124999999999</v>
      </c>
      <c r="AH56" s="237">
        <f t="shared" si="4"/>
        <v>0.75124378109452739</v>
      </c>
      <c r="AI56" s="237">
        <f t="shared" si="4"/>
        <v>0.24875621890547264</v>
      </c>
      <c r="AJ56" s="237">
        <f t="shared" si="4"/>
        <v>0</v>
      </c>
      <c r="AK56" s="237">
        <f t="shared" si="4"/>
        <v>0</v>
      </c>
      <c r="AL56" s="237">
        <f t="shared" si="4"/>
        <v>0</v>
      </c>
      <c r="AM56" s="237">
        <f t="shared" si="9"/>
        <v>1</v>
      </c>
      <c r="AO56" s="237">
        <f t="shared" si="10"/>
        <v>0.75124378109452739</v>
      </c>
      <c r="AP56" s="237">
        <f t="shared" si="11"/>
        <v>0.24875621890547264</v>
      </c>
      <c r="AQ56" s="237">
        <f t="shared" si="12"/>
        <v>0</v>
      </c>
      <c r="AR56" s="237"/>
      <c r="AS56" s="237"/>
      <c r="AU56" s="251">
        <f t="shared" si="13"/>
        <v>20295.756231594438</v>
      </c>
      <c r="AV56" s="251">
        <f t="shared" si="5"/>
        <v>5738.8909549369318</v>
      </c>
      <c r="AW56" s="251">
        <f t="shared" si="5"/>
        <v>0</v>
      </c>
      <c r="AX56" s="251">
        <f t="shared" si="5"/>
        <v>0</v>
      </c>
      <c r="AY56" s="251">
        <f t="shared" si="5"/>
        <v>0</v>
      </c>
      <c r="AZ56" s="251">
        <f t="shared" si="6"/>
        <v>26034.647186531369</v>
      </c>
      <c r="BA56" s="270">
        <f t="shared" si="14"/>
        <v>9.0392039800995025</v>
      </c>
      <c r="BB56" s="251">
        <f t="shared" si="7"/>
        <v>26034.647186531369</v>
      </c>
      <c r="BC56" s="251">
        <f t="shared" si="8"/>
        <v>0</v>
      </c>
      <c r="BD56" s="251"/>
      <c r="BE56" s="270"/>
    </row>
    <row r="57" spans="1:57">
      <c r="A57" s="11">
        <v>45383</v>
      </c>
      <c r="B57" s="251"/>
      <c r="C57" s="251"/>
      <c r="D57" s="251">
        <v>5</v>
      </c>
      <c r="E57" s="251"/>
      <c r="F57" s="251">
        <v>44</v>
      </c>
      <c r="G57" s="251"/>
      <c r="H57" s="251"/>
      <c r="I57" s="251"/>
      <c r="J57" s="251"/>
      <c r="K57" s="251"/>
      <c r="L57" s="251"/>
      <c r="M57" s="13"/>
      <c r="N57" s="251">
        <f t="shared" si="2"/>
        <v>49</v>
      </c>
      <c r="O57" s="251">
        <f>'BBD Monthly Production'!P24*12</f>
        <v>63.582001500864465</v>
      </c>
      <c r="P57" s="271">
        <f t="shared" si="3"/>
        <v>1.297591867364581</v>
      </c>
      <c r="Y57" s="251">
        <f>SUM('RD Feedstock'!F55,'RD Feedstock'!I55)</f>
        <v>23.121874999999999</v>
      </c>
      <c r="Z57" s="251">
        <f>SUM('RD Feedstock'!G55,'RD Feedstock'!J55)</f>
        <v>7.65625</v>
      </c>
      <c r="AA57" s="251">
        <v>0</v>
      </c>
      <c r="AB57" s="251">
        <f>SUM('RD Feedstock'!B55,'RD Feedstock'!D55,'RD Feedstock'!H55)</f>
        <v>0</v>
      </c>
      <c r="AC57" s="251">
        <f>SUM('RD Feedstock'!C55,'RD Feedstock'!E55)</f>
        <v>0</v>
      </c>
      <c r="AD57" s="251">
        <f t="shared" si="1"/>
        <v>30.778124999999999</v>
      </c>
      <c r="AH57" s="237">
        <f t="shared" si="4"/>
        <v>0.75124378109452739</v>
      </c>
      <c r="AI57" s="237">
        <f t="shared" si="4"/>
        <v>0.24875621890547264</v>
      </c>
      <c r="AJ57" s="237">
        <f t="shared" si="4"/>
        <v>0</v>
      </c>
      <c r="AK57" s="237">
        <f t="shared" si="4"/>
        <v>0</v>
      </c>
      <c r="AL57" s="237">
        <f t="shared" si="4"/>
        <v>0</v>
      </c>
      <c r="AM57" s="237">
        <f t="shared" si="9"/>
        <v>1</v>
      </c>
      <c r="AO57" s="237">
        <f t="shared" si="10"/>
        <v>0.75124378109452739</v>
      </c>
      <c r="AP57" s="237">
        <f t="shared" si="11"/>
        <v>0.24875621890547264</v>
      </c>
      <c r="AQ57" s="237">
        <f t="shared" si="12"/>
        <v>0</v>
      </c>
      <c r="AR57" s="237">
        <v>0</v>
      </c>
      <c r="AS57" s="237">
        <v>0</v>
      </c>
      <c r="AU57" s="251">
        <f t="shared" si="13"/>
        <v>16935.676145241363</v>
      </c>
      <c r="AV57" s="251">
        <f t="shared" si="5"/>
        <v>4788.7842924703582</v>
      </c>
      <c r="AW57" s="251">
        <f t="shared" si="5"/>
        <v>0</v>
      </c>
      <c r="AX57" s="251">
        <f>(($O57/12)*(AK57*AB$5))/2204.622*1000000</f>
        <v>0</v>
      </c>
      <c r="AY57" s="251">
        <f>(($O57/12)*(AL57*AC$5))/2204.622*1000000</f>
        <v>0</v>
      </c>
      <c r="AZ57" s="251">
        <f t="shared" si="6"/>
        <v>21724.460437711721</v>
      </c>
      <c r="BA57" s="270">
        <f t="shared" si="14"/>
        <v>9.0392039800995043</v>
      </c>
      <c r="BB57" s="251">
        <f t="shared" si="7"/>
        <v>21724.460437711721</v>
      </c>
      <c r="BC57" s="251">
        <f t="shared" si="8"/>
        <v>0</v>
      </c>
      <c r="BD57" s="251"/>
      <c r="BE57" s="270"/>
    </row>
    <row r="58" spans="1:57">
      <c r="A58" s="11">
        <v>45413</v>
      </c>
      <c r="B58" s="251"/>
      <c r="C58" s="251"/>
      <c r="D58" s="251">
        <v>5</v>
      </c>
      <c r="E58" s="251"/>
      <c r="F58" s="251">
        <v>44</v>
      </c>
      <c r="G58" s="251"/>
      <c r="H58" s="251"/>
      <c r="I58" s="251"/>
      <c r="J58" s="251"/>
      <c r="K58" s="251"/>
      <c r="L58" s="251"/>
      <c r="M58" s="13"/>
      <c r="N58" s="251">
        <f t="shared" si="2"/>
        <v>49</v>
      </c>
      <c r="O58" s="251">
        <f>'BBD Monthly Production'!P25*12</f>
        <v>68.033078808751327</v>
      </c>
      <c r="P58" s="271">
        <f t="shared" si="3"/>
        <v>1.3884301797704353</v>
      </c>
      <c r="Y58" s="251">
        <f>SUM('RD Feedstock'!F56,'RD Feedstock'!I56)</f>
        <v>23.121874999999999</v>
      </c>
      <c r="Z58" s="251">
        <f>SUM('RD Feedstock'!G56,'RD Feedstock'!J56)</f>
        <v>7.65625</v>
      </c>
      <c r="AA58" s="251">
        <v>0</v>
      </c>
      <c r="AB58" s="251">
        <f>SUM('RD Feedstock'!B56,'RD Feedstock'!D56,'RD Feedstock'!H56)</f>
        <v>0</v>
      </c>
      <c r="AC58" s="251">
        <f>SUM('RD Feedstock'!C56,'RD Feedstock'!E56)</f>
        <v>0</v>
      </c>
      <c r="AD58" s="251">
        <f t="shared" si="1"/>
        <v>30.778124999999999</v>
      </c>
      <c r="AH58" s="237">
        <f t="shared" si="4"/>
        <v>0.75124378109452739</v>
      </c>
      <c r="AI58" s="237">
        <f t="shared" si="4"/>
        <v>0.24875621890547264</v>
      </c>
      <c r="AJ58" s="237">
        <f t="shared" si="4"/>
        <v>0</v>
      </c>
      <c r="AK58" s="237">
        <f t="shared" si="4"/>
        <v>0</v>
      </c>
      <c r="AL58" s="237">
        <f t="shared" si="4"/>
        <v>0</v>
      </c>
      <c r="AM58" s="237">
        <f t="shared" si="9"/>
        <v>1</v>
      </c>
      <c r="AO58" s="237">
        <f t="shared" si="10"/>
        <v>0.75124378109452739</v>
      </c>
      <c r="AP58" s="237">
        <f t="shared" si="11"/>
        <v>0.24875621890547264</v>
      </c>
      <c r="AQ58" s="237">
        <f t="shared" si="12"/>
        <v>0</v>
      </c>
      <c r="AR58" s="237">
        <v>0</v>
      </c>
      <c r="AS58" s="237">
        <v>0</v>
      </c>
      <c r="AU58" s="251">
        <f t="shared" si="13"/>
        <v>18121.263292616393</v>
      </c>
      <c r="AV58" s="251">
        <f t="shared" si="5"/>
        <v>5124.024589935515</v>
      </c>
      <c r="AW58" s="251">
        <f t="shared" si="5"/>
        <v>0</v>
      </c>
      <c r="AX58" s="251">
        <f t="shared" si="5"/>
        <v>0</v>
      </c>
      <c r="AY58" s="251">
        <f t="shared" si="5"/>
        <v>0</v>
      </c>
      <c r="AZ58" s="251">
        <f t="shared" si="6"/>
        <v>23245.287882551907</v>
      </c>
      <c r="BA58" s="270">
        <f t="shared" si="14"/>
        <v>9.0392039800995043</v>
      </c>
      <c r="BB58" s="251">
        <f t="shared" si="7"/>
        <v>23245.287882551907</v>
      </c>
      <c r="BC58" s="251">
        <f t="shared" si="8"/>
        <v>0</v>
      </c>
      <c r="BD58" s="251"/>
      <c r="BE58" s="270"/>
    </row>
    <row r="59" spans="1:57">
      <c r="A59" s="11">
        <v>45444</v>
      </c>
      <c r="B59" s="251"/>
      <c r="C59" s="251"/>
      <c r="D59" s="251">
        <v>5</v>
      </c>
      <c r="E59" s="251"/>
      <c r="F59" s="251">
        <v>44</v>
      </c>
      <c r="G59" s="251"/>
      <c r="H59" s="251"/>
      <c r="I59" s="251"/>
      <c r="J59" s="251"/>
      <c r="K59" s="251"/>
      <c r="L59" s="251"/>
      <c r="M59" s="13"/>
      <c r="N59" s="251">
        <f t="shared" si="2"/>
        <v>49</v>
      </c>
      <c r="O59" s="251">
        <f>'BBD Monthly Production'!P26*12</f>
        <v>90.800463109018665</v>
      </c>
      <c r="P59" s="271">
        <f t="shared" si="3"/>
        <v>1.8530706756942585</v>
      </c>
      <c r="Y59" s="251">
        <f>SUM('RD Feedstock'!F57,'RD Feedstock'!I57)</f>
        <v>23.121874999999999</v>
      </c>
      <c r="Z59" s="251">
        <f>SUM('RD Feedstock'!G57,'RD Feedstock'!J57)</f>
        <v>7.65625</v>
      </c>
      <c r="AA59" s="251">
        <v>0</v>
      </c>
      <c r="AB59" s="251">
        <f>SUM('RD Feedstock'!B57,'RD Feedstock'!D57,'RD Feedstock'!H57)</f>
        <v>0</v>
      </c>
      <c r="AC59" s="251">
        <f>SUM('RD Feedstock'!C57,'RD Feedstock'!E57)</f>
        <v>0</v>
      </c>
      <c r="AD59" s="251">
        <f t="shared" si="1"/>
        <v>30.778124999999999</v>
      </c>
      <c r="AH59" s="237">
        <f t="shared" si="4"/>
        <v>0.75124378109452739</v>
      </c>
      <c r="AI59" s="237">
        <f t="shared" si="4"/>
        <v>0.24875621890547264</v>
      </c>
      <c r="AJ59" s="237">
        <f t="shared" si="4"/>
        <v>0</v>
      </c>
      <c r="AK59" s="237">
        <f t="shared" si="4"/>
        <v>0</v>
      </c>
      <c r="AL59" s="237">
        <f t="shared" si="4"/>
        <v>0</v>
      </c>
      <c r="AM59" s="237">
        <f t="shared" si="9"/>
        <v>1</v>
      </c>
      <c r="AO59" s="237">
        <f t="shared" si="10"/>
        <v>0.75124378109452739</v>
      </c>
      <c r="AP59" s="237">
        <f t="shared" si="11"/>
        <v>0.24875621890547264</v>
      </c>
      <c r="AQ59" s="237">
        <f t="shared" si="12"/>
        <v>0</v>
      </c>
      <c r="AR59" s="237">
        <v>0</v>
      </c>
      <c r="AS59" s="237">
        <v>0</v>
      </c>
      <c r="AU59" s="251">
        <f t="shared" si="13"/>
        <v>24185.574545516127</v>
      </c>
      <c r="AV59" s="251">
        <f t="shared" si="5"/>
        <v>6838.7880409771451</v>
      </c>
      <c r="AW59" s="251">
        <f t="shared" si="5"/>
        <v>0</v>
      </c>
      <c r="AX59" s="251">
        <f t="shared" si="5"/>
        <v>0</v>
      </c>
      <c r="AY59" s="251">
        <f t="shared" si="5"/>
        <v>0</v>
      </c>
      <c r="AZ59" s="251">
        <f t="shared" si="6"/>
        <v>31024.362586493273</v>
      </c>
      <c r="BA59" s="270">
        <f t="shared" si="14"/>
        <v>9.0392039800995025</v>
      </c>
      <c r="BB59" s="251">
        <f t="shared" si="7"/>
        <v>31024.362586493273</v>
      </c>
      <c r="BC59" s="251">
        <f t="shared" si="8"/>
        <v>0</v>
      </c>
      <c r="BD59" s="251"/>
      <c r="BE59" s="270"/>
    </row>
    <row r="60" spans="1:57">
      <c r="A60" s="11">
        <v>45474</v>
      </c>
      <c r="B60" s="251"/>
      <c r="C60" s="251"/>
      <c r="D60" s="251">
        <v>5</v>
      </c>
      <c r="E60" s="251"/>
      <c r="F60" s="251">
        <v>44</v>
      </c>
      <c r="G60" s="251"/>
      <c r="H60" s="251"/>
      <c r="I60" s="251"/>
      <c r="J60" s="251"/>
      <c r="K60" s="251"/>
      <c r="L60" s="251"/>
      <c r="M60" s="13"/>
      <c r="N60" s="251">
        <f t="shared" si="2"/>
        <v>49</v>
      </c>
      <c r="O60" s="251">
        <f>'BBD Monthly Production'!P27*12</f>
        <v>73.614129669444353</v>
      </c>
      <c r="P60" s="271">
        <f t="shared" si="3"/>
        <v>1.5023291769274358</v>
      </c>
      <c r="Y60" s="251">
        <f>SUM('RD Feedstock'!F58,'RD Feedstock'!I58)</f>
        <v>23.121874999999999</v>
      </c>
      <c r="Z60" s="251">
        <f>SUM('RD Feedstock'!G58,'RD Feedstock'!J58)</f>
        <v>7.65625</v>
      </c>
      <c r="AA60" s="251">
        <v>0</v>
      </c>
      <c r="AB60" s="251">
        <f>SUM('RD Feedstock'!B58,'RD Feedstock'!D58,'RD Feedstock'!H58)</f>
        <v>0</v>
      </c>
      <c r="AC60" s="251">
        <f>SUM('RD Feedstock'!C58,'RD Feedstock'!E58)</f>
        <v>0</v>
      </c>
      <c r="AD60" s="251">
        <f t="shared" si="1"/>
        <v>30.778124999999999</v>
      </c>
      <c r="AH60" s="237">
        <f t="shared" si="4"/>
        <v>0.75124378109452739</v>
      </c>
      <c r="AI60" s="237">
        <f t="shared" si="4"/>
        <v>0.24875621890547264</v>
      </c>
      <c r="AJ60" s="237">
        <f t="shared" si="4"/>
        <v>0</v>
      </c>
      <c r="AK60" s="237">
        <f t="shared" si="4"/>
        <v>0</v>
      </c>
      <c r="AL60" s="237">
        <f t="shared" si="4"/>
        <v>0</v>
      </c>
      <c r="AM60" s="237">
        <f t="shared" si="9"/>
        <v>1</v>
      </c>
      <c r="AO60" s="237">
        <f t="shared" si="10"/>
        <v>0.75124378109452739</v>
      </c>
      <c r="AP60" s="237">
        <f t="shared" si="11"/>
        <v>0.24875621890547264</v>
      </c>
      <c r="AQ60" s="237">
        <f t="shared" si="12"/>
        <v>0</v>
      </c>
      <c r="AR60" s="237">
        <v>0</v>
      </c>
      <c r="AS60" s="237">
        <v>0</v>
      </c>
      <c r="AU60" s="251">
        <f t="shared" si="13"/>
        <v>19607.829737454285</v>
      </c>
      <c r="AV60" s="251">
        <f t="shared" si="5"/>
        <v>5544.3707266767678</v>
      </c>
      <c r="AW60" s="251">
        <f t="shared" si="5"/>
        <v>0</v>
      </c>
      <c r="AX60" s="251">
        <f t="shared" si="5"/>
        <v>0</v>
      </c>
      <c r="AY60" s="251">
        <f t="shared" si="5"/>
        <v>0</v>
      </c>
      <c r="AZ60" s="251">
        <f t="shared" si="6"/>
        <v>25152.200464131052</v>
      </c>
      <c r="BA60" s="270">
        <f t="shared" si="14"/>
        <v>9.0392039800995025</v>
      </c>
      <c r="BB60" s="251">
        <f t="shared" si="7"/>
        <v>25152.200464131052</v>
      </c>
      <c r="BC60" s="251">
        <f t="shared" si="8"/>
        <v>0</v>
      </c>
      <c r="BD60" s="251"/>
      <c r="BE60" s="270"/>
    </row>
    <row r="61" spans="1:57">
      <c r="A61" s="11">
        <v>45505</v>
      </c>
      <c r="B61" s="251"/>
      <c r="C61" s="251"/>
      <c r="D61" s="251">
        <v>5</v>
      </c>
      <c r="E61" s="251"/>
      <c r="F61" s="251">
        <v>44</v>
      </c>
      <c r="G61" s="251"/>
      <c r="H61" s="251"/>
      <c r="I61" s="251"/>
      <c r="J61" s="251"/>
      <c r="K61" s="251"/>
      <c r="L61" s="251"/>
      <c r="M61" s="13"/>
      <c r="N61" s="251">
        <f t="shared" si="2"/>
        <v>49</v>
      </c>
      <c r="O61" s="251">
        <f>'BBD Monthly Production'!P28*12</f>
        <v>62.971595568258451</v>
      </c>
      <c r="P61" s="271">
        <f t="shared" si="3"/>
        <v>1.285134603433846</v>
      </c>
      <c r="Y61" s="251">
        <f>SUM('RD Feedstock'!F59,'RD Feedstock'!I59)</f>
        <v>23.121874999999999</v>
      </c>
      <c r="Z61" s="251">
        <f>SUM('RD Feedstock'!G59,'RD Feedstock'!J59)</f>
        <v>7.65625</v>
      </c>
      <c r="AA61" s="251">
        <v>0</v>
      </c>
      <c r="AB61" s="251">
        <f>SUM('RD Feedstock'!B59,'RD Feedstock'!D59,'RD Feedstock'!H59)</f>
        <v>0</v>
      </c>
      <c r="AC61" s="251">
        <f>SUM('RD Feedstock'!C59,'RD Feedstock'!E59)</f>
        <v>0</v>
      </c>
      <c r="AD61" s="251">
        <f t="shared" si="1"/>
        <v>30.778124999999999</v>
      </c>
      <c r="AH61" s="237">
        <f t="shared" ref="AH61:AL124" si="15">Y61/$AD61</f>
        <v>0.75124378109452739</v>
      </c>
      <c r="AI61" s="237">
        <f t="shared" si="15"/>
        <v>0.24875621890547264</v>
      </c>
      <c r="AJ61" s="237">
        <f t="shared" si="15"/>
        <v>0</v>
      </c>
      <c r="AK61" s="237">
        <f t="shared" si="15"/>
        <v>0</v>
      </c>
      <c r="AL61" s="237">
        <f t="shared" si="15"/>
        <v>0</v>
      </c>
      <c r="AM61" s="237">
        <f t="shared" si="9"/>
        <v>1</v>
      </c>
      <c r="AO61" s="237">
        <f t="shared" si="10"/>
        <v>0.75124378109452739</v>
      </c>
      <c r="AP61" s="237">
        <f t="shared" si="11"/>
        <v>0.24875621890547264</v>
      </c>
      <c r="AQ61" s="237">
        <f t="shared" si="12"/>
        <v>0</v>
      </c>
      <c r="AR61" s="237">
        <v>0</v>
      </c>
      <c r="AS61" s="237">
        <v>0</v>
      </c>
      <c r="AU61" s="251">
        <f t="shared" si="13"/>
        <v>16773.088668475491</v>
      </c>
      <c r="AV61" s="251">
        <f t="shared" si="13"/>
        <v>4742.8105534704209</v>
      </c>
      <c r="AW61" s="251">
        <f t="shared" si="13"/>
        <v>0</v>
      </c>
      <c r="AX61" s="251">
        <f t="shared" si="13"/>
        <v>0</v>
      </c>
      <c r="AY61" s="251">
        <f t="shared" si="13"/>
        <v>0</v>
      </c>
      <c r="AZ61" s="251">
        <f t="shared" si="6"/>
        <v>21515.899221945911</v>
      </c>
      <c r="BA61" s="270">
        <f t="shared" si="14"/>
        <v>9.0392039800995043</v>
      </c>
      <c r="BB61" s="251">
        <f t="shared" si="7"/>
        <v>21515.899221945911</v>
      </c>
      <c r="BC61" s="251">
        <f t="shared" si="8"/>
        <v>0</v>
      </c>
      <c r="BD61" s="251"/>
      <c r="BE61" s="270"/>
    </row>
    <row r="62" spans="1:57">
      <c r="A62" s="11">
        <v>45536</v>
      </c>
      <c r="B62" s="251"/>
      <c r="C62" s="251"/>
      <c r="D62" s="251">
        <v>5</v>
      </c>
      <c r="E62" s="251"/>
      <c r="F62" s="251">
        <v>44</v>
      </c>
      <c r="G62" s="251"/>
      <c r="H62" s="251"/>
      <c r="I62" s="251"/>
      <c r="J62" s="251"/>
      <c r="K62" s="251"/>
      <c r="L62" s="251"/>
      <c r="M62" s="13"/>
      <c r="N62" s="251">
        <f t="shared" si="2"/>
        <v>49</v>
      </c>
      <c r="O62" s="251">
        <f>'BBD Monthly Production'!P29*12</f>
        <v>72.894304860531292</v>
      </c>
      <c r="P62" s="271">
        <f t="shared" si="3"/>
        <v>1.4876388747047202</v>
      </c>
      <c r="Y62" s="251">
        <f>SUM('RD Feedstock'!F60,'RD Feedstock'!I60)</f>
        <v>23.121874999999999</v>
      </c>
      <c r="Z62" s="251">
        <f>SUM('RD Feedstock'!G60,'RD Feedstock'!J60)</f>
        <v>7.65625</v>
      </c>
      <c r="AA62" s="251">
        <v>0</v>
      </c>
      <c r="AB62" s="251">
        <f>SUM('RD Feedstock'!B60,'RD Feedstock'!D60,'RD Feedstock'!H60)</f>
        <v>0</v>
      </c>
      <c r="AC62" s="251">
        <f>SUM('RD Feedstock'!C60,'RD Feedstock'!E60)</f>
        <v>0</v>
      </c>
      <c r="AD62" s="251">
        <f t="shared" si="1"/>
        <v>30.778124999999999</v>
      </c>
      <c r="AH62" s="237">
        <f t="shared" si="15"/>
        <v>0.75124378109452739</v>
      </c>
      <c r="AI62" s="237">
        <f t="shared" si="15"/>
        <v>0.24875621890547264</v>
      </c>
      <c r="AJ62" s="237">
        <f t="shared" si="15"/>
        <v>0</v>
      </c>
      <c r="AK62" s="237">
        <f t="shared" si="15"/>
        <v>0</v>
      </c>
      <c r="AL62" s="237">
        <f t="shared" si="15"/>
        <v>0</v>
      </c>
      <c r="AM62" s="237">
        <f t="shared" si="9"/>
        <v>1</v>
      </c>
      <c r="AO62" s="237">
        <f t="shared" si="10"/>
        <v>0.75124378109452739</v>
      </c>
      <c r="AP62" s="237">
        <f t="shared" si="11"/>
        <v>0.24875621890547264</v>
      </c>
      <c r="AQ62" s="237">
        <f t="shared" si="12"/>
        <v>0</v>
      </c>
      <c r="AR62" s="237">
        <v>0</v>
      </c>
      <c r="AS62" s="237">
        <v>0</v>
      </c>
      <c r="AU62" s="251">
        <f t="shared" si="13"/>
        <v>19416.097493150901</v>
      </c>
      <c r="AV62" s="251">
        <f t="shared" si="13"/>
        <v>5490.1559228504602</v>
      </c>
      <c r="AW62" s="251">
        <f t="shared" si="13"/>
        <v>0</v>
      </c>
      <c r="AX62" s="251">
        <f t="shared" si="13"/>
        <v>0</v>
      </c>
      <c r="AY62" s="251">
        <f t="shared" si="13"/>
        <v>0</v>
      </c>
      <c r="AZ62" s="251">
        <f t="shared" si="6"/>
        <v>24906.25341600136</v>
      </c>
      <c r="BA62" s="270">
        <f t="shared" si="14"/>
        <v>9.0392039800995025</v>
      </c>
      <c r="BB62" s="251">
        <f t="shared" si="7"/>
        <v>24906.25341600136</v>
      </c>
      <c r="BC62" s="251">
        <f t="shared" si="8"/>
        <v>0</v>
      </c>
      <c r="BD62" s="251"/>
      <c r="BE62" s="270"/>
    </row>
    <row r="63" spans="1:57">
      <c r="A63" s="11">
        <v>45566</v>
      </c>
      <c r="B63" s="251"/>
      <c r="C63" s="251"/>
      <c r="D63" s="251">
        <v>5</v>
      </c>
      <c r="E63" s="251"/>
      <c r="F63" s="251">
        <v>44</v>
      </c>
      <c r="G63" s="251"/>
      <c r="H63" s="251"/>
      <c r="I63" s="251"/>
      <c r="J63" s="251"/>
      <c r="K63" s="251"/>
      <c r="L63" s="251"/>
      <c r="M63" s="13"/>
      <c r="N63" s="251">
        <f t="shared" si="2"/>
        <v>49</v>
      </c>
      <c r="O63" s="251">
        <f>'BBD Monthly Production'!P30*12</f>
        <v>46.90560131502302</v>
      </c>
      <c r="P63" s="271">
        <f t="shared" si="3"/>
        <v>0.95725716969434738</v>
      </c>
      <c r="Y63" s="251">
        <f>SUM('RD Feedstock'!F61,'RD Feedstock'!I61)</f>
        <v>23.121874999999999</v>
      </c>
      <c r="Z63" s="251">
        <f>SUM('RD Feedstock'!G61,'RD Feedstock'!J61)</f>
        <v>7.65625</v>
      </c>
      <c r="AA63" s="251">
        <v>0</v>
      </c>
      <c r="AB63" s="251">
        <f>SUM('RD Feedstock'!B61,'RD Feedstock'!D61,'RD Feedstock'!H61)</f>
        <v>0</v>
      </c>
      <c r="AC63" s="251">
        <f>SUM('RD Feedstock'!C61,'RD Feedstock'!E61)</f>
        <v>0</v>
      </c>
      <c r="AD63" s="251">
        <f t="shared" si="1"/>
        <v>30.778124999999999</v>
      </c>
      <c r="AH63" s="237">
        <f t="shared" si="15"/>
        <v>0.75124378109452739</v>
      </c>
      <c r="AI63" s="237">
        <f t="shared" si="15"/>
        <v>0.24875621890547264</v>
      </c>
      <c r="AJ63" s="237">
        <f t="shared" si="15"/>
        <v>0</v>
      </c>
      <c r="AK63" s="237">
        <f t="shared" si="15"/>
        <v>0</v>
      </c>
      <c r="AL63" s="237">
        <f t="shared" si="15"/>
        <v>0</v>
      </c>
      <c r="AM63" s="237">
        <f t="shared" si="9"/>
        <v>1</v>
      </c>
      <c r="AO63" s="237">
        <f t="shared" si="10"/>
        <v>0.75124378109452739</v>
      </c>
      <c r="AP63" s="237">
        <f t="shared" si="11"/>
        <v>0.24875621890547264</v>
      </c>
      <c r="AQ63" s="237">
        <f>AA63/SUM($Y63:$AA63)</f>
        <v>0</v>
      </c>
      <c r="AR63" s="237">
        <v>0</v>
      </c>
      <c r="AS63" s="237">
        <v>0</v>
      </c>
      <c r="AU63" s="251">
        <f t="shared" si="13"/>
        <v>12493.756951929816</v>
      </c>
      <c r="AV63" s="251">
        <f t="shared" si="13"/>
        <v>3532.773450096648</v>
      </c>
      <c r="AW63" s="251">
        <f t="shared" si="13"/>
        <v>0</v>
      </c>
      <c r="AX63" s="251">
        <f t="shared" si="13"/>
        <v>0</v>
      </c>
      <c r="AY63" s="251">
        <f t="shared" si="13"/>
        <v>0</v>
      </c>
      <c r="AZ63" s="251">
        <f t="shared" si="6"/>
        <v>16026.530402026463</v>
      </c>
      <c r="BA63" s="270">
        <f t="shared" si="14"/>
        <v>9.0392039800995043</v>
      </c>
      <c r="BB63" s="251">
        <f t="shared" si="7"/>
        <v>16026.530402026463</v>
      </c>
      <c r="BC63" s="251">
        <f t="shared" si="8"/>
        <v>0</v>
      </c>
      <c r="BD63" s="251"/>
      <c r="BE63" s="270"/>
    </row>
    <row r="64" spans="1:57">
      <c r="A64" s="11">
        <v>45597</v>
      </c>
      <c r="B64" s="251"/>
      <c r="C64" s="251"/>
      <c r="D64" s="251">
        <v>5</v>
      </c>
      <c r="E64" s="251"/>
      <c r="F64" s="251">
        <v>44</v>
      </c>
      <c r="G64" s="251"/>
      <c r="H64" s="251"/>
      <c r="I64" s="251"/>
      <c r="J64" s="251"/>
      <c r="K64" s="251"/>
      <c r="L64" s="251"/>
      <c r="M64" s="13"/>
      <c r="N64" s="251">
        <f t="shared" si="2"/>
        <v>49</v>
      </c>
      <c r="O64" s="251">
        <f>'BBD Monthly Production'!P31*12</f>
        <v>64.741566322105868</v>
      </c>
      <c r="P64" s="271">
        <f t="shared" si="3"/>
        <v>1.3212564555531809</v>
      </c>
      <c r="Y64" s="251">
        <f>SUM('RD Feedstock'!F62,'RD Feedstock'!I62)</f>
        <v>23.121874999999999</v>
      </c>
      <c r="Z64" s="251">
        <f>SUM('RD Feedstock'!G62,'RD Feedstock'!J62)</f>
        <v>7.65625</v>
      </c>
      <c r="AA64" s="251">
        <v>0</v>
      </c>
      <c r="AB64" s="251">
        <f>SUM('RD Feedstock'!B62,'RD Feedstock'!D62,'RD Feedstock'!H62)</f>
        <v>0</v>
      </c>
      <c r="AC64" s="251">
        <f>SUM('RD Feedstock'!C62,'RD Feedstock'!E62)</f>
        <v>0</v>
      </c>
      <c r="AD64" s="251">
        <f t="shared" si="1"/>
        <v>30.778124999999999</v>
      </c>
      <c r="AH64" s="237">
        <f t="shared" si="15"/>
        <v>0.75124378109452739</v>
      </c>
      <c r="AI64" s="237">
        <f t="shared" si="15"/>
        <v>0.24875621890547264</v>
      </c>
      <c r="AJ64" s="237">
        <f t="shared" si="15"/>
        <v>0</v>
      </c>
      <c r="AK64" s="237">
        <f t="shared" si="15"/>
        <v>0</v>
      </c>
      <c r="AL64" s="237">
        <f t="shared" si="15"/>
        <v>0</v>
      </c>
      <c r="AM64" s="237">
        <f t="shared" si="9"/>
        <v>1</v>
      </c>
      <c r="AO64" s="237">
        <f t="shared" si="10"/>
        <v>0.75124378109452739</v>
      </c>
      <c r="AP64" s="237">
        <f t="shared" si="11"/>
        <v>0.24875621890547264</v>
      </c>
      <c r="AQ64" s="237">
        <f t="shared" si="12"/>
        <v>0</v>
      </c>
      <c r="AR64" s="237">
        <v>0</v>
      </c>
      <c r="AS64" s="237">
        <v>0</v>
      </c>
      <c r="AU64" s="251">
        <f t="shared" si="13"/>
        <v>17244.537360969091</v>
      </c>
      <c r="AV64" s="251">
        <f t="shared" si="13"/>
        <v>4876.1188473913217</v>
      </c>
      <c r="AW64" s="251">
        <f t="shared" si="13"/>
        <v>0</v>
      </c>
      <c r="AX64" s="251">
        <f t="shared" si="13"/>
        <v>0</v>
      </c>
      <c r="AY64" s="251">
        <f t="shared" si="13"/>
        <v>0</v>
      </c>
      <c r="AZ64" s="251">
        <f t="shared" si="6"/>
        <v>22120.656208360411</v>
      </c>
      <c r="BA64" s="270">
        <f t="shared" si="14"/>
        <v>9.0392039800995043</v>
      </c>
      <c r="BB64" s="251">
        <f t="shared" si="7"/>
        <v>22120.656208360411</v>
      </c>
      <c r="BC64" s="251">
        <f t="shared" si="8"/>
        <v>0</v>
      </c>
      <c r="BD64" s="251"/>
      <c r="BE64" s="270"/>
    </row>
    <row r="65" spans="1:55">
      <c r="A65" s="11">
        <v>45627</v>
      </c>
      <c r="B65" s="251"/>
      <c r="C65" s="251"/>
      <c r="D65" s="251">
        <v>5</v>
      </c>
      <c r="E65" s="251"/>
      <c r="F65" s="251">
        <v>44</v>
      </c>
      <c r="G65" s="251"/>
      <c r="H65" s="251"/>
      <c r="I65" s="251"/>
      <c r="J65" s="251"/>
      <c r="K65" s="251"/>
      <c r="L65" s="251"/>
      <c r="M65" s="13"/>
      <c r="N65" s="251">
        <f t="shared" si="2"/>
        <v>49</v>
      </c>
      <c r="O65" s="251">
        <f>'BBD Monthly Production'!P32*12</f>
        <v>76.006893398498562</v>
      </c>
      <c r="P65" s="271">
        <f t="shared" si="3"/>
        <v>1.5511610897652768</v>
      </c>
      <c r="Y65" s="251">
        <f>SUM('RD Feedstock'!F63,'RD Feedstock'!I63)</f>
        <v>23.121874999999999</v>
      </c>
      <c r="Z65" s="251">
        <f>SUM('RD Feedstock'!G63,'RD Feedstock'!J63)</f>
        <v>7.65625</v>
      </c>
      <c r="AA65" s="251">
        <v>0</v>
      </c>
      <c r="AB65" s="251">
        <f>SUM('RD Feedstock'!B63,'RD Feedstock'!D63,'RD Feedstock'!H63)</f>
        <v>0</v>
      </c>
      <c r="AC65" s="251">
        <f>SUM('RD Feedstock'!C63,'RD Feedstock'!E63)</f>
        <v>0</v>
      </c>
      <c r="AD65" s="251">
        <f t="shared" si="1"/>
        <v>30.778124999999999</v>
      </c>
      <c r="AH65" s="237">
        <f t="shared" si="15"/>
        <v>0.75124378109452739</v>
      </c>
      <c r="AI65" s="237">
        <f t="shared" si="15"/>
        <v>0.24875621890547264</v>
      </c>
      <c r="AJ65" s="237">
        <f t="shared" si="15"/>
        <v>0</v>
      </c>
      <c r="AK65" s="237">
        <f t="shared" si="15"/>
        <v>0</v>
      </c>
      <c r="AL65" s="237">
        <f t="shared" si="15"/>
        <v>0</v>
      </c>
      <c r="AM65" s="237">
        <f t="shared" si="9"/>
        <v>1</v>
      </c>
      <c r="AO65" s="237">
        <f t="shared" si="10"/>
        <v>0.75124378109452739</v>
      </c>
      <c r="AP65" s="237">
        <f t="shared" si="11"/>
        <v>0.24875621890547264</v>
      </c>
      <c r="AQ65" s="237">
        <f t="shared" si="12"/>
        <v>0</v>
      </c>
      <c r="AR65" s="237">
        <v>0</v>
      </c>
      <c r="AS65" s="237">
        <v>0</v>
      </c>
      <c r="AU65" s="251">
        <f t="shared" si="13"/>
        <v>20245.16531435951</v>
      </c>
      <c r="AV65" s="251">
        <f t="shared" si="13"/>
        <v>5724.5857103326671</v>
      </c>
      <c r="AW65" s="251">
        <f t="shared" si="13"/>
        <v>0</v>
      </c>
      <c r="AX65" s="251">
        <f t="shared" si="13"/>
        <v>0</v>
      </c>
      <c r="AY65" s="251">
        <f t="shared" si="13"/>
        <v>0</v>
      </c>
      <c r="AZ65" s="251">
        <f t="shared" ref="AZ65:AZ128" si="16">SUM(AU65:AY65)</f>
        <v>25969.751024692177</v>
      </c>
      <c r="BA65" s="270">
        <f t="shared" si="14"/>
        <v>9.0392039800995043</v>
      </c>
      <c r="BB65" s="251">
        <f t="shared" si="7"/>
        <v>25969.751024692177</v>
      </c>
      <c r="BC65" s="251">
        <f>SUM(AX65:AY65)</f>
        <v>0</v>
      </c>
    </row>
    <row r="66" spans="1:55">
      <c r="A66" s="11">
        <v>45658</v>
      </c>
      <c r="B66" s="251"/>
      <c r="C66" s="251"/>
      <c r="D66" s="251">
        <v>5</v>
      </c>
      <c r="E66" s="251"/>
      <c r="F66" s="251">
        <v>44</v>
      </c>
      <c r="G66" s="251"/>
      <c r="H66" s="251"/>
      <c r="I66" s="251"/>
      <c r="J66" s="251"/>
      <c r="K66" s="251"/>
      <c r="L66" s="251"/>
      <c r="M66" s="13"/>
      <c r="N66" s="251">
        <f t="shared" si="2"/>
        <v>49</v>
      </c>
      <c r="O66" s="251">
        <f>'BBD Monthly Production'!Q21*12</f>
        <v>26.178638198720524</v>
      </c>
      <c r="P66" s="271">
        <f t="shared" si="3"/>
        <v>0.53425792242286785</v>
      </c>
      <c r="Y66" s="251">
        <f>SUM('RD Feedstock'!F64,'RD Feedstock'!I64)</f>
        <v>23.121874999999999</v>
      </c>
      <c r="Z66" s="251">
        <f>SUM('RD Feedstock'!G64,'RD Feedstock'!J64)</f>
        <v>7.65625</v>
      </c>
      <c r="AA66" s="251">
        <v>0</v>
      </c>
      <c r="AB66" s="251">
        <f>SUM('RD Feedstock'!B64,'RD Feedstock'!D64,'RD Feedstock'!H64)</f>
        <v>0</v>
      </c>
      <c r="AC66" s="251">
        <f>SUM('RD Feedstock'!C64,'RD Feedstock'!E64)</f>
        <v>0</v>
      </c>
      <c r="AD66" s="251">
        <f t="shared" si="1"/>
        <v>30.778124999999999</v>
      </c>
      <c r="AH66" s="237">
        <f t="shared" si="15"/>
        <v>0.75124378109452739</v>
      </c>
      <c r="AI66" s="237">
        <f t="shared" si="15"/>
        <v>0.24875621890547264</v>
      </c>
      <c r="AJ66" s="237">
        <f t="shared" si="15"/>
        <v>0</v>
      </c>
      <c r="AK66" s="237">
        <f t="shared" si="15"/>
        <v>0</v>
      </c>
      <c r="AL66" s="237">
        <f t="shared" si="15"/>
        <v>0</v>
      </c>
      <c r="AM66" s="237">
        <f t="shared" si="9"/>
        <v>1</v>
      </c>
      <c r="AO66" s="237">
        <f t="shared" si="10"/>
        <v>0.75124378109452739</v>
      </c>
      <c r="AP66" s="237">
        <f t="shared" si="11"/>
        <v>0.24875621890547264</v>
      </c>
      <c r="AQ66" s="237">
        <f t="shared" si="12"/>
        <v>0</v>
      </c>
      <c r="AR66" s="237">
        <v>0</v>
      </c>
      <c r="AS66" s="237">
        <v>0</v>
      </c>
      <c r="AU66" s="251">
        <f t="shared" ref="AU66:AY128" si="17">(($O66/12)*(AH66*Y$5))/2204.622*1000000</f>
        <v>6972.931458456017</v>
      </c>
      <c r="AV66" s="251">
        <f t="shared" si="17"/>
        <v>1971.6877173580781</v>
      </c>
      <c r="AW66" s="251">
        <f t="shared" si="17"/>
        <v>0</v>
      </c>
      <c r="AX66" s="251">
        <f t="shared" si="17"/>
        <v>0</v>
      </c>
      <c r="AY66" s="251">
        <f t="shared" si="17"/>
        <v>0</v>
      </c>
      <c r="AZ66" s="251">
        <f t="shared" si="16"/>
        <v>8944.6191758140958</v>
      </c>
      <c r="BA66" s="270">
        <f t="shared" si="14"/>
        <v>9.0392039800995043</v>
      </c>
      <c r="BB66" s="251">
        <f t="shared" si="7"/>
        <v>8944.6191758140958</v>
      </c>
      <c r="BC66" s="251">
        <f t="shared" si="8"/>
        <v>0</v>
      </c>
    </row>
    <row r="67" spans="1:55">
      <c r="A67" s="11">
        <v>45689</v>
      </c>
      <c r="B67" s="251"/>
      <c r="C67" s="251"/>
      <c r="D67" s="251">
        <v>5</v>
      </c>
      <c r="E67" s="251"/>
      <c r="F67" s="251">
        <v>44</v>
      </c>
      <c r="G67" s="251"/>
      <c r="H67" s="251"/>
      <c r="I67" s="251"/>
      <c r="J67" s="251"/>
      <c r="K67" s="251"/>
      <c r="L67" s="251"/>
      <c r="M67" s="13"/>
      <c r="N67" s="251">
        <f t="shared" si="2"/>
        <v>49</v>
      </c>
      <c r="O67" s="251">
        <f>'BBD Monthly Production'!Q22*12</f>
        <v>26.352744964165073</v>
      </c>
      <c r="P67" s="271">
        <f t="shared" si="3"/>
        <v>0.53781112171765455</v>
      </c>
      <c r="Y67" s="251">
        <f>SUM('RD Feedstock'!F65,'RD Feedstock'!I65)</f>
        <v>23.121874999999999</v>
      </c>
      <c r="Z67" s="251">
        <f>SUM('RD Feedstock'!G65,'RD Feedstock'!J65)</f>
        <v>7.65625</v>
      </c>
      <c r="AA67" s="251">
        <v>0</v>
      </c>
      <c r="AB67" s="251">
        <f>SUM('RD Feedstock'!B65,'RD Feedstock'!D65,'RD Feedstock'!H65)</f>
        <v>0</v>
      </c>
      <c r="AC67" s="251">
        <f>SUM('RD Feedstock'!C65,'RD Feedstock'!E65)</f>
        <v>0</v>
      </c>
      <c r="AD67" s="251">
        <f t="shared" si="1"/>
        <v>30.778124999999999</v>
      </c>
      <c r="AH67" s="237">
        <f t="shared" si="15"/>
        <v>0.75124378109452739</v>
      </c>
      <c r="AI67" s="237">
        <f t="shared" si="15"/>
        <v>0.24875621890547264</v>
      </c>
      <c r="AJ67" s="237">
        <f t="shared" si="15"/>
        <v>0</v>
      </c>
      <c r="AK67" s="237">
        <f t="shared" si="15"/>
        <v>0</v>
      </c>
      <c r="AL67" s="237">
        <f t="shared" si="15"/>
        <v>0</v>
      </c>
      <c r="AM67" s="237">
        <f t="shared" si="9"/>
        <v>1</v>
      </c>
      <c r="AO67" s="237">
        <f t="shared" si="10"/>
        <v>0.75124378109452739</v>
      </c>
      <c r="AP67" s="237">
        <f t="shared" si="11"/>
        <v>0.24875621890547264</v>
      </c>
      <c r="AQ67" s="237">
        <f t="shared" si="12"/>
        <v>0</v>
      </c>
      <c r="AR67" s="237">
        <v>0</v>
      </c>
      <c r="AS67" s="237">
        <v>0</v>
      </c>
      <c r="AU67" s="251">
        <f t="shared" si="17"/>
        <v>7019.3064659213651</v>
      </c>
      <c r="AV67" s="251">
        <f t="shared" si="17"/>
        <v>1984.8008582453199</v>
      </c>
      <c r="AW67" s="251">
        <f t="shared" si="17"/>
        <v>0</v>
      </c>
      <c r="AX67" s="251">
        <f t="shared" si="17"/>
        <v>0</v>
      </c>
      <c r="AY67" s="251">
        <f t="shared" si="17"/>
        <v>0</v>
      </c>
      <c r="AZ67" s="251">
        <f t="shared" si="16"/>
        <v>9004.1073241666854</v>
      </c>
      <c r="BA67" s="270">
        <f t="shared" si="14"/>
        <v>9.0392039800995025</v>
      </c>
      <c r="BB67" s="251">
        <f t="shared" si="7"/>
        <v>9004.1073241666854</v>
      </c>
      <c r="BC67" s="251">
        <f t="shared" si="8"/>
        <v>0</v>
      </c>
    </row>
    <row r="68" spans="1:55">
      <c r="A68" s="11">
        <v>45717</v>
      </c>
      <c r="B68" s="251"/>
      <c r="C68" s="251"/>
      <c r="D68" s="251">
        <v>5</v>
      </c>
      <c r="E68" s="251"/>
      <c r="F68" s="251">
        <v>44</v>
      </c>
      <c r="G68" s="251"/>
      <c r="H68" s="251"/>
      <c r="I68" s="251"/>
      <c r="J68" s="251"/>
      <c r="K68" s="251"/>
      <c r="L68" s="251"/>
      <c r="M68" s="13"/>
      <c r="N68" s="251">
        <f t="shared" si="2"/>
        <v>49</v>
      </c>
      <c r="O68" s="251">
        <f>'BBD Monthly Production'!Q23*12</f>
        <v>67.536642334323844</v>
      </c>
      <c r="P68" s="271">
        <f t="shared" si="3"/>
        <v>1.3782988231494662</v>
      </c>
      <c r="Y68" s="251">
        <f>SUM('RD Feedstock'!F66,'RD Feedstock'!I66)</f>
        <v>23.121874999999999</v>
      </c>
      <c r="Z68" s="251">
        <f>SUM('RD Feedstock'!G66,'RD Feedstock'!J66)</f>
        <v>7.65625</v>
      </c>
      <c r="AA68" s="251">
        <v>0</v>
      </c>
      <c r="AB68" s="251">
        <f>SUM('RD Feedstock'!B66,'RD Feedstock'!D66,'RD Feedstock'!H66)</f>
        <v>0</v>
      </c>
      <c r="AC68" s="251">
        <f>SUM('RD Feedstock'!C66,'RD Feedstock'!E66)</f>
        <v>0</v>
      </c>
      <c r="AD68" s="251">
        <f t="shared" si="1"/>
        <v>30.778124999999999</v>
      </c>
      <c r="AH68" s="237">
        <f t="shared" si="15"/>
        <v>0.75124378109452739</v>
      </c>
      <c r="AI68" s="237">
        <f t="shared" si="15"/>
        <v>0.24875621890547264</v>
      </c>
      <c r="AJ68" s="237">
        <f t="shared" si="15"/>
        <v>0</v>
      </c>
      <c r="AK68" s="237">
        <f t="shared" si="15"/>
        <v>0</v>
      </c>
      <c r="AL68" s="237">
        <f t="shared" si="15"/>
        <v>0</v>
      </c>
      <c r="AM68" s="237">
        <f t="shared" si="9"/>
        <v>1</v>
      </c>
      <c r="AO68" s="237">
        <f t="shared" si="10"/>
        <v>0.75124378109452739</v>
      </c>
      <c r="AP68" s="237">
        <f t="shared" si="11"/>
        <v>0.24875621890547264</v>
      </c>
      <c r="AQ68" s="237">
        <f t="shared" si="12"/>
        <v>0</v>
      </c>
      <c r="AR68" s="237">
        <v>0</v>
      </c>
      <c r="AS68" s="237">
        <v>0</v>
      </c>
      <c r="AU68" s="251">
        <f t="shared" si="17"/>
        <v>17989.032674530627</v>
      </c>
      <c r="AV68" s="251">
        <f t="shared" si="17"/>
        <v>5086.6346504112717</v>
      </c>
      <c r="AW68" s="251">
        <f t="shared" si="17"/>
        <v>0</v>
      </c>
      <c r="AX68" s="251">
        <f t="shared" si="17"/>
        <v>0</v>
      </c>
      <c r="AY68" s="251">
        <f t="shared" si="17"/>
        <v>0</v>
      </c>
      <c r="AZ68" s="251">
        <f t="shared" si="16"/>
        <v>23075.667324941896</v>
      </c>
      <c r="BA68" s="270">
        <f t="shared" si="14"/>
        <v>9.0392039800995025</v>
      </c>
      <c r="BB68" s="251">
        <f t="shared" si="7"/>
        <v>23075.667324941896</v>
      </c>
      <c r="BC68" s="251">
        <f t="shared" si="8"/>
        <v>0</v>
      </c>
    </row>
    <row r="69" spans="1:55">
      <c r="A69" s="11">
        <v>45748</v>
      </c>
      <c r="B69" s="251"/>
      <c r="C69" s="251"/>
      <c r="D69" s="251">
        <v>5</v>
      </c>
      <c r="E69" s="251"/>
      <c r="F69" s="251">
        <v>44</v>
      </c>
      <c r="G69" s="251"/>
      <c r="H69" s="251"/>
      <c r="I69" s="251"/>
      <c r="J69" s="251"/>
      <c r="K69" s="251"/>
      <c r="L69" s="251"/>
      <c r="M69" s="13"/>
      <c r="N69" s="251">
        <f t="shared" si="2"/>
        <v>49</v>
      </c>
      <c r="O69" s="251">
        <f>'BBD Monthly Production'!Q24*12</f>
        <v>60.926191449235503</v>
      </c>
      <c r="P69" s="271">
        <f t="shared" si="3"/>
        <v>1.243391662229296</v>
      </c>
      <c r="Y69" s="251">
        <f>SUM('RD Feedstock'!F67,'RD Feedstock'!I67)</f>
        <v>23.121874999999999</v>
      </c>
      <c r="Z69" s="251">
        <f>SUM('RD Feedstock'!G67,'RD Feedstock'!J67)</f>
        <v>7.65625</v>
      </c>
      <c r="AA69" s="251">
        <v>0</v>
      </c>
      <c r="AB69" s="251">
        <f>SUM('RD Feedstock'!B67,'RD Feedstock'!D67,'RD Feedstock'!H67)</f>
        <v>0</v>
      </c>
      <c r="AC69" s="251">
        <f>SUM('RD Feedstock'!C67,'RD Feedstock'!E67)</f>
        <v>0</v>
      </c>
      <c r="AD69" s="251">
        <f t="shared" si="1"/>
        <v>30.778124999999999</v>
      </c>
      <c r="AH69" s="237">
        <f t="shared" si="15"/>
        <v>0.75124378109452739</v>
      </c>
      <c r="AI69" s="237">
        <f t="shared" si="15"/>
        <v>0.24875621890547264</v>
      </c>
      <c r="AJ69" s="237">
        <f t="shared" si="15"/>
        <v>0</v>
      </c>
      <c r="AK69" s="237">
        <f t="shared" si="15"/>
        <v>0</v>
      </c>
      <c r="AL69" s="237">
        <f t="shared" si="15"/>
        <v>0</v>
      </c>
      <c r="AM69" s="237">
        <f t="shared" si="9"/>
        <v>1</v>
      </c>
      <c r="AO69" s="237">
        <f t="shared" si="10"/>
        <v>0.75124378109452739</v>
      </c>
      <c r="AP69" s="237">
        <f t="shared" si="11"/>
        <v>0.24875621890547264</v>
      </c>
      <c r="AQ69" s="237">
        <f t="shared" si="12"/>
        <v>0</v>
      </c>
      <c r="AR69" s="237">
        <v>0</v>
      </c>
      <c r="AS69" s="237">
        <v>0</v>
      </c>
      <c r="AU69" s="251">
        <f t="shared" si="17"/>
        <v>16228.275656487431</v>
      </c>
      <c r="AV69" s="251">
        <f t="shared" si="17"/>
        <v>4588.7575371180164</v>
      </c>
      <c r="AW69" s="251">
        <f t="shared" si="17"/>
        <v>0</v>
      </c>
      <c r="AX69" s="251">
        <f t="shared" si="17"/>
        <v>0</v>
      </c>
      <c r="AY69" s="251">
        <f t="shared" si="17"/>
        <v>0</v>
      </c>
      <c r="AZ69" s="251">
        <f t="shared" si="16"/>
        <v>20817.033193605446</v>
      </c>
      <c r="BA69" s="270">
        <f t="shared" si="14"/>
        <v>9.0392039800995025</v>
      </c>
      <c r="BB69" s="251">
        <f t="shared" si="7"/>
        <v>20817.033193605446</v>
      </c>
      <c r="BC69" s="251">
        <f t="shared" si="8"/>
        <v>0</v>
      </c>
    </row>
    <row r="70" spans="1:55">
      <c r="A70" s="11">
        <v>45778</v>
      </c>
      <c r="B70" s="251"/>
      <c r="C70" s="251"/>
      <c r="D70" s="251">
        <v>5</v>
      </c>
      <c r="E70" s="251"/>
      <c r="F70" s="251">
        <v>44</v>
      </c>
      <c r="G70" s="251"/>
      <c r="H70" s="251"/>
      <c r="I70" s="251"/>
      <c r="J70" s="251"/>
      <c r="K70" s="251"/>
      <c r="L70" s="251"/>
      <c r="M70" s="13"/>
      <c r="N70" s="251">
        <f t="shared" si="2"/>
        <v>49</v>
      </c>
      <c r="O70" s="251">
        <f>'BBD Monthly Production'!Q25*12</f>
        <v>64.417846066169687</v>
      </c>
      <c r="P70" s="271">
        <f t="shared" si="3"/>
        <v>1.3146499197177488</v>
      </c>
      <c r="Y70" s="251">
        <f>SUM('RD Feedstock'!F68,'RD Feedstock'!I68)</f>
        <v>23.121874999999999</v>
      </c>
      <c r="Z70" s="251">
        <f>SUM('RD Feedstock'!G68,'RD Feedstock'!J68)</f>
        <v>7.65625</v>
      </c>
      <c r="AA70" s="251">
        <v>0</v>
      </c>
      <c r="AB70" s="251">
        <f>SUM('RD Feedstock'!B68,'RD Feedstock'!D68,'RD Feedstock'!H68)</f>
        <v>0</v>
      </c>
      <c r="AC70" s="251">
        <f>SUM('RD Feedstock'!C68,'RD Feedstock'!E68)</f>
        <v>0</v>
      </c>
      <c r="AD70" s="251">
        <f t="shared" si="1"/>
        <v>30.778124999999999</v>
      </c>
      <c r="AH70" s="237">
        <f t="shared" si="15"/>
        <v>0.75124378109452739</v>
      </c>
      <c r="AI70" s="237">
        <f t="shared" si="15"/>
        <v>0.24875621890547264</v>
      </c>
      <c r="AJ70" s="237">
        <f t="shared" si="15"/>
        <v>0</v>
      </c>
      <c r="AK70" s="237">
        <f t="shared" si="15"/>
        <v>0</v>
      </c>
      <c r="AL70" s="237">
        <f t="shared" si="15"/>
        <v>0</v>
      </c>
      <c r="AM70" s="237">
        <f t="shared" si="9"/>
        <v>1</v>
      </c>
      <c r="AO70" s="237">
        <f t="shared" si="10"/>
        <v>0.75124378109452739</v>
      </c>
      <c r="AP70" s="237">
        <f t="shared" si="11"/>
        <v>0.24875621890547264</v>
      </c>
      <c r="AQ70" s="237">
        <f t="shared" si="12"/>
        <v>0</v>
      </c>
      <c r="AR70" s="237">
        <v>0</v>
      </c>
      <c r="AS70" s="237">
        <v>0</v>
      </c>
      <c r="AU70" s="251">
        <f t="shared" si="17"/>
        <v>17158.311364825902</v>
      </c>
      <c r="AV70" s="251">
        <f t="shared" si="17"/>
        <v>4851.7373173955939</v>
      </c>
      <c r="AW70" s="251">
        <f t="shared" si="17"/>
        <v>0</v>
      </c>
      <c r="AX70" s="251">
        <f t="shared" si="17"/>
        <v>0</v>
      </c>
      <c r="AY70" s="251">
        <f t="shared" si="17"/>
        <v>0</v>
      </c>
      <c r="AZ70" s="251">
        <f t="shared" si="16"/>
        <v>22010.048682221495</v>
      </c>
      <c r="BA70" s="270">
        <f t="shared" si="14"/>
        <v>9.0392039800995043</v>
      </c>
      <c r="BB70" s="251">
        <f t="shared" si="7"/>
        <v>22010.048682221495</v>
      </c>
      <c r="BC70" s="251">
        <f t="shared" si="8"/>
        <v>0</v>
      </c>
    </row>
    <row r="71" spans="1:55">
      <c r="A71" s="11">
        <v>45809</v>
      </c>
      <c r="B71" s="251"/>
      <c r="C71" s="251"/>
      <c r="D71" s="251">
        <v>5</v>
      </c>
      <c r="E71" s="251"/>
      <c r="F71" s="251">
        <v>44</v>
      </c>
      <c r="G71" s="251"/>
      <c r="H71" s="251"/>
      <c r="I71" s="251"/>
      <c r="J71" s="251"/>
      <c r="K71" s="251"/>
      <c r="L71" s="251"/>
      <c r="M71" s="13"/>
      <c r="N71" s="251">
        <f t="shared" si="2"/>
        <v>49</v>
      </c>
      <c r="O71" s="251">
        <f>'BBD Monthly Production'!Q26*12</f>
        <v>77.459494222045436</v>
      </c>
      <c r="P71" s="271">
        <f t="shared" si="3"/>
        <v>1.5808060045315395</v>
      </c>
      <c r="Y71" s="251">
        <f>SUM('RD Feedstock'!F69,'RD Feedstock'!I69)</f>
        <v>23.121874999999999</v>
      </c>
      <c r="Z71" s="251">
        <f>SUM('RD Feedstock'!G69,'RD Feedstock'!J69)</f>
        <v>7.65625</v>
      </c>
      <c r="AA71" s="251">
        <v>0</v>
      </c>
      <c r="AB71" s="251">
        <f>SUM('RD Feedstock'!B69,'RD Feedstock'!D69,'RD Feedstock'!H69)</f>
        <v>0</v>
      </c>
      <c r="AC71" s="251">
        <f>SUM('RD Feedstock'!C69,'RD Feedstock'!E69)</f>
        <v>0</v>
      </c>
      <c r="AD71" s="251">
        <f t="shared" ref="AD71:AD134" si="18">SUM(Y71:AC71)</f>
        <v>30.778124999999999</v>
      </c>
      <c r="AH71" s="237">
        <f t="shared" si="15"/>
        <v>0.75124378109452739</v>
      </c>
      <c r="AI71" s="237">
        <f t="shared" si="15"/>
        <v>0.24875621890547264</v>
      </c>
      <c r="AJ71" s="237">
        <f t="shared" si="15"/>
        <v>0</v>
      </c>
      <c r="AK71" s="237">
        <f t="shared" si="15"/>
        <v>0</v>
      </c>
      <c r="AL71" s="237">
        <f t="shared" si="15"/>
        <v>0</v>
      </c>
      <c r="AM71" s="237">
        <f t="shared" si="9"/>
        <v>1</v>
      </c>
      <c r="AO71" s="237">
        <f t="shared" si="10"/>
        <v>0.75124378109452739</v>
      </c>
      <c r="AP71" s="237">
        <f t="shared" si="11"/>
        <v>0.24875621890547264</v>
      </c>
      <c r="AQ71" s="237">
        <f t="shared" si="12"/>
        <v>0</v>
      </c>
      <c r="AR71" s="237">
        <v>0</v>
      </c>
      <c r="AS71" s="237">
        <v>0</v>
      </c>
      <c r="AU71" s="251">
        <f t="shared" si="17"/>
        <v>20632.079480871966</v>
      </c>
      <c r="AV71" s="251">
        <f t="shared" si="17"/>
        <v>5833.9907596049234</v>
      </c>
      <c r="AW71" s="251">
        <f t="shared" si="17"/>
        <v>0</v>
      </c>
      <c r="AX71" s="251">
        <f t="shared" si="17"/>
        <v>0</v>
      </c>
      <c r="AY71" s="251">
        <f t="shared" si="17"/>
        <v>0</v>
      </c>
      <c r="AZ71" s="251">
        <f t="shared" si="16"/>
        <v>26466.070240476889</v>
      </c>
      <c r="BA71" s="270">
        <f t="shared" si="14"/>
        <v>9.0392039800995043</v>
      </c>
      <c r="BB71" s="251">
        <f t="shared" si="7"/>
        <v>26466.070240476889</v>
      </c>
      <c r="BC71" s="251">
        <f t="shared" si="8"/>
        <v>0</v>
      </c>
    </row>
    <row r="72" spans="1:55">
      <c r="A72" s="11">
        <v>45839</v>
      </c>
      <c r="B72" s="251"/>
      <c r="C72" s="251"/>
      <c r="D72" s="251">
        <v>5</v>
      </c>
      <c r="E72" s="251"/>
      <c r="F72" s="251">
        <v>44</v>
      </c>
      <c r="G72" s="251"/>
      <c r="H72" s="251"/>
      <c r="I72" s="251"/>
      <c r="J72" s="251"/>
      <c r="K72" s="251"/>
      <c r="L72" s="251"/>
      <c r="M72" s="13"/>
      <c r="N72" s="251">
        <f t="shared" si="2"/>
        <v>49</v>
      </c>
      <c r="O72" s="251">
        <f>'BBD Monthly Production'!Q27*12</f>
        <v>71.596655465484076</v>
      </c>
      <c r="P72" s="271">
        <f t="shared" si="3"/>
        <v>1.461156233989471</v>
      </c>
      <c r="Y72" s="251">
        <f>SUM('RD Feedstock'!F70,'RD Feedstock'!I70)</f>
        <v>23.121874999999999</v>
      </c>
      <c r="Z72" s="251">
        <f>SUM('RD Feedstock'!G70,'RD Feedstock'!J70)</f>
        <v>7.65625</v>
      </c>
      <c r="AA72" s="251">
        <v>0</v>
      </c>
      <c r="AB72" s="251">
        <f>SUM('RD Feedstock'!B70,'RD Feedstock'!D70,'RD Feedstock'!H70)</f>
        <v>0</v>
      </c>
      <c r="AC72" s="251">
        <f>SUM('RD Feedstock'!C70,'RD Feedstock'!E70)</f>
        <v>0</v>
      </c>
      <c r="AD72" s="251">
        <f t="shared" si="18"/>
        <v>30.778124999999999</v>
      </c>
      <c r="AH72" s="237">
        <f t="shared" si="15"/>
        <v>0.75124378109452739</v>
      </c>
      <c r="AI72" s="237">
        <f t="shared" si="15"/>
        <v>0.24875621890547264</v>
      </c>
      <c r="AJ72" s="237">
        <f t="shared" si="15"/>
        <v>0</v>
      </c>
      <c r="AK72" s="237">
        <f t="shared" si="15"/>
        <v>0</v>
      </c>
      <c r="AL72" s="237">
        <f t="shared" si="15"/>
        <v>0</v>
      </c>
      <c r="AM72" s="237">
        <f t="shared" si="9"/>
        <v>1</v>
      </c>
      <c r="AO72" s="237">
        <f t="shared" si="10"/>
        <v>0.75124378109452739</v>
      </c>
      <c r="AP72" s="237">
        <f t="shared" si="11"/>
        <v>0.24875621890547264</v>
      </c>
      <c r="AQ72" s="237">
        <f t="shared" si="12"/>
        <v>0</v>
      </c>
      <c r="AR72" s="237">
        <v>0</v>
      </c>
      <c r="AS72" s="237">
        <v>0</v>
      </c>
      <c r="AU72" s="251">
        <f t="shared" si="17"/>
        <v>19070.456126320238</v>
      </c>
      <c r="AV72" s="251">
        <f t="shared" si="17"/>
        <v>5392.4212983742045</v>
      </c>
      <c r="AW72" s="251">
        <f t="shared" si="17"/>
        <v>0</v>
      </c>
      <c r="AX72" s="251">
        <f t="shared" si="17"/>
        <v>0</v>
      </c>
      <c r="AY72" s="251">
        <f t="shared" si="17"/>
        <v>0</v>
      </c>
      <c r="AZ72" s="251">
        <f t="shared" si="16"/>
        <v>24462.877424694441</v>
      </c>
      <c r="BA72" s="270">
        <f t="shared" si="14"/>
        <v>9.0392039800995025</v>
      </c>
      <c r="BB72" s="251">
        <f t="shared" si="7"/>
        <v>24462.877424694441</v>
      </c>
      <c r="BC72" s="251">
        <f t="shared" si="8"/>
        <v>0</v>
      </c>
    </row>
    <row r="73" spans="1:55">
      <c r="A73" s="11">
        <v>45870</v>
      </c>
      <c r="B73" s="251"/>
      <c r="C73" s="251"/>
      <c r="D73" s="251">
        <v>5</v>
      </c>
      <c r="E73" s="251"/>
      <c r="F73" s="251">
        <v>44</v>
      </c>
      <c r="G73" s="251"/>
      <c r="H73" s="251"/>
      <c r="I73" s="251"/>
      <c r="J73" s="251"/>
      <c r="K73" s="251"/>
      <c r="L73" s="251"/>
      <c r="M73" s="13"/>
      <c r="N73" s="251">
        <f t="shared" si="2"/>
        <v>49</v>
      </c>
      <c r="O73" s="251">
        <f>'BBD Monthly Production'!Q28*12</f>
        <v>63.944800651994882</v>
      </c>
      <c r="P73" s="271">
        <f t="shared" si="3"/>
        <v>1.304995931673365</v>
      </c>
      <c r="Y73" s="251">
        <f>SUM('RD Feedstock'!F71,'RD Feedstock'!I71)</f>
        <v>23.121874999999999</v>
      </c>
      <c r="Z73" s="251">
        <f>SUM('RD Feedstock'!G71,'RD Feedstock'!J71)</f>
        <v>7.65625</v>
      </c>
      <c r="AA73" s="251">
        <v>0</v>
      </c>
      <c r="AB73" s="251">
        <f>SUM('RD Feedstock'!B71,'RD Feedstock'!D71,'RD Feedstock'!H71)</f>
        <v>0</v>
      </c>
      <c r="AC73" s="251">
        <f>SUM('RD Feedstock'!C71,'RD Feedstock'!E71)</f>
        <v>0</v>
      </c>
      <c r="AD73" s="251">
        <f t="shared" si="18"/>
        <v>30.778124999999999</v>
      </c>
      <c r="AH73" s="237">
        <f t="shared" si="15"/>
        <v>0.75124378109452739</v>
      </c>
      <c r="AI73" s="237">
        <f t="shared" si="15"/>
        <v>0.24875621890547264</v>
      </c>
      <c r="AJ73" s="237">
        <f t="shared" si="15"/>
        <v>0</v>
      </c>
      <c r="AK73" s="237">
        <f t="shared" si="15"/>
        <v>0</v>
      </c>
      <c r="AL73" s="237">
        <f t="shared" si="15"/>
        <v>0</v>
      </c>
      <c r="AM73" s="237">
        <f t="shared" si="9"/>
        <v>1</v>
      </c>
      <c r="AO73" s="237">
        <f t="shared" si="10"/>
        <v>0.75124378109452739</v>
      </c>
      <c r="AP73" s="237">
        <f t="shared" si="11"/>
        <v>0.24875621890547264</v>
      </c>
      <c r="AQ73" s="237">
        <f t="shared" si="12"/>
        <v>0</v>
      </c>
      <c r="AR73" s="237">
        <v>0</v>
      </c>
      <c r="AS73" s="237">
        <v>0</v>
      </c>
      <c r="AU73" s="251">
        <f t="shared" si="17"/>
        <v>17032.311180066899</v>
      </c>
      <c r="AV73" s="251">
        <f t="shared" si="17"/>
        <v>4816.1091145150258</v>
      </c>
      <c r="AW73" s="251">
        <f t="shared" si="17"/>
        <v>0</v>
      </c>
      <c r="AX73" s="251">
        <f t="shared" si="17"/>
        <v>0</v>
      </c>
      <c r="AY73" s="251">
        <f t="shared" si="17"/>
        <v>0</v>
      </c>
      <c r="AZ73" s="251">
        <f t="shared" si="16"/>
        <v>21848.420294581927</v>
      </c>
      <c r="BA73" s="270">
        <f t="shared" si="14"/>
        <v>9.0392039800995043</v>
      </c>
      <c r="BB73" s="251">
        <f t="shared" si="7"/>
        <v>21848.420294581927</v>
      </c>
      <c r="BC73" s="251">
        <f t="shared" si="8"/>
        <v>0</v>
      </c>
    </row>
    <row r="74" spans="1:55">
      <c r="A74" s="11">
        <v>45901</v>
      </c>
      <c r="B74" s="251"/>
      <c r="C74" s="251"/>
      <c r="D74" s="251">
        <v>5</v>
      </c>
      <c r="E74" s="251"/>
      <c r="F74" s="251">
        <v>44</v>
      </c>
      <c r="G74" s="251"/>
      <c r="H74" s="251"/>
      <c r="I74" s="251"/>
      <c r="J74" s="251"/>
      <c r="K74" s="251"/>
      <c r="L74" s="251"/>
      <c r="M74" s="13"/>
      <c r="N74" s="251">
        <f t="shared" si="2"/>
        <v>49</v>
      </c>
      <c r="O74" s="251">
        <f>'BBD Monthly Production'!Q29*12</f>
        <v>68.789251427610964</v>
      </c>
      <c r="P74" s="271">
        <f t="shared" si="3"/>
        <v>1.4038622740328768</v>
      </c>
      <c r="Y74" s="251">
        <f>SUM('RD Feedstock'!F72,'RD Feedstock'!I72)</f>
        <v>23.121874999999999</v>
      </c>
      <c r="Z74" s="251">
        <f>SUM('RD Feedstock'!G72,'RD Feedstock'!J72)</f>
        <v>7.65625</v>
      </c>
      <c r="AA74" s="251">
        <v>0</v>
      </c>
      <c r="AB74" s="251">
        <f>SUM('RD Feedstock'!B72,'RD Feedstock'!D72,'RD Feedstock'!H72)</f>
        <v>0</v>
      </c>
      <c r="AC74" s="251">
        <f>SUM('RD Feedstock'!C72,'RD Feedstock'!E72)</f>
        <v>0</v>
      </c>
      <c r="AD74" s="251">
        <f t="shared" si="18"/>
        <v>30.778124999999999</v>
      </c>
      <c r="AH74" s="237">
        <f t="shared" si="15"/>
        <v>0.75124378109452739</v>
      </c>
      <c r="AI74" s="237">
        <f t="shared" si="15"/>
        <v>0.24875621890547264</v>
      </c>
      <c r="AJ74" s="237">
        <f t="shared" si="15"/>
        <v>0</v>
      </c>
      <c r="AK74" s="237">
        <f t="shared" si="15"/>
        <v>0</v>
      </c>
      <c r="AL74" s="237">
        <f t="shared" si="15"/>
        <v>0</v>
      </c>
      <c r="AM74" s="237">
        <f t="shared" si="9"/>
        <v>1</v>
      </c>
      <c r="AO74" s="237">
        <f t="shared" si="10"/>
        <v>0.75124378109452739</v>
      </c>
      <c r="AP74" s="237">
        <f t="shared" si="11"/>
        <v>0.24875621890547264</v>
      </c>
      <c r="AQ74" s="237">
        <f t="shared" si="12"/>
        <v>0</v>
      </c>
      <c r="AR74" s="237">
        <v>0</v>
      </c>
      <c r="AS74" s="237">
        <v>0</v>
      </c>
      <c r="AU74" s="251">
        <f t="shared" si="17"/>
        <v>18322.677124842667</v>
      </c>
      <c r="AV74" s="251">
        <f t="shared" si="17"/>
        <v>5180.9769895787067</v>
      </c>
      <c r="AW74" s="251">
        <f t="shared" si="17"/>
        <v>0</v>
      </c>
      <c r="AX74" s="251">
        <f t="shared" si="17"/>
        <v>0</v>
      </c>
      <c r="AY74" s="251">
        <f t="shared" si="17"/>
        <v>0</v>
      </c>
      <c r="AZ74" s="251">
        <f t="shared" si="16"/>
        <v>23503.654114421373</v>
      </c>
      <c r="BA74" s="270">
        <f t="shared" si="14"/>
        <v>9.0392039800995043</v>
      </c>
      <c r="BB74" s="251">
        <f t="shared" si="7"/>
        <v>23503.654114421373</v>
      </c>
      <c r="BC74" s="251">
        <f t="shared" si="8"/>
        <v>0</v>
      </c>
    </row>
    <row r="75" spans="1:55">
      <c r="A75" s="11">
        <v>45931</v>
      </c>
      <c r="B75" s="251"/>
      <c r="C75" s="251"/>
      <c r="D75" s="251">
        <v>5</v>
      </c>
      <c r="E75" s="251"/>
      <c r="F75" s="251">
        <v>44</v>
      </c>
      <c r="G75" s="251"/>
      <c r="H75" s="251"/>
      <c r="I75" s="251"/>
      <c r="J75" s="251"/>
      <c r="K75" s="251"/>
      <c r="L75" s="251"/>
      <c r="M75" s="13"/>
      <c r="N75" s="251">
        <f t="shared" si="2"/>
        <v>49</v>
      </c>
      <c r="O75" s="251">
        <f>'BBD Monthly Production'!Q30*12</f>
        <v>60.468851034500972</v>
      </c>
      <c r="P75" s="271">
        <f t="shared" si="3"/>
        <v>1.2340581843775709</v>
      </c>
      <c r="Y75" s="251">
        <f>SUM('RD Feedstock'!F73,'RD Feedstock'!I73)</f>
        <v>23.121874999999999</v>
      </c>
      <c r="Z75" s="251">
        <f>SUM('RD Feedstock'!G73,'RD Feedstock'!J73)</f>
        <v>7.65625</v>
      </c>
      <c r="AA75" s="251">
        <v>0</v>
      </c>
      <c r="AB75" s="251">
        <f>SUM('RD Feedstock'!B73,'RD Feedstock'!D73,'RD Feedstock'!H73)</f>
        <v>0</v>
      </c>
      <c r="AC75" s="251">
        <f>SUM('RD Feedstock'!C73,'RD Feedstock'!E73)</f>
        <v>0</v>
      </c>
      <c r="AD75" s="251">
        <f t="shared" si="18"/>
        <v>30.778124999999999</v>
      </c>
      <c r="AH75" s="237">
        <f t="shared" si="15"/>
        <v>0.75124378109452739</v>
      </c>
      <c r="AI75" s="237">
        <f t="shared" si="15"/>
        <v>0.24875621890547264</v>
      </c>
      <c r="AJ75" s="237">
        <f t="shared" si="15"/>
        <v>0</v>
      </c>
      <c r="AK75" s="237">
        <f t="shared" si="15"/>
        <v>0</v>
      </c>
      <c r="AL75" s="237">
        <f t="shared" si="15"/>
        <v>0</v>
      </c>
      <c r="AM75" s="237">
        <f t="shared" si="9"/>
        <v>1</v>
      </c>
      <c r="AO75" s="237">
        <f t="shared" si="10"/>
        <v>0.75124378109452739</v>
      </c>
      <c r="AP75" s="237">
        <f t="shared" si="11"/>
        <v>0.24875621890547264</v>
      </c>
      <c r="AQ75" s="237">
        <f t="shared" si="12"/>
        <v>0</v>
      </c>
      <c r="AR75" s="237">
        <v>0</v>
      </c>
      <c r="AS75" s="237">
        <v>0</v>
      </c>
      <c r="AU75" s="251">
        <f t="shared" si="17"/>
        <v>16106.458649012931</v>
      </c>
      <c r="AV75" s="251">
        <f t="shared" si="17"/>
        <v>4554.3121824155087</v>
      </c>
      <c r="AW75" s="251">
        <f t="shared" si="17"/>
        <v>0</v>
      </c>
      <c r="AX75" s="251">
        <f t="shared" si="17"/>
        <v>0</v>
      </c>
      <c r="AY75" s="251">
        <f t="shared" si="17"/>
        <v>0</v>
      </c>
      <c r="AZ75" s="251">
        <f t="shared" si="16"/>
        <v>20660.770831428439</v>
      </c>
      <c r="BA75" s="270">
        <f t="shared" si="14"/>
        <v>9.0392039800995025</v>
      </c>
      <c r="BB75" s="251">
        <f t="shared" si="7"/>
        <v>20660.770831428439</v>
      </c>
      <c r="BC75" s="251">
        <f t="shared" si="8"/>
        <v>0</v>
      </c>
    </row>
    <row r="76" spans="1:55">
      <c r="A76" s="11">
        <v>45962</v>
      </c>
      <c r="B76" s="251"/>
      <c r="C76" s="251"/>
      <c r="D76" s="251">
        <v>5</v>
      </c>
      <c r="E76" s="251"/>
      <c r="F76" s="251">
        <v>44</v>
      </c>
      <c r="G76" s="251"/>
      <c r="H76" s="251"/>
      <c r="I76" s="251"/>
      <c r="J76" s="251"/>
      <c r="K76" s="251"/>
      <c r="L76" s="251"/>
      <c r="M76" s="13"/>
      <c r="N76" s="251">
        <f t="shared" si="2"/>
        <v>49</v>
      </c>
      <c r="O76" s="251">
        <f>'BBD Monthly Production'!Q31*12</f>
        <v>74.406767261881342</v>
      </c>
      <c r="P76" s="271">
        <f t="shared" si="3"/>
        <v>1.518505454324109</v>
      </c>
      <c r="Y76" s="251">
        <f>SUM('RD Feedstock'!F74,'RD Feedstock'!I74)</f>
        <v>23.121874999999999</v>
      </c>
      <c r="Z76" s="251">
        <f>SUM('RD Feedstock'!G74,'RD Feedstock'!J74)</f>
        <v>7.65625</v>
      </c>
      <c r="AA76" s="251">
        <v>0</v>
      </c>
      <c r="AB76" s="251">
        <f>SUM('RD Feedstock'!B74,'RD Feedstock'!D74,'RD Feedstock'!H74)</f>
        <v>0</v>
      </c>
      <c r="AC76" s="251">
        <f>SUM('RD Feedstock'!C74,'RD Feedstock'!E74)</f>
        <v>0</v>
      </c>
      <c r="AD76" s="251">
        <f t="shared" si="18"/>
        <v>30.778124999999999</v>
      </c>
      <c r="AH76" s="237">
        <f t="shared" si="15"/>
        <v>0.75124378109452739</v>
      </c>
      <c r="AI76" s="237">
        <f t="shared" si="15"/>
        <v>0.24875621890547264</v>
      </c>
      <c r="AJ76" s="237">
        <f t="shared" si="15"/>
        <v>0</v>
      </c>
      <c r="AK76" s="237">
        <f t="shared" si="15"/>
        <v>0</v>
      </c>
      <c r="AL76" s="237">
        <f t="shared" si="15"/>
        <v>0</v>
      </c>
      <c r="AM76" s="237">
        <f t="shared" si="9"/>
        <v>1</v>
      </c>
      <c r="AO76" s="237">
        <f t="shared" si="10"/>
        <v>0.75124378109452739</v>
      </c>
      <c r="AP76" s="237">
        <f t="shared" si="11"/>
        <v>0.24875621890547264</v>
      </c>
      <c r="AQ76" s="237">
        <f t="shared" si="12"/>
        <v>0</v>
      </c>
      <c r="AR76" s="237">
        <v>0</v>
      </c>
      <c r="AS76" s="237">
        <v>0</v>
      </c>
      <c r="AU76" s="251">
        <f t="shared" si="17"/>
        <v>19818.956365260648</v>
      </c>
      <c r="AV76" s="251">
        <f t="shared" si="17"/>
        <v>5604.0695465107456</v>
      </c>
      <c r="AW76" s="251">
        <f t="shared" si="17"/>
        <v>0</v>
      </c>
      <c r="AX76" s="251">
        <f t="shared" si="17"/>
        <v>0</v>
      </c>
      <c r="AY76" s="251">
        <f t="shared" si="17"/>
        <v>0</v>
      </c>
      <c r="AZ76" s="251">
        <f t="shared" si="16"/>
        <v>25423.025911771394</v>
      </c>
      <c r="BA76" s="270">
        <f t="shared" si="14"/>
        <v>9.0392039800995025</v>
      </c>
      <c r="BB76" s="251">
        <f t="shared" si="7"/>
        <v>25423.025911771394</v>
      </c>
      <c r="BC76" s="251">
        <f t="shared" si="8"/>
        <v>0</v>
      </c>
    </row>
    <row r="77" spans="1:55">
      <c r="A77" s="11">
        <v>45992</v>
      </c>
      <c r="B77" s="251"/>
      <c r="C77" s="251"/>
      <c r="D77" s="251">
        <v>5</v>
      </c>
      <c r="E77" s="251"/>
      <c r="F77" s="251">
        <v>44</v>
      </c>
      <c r="G77" s="251"/>
      <c r="H77" s="251"/>
      <c r="I77" s="251"/>
      <c r="J77" s="251"/>
      <c r="K77" s="251"/>
      <c r="L77" s="251"/>
      <c r="M77" s="13"/>
      <c r="N77" s="251">
        <f t="shared" si="2"/>
        <v>49</v>
      </c>
      <c r="O77" s="251">
        <f>'BBD Monthly Production'!Q32*12</f>
        <v>119.42292648439883</v>
      </c>
      <c r="P77" s="271">
        <f t="shared" si="3"/>
        <v>2.4372025813142617</v>
      </c>
      <c r="Y77" s="251">
        <f>SUM('RD Feedstock'!F75,'RD Feedstock'!I75)</f>
        <v>23.121874999999999</v>
      </c>
      <c r="Z77" s="251">
        <f>SUM('RD Feedstock'!G75,'RD Feedstock'!J75)</f>
        <v>7.65625</v>
      </c>
      <c r="AA77" s="251">
        <v>0</v>
      </c>
      <c r="AB77" s="251">
        <f>SUM('RD Feedstock'!B75,'RD Feedstock'!D75,'RD Feedstock'!H75)</f>
        <v>0</v>
      </c>
      <c r="AC77" s="251">
        <f>SUM('RD Feedstock'!C75,'RD Feedstock'!E75)</f>
        <v>0</v>
      </c>
      <c r="AD77" s="251">
        <f t="shared" si="18"/>
        <v>30.778124999999999</v>
      </c>
      <c r="AH77" s="237">
        <f t="shared" si="15"/>
        <v>0.75124378109452739</v>
      </c>
      <c r="AI77" s="237">
        <f t="shared" si="15"/>
        <v>0.24875621890547264</v>
      </c>
      <c r="AJ77" s="237">
        <f t="shared" si="15"/>
        <v>0</v>
      </c>
      <c r="AK77" s="237">
        <f t="shared" si="15"/>
        <v>0</v>
      </c>
      <c r="AL77" s="237">
        <f t="shared" si="15"/>
        <v>0</v>
      </c>
      <c r="AM77" s="237">
        <f t="shared" si="9"/>
        <v>1</v>
      </c>
      <c r="AO77" s="237">
        <f t="shared" si="10"/>
        <v>0.75124378109452739</v>
      </c>
      <c r="AP77" s="237">
        <f t="shared" si="11"/>
        <v>0.24875621890547264</v>
      </c>
      <c r="AQ77" s="237">
        <f t="shared" si="12"/>
        <v>0</v>
      </c>
      <c r="AR77" s="237">
        <v>0</v>
      </c>
      <c r="AS77" s="237">
        <v>0</v>
      </c>
      <c r="AU77" s="251">
        <f t="shared" si="17"/>
        <v>31809.442287362537</v>
      </c>
      <c r="AV77" s="251">
        <f t="shared" si="17"/>
        <v>8994.536519923111</v>
      </c>
      <c r="AW77" s="251">
        <f t="shared" si="17"/>
        <v>0</v>
      </c>
      <c r="AX77" s="251">
        <f t="shared" si="17"/>
        <v>0</v>
      </c>
      <c r="AY77" s="251">
        <f t="shared" si="17"/>
        <v>0</v>
      </c>
      <c r="AZ77" s="251">
        <f t="shared" si="16"/>
        <v>40803.978807285646</v>
      </c>
      <c r="BA77" s="270">
        <f t="shared" si="14"/>
        <v>9.0392039800995025</v>
      </c>
      <c r="BB77" s="251">
        <f t="shared" si="7"/>
        <v>40803.978807285646</v>
      </c>
      <c r="BC77" s="251">
        <f t="shared" si="8"/>
        <v>0</v>
      </c>
    </row>
    <row r="78" spans="1:55">
      <c r="A78" s="11">
        <v>46023</v>
      </c>
      <c r="B78" s="251">
        <v>25</v>
      </c>
      <c r="C78" s="251">
        <v>50</v>
      </c>
      <c r="D78" s="251">
        <v>5</v>
      </c>
      <c r="E78" s="251"/>
      <c r="F78" s="251">
        <v>44</v>
      </c>
      <c r="G78" s="287">
        <v>0.33</v>
      </c>
      <c r="H78" s="287"/>
      <c r="I78" s="251"/>
      <c r="J78" s="251"/>
      <c r="K78" s="251"/>
      <c r="L78" s="251"/>
      <c r="M78" s="13"/>
      <c r="N78" s="251">
        <f t="shared" si="2"/>
        <v>124.33</v>
      </c>
      <c r="O78" s="251">
        <f>'BBD Monthly Production'!R21*12</f>
        <v>79.287315842872147</v>
      </c>
      <c r="P78" s="271">
        <f t="shared" si="3"/>
        <v>0.63771668819168459</v>
      </c>
      <c r="Y78" s="251">
        <f>SUM('RD Feedstock'!F76,'RD Feedstock'!I76)</f>
        <v>23.121874999999999</v>
      </c>
      <c r="Z78" s="251">
        <f>SUM('RD Feedstock'!G76,'RD Feedstock'!J76)</f>
        <v>7.65625</v>
      </c>
      <c r="AA78" s="251">
        <v>0</v>
      </c>
      <c r="AB78" s="251">
        <f>SUM('RD Feedstock'!B76,'RD Feedstock'!D76,'RD Feedstock'!H76)</f>
        <v>44.828125</v>
      </c>
      <c r="AC78" s="251">
        <f>SUM('RD Feedstock'!C76,'RD Feedstock'!E76)</f>
        <v>2.3437500000000004</v>
      </c>
      <c r="AD78" s="251">
        <f t="shared" si="18"/>
        <v>77.95</v>
      </c>
      <c r="AH78" s="237">
        <f t="shared" si="15"/>
        <v>0.29662443874278382</v>
      </c>
      <c r="AI78" s="237">
        <f t="shared" si="15"/>
        <v>9.8220012828736367E-2</v>
      </c>
      <c r="AJ78" s="237">
        <f t="shared" si="15"/>
        <v>0</v>
      </c>
      <c r="AK78" s="237">
        <f t="shared" si="15"/>
        <v>0.57508819756254004</v>
      </c>
      <c r="AL78" s="237">
        <f t="shared" si="15"/>
        <v>3.0067350865939708E-2</v>
      </c>
      <c r="AM78" s="237">
        <f t="shared" si="9"/>
        <v>1</v>
      </c>
      <c r="AO78" s="237">
        <f t="shared" si="10"/>
        <v>0.75124378109452739</v>
      </c>
      <c r="AP78" s="237">
        <f t="shared" si="11"/>
        <v>0.24875621890547264</v>
      </c>
      <c r="AQ78" s="237">
        <f t="shared" si="12"/>
        <v>0</v>
      </c>
      <c r="AR78" s="237">
        <f t="shared" ref="AR78:AR110" si="19">AB78/SUM($AB78:$AC78)</f>
        <v>0.95031467373302414</v>
      </c>
      <c r="AS78" s="237">
        <f t="shared" ref="AS78:AS110" si="20">AC78/SUM($AB78:$AC78)</f>
        <v>4.9685326266975832E-2</v>
      </c>
      <c r="AU78" s="251">
        <f t="shared" si="17"/>
        <v>8338.6952186936996</v>
      </c>
      <c r="AV78" s="251">
        <f t="shared" si="17"/>
        <v>2357.8753124774612</v>
      </c>
      <c r="AW78" s="251">
        <f t="shared" si="17"/>
        <v>0</v>
      </c>
      <c r="AX78" s="251">
        <f t="shared" si="17"/>
        <v>13012.769560959177</v>
      </c>
      <c r="AY78" s="251">
        <f t="shared" si="17"/>
        <v>675.84135303756648</v>
      </c>
      <c r="AZ78" s="251">
        <f>SUM(AU78:AY78)</f>
        <v>24385.181445167906</v>
      </c>
      <c r="BA78" s="270">
        <f>(AZ78*2204.622/1000000)/(O78/12)</f>
        <v>8.1365005612572165</v>
      </c>
      <c r="BB78" s="251">
        <f t="shared" si="7"/>
        <v>10696.570531171161</v>
      </c>
      <c r="BC78" s="251">
        <f t="shared" si="8"/>
        <v>13688.610913996745</v>
      </c>
    </row>
    <row r="79" spans="1:55">
      <c r="A79" s="11">
        <v>46054</v>
      </c>
      <c r="B79" s="251">
        <v>50</v>
      </c>
      <c r="C79" s="251">
        <v>175</v>
      </c>
      <c r="D79" s="251">
        <v>5</v>
      </c>
      <c r="E79" s="251"/>
      <c r="F79" s="251">
        <v>44</v>
      </c>
      <c r="G79" s="287">
        <v>0.33</v>
      </c>
      <c r="H79" s="287"/>
      <c r="I79" s="251"/>
      <c r="J79" s="251"/>
      <c r="K79" s="251"/>
      <c r="L79" s="251"/>
      <c r="M79" s="13"/>
      <c r="N79" s="251">
        <f t="shared" si="2"/>
        <v>274.33</v>
      </c>
      <c r="O79" s="251">
        <f>'BBD Monthly Production'!R22*12</f>
        <v>136.74886179301279</v>
      </c>
      <c r="P79" s="271">
        <f t="shared" si="3"/>
        <v>0.49848307437397588</v>
      </c>
      <c r="Y79" s="251">
        <f>SUM('RD Feedstock'!F77,'RD Feedstock'!I77)</f>
        <v>23.121874999999999</v>
      </c>
      <c r="Z79" s="251">
        <f>SUM('RD Feedstock'!G77,'RD Feedstock'!J77)</f>
        <v>7.65625</v>
      </c>
      <c r="AA79" s="251">
        <v>0</v>
      </c>
      <c r="AB79" s="251">
        <f>SUM('RD Feedstock'!B77,'RD Feedstock'!D77,'RD Feedstock'!H77)</f>
        <v>134.484375</v>
      </c>
      <c r="AC79" s="251">
        <f>SUM('RD Feedstock'!C77,'RD Feedstock'!E77)</f>
        <v>7.0312500000000009</v>
      </c>
      <c r="AD79" s="251">
        <f t="shared" si="18"/>
        <v>172.29374999999999</v>
      </c>
      <c r="AH79" s="237">
        <f t="shared" si="15"/>
        <v>0.13420031196720716</v>
      </c>
      <c r="AI79" s="237">
        <f t="shared" si="15"/>
        <v>4.4437189393114959E-2</v>
      </c>
      <c r="AJ79" s="237">
        <f t="shared" si="15"/>
        <v>0</v>
      </c>
      <c r="AK79" s="237">
        <f t="shared" si="15"/>
        <v>0.780552834911307</v>
      </c>
      <c r="AL79" s="237">
        <f t="shared" si="15"/>
        <v>4.0809663728370887E-2</v>
      </c>
      <c r="AM79" s="237">
        <f t="shared" si="9"/>
        <v>1</v>
      </c>
      <c r="AO79" s="237">
        <f t="shared" si="10"/>
        <v>0.75124378109452739</v>
      </c>
      <c r="AP79" s="237">
        <f t="shared" si="11"/>
        <v>0.24875621890547264</v>
      </c>
      <c r="AQ79" s="237">
        <f t="shared" si="12"/>
        <v>0</v>
      </c>
      <c r="AR79" s="237">
        <f t="shared" si="19"/>
        <v>0.95031467373302414</v>
      </c>
      <c r="AS79" s="237">
        <f t="shared" si="20"/>
        <v>4.9685326266975825E-2</v>
      </c>
      <c r="AU79" s="251">
        <f t="shared" si="17"/>
        <v>6506.7586942070948</v>
      </c>
      <c r="AV79" s="251">
        <f t="shared" si="17"/>
        <v>1839.8712612645911</v>
      </c>
      <c r="AW79" s="251">
        <f t="shared" si="17"/>
        <v>0</v>
      </c>
      <c r="AX79" s="251">
        <f t="shared" si="17"/>
        <v>30461.942518297972</v>
      </c>
      <c r="AY79" s="251">
        <f t="shared" si="17"/>
        <v>1582.0952143412558</v>
      </c>
      <c r="AZ79" s="251">
        <f t="shared" si="16"/>
        <v>40390.667688110916</v>
      </c>
      <c r="BA79" s="270">
        <f t="shared" si="14"/>
        <v>7.8139871948344028</v>
      </c>
      <c r="BB79" s="251">
        <f t="shared" si="7"/>
        <v>8346.6299554716861</v>
      </c>
      <c r="BC79" s="251">
        <f t="shared" si="8"/>
        <v>32044.037732639226</v>
      </c>
    </row>
    <row r="80" spans="1:55">
      <c r="A80" s="11">
        <v>46082</v>
      </c>
      <c r="B80" s="251">
        <v>100</v>
      </c>
      <c r="C80" s="251">
        <v>295</v>
      </c>
      <c r="D80" s="251">
        <v>5</v>
      </c>
      <c r="E80" s="251"/>
      <c r="F80" s="251">
        <v>44</v>
      </c>
      <c r="G80" s="287">
        <v>0.33</v>
      </c>
      <c r="H80" s="287"/>
      <c r="I80" s="251"/>
      <c r="J80" s="251"/>
      <c r="K80" s="251"/>
      <c r="L80" s="251"/>
      <c r="M80" s="13"/>
      <c r="N80" s="251">
        <f t="shared" si="2"/>
        <v>444.33</v>
      </c>
      <c r="O80" s="251">
        <f>'BBD Monthly Production'!R23*12</f>
        <v>289.26423135118631</v>
      </c>
      <c r="P80" s="271">
        <f t="shared" si="3"/>
        <v>0.65101215617038311</v>
      </c>
      <c r="Y80" s="251">
        <f>SUM('RD Feedstock'!F78,'RD Feedstock'!I78)</f>
        <v>23.121874999999999</v>
      </c>
      <c r="Z80" s="251">
        <f>SUM('RD Feedstock'!G78,'RD Feedstock'!J78)</f>
        <v>7.65625</v>
      </c>
      <c r="AA80" s="251">
        <v>0</v>
      </c>
      <c r="AB80" s="251">
        <f>SUM('RD Feedstock'!B78,'RD Feedstock'!D78,'RD Feedstock'!H78)</f>
        <v>236.09479166666665</v>
      </c>
      <c r="AC80" s="251">
        <f>SUM('RD Feedstock'!C78,'RD Feedstock'!E78)</f>
        <v>12.34375</v>
      </c>
      <c r="AD80" s="251">
        <f t="shared" si="18"/>
        <v>279.21666666666664</v>
      </c>
      <c r="AH80" s="237">
        <f t="shared" si="15"/>
        <v>8.2809795260550351E-2</v>
      </c>
      <c r="AI80" s="237">
        <f t="shared" si="15"/>
        <v>2.7420462006804754E-2</v>
      </c>
      <c r="AJ80" s="237">
        <f t="shared" si="15"/>
        <v>0</v>
      </c>
      <c r="AK80" s="237">
        <f t="shared" si="15"/>
        <v>0.84556124276249034</v>
      </c>
      <c r="AL80" s="237">
        <f t="shared" si="15"/>
        <v>4.4208499970154601E-2</v>
      </c>
      <c r="AM80" s="237">
        <f t="shared" si="9"/>
        <v>1</v>
      </c>
      <c r="AO80" s="237">
        <f t="shared" si="10"/>
        <v>0.75124378109452739</v>
      </c>
      <c r="AP80" s="237">
        <f t="shared" si="11"/>
        <v>0.24875621890547264</v>
      </c>
      <c r="AQ80" s="237">
        <f t="shared" si="12"/>
        <v>0</v>
      </c>
      <c r="AR80" s="237">
        <f t="shared" si="19"/>
        <v>0.95031467373302414</v>
      </c>
      <c r="AS80" s="237">
        <f t="shared" si="20"/>
        <v>4.9685326266975825E-2</v>
      </c>
      <c r="AU80" s="251">
        <f t="shared" si="17"/>
        <v>8493.0543060518212</v>
      </c>
      <c r="AV80" s="251">
        <f t="shared" si="17"/>
        <v>2401.5223665780049</v>
      </c>
      <c r="AW80" s="251">
        <f t="shared" si="17"/>
        <v>0</v>
      </c>
      <c r="AX80" s="251">
        <f t="shared" si="17"/>
        <v>69802.563404586079</v>
      </c>
      <c r="AY80" s="251">
        <f t="shared" si="17"/>
        <v>3625.3203959272023</v>
      </c>
      <c r="AZ80" s="251">
        <f t="shared" si="16"/>
        <v>84322.460473143117</v>
      </c>
      <c r="BA80" s="270">
        <f t="shared" si="14"/>
        <v>7.7119449128514308</v>
      </c>
      <c r="BB80" s="251">
        <f t="shared" si="7"/>
        <v>10894.576672629826</v>
      </c>
      <c r="BC80" s="251">
        <f t="shared" si="8"/>
        <v>73427.883800513286</v>
      </c>
    </row>
    <row r="81" spans="1:55">
      <c r="A81" s="11">
        <v>46113</v>
      </c>
      <c r="B81" s="251">
        <v>100</v>
      </c>
      <c r="C81" s="251">
        <v>295</v>
      </c>
      <c r="D81" s="251">
        <v>5</v>
      </c>
      <c r="E81" s="251"/>
      <c r="F81" s="251">
        <v>44</v>
      </c>
      <c r="G81" s="287">
        <v>0.33</v>
      </c>
      <c r="H81" s="287"/>
      <c r="I81" s="251"/>
      <c r="J81" s="251"/>
      <c r="K81" s="251"/>
      <c r="L81" s="251"/>
      <c r="M81" s="13"/>
      <c r="N81" s="251">
        <f t="shared" si="2"/>
        <v>444.33</v>
      </c>
      <c r="O81" s="251">
        <f>'BBD Monthly Production'!R24*12</f>
        <v>247.586409275205</v>
      </c>
      <c r="P81" s="271">
        <f t="shared" si="3"/>
        <v>0.55721290319178318</v>
      </c>
      <c r="Y81" s="251">
        <f>SUM('RD Feedstock'!F79,'RD Feedstock'!I79)</f>
        <v>23.121874999999999</v>
      </c>
      <c r="Z81" s="251">
        <f>SUM('RD Feedstock'!G79,'RD Feedstock'!J79)</f>
        <v>7.65625</v>
      </c>
      <c r="AA81" s="251">
        <v>0</v>
      </c>
      <c r="AB81" s="251">
        <f>SUM('RD Feedstock'!B79,'RD Feedstock'!D79,'RD Feedstock'!H79)</f>
        <v>236.09479166666665</v>
      </c>
      <c r="AC81" s="251">
        <f>SUM('RD Feedstock'!C79,'RD Feedstock'!E79)</f>
        <v>12.34375</v>
      </c>
      <c r="AD81" s="251">
        <f t="shared" si="18"/>
        <v>279.21666666666664</v>
      </c>
      <c r="AH81" s="237">
        <f t="shared" si="15"/>
        <v>8.2809795260550351E-2</v>
      </c>
      <c r="AI81" s="237">
        <f t="shared" si="15"/>
        <v>2.7420462006804754E-2</v>
      </c>
      <c r="AJ81" s="237">
        <f t="shared" si="15"/>
        <v>0</v>
      </c>
      <c r="AK81" s="237">
        <f t="shared" si="15"/>
        <v>0.84556124276249034</v>
      </c>
      <c r="AL81" s="237">
        <f t="shared" si="15"/>
        <v>4.4208499970154601E-2</v>
      </c>
      <c r="AM81" s="237">
        <f t="shared" si="9"/>
        <v>1</v>
      </c>
      <c r="AO81" s="237">
        <f t="shared" si="10"/>
        <v>0.75124378109452739</v>
      </c>
      <c r="AP81" s="237">
        <f t="shared" si="11"/>
        <v>0.24875621890547264</v>
      </c>
      <c r="AQ81" s="237">
        <f t="shared" si="12"/>
        <v>0</v>
      </c>
      <c r="AR81" s="237">
        <f t="shared" si="19"/>
        <v>0.95031467373302414</v>
      </c>
      <c r="AS81" s="237">
        <f t="shared" si="20"/>
        <v>4.9685326266975825E-2</v>
      </c>
      <c r="AU81" s="251">
        <f t="shared" si="17"/>
        <v>7269.356496627438</v>
      </c>
      <c r="AV81" s="251">
        <f t="shared" si="17"/>
        <v>2055.5057801573653</v>
      </c>
      <c r="AW81" s="251">
        <f t="shared" si="17"/>
        <v>0</v>
      </c>
      <c r="AX81" s="251">
        <f t="shared" si="17"/>
        <v>59745.257651868407</v>
      </c>
      <c r="AY81" s="251">
        <f t="shared" si="17"/>
        <v>3102.9763172137859</v>
      </c>
      <c r="AZ81" s="251">
        <f t="shared" si="16"/>
        <v>72173.096245866996</v>
      </c>
      <c r="BA81" s="270">
        <f t="shared" si="14"/>
        <v>7.711944912851429</v>
      </c>
      <c r="BB81" s="251">
        <f t="shared" si="7"/>
        <v>9324.8622767848028</v>
      </c>
      <c r="BC81" s="251">
        <f t="shared" si="8"/>
        <v>62848.23396908219</v>
      </c>
    </row>
    <row r="82" spans="1:55">
      <c r="A82" s="11">
        <v>46143</v>
      </c>
      <c r="B82" s="251">
        <v>100</v>
      </c>
      <c r="C82" s="251">
        <v>295</v>
      </c>
      <c r="D82" s="251">
        <v>5</v>
      </c>
      <c r="E82" s="251"/>
      <c r="F82" s="251">
        <v>44</v>
      </c>
      <c r="G82" s="287">
        <v>0.33</v>
      </c>
      <c r="H82" s="287"/>
      <c r="I82" s="251"/>
      <c r="J82" s="251"/>
      <c r="K82" s="251"/>
      <c r="L82" s="251"/>
      <c r="M82" s="13"/>
      <c r="N82" s="251">
        <f t="shared" si="2"/>
        <v>444.33</v>
      </c>
      <c r="O82" s="251">
        <f>'BBD Monthly Production'!R25*12</f>
        <v>270.06233625190623</v>
      </c>
      <c r="P82" s="271">
        <f t="shared" si="3"/>
        <v>0.6077967642335792</v>
      </c>
      <c r="Y82" s="251">
        <f>SUM('RD Feedstock'!F80,'RD Feedstock'!I80)</f>
        <v>23.121874999999999</v>
      </c>
      <c r="Z82" s="251">
        <f>SUM('RD Feedstock'!G80,'RD Feedstock'!J80)</f>
        <v>7.65625</v>
      </c>
      <c r="AA82" s="251">
        <v>0</v>
      </c>
      <c r="AB82" s="251">
        <f>SUM('RD Feedstock'!B80,'RD Feedstock'!D80,'RD Feedstock'!H80)</f>
        <v>236.09479166666665</v>
      </c>
      <c r="AC82" s="251">
        <f>SUM('RD Feedstock'!C80,'RD Feedstock'!E80)</f>
        <v>12.34375</v>
      </c>
      <c r="AD82" s="251">
        <f t="shared" si="18"/>
        <v>279.21666666666664</v>
      </c>
      <c r="AH82" s="237">
        <f t="shared" si="15"/>
        <v>8.2809795260550351E-2</v>
      </c>
      <c r="AI82" s="237">
        <f t="shared" si="15"/>
        <v>2.7420462006804754E-2</v>
      </c>
      <c r="AJ82" s="237">
        <f t="shared" si="15"/>
        <v>0</v>
      </c>
      <c r="AK82" s="237">
        <f t="shared" si="15"/>
        <v>0.84556124276249034</v>
      </c>
      <c r="AL82" s="237">
        <f t="shared" si="15"/>
        <v>4.4208499970154601E-2</v>
      </c>
      <c r="AM82" s="237">
        <f t="shared" si="9"/>
        <v>1</v>
      </c>
      <c r="AO82" s="237">
        <f t="shared" si="10"/>
        <v>0.75124378109452739</v>
      </c>
      <c r="AP82" s="237">
        <f t="shared" si="11"/>
        <v>0.24875621890547264</v>
      </c>
      <c r="AQ82" s="237">
        <f t="shared" si="12"/>
        <v>0</v>
      </c>
      <c r="AR82" s="237">
        <f t="shared" si="19"/>
        <v>0.95031467373302414</v>
      </c>
      <c r="AS82" s="237">
        <f t="shared" si="20"/>
        <v>4.9685326266975825E-2</v>
      </c>
      <c r="AU82" s="251">
        <f t="shared" si="17"/>
        <v>7929.2696407459243</v>
      </c>
      <c r="AV82" s="251">
        <f t="shared" si="17"/>
        <v>2242.104866715672</v>
      </c>
      <c r="AW82" s="251">
        <f t="shared" si="17"/>
        <v>0</v>
      </c>
      <c r="AX82" s="251">
        <f t="shared" si="17"/>
        <v>65168.940042669463</v>
      </c>
      <c r="AY82" s="251">
        <f t="shared" si="17"/>
        <v>3384.6649176514952</v>
      </c>
      <c r="AZ82" s="251">
        <f t="shared" si="16"/>
        <v>78724.979467782556</v>
      </c>
      <c r="BA82" s="270">
        <f t="shared" si="14"/>
        <v>7.7119449128514299</v>
      </c>
      <c r="BB82" s="251">
        <f t="shared" si="7"/>
        <v>10171.374507461596</v>
      </c>
      <c r="BC82" s="251">
        <f t="shared" si="8"/>
        <v>68553.604960320954</v>
      </c>
    </row>
    <row r="83" spans="1:55">
      <c r="A83" s="11">
        <v>46174</v>
      </c>
      <c r="B83" s="251">
        <v>100</v>
      </c>
      <c r="C83" s="251">
        <v>295</v>
      </c>
      <c r="D83" s="251">
        <v>5</v>
      </c>
      <c r="E83" s="251"/>
      <c r="F83" s="251">
        <v>44</v>
      </c>
      <c r="G83" s="287">
        <v>0.33</v>
      </c>
      <c r="H83" s="287"/>
      <c r="I83" s="251"/>
      <c r="J83" s="251"/>
      <c r="K83" s="251"/>
      <c r="L83" s="251"/>
      <c r="M83" s="13"/>
      <c r="N83" s="251">
        <f t="shared" si="2"/>
        <v>444.33</v>
      </c>
      <c r="O83" s="251">
        <f>'BBD Monthly Production'!R26*12</f>
        <v>335.72913668447035</v>
      </c>
      <c r="P83" s="271">
        <f t="shared" si="3"/>
        <v>0.75558512070864081</v>
      </c>
      <c r="Y83" s="251">
        <f>SUM('RD Feedstock'!F81,'RD Feedstock'!I81)</f>
        <v>23.121874999999999</v>
      </c>
      <c r="Z83" s="251">
        <f>SUM('RD Feedstock'!G81,'RD Feedstock'!J81)</f>
        <v>7.65625</v>
      </c>
      <c r="AA83" s="251">
        <v>0</v>
      </c>
      <c r="AB83" s="251">
        <f>SUM('RD Feedstock'!B81,'RD Feedstock'!D81,'RD Feedstock'!H81)</f>
        <v>236.09479166666665</v>
      </c>
      <c r="AC83" s="251">
        <f>SUM('RD Feedstock'!C81,'RD Feedstock'!E81)</f>
        <v>12.34375</v>
      </c>
      <c r="AD83" s="251">
        <f t="shared" si="18"/>
        <v>279.21666666666664</v>
      </c>
      <c r="AH83" s="237">
        <f t="shared" si="15"/>
        <v>8.2809795260550351E-2</v>
      </c>
      <c r="AI83" s="237">
        <f t="shared" si="15"/>
        <v>2.7420462006804754E-2</v>
      </c>
      <c r="AJ83" s="237">
        <f t="shared" si="15"/>
        <v>0</v>
      </c>
      <c r="AK83" s="237">
        <f t="shared" si="15"/>
        <v>0.84556124276249034</v>
      </c>
      <c r="AL83" s="237">
        <f t="shared" si="15"/>
        <v>4.4208499970154601E-2</v>
      </c>
      <c r="AM83" s="237">
        <f t="shared" si="9"/>
        <v>1</v>
      </c>
      <c r="AO83" s="237">
        <f t="shared" si="10"/>
        <v>0.75124378109452739</v>
      </c>
      <c r="AP83" s="237">
        <f t="shared" si="11"/>
        <v>0.24875621890547264</v>
      </c>
      <c r="AQ83" s="237">
        <f t="shared" si="12"/>
        <v>0</v>
      </c>
      <c r="AR83" s="237">
        <f t="shared" si="19"/>
        <v>0.95031467373302414</v>
      </c>
      <c r="AS83" s="237">
        <f t="shared" si="20"/>
        <v>4.9685326266975825E-2</v>
      </c>
      <c r="AU83" s="251">
        <f t="shared" si="17"/>
        <v>9857.3051243357841</v>
      </c>
      <c r="AV83" s="251">
        <f t="shared" si="17"/>
        <v>2787.2821575399839</v>
      </c>
      <c r="AW83" s="251">
        <f t="shared" si="17"/>
        <v>0</v>
      </c>
      <c r="AX83" s="251">
        <f t="shared" si="17"/>
        <v>81015.043722199145</v>
      </c>
      <c r="AY83" s="251">
        <f t="shared" si="17"/>
        <v>4207.6605221596483</v>
      </c>
      <c r="AZ83" s="251">
        <f t="shared" si="16"/>
        <v>97867.291526234563</v>
      </c>
      <c r="BA83" s="270">
        <f t="shared" si="14"/>
        <v>7.7119449128514299</v>
      </c>
      <c r="BB83" s="251">
        <f t="shared" si="7"/>
        <v>12644.587281875767</v>
      </c>
      <c r="BC83" s="251">
        <f t="shared" si="8"/>
        <v>85222.7042443588</v>
      </c>
    </row>
    <row r="84" spans="1:55">
      <c r="A84" s="11">
        <v>46204</v>
      </c>
      <c r="B84" s="251">
        <v>100</v>
      </c>
      <c r="C84" s="251">
        <v>295</v>
      </c>
      <c r="D84" s="251">
        <v>5</v>
      </c>
      <c r="E84" s="251"/>
      <c r="F84" s="251">
        <v>44</v>
      </c>
      <c r="G84" s="287">
        <v>0.33</v>
      </c>
      <c r="H84" s="287"/>
      <c r="I84" s="251"/>
      <c r="J84" s="251"/>
      <c r="K84" s="251"/>
      <c r="L84" s="251"/>
      <c r="M84" s="13"/>
      <c r="N84" s="251">
        <f t="shared" si="2"/>
        <v>444.33</v>
      </c>
      <c r="O84" s="251">
        <f>'BBD Monthly Production'!R27*12</f>
        <v>295.54923828047066</v>
      </c>
      <c r="P84" s="271">
        <f t="shared" si="3"/>
        <v>0.66515706407505837</v>
      </c>
      <c r="Y84" s="251">
        <f>SUM('RD Feedstock'!F82,'RD Feedstock'!I82)</f>
        <v>23.121874999999999</v>
      </c>
      <c r="Z84" s="251">
        <f>SUM('RD Feedstock'!G82,'RD Feedstock'!J82)</f>
        <v>7.65625</v>
      </c>
      <c r="AA84" s="251">
        <v>0</v>
      </c>
      <c r="AB84" s="251">
        <f>SUM('RD Feedstock'!B82,'RD Feedstock'!D82,'RD Feedstock'!H82)</f>
        <v>236.09479166666665</v>
      </c>
      <c r="AC84" s="251">
        <f>SUM('RD Feedstock'!C82,'RD Feedstock'!E82)</f>
        <v>12.34375</v>
      </c>
      <c r="AD84" s="251">
        <f t="shared" si="18"/>
        <v>279.21666666666664</v>
      </c>
      <c r="AH84" s="237">
        <f t="shared" si="15"/>
        <v>8.2809795260550351E-2</v>
      </c>
      <c r="AI84" s="237">
        <f t="shared" si="15"/>
        <v>2.7420462006804754E-2</v>
      </c>
      <c r="AJ84" s="237">
        <f t="shared" si="15"/>
        <v>0</v>
      </c>
      <c r="AK84" s="237">
        <f t="shared" si="15"/>
        <v>0.84556124276249034</v>
      </c>
      <c r="AL84" s="237">
        <f t="shared" si="15"/>
        <v>4.4208499970154601E-2</v>
      </c>
      <c r="AM84" s="237">
        <f t="shared" si="9"/>
        <v>1</v>
      </c>
      <c r="AO84" s="237">
        <f t="shared" si="10"/>
        <v>0.75124378109452739</v>
      </c>
      <c r="AP84" s="237">
        <f t="shared" si="11"/>
        <v>0.24875621890547264</v>
      </c>
      <c r="AQ84" s="237">
        <f t="shared" si="12"/>
        <v>0</v>
      </c>
      <c r="AR84" s="237">
        <f t="shared" si="19"/>
        <v>0.95031467373302414</v>
      </c>
      <c r="AS84" s="237">
        <f t="shared" si="20"/>
        <v>4.9685326266975825E-2</v>
      </c>
      <c r="AU84" s="251">
        <f t="shared" si="17"/>
        <v>8677.5876820416033</v>
      </c>
      <c r="AV84" s="251">
        <f t="shared" si="17"/>
        <v>2453.7015960813219</v>
      </c>
      <c r="AW84" s="251">
        <f t="shared" si="17"/>
        <v>0</v>
      </c>
      <c r="AX84" s="251">
        <f t="shared" si="17"/>
        <v>71319.203027225783</v>
      </c>
      <c r="AY84" s="251">
        <f t="shared" si="17"/>
        <v>3704.0897747157455</v>
      </c>
      <c r="AZ84" s="251">
        <f t="shared" si="16"/>
        <v>86154.582080064458</v>
      </c>
      <c r="BA84" s="270">
        <f t="shared" si="14"/>
        <v>7.7119449128514272</v>
      </c>
      <c r="BB84" s="251">
        <f t="shared" si="7"/>
        <v>11131.289278122926</v>
      </c>
      <c r="BC84" s="251">
        <f t="shared" si="8"/>
        <v>75023.292801941527</v>
      </c>
    </row>
    <row r="85" spans="1:55">
      <c r="A85" s="11">
        <v>46235</v>
      </c>
      <c r="B85" s="251">
        <v>100</v>
      </c>
      <c r="C85" s="251">
        <v>295</v>
      </c>
      <c r="D85" s="251">
        <v>5</v>
      </c>
      <c r="E85" s="251"/>
      <c r="F85" s="251">
        <v>44</v>
      </c>
      <c r="G85" s="287">
        <v>0.33</v>
      </c>
      <c r="H85" s="287"/>
      <c r="I85" s="251"/>
      <c r="J85" s="251"/>
      <c r="K85" s="251"/>
      <c r="L85" s="251"/>
      <c r="M85" s="13"/>
      <c r="N85" s="251">
        <f t="shared" si="2"/>
        <v>444.33</v>
      </c>
      <c r="O85" s="251">
        <f>'BBD Monthly Production'!R28*12</f>
        <v>259.75989427922968</v>
      </c>
      <c r="P85" s="271">
        <f t="shared" si="3"/>
        <v>0.58461029928033148</v>
      </c>
      <c r="Y85" s="251">
        <f>SUM('RD Feedstock'!F83,'RD Feedstock'!I83)</f>
        <v>23.121874999999999</v>
      </c>
      <c r="Z85" s="251">
        <f>SUM('RD Feedstock'!G83,'RD Feedstock'!J83)</f>
        <v>7.65625</v>
      </c>
      <c r="AA85" s="251">
        <v>0</v>
      </c>
      <c r="AB85" s="251">
        <f>SUM('RD Feedstock'!B83,'RD Feedstock'!D83,'RD Feedstock'!H83)</f>
        <v>236.09479166666665</v>
      </c>
      <c r="AC85" s="251">
        <f>SUM('RD Feedstock'!C83,'RD Feedstock'!E83)</f>
        <v>12.34375</v>
      </c>
      <c r="AD85" s="251">
        <f t="shared" si="18"/>
        <v>279.21666666666664</v>
      </c>
      <c r="AH85" s="237">
        <f t="shared" si="15"/>
        <v>8.2809795260550351E-2</v>
      </c>
      <c r="AI85" s="237">
        <f t="shared" si="15"/>
        <v>2.7420462006804754E-2</v>
      </c>
      <c r="AJ85" s="237">
        <f t="shared" si="15"/>
        <v>0</v>
      </c>
      <c r="AK85" s="237">
        <f t="shared" si="15"/>
        <v>0.84556124276249034</v>
      </c>
      <c r="AL85" s="237">
        <f t="shared" si="15"/>
        <v>4.4208499970154601E-2</v>
      </c>
      <c r="AM85" s="237">
        <f t="shared" si="9"/>
        <v>1</v>
      </c>
      <c r="AO85" s="237">
        <f t="shared" si="10"/>
        <v>0.75124378109452739</v>
      </c>
      <c r="AP85" s="237">
        <f t="shared" si="11"/>
        <v>0.24875621890547264</v>
      </c>
      <c r="AQ85" s="237">
        <f t="shared" si="12"/>
        <v>0</v>
      </c>
      <c r="AR85" s="237">
        <f t="shared" si="19"/>
        <v>0.95031467373302414</v>
      </c>
      <c r="AS85" s="237">
        <f t="shared" si="20"/>
        <v>4.9685326266975825E-2</v>
      </c>
      <c r="AU85" s="251">
        <f t="shared" si="17"/>
        <v>7626.7808098587775</v>
      </c>
      <c r="AV85" s="251">
        <f t="shared" si="17"/>
        <v>2156.5721870885222</v>
      </c>
      <c r="AW85" s="251">
        <f t="shared" si="17"/>
        <v>0</v>
      </c>
      <c r="AX85" s="251">
        <f t="shared" si="17"/>
        <v>62682.850229004456</v>
      </c>
      <c r="AY85" s="251">
        <f t="shared" si="17"/>
        <v>3255.5454173353437</v>
      </c>
      <c r="AZ85" s="251">
        <f t="shared" si="16"/>
        <v>75721.748643287108</v>
      </c>
      <c r="BA85" s="270">
        <f t="shared" si="14"/>
        <v>7.7119449128514308</v>
      </c>
      <c r="BB85" s="251">
        <f t="shared" si="7"/>
        <v>9783.3529969473002</v>
      </c>
      <c r="BC85" s="251">
        <f t="shared" si="8"/>
        <v>65938.395646339806</v>
      </c>
    </row>
    <row r="86" spans="1:55">
      <c r="A86" s="11">
        <v>46266</v>
      </c>
      <c r="B86" s="251">
        <v>100</v>
      </c>
      <c r="C86" s="251">
        <v>295</v>
      </c>
      <c r="D86" s="251">
        <v>5</v>
      </c>
      <c r="E86" s="251"/>
      <c r="F86" s="251">
        <v>44</v>
      </c>
      <c r="G86" s="287">
        <v>0.33</v>
      </c>
      <c r="H86" s="287"/>
      <c r="I86" s="251"/>
      <c r="J86" s="251"/>
      <c r="K86" s="251"/>
      <c r="L86" s="251"/>
      <c r="M86" s="13"/>
      <c r="N86" s="251">
        <f t="shared" si="2"/>
        <v>444.33</v>
      </c>
      <c r="O86" s="251">
        <f>'BBD Monthly Production'!R29*12</f>
        <v>280.60362830373771</v>
      </c>
      <c r="P86" s="271">
        <f t="shared" si="3"/>
        <v>0.63152078028433312</v>
      </c>
      <c r="Y86" s="251">
        <f>SUM('RD Feedstock'!F84,'RD Feedstock'!I84)</f>
        <v>23.121874999999999</v>
      </c>
      <c r="Z86" s="251">
        <f>SUM('RD Feedstock'!G84,'RD Feedstock'!J84)</f>
        <v>7.65625</v>
      </c>
      <c r="AA86" s="251">
        <v>0</v>
      </c>
      <c r="AB86" s="251">
        <f>SUM('RD Feedstock'!B84,'RD Feedstock'!D84,'RD Feedstock'!H84)</f>
        <v>236.09479166666665</v>
      </c>
      <c r="AC86" s="251">
        <f>SUM('RD Feedstock'!C84,'RD Feedstock'!E84)</f>
        <v>12.34375</v>
      </c>
      <c r="AD86" s="251">
        <f t="shared" si="18"/>
        <v>279.21666666666664</v>
      </c>
      <c r="AH86" s="237">
        <f t="shared" si="15"/>
        <v>8.2809795260550351E-2</v>
      </c>
      <c r="AI86" s="237">
        <f t="shared" si="15"/>
        <v>2.7420462006804754E-2</v>
      </c>
      <c r="AJ86" s="237">
        <f t="shared" si="15"/>
        <v>0</v>
      </c>
      <c r="AK86" s="237">
        <f t="shared" si="15"/>
        <v>0.84556124276249034</v>
      </c>
      <c r="AL86" s="237">
        <f t="shared" si="15"/>
        <v>4.4208499970154601E-2</v>
      </c>
      <c r="AM86" s="237">
        <f t="shared" si="9"/>
        <v>1</v>
      </c>
      <c r="AO86" s="237">
        <f t="shared" si="10"/>
        <v>0.75124378109452739</v>
      </c>
      <c r="AP86" s="237">
        <f t="shared" si="11"/>
        <v>0.24875621890547264</v>
      </c>
      <c r="AQ86" s="237">
        <f t="shared" si="12"/>
        <v>0</v>
      </c>
      <c r="AR86" s="237">
        <f t="shared" si="19"/>
        <v>0.95031467373302414</v>
      </c>
      <c r="AS86" s="237">
        <f t="shared" si="20"/>
        <v>4.9685326266975825E-2</v>
      </c>
      <c r="AU86" s="251">
        <f t="shared" si="17"/>
        <v>8238.7713217313776</v>
      </c>
      <c r="AV86" s="251">
        <f t="shared" si="17"/>
        <v>2329.620521578543</v>
      </c>
      <c r="AW86" s="251">
        <f t="shared" si="17"/>
        <v>0</v>
      </c>
      <c r="AX86" s="251">
        <f t="shared" si="17"/>
        <v>67712.666943770164</v>
      </c>
      <c r="AY86" s="251">
        <f t="shared" si="17"/>
        <v>3516.7779027116276</v>
      </c>
      <c r="AZ86" s="251">
        <f t="shared" si="16"/>
        <v>81797.836689791715</v>
      </c>
      <c r="BA86" s="270">
        <f t="shared" si="14"/>
        <v>7.7119449128514299</v>
      </c>
      <c r="BB86" s="251">
        <f t="shared" si="7"/>
        <v>10568.391843309921</v>
      </c>
      <c r="BC86" s="251">
        <f t="shared" si="8"/>
        <v>71229.444846481798</v>
      </c>
    </row>
    <row r="87" spans="1:55">
      <c r="A87" s="11">
        <v>46296</v>
      </c>
      <c r="B87" s="251">
        <v>100</v>
      </c>
      <c r="C87" s="251">
        <v>295</v>
      </c>
      <c r="D87" s="251">
        <v>5</v>
      </c>
      <c r="E87" s="251"/>
      <c r="F87" s="251">
        <v>44</v>
      </c>
      <c r="G87" s="287">
        <v>0.33</v>
      </c>
      <c r="H87" s="287"/>
      <c r="I87" s="251"/>
      <c r="J87" s="251"/>
      <c r="K87" s="251"/>
      <c r="L87" s="251"/>
      <c r="M87" s="13"/>
      <c r="N87" s="251">
        <f t="shared" si="2"/>
        <v>444.33</v>
      </c>
      <c r="O87" s="251">
        <f>'BBD Monthly Production'!R30*12</f>
        <v>226.13132253904519</v>
      </c>
      <c r="P87" s="271">
        <f t="shared" si="3"/>
        <v>0.50892652429285712</v>
      </c>
      <c r="Y87" s="251">
        <f>SUM('RD Feedstock'!F85,'RD Feedstock'!I85)</f>
        <v>23.121874999999999</v>
      </c>
      <c r="Z87" s="251">
        <f>SUM('RD Feedstock'!G85,'RD Feedstock'!J85)</f>
        <v>7.65625</v>
      </c>
      <c r="AA87" s="251">
        <v>0</v>
      </c>
      <c r="AB87" s="251">
        <f>SUM('RD Feedstock'!B85,'RD Feedstock'!D85,'RD Feedstock'!H85)</f>
        <v>236.09479166666665</v>
      </c>
      <c r="AC87" s="251">
        <f>SUM('RD Feedstock'!C85,'RD Feedstock'!E85)</f>
        <v>12.34375</v>
      </c>
      <c r="AD87" s="251">
        <f t="shared" si="18"/>
        <v>279.21666666666664</v>
      </c>
      <c r="AH87" s="237">
        <f t="shared" si="15"/>
        <v>8.2809795260550351E-2</v>
      </c>
      <c r="AI87" s="237">
        <f t="shared" si="15"/>
        <v>2.7420462006804754E-2</v>
      </c>
      <c r="AJ87" s="237">
        <f t="shared" si="15"/>
        <v>0</v>
      </c>
      <c r="AK87" s="237">
        <f t="shared" si="15"/>
        <v>0.84556124276249034</v>
      </c>
      <c r="AL87" s="237">
        <f t="shared" si="15"/>
        <v>4.4208499970154601E-2</v>
      </c>
      <c r="AM87" s="237">
        <f t="shared" si="9"/>
        <v>1</v>
      </c>
      <c r="AO87" s="237">
        <f t="shared" si="10"/>
        <v>0.75124378109452739</v>
      </c>
      <c r="AP87" s="237">
        <f t="shared" si="11"/>
        <v>0.24875621890547264</v>
      </c>
      <c r="AQ87" s="237">
        <f t="shared" si="12"/>
        <v>0</v>
      </c>
      <c r="AR87" s="237">
        <f t="shared" si="19"/>
        <v>0.95031467373302414</v>
      </c>
      <c r="AS87" s="237">
        <f t="shared" si="20"/>
        <v>4.9685326266975825E-2</v>
      </c>
      <c r="AU87" s="251">
        <f t="shared" si="17"/>
        <v>6639.4161270902478</v>
      </c>
      <c r="AV87" s="251">
        <f t="shared" si="17"/>
        <v>1877.3818882641976</v>
      </c>
      <c r="AW87" s="251">
        <f t="shared" si="17"/>
        <v>0</v>
      </c>
      <c r="AX87" s="251">
        <f t="shared" si="17"/>
        <v>54567.914966752673</v>
      </c>
      <c r="AY87" s="251">
        <f t="shared" si="17"/>
        <v>2834.0818079353289</v>
      </c>
      <c r="AZ87" s="251">
        <f t="shared" si="16"/>
        <v>65918.794790042448</v>
      </c>
      <c r="BA87" s="270">
        <f t="shared" si="14"/>
        <v>7.7119449128514299</v>
      </c>
      <c r="BB87" s="251">
        <f t="shared" si="7"/>
        <v>8516.7980153544449</v>
      </c>
      <c r="BC87" s="251">
        <f t="shared" si="8"/>
        <v>57401.996774687999</v>
      </c>
    </row>
    <row r="88" spans="1:55">
      <c r="A88" s="11">
        <v>46327</v>
      </c>
      <c r="B88" s="251">
        <v>100</v>
      </c>
      <c r="C88" s="251">
        <v>295</v>
      </c>
      <c r="D88" s="251">
        <v>5</v>
      </c>
      <c r="E88" s="251"/>
      <c r="F88" s="251">
        <v>44</v>
      </c>
      <c r="G88" s="287">
        <v>0.33</v>
      </c>
      <c r="H88" s="287"/>
      <c r="I88" s="251"/>
      <c r="J88" s="251"/>
      <c r="K88" s="251"/>
      <c r="L88" s="251"/>
      <c r="M88" s="13"/>
      <c r="N88" s="251">
        <f t="shared" si="2"/>
        <v>444.33</v>
      </c>
      <c r="O88" s="251">
        <f>'BBD Monthly Production'!R31*12</f>
        <v>293.74772574505323</v>
      </c>
      <c r="P88" s="271">
        <f t="shared" si="3"/>
        <v>0.66110261685020877</v>
      </c>
      <c r="Y88" s="251">
        <f>SUM('RD Feedstock'!F86,'RD Feedstock'!I86)</f>
        <v>23.121874999999999</v>
      </c>
      <c r="Z88" s="251">
        <f>SUM('RD Feedstock'!G86,'RD Feedstock'!J86)</f>
        <v>7.65625</v>
      </c>
      <c r="AA88" s="251">
        <v>0</v>
      </c>
      <c r="AB88" s="251">
        <f>SUM('RD Feedstock'!B86,'RD Feedstock'!D86,'RD Feedstock'!H86)</f>
        <v>236.09479166666665</v>
      </c>
      <c r="AC88" s="251">
        <f>SUM('RD Feedstock'!C86,'RD Feedstock'!E86)</f>
        <v>12.34375</v>
      </c>
      <c r="AD88" s="251">
        <f t="shared" si="18"/>
        <v>279.21666666666664</v>
      </c>
      <c r="AH88" s="237">
        <f t="shared" si="15"/>
        <v>8.2809795260550351E-2</v>
      </c>
      <c r="AI88" s="237">
        <f t="shared" si="15"/>
        <v>2.7420462006804754E-2</v>
      </c>
      <c r="AJ88" s="237">
        <f t="shared" si="15"/>
        <v>0</v>
      </c>
      <c r="AK88" s="237">
        <f t="shared" si="15"/>
        <v>0.84556124276249034</v>
      </c>
      <c r="AL88" s="237">
        <f t="shared" si="15"/>
        <v>4.4208499970154601E-2</v>
      </c>
      <c r="AM88" s="237">
        <f t="shared" si="9"/>
        <v>1</v>
      </c>
      <c r="AO88" s="237">
        <f t="shared" si="10"/>
        <v>0.75124378109452739</v>
      </c>
      <c r="AP88" s="237">
        <f t="shared" si="11"/>
        <v>0.24875621890547264</v>
      </c>
      <c r="AQ88" s="237">
        <f t="shared" si="12"/>
        <v>0</v>
      </c>
      <c r="AR88" s="237">
        <f t="shared" si="19"/>
        <v>0.95031467373302414</v>
      </c>
      <c r="AS88" s="237">
        <f t="shared" si="20"/>
        <v>4.9685326266975825E-2</v>
      </c>
      <c r="AU88" s="251">
        <f t="shared" si="17"/>
        <v>8624.6936767065381</v>
      </c>
      <c r="AV88" s="251">
        <f t="shared" si="17"/>
        <v>2438.7451231456025</v>
      </c>
      <c r="AW88" s="251">
        <f t="shared" si="17"/>
        <v>0</v>
      </c>
      <c r="AX88" s="251">
        <f t="shared" si="17"/>
        <v>70884.478718623126</v>
      </c>
      <c r="AY88" s="251">
        <f t="shared" si="17"/>
        <v>3681.5115938336498</v>
      </c>
      <c r="AZ88" s="251">
        <f t="shared" si="16"/>
        <v>85629.429112308921</v>
      </c>
      <c r="BA88" s="270">
        <f t="shared" si="14"/>
        <v>7.7119449128514308</v>
      </c>
      <c r="BB88" s="251">
        <f t="shared" si="7"/>
        <v>11063.438799852142</v>
      </c>
      <c r="BC88" s="251">
        <f t="shared" si="8"/>
        <v>74565.990312456779</v>
      </c>
    </row>
    <row r="89" spans="1:55">
      <c r="A89" s="11">
        <v>46357</v>
      </c>
      <c r="B89" s="251">
        <v>100</v>
      </c>
      <c r="C89" s="251">
        <v>295</v>
      </c>
      <c r="D89" s="251">
        <v>5</v>
      </c>
      <c r="E89" s="251"/>
      <c r="F89" s="251">
        <v>44</v>
      </c>
      <c r="G89" s="287">
        <v>0.33</v>
      </c>
      <c r="H89" s="287"/>
      <c r="I89" s="251"/>
      <c r="J89" s="251"/>
      <c r="K89" s="251"/>
      <c r="L89" s="251"/>
      <c r="M89" s="13"/>
      <c r="N89" s="251">
        <f t="shared" si="2"/>
        <v>444.33</v>
      </c>
      <c r="O89" s="251">
        <f>'BBD Monthly Production'!R32*12</f>
        <v>379.94743223571595</v>
      </c>
      <c r="P89" s="271">
        <f t="shared" si="3"/>
        <v>0.85510191127251356</v>
      </c>
      <c r="Y89" s="251">
        <f>SUM('RD Feedstock'!F87,'RD Feedstock'!I87)</f>
        <v>23.121874999999999</v>
      </c>
      <c r="Z89" s="251">
        <f>SUM('RD Feedstock'!G87,'RD Feedstock'!J87)</f>
        <v>7.65625</v>
      </c>
      <c r="AA89" s="251">
        <v>0</v>
      </c>
      <c r="AB89" s="251">
        <f>SUM('RD Feedstock'!B87,'RD Feedstock'!D87,'RD Feedstock'!H87)</f>
        <v>236.09479166666665</v>
      </c>
      <c r="AC89" s="251">
        <f>SUM('RD Feedstock'!C87,'RD Feedstock'!E87)</f>
        <v>12.34375</v>
      </c>
      <c r="AD89" s="251">
        <f t="shared" si="18"/>
        <v>279.21666666666664</v>
      </c>
      <c r="AH89" s="237">
        <f t="shared" si="15"/>
        <v>8.2809795260550351E-2</v>
      </c>
      <c r="AI89" s="237">
        <f t="shared" si="15"/>
        <v>2.7420462006804754E-2</v>
      </c>
      <c r="AJ89" s="237">
        <f t="shared" si="15"/>
        <v>0</v>
      </c>
      <c r="AK89" s="237">
        <f t="shared" si="15"/>
        <v>0.84556124276249034</v>
      </c>
      <c r="AL89" s="237">
        <f t="shared" si="15"/>
        <v>4.4208499970154601E-2</v>
      </c>
      <c r="AM89" s="237">
        <f t="shared" si="9"/>
        <v>1</v>
      </c>
      <c r="AO89" s="237">
        <f t="shared" si="10"/>
        <v>0.75124378109452739</v>
      </c>
      <c r="AP89" s="237">
        <f t="shared" si="11"/>
        <v>0.24875621890547264</v>
      </c>
      <c r="AQ89" s="237">
        <f t="shared" si="12"/>
        <v>0</v>
      </c>
      <c r="AR89" s="237">
        <f t="shared" si="19"/>
        <v>0.95031467373302414</v>
      </c>
      <c r="AS89" s="237">
        <f t="shared" si="20"/>
        <v>4.9685326266975825E-2</v>
      </c>
      <c r="AU89" s="251">
        <f t="shared" si="17"/>
        <v>11155.593487482343</v>
      </c>
      <c r="AV89" s="251">
        <f t="shared" si="17"/>
        <v>3154.3902001840461</v>
      </c>
      <c r="AW89" s="251">
        <f t="shared" si="17"/>
        <v>0</v>
      </c>
      <c r="AX89" s="251">
        <f t="shared" si="17"/>
        <v>91685.392988822656</v>
      </c>
      <c r="AY89" s="251">
        <f t="shared" si="17"/>
        <v>4761.8441071340585</v>
      </c>
      <c r="AZ89" s="251">
        <f t="shared" si="16"/>
        <v>110757.22078362311</v>
      </c>
      <c r="BA89" s="270">
        <f t="shared" si="14"/>
        <v>7.711944912851429</v>
      </c>
      <c r="BB89" s="251">
        <f t="shared" si="7"/>
        <v>14309.98368766639</v>
      </c>
      <c r="BC89" s="251">
        <f t="shared" si="8"/>
        <v>96447.23709595672</v>
      </c>
    </row>
    <row r="90" spans="1:55">
      <c r="A90" s="11">
        <v>46388</v>
      </c>
      <c r="B90" s="251">
        <v>100</v>
      </c>
      <c r="C90" s="251">
        <v>295</v>
      </c>
      <c r="D90" s="251">
        <v>5</v>
      </c>
      <c r="E90" s="251"/>
      <c r="F90" s="251">
        <v>44</v>
      </c>
      <c r="G90" s="287">
        <v>0.33</v>
      </c>
      <c r="H90" s="287"/>
      <c r="I90" s="251"/>
      <c r="J90" s="251"/>
      <c r="K90" s="251"/>
      <c r="L90" s="251"/>
      <c r="M90" s="13"/>
      <c r="N90" s="251">
        <f t="shared" si="2"/>
        <v>444.33</v>
      </c>
      <c r="O90" s="251">
        <f>'BBD Monthly Production'!S21*12</f>
        <v>163.30614731642902</v>
      </c>
      <c r="P90" s="271">
        <f t="shared" si="3"/>
        <v>0.36753347133083297</v>
      </c>
      <c r="Y90" s="251">
        <f>SUM('RD Feedstock'!F88,'RD Feedstock'!I88)</f>
        <v>23.121874999999999</v>
      </c>
      <c r="Z90" s="251">
        <f>SUM('RD Feedstock'!G88,'RD Feedstock'!J88)</f>
        <v>7.65625</v>
      </c>
      <c r="AA90" s="251">
        <v>0</v>
      </c>
      <c r="AB90" s="251">
        <f>SUM('RD Feedstock'!B88,'RD Feedstock'!D88,'RD Feedstock'!H88)</f>
        <v>236.09479166666665</v>
      </c>
      <c r="AC90" s="251">
        <f>SUM('RD Feedstock'!C88,'RD Feedstock'!E88)</f>
        <v>12.34375</v>
      </c>
      <c r="AD90" s="251">
        <f t="shared" si="18"/>
        <v>279.21666666666664</v>
      </c>
      <c r="AH90" s="237">
        <f t="shared" si="15"/>
        <v>8.2809795260550351E-2</v>
      </c>
      <c r="AI90" s="237">
        <f t="shared" si="15"/>
        <v>2.7420462006804754E-2</v>
      </c>
      <c r="AJ90" s="237">
        <f t="shared" si="15"/>
        <v>0</v>
      </c>
      <c r="AK90" s="237">
        <f t="shared" si="15"/>
        <v>0.84556124276249034</v>
      </c>
      <c r="AL90" s="237">
        <f t="shared" si="15"/>
        <v>4.4208499970154601E-2</v>
      </c>
      <c r="AM90" s="237">
        <f t="shared" si="9"/>
        <v>1</v>
      </c>
      <c r="AO90" s="237">
        <f t="shared" si="10"/>
        <v>0.75124378109452739</v>
      </c>
      <c r="AP90" s="237">
        <f t="shared" si="11"/>
        <v>0.24875621890547264</v>
      </c>
      <c r="AQ90" s="237">
        <f t="shared" si="12"/>
        <v>0</v>
      </c>
      <c r="AR90" s="237">
        <f t="shared" si="19"/>
        <v>0.95031467373302414</v>
      </c>
      <c r="AS90" s="237">
        <f t="shared" si="20"/>
        <v>4.9685326266975825E-2</v>
      </c>
      <c r="AU90" s="251">
        <f t="shared" si="17"/>
        <v>4794.813279166402</v>
      </c>
      <c r="AV90" s="251">
        <f t="shared" si="17"/>
        <v>1355.7962681668369</v>
      </c>
      <c r="AW90" s="251">
        <f t="shared" si="17"/>
        <v>0</v>
      </c>
      <c r="AX90" s="251">
        <f t="shared" si="17"/>
        <v>39407.525946664064</v>
      </c>
      <c r="AY90" s="251">
        <f t="shared" si="17"/>
        <v>2046.7000150038236</v>
      </c>
      <c r="AZ90" s="251">
        <f t="shared" si="16"/>
        <v>47604.835509001125</v>
      </c>
      <c r="BA90" s="270">
        <f t="shared" si="14"/>
        <v>7.711944912851429</v>
      </c>
      <c r="BB90" s="251">
        <f t="shared" si="7"/>
        <v>6150.6095473332389</v>
      </c>
      <c r="BC90" s="251">
        <f t="shared" si="8"/>
        <v>41454.225961667886</v>
      </c>
    </row>
    <row r="91" spans="1:55">
      <c r="A91" s="11">
        <v>46419</v>
      </c>
      <c r="B91" s="251">
        <v>100</v>
      </c>
      <c r="C91" s="251">
        <v>295</v>
      </c>
      <c r="D91" s="251">
        <v>5</v>
      </c>
      <c r="E91" s="251"/>
      <c r="F91" s="251">
        <v>44</v>
      </c>
      <c r="G91" s="287">
        <v>0.33</v>
      </c>
      <c r="H91" s="287"/>
      <c r="I91" s="251"/>
      <c r="J91" s="251"/>
      <c r="K91" s="251"/>
      <c r="L91" s="251"/>
      <c r="M91" s="13"/>
      <c r="N91" s="251">
        <f t="shared" si="2"/>
        <v>444.33</v>
      </c>
      <c r="O91" s="251">
        <f>'BBD Monthly Production'!S22*12</f>
        <v>197.81354768970129</v>
      </c>
      <c r="P91" s="271">
        <f t="shared" si="3"/>
        <v>0.44519512004523959</v>
      </c>
      <c r="Y91" s="251">
        <f>SUM('RD Feedstock'!F89,'RD Feedstock'!I89)</f>
        <v>23.121874999999999</v>
      </c>
      <c r="Z91" s="251">
        <f>SUM('RD Feedstock'!G89,'RD Feedstock'!J89)</f>
        <v>7.65625</v>
      </c>
      <c r="AA91" s="251">
        <v>0</v>
      </c>
      <c r="AB91" s="251">
        <f>SUM('RD Feedstock'!B89,'RD Feedstock'!D89,'RD Feedstock'!H89)</f>
        <v>236.09479166666665</v>
      </c>
      <c r="AC91" s="251">
        <f>SUM('RD Feedstock'!C89,'RD Feedstock'!E89)</f>
        <v>12.34375</v>
      </c>
      <c r="AD91" s="251">
        <f t="shared" si="18"/>
        <v>279.21666666666664</v>
      </c>
      <c r="AH91" s="237">
        <f t="shared" si="15"/>
        <v>8.2809795260550351E-2</v>
      </c>
      <c r="AI91" s="237">
        <f t="shared" si="15"/>
        <v>2.7420462006804754E-2</v>
      </c>
      <c r="AJ91" s="237">
        <f t="shared" si="15"/>
        <v>0</v>
      </c>
      <c r="AK91" s="237">
        <f t="shared" si="15"/>
        <v>0.84556124276249034</v>
      </c>
      <c r="AL91" s="237">
        <f t="shared" si="15"/>
        <v>4.4208499970154601E-2</v>
      </c>
      <c r="AM91" s="237">
        <f t="shared" si="9"/>
        <v>1</v>
      </c>
      <c r="AO91" s="237">
        <f t="shared" si="10"/>
        <v>0.75124378109452739</v>
      </c>
      <c r="AP91" s="237">
        <f t="shared" si="11"/>
        <v>0.24875621890547264</v>
      </c>
      <c r="AQ91" s="237">
        <f t="shared" si="12"/>
        <v>0</v>
      </c>
      <c r="AR91" s="237">
        <f t="shared" si="19"/>
        <v>0.95031467373302414</v>
      </c>
      <c r="AS91" s="237">
        <f t="shared" si="20"/>
        <v>4.9685326266975825E-2</v>
      </c>
      <c r="AU91" s="251">
        <f t="shared" si="17"/>
        <v>5807.9811498080498</v>
      </c>
      <c r="AV91" s="251">
        <f t="shared" si="17"/>
        <v>1642.282756391734</v>
      </c>
      <c r="AW91" s="251">
        <f t="shared" si="17"/>
        <v>0</v>
      </c>
      <c r="AX91" s="251">
        <f t="shared" si="17"/>
        <v>47734.531989656112</v>
      </c>
      <c r="AY91" s="251">
        <f t="shared" si="17"/>
        <v>2479.1778979390615</v>
      </c>
      <c r="AZ91" s="251">
        <f t="shared" si="16"/>
        <v>57663.973793794954</v>
      </c>
      <c r="BA91" s="270">
        <f t="shared" si="14"/>
        <v>7.7119449128514299</v>
      </c>
      <c r="BB91" s="251">
        <f t="shared" si="7"/>
        <v>7450.2639061997834</v>
      </c>
      <c r="BC91" s="251">
        <f t="shared" si="8"/>
        <v>50213.709887595171</v>
      </c>
    </row>
    <row r="92" spans="1:55">
      <c r="A92" s="11">
        <v>46447</v>
      </c>
      <c r="B92" s="251">
        <v>100</v>
      </c>
      <c r="C92" s="251">
        <v>295</v>
      </c>
      <c r="D92" s="251">
        <v>5</v>
      </c>
      <c r="E92" s="251"/>
      <c r="F92" s="251">
        <v>44</v>
      </c>
      <c r="G92" s="287">
        <v>0.33</v>
      </c>
      <c r="H92" s="287"/>
      <c r="I92" s="251"/>
      <c r="J92" s="251"/>
      <c r="K92" s="251"/>
      <c r="L92" s="251"/>
      <c r="M92" s="13"/>
      <c r="N92" s="251">
        <f t="shared" si="2"/>
        <v>444.33</v>
      </c>
      <c r="O92" s="251">
        <f>'BBD Monthly Production'!S23*12</f>
        <v>383.08419471328364</v>
      </c>
      <c r="P92" s="271">
        <f t="shared" si="3"/>
        <v>0.86216144467689249</v>
      </c>
      <c r="Y92" s="251">
        <f>SUM('RD Feedstock'!F90,'RD Feedstock'!I90)</f>
        <v>23.121874999999999</v>
      </c>
      <c r="Z92" s="251">
        <f>SUM('RD Feedstock'!G90,'RD Feedstock'!J90)</f>
        <v>7.65625</v>
      </c>
      <c r="AA92" s="251">
        <v>0</v>
      </c>
      <c r="AB92" s="251">
        <f>SUM('RD Feedstock'!B90,'RD Feedstock'!D90,'RD Feedstock'!H90)</f>
        <v>236.09479166666665</v>
      </c>
      <c r="AC92" s="251">
        <f>SUM('RD Feedstock'!C90,'RD Feedstock'!E90)</f>
        <v>12.34375</v>
      </c>
      <c r="AD92" s="251">
        <f t="shared" si="18"/>
        <v>279.21666666666664</v>
      </c>
      <c r="AH92" s="237">
        <f t="shared" si="15"/>
        <v>8.2809795260550351E-2</v>
      </c>
      <c r="AI92" s="237">
        <f t="shared" si="15"/>
        <v>2.7420462006804754E-2</v>
      </c>
      <c r="AJ92" s="237">
        <f t="shared" si="15"/>
        <v>0</v>
      </c>
      <c r="AK92" s="237">
        <f t="shared" si="15"/>
        <v>0.84556124276249034</v>
      </c>
      <c r="AL92" s="237">
        <f t="shared" si="15"/>
        <v>4.4208499970154601E-2</v>
      </c>
      <c r="AM92" s="237">
        <f t="shared" si="9"/>
        <v>1</v>
      </c>
      <c r="AO92" s="237">
        <f t="shared" si="10"/>
        <v>0.75124378109452739</v>
      </c>
      <c r="AP92" s="237">
        <f t="shared" si="11"/>
        <v>0.24875621890547264</v>
      </c>
      <c r="AQ92" s="237">
        <f t="shared" si="12"/>
        <v>0</v>
      </c>
      <c r="AR92" s="237">
        <f t="shared" si="19"/>
        <v>0.95031467373302414</v>
      </c>
      <c r="AS92" s="237">
        <f t="shared" si="20"/>
        <v>4.9685326266975825E-2</v>
      </c>
      <c r="AU92" s="251">
        <f t="shared" si="17"/>
        <v>11247.691615006532</v>
      </c>
      <c r="AV92" s="251">
        <f t="shared" si="17"/>
        <v>3180.432152254421</v>
      </c>
      <c r="AW92" s="251">
        <f t="shared" si="17"/>
        <v>0</v>
      </c>
      <c r="AX92" s="251">
        <f t="shared" si="17"/>
        <v>92442.327438349268</v>
      </c>
      <c r="AY92" s="251">
        <f t="shared" si="17"/>
        <v>4801.156845297317</v>
      </c>
      <c r="AZ92" s="251">
        <f t="shared" si="16"/>
        <v>111671.60805090754</v>
      </c>
      <c r="BA92" s="270">
        <f t="shared" si="14"/>
        <v>7.7119449128514299</v>
      </c>
      <c r="BB92" s="251">
        <f t="shared" si="7"/>
        <v>14428.123767260953</v>
      </c>
      <c r="BC92" s="251">
        <f t="shared" si="8"/>
        <v>97243.484283646583</v>
      </c>
    </row>
    <row r="93" spans="1:55">
      <c r="A93" s="11">
        <v>46478</v>
      </c>
      <c r="B93" s="251">
        <v>100</v>
      </c>
      <c r="C93" s="251">
        <v>295</v>
      </c>
      <c r="D93" s="251">
        <v>5</v>
      </c>
      <c r="E93" s="251">
        <v>50</v>
      </c>
      <c r="F93" s="251">
        <v>44</v>
      </c>
      <c r="G93" s="287">
        <v>0.33</v>
      </c>
      <c r="H93" s="287"/>
      <c r="I93" s="251"/>
      <c r="J93" s="251"/>
      <c r="K93" s="251"/>
      <c r="L93" s="251"/>
      <c r="M93" s="13"/>
      <c r="N93" s="251">
        <f t="shared" si="2"/>
        <v>494.33</v>
      </c>
      <c r="O93" s="251">
        <f>'BBD Monthly Production'!S24*12</f>
        <v>340.1340468714352</v>
      </c>
      <c r="P93" s="271">
        <f t="shared" si="3"/>
        <v>0.68807081680544413</v>
      </c>
      <c r="Y93" s="251">
        <f>SUM('RD Feedstock'!F91,'RD Feedstock'!I91)</f>
        <v>23.121874999999999</v>
      </c>
      <c r="Z93" s="251">
        <f>SUM('RD Feedstock'!G91,'RD Feedstock'!J91)</f>
        <v>7.65625</v>
      </c>
      <c r="AA93" s="251">
        <v>0</v>
      </c>
      <c r="AB93" s="251">
        <f>SUM('RD Feedstock'!B91,'RD Feedstock'!D91,'RD Feedstock'!H91)</f>
        <v>267.55312499999997</v>
      </c>
      <c r="AC93" s="251">
        <f>SUM('RD Feedstock'!C91,'RD Feedstock'!E91)</f>
        <v>12.34375</v>
      </c>
      <c r="AD93" s="251">
        <f t="shared" si="18"/>
        <v>310.67499999999995</v>
      </c>
      <c r="AH93" s="237">
        <f t="shared" si="15"/>
        <v>7.4424639896998476E-2</v>
      </c>
      <c r="AI93" s="237">
        <f t="shared" si="15"/>
        <v>2.464392049569486E-2</v>
      </c>
      <c r="AJ93" s="237">
        <f t="shared" si="15"/>
        <v>0</v>
      </c>
      <c r="AK93" s="237">
        <f t="shared" si="15"/>
        <v>0.86119940452241095</v>
      </c>
      <c r="AL93" s="237">
        <f t="shared" si="15"/>
        <v>3.9732035084895798E-2</v>
      </c>
      <c r="AM93" s="237">
        <f t="shared" si="9"/>
        <v>1</v>
      </c>
      <c r="AO93" s="237">
        <f t="shared" si="10"/>
        <v>0.75124378109452739</v>
      </c>
      <c r="AP93" s="237">
        <f t="shared" si="11"/>
        <v>0.24875621890547264</v>
      </c>
      <c r="AQ93" s="237">
        <f t="shared" si="12"/>
        <v>0</v>
      </c>
      <c r="AR93" s="237">
        <f t="shared" si="19"/>
        <v>0.95589893599205067</v>
      </c>
      <c r="AS93" s="237">
        <f t="shared" si="20"/>
        <v>4.4101064007949359E-2</v>
      </c>
      <c r="AU93" s="251">
        <f t="shared" si="17"/>
        <v>8975.410149637979</v>
      </c>
      <c r="AV93" s="251">
        <f t="shared" si="17"/>
        <v>2537.9148003572564</v>
      </c>
      <c r="AW93" s="251">
        <f t="shared" si="17"/>
        <v>0</v>
      </c>
      <c r="AX93" s="251">
        <f t="shared" si="17"/>
        <v>83595.980460114311</v>
      </c>
      <c r="AY93" s="251">
        <f t="shared" si="17"/>
        <v>3831.2174048043885</v>
      </c>
      <c r="AZ93" s="251">
        <f t="shared" si="16"/>
        <v>98940.522814913929</v>
      </c>
      <c r="BA93" s="270">
        <f t="shared" si="14"/>
        <v>7.6955466926852818</v>
      </c>
      <c r="BB93" s="251">
        <f t="shared" si="7"/>
        <v>11513.324949995236</v>
      </c>
      <c r="BC93" s="251">
        <f t="shared" si="8"/>
        <v>87427.197864918693</v>
      </c>
    </row>
    <row r="94" spans="1:55">
      <c r="A94" s="11">
        <v>46508</v>
      </c>
      <c r="B94" s="251">
        <v>100</v>
      </c>
      <c r="C94" s="251">
        <v>295</v>
      </c>
      <c r="D94" s="251">
        <v>5</v>
      </c>
      <c r="E94" s="251">
        <v>150</v>
      </c>
      <c r="F94" s="251">
        <v>44</v>
      </c>
      <c r="G94" s="287">
        <v>0.33</v>
      </c>
      <c r="H94" s="287"/>
      <c r="I94" s="251"/>
      <c r="J94" s="251"/>
      <c r="K94" s="251"/>
      <c r="L94" s="251"/>
      <c r="M94" s="13"/>
      <c r="N94" s="251">
        <f t="shared" si="2"/>
        <v>594.33000000000004</v>
      </c>
      <c r="O94" s="251">
        <f>'BBD Monthly Production'!S25*12</f>
        <v>382.22273526293225</v>
      </c>
      <c r="P94" s="271">
        <f t="shared" si="3"/>
        <v>0.64311533199221349</v>
      </c>
      <c r="Y94" s="251">
        <f>SUM('RD Feedstock'!F92,'RD Feedstock'!I92)</f>
        <v>23.121874999999999</v>
      </c>
      <c r="Z94" s="251">
        <f>SUM('RD Feedstock'!G92,'RD Feedstock'!J92)</f>
        <v>7.65625</v>
      </c>
      <c r="AA94" s="251">
        <v>0</v>
      </c>
      <c r="AB94" s="251">
        <f>SUM('RD Feedstock'!B92,'RD Feedstock'!D92,'RD Feedstock'!H92)</f>
        <v>330.46979166666665</v>
      </c>
      <c r="AC94" s="251">
        <f>SUM('RD Feedstock'!C92,'RD Feedstock'!E92)</f>
        <v>12.34375</v>
      </c>
      <c r="AD94" s="251">
        <f t="shared" si="18"/>
        <v>373.59166666666664</v>
      </c>
      <c r="AH94" s="237">
        <f t="shared" si="15"/>
        <v>6.1890767549240486E-2</v>
      </c>
      <c r="AI94" s="237">
        <f t="shared" si="15"/>
        <v>2.0493631638821352E-2</v>
      </c>
      <c r="AJ94" s="237">
        <f t="shared" si="15"/>
        <v>0</v>
      </c>
      <c r="AK94" s="237">
        <f t="shared" si="15"/>
        <v>0.88457484776159356</v>
      </c>
      <c r="AL94" s="237">
        <f t="shared" si="15"/>
        <v>3.304075305034463E-2</v>
      </c>
      <c r="AM94" s="237">
        <f t="shared" si="9"/>
        <v>1</v>
      </c>
      <c r="AO94" s="237">
        <f t="shared" si="10"/>
        <v>0.75124378109452739</v>
      </c>
      <c r="AP94" s="237">
        <f t="shared" si="11"/>
        <v>0.24875621890547264</v>
      </c>
      <c r="AQ94" s="237">
        <f t="shared" si="12"/>
        <v>0</v>
      </c>
      <c r="AR94" s="237">
        <f t="shared" si="19"/>
        <v>0.96399281679484417</v>
      </c>
      <c r="AS94" s="237">
        <f t="shared" si="20"/>
        <v>3.6007183205155863E-2</v>
      </c>
      <c r="AU94" s="251">
        <f t="shared" si="17"/>
        <v>8387.4479902000803</v>
      </c>
      <c r="AV94" s="251">
        <f t="shared" si="17"/>
        <v>2371.6607972967222</v>
      </c>
      <c r="AW94" s="251">
        <f t="shared" si="17"/>
        <v>0</v>
      </c>
      <c r="AX94" s="251">
        <f t="shared" si="17"/>
        <v>96490.081021240941</v>
      </c>
      <c r="AY94" s="251">
        <f t="shared" si="17"/>
        <v>3580.2415918833808</v>
      </c>
      <c r="AZ94" s="251">
        <f t="shared" si="16"/>
        <v>110829.43140062114</v>
      </c>
      <c r="BA94" s="270">
        <f t="shared" si="14"/>
        <v>7.6710351375164514</v>
      </c>
      <c r="BB94" s="251">
        <f t="shared" si="7"/>
        <v>10759.108787496803</v>
      </c>
      <c r="BC94" s="251">
        <f t="shared" si="8"/>
        <v>100070.32261312433</v>
      </c>
    </row>
    <row r="95" spans="1:55">
      <c r="A95" s="11">
        <v>46539</v>
      </c>
      <c r="B95" s="251">
        <v>100</v>
      </c>
      <c r="C95" s="251">
        <v>295</v>
      </c>
      <c r="D95" s="251">
        <v>5</v>
      </c>
      <c r="E95" s="251">
        <v>220</v>
      </c>
      <c r="F95" s="251">
        <v>44</v>
      </c>
      <c r="G95" s="287">
        <v>0.33</v>
      </c>
      <c r="H95" s="287"/>
      <c r="I95" s="251"/>
      <c r="J95" s="251"/>
      <c r="K95" s="251"/>
      <c r="L95" s="251"/>
      <c r="M95" s="13"/>
      <c r="N95" s="251">
        <f t="shared" si="2"/>
        <v>664.33</v>
      </c>
      <c r="O95" s="251">
        <f>'BBD Monthly Production'!S26*12</f>
        <v>493.5034034733747</v>
      </c>
      <c r="P95" s="271">
        <f t="shared" si="3"/>
        <v>0.74285882539306469</v>
      </c>
      <c r="Y95" s="251">
        <f>SUM('RD Feedstock'!F93,'RD Feedstock'!I93)</f>
        <v>23.121874999999999</v>
      </c>
      <c r="Z95" s="251">
        <f>SUM('RD Feedstock'!G93,'RD Feedstock'!J93)</f>
        <v>7.65625</v>
      </c>
      <c r="AA95" s="251">
        <v>0</v>
      </c>
      <c r="AB95" s="251">
        <f>SUM('RD Feedstock'!B93,'RD Feedstock'!D93,'RD Feedstock'!H93)</f>
        <v>374.51145833333328</v>
      </c>
      <c r="AC95" s="251">
        <f>SUM('RD Feedstock'!C93,'RD Feedstock'!E93)</f>
        <v>12.34375</v>
      </c>
      <c r="AD95" s="251">
        <f t="shared" si="18"/>
        <v>417.63333333333327</v>
      </c>
      <c r="AH95" s="237">
        <f t="shared" si="15"/>
        <v>5.5364055391491744E-2</v>
      </c>
      <c r="AI95" s="237">
        <f t="shared" si="15"/>
        <v>1.8332468672679385E-2</v>
      </c>
      <c r="AJ95" s="237">
        <f t="shared" si="15"/>
        <v>0</v>
      </c>
      <c r="AK95" s="237">
        <f t="shared" si="15"/>
        <v>0.89674704685130502</v>
      </c>
      <c r="AL95" s="237">
        <f t="shared" si="15"/>
        <v>2.9556429084523911E-2</v>
      </c>
      <c r="AM95" s="237">
        <f t="shared" si="9"/>
        <v>1</v>
      </c>
      <c r="AO95" s="237">
        <f t="shared" si="10"/>
        <v>0.75124378109452739</v>
      </c>
      <c r="AP95" s="237">
        <f t="shared" si="11"/>
        <v>0.24875621890547264</v>
      </c>
      <c r="AQ95" s="237">
        <f t="shared" si="12"/>
        <v>0</v>
      </c>
      <c r="AR95" s="237">
        <f t="shared" si="19"/>
        <v>0.96809206717629603</v>
      </c>
      <c r="AS95" s="237">
        <f t="shared" si="20"/>
        <v>3.1907932823703966E-2</v>
      </c>
      <c r="AU95" s="251">
        <f t="shared" si="17"/>
        <v>9687.3614011497448</v>
      </c>
      <c r="AV95" s="251">
        <f t="shared" si="17"/>
        <v>2739.2283434957235</v>
      </c>
      <c r="AW95" s="251">
        <f t="shared" si="17"/>
        <v>0</v>
      </c>
      <c r="AX95" s="251">
        <f t="shared" si="17"/>
        <v>126296.60487347405</v>
      </c>
      <c r="AY95" s="251">
        <f t="shared" si="17"/>
        <v>4135.1188400245001</v>
      </c>
      <c r="AZ95" s="251">
        <f t="shared" si="16"/>
        <v>142858.313458144</v>
      </c>
      <c r="BA95" s="270">
        <f t="shared" si="14"/>
        <v>7.6582713355016354</v>
      </c>
      <c r="BB95" s="251">
        <f t="shared" si="7"/>
        <v>12426.589744645469</v>
      </c>
      <c r="BC95" s="251">
        <f t="shared" si="8"/>
        <v>130431.72371349855</v>
      </c>
    </row>
    <row r="96" spans="1:55">
      <c r="A96" s="11">
        <v>46569</v>
      </c>
      <c r="B96" s="251">
        <v>100</v>
      </c>
      <c r="C96" s="251">
        <v>295</v>
      </c>
      <c r="D96" s="251">
        <v>5</v>
      </c>
      <c r="E96" s="251">
        <v>220</v>
      </c>
      <c r="F96" s="251">
        <v>44</v>
      </c>
      <c r="G96" s="287">
        <v>0.33</v>
      </c>
      <c r="H96" s="287"/>
      <c r="I96" s="251"/>
      <c r="J96" s="251"/>
      <c r="K96" s="251"/>
      <c r="L96" s="251"/>
      <c r="M96" s="13"/>
      <c r="N96" s="251">
        <f t="shared" si="2"/>
        <v>664.33</v>
      </c>
      <c r="O96" s="251">
        <f>'BBD Monthly Production'!S27*12</f>
        <v>429.12132540971305</v>
      </c>
      <c r="P96" s="271">
        <f t="shared" si="3"/>
        <v>0.64594602894602537</v>
      </c>
      <c r="Y96" s="251">
        <f>SUM('RD Feedstock'!F94,'RD Feedstock'!I94)</f>
        <v>23.121874999999999</v>
      </c>
      <c r="Z96" s="251">
        <f>SUM('RD Feedstock'!G94,'RD Feedstock'!J94)</f>
        <v>7.65625</v>
      </c>
      <c r="AA96" s="251">
        <v>0</v>
      </c>
      <c r="AB96" s="251">
        <f>SUM('RD Feedstock'!B94,'RD Feedstock'!D94,'RD Feedstock'!H94)</f>
        <v>374.51145833333328</v>
      </c>
      <c r="AC96" s="251">
        <f>SUM('RD Feedstock'!C94,'RD Feedstock'!E94)</f>
        <v>12.34375</v>
      </c>
      <c r="AD96" s="251">
        <f t="shared" si="18"/>
        <v>417.63333333333327</v>
      </c>
      <c r="AH96" s="237">
        <f t="shared" si="15"/>
        <v>5.5364055391491744E-2</v>
      </c>
      <c r="AI96" s="237">
        <f t="shared" si="15"/>
        <v>1.8332468672679385E-2</v>
      </c>
      <c r="AJ96" s="237">
        <f t="shared" si="15"/>
        <v>0</v>
      </c>
      <c r="AK96" s="237">
        <f t="shared" si="15"/>
        <v>0.89674704685130502</v>
      </c>
      <c r="AL96" s="237">
        <f t="shared" si="15"/>
        <v>2.9556429084523911E-2</v>
      </c>
      <c r="AM96" s="237">
        <f t="shared" si="9"/>
        <v>1</v>
      </c>
      <c r="AO96" s="237">
        <f t="shared" si="10"/>
        <v>0.75124378109452739</v>
      </c>
      <c r="AP96" s="237">
        <f t="shared" si="11"/>
        <v>0.24875621890547264</v>
      </c>
      <c r="AQ96" s="237">
        <f t="shared" si="12"/>
        <v>0</v>
      </c>
      <c r="AR96" s="237">
        <f t="shared" si="19"/>
        <v>0.96809206717629603</v>
      </c>
      <c r="AS96" s="237">
        <f t="shared" si="20"/>
        <v>3.1907932823703966E-2</v>
      </c>
      <c r="AU96" s="251">
        <f t="shared" si="17"/>
        <v>8423.5556126383508</v>
      </c>
      <c r="AV96" s="251">
        <f t="shared" si="17"/>
        <v>2381.8707005617553</v>
      </c>
      <c r="AW96" s="251">
        <f t="shared" si="17"/>
        <v>0</v>
      </c>
      <c r="AX96" s="251">
        <f t="shared" si="17"/>
        <v>109820.04601509501</v>
      </c>
      <c r="AY96" s="251">
        <f t="shared" si="17"/>
        <v>3595.6543863100719</v>
      </c>
      <c r="AZ96" s="251">
        <f t="shared" si="16"/>
        <v>124221.12671460518</v>
      </c>
      <c r="BA96" s="270">
        <f t="shared" si="14"/>
        <v>7.6582713355016354</v>
      </c>
      <c r="BB96" s="251">
        <f t="shared" si="7"/>
        <v>10805.426313200107</v>
      </c>
      <c r="BC96" s="251">
        <f t="shared" si="8"/>
        <v>113415.70040140508</v>
      </c>
    </row>
    <row r="97" spans="1:55">
      <c r="A97" s="11">
        <v>46600</v>
      </c>
      <c r="B97" s="251">
        <v>100</v>
      </c>
      <c r="C97" s="251">
        <v>295</v>
      </c>
      <c r="D97" s="251">
        <v>5</v>
      </c>
      <c r="E97" s="251">
        <v>220</v>
      </c>
      <c r="F97" s="251">
        <v>44</v>
      </c>
      <c r="G97" s="287">
        <v>0.33</v>
      </c>
      <c r="H97" s="287"/>
      <c r="I97" s="251"/>
      <c r="J97" s="251"/>
      <c r="K97" s="251"/>
      <c r="L97" s="251"/>
      <c r="M97" s="13"/>
      <c r="N97" s="251">
        <f t="shared" si="2"/>
        <v>664.33</v>
      </c>
      <c r="O97" s="251">
        <f>'BBD Monthly Production'!S28*12</f>
        <v>375.85970418751162</v>
      </c>
      <c r="P97" s="271">
        <f t="shared" si="3"/>
        <v>0.56577258920643592</v>
      </c>
      <c r="Y97" s="251">
        <f>SUM('RD Feedstock'!F95,'RD Feedstock'!I95)</f>
        <v>23.121874999999999</v>
      </c>
      <c r="Z97" s="251">
        <f>SUM('RD Feedstock'!G95,'RD Feedstock'!J95)</f>
        <v>7.65625</v>
      </c>
      <c r="AA97" s="251">
        <v>0</v>
      </c>
      <c r="AB97" s="251">
        <f>SUM('RD Feedstock'!B95,'RD Feedstock'!D95,'RD Feedstock'!H95)</f>
        <v>374.51145833333328</v>
      </c>
      <c r="AC97" s="251">
        <f>SUM('RD Feedstock'!C95,'RD Feedstock'!E95)</f>
        <v>12.34375</v>
      </c>
      <c r="AD97" s="251">
        <f t="shared" si="18"/>
        <v>417.63333333333327</v>
      </c>
      <c r="AH97" s="237">
        <f t="shared" si="15"/>
        <v>5.5364055391491744E-2</v>
      </c>
      <c r="AI97" s="237">
        <f t="shared" si="15"/>
        <v>1.8332468672679385E-2</v>
      </c>
      <c r="AJ97" s="237">
        <f t="shared" si="15"/>
        <v>0</v>
      </c>
      <c r="AK97" s="237">
        <f t="shared" si="15"/>
        <v>0.89674704685130502</v>
      </c>
      <c r="AL97" s="237">
        <f t="shared" si="15"/>
        <v>2.9556429084523911E-2</v>
      </c>
      <c r="AM97" s="237">
        <f t="shared" si="9"/>
        <v>1</v>
      </c>
      <c r="AO97" s="237">
        <f t="shared" si="10"/>
        <v>0.75124378109452739</v>
      </c>
      <c r="AP97" s="237">
        <f t="shared" si="11"/>
        <v>0.24875621890547264</v>
      </c>
      <c r="AQ97" s="237">
        <f t="shared" si="12"/>
        <v>0</v>
      </c>
      <c r="AR97" s="237">
        <f t="shared" si="19"/>
        <v>0.96809206717629603</v>
      </c>
      <c r="AS97" s="237">
        <f t="shared" si="20"/>
        <v>3.1907932823703966E-2</v>
      </c>
      <c r="AU97" s="251">
        <f t="shared" si="17"/>
        <v>7378.041904000981</v>
      </c>
      <c r="AV97" s="251">
        <f t="shared" si="17"/>
        <v>2086.2380029034525</v>
      </c>
      <c r="AW97" s="251">
        <f t="shared" si="17"/>
        <v>0</v>
      </c>
      <c r="AX97" s="251">
        <f t="shared" si="17"/>
        <v>96189.416756863502</v>
      </c>
      <c r="AY97" s="251">
        <f t="shared" si="17"/>
        <v>3149.3694532861878</v>
      </c>
      <c r="AZ97" s="251">
        <f t="shared" si="16"/>
        <v>108803.06611705413</v>
      </c>
      <c r="BA97" s="270">
        <f t="shared" si="14"/>
        <v>7.6582713355016372</v>
      </c>
      <c r="BB97" s="251">
        <f t="shared" si="7"/>
        <v>9464.279906904434</v>
      </c>
      <c r="BC97" s="251">
        <f t="shared" si="8"/>
        <v>99338.786210149687</v>
      </c>
    </row>
    <row r="98" spans="1:55">
      <c r="A98" s="11">
        <v>46631</v>
      </c>
      <c r="B98" s="251">
        <v>100</v>
      </c>
      <c r="C98" s="251">
        <v>295</v>
      </c>
      <c r="D98" s="251">
        <v>5</v>
      </c>
      <c r="E98" s="251">
        <v>220</v>
      </c>
      <c r="F98" s="251">
        <v>44</v>
      </c>
      <c r="G98" s="287">
        <v>0.33</v>
      </c>
      <c r="H98" s="287"/>
      <c r="I98" s="251"/>
      <c r="J98" s="251"/>
      <c r="K98" s="251"/>
      <c r="L98" s="251"/>
      <c r="M98" s="13"/>
      <c r="N98" s="251">
        <f t="shared" si="2"/>
        <v>664.33</v>
      </c>
      <c r="O98" s="251">
        <f>'BBD Monthly Production'!S29*12</f>
        <v>414.39253327023442</v>
      </c>
      <c r="P98" s="271">
        <f t="shared" si="3"/>
        <v>0.62377513174210764</v>
      </c>
      <c r="Y98" s="251">
        <f>SUM('RD Feedstock'!F96,'RD Feedstock'!I96)</f>
        <v>23.121874999999999</v>
      </c>
      <c r="Z98" s="251">
        <f>SUM('RD Feedstock'!G96,'RD Feedstock'!J96)</f>
        <v>7.65625</v>
      </c>
      <c r="AA98" s="251">
        <v>0</v>
      </c>
      <c r="AB98" s="251">
        <f>SUM('RD Feedstock'!B96,'RD Feedstock'!D96,'RD Feedstock'!H96)</f>
        <v>374.51145833333328</v>
      </c>
      <c r="AC98" s="251">
        <f>SUM('RD Feedstock'!C96,'RD Feedstock'!E96)</f>
        <v>12.34375</v>
      </c>
      <c r="AD98" s="251">
        <f t="shared" si="18"/>
        <v>417.63333333333327</v>
      </c>
      <c r="AH98" s="237">
        <f t="shared" si="15"/>
        <v>5.5364055391491744E-2</v>
      </c>
      <c r="AI98" s="237">
        <f t="shared" si="15"/>
        <v>1.8332468672679385E-2</v>
      </c>
      <c r="AJ98" s="237">
        <f t="shared" si="15"/>
        <v>0</v>
      </c>
      <c r="AK98" s="237">
        <f t="shared" si="15"/>
        <v>0.89674704685130502</v>
      </c>
      <c r="AL98" s="237">
        <f t="shared" si="15"/>
        <v>2.9556429084523911E-2</v>
      </c>
      <c r="AM98" s="237">
        <f t="shared" si="9"/>
        <v>1</v>
      </c>
      <c r="AO98" s="237">
        <f t="shared" si="10"/>
        <v>0.75124378109452739</v>
      </c>
      <c r="AP98" s="237">
        <f t="shared" si="11"/>
        <v>0.24875621890547264</v>
      </c>
      <c r="AQ98" s="237">
        <f t="shared" si="12"/>
        <v>0</v>
      </c>
      <c r="AR98" s="237">
        <f t="shared" si="19"/>
        <v>0.96809206717629603</v>
      </c>
      <c r="AS98" s="237">
        <f t="shared" si="20"/>
        <v>3.1907932823703966E-2</v>
      </c>
      <c r="AU98" s="251">
        <f t="shared" si="17"/>
        <v>8134.4327181389172</v>
      </c>
      <c r="AV98" s="251">
        <f t="shared" si="17"/>
        <v>2300.1174145459809</v>
      </c>
      <c r="AW98" s="251">
        <f t="shared" si="17"/>
        <v>0</v>
      </c>
      <c r="AX98" s="251">
        <f t="shared" si="17"/>
        <v>106050.67699350198</v>
      </c>
      <c r="AY98" s="251">
        <f t="shared" si="17"/>
        <v>3472.240230626242</v>
      </c>
      <c r="AZ98" s="251">
        <f t="shared" si="16"/>
        <v>119957.46735681313</v>
      </c>
      <c r="BA98" s="270">
        <f t="shared" si="14"/>
        <v>7.6582713355016354</v>
      </c>
      <c r="BB98" s="251">
        <f t="shared" si="7"/>
        <v>10434.550132684897</v>
      </c>
      <c r="BC98" s="251">
        <f t="shared" si="8"/>
        <v>109522.91722412822</v>
      </c>
    </row>
    <row r="99" spans="1:55">
      <c r="A99" s="11">
        <v>46661</v>
      </c>
      <c r="B99" s="251">
        <v>100</v>
      </c>
      <c r="C99" s="251">
        <v>295</v>
      </c>
      <c r="D99" s="251">
        <v>5</v>
      </c>
      <c r="E99" s="251">
        <v>220</v>
      </c>
      <c r="F99" s="251">
        <v>44</v>
      </c>
      <c r="G99" s="287">
        <v>0.33</v>
      </c>
      <c r="H99" s="287"/>
      <c r="I99" s="251"/>
      <c r="J99" s="251"/>
      <c r="K99" s="251"/>
      <c r="L99" s="251"/>
      <c r="M99" s="13"/>
      <c r="N99" s="251">
        <f t="shared" si="2"/>
        <v>664.33</v>
      </c>
      <c r="O99" s="251">
        <f>'BBD Monthly Production'!S30*12</f>
        <v>321.5166732783029</v>
      </c>
      <c r="P99" s="271">
        <f t="shared" si="3"/>
        <v>0.48397132942709631</v>
      </c>
      <c r="Y99" s="251">
        <f>SUM('RD Feedstock'!F97,'RD Feedstock'!I97)</f>
        <v>23.121874999999999</v>
      </c>
      <c r="Z99" s="251">
        <f>SUM('RD Feedstock'!G97,'RD Feedstock'!J97)</f>
        <v>7.65625</v>
      </c>
      <c r="AA99" s="251">
        <v>0</v>
      </c>
      <c r="AB99" s="251">
        <f>SUM('RD Feedstock'!B97,'RD Feedstock'!D97,'RD Feedstock'!H97)</f>
        <v>374.51145833333328</v>
      </c>
      <c r="AC99" s="251">
        <f>SUM('RD Feedstock'!C97,'RD Feedstock'!E97)</f>
        <v>12.34375</v>
      </c>
      <c r="AD99" s="251">
        <f t="shared" si="18"/>
        <v>417.63333333333327</v>
      </c>
      <c r="AH99" s="237">
        <f t="shared" si="15"/>
        <v>5.5364055391491744E-2</v>
      </c>
      <c r="AI99" s="237">
        <f t="shared" si="15"/>
        <v>1.8332468672679385E-2</v>
      </c>
      <c r="AJ99" s="237">
        <f t="shared" si="15"/>
        <v>0</v>
      </c>
      <c r="AK99" s="237">
        <f t="shared" si="15"/>
        <v>0.89674704685130502</v>
      </c>
      <c r="AL99" s="237">
        <f t="shared" si="15"/>
        <v>2.9556429084523911E-2</v>
      </c>
      <c r="AM99" s="237">
        <f t="shared" si="9"/>
        <v>1</v>
      </c>
      <c r="AO99" s="237">
        <f t="shared" si="10"/>
        <v>0.75124378109452739</v>
      </c>
      <c r="AP99" s="237">
        <f t="shared" si="11"/>
        <v>0.24875621890547264</v>
      </c>
      <c r="AQ99" s="237">
        <f t="shared" si="12"/>
        <v>0</v>
      </c>
      <c r="AR99" s="237">
        <f t="shared" si="19"/>
        <v>0.96809206717629603</v>
      </c>
      <c r="AS99" s="237">
        <f t="shared" si="20"/>
        <v>3.1907932823703966E-2</v>
      </c>
      <c r="AU99" s="251">
        <f t="shared" si="17"/>
        <v>6311.3003651460031</v>
      </c>
      <c r="AV99" s="251">
        <f t="shared" si="17"/>
        <v>1784.6028581602213</v>
      </c>
      <c r="AW99" s="251">
        <f t="shared" si="17"/>
        <v>0</v>
      </c>
      <c r="AX99" s="251">
        <f t="shared" si="17"/>
        <v>82282.034854202298</v>
      </c>
      <c r="AY99" s="251">
        <f t="shared" si="17"/>
        <v>2694.0232705544881</v>
      </c>
      <c r="AZ99" s="251">
        <f t="shared" si="16"/>
        <v>93071.961348063021</v>
      </c>
      <c r="BA99" s="270">
        <f t="shared" si="14"/>
        <v>7.6582713355016381</v>
      </c>
      <c r="BB99" s="251">
        <f t="shared" si="7"/>
        <v>8095.9032233062244</v>
      </c>
      <c r="BC99" s="251">
        <f t="shared" si="8"/>
        <v>84976.05812475679</v>
      </c>
    </row>
    <row r="100" spans="1:55">
      <c r="A100" s="11">
        <v>46692</v>
      </c>
      <c r="B100" s="251">
        <v>100</v>
      </c>
      <c r="C100" s="251">
        <v>295</v>
      </c>
      <c r="D100" s="251">
        <v>5</v>
      </c>
      <c r="E100" s="251">
        <v>220</v>
      </c>
      <c r="F100" s="251">
        <v>44</v>
      </c>
      <c r="G100" s="287">
        <v>0.33</v>
      </c>
      <c r="H100" s="287"/>
      <c r="I100" s="251"/>
      <c r="J100" s="251"/>
      <c r="K100" s="251"/>
      <c r="L100" s="251"/>
      <c r="M100" s="13"/>
      <c r="N100" s="251">
        <f t="shared" si="2"/>
        <v>664.33</v>
      </c>
      <c r="O100" s="251">
        <f>'BBD Monthly Production'!S31*12</f>
        <v>417.04703909137379</v>
      </c>
      <c r="P100" s="271">
        <f t="shared" si="3"/>
        <v>0.62777089562623056</v>
      </c>
      <c r="Y100" s="251">
        <f>SUM('RD Feedstock'!F98,'RD Feedstock'!I98)</f>
        <v>23.121874999999999</v>
      </c>
      <c r="Z100" s="251">
        <f>SUM('RD Feedstock'!G98,'RD Feedstock'!J98)</f>
        <v>7.65625</v>
      </c>
      <c r="AA100" s="251">
        <v>0</v>
      </c>
      <c r="AB100" s="251">
        <f>SUM('RD Feedstock'!B98,'RD Feedstock'!D98,'RD Feedstock'!H98)</f>
        <v>374.51145833333328</v>
      </c>
      <c r="AC100" s="251">
        <f>SUM('RD Feedstock'!C98,'RD Feedstock'!E98)</f>
        <v>12.34375</v>
      </c>
      <c r="AD100" s="251">
        <f t="shared" si="18"/>
        <v>417.63333333333327</v>
      </c>
      <c r="AH100" s="237">
        <f t="shared" si="15"/>
        <v>5.5364055391491744E-2</v>
      </c>
      <c r="AI100" s="237">
        <f t="shared" si="15"/>
        <v>1.8332468672679385E-2</v>
      </c>
      <c r="AJ100" s="237">
        <f t="shared" si="15"/>
        <v>0</v>
      </c>
      <c r="AK100" s="237">
        <f t="shared" si="15"/>
        <v>0.89674704685130502</v>
      </c>
      <c r="AL100" s="237">
        <f t="shared" si="15"/>
        <v>2.9556429084523911E-2</v>
      </c>
      <c r="AM100" s="237">
        <f t="shared" si="9"/>
        <v>1</v>
      </c>
      <c r="AO100" s="237">
        <f t="shared" si="10"/>
        <v>0.75124378109452739</v>
      </c>
      <c r="AP100" s="237">
        <f t="shared" si="11"/>
        <v>0.24875621890547264</v>
      </c>
      <c r="AQ100" s="237">
        <f t="shared" si="12"/>
        <v>0</v>
      </c>
      <c r="AR100" s="237">
        <f t="shared" si="19"/>
        <v>0.96809206717629603</v>
      </c>
      <c r="AS100" s="237">
        <f t="shared" si="20"/>
        <v>3.1907932823703966E-2</v>
      </c>
      <c r="AU100" s="251">
        <f t="shared" si="17"/>
        <v>8186.5400735286576</v>
      </c>
      <c r="AV100" s="251">
        <f t="shared" si="17"/>
        <v>2314.8514519043101</v>
      </c>
      <c r="AW100" s="251">
        <f t="shared" si="17"/>
        <v>0</v>
      </c>
      <c r="AX100" s="251">
        <f t="shared" si="17"/>
        <v>106730.0138946605</v>
      </c>
      <c r="AY100" s="251">
        <f t="shared" si="17"/>
        <v>3494.4826244064916</v>
      </c>
      <c r="AZ100" s="251">
        <f t="shared" si="16"/>
        <v>120725.88804449995</v>
      </c>
      <c r="BA100" s="270">
        <f t="shared" si="14"/>
        <v>7.6582713355016372</v>
      </c>
      <c r="BB100" s="251">
        <f t="shared" si="7"/>
        <v>10501.391525432968</v>
      </c>
      <c r="BC100" s="251">
        <f t="shared" si="8"/>
        <v>110224.49651906699</v>
      </c>
    </row>
    <row r="101" spans="1:55">
      <c r="A101" s="11">
        <v>46722</v>
      </c>
      <c r="B101" s="251">
        <v>100</v>
      </c>
      <c r="C101" s="251">
        <v>295</v>
      </c>
      <c r="D101" s="251">
        <v>5</v>
      </c>
      <c r="E101" s="251">
        <v>220</v>
      </c>
      <c r="F101" s="251">
        <v>44</v>
      </c>
      <c r="G101" s="287">
        <v>0.33</v>
      </c>
      <c r="H101" s="287"/>
      <c r="I101" s="251"/>
      <c r="J101" s="251"/>
      <c r="K101" s="251"/>
      <c r="L101" s="251"/>
      <c r="M101" s="13"/>
      <c r="N101" s="251">
        <f t="shared" si="2"/>
        <v>664.33</v>
      </c>
      <c r="O101" s="251">
        <f>'BBD Monthly Production'!S32*12</f>
        <v>567.65228577970709</v>
      </c>
      <c r="P101" s="271">
        <f t="shared" si="3"/>
        <v>0.85447335778860967</v>
      </c>
      <c r="Y101" s="251">
        <f>SUM('RD Feedstock'!F99,'RD Feedstock'!I99)</f>
        <v>23.121874999999999</v>
      </c>
      <c r="Z101" s="251">
        <f>SUM('RD Feedstock'!G99,'RD Feedstock'!J99)</f>
        <v>7.65625</v>
      </c>
      <c r="AA101" s="251">
        <v>0</v>
      </c>
      <c r="AB101" s="251">
        <f>SUM('RD Feedstock'!B99,'RD Feedstock'!D99,'RD Feedstock'!H99)</f>
        <v>374.51145833333328</v>
      </c>
      <c r="AC101" s="251">
        <f>SUM('RD Feedstock'!C99,'RD Feedstock'!E99)</f>
        <v>12.34375</v>
      </c>
      <c r="AD101" s="251">
        <f t="shared" si="18"/>
        <v>417.63333333333327</v>
      </c>
      <c r="AH101" s="237">
        <f t="shared" si="15"/>
        <v>5.5364055391491744E-2</v>
      </c>
      <c r="AI101" s="237">
        <f t="shared" si="15"/>
        <v>1.8332468672679385E-2</v>
      </c>
      <c r="AJ101" s="237">
        <f t="shared" si="15"/>
        <v>0</v>
      </c>
      <c r="AK101" s="237">
        <f t="shared" si="15"/>
        <v>0.89674704685130502</v>
      </c>
      <c r="AL101" s="237">
        <f t="shared" si="15"/>
        <v>2.9556429084523911E-2</v>
      </c>
      <c r="AM101" s="237">
        <f t="shared" si="9"/>
        <v>1</v>
      </c>
      <c r="AO101" s="237">
        <f t="shared" si="10"/>
        <v>0.75124378109452739</v>
      </c>
      <c r="AP101" s="237">
        <f t="shared" si="11"/>
        <v>0.24875621890547264</v>
      </c>
      <c r="AQ101" s="237">
        <f t="shared" si="12"/>
        <v>0</v>
      </c>
      <c r="AR101" s="237">
        <f t="shared" si="19"/>
        <v>0.96809206717629603</v>
      </c>
      <c r="AS101" s="237">
        <f t="shared" si="20"/>
        <v>3.1907932823703966E-2</v>
      </c>
      <c r="AU101" s="251">
        <f t="shared" si="17"/>
        <v>11142.887371866811</v>
      </c>
      <c r="AV101" s="251">
        <f t="shared" si="17"/>
        <v>3150.7973795398534</v>
      </c>
      <c r="AW101" s="251">
        <f t="shared" si="17"/>
        <v>0</v>
      </c>
      <c r="AX101" s="251">
        <f t="shared" si="17"/>
        <v>145272.66871526648</v>
      </c>
      <c r="AY101" s="251">
        <f t="shared" si="17"/>
        <v>4756.4204116725605</v>
      </c>
      <c r="AZ101" s="251">
        <f t="shared" si="16"/>
        <v>164322.7738783457</v>
      </c>
      <c r="BA101" s="270">
        <f t="shared" si="14"/>
        <v>7.6582713355016372</v>
      </c>
      <c r="BB101" s="251">
        <f t="shared" si="7"/>
        <v>14293.684751406665</v>
      </c>
      <c r="BC101" s="251">
        <f t="shared" si="8"/>
        <v>150029.08912693904</v>
      </c>
    </row>
    <row r="102" spans="1:55">
      <c r="A102" s="11">
        <v>46753</v>
      </c>
      <c r="B102" s="251">
        <v>100</v>
      </c>
      <c r="C102" s="251">
        <v>295</v>
      </c>
      <c r="D102" s="251">
        <v>5</v>
      </c>
      <c r="E102" s="251">
        <v>220</v>
      </c>
      <c r="F102" s="251">
        <v>44</v>
      </c>
      <c r="G102" s="287">
        <v>0.33</v>
      </c>
      <c r="H102" s="287"/>
      <c r="I102" s="251"/>
      <c r="J102" s="251"/>
      <c r="K102" s="251"/>
      <c r="L102" s="251"/>
      <c r="M102" s="13"/>
      <c r="N102" s="251">
        <f t="shared" ref="N102:N165" si="21">SUM(B102:L102)</f>
        <v>664.33</v>
      </c>
      <c r="O102" s="251">
        <f>'BBD Monthly Production'!T21*12</f>
        <v>199.72731002791141</v>
      </c>
      <c r="P102" s="271">
        <f t="shared" si="3"/>
        <v>0.30064472480229915</v>
      </c>
      <c r="Y102" s="251">
        <f>SUM('RD Feedstock'!F100,'RD Feedstock'!I100)</f>
        <v>23.121874999999999</v>
      </c>
      <c r="Z102" s="251">
        <f>SUM('RD Feedstock'!G100,'RD Feedstock'!J100)</f>
        <v>7.65625</v>
      </c>
      <c r="AA102" s="251">
        <v>0</v>
      </c>
      <c r="AB102" s="251">
        <f>SUM('RD Feedstock'!B100,'RD Feedstock'!D100,'RD Feedstock'!H100)</f>
        <v>374.51145833333328</v>
      </c>
      <c r="AC102" s="251">
        <f>SUM('RD Feedstock'!C100,'RD Feedstock'!E100)</f>
        <v>12.34375</v>
      </c>
      <c r="AD102" s="251">
        <f t="shared" si="18"/>
        <v>417.63333333333327</v>
      </c>
      <c r="AH102" s="237">
        <f t="shared" si="15"/>
        <v>5.5364055391491744E-2</v>
      </c>
      <c r="AI102" s="237">
        <f t="shared" si="15"/>
        <v>1.8332468672679385E-2</v>
      </c>
      <c r="AJ102" s="237">
        <f t="shared" si="15"/>
        <v>0</v>
      </c>
      <c r="AK102" s="237">
        <f t="shared" si="15"/>
        <v>0.89674704685130502</v>
      </c>
      <c r="AL102" s="237">
        <f t="shared" si="15"/>
        <v>2.9556429084523911E-2</v>
      </c>
      <c r="AM102" s="237">
        <f t="shared" si="9"/>
        <v>1</v>
      </c>
      <c r="AO102" s="237">
        <f t="shared" si="10"/>
        <v>0.75124378109452739</v>
      </c>
      <c r="AP102" s="237">
        <f t="shared" si="11"/>
        <v>0.24875621890547264</v>
      </c>
      <c r="AQ102" s="237">
        <f t="shared" si="12"/>
        <v>0</v>
      </c>
      <c r="AR102" s="237">
        <f t="shared" si="19"/>
        <v>0.96809206717629603</v>
      </c>
      <c r="AS102" s="237">
        <f t="shared" si="20"/>
        <v>3.1907932823703966E-2</v>
      </c>
      <c r="AU102" s="251">
        <f t="shared" si="17"/>
        <v>3920.602411862079</v>
      </c>
      <c r="AV102" s="251">
        <f t="shared" si="17"/>
        <v>1108.601693013713</v>
      </c>
      <c r="AW102" s="251">
        <f t="shared" si="17"/>
        <v>0</v>
      </c>
      <c r="AX102" s="251">
        <f t="shared" si="17"/>
        <v>51113.895019769407</v>
      </c>
      <c r="AY102" s="251">
        <f t="shared" si="17"/>
        <v>1673.5369133242243</v>
      </c>
      <c r="AZ102" s="251">
        <f t="shared" si="16"/>
        <v>57816.636037969423</v>
      </c>
      <c r="BA102" s="270">
        <f t="shared" si="14"/>
        <v>7.6582713355016363</v>
      </c>
      <c r="BB102" s="251">
        <f t="shared" si="7"/>
        <v>5029.2041048757919</v>
      </c>
      <c r="BC102" s="251">
        <f t="shared" si="8"/>
        <v>52787.431933093634</v>
      </c>
    </row>
    <row r="103" spans="1:55">
      <c r="A103" s="11">
        <v>46784</v>
      </c>
      <c r="B103" s="251">
        <v>100</v>
      </c>
      <c r="C103" s="251">
        <v>295</v>
      </c>
      <c r="D103" s="251">
        <v>5</v>
      </c>
      <c r="E103" s="251">
        <v>220</v>
      </c>
      <c r="F103" s="251">
        <v>44</v>
      </c>
      <c r="G103" s="287">
        <v>0.33</v>
      </c>
      <c r="H103" s="287"/>
      <c r="I103" s="251"/>
      <c r="J103" s="251"/>
      <c r="K103" s="251"/>
      <c r="L103" s="251"/>
      <c r="M103" s="13"/>
      <c r="N103" s="251">
        <f t="shared" si="21"/>
        <v>664.33</v>
      </c>
      <c r="O103" s="251">
        <f>'BBD Monthly Production'!T22*12</f>
        <v>229.96892333441272</v>
      </c>
      <c r="P103" s="271">
        <f t="shared" si="3"/>
        <v>0.34616669928260457</v>
      </c>
      <c r="Y103" s="251">
        <f>SUM('RD Feedstock'!F101,'RD Feedstock'!I101)</f>
        <v>23.121874999999999</v>
      </c>
      <c r="Z103" s="251">
        <f>SUM('RD Feedstock'!G101,'RD Feedstock'!J101)</f>
        <v>7.65625</v>
      </c>
      <c r="AA103" s="251">
        <v>0</v>
      </c>
      <c r="AB103" s="251">
        <f>SUM('RD Feedstock'!B101,'RD Feedstock'!D101,'RD Feedstock'!H101)</f>
        <v>374.51145833333328</v>
      </c>
      <c r="AC103" s="251">
        <f>SUM('RD Feedstock'!C101,'RD Feedstock'!E101)</f>
        <v>12.34375</v>
      </c>
      <c r="AD103" s="251">
        <f t="shared" si="18"/>
        <v>417.63333333333327</v>
      </c>
      <c r="AH103" s="237">
        <f t="shared" si="15"/>
        <v>5.5364055391491744E-2</v>
      </c>
      <c r="AI103" s="237">
        <f t="shared" si="15"/>
        <v>1.8332468672679385E-2</v>
      </c>
      <c r="AJ103" s="237">
        <f t="shared" si="15"/>
        <v>0</v>
      </c>
      <c r="AK103" s="237">
        <f t="shared" si="15"/>
        <v>0.89674704685130502</v>
      </c>
      <c r="AL103" s="237">
        <f t="shared" si="15"/>
        <v>2.9556429084523911E-2</v>
      </c>
      <c r="AM103" s="237">
        <f t="shared" si="9"/>
        <v>1</v>
      </c>
      <c r="AO103" s="237">
        <f t="shared" si="10"/>
        <v>0.75124378109452739</v>
      </c>
      <c r="AP103" s="237">
        <f t="shared" si="11"/>
        <v>0.24875621890547264</v>
      </c>
      <c r="AQ103" s="237">
        <f t="shared" si="12"/>
        <v>0</v>
      </c>
      <c r="AR103" s="237">
        <f t="shared" si="19"/>
        <v>0.96809206717629603</v>
      </c>
      <c r="AS103" s="237">
        <f t="shared" si="20"/>
        <v>3.1907932823703966E-2</v>
      </c>
      <c r="AU103" s="251">
        <f t="shared" si="17"/>
        <v>4514.238515264763</v>
      </c>
      <c r="AV103" s="251">
        <f t="shared" si="17"/>
        <v>1276.4600780606461</v>
      </c>
      <c r="AW103" s="251">
        <f t="shared" si="17"/>
        <v>0</v>
      </c>
      <c r="AX103" s="251">
        <f t="shared" si="17"/>
        <v>58853.28052273819</v>
      </c>
      <c r="AY103" s="251">
        <f t="shared" si="17"/>
        <v>1926.9346894212154</v>
      </c>
      <c r="AZ103" s="251">
        <f t="shared" si="16"/>
        <v>66570.913805484815</v>
      </c>
      <c r="BA103" s="270">
        <f t="shared" si="14"/>
        <v>7.6582713355016354</v>
      </c>
      <c r="BB103" s="251">
        <f t="shared" si="7"/>
        <v>5790.6985933254091</v>
      </c>
      <c r="BC103" s="251">
        <f t="shared" si="8"/>
        <v>60780.215212159404</v>
      </c>
    </row>
    <row r="104" spans="1:55">
      <c r="A104" s="11">
        <v>46813</v>
      </c>
      <c r="B104" s="251">
        <v>100</v>
      </c>
      <c r="C104" s="251">
        <v>295</v>
      </c>
      <c r="D104" s="251">
        <v>5</v>
      </c>
      <c r="E104" s="251">
        <v>220</v>
      </c>
      <c r="F104" s="251">
        <v>44</v>
      </c>
      <c r="G104" s="287">
        <v>0.33</v>
      </c>
      <c r="H104" s="287"/>
      <c r="I104" s="251"/>
      <c r="J104" s="251"/>
      <c r="K104" s="251"/>
      <c r="L104" s="251"/>
      <c r="M104" s="13"/>
      <c r="N104" s="251">
        <f t="shared" si="21"/>
        <v>664.33</v>
      </c>
      <c r="O104" s="251">
        <f>'BBD Monthly Production'!T23*12</f>
        <v>461.9387695234484</v>
      </c>
      <c r="P104" s="271">
        <f t="shared" si="3"/>
        <v>0.69534533970082391</v>
      </c>
      <c r="Y104" s="251">
        <f>SUM('RD Feedstock'!F102,'RD Feedstock'!I102)</f>
        <v>23.121874999999999</v>
      </c>
      <c r="Z104" s="251">
        <f>SUM('RD Feedstock'!G102,'RD Feedstock'!J102)</f>
        <v>7.65625</v>
      </c>
      <c r="AA104" s="251">
        <v>0</v>
      </c>
      <c r="AB104" s="251">
        <f>SUM('RD Feedstock'!B102,'RD Feedstock'!D102,'RD Feedstock'!H102)</f>
        <v>374.51145833333328</v>
      </c>
      <c r="AC104" s="251">
        <f>SUM('RD Feedstock'!C102,'RD Feedstock'!E102)</f>
        <v>12.34375</v>
      </c>
      <c r="AD104" s="251">
        <f t="shared" si="18"/>
        <v>417.63333333333327</v>
      </c>
      <c r="AH104" s="237">
        <f t="shared" si="15"/>
        <v>5.5364055391491744E-2</v>
      </c>
      <c r="AI104" s="237">
        <f t="shared" si="15"/>
        <v>1.8332468672679385E-2</v>
      </c>
      <c r="AJ104" s="237">
        <f t="shared" si="15"/>
        <v>0</v>
      </c>
      <c r="AK104" s="237">
        <f t="shared" si="15"/>
        <v>0.89674704685130502</v>
      </c>
      <c r="AL104" s="237">
        <f t="shared" si="15"/>
        <v>2.9556429084523911E-2</v>
      </c>
      <c r="AM104" s="237">
        <f t="shared" si="9"/>
        <v>1</v>
      </c>
      <c r="AO104" s="237">
        <f t="shared" si="10"/>
        <v>0.75124378109452739</v>
      </c>
      <c r="AP104" s="237">
        <f t="shared" si="11"/>
        <v>0.24875621890547264</v>
      </c>
      <c r="AQ104" s="237">
        <f t="shared" si="12"/>
        <v>0</v>
      </c>
      <c r="AR104" s="237">
        <f t="shared" si="19"/>
        <v>0.96809206717629603</v>
      </c>
      <c r="AS104" s="237">
        <f t="shared" si="20"/>
        <v>3.1907932823703966E-2</v>
      </c>
      <c r="AU104" s="251">
        <f t="shared" si="17"/>
        <v>9067.7546985093777</v>
      </c>
      <c r="AV104" s="251">
        <f t="shared" si="17"/>
        <v>2564.0264312917475</v>
      </c>
      <c r="AW104" s="251">
        <f t="shared" si="17"/>
        <v>0</v>
      </c>
      <c r="AX104" s="251">
        <f t="shared" si="17"/>
        <v>118218.63403499176</v>
      </c>
      <c r="AY104" s="251">
        <f t="shared" si="17"/>
        <v>3870.6353296653688</v>
      </c>
      <c r="AZ104" s="251">
        <f t="shared" si="16"/>
        <v>133721.05049445824</v>
      </c>
      <c r="BA104" s="270">
        <f t="shared" si="14"/>
        <v>7.6582713355016354</v>
      </c>
      <c r="BB104" s="251">
        <f t="shared" si="7"/>
        <v>11631.781129801126</v>
      </c>
      <c r="BC104" s="251">
        <f t="shared" si="8"/>
        <v>122089.26936465713</v>
      </c>
    </row>
    <row r="105" spans="1:55">
      <c r="A105" s="11">
        <v>46844</v>
      </c>
      <c r="B105" s="251">
        <v>100</v>
      </c>
      <c r="C105" s="251">
        <v>295</v>
      </c>
      <c r="D105" s="251">
        <v>5</v>
      </c>
      <c r="E105" s="251">
        <v>220</v>
      </c>
      <c r="F105" s="251">
        <v>44</v>
      </c>
      <c r="G105" s="287">
        <v>0.33</v>
      </c>
      <c r="H105" s="287"/>
      <c r="I105" s="251"/>
      <c r="J105" s="251"/>
      <c r="K105" s="251"/>
      <c r="L105" s="251"/>
      <c r="M105" s="13"/>
      <c r="N105" s="251">
        <f t="shared" si="21"/>
        <v>664.33</v>
      </c>
      <c r="O105" s="251">
        <f>'BBD Monthly Production'!T24*12</f>
        <v>401.95759295531883</v>
      </c>
      <c r="P105" s="271">
        <f t="shared" si="3"/>
        <v>0.60505711461972034</v>
      </c>
      <c r="Y105" s="251">
        <f>SUM('RD Feedstock'!F103,'RD Feedstock'!I103)</f>
        <v>23.121874999999999</v>
      </c>
      <c r="Z105" s="251">
        <f>SUM('RD Feedstock'!G103,'RD Feedstock'!J103)</f>
        <v>7.65625</v>
      </c>
      <c r="AA105" s="251">
        <v>0</v>
      </c>
      <c r="AB105" s="251">
        <f>SUM('RD Feedstock'!B103,'RD Feedstock'!D103,'RD Feedstock'!H103)</f>
        <v>374.51145833333328</v>
      </c>
      <c r="AC105" s="251">
        <f>SUM('RD Feedstock'!C103,'RD Feedstock'!E103)</f>
        <v>12.34375</v>
      </c>
      <c r="AD105" s="251">
        <f t="shared" si="18"/>
        <v>417.63333333333327</v>
      </c>
      <c r="AH105" s="237">
        <f t="shared" si="15"/>
        <v>5.5364055391491744E-2</v>
      </c>
      <c r="AI105" s="237">
        <f t="shared" si="15"/>
        <v>1.8332468672679385E-2</v>
      </c>
      <c r="AJ105" s="237">
        <f t="shared" si="15"/>
        <v>0</v>
      </c>
      <c r="AK105" s="237">
        <f t="shared" si="15"/>
        <v>0.89674704685130502</v>
      </c>
      <c r="AL105" s="237">
        <f t="shared" si="15"/>
        <v>2.9556429084523911E-2</v>
      </c>
      <c r="AM105" s="237">
        <f t="shared" si="9"/>
        <v>1</v>
      </c>
      <c r="AO105" s="237">
        <f t="shared" si="10"/>
        <v>0.75124378109452739</v>
      </c>
      <c r="AP105" s="237">
        <f t="shared" si="11"/>
        <v>0.24875621890547264</v>
      </c>
      <c r="AQ105" s="237">
        <f t="shared" si="12"/>
        <v>0</v>
      </c>
      <c r="AR105" s="237">
        <f t="shared" si="19"/>
        <v>0.96809206717629603</v>
      </c>
      <c r="AS105" s="237">
        <f t="shared" si="20"/>
        <v>3.1907932823703966E-2</v>
      </c>
      <c r="AU105" s="251">
        <f t="shared" si="17"/>
        <v>7890.3376217637351</v>
      </c>
      <c r="AV105" s="251">
        <f t="shared" si="17"/>
        <v>2231.0963283274091</v>
      </c>
      <c r="AW105" s="251">
        <f t="shared" si="17"/>
        <v>0</v>
      </c>
      <c r="AX105" s="251">
        <f t="shared" si="17"/>
        <v>102868.34687677998</v>
      </c>
      <c r="AY105" s="251">
        <f t="shared" si="17"/>
        <v>3368.0465095518102</v>
      </c>
      <c r="AZ105" s="251">
        <f t="shared" si="16"/>
        <v>116357.82733642294</v>
      </c>
      <c r="BA105" s="270">
        <f t="shared" si="14"/>
        <v>7.6582713355016372</v>
      </c>
      <c r="BB105" s="251">
        <f t="shared" si="7"/>
        <v>10121.433950091145</v>
      </c>
      <c r="BC105" s="251">
        <f t="shared" si="8"/>
        <v>106236.39338633179</v>
      </c>
    </row>
    <row r="106" spans="1:55">
      <c r="A106" s="11">
        <v>46874</v>
      </c>
      <c r="B106" s="251">
        <v>100</v>
      </c>
      <c r="C106" s="251">
        <v>295</v>
      </c>
      <c r="D106" s="251">
        <v>5</v>
      </c>
      <c r="E106" s="251">
        <v>220</v>
      </c>
      <c r="F106" s="251">
        <v>44</v>
      </c>
      <c r="G106" s="287">
        <v>0.33</v>
      </c>
      <c r="H106" s="287"/>
      <c r="I106" s="251"/>
      <c r="J106" s="251"/>
      <c r="K106" s="251"/>
      <c r="L106" s="251"/>
      <c r="M106" s="13"/>
      <c r="N106" s="251">
        <f t="shared" si="21"/>
        <v>664.33</v>
      </c>
      <c r="O106" s="251">
        <f>'BBD Monthly Production'!T25*12</f>
        <v>432.10822531366614</v>
      </c>
      <c r="P106" s="271">
        <f t="shared" si="3"/>
        <v>0.65044213766300796</v>
      </c>
      <c r="Y106" s="251">
        <f>SUM('RD Feedstock'!F104,'RD Feedstock'!I104)</f>
        <v>23.121874999999999</v>
      </c>
      <c r="Z106" s="251">
        <f>SUM('RD Feedstock'!G104,'RD Feedstock'!J104)</f>
        <v>7.65625</v>
      </c>
      <c r="AA106" s="251">
        <v>0</v>
      </c>
      <c r="AB106" s="251">
        <f>SUM('RD Feedstock'!B104,'RD Feedstock'!D104,'RD Feedstock'!H104)</f>
        <v>374.51145833333328</v>
      </c>
      <c r="AC106" s="251">
        <f>SUM('RD Feedstock'!C104,'RD Feedstock'!E104)</f>
        <v>12.34375</v>
      </c>
      <c r="AD106" s="251">
        <f t="shared" si="18"/>
        <v>417.63333333333327</v>
      </c>
      <c r="AH106" s="237">
        <f t="shared" si="15"/>
        <v>5.5364055391491744E-2</v>
      </c>
      <c r="AI106" s="237">
        <f t="shared" si="15"/>
        <v>1.8332468672679385E-2</v>
      </c>
      <c r="AJ106" s="237">
        <f t="shared" si="15"/>
        <v>0</v>
      </c>
      <c r="AK106" s="237">
        <f t="shared" si="15"/>
        <v>0.89674704685130502</v>
      </c>
      <c r="AL106" s="237">
        <f t="shared" si="15"/>
        <v>2.9556429084523911E-2</v>
      </c>
      <c r="AM106" s="237">
        <f t="shared" si="9"/>
        <v>1</v>
      </c>
      <c r="AO106" s="237">
        <f t="shared" si="10"/>
        <v>0.75124378109452739</v>
      </c>
      <c r="AP106" s="237">
        <f t="shared" si="11"/>
        <v>0.24875621890547264</v>
      </c>
      <c r="AQ106" s="237">
        <f t="shared" si="12"/>
        <v>0</v>
      </c>
      <c r="AR106" s="237">
        <f t="shared" si="19"/>
        <v>0.96809206717629603</v>
      </c>
      <c r="AS106" s="237">
        <f t="shared" si="20"/>
        <v>3.1907932823703966E-2</v>
      </c>
      <c r="AU106" s="251">
        <f t="shared" si="17"/>
        <v>8482.1877895088674</v>
      </c>
      <c r="AV106" s="251">
        <f t="shared" si="17"/>
        <v>2398.4497166708798</v>
      </c>
      <c r="AW106" s="251">
        <f t="shared" si="17"/>
        <v>0</v>
      </c>
      <c r="AX106" s="251">
        <f t="shared" si="17"/>
        <v>110584.44868042847</v>
      </c>
      <c r="AY106" s="251">
        <f t="shared" si="17"/>
        <v>3620.6819463616816</v>
      </c>
      <c r="AZ106" s="251">
        <f t="shared" si="16"/>
        <v>125085.7681329699</v>
      </c>
      <c r="BA106" s="270">
        <f t="shared" si="14"/>
        <v>7.6582713355016372</v>
      </c>
      <c r="BB106" s="251">
        <f t="shared" si="7"/>
        <v>10880.637506179748</v>
      </c>
      <c r="BC106" s="251">
        <f t="shared" si="8"/>
        <v>114205.13062679015</v>
      </c>
    </row>
    <row r="107" spans="1:55">
      <c r="A107" s="11">
        <v>46905</v>
      </c>
      <c r="B107" s="251">
        <v>100</v>
      </c>
      <c r="C107" s="251">
        <v>295</v>
      </c>
      <c r="D107" s="251">
        <v>5</v>
      </c>
      <c r="E107" s="251">
        <v>220</v>
      </c>
      <c r="F107" s="251">
        <v>44</v>
      </c>
      <c r="G107" s="287">
        <v>0.33</v>
      </c>
      <c r="H107" s="287"/>
      <c r="I107" s="251"/>
      <c r="J107" s="251"/>
      <c r="K107" s="251"/>
      <c r="L107" s="251"/>
      <c r="M107" s="13"/>
      <c r="N107" s="251">
        <f t="shared" si="21"/>
        <v>664.33</v>
      </c>
      <c r="O107" s="251">
        <f>'BBD Monthly Production'!T26*12</f>
        <v>535.79452594193469</v>
      </c>
      <c r="P107" s="271">
        <f t="shared" si="3"/>
        <v>0.80651863673465696</v>
      </c>
      <c r="Y107" s="251">
        <f>SUM('RD Feedstock'!F105,'RD Feedstock'!I105)</f>
        <v>23.121874999999999</v>
      </c>
      <c r="Z107" s="251">
        <f>SUM('RD Feedstock'!G105,'RD Feedstock'!J105)</f>
        <v>7.65625</v>
      </c>
      <c r="AA107" s="251">
        <v>0</v>
      </c>
      <c r="AB107" s="251">
        <f>SUM('RD Feedstock'!B105,'RD Feedstock'!D105,'RD Feedstock'!H105)</f>
        <v>374.51145833333328</v>
      </c>
      <c r="AC107" s="251">
        <f>SUM('RD Feedstock'!C105,'RD Feedstock'!E105)</f>
        <v>12.34375</v>
      </c>
      <c r="AD107" s="251">
        <f t="shared" si="18"/>
        <v>417.63333333333327</v>
      </c>
      <c r="AH107" s="237">
        <f t="shared" si="15"/>
        <v>5.5364055391491744E-2</v>
      </c>
      <c r="AI107" s="237">
        <f t="shared" si="15"/>
        <v>1.8332468672679385E-2</v>
      </c>
      <c r="AJ107" s="237">
        <f t="shared" si="15"/>
        <v>0</v>
      </c>
      <c r="AK107" s="237">
        <f t="shared" si="15"/>
        <v>0.89674704685130502</v>
      </c>
      <c r="AL107" s="237">
        <f t="shared" si="15"/>
        <v>2.9556429084523911E-2</v>
      </c>
      <c r="AM107" s="237">
        <f t="shared" si="9"/>
        <v>1</v>
      </c>
      <c r="AO107" s="237">
        <f t="shared" si="10"/>
        <v>0.75124378109452739</v>
      </c>
      <c r="AP107" s="237">
        <f t="shared" si="11"/>
        <v>0.24875621890547264</v>
      </c>
      <c r="AQ107" s="237">
        <f t="shared" si="12"/>
        <v>0</v>
      </c>
      <c r="AR107" s="237">
        <f t="shared" si="19"/>
        <v>0.96809206717629603</v>
      </c>
      <c r="AS107" s="237">
        <f t="shared" si="20"/>
        <v>3.1907932823703966E-2</v>
      </c>
      <c r="AU107" s="251">
        <f t="shared" si="17"/>
        <v>10517.526673627603</v>
      </c>
      <c r="AV107" s="251">
        <f t="shared" si="17"/>
        <v>2973.968449701249</v>
      </c>
      <c r="AW107" s="251">
        <f t="shared" si="17"/>
        <v>0</v>
      </c>
      <c r="AX107" s="251">
        <f t="shared" si="17"/>
        <v>137119.68156651166</v>
      </c>
      <c r="AY107" s="251">
        <f t="shared" si="17"/>
        <v>4489.4807675303582</v>
      </c>
      <c r="AZ107" s="251">
        <f t="shared" si="16"/>
        <v>155100.65745737086</v>
      </c>
      <c r="BA107" s="270">
        <f t="shared" si="14"/>
        <v>7.6582713355016354</v>
      </c>
      <c r="BB107" s="251">
        <f t="shared" si="7"/>
        <v>13491.495123328852</v>
      </c>
      <c r="BC107" s="251">
        <f t="shared" si="8"/>
        <v>141609.16233404202</v>
      </c>
    </row>
    <row r="108" spans="1:55">
      <c r="A108" s="11">
        <v>46935</v>
      </c>
      <c r="B108" s="251">
        <v>100</v>
      </c>
      <c r="C108" s="251">
        <v>295</v>
      </c>
      <c r="D108" s="251">
        <v>5</v>
      </c>
      <c r="E108" s="251">
        <v>220</v>
      </c>
      <c r="F108" s="251">
        <v>44</v>
      </c>
      <c r="G108" s="287">
        <v>0.33</v>
      </c>
      <c r="H108" s="287"/>
      <c r="I108" s="251"/>
      <c r="J108" s="251"/>
      <c r="K108" s="251"/>
      <c r="L108" s="251"/>
      <c r="M108" s="13"/>
      <c r="N108" s="251">
        <f t="shared" si="21"/>
        <v>664.33</v>
      </c>
      <c r="O108" s="251">
        <f>'BBD Monthly Production'!T27*12</f>
        <v>474.98039268941443</v>
      </c>
      <c r="P108" s="271">
        <f t="shared" si="3"/>
        <v>0.71497658195386993</v>
      </c>
      <c r="Y108" s="251">
        <f>SUM('RD Feedstock'!F106,'RD Feedstock'!I106)</f>
        <v>23.121874999999999</v>
      </c>
      <c r="Z108" s="251">
        <f>SUM('RD Feedstock'!G106,'RD Feedstock'!J106)</f>
        <v>7.65625</v>
      </c>
      <c r="AA108" s="251">
        <v>0</v>
      </c>
      <c r="AB108" s="251">
        <f>SUM('RD Feedstock'!B106,'RD Feedstock'!D106,'RD Feedstock'!H106)</f>
        <v>374.51145833333328</v>
      </c>
      <c r="AC108" s="251">
        <f>SUM('RD Feedstock'!C106,'RD Feedstock'!E106)</f>
        <v>12.34375</v>
      </c>
      <c r="AD108" s="251">
        <f t="shared" si="18"/>
        <v>417.63333333333327</v>
      </c>
      <c r="AH108" s="237">
        <f t="shared" si="15"/>
        <v>5.5364055391491744E-2</v>
      </c>
      <c r="AI108" s="237">
        <f t="shared" si="15"/>
        <v>1.8332468672679385E-2</v>
      </c>
      <c r="AJ108" s="237">
        <f t="shared" si="15"/>
        <v>0</v>
      </c>
      <c r="AK108" s="237">
        <f t="shared" si="15"/>
        <v>0.89674704685130502</v>
      </c>
      <c r="AL108" s="237">
        <f t="shared" si="15"/>
        <v>2.9556429084523911E-2</v>
      </c>
      <c r="AM108" s="237">
        <f t="shared" si="9"/>
        <v>1</v>
      </c>
      <c r="AO108" s="237">
        <f t="shared" si="10"/>
        <v>0.75124378109452739</v>
      </c>
      <c r="AP108" s="237">
        <f t="shared" si="11"/>
        <v>0.24875621890547264</v>
      </c>
      <c r="AQ108" s="237">
        <f t="shared" si="12"/>
        <v>0</v>
      </c>
      <c r="AR108" s="237">
        <f t="shared" si="19"/>
        <v>0.96809206717629603</v>
      </c>
      <c r="AS108" s="237">
        <f t="shared" si="20"/>
        <v>3.1907932823703966E-2</v>
      </c>
      <c r="AU108" s="251">
        <f t="shared" si="17"/>
        <v>9323.7588435205798</v>
      </c>
      <c r="AV108" s="251">
        <f t="shared" si="17"/>
        <v>2636.4149570242389</v>
      </c>
      <c r="AW108" s="251">
        <f t="shared" si="17"/>
        <v>0</v>
      </c>
      <c r="AX108" s="251">
        <f t="shared" si="17"/>
        <v>121556.22546051801</v>
      </c>
      <c r="AY108" s="251">
        <f t="shared" si="17"/>
        <v>3979.9125125146161</v>
      </c>
      <c r="AZ108" s="251">
        <f t="shared" si="16"/>
        <v>137496.31177357744</v>
      </c>
      <c r="BA108" s="270">
        <f t="shared" si="14"/>
        <v>7.6582713355016372</v>
      </c>
      <c r="BB108" s="251">
        <f t="shared" si="7"/>
        <v>11960.173800544819</v>
      </c>
      <c r="BC108" s="251">
        <f t="shared" si="8"/>
        <v>125536.13797303262</v>
      </c>
    </row>
    <row r="109" spans="1:55">
      <c r="A109" s="11">
        <v>46966</v>
      </c>
      <c r="B109" s="251">
        <v>100</v>
      </c>
      <c r="C109" s="251">
        <v>295</v>
      </c>
      <c r="D109" s="251">
        <v>5</v>
      </c>
      <c r="E109" s="251">
        <v>220</v>
      </c>
      <c r="F109" s="251">
        <v>44</v>
      </c>
      <c r="G109" s="287">
        <v>0.33</v>
      </c>
      <c r="H109" s="287"/>
      <c r="I109" s="251"/>
      <c r="J109" s="251"/>
      <c r="K109" s="251"/>
      <c r="L109" s="251"/>
      <c r="M109" s="13"/>
      <c r="N109" s="251">
        <f t="shared" si="21"/>
        <v>664.33</v>
      </c>
      <c r="O109" s="251">
        <f>'BBD Monthly Production'!T28*12</f>
        <v>418.58830013048532</v>
      </c>
      <c r="P109" s="271">
        <f t="shared" ref="P109:P172" si="22">O109/N109</f>
        <v>0.63009091886635449</v>
      </c>
      <c r="Y109" s="251">
        <f>SUM('RD Feedstock'!F107,'RD Feedstock'!I107)</f>
        <v>23.121874999999999</v>
      </c>
      <c r="Z109" s="251">
        <f>SUM('RD Feedstock'!G107,'RD Feedstock'!J107)</f>
        <v>7.65625</v>
      </c>
      <c r="AA109" s="251">
        <v>0</v>
      </c>
      <c r="AB109" s="251">
        <f>SUM('RD Feedstock'!B107,'RD Feedstock'!D107,'RD Feedstock'!H107)</f>
        <v>374.51145833333328</v>
      </c>
      <c r="AC109" s="251">
        <f>SUM('RD Feedstock'!C107,'RD Feedstock'!E107)</f>
        <v>12.34375</v>
      </c>
      <c r="AD109" s="251">
        <f t="shared" si="18"/>
        <v>417.63333333333327</v>
      </c>
      <c r="AH109" s="237">
        <f t="shared" si="15"/>
        <v>5.5364055391491744E-2</v>
      </c>
      <c r="AI109" s="237">
        <f t="shared" si="15"/>
        <v>1.8332468672679385E-2</v>
      </c>
      <c r="AJ109" s="237">
        <f t="shared" si="15"/>
        <v>0</v>
      </c>
      <c r="AK109" s="237">
        <f t="shared" si="15"/>
        <v>0.89674704685130502</v>
      </c>
      <c r="AL109" s="237">
        <f t="shared" si="15"/>
        <v>2.9556429084523911E-2</v>
      </c>
      <c r="AM109" s="237">
        <f t="shared" si="9"/>
        <v>1</v>
      </c>
      <c r="AO109" s="237">
        <f t="shared" si="10"/>
        <v>0.75124378109452739</v>
      </c>
      <c r="AP109" s="237">
        <f t="shared" si="11"/>
        <v>0.24875621890547264</v>
      </c>
      <c r="AQ109" s="237">
        <f t="shared" si="12"/>
        <v>0</v>
      </c>
      <c r="AR109" s="237">
        <f t="shared" si="19"/>
        <v>0.96809206717629603</v>
      </c>
      <c r="AS109" s="237">
        <f t="shared" si="20"/>
        <v>3.1907932823703966E-2</v>
      </c>
      <c r="AU109" s="251">
        <f t="shared" si="17"/>
        <v>8216.794682907841</v>
      </c>
      <c r="AV109" s="251">
        <f t="shared" si="17"/>
        <v>2323.4063390506717</v>
      </c>
      <c r="AW109" s="251">
        <f t="shared" si="17"/>
        <v>0</v>
      </c>
      <c r="AX109" s="251">
        <f t="shared" si="17"/>
        <v>107124.45096458447</v>
      </c>
      <c r="AY109" s="251">
        <f t="shared" si="17"/>
        <v>3507.3970187457594</v>
      </c>
      <c r="AZ109" s="251">
        <f t="shared" si="16"/>
        <v>121172.04900528873</v>
      </c>
      <c r="BA109" s="270">
        <f t="shared" si="14"/>
        <v>7.6582713355016363</v>
      </c>
      <c r="BB109" s="251">
        <f t="shared" si="7"/>
        <v>10540.201021958514</v>
      </c>
      <c r="BC109" s="251">
        <f t="shared" si="8"/>
        <v>110631.84798333023</v>
      </c>
    </row>
    <row r="110" spans="1:55">
      <c r="A110" s="11">
        <v>46997</v>
      </c>
      <c r="B110" s="251">
        <v>100</v>
      </c>
      <c r="C110" s="251">
        <v>295</v>
      </c>
      <c r="D110" s="251">
        <v>5</v>
      </c>
      <c r="E110" s="251">
        <v>220</v>
      </c>
      <c r="F110" s="251">
        <v>44</v>
      </c>
      <c r="G110" s="287">
        <v>0.33</v>
      </c>
      <c r="H110" s="287"/>
      <c r="I110" s="251"/>
      <c r="J110" s="251"/>
      <c r="K110" s="251"/>
      <c r="L110" s="251"/>
      <c r="M110" s="13"/>
      <c r="N110" s="251">
        <f t="shared" si="21"/>
        <v>664.33</v>
      </c>
      <c r="O110" s="251">
        <f>'BBD Monthly Production'!T29*12</f>
        <v>455.60382959321277</v>
      </c>
      <c r="P110" s="271">
        <f t="shared" si="22"/>
        <v>0.68580950671084062</v>
      </c>
      <c r="Y110" s="251">
        <f>SUM('RD Feedstock'!F108,'RD Feedstock'!I108)</f>
        <v>23.121874999999999</v>
      </c>
      <c r="Z110" s="251">
        <f>SUM('RD Feedstock'!G108,'RD Feedstock'!J108)</f>
        <v>7.65625</v>
      </c>
      <c r="AA110" s="251">
        <v>0</v>
      </c>
      <c r="AB110" s="251">
        <f>SUM('RD Feedstock'!B108,'RD Feedstock'!D108,'RD Feedstock'!H108)</f>
        <v>374.51145833333328</v>
      </c>
      <c r="AC110" s="251">
        <f>SUM('RD Feedstock'!C108,'RD Feedstock'!E108)</f>
        <v>12.34375</v>
      </c>
      <c r="AD110" s="251">
        <f t="shared" si="18"/>
        <v>417.63333333333327</v>
      </c>
      <c r="AH110" s="237">
        <f t="shared" si="15"/>
        <v>5.5364055391491744E-2</v>
      </c>
      <c r="AI110" s="237">
        <f t="shared" si="15"/>
        <v>1.8332468672679385E-2</v>
      </c>
      <c r="AJ110" s="237">
        <f t="shared" si="15"/>
        <v>0</v>
      </c>
      <c r="AK110" s="237">
        <f t="shared" si="15"/>
        <v>0.89674704685130502</v>
      </c>
      <c r="AL110" s="237">
        <f t="shared" si="15"/>
        <v>2.9556429084523911E-2</v>
      </c>
      <c r="AM110" s="237">
        <f t="shared" si="9"/>
        <v>1</v>
      </c>
      <c r="AO110" s="237">
        <f t="shared" si="10"/>
        <v>0.75124378109452739</v>
      </c>
      <c r="AP110" s="237">
        <f t="shared" si="11"/>
        <v>0.24875621890547264</v>
      </c>
      <c r="AQ110" s="237">
        <f t="shared" si="12"/>
        <v>0</v>
      </c>
      <c r="AR110" s="237">
        <f t="shared" si="19"/>
        <v>0.96809206717629603</v>
      </c>
      <c r="AS110" s="237">
        <f t="shared" si="20"/>
        <v>3.1907932823703966E-2</v>
      </c>
      <c r="AU110" s="251">
        <f t="shared" si="17"/>
        <v>8943.4012449630773</v>
      </c>
      <c r="AV110" s="251">
        <f t="shared" si="17"/>
        <v>2528.8638632342399</v>
      </c>
      <c r="AW110" s="251">
        <f t="shared" si="17"/>
        <v>0</v>
      </c>
      <c r="AX110" s="251">
        <f t="shared" si="17"/>
        <v>116597.40629950902</v>
      </c>
      <c r="AY110" s="251">
        <f t="shared" si="17"/>
        <v>3817.5541770905938</v>
      </c>
      <c r="AZ110" s="251">
        <f t="shared" si="16"/>
        <v>131887.22558479692</v>
      </c>
      <c r="BA110" s="270">
        <f t="shared" si="14"/>
        <v>7.6582713355016381</v>
      </c>
      <c r="BB110" s="251">
        <f t="shared" ref="BB110:BB173" si="23">SUM(AU110:AW110)</f>
        <v>11472.265108197316</v>
      </c>
      <c r="BC110" s="251">
        <f t="shared" ref="BC110:BC173" si="24">SUM(AX110:AY110)</f>
        <v>120414.96047659962</v>
      </c>
    </row>
    <row r="111" spans="1:55">
      <c r="A111" s="11">
        <v>47027</v>
      </c>
      <c r="B111" s="251">
        <v>100</v>
      </c>
      <c r="C111" s="251">
        <v>295</v>
      </c>
      <c r="D111" s="251">
        <v>5</v>
      </c>
      <c r="E111" s="251">
        <v>220</v>
      </c>
      <c r="F111" s="251">
        <v>44</v>
      </c>
      <c r="G111" s="287">
        <v>0.33</v>
      </c>
      <c r="H111" s="287"/>
      <c r="I111" s="251"/>
      <c r="J111" s="251"/>
      <c r="K111" s="251"/>
      <c r="L111" s="251"/>
      <c r="M111" s="13"/>
      <c r="N111" s="251">
        <f t="shared" si="21"/>
        <v>664.33</v>
      </c>
      <c r="O111" s="251">
        <f>'BBD Monthly Production'!T30*12</f>
        <v>369.90985928087929</v>
      </c>
      <c r="P111" s="271">
        <f t="shared" si="22"/>
        <v>0.55681643051025731</v>
      </c>
      <c r="Y111" s="251">
        <f>SUM('RD Feedstock'!F109,'RD Feedstock'!I109)</f>
        <v>23.121874999999999</v>
      </c>
      <c r="Z111" s="251">
        <f>SUM('RD Feedstock'!G109,'RD Feedstock'!J109)</f>
        <v>7.65625</v>
      </c>
      <c r="AA111" s="251">
        <v>0</v>
      </c>
      <c r="AB111" s="251">
        <f>SUM('RD Feedstock'!B109,'RD Feedstock'!D109,'RD Feedstock'!H109)</f>
        <v>374.51145833333328</v>
      </c>
      <c r="AC111" s="251">
        <f>SUM('RD Feedstock'!C109,'RD Feedstock'!E109)</f>
        <v>12.34375</v>
      </c>
      <c r="AD111" s="251">
        <f t="shared" si="18"/>
        <v>417.63333333333327</v>
      </c>
      <c r="AH111" s="237">
        <f t="shared" si="15"/>
        <v>5.5364055391491744E-2</v>
      </c>
      <c r="AI111" s="237">
        <f t="shared" si="15"/>
        <v>1.8332468672679385E-2</v>
      </c>
      <c r="AJ111" s="237">
        <f t="shared" si="15"/>
        <v>0</v>
      </c>
      <c r="AK111" s="237">
        <f t="shared" si="15"/>
        <v>0.89674704685130502</v>
      </c>
      <c r="AL111" s="237">
        <f t="shared" si="15"/>
        <v>2.9556429084523911E-2</v>
      </c>
      <c r="AM111" s="237">
        <f t="shared" ref="AM111:AM174" si="25">SUM(AH111:AL111)</f>
        <v>1</v>
      </c>
      <c r="AO111" s="237">
        <f t="shared" ref="AO111:AO174" si="26">Y111/SUM($Y111:$AA111)</f>
        <v>0.75124378109452739</v>
      </c>
      <c r="AP111" s="237">
        <f t="shared" ref="AP111:AP174" si="27">Z111/SUM($Y111:$AA111)</f>
        <v>0.24875621890547264</v>
      </c>
      <c r="AQ111" s="237">
        <f t="shared" ref="AQ111:AQ174" si="28">AA111/SUM($Y111:$AA111)</f>
        <v>0</v>
      </c>
      <c r="AR111" s="237">
        <f t="shared" ref="AR111:AS174" si="29">AB111/SUM($AB111:$AC111)</f>
        <v>0.96809206717629603</v>
      </c>
      <c r="AS111" s="237">
        <f t="shared" si="29"/>
        <v>3.1907932823703966E-2</v>
      </c>
      <c r="AU111" s="251">
        <f t="shared" si="17"/>
        <v>7261.2477796126414</v>
      </c>
      <c r="AV111" s="251">
        <f t="shared" si="17"/>
        <v>2053.2129341948225</v>
      </c>
      <c r="AW111" s="251">
        <f t="shared" si="17"/>
        <v>0</v>
      </c>
      <c r="AX111" s="251">
        <f t="shared" si="17"/>
        <v>94666.741926370785</v>
      </c>
      <c r="AY111" s="251">
        <f t="shared" si="17"/>
        <v>3099.5150539133033</v>
      </c>
      <c r="AZ111" s="251">
        <f t="shared" si="16"/>
        <v>107080.71769409155</v>
      </c>
      <c r="BA111" s="270">
        <f t="shared" ref="BA111:BA174" si="30">(AZ111*2204.622/1000000)/(O111/12)</f>
        <v>7.6582713355016372</v>
      </c>
      <c r="BB111" s="251">
        <f t="shared" si="23"/>
        <v>9314.4607138074643</v>
      </c>
      <c r="BC111" s="251">
        <f t="shared" si="24"/>
        <v>97766.256980284088</v>
      </c>
    </row>
    <row r="112" spans="1:55">
      <c r="A112" s="11">
        <v>47058</v>
      </c>
      <c r="B112" s="251">
        <v>100</v>
      </c>
      <c r="C112" s="251">
        <v>295</v>
      </c>
      <c r="D112" s="251">
        <v>5</v>
      </c>
      <c r="E112" s="251">
        <v>220</v>
      </c>
      <c r="F112" s="251">
        <v>44</v>
      </c>
      <c r="G112" s="287">
        <v>0.33</v>
      </c>
      <c r="H112" s="287"/>
      <c r="I112" s="251"/>
      <c r="J112" s="251"/>
      <c r="K112" s="251"/>
      <c r="L112" s="251"/>
      <c r="M112" s="13"/>
      <c r="N112" s="251">
        <f t="shared" si="21"/>
        <v>664.33</v>
      </c>
      <c r="O112" s="251">
        <f>'BBD Monthly Production'!T31*12</f>
        <v>473.18585247771966</v>
      </c>
      <c r="P112" s="271">
        <f t="shared" si="22"/>
        <v>0.71227530365589331</v>
      </c>
      <c r="Y112" s="251">
        <f>SUM('RD Feedstock'!F110,'RD Feedstock'!I110)</f>
        <v>23.121874999999999</v>
      </c>
      <c r="Z112" s="251">
        <f>SUM('RD Feedstock'!G110,'RD Feedstock'!J110)</f>
        <v>7.65625</v>
      </c>
      <c r="AA112" s="251">
        <v>0</v>
      </c>
      <c r="AB112" s="251">
        <f>SUM('RD Feedstock'!B110,'RD Feedstock'!D110,'RD Feedstock'!H110)</f>
        <v>374.51145833333328</v>
      </c>
      <c r="AC112" s="251">
        <f>SUM('RD Feedstock'!C110,'RD Feedstock'!E110)</f>
        <v>12.34375</v>
      </c>
      <c r="AD112" s="251">
        <f t="shared" si="18"/>
        <v>417.63333333333327</v>
      </c>
      <c r="AH112" s="237">
        <f t="shared" ref="AH112:AL175" si="31">Y112/$AD112</f>
        <v>5.5364055391491744E-2</v>
      </c>
      <c r="AI112" s="237">
        <f t="shared" si="31"/>
        <v>1.8332468672679385E-2</v>
      </c>
      <c r="AJ112" s="237">
        <f t="shared" si="31"/>
        <v>0</v>
      </c>
      <c r="AK112" s="237">
        <f t="shared" si="31"/>
        <v>0.89674704685130502</v>
      </c>
      <c r="AL112" s="237">
        <f t="shared" si="31"/>
        <v>2.9556429084523911E-2</v>
      </c>
      <c r="AM112" s="237">
        <f t="shared" si="25"/>
        <v>1</v>
      </c>
      <c r="AO112" s="237">
        <f t="shared" si="26"/>
        <v>0.75124378109452739</v>
      </c>
      <c r="AP112" s="237">
        <f t="shared" si="27"/>
        <v>0.24875621890547264</v>
      </c>
      <c r="AQ112" s="237">
        <f t="shared" si="28"/>
        <v>0</v>
      </c>
      <c r="AR112" s="237">
        <f t="shared" si="29"/>
        <v>0.96809206717629603</v>
      </c>
      <c r="AS112" s="237">
        <f t="shared" si="29"/>
        <v>3.1907932823703966E-2</v>
      </c>
      <c r="AU112" s="251">
        <f t="shared" si="17"/>
        <v>9288.5324206484584</v>
      </c>
      <c r="AV112" s="251">
        <f t="shared" si="17"/>
        <v>2626.454224480512</v>
      </c>
      <c r="AW112" s="251">
        <f t="shared" si="17"/>
        <v>0</v>
      </c>
      <c r="AX112" s="251">
        <f t="shared" si="17"/>
        <v>121096.96958821639</v>
      </c>
      <c r="AY112" s="251">
        <f t="shared" si="17"/>
        <v>3964.8758643652163</v>
      </c>
      <c r="AZ112" s="251">
        <f t="shared" si="16"/>
        <v>136976.83209771061</v>
      </c>
      <c r="BA112" s="270">
        <f t="shared" si="30"/>
        <v>7.6582713355016381</v>
      </c>
      <c r="BB112" s="251">
        <f t="shared" si="23"/>
        <v>11914.986645128971</v>
      </c>
      <c r="BC112" s="251">
        <f t="shared" si="24"/>
        <v>125061.84545258161</v>
      </c>
    </row>
    <row r="113" spans="1:55">
      <c r="A113" s="11">
        <v>47088</v>
      </c>
      <c r="B113" s="251">
        <v>100</v>
      </c>
      <c r="C113" s="251">
        <v>295</v>
      </c>
      <c r="D113" s="251">
        <v>5</v>
      </c>
      <c r="E113" s="251">
        <v>220</v>
      </c>
      <c r="F113" s="251">
        <v>44</v>
      </c>
      <c r="G113" s="287">
        <v>0.33</v>
      </c>
      <c r="H113" s="287"/>
      <c r="I113" s="251"/>
      <c r="J113" s="251"/>
      <c r="K113" s="251"/>
      <c r="L113" s="251"/>
      <c r="M113" s="13"/>
      <c r="N113" s="251">
        <f t="shared" si="21"/>
        <v>664.33</v>
      </c>
      <c r="O113" s="251">
        <f>'BBD Monthly Production'!T32*12</f>
        <v>664.67263028239836</v>
      </c>
      <c r="P113" s="271">
        <f t="shared" si="22"/>
        <v>1.0005157531383473</v>
      </c>
      <c r="Y113" s="251">
        <f>SUM('RD Feedstock'!F111,'RD Feedstock'!I111)</f>
        <v>23.121874999999999</v>
      </c>
      <c r="Z113" s="251">
        <f>SUM('RD Feedstock'!G111,'RD Feedstock'!J111)</f>
        <v>7.65625</v>
      </c>
      <c r="AA113" s="251">
        <v>0</v>
      </c>
      <c r="AB113" s="251">
        <f>SUM('RD Feedstock'!B111,'RD Feedstock'!D111,'RD Feedstock'!H111)</f>
        <v>374.51145833333328</v>
      </c>
      <c r="AC113" s="251">
        <f>SUM('RD Feedstock'!C111,'RD Feedstock'!E111)</f>
        <v>12.34375</v>
      </c>
      <c r="AD113" s="251">
        <f t="shared" si="18"/>
        <v>417.63333333333327</v>
      </c>
      <c r="AH113" s="237">
        <f t="shared" si="31"/>
        <v>5.5364055391491744E-2</v>
      </c>
      <c r="AI113" s="237">
        <f t="shared" si="31"/>
        <v>1.8332468672679385E-2</v>
      </c>
      <c r="AJ113" s="237">
        <f t="shared" si="31"/>
        <v>0</v>
      </c>
      <c r="AK113" s="237">
        <f t="shared" si="31"/>
        <v>0.89674704685130502</v>
      </c>
      <c r="AL113" s="237">
        <f t="shared" si="31"/>
        <v>2.9556429084523911E-2</v>
      </c>
      <c r="AM113" s="237">
        <f t="shared" si="25"/>
        <v>1</v>
      </c>
      <c r="AO113" s="237">
        <f t="shared" si="26"/>
        <v>0.75124378109452739</v>
      </c>
      <c r="AP113" s="237">
        <f t="shared" si="27"/>
        <v>0.24875621890547264</v>
      </c>
      <c r="AQ113" s="237">
        <f t="shared" si="28"/>
        <v>0</v>
      </c>
      <c r="AR113" s="237">
        <f t="shared" si="29"/>
        <v>0.96809206717629603</v>
      </c>
      <c r="AS113" s="237">
        <f t="shared" si="29"/>
        <v>3.1907932823703966E-2</v>
      </c>
      <c r="AU113" s="251">
        <f t="shared" si="17"/>
        <v>13047.375028581282</v>
      </c>
      <c r="AV113" s="251">
        <f t="shared" si="17"/>
        <v>3689.3162138316006</v>
      </c>
      <c r="AW113" s="251">
        <f t="shared" si="17"/>
        <v>0</v>
      </c>
      <c r="AX113" s="251">
        <f t="shared" si="17"/>
        <v>170101.96072845886</v>
      </c>
      <c r="AY113" s="251">
        <f t="shared" si="17"/>
        <v>5569.3644594645039</v>
      </c>
      <c r="AZ113" s="251">
        <f t="shared" si="16"/>
        <v>192408.01643033623</v>
      </c>
      <c r="BA113" s="270">
        <f t="shared" si="30"/>
        <v>7.6582713355016354</v>
      </c>
      <c r="BB113" s="251">
        <f t="shared" si="23"/>
        <v>16736.691242412882</v>
      </c>
      <c r="BC113" s="251">
        <f t="shared" si="24"/>
        <v>175671.32518792336</v>
      </c>
    </row>
    <row r="114" spans="1:55">
      <c r="A114" s="11">
        <v>47119</v>
      </c>
      <c r="B114" s="251">
        <v>100</v>
      </c>
      <c r="C114" s="251">
        <v>295</v>
      </c>
      <c r="D114" s="251">
        <v>5</v>
      </c>
      <c r="E114" s="251">
        <v>220</v>
      </c>
      <c r="F114" s="251">
        <v>44</v>
      </c>
      <c r="G114" s="287">
        <v>0.33</v>
      </c>
      <c r="H114" s="287"/>
      <c r="I114" s="251"/>
      <c r="J114" s="251"/>
      <c r="K114" s="251"/>
      <c r="L114" s="251"/>
      <c r="M114" s="13"/>
      <c r="N114" s="251">
        <f t="shared" si="21"/>
        <v>664.33</v>
      </c>
      <c r="O114" s="251">
        <f>'BBD Monthly Production'!U21*12</f>
        <v>205.80697261945829</v>
      </c>
      <c r="P114" s="271">
        <f t="shared" si="22"/>
        <v>0.30979629494296251</v>
      </c>
      <c r="Y114" s="251">
        <f>SUM('RD Feedstock'!F112,'RD Feedstock'!I112)</f>
        <v>23.121874999999999</v>
      </c>
      <c r="Z114" s="251">
        <f>SUM('RD Feedstock'!G112,'RD Feedstock'!J112)</f>
        <v>7.65625</v>
      </c>
      <c r="AA114" s="251">
        <v>0</v>
      </c>
      <c r="AB114" s="251">
        <f>SUM('RD Feedstock'!B112,'RD Feedstock'!D112,'RD Feedstock'!H112)</f>
        <v>374.51145833333328</v>
      </c>
      <c r="AC114" s="251">
        <f>SUM('RD Feedstock'!C112,'RD Feedstock'!E112)</f>
        <v>12.34375</v>
      </c>
      <c r="AD114" s="251">
        <f t="shared" si="18"/>
        <v>417.63333333333327</v>
      </c>
      <c r="AH114" s="237">
        <f t="shared" si="31"/>
        <v>5.5364055391491744E-2</v>
      </c>
      <c r="AI114" s="237">
        <f t="shared" si="31"/>
        <v>1.8332468672679385E-2</v>
      </c>
      <c r="AJ114" s="237">
        <f t="shared" si="31"/>
        <v>0</v>
      </c>
      <c r="AK114" s="237">
        <f t="shared" si="31"/>
        <v>0.89674704685130502</v>
      </c>
      <c r="AL114" s="237">
        <f t="shared" si="31"/>
        <v>2.9556429084523911E-2</v>
      </c>
      <c r="AM114" s="237">
        <f t="shared" si="25"/>
        <v>1</v>
      </c>
      <c r="AO114" s="237">
        <f t="shared" si="26"/>
        <v>0.75124378109452739</v>
      </c>
      <c r="AP114" s="237">
        <f t="shared" si="27"/>
        <v>0.24875621890547264</v>
      </c>
      <c r="AQ114" s="237">
        <f t="shared" si="28"/>
        <v>0</v>
      </c>
      <c r="AR114" s="237">
        <f t="shared" si="29"/>
        <v>0.96809206717629603</v>
      </c>
      <c r="AS114" s="237">
        <f t="shared" si="29"/>
        <v>3.1907932823703966E-2</v>
      </c>
      <c r="AU114" s="251">
        <f t="shared" si="17"/>
        <v>4039.9448283618326</v>
      </c>
      <c r="AV114" s="251">
        <f t="shared" si="17"/>
        <v>1142.3473247002312</v>
      </c>
      <c r="AW114" s="251">
        <f t="shared" si="17"/>
        <v>0</v>
      </c>
      <c r="AX114" s="251">
        <f t="shared" si="17"/>
        <v>52669.792585387848</v>
      </c>
      <c r="AY114" s="251">
        <f t="shared" si="17"/>
        <v>1724.4790692371453</v>
      </c>
      <c r="AZ114" s="251">
        <f t="shared" si="16"/>
        <v>59576.56380768706</v>
      </c>
      <c r="BA114" s="270">
        <f t="shared" si="30"/>
        <v>7.6582713355016372</v>
      </c>
      <c r="BB114" s="251">
        <f t="shared" si="23"/>
        <v>5182.2921530620642</v>
      </c>
      <c r="BC114" s="251">
        <f t="shared" si="24"/>
        <v>54394.271654624994</v>
      </c>
    </row>
    <row r="115" spans="1:55">
      <c r="A115" s="11">
        <v>47150</v>
      </c>
      <c r="B115" s="251">
        <v>100</v>
      </c>
      <c r="C115" s="251">
        <v>295</v>
      </c>
      <c r="D115" s="251">
        <v>5</v>
      </c>
      <c r="E115" s="251">
        <v>220</v>
      </c>
      <c r="F115" s="251">
        <v>44</v>
      </c>
      <c r="G115" s="287">
        <v>0.33</v>
      </c>
      <c r="H115" s="287"/>
      <c r="I115" s="251"/>
      <c r="J115" s="251"/>
      <c r="K115" s="251"/>
      <c r="L115" s="251"/>
      <c r="M115" s="13"/>
      <c r="N115" s="251">
        <f t="shared" si="21"/>
        <v>664.33</v>
      </c>
      <c r="O115" s="251">
        <f>'BBD Monthly Production'!U22*12</f>
        <v>242.30693039702908</v>
      </c>
      <c r="P115" s="271">
        <f t="shared" si="22"/>
        <v>0.36473880510744516</v>
      </c>
      <c r="Y115" s="251">
        <f>SUM('RD Feedstock'!F113,'RD Feedstock'!I113)</f>
        <v>23.121874999999999</v>
      </c>
      <c r="Z115" s="251">
        <f>SUM('RD Feedstock'!G113,'RD Feedstock'!J113)</f>
        <v>7.65625</v>
      </c>
      <c r="AA115" s="251">
        <v>0</v>
      </c>
      <c r="AB115" s="251">
        <f>SUM('RD Feedstock'!B113,'RD Feedstock'!D113,'RD Feedstock'!H113)</f>
        <v>374.51145833333328</v>
      </c>
      <c r="AC115" s="251">
        <f>SUM('RD Feedstock'!C113,'RD Feedstock'!E113)</f>
        <v>12.34375</v>
      </c>
      <c r="AD115" s="251">
        <f t="shared" si="18"/>
        <v>417.63333333333327</v>
      </c>
      <c r="AH115" s="237">
        <f t="shared" si="31"/>
        <v>5.5364055391491744E-2</v>
      </c>
      <c r="AI115" s="237">
        <f t="shared" si="31"/>
        <v>1.8332468672679385E-2</v>
      </c>
      <c r="AJ115" s="237">
        <f t="shared" si="31"/>
        <v>0</v>
      </c>
      <c r="AK115" s="237">
        <f t="shared" si="31"/>
        <v>0.89674704685130502</v>
      </c>
      <c r="AL115" s="237">
        <f t="shared" si="31"/>
        <v>2.9556429084523911E-2</v>
      </c>
      <c r="AM115" s="237">
        <f t="shared" si="25"/>
        <v>1</v>
      </c>
      <c r="AO115" s="237">
        <f t="shared" si="26"/>
        <v>0.75124378109452739</v>
      </c>
      <c r="AP115" s="237">
        <f t="shared" si="27"/>
        <v>0.24875621890547264</v>
      </c>
      <c r="AQ115" s="237">
        <f t="shared" si="28"/>
        <v>0</v>
      </c>
      <c r="AR115" s="237">
        <f t="shared" si="29"/>
        <v>0.96809206717629603</v>
      </c>
      <c r="AS115" s="237">
        <f t="shared" si="29"/>
        <v>3.1907932823703966E-2</v>
      </c>
      <c r="AU115" s="251">
        <f t="shared" si="17"/>
        <v>4756.4308335837022</v>
      </c>
      <c r="AV115" s="251">
        <f t="shared" si="17"/>
        <v>1344.9431288568551</v>
      </c>
      <c r="AW115" s="251">
        <f t="shared" si="17"/>
        <v>0</v>
      </c>
      <c r="AX115" s="251">
        <f t="shared" si="17"/>
        <v>62010.803635944969</v>
      </c>
      <c r="AY115" s="251">
        <f t="shared" si="17"/>
        <v>2030.3161962029267</v>
      </c>
      <c r="AZ115" s="251">
        <f t="shared" si="16"/>
        <v>70142.493794588445</v>
      </c>
      <c r="BA115" s="270">
        <f t="shared" si="30"/>
        <v>7.6582713355016354</v>
      </c>
      <c r="BB115" s="251">
        <f t="shared" si="23"/>
        <v>6101.3739624405571</v>
      </c>
      <c r="BC115" s="251">
        <f t="shared" si="24"/>
        <v>64041.119832147895</v>
      </c>
    </row>
    <row r="116" spans="1:55">
      <c r="A116" s="11">
        <v>47178</v>
      </c>
      <c r="B116" s="251">
        <v>100</v>
      </c>
      <c r="C116" s="251">
        <v>295</v>
      </c>
      <c r="D116" s="251">
        <v>5</v>
      </c>
      <c r="E116" s="251">
        <v>220</v>
      </c>
      <c r="F116" s="251">
        <v>44</v>
      </c>
      <c r="G116" s="287">
        <v>0.33</v>
      </c>
      <c r="H116" s="287"/>
      <c r="I116" s="251"/>
      <c r="J116" s="251"/>
      <c r="K116" s="251"/>
      <c r="L116" s="251"/>
      <c r="M116" s="13"/>
      <c r="N116" s="251">
        <f t="shared" si="21"/>
        <v>664.33</v>
      </c>
      <c r="O116" s="251">
        <f>'BBD Monthly Production'!U23*12</f>
        <v>466.15550484653022</v>
      </c>
      <c r="P116" s="271">
        <f t="shared" si="22"/>
        <v>0.70169269014876667</v>
      </c>
      <c r="Y116" s="251">
        <f>SUM('RD Feedstock'!F114,'RD Feedstock'!I114)</f>
        <v>23.121874999999999</v>
      </c>
      <c r="Z116" s="251">
        <f>SUM('RD Feedstock'!G114,'RD Feedstock'!J114)</f>
        <v>7.65625</v>
      </c>
      <c r="AA116" s="251">
        <v>0</v>
      </c>
      <c r="AB116" s="251">
        <f>SUM('RD Feedstock'!B114,'RD Feedstock'!D114,'RD Feedstock'!H114)</f>
        <v>374.51145833333328</v>
      </c>
      <c r="AC116" s="251">
        <f>SUM('RD Feedstock'!C114,'RD Feedstock'!E114)</f>
        <v>12.34375</v>
      </c>
      <c r="AD116" s="251">
        <f t="shared" si="18"/>
        <v>417.63333333333327</v>
      </c>
      <c r="AH116" s="237">
        <f t="shared" si="31"/>
        <v>5.5364055391491744E-2</v>
      </c>
      <c r="AI116" s="237">
        <f t="shared" si="31"/>
        <v>1.8332468672679385E-2</v>
      </c>
      <c r="AJ116" s="237">
        <f t="shared" si="31"/>
        <v>0</v>
      </c>
      <c r="AK116" s="237">
        <f t="shared" si="31"/>
        <v>0.89674704685130502</v>
      </c>
      <c r="AL116" s="237">
        <f t="shared" si="31"/>
        <v>2.9556429084523911E-2</v>
      </c>
      <c r="AM116" s="237">
        <f t="shared" si="25"/>
        <v>1</v>
      </c>
      <c r="AO116" s="237">
        <f t="shared" si="26"/>
        <v>0.75124378109452739</v>
      </c>
      <c r="AP116" s="237">
        <f t="shared" si="27"/>
        <v>0.24875621890547264</v>
      </c>
      <c r="AQ116" s="237">
        <f t="shared" si="28"/>
        <v>0</v>
      </c>
      <c r="AR116" s="237">
        <f t="shared" si="29"/>
        <v>0.96809206717629603</v>
      </c>
      <c r="AS116" s="237">
        <f t="shared" si="29"/>
        <v>3.1907932823703966E-2</v>
      </c>
      <c r="AU116" s="251">
        <f t="shared" si="17"/>
        <v>9150.5282695125024</v>
      </c>
      <c r="AV116" s="251">
        <f t="shared" si="17"/>
        <v>2587.4317428513232</v>
      </c>
      <c r="AW116" s="251">
        <f t="shared" si="17"/>
        <v>0</v>
      </c>
      <c r="AX116" s="251">
        <f t="shared" si="17"/>
        <v>119297.77422167947</v>
      </c>
      <c r="AY116" s="251">
        <f t="shared" si="17"/>
        <v>3905.9678148218022</v>
      </c>
      <c r="AZ116" s="251">
        <f t="shared" si="16"/>
        <v>134941.70204886509</v>
      </c>
      <c r="BA116" s="270">
        <f t="shared" si="30"/>
        <v>7.6582713355016354</v>
      </c>
      <c r="BB116" s="251">
        <f t="shared" si="23"/>
        <v>11737.960012363827</v>
      </c>
      <c r="BC116" s="251">
        <f t="shared" si="24"/>
        <v>123203.74203650128</v>
      </c>
    </row>
    <row r="117" spans="1:55">
      <c r="A117" s="11">
        <v>47209</v>
      </c>
      <c r="B117" s="251">
        <v>100</v>
      </c>
      <c r="C117" s="251">
        <v>295</v>
      </c>
      <c r="D117" s="251">
        <v>5</v>
      </c>
      <c r="E117" s="251">
        <v>220</v>
      </c>
      <c r="F117" s="251">
        <v>44</v>
      </c>
      <c r="G117" s="287">
        <v>0.33</v>
      </c>
      <c r="H117" s="287"/>
      <c r="I117" s="251"/>
      <c r="J117" s="251"/>
      <c r="K117" s="251"/>
      <c r="L117" s="251"/>
      <c r="M117" s="13"/>
      <c r="N117" s="251">
        <f t="shared" si="21"/>
        <v>664.33</v>
      </c>
      <c r="O117" s="251">
        <f>'BBD Monthly Production'!U24*12</f>
        <v>402.58592897650675</v>
      </c>
      <c r="P117" s="271">
        <f t="shared" si="22"/>
        <v>0.60600293374754521</v>
      </c>
      <c r="Y117" s="251">
        <f>SUM('RD Feedstock'!F115,'RD Feedstock'!I115)</f>
        <v>23.121874999999999</v>
      </c>
      <c r="Z117" s="251">
        <f>SUM('RD Feedstock'!G115,'RD Feedstock'!J115)</f>
        <v>7.65625</v>
      </c>
      <c r="AA117" s="251">
        <v>0</v>
      </c>
      <c r="AB117" s="251">
        <f>SUM('RD Feedstock'!B115,'RD Feedstock'!D115,'RD Feedstock'!H115)</f>
        <v>374.51145833333328</v>
      </c>
      <c r="AC117" s="251">
        <f>SUM('RD Feedstock'!C115,'RD Feedstock'!E115)</f>
        <v>12.34375</v>
      </c>
      <c r="AD117" s="251">
        <f t="shared" si="18"/>
        <v>417.63333333333327</v>
      </c>
      <c r="AH117" s="237">
        <f t="shared" si="31"/>
        <v>5.5364055391491744E-2</v>
      </c>
      <c r="AI117" s="237">
        <f t="shared" si="31"/>
        <v>1.8332468672679385E-2</v>
      </c>
      <c r="AJ117" s="237">
        <f t="shared" si="31"/>
        <v>0</v>
      </c>
      <c r="AK117" s="237">
        <f t="shared" si="31"/>
        <v>0.89674704685130502</v>
      </c>
      <c r="AL117" s="237">
        <f t="shared" si="31"/>
        <v>2.9556429084523911E-2</v>
      </c>
      <c r="AM117" s="237">
        <f t="shared" si="25"/>
        <v>1</v>
      </c>
      <c r="AO117" s="237">
        <f t="shared" si="26"/>
        <v>0.75124378109452739</v>
      </c>
      <c r="AP117" s="237">
        <f t="shared" si="27"/>
        <v>0.24875621890547264</v>
      </c>
      <c r="AQ117" s="237">
        <f t="shared" si="28"/>
        <v>0</v>
      </c>
      <c r="AR117" s="237">
        <f t="shared" si="29"/>
        <v>0.96809206717629603</v>
      </c>
      <c r="AS117" s="237">
        <f t="shared" si="29"/>
        <v>3.1907932823703966E-2</v>
      </c>
      <c r="AU117" s="251">
        <f t="shared" ref="AU117:AY179" si="32">(($O117/12)*(AH117*Y$5))/2204.622*1000000</f>
        <v>7902.6717172851986</v>
      </c>
      <c r="AV117" s="251">
        <f t="shared" si="32"/>
        <v>2234.583955416429</v>
      </c>
      <c r="AW117" s="251">
        <f t="shared" si="32"/>
        <v>0</v>
      </c>
      <c r="AX117" s="251">
        <f t="shared" si="32"/>
        <v>103029.14963039265</v>
      </c>
      <c r="AY117" s="251">
        <f t="shared" si="32"/>
        <v>3373.3114056007394</v>
      </c>
      <c r="AZ117" s="251">
        <f t="shared" si="16"/>
        <v>116539.71670869501</v>
      </c>
      <c r="BA117" s="270">
        <f t="shared" si="30"/>
        <v>7.6582713355016354</v>
      </c>
      <c r="BB117" s="251">
        <f t="shared" si="23"/>
        <v>10137.255672701627</v>
      </c>
      <c r="BC117" s="251">
        <f t="shared" si="24"/>
        <v>106402.46103599339</v>
      </c>
    </row>
    <row r="118" spans="1:55">
      <c r="A118" s="11">
        <v>47239</v>
      </c>
      <c r="B118" s="251">
        <v>100</v>
      </c>
      <c r="C118" s="251">
        <v>295</v>
      </c>
      <c r="D118" s="251">
        <v>5</v>
      </c>
      <c r="E118" s="251">
        <v>220</v>
      </c>
      <c r="F118" s="251">
        <v>44</v>
      </c>
      <c r="G118" s="287">
        <v>0.33</v>
      </c>
      <c r="H118" s="287"/>
      <c r="I118" s="251"/>
      <c r="J118" s="251"/>
      <c r="K118" s="251"/>
      <c r="L118" s="251"/>
      <c r="M118" s="13"/>
      <c r="N118" s="251">
        <f t="shared" si="21"/>
        <v>664.33</v>
      </c>
      <c r="O118" s="251">
        <f>'BBD Monthly Production'!U25*12</f>
        <v>434.30259474785265</v>
      </c>
      <c r="P118" s="271">
        <f t="shared" si="22"/>
        <v>0.65374526929064269</v>
      </c>
      <c r="Y118" s="251">
        <f>SUM('RD Feedstock'!F116,'RD Feedstock'!I116)</f>
        <v>23.121874999999999</v>
      </c>
      <c r="Z118" s="251">
        <f>SUM('RD Feedstock'!G116,'RD Feedstock'!J116)</f>
        <v>7.65625</v>
      </c>
      <c r="AA118" s="251">
        <v>0</v>
      </c>
      <c r="AB118" s="251">
        <f>SUM('RD Feedstock'!B116,'RD Feedstock'!D116,'RD Feedstock'!H116)</f>
        <v>374.51145833333328</v>
      </c>
      <c r="AC118" s="251">
        <f>SUM('RD Feedstock'!C116,'RD Feedstock'!E116)</f>
        <v>12.34375</v>
      </c>
      <c r="AD118" s="251">
        <f t="shared" si="18"/>
        <v>417.63333333333327</v>
      </c>
      <c r="AH118" s="237">
        <f t="shared" si="31"/>
        <v>5.5364055391491744E-2</v>
      </c>
      <c r="AI118" s="237">
        <f t="shared" si="31"/>
        <v>1.8332468672679385E-2</v>
      </c>
      <c r="AJ118" s="237">
        <f t="shared" si="31"/>
        <v>0</v>
      </c>
      <c r="AK118" s="237">
        <f t="shared" si="31"/>
        <v>0.89674704685130502</v>
      </c>
      <c r="AL118" s="237">
        <f t="shared" si="31"/>
        <v>2.9556429084523911E-2</v>
      </c>
      <c r="AM118" s="237">
        <f t="shared" si="25"/>
        <v>1</v>
      </c>
      <c r="AO118" s="237">
        <f t="shared" si="26"/>
        <v>0.75124378109452739</v>
      </c>
      <c r="AP118" s="237">
        <f t="shared" si="27"/>
        <v>0.24875621890547264</v>
      </c>
      <c r="AQ118" s="237">
        <f t="shared" si="28"/>
        <v>0</v>
      </c>
      <c r="AR118" s="237">
        <f t="shared" si="29"/>
        <v>0.96809206717629603</v>
      </c>
      <c r="AS118" s="237">
        <f t="shared" si="29"/>
        <v>3.1907932823703966E-2</v>
      </c>
      <c r="AU118" s="251">
        <f t="shared" si="32"/>
        <v>8525.2627705667182</v>
      </c>
      <c r="AV118" s="251">
        <f t="shared" si="32"/>
        <v>2410.6297318600737</v>
      </c>
      <c r="AW118" s="251">
        <f t="shared" si="32"/>
        <v>0</v>
      </c>
      <c r="AX118" s="251">
        <f t="shared" si="32"/>
        <v>111146.02821042828</v>
      </c>
      <c r="AY118" s="251">
        <f t="shared" si="32"/>
        <v>3639.0688071723957</v>
      </c>
      <c r="AZ118" s="251">
        <f t="shared" si="16"/>
        <v>125720.98952002748</v>
      </c>
      <c r="BA118" s="270">
        <f t="shared" si="30"/>
        <v>7.6582713355016363</v>
      </c>
      <c r="BB118" s="251">
        <f t="shared" si="23"/>
        <v>10935.892502426792</v>
      </c>
      <c r="BC118" s="251">
        <f t="shared" si="24"/>
        <v>114785.09701760068</v>
      </c>
    </row>
    <row r="119" spans="1:55">
      <c r="A119" s="11">
        <v>47270</v>
      </c>
      <c r="B119" s="251">
        <v>100</v>
      </c>
      <c r="C119" s="251">
        <v>295</v>
      </c>
      <c r="D119" s="251">
        <v>5</v>
      </c>
      <c r="E119" s="251">
        <v>220</v>
      </c>
      <c r="F119" s="251">
        <v>44</v>
      </c>
      <c r="G119" s="287">
        <v>0.33</v>
      </c>
      <c r="H119" s="287"/>
      <c r="I119" s="251"/>
      <c r="J119" s="251"/>
      <c r="K119" s="251"/>
      <c r="L119" s="251"/>
      <c r="M119" s="13"/>
      <c r="N119" s="251">
        <f t="shared" si="21"/>
        <v>664.33</v>
      </c>
      <c r="O119" s="251">
        <f>'BBD Monthly Production'!U26*12</f>
        <v>541.91794522133284</v>
      </c>
      <c r="P119" s="271">
        <f t="shared" si="22"/>
        <v>0.81573607276704774</v>
      </c>
      <c r="Y119" s="251">
        <f>SUM('RD Feedstock'!F117,'RD Feedstock'!I117)</f>
        <v>23.121874999999999</v>
      </c>
      <c r="Z119" s="251">
        <f>SUM('RD Feedstock'!G117,'RD Feedstock'!J117)</f>
        <v>7.65625</v>
      </c>
      <c r="AA119" s="251">
        <v>0</v>
      </c>
      <c r="AB119" s="251">
        <f>SUM('RD Feedstock'!B117,'RD Feedstock'!D117,'RD Feedstock'!H117)</f>
        <v>374.51145833333328</v>
      </c>
      <c r="AC119" s="251">
        <f>SUM('RD Feedstock'!C117,'RD Feedstock'!E117)</f>
        <v>12.34375</v>
      </c>
      <c r="AD119" s="251">
        <f t="shared" si="18"/>
        <v>417.63333333333327</v>
      </c>
      <c r="AH119" s="237">
        <f t="shared" si="31"/>
        <v>5.5364055391491744E-2</v>
      </c>
      <c r="AI119" s="237">
        <f t="shared" si="31"/>
        <v>1.8332468672679385E-2</v>
      </c>
      <c r="AJ119" s="237">
        <f t="shared" si="31"/>
        <v>0</v>
      </c>
      <c r="AK119" s="237">
        <f t="shared" si="31"/>
        <v>0.89674704685130502</v>
      </c>
      <c r="AL119" s="237">
        <f t="shared" si="31"/>
        <v>2.9556429084523911E-2</v>
      </c>
      <c r="AM119" s="237">
        <f t="shared" si="25"/>
        <v>1</v>
      </c>
      <c r="AO119" s="237">
        <f t="shared" si="26"/>
        <v>0.75124378109452739</v>
      </c>
      <c r="AP119" s="237">
        <f t="shared" si="27"/>
        <v>0.24875621890547264</v>
      </c>
      <c r="AQ119" s="237">
        <f t="shared" si="28"/>
        <v>0</v>
      </c>
      <c r="AR119" s="237">
        <f t="shared" si="29"/>
        <v>0.96809206717629603</v>
      </c>
      <c r="AS119" s="237">
        <f t="shared" si="29"/>
        <v>3.1907932823703966E-2</v>
      </c>
      <c r="AU119" s="251">
        <f t="shared" si="32"/>
        <v>10637.728024120415</v>
      </c>
      <c r="AV119" s="251">
        <f t="shared" si="32"/>
        <v>3007.956956226596</v>
      </c>
      <c r="AW119" s="251">
        <f t="shared" si="32"/>
        <v>0</v>
      </c>
      <c r="AX119" s="251">
        <f t="shared" si="32"/>
        <v>138686.77727398128</v>
      </c>
      <c r="AY119" s="251">
        <f t="shared" si="32"/>
        <v>4540.7895655029633</v>
      </c>
      <c r="AZ119" s="251">
        <f t="shared" si="16"/>
        <v>156873.25181983126</v>
      </c>
      <c r="BA119" s="270">
        <f t="shared" si="30"/>
        <v>7.6582713355016372</v>
      </c>
      <c r="BB119" s="251">
        <f t="shared" si="23"/>
        <v>13645.68498034701</v>
      </c>
      <c r="BC119" s="251">
        <f t="shared" si="24"/>
        <v>143227.56683948424</v>
      </c>
    </row>
    <row r="120" spans="1:55">
      <c r="A120" s="11">
        <v>47300</v>
      </c>
      <c r="B120" s="251">
        <v>100</v>
      </c>
      <c r="C120" s="251">
        <v>295</v>
      </c>
      <c r="D120" s="251">
        <v>5</v>
      </c>
      <c r="E120" s="251">
        <v>220</v>
      </c>
      <c r="F120" s="251">
        <v>44</v>
      </c>
      <c r="G120" s="287">
        <v>0.33</v>
      </c>
      <c r="H120" s="287"/>
      <c r="I120" s="251"/>
      <c r="J120" s="251"/>
      <c r="K120" s="251"/>
      <c r="L120" s="251"/>
      <c r="M120" s="13"/>
      <c r="N120" s="251">
        <f t="shared" si="21"/>
        <v>664.33</v>
      </c>
      <c r="O120" s="251">
        <f>'BBD Monthly Production'!U27*12</f>
        <v>476.28327522081662</v>
      </c>
      <c r="P120" s="271">
        <f t="shared" si="22"/>
        <v>0.716937779749246</v>
      </c>
      <c r="Y120" s="251">
        <f>SUM('RD Feedstock'!F118,'RD Feedstock'!I118)</f>
        <v>23.121874999999999</v>
      </c>
      <c r="Z120" s="251">
        <f>SUM('RD Feedstock'!G118,'RD Feedstock'!J118)</f>
        <v>7.65625</v>
      </c>
      <c r="AA120" s="251">
        <v>0</v>
      </c>
      <c r="AB120" s="251">
        <f>SUM('RD Feedstock'!B118,'RD Feedstock'!D118,'RD Feedstock'!H118)</f>
        <v>374.51145833333328</v>
      </c>
      <c r="AC120" s="251">
        <f>SUM('RD Feedstock'!C118,'RD Feedstock'!E118)</f>
        <v>12.34375</v>
      </c>
      <c r="AD120" s="251">
        <f t="shared" si="18"/>
        <v>417.63333333333327</v>
      </c>
      <c r="AH120" s="237">
        <f t="shared" si="31"/>
        <v>5.5364055391491744E-2</v>
      </c>
      <c r="AI120" s="237">
        <f t="shared" si="31"/>
        <v>1.8332468672679385E-2</v>
      </c>
      <c r="AJ120" s="237">
        <f t="shared" si="31"/>
        <v>0</v>
      </c>
      <c r="AK120" s="237">
        <f t="shared" si="31"/>
        <v>0.89674704685130502</v>
      </c>
      <c r="AL120" s="237">
        <f t="shared" si="31"/>
        <v>2.9556429084523911E-2</v>
      </c>
      <c r="AM120" s="237">
        <f t="shared" si="25"/>
        <v>1</v>
      </c>
      <c r="AO120" s="237">
        <f t="shared" si="26"/>
        <v>0.75124378109452739</v>
      </c>
      <c r="AP120" s="237">
        <f t="shared" si="27"/>
        <v>0.24875621890547264</v>
      </c>
      <c r="AQ120" s="237">
        <f t="shared" si="28"/>
        <v>0</v>
      </c>
      <c r="AR120" s="237">
        <f t="shared" si="29"/>
        <v>0.96809206717629603</v>
      </c>
      <c r="AS120" s="237">
        <f t="shared" si="29"/>
        <v>3.1907932823703966E-2</v>
      </c>
      <c r="AU120" s="251">
        <f t="shared" si="32"/>
        <v>9349.3341361246548</v>
      </c>
      <c r="AV120" s="251">
        <f t="shared" si="32"/>
        <v>2643.646706051994</v>
      </c>
      <c r="AW120" s="251">
        <f t="shared" si="32"/>
        <v>0</v>
      </c>
      <c r="AX120" s="251">
        <f t="shared" si="32"/>
        <v>121889.65708248236</v>
      </c>
      <c r="AY120" s="251">
        <f t="shared" si="32"/>
        <v>3990.8295073398217</v>
      </c>
      <c r="AZ120" s="251">
        <f t="shared" si="16"/>
        <v>137873.46743199884</v>
      </c>
      <c r="BA120" s="270">
        <f t="shared" si="30"/>
        <v>7.6582713355016381</v>
      </c>
      <c r="BB120" s="251">
        <f t="shared" si="23"/>
        <v>11992.980842176648</v>
      </c>
      <c r="BC120" s="251">
        <f t="shared" si="24"/>
        <v>125880.48658982218</v>
      </c>
    </row>
    <row r="121" spans="1:55">
      <c r="A121" s="11">
        <v>47331</v>
      </c>
      <c r="B121" s="251">
        <v>100</v>
      </c>
      <c r="C121" s="251">
        <v>295</v>
      </c>
      <c r="D121" s="251">
        <v>5</v>
      </c>
      <c r="E121" s="251">
        <v>220</v>
      </c>
      <c r="F121" s="251">
        <v>44</v>
      </c>
      <c r="G121" s="287">
        <v>0.33</v>
      </c>
      <c r="H121" s="287"/>
      <c r="I121" s="251"/>
      <c r="J121" s="251"/>
      <c r="K121" s="251"/>
      <c r="L121" s="251"/>
      <c r="M121" s="13"/>
      <c r="N121" s="251">
        <f t="shared" si="21"/>
        <v>664.33</v>
      </c>
      <c r="O121" s="251">
        <f>'BBD Monthly Production'!U28*12</f>
        <v>418.54144026033634</v>
      </c>
      <c r="P121" s="271">
        <f t="shared" si="22"/>
        <v>0.63002038182881448</v>
      </c>
      <c r="Y121" s="251">
        <f>SUM('RD Feedstock'!F119,'RD Feedstock'!I119)</f>
        <v>23.121874999999999</v>
      </c>
      <c r="Z121" s="251">
        <f>SUM('RD Feedstock'!G119,'RD Feedstock'!J119)</f>
        <v>7.65625</v>
      </c>
      <c r="AA121" s="251">
        <v>0</v>
      </c>
      <c r="AB121" s="251">
        <f>SUM('RD Feedstock'!B119,'RD Feedstock'!D119,'RD Feedstock'!H119)</f>
        <v>374.51145833333328</v>
      </c>
      <c r="AC121" s="251">
        <f>SUM('RD Feedstock'!C119,'RD Feedstock'!E119)</f>
        <v>12.34375</v>
      </c>
      <c r="AD121" s="251">
        <f t="shared" si="18"/>
        <v>417.63333333333327</v>
      </c>
      <c r="AH121" s="237">
        <f t="shared" si="31"/>
        <v>5.5364055391491744E-2</v>
      </c>
      <c r="AI121" s="237">
        <f t="shared" si="31"/>
        <v>1.8332468672679385E-2</v>
      </c>
      <c r="AJ121" s="237">
        <f t="shared" si="31"/>
        <v>0</v>
      </c>
      <c r="AK121" s="237">
        <f t="shared" si="31"/>
        <v>0.89674704685130502</v>
      </c>
      <c r="AL121" s="237">
        <f t="shared" si="31"/>
        <v>2.9556429084523911E-2</v>
      </c>
      <c r="AM121" s="237">
        <f t="shared" si="25"/>
        <v>1</v>
      </c>
      <c r="AO121" s="237">
        <f t="shared" si="26"/>
        <v>0.75124378109452739</v>
      </c>
      <c r="AP121" s="237">
        <f t="shared" si="27"/>
        <v>0.24875621890547264</v>
      </c>
      <c r="AQ121" s="237">
        <f t="shared" si="28"/>
        <v>0</v>
      </c>
      <c r="AR121" s="237">
        <f t="shared" si="29"/>
        <v>0.96809206717629603</v>
      </c>
      <c r="AS121" s="237">
        <f t="shared" si="29"/>
        <v>3.1907932823703966E-2</v>
      </c>
      <c r="AU121" s="251">
        <f t="shared" si="32"/>
        <v>8215.8748341405408</v>
      </c>
      <c r="AV121" s="251">
        <f t="shared" si="32"/>
        <v>2323.1462397614241</v>
      </c>
      <c r="AW121" s="251">
        <f t="shared" si="32"/>
        <v>0</v>
      </c>
      <c r="AX121" s="251">
        <f t="shared" si="32"/>
        <v>107112.45866126299</v>
      </c>
      <c r="AY121" s="251">
        <f t="shared" si="32"/>
        <v>3507.0043747831637</v>
      </c>
      <c r="AZ121" s="251">
        <f t="shared" si="16"/>
        <v>121158.48410994813</v>
      </c>
      <c r="BA121" s="270">
        <f t="shared" si="30"/>
        <v>7.6582713355016372</v>
      </c>
      <c r="BB121" s="251">
        <f t="shared" si="23"/>
        <v>10539.021073901964</v>
      </c>
      <c r="BC121" s="251">
        <f t="shared" si="24"/>
        <v>110619.46303604616</v>
      </c>
    </row>
    <row r="122" spans="1:55">
      <c r="A122" s="11">
        <v>47362</v>
      </c>
      <c r="B122" s="251">
        <v>100</v>
      </c>
      <c r="C122" s="251">
        <v>295</v>
      </c>
      <c r="D122" s="251">
        <v>5</v>
      </c>
      <c r="E122" s="251">
        <v>220</v>
      </c>
      <c r="F122" s="251">
        <v>44</v>
      </c>
      <c r="G122" s="287">
        <v>0.33</v>
      </c>
      <c r="H122" s="287"/>
      <c r="I122" s="251"/>
      <c r="J122" s="251"/>
      <c r="K122" s="251"/>
      <c r="L122" s="251"/>
      <c r="M122" s="13"/>
      <c r="N122" s="251">
        <f t="shared" si="21"/>
        <v>664.33</v>
      </c>
      <c r="O122" s="251">
        <f>'BBD Monthly Production'!U29*12</f>
        <v>456.69392022119428</v>
      </c>
      <c r="P122" s="271">
        <f t="shared" si="22"/>
        <v>0.68745039396263041</v>
      </c>
      <c r="Y122" s="251">
        <f>SUM('RD Feedstock'!F120,'RD Feedstock'!I120)</f>
        <v>23.121874999999999</v>
      </c>
      <c r="Z122" s="251">
        <f>SUM('RD Feedstock'!G120,'RD Feedstock'!J120)</f>
        <v>7.65625</v>
      </c>
      <c r="AA122" s="251">
        <v>0</v>
      </c>
      <c r="AB122" s="251">
        <f>SUM('RD Feedstock'!B120,'RD Feedstock'!D120,'RD Feedstock'!H120)</f>
        <v>374.51145833333328</v>
      </c>
      <c r="AC122" s="251">
        <f>SUM('RD Feedstock'!C120,'RD Feedstock'!E120)</f>
        <v>12.34375</v>
      </c>
      <c r="AD122" s="251">
        <f t="shared" si="18"/>
        <v>417.63333333333327</v>
      </c>
      <c r="AH122" s="237">
        <f t="shared" si="31"/>
        <v>5.5364055391491744E-2</v>
      </c>
      <c r="AI122" s="237">
        <f t="shared" si="31"/>
        <v>1.8332468672679385E-2</v>
      </c>
      <c r="AJ122" s="237">
        <f t="shared" si="31"/>
        <v>0</v>
      </c>
      <c r="AK122" s="237">
        <f t="shared" si="31"/>
        <v>0.89674704685130502</v>
      </c>
      <c r="AL122" s="237">
        <f t="shared" si="31"/>
        <v>2.9556429084523911E-2</v>
      </c>
      <c r="AM122" s="237">
        <f t="shared" si="25"/>
        <v>1</v>
      </c>
      <c r="AO122" s="237">
        <f t="shared" si="26"/>
        <v>0.75124378109452739</v>
      </c>
      <c r="AP122" s="237">
        <f t="shared" si="27"/>
        <v>0.24875621890547264</v>
      </c>
      <c r="AQ122" s="237">
        <f t="shared" si="28"/>
        <v>0</v>
      </c>
      <c r="AR122" s="237">
        <f t="shared" si="29"/>
        <v>0.96809206717629603</v>
      </c>
      <c r="AS122" s="237">
        <f t="shared" si="29"/>
        <v>3.1907932823703966E-2</v>
      </c>
      <c r="AU122" s="251">
        <f t="shared" si="32"/>
        <v>8964.7994801098648</v>
      </c>
      <c r="AV122" s="251">
        <f t="shared" si="32"/>
        <v>2534.9144945452495</v>
      </c>
      <c r="AW122" s="251">
        <f t="shared" si="32"/>
        <v>0</v>
      </c>
      <c r="AX122" s="251">
        <f t="shared" si="32"/>
        <v>116876.38055652421</v>
      </c>
      <c r="AY122" s="251">
        <f t="shared" si="32"/>
        <v>3826.6881653495893</v>
      </c>
      <c r="AZ122" s="251">
        <f t="shared" si="16"/>
        <v>132202.78269652891</v>
      </c>
      <c r="BA122" s="270">
        <f t="shared" si="30"/>
        <v>7.6582713355016372</v>
      </c>
      <c r="BB122" s="251">
        <f t="shared" si="23"/>
        <v>11499.713974655115</v>
      </c>
      <c r="BC122" s="251">
        <f t="shared" si="24"/>
        <v>120703.0687218738</v>
      </c>
    </row>
    <row r="123" spans="1:55">
      <c r="A123" s="11">
        <v>47392</v>
      </c>
      <c r="B123" s="251">
        <v>100</v>
      </c>
      <c r="C123" s="251">
        <v>295</v>
      </c>
      <c r="D123" s="251">
        <v>5</v>
      </c>
      <c r="E123" s="251">
        <v>220</v>
      </c>
      <c r="F123" s="251">
        <v>44</v>
      </c>
      <c r="G123" s="287">
        <v>0.33</v>
      </c>
      <c r="H123" s="287"/>
      <c r="I123" s="251"/>
      <c r="J123" s="251"/>
      <c r="K123" s="251"/>
      <c r="L123" s="251"/>
      <c r="M123" s="13"/>
      <c r="N123" s="251">
        <f t="shared" si="21"/>
        <v>664.33</v>
      </c>
      <c r="O123" s="251">
        <f>'BBD Monthly Production'!U30*12</f>
        <v>364.2903706605361</v>
      </c>
      <c r="P123" s="271">
        <f t="shared" si="22"/>
        <v>0.54835754920075275</v>
      </c>
      <c r="Y123" s="251">
        <f>SUM('RD Feedstock'!F121,'RD Feedstock'!I121)</f>
        <v>23.121874999999999</v>
      </c>
      <c r="Z123" s="251">
        <f>SUM('RD Feedstock'!G121,'RD Feedstock'!J121)</f>
        <v>7.65625</v>
      </c>
      <c r="AA123" s="251">
        <v>0</v>
      </c>
      <c r="AB123" s="251">
        <f>SUM('RD Feedstock'!B121,'RD Feedstock'!D121,'RD Feedstock'!H121)</f>
        <v>374.51145833333328</v>
      </c>
      <c r="AC123" s="251">
        <f>SUM('RD Feedstock'!C121,'RD Feedstock'!E121)</f>
        <v>12.34375</v>
      </c>
      <c r="AD123" s="251">
        <f t="shared" si="18"/>
        <v>417.63333333333327</v>
      </c>
      <c r="AH123" s="237">
        <f t="shared" si="31"/>
        <v>5.5364055391491744E-2</v>
      </c>
      <c r="AI123" s="237">
        <f t="shared" si="31"/>
        <v>1.8332468672679385E-2</v>
      </c>
      <c r="AJ123" s="237">
        <f t="shared" si="31"/>
        <v>0</v>
      </c>
      <c r="AK123" s="237">
        <f t="shared" si="31"/>
        <v>0.89674704685130502</v>
      </c>
      <c r="AL123" s="237">
        <f t="shared" si="31"/>
        <v>2.9556429084523911E-2</v>
      </c>
      <c r="AM123" s="237">
        <f t="shared" si="25"/>
        <v>1</v>
      </c>
      <c r="AO123" s="237">
        <f t="shared" si="26"/>
        <v>0.75124378109452739</v>
      </c>
      <c r="AP123" s="237">
        <f t="shared" si="27"/>
        <v>0.24875621890547264</v>
      </c>
      <c r="AQ123" s="237">
        <f t="shared" si="28"/>
        <v>0</v>
      </c>
      <c r="AR123" s="237">
        <f t="shared" si="29"/>
        <v>0.96809206717629603</v>
      </c>
      <c r="AS123" s="237">
        <f t="shared" si="29"/>
        <v>3.1907932823703966E-2</v>
      </c>
      <c r="AU123" s="251">
        <f t="shared" si="32"/>
        <v>7150.9384752152109</v>
      </c>
      <c r="AV123" s="251">
        <f t="shared" si="32"/>
        <v>2022.0215332916957</v>
      </c>
      <c r="AW123" s="251">
        <f t="shared" si="32"/>
        <v>0</v>
      </c>
      <c r="AX123" s="251">
        <f t="shared" si="32"/>
        <v>93228.611350412641</v>
      </c>
      <c r="AY123" s="251">
        <f t="shared" si="32"/>
        <v>3052.428745892455</v>
      </c>
      <c r="AZ123" s="251">
        <f t="shared" si="16"/>
        <v>105454.000104812</v>
      </c>
      <c r="BA123" s="270">
        <f t="shared" si="30"/>
        <v>7.6582713355016363</v>
      </c>
      <c r="BB123" s="251">
        <f t="shared" si="23"/>
        <v>9172.9600085069069</v>
      </c>
      <c r="BC123" s="251">
        <f t="shared" si="24"/>
        <v>96281.040096305092</v>
      </c>
    </row>
    <row r="124" spans="1:55">
      <c r="A124" s="11">
        <v>47423</v>
      </c>
      <c r="B124" s="251">
        <v>100</v>
      </c>
      <c r="C124" s="251">
        <v>295</v>
      </c>
      <c r="D124" s="251">
        <v>5</v>
      </c>
      <c r="E124" s="251">
        <v>220</v>
      </c>
      <c r="F124" s="251">
        <v>44</v>
      </c>
      <c r="G124" s="287">
        <v>0.33</v>
      </c>
      <c r="H124" s="287"/>
      <c r="I124" s="251"/>
      <c r="J124" s="251"/>
      <c r="K124" s="251"/>
      <c r="L124" s="251"/>
      <c r="M124" s="13"/>
      <c r="N124" s="251">
        <f t="shared" si="21"/>
        <v>664.33</v>
      </c>
      <c r="O124" s="251">
        <f>'BBD Monthly Production'!U31*12</f>
        <v>470.14478760914972</v>
      </c>
      <c r="P124" s="271">
        <f t="shared" si="22"/>
        <v>0.70769766171804627</v>
      </c>
      <c r="Y124" s="251">
        <f>SUM('RD Feedstock'!F122,'RD Feedstock'!I122)</f>
        <v>23.121874999999999</v>
      </c>
      <c r="Z124" s="251">
        <f>SUM('RD Feedstock'!G122,'RD Feedstock'!J122)</f>
        <v>7.65625</v>
      </c>
      <c r="AA124" s="251">
        <v>0</v>
      </c>
      <c r="AB124" s="251">
        <f>SUM('RD Feedstock'!B122,'RD Feedstock'!D122,'RD Feedstock'!H122)</f>
        <v>374.51145833333328</v>
      </c>
      <c r="AC124" s="251">
        <f>SUM('RD Feedstock'!C122,'RD Feedstock'!E122)</f>
        <v>12.34375</v>
      </c>
      <c r="AD124" s="251">
        <f t="shared" si="18"/>
        <v>417.63333333333327</v>
      </c>
      <c r="AH124" s="237">
        <f t="shared" si="31"/>
        <v>5.5364055391491744E-2</v>
      </c>
      <c r="AI124" s="237">
        <f t="shared" si="31"/>
        <v>1.8332468672679385E-2</v>
      </c>
      <c r="AJ124" s="237">
        <f t="shared" si="31"/>
        <v>0</v>
      </c>
      <c r="AK124" s="237">
        <f t="shared" si="31"/>
        <v>0.89674704685130502</v>
      </c>
      <c r="AL124" s="237">
        <f t="shared" si="31"/>
        <v>2.9556429084523911E-2</v>
      </c>
      <c r="AM124" s="237">
        <f t="shared" si="25"/>
        <v>1</v>
      </c>
      <c r="AO124" s="237">
        <f t="shared" si="26"/>
        <v>0.75124378109452739</v>
      </c>
      <c r="AP124" s="237">
        <f t="shared" si="27"/>
        <v>0.24875621890547264</v>
      </c>
      <c r="AQ124" s="237">
        <f t="shared" si="28"/>
        <v>0</v>
      </c>
      <c r="AR124" s="237">
        <f t="shared" si="29"/>
        <v>0.96809206717629603</v>
      </c>
      <c r="AS124" s="237">
        <f t="shared" si="29"/>
        <v>3.1907932823703966E-2</v>
      </c>
      <c r="AU124" s="251">
        <f t="shared" si="32"/>
        <v>9228.8369976405702</v>
      </c>
      <c r="AV124" s="251">
        <f t="shared" si="32"/>
        <v>2609.5745615972041</v>
      </c>
      <c r="AW124" s="251">
        <f t="shared" si="32"/>
        <v>0</v>
      </c>
      <c r="AX124" s="251">
        <f t="shared" si="32"/>
        <v>120318.70511142215</v>
      </c>
      <c r="AY124" s="251">
        <f t="shared" si="32"/>
        <v>3939.3944501677579</v>
      </c>
      <c r="AZ124" s="251">
        <f t="shared" si="16"/>
        <v>136096.51112082766</v>
      </c>
      <c r="BA124" s="270">
        <f t="shared" si="30"/>
        <v>7.6582713355016354</v>
      </c>
      <c r="BB124" s="251">
        <f t="shared" si="23"/>
        <v>11838.411559237775</v>
      </c>
      <c r="BC124" s="251">
        <f t="shared" si="24"/>
        <v>124258.09956158992</v>
      </c>
    </row>
    <row r="125" spans="1:55">
      <c r="A125" s="11">
        <v>47453</v>
      </c>
      <c r="B125" s="251">
        <v>100</v>
      </c>
      <c r="C125" s="251">
        <v>295</v>
      </c>
      <c r="D125" s="251">
        <v>5</v>
      </c>
      <c r="E125" s="251">
        <v>220</v>
      </c>
      <c r="F125" s="251">
        <v>44</v>
      </c>
      <c r="G125" s="287">
        <v>0.33</v>
      </c>
      <c r="H125" s="287"/>
      <c r="I125" s="251"/>
      <c r="J125" s="251"/>
      <c r="K125" s="251"/>
      <c r="L125" s="251"/>
      <c r="M125" s="13"/>
      <c r="N125" s="251">
        <f t="shared" si="21"/>
        <v>664.33</v>
      </c>
      <c r="O125" s="251">
        <f>'BBD Monthly Production'!U32*12</f>
        <v>639.40654077005934</v>
      </c>
      <c r="P125" s="271">
        <f t="shared" si="22"/>
        <v>0.96248331517477659</v>
      </c>
      <c r="Y125" s="251">
        <f>SUM('RD Feedstock'!F123,'RD Feedstock'!I123)</f>
        <v>23.121874999999999</v>
      </c>
      <c r="Z125" s="251">
        <f>SUM('RD Feedstock'!G123,'RD Feedstock'!J123)</f>
        <v>7.65625</v>
      </c>
      <c r="AA125" s="251">
        <v>0</v>
      </c>
      <c r="AB125" s="251">
        <f>SUM('RD Feedstock'!B123,'RD Feedstock'!D123,'RD Feedstock'!H123)</f>
        <v>374.51145833333328</v>
      </c>
      <c r="AC125" s="251">
        <f>SUM('RD Feedstock'!C123,'RD Feedstock'!E123)</f>
        <v>12.34375</v>
      </c>
      <c r="AD125" s="251">
        <f t="shared" si="18"/>
        <v>417.63333333333327</v>
      </c>
      <c r="AH125" s="237">
        <f t="shared" si="31"/>
        <v>5.5364055391491744E-2</v>
      </c>
      <c r="AI125" s="237">
        <f t="shared" si="31"/>
        <v>1.8332468672679385E-2</v>
      </c>
      <c r="AJ125" s="237">
        <f t="shared" si="31"/>
        <v>0</v>
      </c>
      <c r="AK125" s="237">
        <f t="shared" si="31"/>
        <v>0.89674704685130502</v>
      </c>
      <c r="AL125" s="237">
        <f t="shared" si="31"/>
        <v>2.9556429084523911E-2</v>
      </c>
      <c r="AM125" s="237">
        <f t="shared" si="25"/>
        <v>1</v>
      </c>
      <c r="AO125" s="237">
        <f t="shared" si="26"/>
        <v>0.75124378109452739</v>
      </c>
      <c r="AP125" s="237">
        <f t="shared" si="27"/>
        <v>0.24875621890547264</v>
      </c>
      <c r="AQ125" s="237">
        <f t="shared" si="28"/>
        <v>0</v>
      </c>
      <c r="AR125" s="237">
        <f t="shared" si="29"/>
        <v>0.96809206717629603</v>
      </c>
      <c r="AS125" s="237">
        <f t="shared" si="29"/>
        <v>3.1907932823703966E-2</v>
      </c>
      <c r="AU125" s="251">
        <f t="shared" si="32"/>
        <v>12551.407344109104</v>
      </c>
      <c r="AV125" s="251">
        <f t="shared" si="32"/>
        <v>3549.0748537226564</v>
      </c>
      <c r="AW125" s="251">
        <f t="shared" si="32"/>
        <v>0</v>
      </c>
      <c r="AX125" s="251">
        <f t="shared" si="32"/>
        <v>163635.90334895818</v>
      </c>
      <c r="AY125" s="251">
        <f t="shared" si="32"/>
        <v>5357.6571398778915</v>
      </c>
      <c r="AZ125" s="251">
        <f t="shared" si="16"/>
        <v>185094.04268666785</v>
      </c>
      <c r="BA125" s="270">
        <f t="shared" si="30"/>
        <v>7.6582713355016372</v>
      </c>
      <c r="BB125" s="251">
        <f t="shared" si="23"/>
        <v>16100.48219783176</v>
      </c>
      <c r="BC125" s="251">
        <f t="shared" si="24"/>
        <v>168993.56048883608</v>
      </c>
    </row>
    <row r="126" spans="1:55">
      <c r="A126" s="11">
        <v>47484</v>
      </c>
      <c r="B126" s="251">
        <v>100</v>
      </c>
      <c r="C126" s="251">
        <v>295</v>
      </c>
      <c r="D126" s="251">
        <v>5</v>
      </c>
      <c r="E126" s="251">
        <v>220</v>
      </c>
      <c r="F126" s="251">
        <v>44</v>
      </c>
      <c r="G126" s="287">
        <v>0.33</v>
      </c>
      <c r="H126" s="287"/>
      <c r="I126" s="251"/>
      <c r="J126" s="251"/>
      <c r="K126" s="251"/>
      <c r="L126" s="251"/>
      <c r="M126" s="13"/>
      <c r="N126" s="251">
        <f t="shared" si="21"/>
        <v>664.33</v>
      </c>
      <c r="O126" s="251">
        <f>'BBD Monthly Production'!V21*12</f>
        <v>213.36939547799244</v>
      </c>
      <c r="P126" s="271">
        <f t="shared" si="22"/>
        <v>0.32117982851593702</v>
      </c>
      <c r="Y126" s="251">
        <f>SUM('RD Feedstock'!F124,'RD Feedstock'!I124)</f>
        <v>23.121874999999999</v>
      </c>
      <c r="Z126" s="251">
        <f>SUM('RD Feedstock'!G124,'RD Feedstock'!J124)</f>
        <v>7.65625</v>
      </c>
      <c r="AA126" s="251">
        <v>0</v>
      </c>
      <c r="AB126" s="251">
        <f>SUM('RD Feedstock'!B124,'RD Feedstock'!D124,'RD Feedstock'!H124)</f>
        <v>374.51145833333328</v>
      </c>
      <c r="AC126" s="251">
        <f>SUM('RD Feedstock'!C124,'RD Feedstock'!E124)</f>
        <v>12.34375</v>
      </c>
      <c r="AD126" s="251">
        <f t="shared" si="18"/>
        <v>417.63333333333327</v>
      </c>
      <c r="AH126" s="237">
        <f t="shared" si="31"/>
        <v>5.5364055391491744E-2</v>
      </c>
      <c r="AI126" s="237">
        <f t="shared" si="31"/>
        <v>1.8332468672679385E-2</v>
      </c>
      <c r="AJ126" s="237">
        <f t="shared" si="31"/>
        <v>0</v>
      </c>
      <c r="AK126" s="237">
        <f t="shared" si="31"/>
        <v>0.89674704685130502</v>
      </c>
      <c r="AL126" s="237">
        <f t="shared" si="31"/>
        <v>2.9556429084523911E-2</v>
      </c>
      <c r="AM126" s="237">
        <f t="shared" si="25"/>
        <v>1</v>
      </c>
      <c r="AO126" s="237">
        <f t="shared" si="26"/>
        <v>0.75124378109452739</v>
      </c>
      <c r="AP126" s="237">
        <f t="shared" si="27"/>
        <v>0.24875621890547264</v>
      </c>
      <c r="AQ126" s="237">
        <f t="shared" si="28"/>
        <v>0</v>
      </c>
      <c r="AR126" s="237">
        <f t="shared" si="29"/>
        <v>0.96809206717629603</v>
      </c>
      <c r="AS126" s="237">
        <f t="shared" si="29"/>
        <v>3.1907932823703966E-2</v>
      </c>
      <c r="AU126" s="251">
        <f t="shared" si="32"/>
        <v>4188.3934971720537</v>
      </c>
      <c r="AV126" s="251">
        <f t="shared" si="32"/>
        <v>1184.3231305281122</v>
      </c>
      <c r="AW126" s="251">
        <f t="shared" si="32"/>
        <v>0</v>
      </c>
      <c r="AX126" s="251">
        <f t="shared" si="32"/>
        <v>54605.155796519059</v>
      </c>
      <c r="AY126" s="251">
        <f t="shared" si="32"/>
        <v>1787.8454351395105</v>
      </c>
      <c r="AZ126" s="251">
        <f t="shared" si="16"/>
        <v>61765.717859358738</v>
      </c>
      <c r="BA126" s="270">
        <f t="shared" si="30"/>
        <v>7.6582713355016381</v>
      </c>
      <c r="BB126" s="251">
        <f t="shared" si="23"/>
        <v>5372.7166277001661</v>
      </c>
      <c r="BC126" s="251">
        <f t="shared" si="24"/>
        <v>56393.001231658571</v>
      </c>
    </row>
    <row r="127" spans="1:55">
      <c r="A127" s="11">
        <v>47515</v>
      </c>
      <c r="B127" s="251">
        <v>100</v>
      </c>
      <c r="C127" s="251">
        <v>295</v>
      </c>
      <c r="D127" s="251">
        <v>5</v>
      </c>
      <c r="E127" s="251">
        <v>220</v>
      </c>
      <c r="F127" s="251">
        <v>44</v>
      </c>
      <c r="G127" s="287">
        <v>0.33</v>
      </c>
      <c r="H127" s="287"/>
      <c r="I127" s="251"/>
      <c r="J127" s="251"/>
      <c r="K127" s="251"/>
      <c r="L127" s="251"/>
      <c r="M127" s="13"/>
      <c r="N127" s="251">
        <f t="shared" si="21"/>
        <v>664.33</v>
      </c>
      <c r="O127" s="251">
        <f>'BBD Monthly Production'!V22*12</f>
        <v>251.55355105823958</v>
      </c>
      <c r="P127" s="271">
        <f t="shared" si="22"/>
        <v>0.37865752119916241</v>
      </c>
      <c r="Y127" s="251">
        <f>SUM('RD Feedstock'!F125,'RD Feedstock'!I125)</f>
        <v>23.121874999999999</v>
      </c>
      <c r="Z127" s="251">
        <f>SUM('RD Feedstock'!G125,'RD Feedstock'!J125)</f>
        <v>7.65625</v>
      </c>
      <c r="AA127" s="251">
        <v>0</v>
      </c>
      <c r="AB127" s="251">
        <f>SUM('RD Feedstock'!B125,'RD Feedstock'!D125,'RD Feedstock'!H125)</f>
        <v>374.51145833333328</v>
      </c>
      <c r="AC127" s="251">
        <f>SUM('RD Feedstock'!C125,'RD Feedstock'!E125)</f>
        <v>12.34375</v>
      </c>
      <c r="AD127" s="251">
        <f t="shared" si="18"/>
        <v>417.63333333333327</v>
      </c>
      <c r="AH127" s="237">
        <f t="shared" si="31"/>
        <v>5.5364055391491744E-2</v>
      </c>
      <c r="AI127" s="237">
        <f t="shared" si="31"/>
        <v>1.8332468672679385E-2</v>
      </c>
      <c r="AJ127" s="237">
        <f t="shared" si="31"/>
        <v>0</v>
      </c>
      <c r="AK127" s="237">
        <f t="shared" si="31"/>
        <v>0.89674704685130502</v>
      </c>
      <c r="AL127" s="237">
        <f t="shared" si="31"/>
        <v>2.9556429084523911E-2</v>
      </c>
      <c r="AM127" s="237">
        <f t="shared" si="25"/>
        <v>1</v>
      </c>
      <c r="AO127" s="237">
        <f t="shared" si="26"/>
        <v>0.75124378109452739</v>
      </c>
      <c r="AP127" s="237">
        <f t="shared" si="27"/>
        <v>0.24875621890547264</v>
      </c>
      <c r="AQ127" s="237">
        <f t="shared" si="28"/>
        <v>0</v>
      </c>
      <c r="AR127" s="237">
        <f t="shared" si="29"/>
        <v>0.96809206717629603</v>
      </c>
      <c r="AS127" s="237">
        <f t="shared" si="29"/>
        <v>3.1907932823703966E-2</v>
      </c>
      <c r="AU127" s="251">
        <f t="shared" si="32"/>
        <v>4937.9399284633619</v>
      </c>
      <c r="AV127" s="251">
        <f t="shared" si="32"/>
        <v>1396.2672032573014</v>
      </c>
      <c r="AW127" s="251">
        <f t="shared" si="32"/>
        <v>0</v>
      </c>
      <c r="AX127" s="251">
        <f t="shared" si="32"/>
        <v>64377.18406583558</v>
      </c>
      <c r="AY127" s="251">
        <f t="shared" si="32"/>
        <v>2107.7946391753958</v>
      </c>
      <c r="AZ127" s="251">
        <f t="shared" si="16"/>
        <v>72819.185836731631</v>
      </c>
      <c r="BA127" s="270">
        <f t="shared" si="30"/>
        <v>7.6582713355016354</v>
      </c>
      <c r="BB127" s="251">
        <f t="shared" si="23"/>
        <v>6334.2071317206628</v>
      </c>
      <c r="BC127" s="251">
        <f t="shared" si="24"/>
        <v>66484.978705010973</v>
      </c>
    </row>
    <row r="128" spans="1:55">
      <c r="A128" s="11">
        <v>47543</v>
      </c>
      <c r="B128" s="251">
        <v>100</v>
      </c>
      <c r="C128" s="251">
        <v>295</v>
      </c>
      <c r="D128" s="251">
        <v>5</v>
      </c>
      <c r="E128" s="251">
        <v>220</v>
      </c>
      <c r="F128" s="251">
        <v>44</v>
      </c>
      <c r="G128" s="287">
        <v>0.33</v>
      </c>
      <c r="H128" s="287"/>
      <c r="I128" s="251"/>
      <c r="J128" s="251"/>
      <c r="K128" s="251"/>
      <c r="L128" s="251"/>
      <c r="M128" s="13"/>
      <c r="N128" s="251">
        <f t="shared" si="21"/>
        <v>664.33</v>
      </c>
      <c r="O128" s="251">
        <f>'BBD Monthly Production'!V23*12</f>
        <v>492.06941228707871</v>
      </c>
      <c r="P128" s="271">
        <f t="shared" si="22"/>
        <v>0.74070027288708729</v>
      </c>
      <c r="Y128" s="251">
        <f>SUM('RD Feedstock'!F126,'RD Feedstock'!I126)</f>
        <v>23.121874999999999</v>
      </c>
      <c r="Z128" s="251">
        <f>SUM('RD Feedstock'!G126,'RD Feedstock'!J126)</f>
        <v>7.65625</v>
      </c>
      <c r="AA128" s="251">
        <v>0</v>
      </c>
      <c r="AB128" s="251">
        <f>SUM('RD Feedstock'!B126,'RD Feedstock'!D126,'RD Feedstock'!H126)</f>
        <v>374.51145833333328</v>
      </c>
      <c r="AC128" s="251">
        <f>SUM('RD Feedstock'!C126,'RD Feedstock'!E126)</f>
        <v>12.34375</v>
      </c>
      <c r="AD128" s="251">
        <f t="shared" si="18"/>
        <v>417.63333333333327</v>
      </c>
      <c r="AH128" s="237">
        <f t="shared" si="31"/>
        <v>5.5364055391491744E-2</v>
      </c>
      <c r="AI128" s="237">
        <f t="shared" si="31"/>
        <v>1.8332468672679385E-2</v>
      </c>
      <c r="AJ128" s="237">
        <f t="shared" si="31"/>
        <v>0</v>
      </c>
      <c r="AK128" s="237">
        <f t="shared" si="31"/>
        <v>0.89674704685130502</v>
      </c>
      <c r="AL128" s="237">
        <f t="shared" si="31"/>
        <v>2.9556429084523911E-2</v>
      </c>
      <c r="AM128" s="237">
        <f t="shared" si="25"/>
        <v>1</v>
      </c>
      <c r="AO128" s="237">
        <f t="shared" si="26"/>
        <v>0.75124378109452739</v>
      </c>
      <c r="AP128" s="237">
        <f t="shared" si="27"/>
        <v>0.24875621890547264</v>
      </c>
      <c r="AQ128" s="237">
        <f t="shared" si="28"/>
        <v>0</v>
      </c>
      <c r="AR128" s="237">
        <f t="shared" si="29"/>
        <v>0.96809206717629603</v>
      </c>
      <c r="AS128" s="237">
        <f t="shared" si="29"/>
        <v>3.1907932823703966E-2</v>
      </c>
      <c r="AU128" s="251">
        <f t="shared" si="32"/>
        <v>9659.2124749823852</v>
      </c>
      <c r="AV128" s="251">
        <f t="shared" si="32"/>
        <v>2731.268865862583</v>
      </c>
      <c r="AW128" s="251">
        <f t="shared" si="32"/>
        <v>0</v>
      </c>
      <c r="AX128" s="251">
        <f t="shared" si="32"/>
        <v>125929.62013340337</v>
      </c>
      <c r="AY128" s="251">
        <f t="shared" si="32"/>
        <v>4123.1032714810071</v>
      </c>
      <c r="AZ128" s="251">
        <f t="shared" si="16"/>
        <v>142443.20474572934</v>
      </c>
      <c r="BA128" s="270">
        <f t="shared" si="30"/>
        <v>7.6582713355016363</v>
      </c>
      <c r="BB128" s="251">
        <f t="shared" si="23"/>
        <v>12390.481340844968</v>
      </c>
      <c r="BC128" s="251">
        <f t="shared" si="24"/>
        <v>130052.72340488438</v>
      </c>
    </row>
    <row r="129" spans="1:55">
      <c r="A129" s="11">
        <v>47574</v>
      </c>
      <c r="B129" s="251">
        <v>100</v>
      </c>
      <c r="C129" s="251">
        <v>295</v>
      </c>
      <c r="D129" s="251">
        <v>5</v>
      </c>
      <c r="E129" s="251">
        <v>220</v>
      </c>
      <c r="F129" s="251">
        <v>44</v>
      </c>
      <c r="G129" s="287">
        <v>0.33</v>
      </c>
      <c r="H129" s="287"/>
      <c r="I129" s="251"/>
      <c r="J129" s="251"/>
      <c r="K129" s="251"/>
      <c r="L129" s="251"/>
      <c r="M129" s="13"/>
      <c r="N129" s="251">
        <f t="shared" si="21"/>
        <v>664.33</v>
      </c>
      <c r="O129" s="251">
        <f>'BBD Monthly Production'!V24*12</f>
        <v>425.86301983807255</v>
      </c>
      <c r="P129" s="271">
        <f t="shared" si="22"/>
        <v>0.64104137979328424</v>
      </c>
      <c r="Y129" s="251">
        <f>SUM('RD Feedstock'!F127,'RD Feedstock'!I127)</f>
        <v>23.121874999999999</v>
      </c>
      <c r="Z129" s="251">
        <f>SUM('RD Feedstock'!G127,'RD Feedstock'!J127)</f>
        <v>7.65625</v>
      </c>
      <c r="AA129" s="251">
        <v>0</v>
      </c>
      <c r="AB129" s="251">
        <f>SUM('RD Feedstock'!B127,'RD Feedstock'!D127,'RD Feedstock'!H127)</f>
        <v>374.51145833333328</v>
      </c>
      <c r="AC129" s="251">
        <f>SUM('RD Feedstock'!C127,'RD Feedstock'!E127)</f>
        <v>12.34375</v>
      </c>
      <c r="AD129" s="251">
        <f t="shared" si="18"/>
        <v>417.63333333333327</v>
      </c>
      <c r="AH129" s="237">
        <f t="shared" si="31"/>
        <v>5.5364055391491744E-2</v>
      </c>
      <c r="AI129" s="237">
        <f t="shared" si="31"/>
        <v>1.8332468672679385E-2</v>
      </c>
      <c r="AJ129" s="237">
        <f t="shared" si="31"/>
        <v>0</v>
      </c>
      <c r="AK129" s="237">
        <f t="shared" si="31"/>
        <v>0.89674704685130502</v>
      </c>
      <c r="AL129" s="237">
        <f t="shared" si="31"/>
        <v>2.9556429084523911E-2</v>
      </c>
      <c r="AM129" s="237">
        <f t="shared" si="25"/>
        <v>1</v>
      </c>
      <c r="AO129" s="237">
        <f t="shared" si="26"/>
        <v>0.75124378109452739</v>
      </c>
      <c r="AP129" s="237">
        <f t="shared" si="27"/>
        <v>0.24875621890547264</v>
      </c>
      <c r="AQ129" s="237">
        <f t="shared" si="28"/>
        <v>0</v>
      </c>
      <c r="AR129" s="237">
        <f t="shared" si="29"/>
        <v>0.96809206717629603</v>
      </c>
      <c r="AS129" s="237">
        <f t="shared" si="29"/>
        <v>3.1907932823703966E-2</v>
      </c>
      <c r="AU129" s="251">
        <f t="shared" si="32"/>
        <v>8359.5958032313538</v>
      </c>
      <c r="AV129" s="251">
        <f t="shared" si="32"/>
        <v>2363.7852265593674</v>
      </c>
      <c r="AW129" s="251">
        <f t="shared" si="32"/>
        <v>0</v>
      </c>
      <c r="AX129" s="251">
        <f t="shared" si="32"/>
        <v>108986.18564363211</v>
      </c>
      <c r="AY129" s="251">
        <f t="shared" si="32"/>
        <v>3568.3526885689453</v>
      </c>
      <c r="AZ129" s="251">
        <f t="shared" ref="AZ129:AZ192" si="33">SUM(AU129:AY129)</f>
        <v>123277.91936199178</v>
      </c>
      <c r="BA129" s="270">
        <f t="shared" si="30"/>
        <v>7.6582713355016372</v>
      </c>
      <c r="BB129" s="251">
        <f t="shared" si="23"/>
        <v>10723.381029790722</v>
      </c>
      <c r="BC129" s="251">
        <f t="shared" si="24"/>
        <v>112554.53833220106</v>
      </c>
    </row>
    <row r="130" spans="1:55">
      <c r="A130" s="11">
        <v>47604</v>
      </c>
      <c r="B130" s="251">
        <v>100</v>
      </c>
      <c r="C130" s="251">
        <v>295</v>
      </c>
      <c r="D130" s="251">
        <v>5</v>
      </c>
      <c r="E130" s="251">
        <v>220</v>
      </c>
      <c r="F130" s="251">
        <v>44</v>
      </c>
      <c r="G130" s="287">
        <v>0.33</v>
      </c>
      <c r="H130" s="287"/>
      <c r="I130" s="251"/>
      <c r="J130" s="251"/>
      <c r="K130" s="251"/>
      <c r="L130" s="251"/>
      <c r="M130" s="13"/>
      <c r="N130" s="251">
        <f t="shared" si="21"/>
        <v>664.33</v>
      </c>
      <c r="O130" s="251">
        <f>'BBD Monthly Production'!V25*12</f>
        <v>458.21905076372525</v>
      </c>
      <c r="P130" s="271">
        <f t="shared" si="22"/>
        <v>0.6897461363535069</v>
      </c>
      <c r="Y130" s="251">
        <f>SUM('RD Feedstock'!F128,'RD Feedstock'!I128)</f>
        <v>23.121874999999999</v>
      </c>
      <c r="Z130" s="251">
        <f>SUM('RD Feedstock'!G128,'RD Feedstock'!J128)</f>
        <v>7.65625</v>
      </c>
      <c r="AA130" s="251">
        <v>0</v>
      </c>
      <c r="AB130" s="251">
        <f>SUM('RD Feedstock'!B128,'RD Feedstock'!D128,'RD Feedstock'!H128)</f>
        <v>374.51145833333328</v>
      </c>
      <c r="AC130" s="251">
        <f>SUM('RD Feedstock'!C128,'RD Feedstock'!E128)</f>
        <v>12.34375</v>
      </c>
      <c r="AD130" s="251">
        <f t="shared" si="18"/>
        <v>417.63333333333327</v>
      </c>
      <c r="AH130" s="237">
        <f t="shared" si="31"/>
        <v>5.5364055391491744E-2</v>
      </c>
      <c r="AI130" s="237">
        <f t="shared" si="31"/>
        <v>1.8332468672679385E-2</v>
      </c>
      <c r="AJ130" s="237">
        <f t="shared" si="31"/>
        <v>0</v>
      </c>
      <c r="AK130" s="237">
        <f t="shared" si="31"/>
        <v>0.89674704685130502</v>
      </c>
      <c r="AL130" s="237">
        <f t="shared" si="31"/>
        <v>2.9556429084523911E-2</v>
      </c>
      <c r="AM130" s="237">
        <f t="shared" si="25"/>
        <v>1</v>
      </c>
      <c r="AO130" s="237">
        <f t="shared" si="26"/>
        <v>0.75124378109452739</v>
      </c>
      <c r="AP130" s="237">
        <f t="shared" si="27"/>
        <v>0.24875621890547264</v>
      </c>
      <c r="AQ130" s="237">
        <f t="shared" si="28"/>
        <v>0</v>
      </c>
      <c r="AR130" s="237">
        <f t="shared" si="29"/>
        <v>0.96809206717629603</v>
      </c>
      <c r="AS130" s="237">
        <f t="shared" si="29"/>
        <v>3.1907932823703966E-2</v>
      </c>
      <c r="AU130" s="251">
        <f t="shared" si="32"/>
        <v>8994.7374514499679</v>
      </c>
      <c r="AV130" s="251">
        <f t="shared" si="32"/>
        <v>2543.3798481380081</v>
      </c>
      <c r="AW130" s="251">
        <f t="shared" si="32"/>
        <v>0</v>
      </c>
      <c r="AX130" s="251">
        <f t="shared" si="32"/>
        <v>117266.68953545895</v>
      </c>
      <c r="AY130" s="251">
        <f t="shared" si="32"/>
        <v>3839.4674004987892</v>
      </c>
      <c r="AZ130" s="251">
        <f t="shared" si="33"/>
        <v>132644.27423554572</v>
      </c>
      <c r="BA130" s="270">
        <f t="shared" si="30"/>
        <v>7.6582713355016363</v>
      </c>
      <c r="BB130" s="251">
        <f t="shared" si="23"/>
        <v>11538.117299587975</v>
      </c>
      <c r="BC130" s="251">
        <f t="shared" si="24"/>
        <v>121106.15693595774</v>
      </c>
    </row>
    <row r="131" spans="1:55">
      <c r="A131" s="11">
        <v>47635</v>
      </c>
      <c r="B131" s="251">
        <v>100</v>
      </c>
      <c r="C131" s="251">
        <v>295</v>
      </c>
      <c r="D131" s="251">
        <v>5</v>
      </c>
      <c r="E131" s="251">
        <v>220</v>
      </c>
      <c r="F131" s="251">
        <v>44</v>
      </c>
      <c r="G131" s="287">
        <v>0.33</v>
      </c>
      <c r="H131" s="287"/>
      <c r="I131" s="251"/>
      <c r="J131" s="251"/>
      <c r="K131" s="251"/>
      <c r="L131" s="251"/>
      <c r="M131" s="13"/>
      <c r="N131" s="251">
        <f t="shared" si="21"/>
        <v>664.33</v>
      </c>
      <c r="O131" s="251">
        <f>'BBD Monthly Production'!V26*12</f>
        <v>572.26392878139666</v>
      </c>
      <c r="P131" s="271">
        <f t="shared" si="22"/>
        <v>0.86141515328435658</v>
      </c>
      <c r="Y131" s="251">
        <f>SUM('RD Feedstock'!F129,'RD Feedstock'!I129)</f>
        <v>23.121874999999999</v>
      </c>
      <c r="Z131" s="251">
        <f>SUM('RD Feedstock'!G129,'RD Feedstock'!J129)</f>
        <v>7.65625</v>
      </c>
      <c r="AA131" s="251">
        <v>0</v>
      </c>
      <c r="AB131" s="251">
        <f>SUM('RD Feedstock'!B129,'RD Feedstock'!D129,'RD Feedstock'!H129)</f>
        <v>374.51145833333328</v>
      </c>
      <c r="AC131" s="251">
        <f>SUM('RD Feedstock'!C129,'RD Feedstock'!E129)</f>
        <v>12.34375</v>
      </c>
      <c r="AD131" s="251">
        <f t="shared" si="18"/>
        <v>417.63333333333327</v>
      </c>
      <c r="AH131" s="237">
        <f t="shared" si="31"/>
        <v>5.5364055391491744E-2</v>
      </c>
      <c r="AI131" s="237">
        <f t="shared" si="31"/>
        <v>1.8332468672679385E-2</v>
      </c>
      <c r="AJ131" s="237">
        <f t="shared" si="31"/>
        <v>0</v>
      </c>
      <c r="AK131" s="237">
        <f t="shared" si="31"/>
        <v>0.89674704685130502</v>
      </c>
      <c r="AL131" s="237">
        <f t="shared" si="31"/>
        <v>2.9556429084523911E-2</v>
      </c>
      <c r="AM131" s="237">
        <f t="shared" si="25"/>
        <v>1</v>
      </c>
      <c r="AO131" s="237">
        <f t="shared" si="26"/>
        <v>0.75124378109452739</v>
      </c>
      <c r="AP131" s="237">
        <f t="shared" si="27"/>
        <v>0.24875621890547264</v>
      </c>
      <c r="AQ131" s="237">
        <f t="shared" si="28"/>
        <v>0</v>
      </c>
      <c r="AR131" s="237">
        <f t="shared" si="29"/>
        <v>0.96809206717629603</v>
      </c>
      <c r="AS131" s="237">
        <f t="shared" si="29"/>
        <v>3.1907932823703966E-2</v>
      </c>
      <c r="AU131" s="251">
        <f t="shared" si="32"/>
        <v>11233.412892250301</v>
      </c>
      <c r="AV131" s="251">
        <f t="shared" si="32"/>
        <v>3176.394656339573</v>
      </c>
      <c r="AW131" s="251">
        <f t="shared" si="32"/>
        <v>0</v>
      </c>
      <c r="AX131" s="251">
        <f t="shared" si="32"/>
        <v>146452.87304598151</v>
      </c>
      <c r="AY131" s="251">
        <f t="shared" si="32"/>
        <v>4795.0618713373515</v>
      </c>
      <c r="AZ131" s="251">
        <f t="shared" si="33"/>
        <v>165657.74246590876</v>
      </c>
      <c r="BA131" s="270">
        <f t="shared" si="30"/>
        <v>7.6582713355016381</v>
      </c>
      <c r="BB131" s="251">
        <f t="shared" si="23"/>
        <v>14409.807548589873</v>
      </c>
      <c r="BC131" s="251">
        <f t="shared" si="24"/>
        <v>151247.93491731887</v>
      </c>
    </row>
    <row r="132" spans="1:55">
      <c r="A132" s="11">
        <v>47665</v>
      </c>
      <c r="B132" s="251">
        <v>100</v>
      </c>
      <c r="C132" s="251">
        <v>295</v>
      </c>
      <c r="D132" s="251">
        <v>5</v>
      </c>
      <c r="E132" s="251">
        <v>220</v>
      </c>
      <c r="F132" s="251">
        <v>44</v>
      </c>
      <c r="G132" s="287">
        <v>0.33</v>
      </c>
      <c r="H132" s="287"/>
      <c r="I132" s="251"/>
      <c r="J132" s="251"/>
      <c r="K132" s="251"/>
      <c r="L132" s="251"/>
      <c r="M132" s="13"/>
      <c r="N132" s="251">
        <f t="shared" si="21"/>
        <v>664.33</v>
      </c>
      <c r="O132" s="251">
        <f>'BBD Monthly Production'!V27*12</f>
        <v>502.76002951589021</v>
      </c>
      <c r="P132" s="271">
        <f t="shared" si="22"/>
        <v>0.75679260234505463</v>
      </c>
      <c r="Y132" s="251">
        <f>SUM('RD Feedstock'!F130,'RD Feedstock'!I130)</f>
        <v>23.121874999999999</v>
      </c>
      <c r="Z132" s="251">
        <f>SUM('RD Feedstock'!G130,'RD Feedstock'!J130)</f>
        <v>7.65625</v>
      </c>
      <c r="AA132" s="251">
        <v>0</v>
      </c>
      <c r="AB132" s="251">
        <f>SUM('RD Feedstock'!B130,'RD Feedstock'!D130,'RD Feedstock'!H130)</f>
        <v>374.51145833333328</v>
      </c>
      <c r="AC132" s="251">
        <f>SUM('RD Feedstock'!C130,'RD Feedstock'!E130)</f>
        <v>12.34375</v>
      </c>
      <c r="AD132" s="251">
        <f t="shared" si="18"/>
        <v>417.63333333333327</v>
      </c>
      <c r="AH132" s="237">
        <f t="shared" si="31"/>
        <v>5.5364055391491744E-2</v>
      </c>
      <c r="AI132" s="237">
        <f t="shared" si="31"/>
        <v>1.8332468672679385E-2</v>
      </c>
      <c r="AJ132" s="237">
        <f t="shared" si="31"/>
        <v>0</v>
      </c>
      <c r="AK132" s="237">
        <f t="shared" si="31"/>
        <v>0.89674704685130502</v>
      </c>
      <c r="AL132" s="237">
        <f t="shared" si="31"/>
        <v>2.9556429084523911E-2</v>
      </c>
      <c r="AM132" s="237">
        <f t="shared" si="25"/>
        <v>1</v>
      </c>
      <c r="AO132" s="237">
        <f t="shared" si="26"/>
        <v>0.75124378109452739</v>
      </c>
      <c r="AP132" s="237">
        <f t="shared" si="27"/>
        <v>0.24875621890547264</v>
      </c>
      <c r="AQ132" s="237">
        <f t="shared" si="28"/>
        <v>0</v>
      </c>
      <c r="AR132" s="237">
        <f t="shared" si="29"/>
        <v>0.96809206717629603</v>
      </c>
      <c r="AS132" s="237">
        <f t="shared" si="29"/>
        <v>3.1907932823703966E-2</v>
      </c>
      <c r="AU132" s="251">
        <f t="shared" si="32"/>
        <v>9869.0668994259704</v>
      </c>
      <c r="AV132" s="251">
        <f t="shared" si="32"/>
        <v>2790.6079535294912</v>
      </c>
      <c r="AW132" s="251">
        <f t="shared" si="32"/>
        <v>0</v>
      </c>
      <c r="AX132" s="251">
        <f t="shared" si="32"/>
        <v>128665.54586460983</v>
      </c>
      <c r="AY132" s="251">
        <f t="shared" si="32"/>
        <v>4212.6811191781289</v>
      </c>
      <c r="AZ132" s="251">
        <f t="shared" si="33"/>
        <v>145537.9018367434</v>
      </c>
      <c r="BA132" s="270">
        <f t="shared" si="30"/>
        <v>7.6582713355016372</v>
      </c>
      <c r="BB132" s="251">
        <f t="shared" si="23"/>
        <v>12659.674852955461</v>
      </c>
      <c r="BC132" s="251">
        <f t="shared" si="24"/>
        <v>132878.22698378796</v>
      </c>
    </row>
    <row r="133" spans="1:55">
      <c r="A133" s="11">
        <v>47696</v>
      </c>
      <c r="B133" s="251">
        <v>100</v>
      </c>
      <c r="C133" s="251">
        <v>295</v>
      </c>
      <c r="D133" s="251">
        <v>5</v>
      </c>
      <c r="E133" s="251">
        <v>220</v>
      </c>
      <c r="F133" s="251">
        <v>44</v>
      </c>
      <c r="G133" s="287">
        <v>0.33</v>
      </c>
      <c r="H133" s="287"/>
      <c r="I133" s="251"/>
      <c r="J133" s="251"/>
      <c r="K133" s="251"/>
      <c r="L133" s="251"/>
      <c r="M133" s="13"/>
      <c r="N133" s="251">
        <f t="shared" si="21"/>
        <v>664.33</v>
      </c>
      <c r="O133" s="251">
        <f>'BBD Monthly Production'!V28*12</f>
        <v>441.79168268987223</v>
      </c>
      <c r="P133" s="271">
        <f t="shared" si="22"/>
        <v>0.66501841357438651</v>
      </c>
      <c r="Y133" s="251">
        <f>SUM('RD Feedstock'!F131,'RD Feedstock'!I131)</f>
        <v>23.121874999999999</v>
      </c>
      <c r="Z133" s="251">
        <f>SUM('RD Feedstock'!G131,'RD Feedstock'!J131)</f>
        <v>7.65625</v>
      </c>
      <c r="AA133" s="251">
        <v>0</v>
      </c>
      <c r="AB133" s="251">
        <f>SUM('RD Feedstock'!B131,'RD Feedstock'!D131,'RD Feedstock'!H131)</f>
        <v>374.51145833333328</v>
      </c>
      <c r="AC133" s="251">
        <f>SUM('RD Feedstock'!C131,'RD Feedstock'!E131)</f>
        <v>12.34375</v>
      </c>
      <c r="AD133" s="251">
        <f t="shared" si="18"/>
        <v>417.63333333333327</v>
      </c>
      <c r="AH133" s="237">
        <f t="shared" si="31"/>
        <v>5.5364055391491744E-2</v>
      </c>
      <c r="AI133" s="237">
        <f t="shared" si="31"/>
        <v>1.8332468672679385E-2</v>
      </c>
      <c r="AJ133" s="237">
        <f t="shared" si="31"/>
        <v>0</v>
      </c>
      <c r="AK133" s="237">
        <f t="shared" si="31"/>
        <v>0.89674704685130502</v>
      </c>
      <c r="AL133" s="237">
        <f t="shared" si="31"/>
        <v>2.9556429084523911E-2</v>
      </c>
      <c r="AM133" s="237">
        <f t="shared" si="25"/>
        <v>1</v>
      </c>
      <c r="AO133" s="237">
        <f t="shared" si="26"/>
        <v>0.75124378109452739</v>
      </c>
      <c r="AP133" s="237">
        <f t="shared" si="27"/>
        <v>0.24875621890547264</v>
      </c>
      <c r="AQ133" s="237">
        <f t="shared" si="28"/>
        <v>0</v>
      </c>
      <c r="AR133" s="237">
        <f t="shared" si="29"/>
        <v>0.96809206717629603</v>
      </c>
      <c r="AS133" s="237">
        <f t="shared" si="29"/>
        <v>3.1907932823703966E-2</v>
      </c>
      <c r="AU133" s="251">
        <f t="shared" si="32"/>
        <v>8672.2718913726112</v>
      </c>
      <c r="AV133" s="251">
        <f t="shared" si="32"/>
        <v>2452.1984866312223</v>
      </c>
      <c r="AW133" s="251">
        <f t="shared" si="32"/>
        <v>0</v>
      </c>
      <c r="AX133" s="251">
        <f t="shared" si="32"/>
        <v>113062.62366654648</v>
      </c>
      <c r="AY133" s="251">
        <f t="shared" si="32"/>
        <v>3701.8206918112546</v>
      </c>
      <c r="AZ133" s="251">
        <f t="shared" si="33"/>
        <v>127888.91473636158</v>
      </c>
      <c r="BA133" s="270">
        <f t="shared" si="30"/>
        <v>7.6582713355016372</v>
      </c>
      <c r="BB133" s="251">
        <f t="shared" si="23"/>
        <v>11124.470378003833</v>
      </c>
      <c r="BC133" s="251">
        <f t="shared" si="24"/>
        <v>116764.44435835774</v>
      </c>
    </row>
    <row r="134" spans="1:55">
      <c r="A134" s="11">
        <v>47727</v>
      </c>
      <c r="B134" s="251">
        <v>100</v>
      </c>
      <c r="C134" s="251">
        <v>295</v>
      </c>
      <c r="D134" s="251">
        <v>5</v>
      </c>
      <c r="E134" s="251">
        <v>220</v>
      </c>
      <c r="F134" s="251">
        <v>44</v>
      </c>
      <c r="G134" s="287">
        <v>0.33</v>
      </c>
      <c r="H134" s="287"/>
      <c r="I134" s="251"/>
      <c r="J134" s="251"/>
      <c r="K134" s="251"/>
      <c r="L134" s="251"/>
      <c r="M134" s="13"/>
      <c r="N134" s="251">
        <f t="shared" si="21"/>
        <v>664.33</v>
      </c>
      <c r="O134" s="251">
        <f>'BBD Monthly Production'!V29*12</f>
        <v>483.20348968577997</v>
      </c>
      <c r="P134" s="271">
        <f t="shared" si="22"/>
        <v>0.72735461244529065</v>
      </c>
      <c r="Y134" s="251">
        <f>SUM('RD Feedstock'!F132,'RD Feedstock'!I132)</f>
        <v>23.121874999999999</v>
      </c>
      <c r="Z134" s="251">
        <f>SUM('RD Feedstock'!G132,'RD Feedstock'!J132)</f>
        <v>7.65625</v>
      </c>
      <c r="AA134" s="251">
        <v>0</v>
      </c>
      <c r="AB134" s="251">
        <f>SUM('RD Feedstock'!B132,'RD Feedstock'!D132,'RD Feedstock'!H132)</f>
        <v>374.51145833333328</v>
      </c>
      <c r="AC134" s="251">
        <f>SUM('RD Feedstock'!C132,'RD Feedstock'!E132)</f>
        <v>12.34375</v>
      </c>
      <c r="AD134" s="251">
        <f t="shared" si="18"/>
        <v>417.63333333333327</v>
      </c>
      <c r="AH134" s="237">
        <f t="shared" si="31"/>
        <v>5.5364055391491744E-2</v>
      </c>
      <c r="AI134" s="237">
        <f t="shared" si="31"/>
        <v>1.8332468672679385E-2</v>
      </c>
      <c r="AJ134" s="237">
        <f t="shared" si="31"/>
        <v>0</v>
      </c>
      <c r="AK134" s="237">
        <f t="shared" si="31"/>
        <v>0.89674704685130502</v>
      </c>
      <c r="AL134" s="237">
        <f t="shared" si="31"/>
        <v>2.9556429084523911E-2</v>
      </c>
      <c r="AM134" s="237">
        <f t="shared" si="25"/>
        <v>1</v>
      </c>
      <c r="AO134" s="237">
        <f t="shared" si="26"/>
        <v>0.75124378109452739</v>
      </c>
      <c r="AP134" s="237">
        <f t="shared" si="27"/>
        <v>0.24875621890547264</v>
      </c>
      <c r="AQ134" s="237">
        <f t="shared" si="28"/>
        <v>0</v>
      </c>
      <c r="AR134" s="237">
        <f t="shared" si="29"/>
        <v>0.96809206717629603</v>
      </c>
      <c r="AS134" s="237">
        <f t="shared" si="29"/>
        <v>3.1907932823703966E-2</v>
      </c>
      <c r="AU134" s="251">
        <f t="shared" si="32"/>
        <v>9485.1763978471299</v>
      </c>
      <c r="AV134" s="251">
        <f t="shared" si="32"/>
        <v>2682.0578851281271</v>
      </c>
      <c r="AW134" s="251">
        <f t="shared" si="32"/>
        <v>0</v>
      </c>
      <c r="AX134" s="251">
        <f t="shared" si="32"/>
        <v>123660.66734455916</v>
      </c>
      <c r="AY134" s="251">
        <f t="shared" si="32"/>
        <v>4048.8147390721174</v>
      </c>
      <c r="AZ134" s="251">
        <f t="shared" si="33"/>
        <v>139876.71636660653</v>
      </c>
      <c r="BA134" s="270">
        <f t="shared" si="30"/>
        <v>7.6582713355016363</v>
      </c>
      <c r="BB134" s="251">
        <f t="shared" si="23"/>
        <v>12167.234282975256</v>
      </c>
      <c r="BC134" s="251">
        <f t="shared" si="24"/>
        <v>127709.48208363127</v>
      </c>
    </row>
    <row r="135" spans="1:55">
      <c r="A135" s="11">
        <v>47757</v>
      </c>
      <c r="B135" s="251">
        <v>100</v>
      </c>
      <c r="C135" s="251">
        <v>295</v>
      </c>
      <c r="D135" s="251">
        <v>5</v>
      </c>
      <c r="E135" s="251">
        <v>220</v>
      </c>
      <c r="F135" s="251">
        <v>44</v>
      </c>
      <c r="G135" s="287">
        <v>0.33</v>
      </c>
      <c r="H135" s="287"/>
      <c r="I135" s="251"/>
      <c r="J135" s="251"/>
      <c r="K135" s="251"/>
      <c r="L135" s="251"/>
      <c r="M135" s="13"/>
      <c r="N135" s="251">
        <f t="shared" si="21"/>
        <v>664.33</v>
      </c>
      <c r="O135" s="251">
        <f>'BBD Monthly Production'!V30*12</f>
        <v>384.51030979887503</v>
      </c>
      <c r="P135" s="271">
        <f t="shared" si="22"/>
        <v>0.57879413815253711</v>
      </c>
      <c r="Y135" s="251">
        <f>SUM('RD Feedstock'!F133,'RD Feedstock'!I133)</f>
        <v>23.121874999999999</v>
      </c>
      <c r="Z135" s="251">
        <f>SUM('RD Feedstock'!G133,'RD Feedstock'!J133)</f>
        <v>7.65625</v>
      </c>
      <c r="AA135" s="251">
        <v>0</v>
      </c>
      <c r="AB135" s="251">
        <f>SUM('RD Feedstock'!B133,'RD Feedstock'!D133,'RD Feedstock'!H133)</f>
        <v>374.51145833333328</v>
      </c>
      <c r="AC135" s="251">
        <f>SUM('RD Feedstock'!C133,'RD Feedstock'!E133)</f>
        <v>12.34375</v>
      </c>
      <c r="AD135" s="251">
        <f t="shared" ref="AD135:AD198" si="34">SUM(Y135:AC135)</f>
        <v>417.63333333333327</v>
      </c>
      <c r="AH135" s="237">
        <f t="shared" si="31"/>
        <v>5.5364055391491744E-2</v>
      </c>
      <c r="AI135" s="237">
        <f t="shared" si="31"/>
        <v>1.8332468672679385E-2</v>
      </c>
      <c r="AJ135" s="237">
        <f t="shared" si="31"/>
        <v>0</v>
      </c>
      <c r="AK135" s="237">
        <f t="shared" si="31"/>
        <v>0.89674704685130502</v>
      </c>
      <c r="AL135" s="237">
        <f t="shared" si="31"/>
        <v>2.9556429084523911E-2</v>
      </c>
      <c r="AM135" s="237">
        <f t="shared" si="25"/>
        <v>1</v>
      </c>
      <c r="AO135" s="237">
        <f t="shared" si="26"/>
        <v>0.75124378109452739</v>
      </c>
      <c r="AP135" s="237">
        <f t="shared" si="27"/>
        <v>0.24875621890547264</v>
      </c>
      <c r="AQ135" s="237">
        <f t="shared" si="28"/>
        <v>0</v>
      </c>
      <c r="AR135" s="237">
        <f t="shared" si="29"/>
        <v>0.96809206717629603</v>
      </c>
      <c r="AS135" s="237">
        <f t="shared" si="29"/>
        <v>3.1907932823703966E-2</v>
      </c>
      <c r="AU135" s="251">
        <f t="shared" si="32"/>
        <v>7547.8513567955897</v>
      </c>
      <c r="AV135" s="251">
        <f t="shared" si="32"/>
        <v>2134.2538502355533</v>
      </c>
      <c r="AW135" s="251">
        <f t="shared" si="32"/>
        <v>0</v>
      </c>
      <c r="AX135" s="251">
        <f t="shared" si="32"/>
        <v>98403.265964640159</v>
      </c>
      <c r="AY135" s="251">
        <f t="shared" si="32"/>
        <v>3221.8538211535724</v>
      </c>
      <c r="AZ135" s="251">
        <f t="shared" si="33"/>
        <v>111307.22499282488</v>
      </c>
      <c r="BA135" s="270">
        <f t="shared" si="30"/>
        <v>7.6582713355016372</v>
      </c>
      <c r="BB135" s="251">
        <f t="shared" si="23"/>
        <v>9682.1052070311434</v>
      </c>
      <c r="BC135" s="251">
        <f t="shared" si="24"/>
        <v>101625.11978579374</v>
      </c>
    </row>
    <row r="136" spans="1:55">
      <c r="A136" s="11">
        <v>47788</v>
      </c>
      <c r="B136" s="251">
        <v>100</v>
      </c>
      <c r="C136" s="251">
        <v>295</v>
      </c>
      <c r="D136" s="251">
        <v>5</v>
      </c>
      <c r="E136" s="251">
        <v>220</v>
      </c>
      <c r="F136" s="251">
        <v>44</v>
      </c>
      <c r="G136" s="287">
        <v>0.33</v>
      </c>
      <c r="H136" s="287"/>
      <c r="I136" s="251"/>
      <c r="J136" s="251"/>
      <c r="K136" s="251"/>
      <c r="L136" s="251"/>
      <c r="M136" s="13"/>
      <c r="N136" s="251">
        <f t="shared" si="21"/>
        <v>664.33</v>
      </c>
      <c r="O136" s="251">
        <f>'BBD Monthly Production'!V31*12</f>
        <v>495.47302053137287</v>
      </c>
      <c r="P136" s="271">
        <f t="shared" si="22"/>
        <v>0.74582364266459866</v>
      </c>
      <c r="Y136" s="251">
        <f>SUM('RD Feedstock'!F134,'RD Feedstock'!I134)</f>
        <v>23.121874999999999</v>
      </c>
      <c r="Z136" s="251">
        <f>SUM('RD Feedstock'!G134,'RD Feedstock'!J134)</f>
        <v>7.65625</v>
      </c>
      <c r="AA136" s="251">
        <v>0</v>
      </c>
      <c r="AB136" s="251">
        <f>SUM('RD Feedstock'!B134,'RD Feedstock'!D134,'RD Feedstock'!H134)</f>
        <v>374.51145833333328</v>
      </c>
      <c r="AC136" s="251">
        <f>SUM('RD Feedstock'!C134,'RD Feedstock'!E134)</f>
        <v>12.34375</v>
      </c>
      <c r="AD136" s="251">
        <f t="shared" si="34"/>
        <v>417.63333333333327</v>
      </c>
      <c r="AH136" s="237">
        <f t="shared" si="31"/>
        <v>5.5364055391491744E-2</v>
      </c>
      <c r="AI136" s="237">
        <f t="shared" si="31"/>
        <v>1.8332468672679385E-2</v>
      </c>
      <c r="AJ136" s="237">
        <f t="shared" si="31"/>
        <v>0</v>
      </c>
      <c r="AK136" s="237">
        <f t="shared" si="31"/>
        <v>0.89674704685130502</v>
      </c>
      <c r="AL136" s="237">
        <f t="shared" si="31"/>
        <v>2.9556429084523911E-2</v>
      </c>
      <c r="AM136" s="237">
        <f t="shared" si="25"/>
        <v>1</v>
      </c>
      <c r="AO136" s="237">
        <f t="shared" si="26"/>
        <v>0.75124378109452739</v>
      </c>
      <c r="AP136" s="237">
        <f t="shared" si="27"/>
        <v>0.24875621890547264</v>
      </c>
      <c r="AQ136" s="237">
        <f t="shared" si="28"/>
        <v>0</v>
      </c>
      <c r="AR136" s="237">
        <f t="shared" si="29"/>
        <v>0.96809206717629603</v>
      </c>
      <c r="AS136" s="237">
        <f t="shared" si="29"/>
        <v>3.1907932823703966E-2</v>
      </c>
      <c r="AU136" s="251">
        <f t="shared" si="32"/>
        <v>9726.0245433457367</v>
      </c>
      <c r="AV136" s="251">
        <f t="shared" si="32"/>
        <v>2750.1608534503225</v>
      </c>
      <c r="AW136" s="251">
        <f t="shared" si="32"/>
        <v>0</v>
      </c>
      <c r="AX136" s="251">
        <f t="shared" si="32"/>
        <v>126800.66613338684</v>
      </c>
      <c r="AY136" s="251">
        <f t="shared" si="32"/>
        <v>4151.6224761632557</v>
      </c>
      <c r="AZ136" s="251">
        <f t="shared" si="33"/>
        <v>143428.47400634616</v>
      </c>
      <c r="BA136" s="270">
        <f t="shared" si="30"/>
        <v>7.6582713355016363</v>
      </c>
      <c r="BB136" s="251">
        <f t="shared" si="23"/>
        <v>12476.18539679606</v>
      </c>
      <c r="BC136" s="251">
        <f t="shared" si="24"/>
        <v>130952.2886095501</v>
      </c>
    </row>
    <row r="137" spans="1:55">
      <c r="A137" s="11">
        <v>47818</v>
      </c>
      <c r="B137" s="251">
        <v>100</v>
      </c>
      <c r="C137" s="251">
        <v>295</v>
      </c>
      <c r="D137" s="251">
        <v>5</v>
      </c>
      <c r="E137" s="251">
        <v>220</v>
      </c>
      <c r="F137" s="251">
        <v>44</v>
      </c>
      <c r="G137" s="287">
        <v>0.33</v>
      </c>
      <c r="H137" s="287"/>
      <c r="I137" s="251"/>
      <c r="J137" s="251"/>
      <c r="K137" s="251"/>
      <c r="L137" s="251"/>
      <c r="M137" s="13"/>
      <c r="N137" s="251">
        <f t="shared" si="21"/>
        <v>664.33</v>
      </c>
      <c r="O137" s="251">
        <f>'BBD Monthly Production'!V32*12</f>
        <v>681.71688843088486</v>
      </c>
      <c r="P137" s="271">
        <f t="shared" si="22"/>
        <v>1.0261720657367346</v>
      </c>
      <c r="Y137" s="251">
        <f>SUM('RD Feedstock'!F135,'RD Feedstock'!I135)</f>
        <v>23.121874999999999</v>
      </c>
      <c r="Z137" s="251">
        <f>SUM('RD Feedstock'!G135,'RD Feedstock'!J135)</f>
        <v>7.65625</v>
      </c>
      <c r="AA137" s="251">
        <v>0</v>
      </c>
      <c r="AB137" s="251">
        <f>SUM('RD Feedstock'!B135,'RD Feedstock'!D135,'RD Feedstock'!H135)</f>
        <v>374.51145833333328</v>
      </c>
      <c r="AC137" s="251">
        <f>SUM('RD Feedstock'!C135,'RD Feedstock'!E135)</f>
        <v>12.34375</v>
      </c>
      <c r="AD137" s="251">
        <f t="shared" si="34"/>
        <v>417.63333333333327</v>
      </c>
      <c r="AH137" s="237">
        <f t="shared" si="31"/>
        <v>5.5364055391491744E-2</v>
      </c>
      <c r="AI137" s="237">
        <f t="shared" si="31"/>
        <v>1.8332468672679385E-2</v>
      </c>
      <c r="AJ137" s="237">
        <f t="shared" si="31"/>
        <v>0</v>
      </c>
      <c r="AK137" s="237">
        <f t="shared" si="31"/>
        <v>0.89674704685130502</v>
      </c>
      <c r="AL137" s="237">
        <f t="shared" si="31"/>
        <v>2.9556429084523911E-2</v>
      </c>
      <c r="AM137" s="237">
        <f t="shared" si="25"/>
        <v>1</v>
      </c>
      <c r="AO137" s="237">
        <f t="shared" si="26"/>
        <v>0.75124378109452739</v>
      </c>
      <c r="AP137" s="237">
        <f t="shared" si="27"/>
        <v>0.24875621890547264</v>
      </c>
      <c r="AQ137" s="237">
        <f t="shared" si="28"/>
        <v>0</v>
      </c>
      <c r="AR137" s="237">
        <f t="shared" si="29"/>
        <v>0.96809206717629603</v>
      </c>
      <c r="AS137" s="237">
        <f t="shared" si="29"/>
        <v>3.1907932823703966E-2</v>
      </c>
      <c r="AU137" s="251">
        <f t="shared" si="32"/>
        <v>13381.950002809981</v>
      </c>
      <c r="AV137" s="251">
        <f t="shared" si="32"/>
        <v>3783.9216708266122</v>
      </c>
      <c r="AW137" s="251">
        <f t="shared" si="32"/>
        <v>0</v>
      </c>
      <c r="AX137" s="251">
        <f t="shared" si="32"/>
        <v>174463.900122575</v>
      </c>
      <c r="AY137" s="251">
        <f t="shared" si="32"/>
        <v>5712.1801573664743</v>
      </c>
      <c r="AZ137" s="251">
        <f t="shared" si="33"/>
        <v>197341.95195357807</v>
      </c>
      <c r="BA137" s="270">
        <f t="shared" si="30"/>
        <v>7.6582713355016381</v>
      </c>
      <c r="BB137" s="251">
        <f t="shared" si="23"/>
        <v>17165.871673636593</v>
      </c>
      <c r="BC137" s="251">
        <f t="shared" si="24"/>
        <v>180176.08027994147</v>
      </c>
    </row>
    <row r="138" spans="1:55">
      <c r="A138" s="11">
        <v>47849</v>
      </c>
      <c r="B138" s="251">
        <v>100</v>
      </c>
      <c r="C138" s="251">
        <v>295</v>
      </c>
      <c r="D138" s="251">
        <v>5</v>
      </c>
      <c r="E138" s="251">
        <v>220</v>
      </c>
      <c r="F138" s="251">
        <v>44</v>
      </c>
      <c r="G138" s="287">
        <v>0.33</v>
      </c>
      <c r="H138" s="287"/>
      <c r="I138" s="251"/>
      <c r="J138" s="251"/>
      <c r="K138" s="251"/>
      <c r="L138" s="251"/>
      <c r="M138" s="13"/>
      <c r="N138" s="251">
        <f t="shared" si="21"/>
        <v>664.33</v>
      </c>
      <c r="O138" s="251">
        <f>'BBD Monthly Production'!W21*12</f>
        <v>217.55402018952122</v>
      </c>
      <c r="P138" s="271">
        <f t="shared" si="22"/>
        <v>0.32747884363120922</v>
      </c>
      <c r="Y138" s="251">
        <f>SUM('RD Feedstock'!F136,'RD Feedstock'!I136)</f>
        <v>23.121874999999999</v>
      </c>
      <c r="Z138" s="251">
        <f>SUM('RD Feedstock'!G136,'RD Feedstock'!J136)</f>
        <v>7.65625</v>
      </c>
      <c r="AA138" s="251">
        <v>0</v>
      </c>
      <c r="AB138" s="251">
        <f>SUM('RD Feedstock'!B136,'RD Feedstock'!D136,'RD Feedstock'!H136)</f>
        <v>374.51145833333328</v>
      </c>
      <c r="AC138" s="251">
        <f>SUM('RD Feedstock'!C136,'RD Feedstock'!E136)</f>
        <v>12.34375</v>
      </c>
      <c r="AD138" s="251">
        <f t="shared" si="34"/>
        <v>417.63333333333327</v>
      </c>
      <c r="AH138" s="237">
        <f t="shared" si="31"/>
        <v>5.5364055391491744E-2</v>
      </c>
      <c r="AI138" s="237">
        <f t="shared" si="31"/>
        <v>1.8332468672679385E-2</v>
      </c>
      <c r="AJ138" s="237">
        <f t="shared" si="31"/>
        <v>0</v>
      </c>
      <c r="AK138" s="237">
        <f t="shared" si="31"/>
        <v>0.89674704685130502</v>
      </c>
      <c r="AL138" s="237">
        <f t="shared" si="31"/>
        <v>2.9556429084523911E-2</v>
      </c>
      <c r="AM138" s="237">
        <f t="shared" si="25"/>
        <v>1</v>
      </c>
      <c r="AO138" s="237">
        <f t="shared" si="26"/>
        <v>0.75124378109452739</v>
      </c>
      <c r="AP138" s="237">
        <f t="shared" si="27"/>
        <v>0.24875621890547264</v>
      </c>
      <c r="AQ138" s="237">
        <f t="shared" si="28"/>
        <v>0</v>
      </c>
      <c r="AR138" s="237">
        <f t="shared" si="29"/>
        <v>0.96809206717629603</v>
      </c>
      <c r="AS138" s="237">
        <f t="shared" si="29"/>
        <v>3.1907932823703966E-2</v>
      </c>
      <c r="AU138" s="251">
        <f t="shared" si="32"/>
        <v>4270.5367440543387</v>
      </c>
      <c r="AV138" s="251">
        <f t="shared" si="32"/>
        <v>1207.5502096850862</v>
      </c>
      <c r="AW138" s="251">
        <f t="shared" si="32"/>
        <v>0</v>
      </c>
      <c r="AX138" s="251">
        <f t="shared" si="32"/>
        <v>55676.078286649856</v>
      </c>
      <c r="AY138" s="251">
        <f t="shared" si="32"/>
        <v>1822.908861979703</v>
      </c>
      <c r="AZ138" s="251">
        <f t="shared" si="33"/>
        <v>62977.074102368984</v>
      </c>
      <c r="BA138" s="270">
        <f t="shared" si="30"/>
        <v>7.6582713355016363</v>
      </c>
      <c r="BB138" s="251">
        <f t="shared" si="23"/>
        <v>5478.0869537394246</v>
      </c>
      <c r="BC138" s="251">
        <f t="shared" si="24"/>
        <v>57498.98714862956</v>
      </c>
    </row>
    <row r="139" spans="1:55">
      <c r="A139" s="11">
        <v>47880</v>
      </c>
      <c r="B139" s="251">
        <v>100</v>
      </c>
      <c r="C139" s="251">
        <v>295</v>
      </c>
      <c r="D139" s="251">
        <v>5</v>
      </c>
      <c r="E139" s="251">
        <v>220</v>
      </c>
      <c r="F139" s="251">
        <v>44</v>
      </c>
      <c r="G139" s="287">
        <v>0.33</v>
      </c>
      <c r="H139" s="287"/>
      <c r="I139" s="251"/>
      <c r="J139" s="251"/>
      <c r="K139" s="251"/>
      <c r="L139" s="251"/>
      <c r="M139" s="13"/>
      <c r="N139" s="251">
        <f t="shared" si="21"/>
        <v>664.33</v>
      </c>
      <c r="O139" s="251">
        <f>'BBD Monthly Production'!W22*12</f>
        <v>254.43700289576685</v>
      </c>
      <c r="P139" s="271">
        <f t="shared" si="22"/>
        <v>0.38299791202529893</v>
      </c>
      <c r="Y139" s="251">
        <f>SUM('RD Feedstock'!F137,'RD Feedstock'!I137)</f>
        <v>23.121874999999999</v>
      </c>
      <c r="Z139" s="251">
        <f>SUM('RD Feedstock'!G137,'RD Feedstock'!J137)</f>
        <v>7.65625</v>
      </c>
      <c r="AA139" s="251">
        <v>0</v>
      </c>
      <c r="AB139" s="251">
        <f>SUM('RD Feedstock'!B137,'RD Feedstock'!D137,'RD Feedstock'!H137)</f>
        <v>374.51145833333328</v>
      </c>
      <c r="AC139" s="251">
        <f>SUM('RD Feedstock'!C137,'RD Feedstock'!E137)</f>
        <v>12.34375</v>
      </c>
      <c r="AD139" s="251">
        <f t="shared" si="34"/>
        <v>417.63333333333327</v>
      </c>
      <c r="AH139" s="237">
        <f t="shared" si="31"/>
        <v>5.5364055391491744E-2</v>
      </c>
      <c r="AI139" s="237">
        <f t="shared" si="31"/>
        <v>1.8332468672679385E-2</v>
      </c>
      <c r="AJ139" s="237">
        <f t="shared" si="31"/>
        <v>0</v>
      </c>
      <c r="AK139" s="237">
        <f t="shared" si="31"/>
        <v>0.89674704685130502</v>
      </c>
      <c r="AL139" s="237">
        <f t="shared" si="31"/>
        <v>2.9556429084523911E-2</v>
      </c>
      <c r="AM139" s="237">
        <f t="shared" si="25"/>
        <v>1</v>
      </c>
      <c r="AO139" s="237">
        <f t="shared" si="26"/>
        <v>0.75124378109452739</v>
      </c>
      <c r="AP139" s="237">
        <f t="shared" si="27"/>
        <v>0.24875621890547264</v>
      </c>
      <c r="AQ139" s="237">
        <f t="shared" si="28"/>
        <v>0</v>
      </c>
      <c r="AR139" s="237">
        <f t="shared" si="29"/>
        <v>0.96809206717629603</v>
      </c>
      <c r="AS139" s="237">
        <f t="shared" si="29"/>
        <v>3.1907932823703966E-2</v>
      </c>
      <c r="AU139" s="251">
        <f t="shared" si="32"/>
        <v>4994.5414429338553</v>
      </c>
      <c r="AV139" s="251">
        <f t="shared" si="32"/>
        <v>1412.2720229705369</v>
      </c>
      <c r="AW139" s="251">
        <f t="shared" si="32"/>
        <v>0</v>
      </c>
      <c r="AX139" s="251">
        <f t="shared" si="32"/>
        <v>65115.112466800543</v>
      </c>
      <c r="AY139" s="251">
        <f t="shared" si="32"/>
        <v>2131.9553965962018</v>
      </c>
      <c r="AZ139" s="251">
        <f t="shared" si="33"/>
        <v>73653.881329301134</v>
      </c>
      <c r="BA139" s="270">
        <f t="shared" si="30"/>
        <v>7.6582713355016363</v>
      </c>
      <c r="BB139" s="251">
        <f t="shared" si="23"/>
        <v>6406.8134659043917</v>
      </c>
      <c r="BC139" s="251">
        <f t="shared" si="24"/>
        <v>67247.067863396747</v>
      </c>
    </row>
    <row r="140" spans="1:55">
      <c r="A140" s="11">
        <v>47908</v>
      </c>
      <c r="B140" s="251">
        <v>100</v>
      </c>
      <c r="C140" s="251">
        <v>295</v>
      </c>
      <c r="D140" s="251">
        <v>5</v>
      </c>
      <c r="E140" s="251">
        <v>220</v>
      </c>
      <c r="F140" s="251">
        <v>44</v>
      </c>
      <c r="G140" s="287">
        <v>0.33</v>
      </c>
      <c r="H140" s="287"/>
      <c r="I140" s="251"/>
      <c r="J140" s="251"/>
      <c r="K140" s="251"/>
      <c r="L140" s="251"/>
      <c r="M140" s="13"/>
      <c r="N140" s="251">
        <f t="shared" si="21"/>
        <v>664.33</v>
      </c>
      <c r="O140" s="251">
        <f>'BBD Monthly Production'!W23*12</f>
        <v>499.20905349157192</v>
      </c>
      <c r="P140" s="271">
        <f t="shared" si="22"/>
        <v>0.75144740338622651</v>
      </c>
      <c r="Y140" s="251">
        <f>SUM('RD Feedstock'!F138,'RD Feedstock'!I138)</f>
        <v>23.121874999999999</v>
      </c>
      <c r="Z140" s="251">
        <f>SUM('RD Feedstock'!G138,'RD Feedstock'!J138)</f>
        <v>7.65625</v>
      </c>
      <c r="AA140" s="251">
        <v>0</v>
      </c>
      <c r="AB140" s="251">
        <f>SUM('RD Feedstock'!B138,'RD Feedstock'!D138,'RD Feedstock'!H138)</f>
        <v>374.51145833333328</v>
      </c>
      <c r="AC140" s="251">
        <f>SUM('RD Feedstock'!C138,'RD Feedstock'!E138)</f>
        <v>12.34375</v>
      </c>
      <c r="AD140" s="251">
        <f t="shared" si="34"/>
        <v>417.63333333333327</v>
      </c>
      <c r="AH140" s="237">
        <f t="shared" si="31"/>
        <v>5.5364055391491744E-2</v>
      </c>
      <c r="AI140" s="237">
        <f t="shared" si="31"/>
        <v>1.8332468672679385E-2</v>
      </c>
      <c r="AJ140" s="237">
        <f t="shared" si="31"/>
        <v>0</v>
      </c>
      <c r="AK140" s="237">
        <f t="shared" si="31"/>
        <v>0.89674704685130502</v>
      </c>
      <c r="AL140" s="237">
        <f t="shared" si="31"/>
        <v>2.9556429084523911E-2</v>
      </c>
      <c r="AM140" s="237">
        <f t="shared" si="25"/>
        <v>1</v>
      </c>
      <c r="AO140" s="237">
        <f t="shared" si="26"/>
        <v>0.75124378109452739</v>
      </c>
      <c r="AP140" s="237">
        <f t="shared" si="27"/>
        <v>0.24875621890547264</v>
      </c>
      <c r="AQ140" s="237">
        <f t="shared" si="28"/>
        <v>0</v>
      </c>
      <c r="AR140" s="237">
        <f t="shared" si="29"/>
        <v>0.96809206717629603</v>
      </c>
      <c r="AS140" s="237">
        <f t="shared" si="29"/>
        <v>3.1907932823703966E-2</v>
      </c>
      <c r="AU140" s="251">
        <f t="shared" si="32"/>
        <v>9799.3620345105937</v>
      </c>
      <c r="AV140" s="251">
        <f t="shared" si="32"/>
        <v>2770.8979898201701</v>
      </c>
      <c r="AW140" s="251">
        <f t="shared" si="32"/>
        <v>0</v>
      </c>
      <c r="AX140" s="251">
        <f t="shared" si="32"/>
        <v>127756.78573711718</v>
      </c>
      <c r="AY140" s="251">
        <f t="shared" si="32"/>
        <v>4182.9271037948765</v>
      </c>
      <c r="AZ140" s="251">
        <f t="shared" si="33"/>
        <v>144509.97286524283</v>
      </c>
      <c r="BA140" s="270">
        <f t="shared" si="30"/>
        <v>7.6582713355016363</v>
      </c>
      <c r="BB140" s="251">
        <f t="shared" si="23"/>
        <v>12570.260024330764</v>
      </c>
      <c r="BC140" s="251">
        <f t="shared" si="24"/>
        <v>131939.71284091205</v>
      </c>
    </row>
    <row r="141" spans="1:55">
      <c r="A141" s="11">
        <v>47939</v>
      </c>
      <c r="B141" s="251">
        <v>100</v>
      </c>
      <c r="C141" s="251">
        <v>295</v>
      </c>
      <c r="D141" s="251">
        <v>5</v>
      </c>
      <c r="E141" s="251">
        <v>220</v>
      </c>
      <c r="F141" s="251">
        <v>44</v>
      </c>
      <c r="G141" s="287">
        <v>0.33</v>
      </c>
      <c r="H141" s="287"/>
      <c r="I141" s="251"/>
      <c r="J141" s="251"/>
      <c r="K141" s="251"/>
      <c r="L141" s="251"/>
      <c r="M141" s="13"/>
      <c r="N141" s="251">
        <f t="shared" si="21"/>
        <v>664.33</v>
      </c>
      <c r="O141" s="251">
        <f>'BBD Monthly Production'!W24*12</f>
        <v>432.50654195547941</v>
      </c>
      <c r="P141" s="271">
        <f t="shared" si="22"/>
        <v>0.65104171414128431</v>
      </c>
      <c r="Y141" s="251">
        <f>SUM('RD Feedstock'!F139,'RD Feedstock'!I139)</f>
        <v>23.121874999999999</v>
      </c>
      <c r="Z141" s="251">
        <f>SUM('RD Feedstock'!G139,'RD Feedstock'!J139)</f>
        <v>7.65625</v>
      </c>
      <c r="AA141" s="251">
        <v>0</v>
      </c>
      <c r="AB141" s="251">
        <f>SUM('RD Feedstock'!B139,'RD Feedstock'!D139,'RD Feedstock'!H139)</f>
        <v>374.51145833333328</v>
      </c>
      <c r="AC141" s="251">
        <f>SUM('RD Feedstock'!C139,'RD Feedstock'!E139)</f>
        <v>12.34375</v>
      </c>
      <c r="AD141" s="251">
        <f t="shared" si="34"/>
        <v>417.63333333333327</v>
      </c>
      <c r="AH141" s="237">
        <f t="shared" si="31"/>
        <v>5.5364055391491744E-2</v>
      </c>
      <c r="AI141" s="237">
        <f t="shared" si="31"/>
        <v>1.8332468672679385E-2</v>
      </c>
      <c r="AJ141" s="237">
        <f t="shared" si="31"/>
        <v>0</v>
      </c>
      <c r="AK141" s="237">
        <f t="shared" si="31"/>
        <v>0.89674704685130502</v>
      </c>
      <c r="AL141" s="237">
        <f t="shared" si="31"/>
        <v>2.9556429084523911E-2</v>
      </c>
      <c r="AM141" s="237">
        <f t="shared" si="25"/>
        <v>1</v>
      </c>
      <c r="AO141" s="237">
        <f t="shared" si="26"/>
        <v>0.75124378109452739</v>
      </c>
      <c r="AP141" s="237">
        <f t="shared" si="27"/>
        <v>0.24875621890547264</v>
      </c>
      <c r="AQ141" s="237">
        <f t="shared" si="28"/>
        <v>0</v>
      </c>
      <c r="AR141" s="237">
        <f t="shared" si="29"/>
        <v>0.96809206717629603</v>
      </c>
      <c r="AS141" s="237">
        <f t="shared" si="29"/>
        <v>3.1907932823703966E-2</v>
      </c>
      <c r="AU141" s="251">
        <f t="shared" si="32"/>
        <v>8490.0066560742835</v>
      </c>
      <c r="AV141" s="251">
        <f t="shared" si="32"/>
        <v>2400.6606036217331</v>
      </c>
      <c r="AW141" s="251">
        <f t="shared" si="32"/>
        <v>0</v>
      </c>
      <c r="AX141" s="251">
        <f t="shared" si="32"/>
        <v>110686.38524088897</v>
      </c>
      <c r="AY141" s="251">
        <f t="shared" si="32"/>
        <v>3624.0194849445261</v>
      </c>
      <c r="AZ141" s="251">
        <f t="shared" si="33"/>
        <v>125201.0719855295</v>
      </c>
      <c r="BA141" s="270">
        <f t="shared" si="30"/>
        <v>7.6582713355016381</v>
      </c>
      <c r="BB141" s="251">
        <f t="shared" si="23"/>
        <v>10890.667259696016</v>
      </c>
      <c r="BC141" s="251">
        <f t="shared" si="24"/>
        <v>114310.40472583349</v>
      </c>
    </row>
    <row r="142" spans="1:55">
      <c r="A142" s="11">
        <v>47969</v>
      </c>
      <c r="B142" s="251">
        <v>100</v>
      </c>
      <c r="C142" s="251">
        <v>295</v>
      </c>
      <c r="D142" s="251">
        <v>5</v>
      </c>
      <c r="E142" s="251">
        <v>220</v>
      </c>
      <c r="F142" s="251">
        <v>44</v>
      </c>
      <c r="G142" s="287">
        <v>0.33</v>
      </c>
      <c r="H142" s="287"/>
      <c r="I142" s="251"/>
      <c r="J142" s="251"/>
      <c r="K142" s="251"/>
      <c r="L142" s="251"/>
      <c r="M142" s="13"/>
      <c r="N142" s="251">
        <f t="shared" si="21"/>
        <v>664.33</v>
      </c>
      <c r="O142" s="251">
        <f>'BBD Monthly Production'!W25*12</f>
        <v>465.6274697446313</v>
      </c>
      <c r="P142" s="271">
        <f t="shared" si="22"/>
        <v>0.70089785158675855</v>
      </c>
      <c r="Y142" s="251">
        <f>SUM('RD Feedstock'!F140,'RD Feedstock'!I140)</f>
        <v>23.121874999999999</v>
      </c>
      <c r="Z142" s="251">
        <f>SUM('RD Feedstock'!G140,'RD Feedstock'!J140)</f>
        <v>7.65625</v>
      </c>
      <c r="AA142" s="251">
        <v>0</v>
      </c>
      <c r="AB142" s="251">
        <f>SUM('RD Feedstock'!B140,'RD Feedstock'!D140,'RD Feedstock'!H140)</f>
        <v>374.51145833333328</v>
      </c>
      <c r="AC142" s="251">
        <f>SUM('RD Feedstock'!C140,'RD Feedstock'!E140)</f>
        <v>12.34375</v>
      </c>
      <c r="AD142" s="251">
        <f t="shared" si="34"/>
        <v>417.63333333333327</v>
      </c>
      <c r="AH142" s="237">
        <f t="shared" si="31"/>
        <v>5.5364055391491744E-2</v>
      </c>
      <c r="AI142" s="237">
        <f t="shared" si="31"/>
        <v>1.8332468672679385E-2</v>
      </c>
      <c r="AJ142" s="237">
        <f t="shared" si="31"/>
        <v>0</v>
      </c>
      <c r="AK142" s="237">
        <f t="shared" si="31"/>
        <v>0.89674704685130502</v>
      </c>
      <c r="AL142" s="237">
        <f t="shared" si="31"/>
        <v>2.9556429084523911E-2</v>
      </c>
      <c r="AM142" s="237">
        <f t="shared" si="25"/>
        <v>1</v>
      </c>
      <c r="AO142" s="237">
        <f t="shared" si="26"/>
        <v>0.75124378109452739</v>
      </c>
      <c r="AP142" s="237">
        <f t="shared" si="27"/>
        <v>0.24875621890547264</v>
      </c>
      <c r="AQ142" s="237">
        <f t="shared" si="28"/>
        <v>0</v>
      </c>
      <c r="AR142" s="237">
        <f t="shared" si="29"/>
        <v>0.96809206717629603</v>
      </c>
      <c r="AS142" s="237">
        <f t="shared" si="29"/>
        <v>3.1907932823703966E-2</v>
      </c>
      <c r="AU142" s="251">
        <f t="shared" si="32"/>
        <v>9140.1630585968633</v>
      </c>
      <c r="AV142" s="251">
        <f t="shared" si="32"/>
        <v>2584.5008436775747</v>
      </c>
      <c r="AW142" s="251">
        <f t="shared" si="32"/>
        <v>0</v>
      </c>
      <c r="AX142" s="251">
        <f t="shared" si="32"/>
        <v>119162.64031955339</v>
      </c>
      <c r="AY142" s="251">
        <f t="shared" si="32"/>
        <v>3901.5433511145834</v>
      </c>
      <c r="AZ142" s="251">
        <f t="shared" si="33"/>
        <v>134788.84757294241</v>
      </c>
      <c r="BA142" s="270">
        <f t="shared" si="30"/>
        <v>7.6582713355016345</v>
      </c>
      <c r="BB142" s="251">
        <f t="shared" si="23"/>
        <v>11724.663902274438</v>
      </c>
      <c r="BC142" s="251">
        <f t="shared" si="24"/>
        <v>123064.18367066798</v>
      </c>
    </row>
    <row r="143" spans="1:55">
      <c r="A143" s="11">
        <v>48000</v>
      </c>
      <c r="B143" s="251">
        <v>100</v>
      </c>
      <c r="C143" s="251">
        <v>295</v>
      </c>
      <c r="D143" s="251">
        <v>5</v>
      </c>
      <c r="E143" s="251">
        <v>220</v>
      </c>
      <c r="F143" s="251">
        <v>44</v>
      </c>
      <c r="G143" s="287">
        <v>0.33</v>
      </c>
      <c r="H143" s="287"/>
      <c r="I143" s="251"/>
      <c r="J143" s="251"/>
      <c r="K143" s="251"/>
      <c r="L143" s="251"/>
      <c r="M143" s="13"/>
      <c r="N143" s="251">
        <f t="shared" si="21"/>
        <v>664.33</v>
      </c>
      <c r="O143" s="251">
        <f>'BBD Monthly Production'!W26*12</f>
        <v>579.99170422297288</v>
      </c>
      <c r="P143" s="271">
        <f t="shared" si="22"/>
        <v>0.87304758813085792</v>
      </c>
      <c r="Y143" s="251">
        <f>SUM('RD Feedstock'!F141,'RD Feedstock'!I141)</f>
        <v>23.121874999999999</v>
      </c>
      <c r="Z143" s="251">
        <f>SUM('RD Feedstock'!G141,'RD Feedstock'!J141)</f>
        <v>7.65625</v>
      </c>
      <c r="AA143" s="251">
        <v>0</v>
      </c>
      <c r="AB143" s="251">
        <f>SUM('RD Feedstock'!B141,'RD Feedstock'!D141,'RD Feedstock'!H141)</f>
        <v>374.51145833333328</v>
      </c>
      <c r="AC143" s="251">
        <f>SUM('RD Feedstock'!C141,'RD Feedstock'!E141)</f>
        <v>12.34375</v>
      </c>
      <c r="AD143" s="251">
        <f t="shared" si="34"/>
        <v>417.63333333333327</v>
      </c>
      <c r="AH143" s="237">
        <f t="shared" si="31"/>
        <v>5.5364055391491744E-2</v>
      </c>
      <c r="AI143" s="237">
        <f t="shared" si="31"/>
        <v>1.8332468672679385E-2</v>
      </c>
      <c r="AJ143" s="237">
        <f t="shared" si="31"/>
        <v>0</v>
      </c>
      <c r="AK143" s="237">
        <f t="shared" si="31"/>
        <v>0.89674704685130502</v>
      </c>
      <c r="AL143" s="237">
        <f t="shared" si="31"/>
        <v>2.9556429084523911E-2</v>
      </c>
      <c r="AM143" s="237">
        <f t="shared" si="25"/>
        <v>1</v>
      </c>
      <c r="AO143" s="237">
        <f t="shared" si="26"/>
        <v>0.75124378109452739</v>
      </c>
      <c r="AP143" s="237">
        <f t="shared" si="27"/>
        <v>0.24875621890547264</v>
      </c>
      <c r="AQ143" s="237">
        <f t="shared" si="28"/>
        <v>0</v>
      </c>
      <c r="AR143" s="237">
        <f t="shared" si="29"/>
        <v>0.96809206717629603</v>
      </c>
      <c r="AS143" s="237">
        <f t="shared" si="29"/>
        <v>3.1907932823703966E-2</v>
      </c>
      <c r="AU143" s="251">
        <f t="shared" si="32"/>
        <v>11385.107395272136</v>
      </c>
      <c r="AV143" s="251">
        <f t="shared" si="32"/>
        <v>3219.2882643121834</v>
      </c>
      <c r="AW143" s="251">
        <f t="shared" si="32"/>
        <v>0</v>
      </c>
      <c r="AX143" s="251">
        <f t="shared" si="32"/>
        <v>148430.55302676072</v>
      </c>
      <c r="AY143" s="251">
        <f t="shared" si="32"/>
        <v>4859.8137445666607</v>
      </c>
      <c r="AZ143" s="251">
        <f t="shared" si="33"/>
        <v>167894.76243091171</v>
      </c>
      <c r="BA143" s="270">
        <f t="shared" si="30"/>
        <v>7.6582713355016372</v>
      </c>
      <c r="BB143" s="251">
        <f t="shared" si="23"/>
        <v>14604.395659584319</v>
      </c>
      <c r="BC143" s="251">
        <f t="shared" si="24"/>
        <v>153290.36677132739</v>
      </c>
    </row>
    <row r="144" spans="1:55">
      <c r="A144" s="11">
        <v>48030</v>
      </c>
      <c r="B144" s="251">
        <v>100</v>
      </c>
      <c r="C144" s="251">
        <v>295</v>
      </c>
      <c r="D144" s="251">
        <v>5</v>
      </c>
      <c r="E144" s="251">
        <v>220</v>
      </c>
      <c r="F144" s="251">
        <v>44</v>
      </c>
      <c r="G144" s="287">
        <v>0.33</v>
      </c>
      <c r="H144" s="287"/>
      <c r="I144" s="251"/>
      <c r="J144" s="251"/>
      <c r="K144" s="251"/>
      <c r="L144" s="251"/>
      <c r="M144" s="13"/>
      <c r="N144" s="251">
        <f t="shared" si="21"/>
        <v>664.33</v>
      </c>
      <c r="O144" s="251">
        <f>'BBD Monthly Production'!W27*12</f>
        <v>511.11136030736373</v>
      </c>
      <c r="P144" s="271">
        <f t="shared" si="22"/>
        <v>0.76936366008965984</v>
      </c>
      <c r="Y144" s="251">
        <f>SUM('RD Feedstock'!F142,'RD Feedstock'!I142)</f>
        <v>23.121874999999999</v>
      </c>
      <c r="Z144" s="251">
        <f>SUM('RD Feedstock'!G142,'RD Feedstock'!J142)</f>
        <v>7.65625</v>
      </c>
      <c r="AA144" s="251">
        <v>0</v>
      </c>
      <c r="AB144" s="251">
        <f>SUM('RD Feedstock'!B142,'RD Feedstock'!D142,'RD Feedstock'!H142)</f>
        <v>374.51145833333328</v>
      </c>
      <c r="AC144" s="251">
        <f>SUM('RD Feedstock'!C142,'RD Feedstock'!E142)</f>
        <v>12.34375</v>
      </c>
      <c r="AD144" s="251">
        <f t="shared" si="34"/>
        <v>417.63333333333327</v>
      </c>
      <c r="AH144" s="237">
        <f t="shared" si="31"/>
        <v>5.5364055391491744E-2</v>
      </c>
      <c r="AI144" s="237">
        <f t="shared" si="31"/>
        <v>1.8332468672679385E-2</v>
      </c>
      <c r="AJ144" s="237">
        <f t="shared" si="31"/>
        <v>0</v>
      </c>
      <c r="AK144" s="237">
        <f t="shared" si="31"/>
        <v>0.89674704685130502</v>
      </c>
      <c r="AL144" s="237">
        <f t="shared" si="31"/>
        <v>2.9556429084523911E-2</v>
      </c>
      <c r="AM144" s="237">
        <f t="shared" si="25"/>
        <v>1</v>
      </c>
      <c r="AO144" s="237">
        <f t="shared" si="26"/>
        <v>0.75124378109452739</v>
      </c>
      <c r="AP144" s="237">
        <f t="shared" si="27"/>
        <v>0.24875621890547264</v>
      </c>
      <c r="AQ144" s="237">
        <f t="shared" si="28"/>
        <v>0</v>
      </c>
      <c r="AR144" s="237">
        <f t="shared" si="29"/>
        <v>0.96809206717629603</v>
      </c>
      <c r="AS144" s="237">
        <f t="shared" si="29"/>
        <v>3.1907932823703966E-2</v>
      </c>
      <c r="AU144" s="251">
        <f t="shared" si="32"/>
        <v>10033.00165446139</v>
      </c>
      <c r="AV144" s="251">
        <f t="shared" si="32"/>
        <v>2836.9626531098902</v>
      </c>
      <c r="AW144" s="251">
        <f t="shared" si="32"/>
        <v>0</v>
      </c>
      <c r="AX144" s="251">
        <f t="shared" si="32"/>
        <v>130802.80513722051</v>
      </c>
      <c r="AY144" s="251">
        <f t="shared" si="32"/>
        <v>4282.6578306902338</v>
      </c>
      <c r="AZ144" s="251">
        <f t="shared" si="33"/>
        <v>147955.42727548201</v>
      </c>
      <c r="BA144" s="270">
        <f t="shared" si="30"/>
        <v>7.6582713355016354</v>
      </c>
      <c r="BB144" s="251">
        <f t="shared" si="23"/>
        <v>12869.964307571281</v>
      </c>
      <c r="BC144" s="251">
        <f t="shared" si="24"/>
        <v>135085.46296791075</v>
      </c>
    </row>
    <row r="145" spans="1:55" s="279" customFormat="1">
      <c r="A145" s="276">
        <v>48061</v>
      </c>
      <c r="B145" s="180">
        <v>100</v>
      </c>
      <c r="C145" s="180">
        <v>295</v>
      </c>
      <c r="D145" s="180">
        <v>5</v>
      </c>
      <c r="E145" s="180">
        <v>220</v>
      </c>
      <c r="F145" s="180">
        <v>44</v>
      </c>
      <c r="G145" s="288">
        <v>0.33</v>
      </c>
      <c r="H145" s="288"/>
      <c r="I145" s="180"/>
      <c r="J145" s="180"/>
      <c r="K145" s="180"/>
      <c r="L145" s="180"/>
      <c r="M145" s="196"/>
      <c r="N145" s="180">
        <f t="shared" si="21"/>
        <v>664.33</v>
      </c>
      <c r="O145" s="180">
        <f>'BBD Monthly Production'!W28*12</f>
        <v>449.56025781018337</v>
      </c>
      <c r="P145" s="281">
        <f t="shared" si="22"/>
        <v>0.67671226319778321</v>
      </c>
      <c r="Y145" s="180">
        <f>SUM('RD Feedstock'!F143,'RD Feedstock'!I143)</f>
        <v>23.121874999999999</v>
      </c>
      <c r="Z145" s="180">
        <f>SUM('RD Feedstock'!G143,'RD Feedstock'!J143)</f>
        <v>7.65625</v>
      </c>
      <c r="AA145" s="180">
        <v>0</v>
      </c>
      <c r="AB145" s="180">
        <f>SUM('RD Feedstock'!B143,'RD Feedstock'!D143,'RD Feedstock'!H143)</f>
        <v>374.51145833333328</v>
      </c>
      <c r="AC145" s="180">
        <f>SUM('RD Feedstock'!C143,'RD Feedstock'!E143)</f>
        <v>12.34375</v>
      </c>
      <c r="AD145" s="180">
        <f t="shared" si="34"/>
        <v>417.63333333333327</v>
      </c>
      <c r="AH145" s="280">
        <f t="shared" si="31"/>
        <v>5.5364055391491744E-2</v>
      </c>
      <c r="AI145" s="280">
        <f t="shared" si="31"/>
        <v>1.8332468672679385E-2</v>
      </c>
      <c r="AJ145" s="280">
        <f t="shared" si="31"/>
        <v>0</v>
      </c>
      <c r="AK145" s="280">
        <f t="shared" si="31"/>
        <v>0.89674704685130502</v>
      </c>
      <c r="AL145" s="280">
        <f t="shared" si="31"/>
        <v>2.9556429084523911E-2</v>
      </c>
      <c r="AM145" s="280">
        <f t="shared" si="25"/>
        <v>1</v>
      </c>
      <c r="AO145" s="280">
        <f t="shared" si="26"/>
        <v>0.75124378109452739</v>
      </c>
      <c r="AP145" s="280">
        <f t="shared" si="27"/>
        <v>0.24875621890547264</v>
      </c>
      <c r="AQ145" s="280">
        <f t="shared" si="28"/>
        <v>0</v>
      </c>
      <c r="AR145" s="280">
        <f t="shared" si="29"/>
        <v>0.96809206717629603</v>
      </c>
      <c r="AS145" s="280">
        <f t="shared" si="29"/>
        <v>3.1907932823703966E-2</v>
      </c>
      <c r="AU145" s="180">
        <f t="shared" si="32"/>
        <v>8824.767282960107</v>
      </c>
      <c r="AV145" s="180">
        <f t="shared" si="32"/>
        <v>2495.3185563376514</v>
      </c>
      <c r="AW145" s="180">
        <f t="shared" si="32"/>
        <v>0</v>
      </c>
      <c r="AX145" s="180">
        <f t="shared" si="32"/>
        <v>115050.74503611425</v>
      </c>
      <c r="AY145" s="180">
        <f t="shared" si="32"/>
        <v>3766.9144299983659</v>
      </c>
      <c r="AZ145" s="180">
        <f t="shared" si="33"/>
        <v>130137.74530541037</v>
      </c>
      <c r="BA145" s="285">
        <f t="shared" si="30"/>
        <v>7.6582713355016354</v>
      </c>
      <c r="BB145" s="180">
        <f t="shared" si="23"/>
        <v>11320.085839297759</v>
      </c>
      <c r="BC145" s="180">
        <f t="shared" si="24"/>
        <v>118817.65946611261</v>
      </c>
    </row>
    <row r="146" spans="1:55">
      <c r="A146" s="11">
        <v>48092</v>
      </c>
      <c r="B146" s="251">
        <v>100</v>
      </c>
      <c r="C146" s="251">
        <v>295</v>
      </c>
      <c r="D146" s="251">
        <v>5</v>
      </c>
      <c r="E146" s="251">
        <v>220</v>
      </c>
      <c r="F146" s="251">
        <v>44</v>
      </c>
      <c r="G146" s="287">
        <v>0.33</v>
      </c>
      <c r="H146" s="287"/>
      <c r="I146" s="251"/>
      <c r="J146" s="251"/>
      <c r="K146" s="251"/>
      <c r="L146" s="251"/>
      <c r="M146" s="13"/>
      <c r="N146" s="251">
        <f t="shared" si="21"/>
        <v>664.33</v>
      </c>
      <c r="O146" s="251">
        <f>'BBD Monthly Production'!W29*12</f>
        <v>490.53982964248996</v>
      </c>
      <c r="P146" s="271">
        <f t="shared" si="22"/>
        <v>0.73839782885386773</v>
      </c>
      <c r="Y146" s="251">
        <f>SUM('RD Feedstock'!F144,'RD Feedstock'!I144)</f>
        <v>23.121874999999999</v>
      </c>
      <c r="Z146" s="251">
        <f>SUM('RD Feedstock'!G144,'RD Feedstock'!J144)</f>
        <v>7.65625</v>
      </c>
      <c r="AA146" s="251">
        <v>0</v>
      </c>
      <c r="AB146" s="251">
        <f>SUM('RD Feedstock'!B144,'RD Feedstock'!D144,'RD Feedstock'!H144)</f>
        <v>374.51145833333328</v>
      </c>
      <c r="AC146" s="251">
        <f>SUM('RD Feedstock'!C144,'RD Feedstock'!E144)</f>
        <v>12.34375</v>
      </c>
      <c r="AD146" s="251">
        <f t="shared" si="34"/>
        <v>417.63333333333327</v>
      </c>
      <c r="AH146" s="237">
        <f t="shared" si="31"/>
        <v>5.5364055391491744E-2</v>
      </c>
      <c r="AI146" s="237">
        <f t="shared" si="31"/>
        <v>1.8332468672679385E-2</v>
      </c>
      <c r="AJ146" s="237">
        <f t="shared" si="31"/>
        <v>0</v>
      </c>
      <c r="AK146" s="237">
        <f t="shared" si="31"/>
        <v>0.89674704685130502</v>
      </c>
      <c r="AL146" s="237">
        <f t="shared" si="31"/>
        <v>2.9556429084523911E-2</v>
      </c>
      <c r="AM146" s="237">
        <f t="shared" si="25"/>
        <v>1</v>
      </c>
      <c r="AO146" s="237">
        <f t="shared" si="26"/>
        <v>0.75124378109452739</v>
      </c>
      <c r="AP146" s="237">
        <f t="shared" si="27"/>
        <v>0.24875621890547264</v>
      </c>
      <c r="AQ146" s="237">
        <f t="shared" si="28"/>
        <v>0</v>
      </c>
      <c r="AR146" s="237">
        <f t="shared" si="29"/>
        <v>0.96809206717629603</v>
      </c>
      <c r="AS146" s="237">
        <f t="shared" si="29"/>
        <v>3.1907932823703966E-2</v>
      </c>
      <c r="AU146" s="251">
        <f t="shared" si="32"/>
        <v>9629.1871098749343</v>
      </c>
      <c r="AV146" s="251">
        <f t="shared" si="32"/>
        <v>2722.7788005372222</v>
      </c>
      <c r="AW146" s="251">
        <f t="shared" si="32"/>
        <v>0</v>
      </c>
      <c r="AX146" s="251">
        <f t="shared" si="32"/>
        <v>125538.17177960217</v>
      </c>
      <c r="AY146" s="251">
        <f t="shared" si="32"/>
        <v>4110.2867316831107</v>
      </c>
      <c r="AZ146" s="251">
        <f t="shared" si="33"/>
        <v>142000.42442169745</v>
      </c>
      <c r="BA146" s="270">
        <f t="shared" si="30"/>
        <v>7.6582713355016381</v>
      </c>
      <c r="BB146" s="251">
        <f t="shared" si="23"/>
        <v>12351.965910412157</v>
      </c>
      <c r="BC146" s="251">
        <f t="shared" si="24"/>
        <v>129648.45851128528</v>
      </c>
    </row>
    <row r="147" spans="1:55">
      <c r="A147" s="11">
        <v>48122</v>
      </c>
      <c r="B147" s="251">
        <v>100</v>
      </c>
      <c r="C147" s="251">
        <v>295</v>
      </c>
      <c r="D147" s="251">
        <v>5</v>
      </c>
      <c r="E147" s="251">
        <v>220</v>
      </c>
      <c r="F147" s="251">
        <v>44</v>
      </c>
      <c r="G147" s="287">
        <v>0.33</v>
      </c>
      <c r="H147" s="287"/>
      <c r="I147" s="251"/>
      <c r="J147" s="251"/>
      <c r="K147" s="251"/>
      <c r="L147" s="251"/>
      <c r="M147" s="13"/>
      <c r="N147" s="251">
        <f t="shared" si="21"/>
        <v>664.33</v>
      </c>
      <c r="O147" s="251">
        <f>'BBD Monthly Production'!W30*12</f>
        <v>393.2437048784052</v>
      </c>
      <c r="P147" s="271">
        <f t="shared" si="22"/>
        <v>0.59194030809748943</v>
      </c>
      <c r="Y147" s="251">
        <f>SUM('RD Feedstock'!F145,'RD Feedstock'!I145)</f>
        <v>23.121874999999999</v>
      </c>
      <c r="Z147" s="251">
        <f>SUM('RD Feedstock'!G145,'RD Feedstock'!J145)</f>
        <v>7.65625</v>
      </c>
      <c r="AA147" s="251">
        <v>0</v>
      </c>
      <c r="AB147" s="251">
        <f>SUM('RD Feedstock'!B145,'RD Feedstock'!D145,'RD Feedstock'!H145)</f>
        <v>374.51145833333328</v>
      </c>
      <c r="AC147" s="251">
        <f>SUM('RD Feedstock'!C145,'RD Feedstock'!E145)</f>
        <v>12.34375</v>
      </c>
      <c r="AD147" s="251">
        <f t="shared" si="34"/>
        <v>417.63333333333327</v>
      </c>
      <c r="AH147" s="237">
        <f t="shared" si="31"/>
        <v>5.5364055391491744E-2</v>
      </c>
      <c r="AI147" s="237">
        <f t="shared" si="31"/>
        <v>1.8332468672679385E-2</v>
      </c>
      <c r="AJ147" s="237">
        <f t="shared" si="31"/>
        <v>0</v>
      </c>
      <c r="AK147" s="237">
        <f t="shared" si="31"/>
        <v>0.89674704685130502</v>
      </c>
      <c r="AL147" s="237">
        <f t="shared" si="31"/>
        <v>2.9556429084523911E-2</v>
      </c>
      <c r="AM147" s="237">
        <f t="shared" si="25"/>
        <v>1</v>
      </c>
      <c r="AO147" s="237">
        <f t="shared" si="26"/>
        <v>0.75124378109452739</v>
      </c>
      <c r="AP147" s="237">
        <f t="shared" si="27"/>
        <v>0.24875621890547264</v>
      </c>
      <c r="AQ147" s="237">
        <f t="shared" si="28"/>
        <v>0</v>
      </c>
      <c r="AR147" s="237">
        <f t="shared" si="29"/>
        <v>0.96809206717629603</v>
      </c>
      <c r="AS147" s="237">
        <f t="shared" si="29"/>
        <v>3.1907932823703966E-2</v>
      </c>
      <c r="AU147" s="251">
        <f t="shared" si="32"/>
        <v>7719.2859483282418</v>
      </c>
      <c r="AV147" s="251">
        <f t="shared" si="32"/>
        <v>2182.7292268356377</v>
      </c>
      <c r="AW147" s="251">
        <f t="shared" si="32"/>
        <v>0</v>
      </c>
      <c r="AX147" s="251">
        <f t="shared" si="32"/>
        <v>100638.30252122771</v>
      </c>
      <c r="AY147" s="251">
        <f t="shared" si="32"/>
        <v>3295.0318910038864</v>
      </c>
      <c r="AZ147" s="251">
        <f t="shared" si="33"/>
        <v>113835.34958739548</v>
      </c>
      <c r="BA147" s="270">
        <f t="shared" si="30"/>
        <v>7.6582713355016381</v>
      </c>
      <c r="BB147" s="251">
        <f t="shared" si="23"/>
        <v>9902.0151751638805</v>
      </c>
      <c r="BC147" s="251">
        <f t="shared" si="24"/>
        <v>103933.3344122316</v>
      </c>
    </row>
    <row r="148" spans="1:55">
      <c r="A148" s="11">
        <v>48153</v>
      </c>
      <c r="B148" s="251">
        <v>100</v>
      </c>
      <c r="C148" s="251">
        <v>295</v>
      </c>
      <c r="D148" s="251">
        <v>5</v>
      </c>
      <c r="E148" s="251">
        <v>220</v>
      </c>
      <c r="F148" s="251">
        <v>44</v>
      </c>
      <c r="G148" s="287">
        <v>0.33</v>
      </c>
      <c r="H148" s="287"/>
      <c r="I148" s="251"/>
      <c r="J148" s="251"/>
      <c r="K148" s="251"/>
      <c r="L148" s="251"/>
      <c r="M148" s="13"/>
      <c r="N148" s="251">
        <f t="shared" si="21"/>
        <v>664.33</v>
      </c>
      <c r="O148" s="251">
        <f>'BBD Monthly Production'!W31*12</f>
        <v>505.76128676277608</v>
      </c>
      <c r="P148" s="271">
        <f t="shared" si="22"/>
        <v>0.76131032282566802</v>
      </c>
      <c r="Y148" s="251">
        <f>SUM('RD Feedstock'!F146,'RD Feedstock'!I146)</f>
        <v>23.121874999999999</v>
      </c>
      <c r="Z148" s="251">
        <f>SUM('RD Feedstock'!G146,'RD Feedstock'!J146)</f>
        <v>7.65625</v>
      </c>
      <c r="AA148" s="251">
        <v>0</v>
      </c>
      <c r="AB148" s="251">
        <f>SUM('RD Feedstock'!B146,'RD Feedstock'!D146,'RD Feedstock'!H146)</f>
        <v>374.51145833333328</v>
      </c>
      <c r="AC148" s="251">
        <f>SUM('RD Feedstock'!C146,'RD Feedstock'!E146)</f>
        <v>12.34375</v>
      </c>
      <c r="AD148" s="251">
        <f t="shared" si="34"/>
        <v>417.63333333333327</v>
      </c>
      <c r="AH148" s="237">
        <f t="shared" si="31"/>
        <v>5.5364055391491744E-2</v>
      </c>
      <c r="AI148" s="237">
        <f t="shared" si="31"/>
        <v>1.8332468672679385E-2</v>
      </c>
      <c r="AJ148" s="237">
        <f t="shared" si="31"/>
        <v>0</v>
      </c>
      <c r="AK148" s="237">
        <f t="shared" si="31"/>
        <v>0.89674704685130502</v>
      </c>
      <c r="AL148" s="237">
        <f t="shared" si="31"/>
        <v>2.9556429084523911E-2</v>
      </c>
      <c r="AM148" s="237">
        <f t="shared" si="25"/>
        <v>1</v>
      </c>
      <c r="AO148" s="237">
        <f t="shared" si="26"/>
        <v>0.75124378109452739</v>
      </c>
      <c r="AP148" s="237">
        <f t="shared" si="27"/>
        <v>0.24875621890547264</v>
      </c>
      <c r="AQ148" s="237">
        <f t="shared" si="28"/>
        <v>0</v>
      </c>
      <c r="AR148" s="237">
        <f t="shared" si="29"/>
        <v>0.96809206717629603</v>
      </c>
      <c r="AS148" s="237">
        <f t="shared" si="29"/>
        <v>3.1907932823703966E-2</v>
      </c>
      <c r="AU148" s="251">
        <f t="shared" si="32"/>
        <v>9927.9809077261598</v>
      </c>
      <c r="AV148" s="251">
        <f t="shared" si="32"/>
        <v>2807.2666611674317</v>
      </c>
      <c r="AW148" s="251">
        <f t="shared" si="32"/>
        <v>0</v>
      </c>
      <c r="AX148" s="251">
        <f t="shared" si="32"/>
        <v>129433.62283827558</v>
      </c>
      <c r="AY148" s="251">
        <f t="shared" si="32"/>
        <v>4237.8289809720072</v>
      </c>
      <c r="AZ148" s="251">
        <f t="shared" si="33"/>
        <v>146406.69938814116</v>
      </c>
      <c r="BA148" s="270">
        <f t="shared" si="30"/>
        <v>7.6582713355016363</v>
      </c>
      <c r="BB148" s="251">
        <f t="shared" si="23"/>
        <v>12735.247568893592</v>
      </c>
      <c r="BC148" s="251">
        <f t="shared" si="24"/>
        <v>133671.4518192476</v>
      </c>
    </row>
    <row r="149" spans="1:55">
      <c r="A149" s="11">
        <v>48183</v>
      </c>
      <c r="B149" s="251">
        <v>100</v>
      </c>
      <c r="C149" s="251">
        <v>295</v>
      </c>
      <c r="D149" s="251">
        <v>5</v>
      </c>
      <c r="E149" s="251">
        <v>220</v>
      </c>
      <c r="F149" s="251">
        <v>44</v>
      </c>
      <c r="G149" s="287">
        <v>0.33</v>
      </c>
      <c r="H149" s="287"/>
      <c r="I149" s="251"/>
      <c r="J149" s="251"/>
      <c r="K149" s="251"/>
      <c r="L149" s="251"/>
      <c r="M149" s="13"/>
      <c r="N149" s="251">
        <f t="shared" si="21"/>
        <v>664.33</v>
      </c>
      <c r="O149" s="251">
        <f>'BBD Monthly Production'!W32*12</f>
        <v>698.03740272747746</v>
      </c>
      <c r="P149" s="271">
        <f t="shared" si="22"/>
        <v>1.0507389440902524</v>
      </c>
      <c r="Y149" s="251">
        <f>SUM('RD Feedstock'!F147,'RD Feedstock'!I147)</f>
        <v>23.121874999999999</v>
      </c>
      <c r="Z149" s="251">
        <f>SUM('RD Feedstock'!G147,'RD Feedstock'!J147)</f>
        <v>7.65625</v>
      </c>
      <c r="AA149" s="251">
        <v>0</v>
      </c>
      <c r="AB149" s="251">
        <f>SUM('RD Feedstock'!B147,'RD Feedstock'!D147,'RD Feedstock'!H147)</f>
        <v>374.51145833333328</v>
      </c>
      <c r="AC149" s="251">
        <f>SUM('RD Feedstock'!C147,'RD Feedstock'!E147)</f>
        <v>12.34375</v>
      </c>
      <c r="AD149" s="251">
        <f t="shared" si="34"/>
        <v>417.63333333333327</v>
      </c>
      <c r="AH149" s="237">
        <f t="shared" si="31"/>
        <v>5.5364055391491744E-2</v>
      </c>
      <c r="AI149" s="237">
        <f t="shared" si="31"/>
        <v>1.8332468672679385E-2</v>
      </c>
      <c r="AJ149" s="237">
        <f t="shared" si="31"/>
        <v>0</v>
      </c>
      <c r="AK149" s="237">
        <f t="shared" si="31"/>
        <v>0.89674704685130502</v>
      </c>
      <c r="AL149" s="237">
        <f t="shared" si="31"/>
        <v>2.9556429084523911E-2</v>
      </c>
      <c r="AM149" s="237">
        <f t="shared" si="25"/>
        <v>1</v>
      </c>
      <c r="AO149" s="237">
        <f t="shared" si="26"/>
        <v>0.75124378109452739</v>
      </c>
      <c r="AP149" s="237">
        <f t="shared" si="27"/>
        <v>0.24875621890547264</v>
      </c>
      <c r="AQ149" s="237">
        <f t="shared" si="28"/>
        <v>0</v>
      </c>
      <c r="AR149" s="237">
        <f t="shared" si="29"/>
        <v>0.96809206717629603</v>
      </c>
      <c r="AS149" s="237">
        <f t="shared" si="29"/>
        <v>3.1907932823703966E-2</v>
      </c>
      <c r="AU149" s="251">
        <f t="shared" si="32"/>
        <v>13702.318047145573</v>
      </c>
      <c r="AV149" s="251">
        <f t="shared" si="32"/>
        <v>3874.509932279333</v>
      </c>
      <c r="AW149" s="251">
        <f t="shared" si="32"/>
        <v>0</v>
      </c>
      <c r="AX149" s="251">
        <f t="shared" si="32"/>
        <v>178640.62014302736</v>
      </c>
      <c r="AY149" s="251">
        <f t="shared" si="32"/>
        <v>5848.9315266006897</v>
      </c>
      <c r="AZ149" s="251">
        <f t="shared" si="33"/>
        <v>202066.37964905298</v>
      </c>
      <c r="BA149" s="270">
        <f t="shared" si="30"/>
        <v>7.6582713355016372</v>
      </c>
      <c r="BB149" s="251">
        <f t="shared" si="23"/>
        <v>17576.827979424907</v>
      </c>
      <c r="BC149" s="251">
        <f t="shared" si="24"/>
        <v>184489.55166962807</v>
      </c>
    </row>
    <row r="150" spans="1:55">
      <c r="A150" s="11">
        <v>48214</v>
      </c>
      <c r="B150" s="251">
        <v>100</v>
      </c>
      <c r="C150" s="251">
        <v>295</v>
      </c>
      <c r="D150" s="251">
        <v>5</v>
      </c>
      <c r="E150" s="251">
        <v>220</v>
      </c>
      <c r="F150" s="251">
        <v>44</v>
      </c>
      <c r="G150" s="287">
        <v>0.33</v>
      </c>
      <c r="H150" s="287"/>
      <c r="I150" s="251"/>
      <c r="J150" s="251"/>
      <c r="K150" s="251"/>
      <c r="L150" s="251"/>
      <c r="M150" s="13"/>
      <c r="N150" s="251">
        <f t="shared" si="21"/>
        <v>664.33</v>
      </c>
      <c r="O150" s="251">
        <f>'BBD Monthly Production'!X21*12</f>
        <v>222.2904905853926</v>
      </c>
      <c r="P150" s="271">
        <f t="shared" si="22"/>
        <v>0.33460853880660602</v>
      </c>
      <c r="Y150" s="251">
        <f>SUM('RD Feedstock'!F148,'RD Feedstock'!I148)</f>
        <v>23.121874999999999</v>
      </c>
      <c r="Z150" s="251">
        <f>SUM('RD Feedstock'!G148,'RD Feedstock'!J148)</f>
        <v>7.65625</v>
      </c>
      <c r="AA150" s="251">
        <v>0</v>
      </c>
      <c r="AB150" s="251">
        <f>SUM('RD Feedstock'!B148,'RD Feedstock'!D148,'RD Feedstock'!H148)</f>
        <v>374.51145833333328</v>
      </c>
      <c r="AC150" s="251">
        <f>SUM('RD Feedstock'!C148,'RD Feedstock'!E148)</f>
        <v>12.34375</v>
      </c>
      <c r="AD150" s="251">
        <f t="shared" si="34"/>
        <v>417.63333333333327</v>
      </c>
      <c r="AH150" s="237">
        <f t="shared" si="31"/>
        <v>5.5364055391491744E-2</v>
      </c>
      <c r="AI150" s="237">
        <f t="shared" si="31"/>
        <v>1.8332468672679385E-2</v>
      </c>
      <c r="AJ150" s="237">
        <f t="shared" si="31"/>
        <v>0</v>
      </c>
      <c r="AK150" s="237">
        <f t="shared" si="31"/>
        <v>0.89674704685130502</v>
      </c>
      <c r="AL150" s="237">
        <f t="shared" si="31"/>
        <v>2.9556429084523911E-2</v>
      </c>
      <c r="AM150" s="237">
        <f t="shared" si="25"/>
        <v>1</v>
      </c>
      <c r="AO150" s="237">
        <f t="shared" si="26"/>
        <v>0.75124378109452739</v>
      </c>
      <c r="AP150" s="237">
        <f t="shared" si="27"/>
        <v>0.24875621890547264</v>
      </c>
      <c r="AQ150" s="237">
        <f t="shared" si="28"/>
        <v>0</v>
      </c>
      <c r="AR150" s="237">
        <f t="shared" si="29"/>
        <v>0.96809206717629603</v>
      </c>
      <c r="AS150" s="237">
        <f t="shared" si="29"/>
        <v>3.1907932823703966E-2</v>
      </c>
      <c r="AU150" s="251">
        <f t="shared" si="32"/>
        <v>4363.5125982586114</v>
      </c>
      <c r="AV150" s="251">
        <f t="shared" si="32"/>
        <v>1233.8403504727357</v>
      </c>
      <c r="AW150" s="251">
        <f t="shared" si="32"/>
        <v>0</v>
      </c>
      <c r="AX150" s="251">
        <f t="shared" si="32"/>
        <v>56888.228245235798</v>
      </c>
      <c r="AY150" s="251">
        <f t="shared" si="32"/>
        <v>1862.5962639942315</v>
      </c>
      <c r="AZ150" s="251">
        <f t="shared" si="33"/>
        <v>64348.177457961378</v>
      </c>
      <c r="BA150" s="270">
        <f t="shared" si="30"/>
        <v>7.6582713355016372</v>
      </c>
      <c r="BB150" s="251">
        <f t="shared" si="23"/>
        <v>5597.3529487313472</v>
      </c>
      <c r="BC150" s="251">
        <f t="shared" si="24"/>
        <v>58750.824509230028</v>
      </c>
    </row>
    <row r="151" spans="1:55">
      <c r="A151" s="11">
        <v>48245</v>
      </c>
      <c r="B151" s="251">
        <v>100</v>
      </c>
      <c r="C151" s="251">
        <v>295</v>
      </c>
      <c r="D151" s="251">
        <v>5</v>
      </c>
      <c r="E151" s="251">
        <v>220</v>
      </c>
      <c r="F151" s="251">
        <v>44</v>
      </c>
      <c r="G151" s="287">
        <v>0.33</v>
      </c>
      <c r="H151" s="287"/>
      <c r="I151" s="251"/>
      <c r="J151" s="251"/>
      <c r="K151" s="251"/>
      <c r="L151" s="251"/>
      <c r="M151" s="13"/>
      <c r="N151" s="251">
        <f t="shared" si="21"/>
        <v>664.33</v>
      </c>
      <c r="O151" s="251">
        <f>'BBD Monthly Production'!X22*12</f>
        <v>261.23995015805389</v>
      </c>
      <c r="P151" s="271">
        <f t="shared" si="22"/>
        <v>0.39323822521646451</v>
      </c>
      <c r="Y151" s="251">
        <f>SUM('RD Feedstock'!F149,'RD Feedstock'!I149)</f>
        <v>23.121874999999999</v>
      </c>
      <c r="Z151" s="251">
        <f>SUM('RD Feedstock'!G149,'RD Feedstock'!J149)</f>
        <v>7.65625</v>
      </c>
      <c r="AA151" s="251">
        <v>0</v>
      </c>
      <c r="AB151" s="251">
        <f>SUM('RD Feedstock'!B149,'RD Feedstock'!D149,'RD Feedstock'!H149)</f>
        <v>374.51145833333328</v>
      </c>
      <c r="AC151" s="251">
        <f>SUM('RD Feedstock'!C149,'RD Feedstock'!E149)</f>
        <v>12.34375</v>
      </c>
      <c r="AD151" s="251">
        <f t="shared" si="34"/>
        <v>417.63333333333327</v>
      </c>
      <c r="AH151" s="237">
        <f t="shared" si="31"/>
        <v>5.5364055391491744E-2</v>
      </c>
      <c r="AI151" s="237">
        <f t="shared" si="31"/>
        <v>1.8332468672679385E-2</v>
      </c>
      <c r="AJ151" s="237">
        <f t="shared" si="31"/>
        <v>0</v>
      </c>
      <c r="AK151" s="237">
        <f t="shared" si="31"/>
        <v>0.89674704685130502</v>
      </c>
      <c r="AL151" s="237">
        <f t="shared" si="31"/>
        <v>2.9556429084523911E-2</v>
      </c>
      <c r="AM151" s="237">
        <f t="shared" si="25"/>
        <v>1</v>
      </c>
      <c r="AO151" s="237">
        <f t="shared" si="26"/>
        <v>0.75124378109452739</v>
      </c>
      <c r="AP151" s="237">
        <f t="shared" si="27"/>
        <v>0.24875621890547264</v>
      </c>
      <c r="AQ151" s="237">
        <f t="shared" si="28"/>
        <v>0</v>
      </c>
      <c r="AR151" s="237">
        <f t="shared" si="29"/>
        <v>0.96809206717629603</v>
      </c>
      <c r="AS151" s="237">
        <f t="shared" si="29"/>
        <v>3.1907932823703966E-2</v>
      </c>
      <c r="AU151" s="251">
        <f t="shared" si="32"/>
        <v>5128.0817757033983</v>
      </c>
      <c r="AV151" s="251">
        <f t="shared" si="32"/>
        <v>1450.0323014792718</v>
      </c>
      <c r="AW151" s="251">
        <f t="shared" si="32"/>
        <v>0</v>
      </c>
      <c r="AX151" s="251">
        <f t="shared" si="32"/>
        <v>66856.111893173293</v>
      </c>
      <c r="AY151" s="251">
        <f t="shared" si="32"/>
        <v>2188.9580336479112</v>
      </c>
      <c r="AZ151" s="251">
        <f t="shared" si="33"/>
        <v>75623.184004003881</v>
      </c>
      <c r="BA151" s="270">
        <f t="shared" si="30"/>
        <v>7.6582713355016372</v>
      </c>
      <c r="BB151" s="251">
        <f t="shared" si="23"/>
        <v>6578.1140771826704</v>
      </c>
      <c r="BC151" s="251">
        <f t="shared" si="24"/>
        <v>69045.069926821205</v>
      </c>
    </row>
    <row r="152" spans="1:55">
      <c r="A152" s="11">
        <v>48274</v>
      </c>
      <c r="B152" s="251">
        <v>100</v>
      </c>
      <c r="C152" s="251">
        <v>295</v>
      </c>
      <c r="D152" s="251">
        <v>5</v>
      </c>
      <c r="E152" s="251">
        <v>220</v>
      </c>
      <c r="F152" s="251">
        <v>44</v>
      </c>
      <c r="G152" s="287">
        <v>0.33</v>
      </c>
      <c r="H152" s="287"/>
      <c r="I152" s="251"/>
      <c r="J152" s="251"/>
      <c r="K152" s="251"/>
      <c r="L152" s="251"/>
      <c r="M152" s="13"/>
      <c r="N152" s="251">
        <f t="shared" si="21"/>
        <v>664.33</v>
      </c>
      <c r="O152" s="251">
        <f>'BBD Monthly Production'!X23*12</f>
        <v>508.80830927151305</v>
      </c>
      <c r="P152" s="271">
        <f t="shared" si="22"/>
        <v>0.7658969326562296</v>
      </c>
      <c r="Y152" s="251">
        <f>SUM('RD Feedstock'!F150,'RD Feedstock'!I150)</f>
        <v>23.121874999999999</v>
      </c>
      <c r="Z152" s="251">
        <f>SUM('RD Feedstock'!G150,'RD Feedstock'!J150)</f>
        <v>7.65625</v>
      </c>
      <c r="AA152" s="251">
        <v>0</v>
      </c>
      <c r="AB152" s="251">
        <f>SUM('RD Feedstock'!B150,'RD Feedstock'!D150,'RD Feedstock'!H150)</f>
        <v>374.51145833333328</v>
      </c>
      <c r="AC152" s="251">
        <f>SUM('RD Feedstock'!C150,'RD Feedstock'!E150)</f>
        <v>12.34375</v>
      </c>
      <c r="AD152" s="251">
        <f t="shared" si="34"/>
        <v>417.63333333333327</v>
      </c>
      <c r="AH152" s="237">
        <f t="shared" si="31"/>
        <v>5.5364055391491744E-2</v>
      </c>
      <c r="AI152" s="237">
        <f t="shared" si="31"/>
        <v>1.8332468672679385E-2</v>
      </c>
      <c r="AJ152" s="237">
        <f t="shared" si="31"/>
        <v>0</v>
      </c>
      <c r="AK152" s="237">
        <f t="shared" si="31"/>
        <v>0.89674704685130502</v>
      </c>
      <c r="AL152" s="237">
        <f t="shared" si="31"/>
        <v>2.9556429084523911E-2</v>
      </c>
      <c r="AM152" s="237">
        <f t="shared" si="25"/>
        <v>1</v>
      </c>
      <c r="AO152" s="237">
        <f t="shared" si="26"/>
        <v>0.75124378109452739</v>
      </c>
      <c r="AP152" s="237">
        <f t="shared" si="27"/>
        <v>0.24875621890547264</v>
      </c>
      <c r="AQ152" s="237">
        <f t="shared" si="28"/>
        <v>0</v>
      </c>
      <c r="AR152" s="237">
        <f t="shared" si="29"/>
        <v>0.96809206717629603</v>
      </c>
      <c r="AS152" s="237">
        <f t="shared" si="29"/>
        <v>3.1907932823703966E-2</v>
      </c>
      <c r="AU152" s="251">
        <f t="shared" si="32"/>
        <v>9987.7932778776576</v>
      </c>
      <c r="AV152" s="251">
        <f t="shared" si="32"/>
        <v>2824.1793923876376</v>
      </c>
      <c r="AW152" s="251">
        <f t="shared" si="32"/>
        <v>0</v>
      </c>
      <c r="AX152" s="251">
        <f t="shared" si="32"/>
        <v>130213.41198485096</v>
      </c>
      <c r="AY152" s="251">
        <f t="shared" si="32"/>
        <v>4263.3603148861757</v>
      </c>
      <c r="AZ152" s="251">
        <f t="shared" si="33"/>
        <v>147288.74497000242</v>
      </c>
      <c r="BA152" s="270">
        <f t="shared" si="30"/>
        <v>7.6582713355016363</v>
      </c>
      <c r="BB152" s="251">
        <f t="shared" si="23"/>
        <v>12811.972670265295</v>
      </c>
      <c r="BC152" s="251">
        <f t="shared" si="24"/>
        <v>134476.77229973715</v>
      </c>
    </row>
    <row r="153" spans="1:55">
      <c r="A153" s="11">
        <v>48305</v>
      </c>
      <c r="B153" s="251">
        <v>100</v>
      </c>
      <c r="C153" s="251">
        <v>295</v>
      </c>
      <c r="D153" s="251">
        <v>5</v>
      </c>
      <c r="E153" s="251">
        <v>220</v>
      </c>
      <c r="F153" s="251">
        <v>44</v>
      </c>
      <c r="G153" s="287">
        <v>0.33</v>
      </c>
      <c r="H153" s="287"/>
      <c r="I153" s="251"/>
      <c r="J153" s="251"/>
      <c r="K153" s="251"/>
      <c r="L153" s="251"/>
      <c r="M153" s="13"/>
      <c r="N153" s="251">
        <f t="shared" si="21"/>
        <v>664.33</v>
      </c>
      <c r="O153" s="251">
        <f>'BBD Monthly Production'!X24*12</f>
        <v>440.21523050552344</v>
      </c>
      <c r="P153" s="271">
        <f t="shared" si="22"/>
        <v>0.66264541794819354</v>
      </c>
      <c r="Y153" s="251">
        <f>SUM('RD Feedstock'!F151,'RD Feedstock'!I151)</f>
        <v>23.121874999999999</v>
      </c>
      <c r="Z153" s="251">
        <f>SUM('RD Feedstock'!G151,'RD Feedstock'!J151)</f>
        <v>7.65625</v>
      </c>
      <c r="AA153" s="251">
        <v>0</v>
      </c>
      <c r="AB153" s="251">
        <f>SUM('RD Feedstock'!B151,'RD Feedstock'!D151,'RD Feedstock'!H151)</f>
        <v>374.51145833333328</v>
      </c>
      <c r="AC153" s="251">
        <f>SUM('RD Feedstock'!C151,'RD Feedstock'!E151)</f>
        <v>12.34375</v>
      </c>
      <c r="AD153" s="251">
        <f t="shared" si="34"/>
        <v>417.63333333333327</v>
      </c>
      <c r="AH153" s="237">
        <f t="shared" si="31"/>
        <v>5.5364055391491744E-2</v>
      </c>
      <c r="AI153" s="237">
        <f t="shared" si="31"/>
        <v>1.8332468672679385E-2</v>
      </c>
      <c r="AJ153" s="237">
        <f t="shared" si="31"/>
        <v>0</v>
      </c>
      <c r="AK153" s="237">
        <f t="shared" si="31"/>
        <v>0.89674704685130502</v>
      </c>
      <c r="AL153" s="237">
        <f t="shared" si="31"/>
        <v>2.9556429084523911E-2</v>
      </c>
      <c r="AM153" s="237">
        <f t="shared" si="25"/>
        <v>1</v>
      </c>
      <c r="AO153" s="237">
        <f t="shared" si="26"/>
        <v>0.75124378109452739</v>
      </c>
      <c r="AP153" s="237">
        <f t="shared" si="27"/>
        <v>0.24875621890547264</v>
      </c>
      <c r="AQ153" s="237">
        <f t="shared" si="28"/>
        <v>0</v>
      </c>
      <c r="AR153" s="237">
        <f t="shared" si="29"/>
        <v>0.96809206717629603</v>
      </c>
      <c r="AS153" s="237">
        <f t="shared" si="29"/>
        <v>3.1907932823703966E-2</v>
      </c>
      <c r="AU153" s="251">
        <f t="shared" si="32"/>
        <v>8641.3264876855555</v>
      </c>
      <c r="AV153" s="251">
        <f t="shared" si="32"/>
        <v>2443.4482683447</v>
      </c>
      <c r="AW153" s="251">
        <f t="shared" si="32"/>
        <v>0</v>
      </c>
      <c r="AX153" s="251">
        <f t="shared" si="32"/>
        <v>112659.18053479235</v>
      </c>
      <c r="AY153" s="251">
        <f t="shared" si="32"/>
        <v>3688.6114270280377</v>
      </c>
      <c r="AZ153" s="251">
        <f t="shared" si="33"/>
        <v>127432.56671785064</v>
      </c>
      <c r="BA153" s="270">
        <f t="shared" si="30"/>
        <v>7.6582713355016354</v>
      </c>
      <c r="BB153" s="251">
        <f t="shared" si="23"/>
        <v>11084.774756030256</v>
      </c>
      <c r="BC153" s="251">
        <f t="shared" si="24"/>
        <v>116347.79196182039</v>
      </c>
    </row>
    <row r="154" spans="1:55">
      <c r="A154" s="11">
        <v>48335</v>
      </c>
      <c r="B154" s="251">
        <v>100</v>
      </c>
      <c r="C154" s="251">
        <v>295</v>
      </c>
      <c r="D154" s="251">
        <v>5</v>
      </c>
      <c r="E154" s="251">
        <v>220</v>
      </c>
      <c r="F154" s="251">
        <v>44</v>
      </c>
      <c r="G154" s="287">
        <v>0.33</v>
      </c>
      <c r="H154" s="287"/>
      <c r="I154" s="251"/>
      <c r="J154" s="251"/>
      <c r="K154" s="251"/>
      <c r="L154" s="251"/>
      <c r="M154" s="13"/>
      <c r="N154" s="251">
        <f t="shared" si="21"/>
        <v>664.33</v>
      </c>
      <c r="O154" s="251">
        <f>'BBD Monthly Production'!X25*12</f>
        <v>474.14673254506715</v>
      </c>
      <c r="P154" s="271">
        <f t="shared" si="22"/>
        <v>0.71372169335280222</v>
      </c>
      <c r="Y154" s="251">
        <f>SUM('RD Feedstock'!F152,'RD Feedstock'!I152)</f>
        <v>23.121874999999999</v>
      </c>
      <c r="Z154" s="251">
        <f>SUM('RD Feedstock'!G152,'RD Feedstock'!J152)</f>
        <v>7.65625</v>
      </c>
      <c r="AA154" s="251">
        <v>0</v>
      </c>
      <c r="AB154" s="251">
        <f>SUM('RD Feedstock'!B152,'RD Feedstock'!D152,'RD Feedstock'!H152)</f>
        <v>374.51145833333328</v>
      </c>
      <c r="AC154" s="251">
        <f>SUM('RD Feedstock'!C152,'RD Feedstock'!E152)</f>
        <v>12.34375</v>
      </c>
      <c r="AD154" s="251">
        <f t="shared" si="34"/>
        <v>417.63333333333327</v>
      </c>
      <c r="AH154" s="237">
        <f t="shared" si="31"/>
        <v>5.5364055391491744E-2</v>
      </c>
      <c r="AI154" s="237">
        <f t="shared" si="31"/>
        <v>1.8332468672679385E-2</v>
      </c>
      <c r="AJ154" s="237">
        <f t="shared" si="31"/>
        <v>0</v>
      </c>
      <c r="AK154" s="237">
        <f t="shared" si="31"/>
        <v>0.89674704685130502</v>
      </c>
      <c r="AL154" s="237">
        <f t="shared" si="31"/>
        <v>2.9556429084523911E-2</v>
      </c>
      <c r="AM154" s="237">
        <f t="shared" si="25"/>
        <v>1</v>
      </c>
      <c r="AO154" s="237">
        <f t="shared" si="26"/>
        <v>0.75124378109452739</v>
      </c>
      <c r="AP154" s="237">
        <f t="shared" si="27"/>
        <v>0.24875621890547264</v>
      </c>
      <c r="AQ154" s="237">
        <f t="shared" si="28"/>
        <v>0</v>
      </c>
      <c r="AR154" s="237">
        <f t="shared" si="29"/>
        <v>0.96809206717629603</v>
      </c>
      <c r="AS154" s="237">
        <f t="shared" si="29"/>
        <v>3.1907932823703966E-2</v>
      </c>
      <c r="AU154" s="251">
        <f t="shared" si="32"/>
        <v>9307.3942813976319</v>
      </c>
      <c r="AV154" s="251">
        <f t="shared" si="32"/>
        <v>2631.7876627033356</v>
      </c>
      <c r="AW154" s="251">
        <f t="shared" si="32"/>
        <v>0</v>
      </c>
      <c r="AX154" s="251">
        <f t="shared" si="32"/>
        <v>121342.87648438461</v>
      </c>
      <c r="AY154" s="251">
        <f t="shared" si="32"/>
        <v>3972.9271832447366</v>
      </c>
      <c r="AZ154" s="251">
        <f t="shared" si="33"/>
        <v>137254.98561173031</v>
      </c>
      <c r="BA154" s="270">
        <f t="shared" si="30"/>
        <v>7.6582713355016381</v>
      </c>
      <c r="BB154" s="251">
        <f t="shared" si="23"/>
        <v>11939.181944100968</v>
      </c>
      <c r="BC154" s="251">
        <f t="shared" si="24"/>
        <v>125315.80366762936</v>
      </c>
    </row>
    <row r="155" spans="1:55">
      <c r="A155" s="11">
        <v>48366</v>
      </c>
      <c r="B155" s="251">
        <v>100</v>
      </c>
      <c r="C155" s="251">
        <v>295</v>
      </c>
      <c r="D155" s="251">
        <v>5</v>
      </c>
      <c r="E155" s="251">
        <v>220</v>
      </c>
      <c r="F155" s="251">
        <v>44</v>
      </c>
      <c r="G155" s="287">
        <v>0.33</v>
      </c>
      <c r="H155" s="287"/>
      <c r="I155" s="251"/>
      <c r="J155" s="251"/>
      <c r="K155" s="251"/>
      <c r="L155" s="251"/>
      <c r="M155" s="13"/>
      <c r="N155" s="251">
        <f t="shared" si="21"/>
        <v>664.33</v>
      </c>
      <c r="O155" s="251">
        <f>'BBD Monthly Production'!X26*12</f>
        <v>591.45704801962393</v>
      </c>
      <c r="P155" s="271">
        <f t="shared" si="22"/>
        <v>0.89030609489203238</v>
      </c>
      <c r="Y155" s="251">
        <f>SUM('RD Feedstock'!F153,'RD Feedstock'!I153)</f>
        <v>23.121874999999999</v>
      </c>
      <c r="Z155" s="251">
        <f>SUM('RD Feedstock'!G153,'RD Feedstock'!J153)</f>
        <v>7.65625</v>
      </c>
      <c r="AA155" s="251">
        <v>0</v>
      </c>
      <c r="AB155" s="251">
        <f>SUM('RD Feedstock'!B153,'RD Feedstock'!D153,'RD Feedstock'!H153)</f>
        <v>374.51145833333328</v>
      </c>
      <c r="AC155" s="251">
        <f>SUM('RD Feedstock'!C153,'RD Feedstock'!E153)</f>
        <v>12.34375</v>
      </c>
      <c r="AD155" s="251">
        <f t="shared" si="34"/>
        <v>417.63333333333327</v>
      </c>
      <c r="AH155" s="237">
        <f t="shared" si="31"/>
        <v>5.5364055391491744E-2</v>
      </c>
      <c r="AI155" s="237">
        <f t="shared" si="31"/>
        <v>1.8332468672679385E-2</v>
      </c>
      <c r="AJ155" s="237">
        <f t="shared" si="31"/>
        <v>0</v>
      </c>
      <c r="AK155" s="237">
        <f t="shared" si="31"/>
        <v>0.89674704685130502</v>
      </c>
      <c r="AL155" s="237">
        <f t="shared" si="31"/>
        <v>2.9556429084523911E-2</v>
      </c>
      <c r="AM155" s="237">
        <f t="shared" si="25"/>
        <v>1</v>
      </c>
      <c r="AO155" s="237">
        <f t="shared" si="26"/>
        <v>0.75124378109452739</v>
      </c>
      <c r="AP155" s="237">
        <f t="shared" si="27"/>
        <v>0.24875621890547264</v>
      </c>
      <c r="AQ155" s="237">
        <f t="shared" si="28"/>
        <v>0</v>
      </c>
      <c r="AR155" s="237">
        <f t="shared" si="29"/>
        <v>0.96809206717629603</v>
      </c>
      <c r="AS155" s="237">
        <f t="shared" si="29"/>
        <v>3.1907932823703966E-2</v>
      </c>
      <c r="AU155" s="251">
        <f t="shared" si="32"/>
        <v>11610.169528916733</v>
      </c>
      <c r="AV155" s="251">
        <f t="shared" si="32"/>
        <v>3282.9275309812001</v>
      </c>
      <c r="AW155" s="251">
        <f t="shared" si="32"/>
        <v>0</v>
      </c>
      <c r="AX155" s="251">
        <f t="shared" si="32"/>
        <v>151364.74554708099</v>
      </c>
      <c r="AY155" s="251">
        <f t="shared" si="32"/>
        <v>4955.8831106687076</v>
      </c>
      <c r="AZ155" s="251">
        <f t="shared" si="33"/>
        <v>171213.72571764764</v>
      </c>
      <c r="BA155" s="270">
        <f t="shared" si="30"/>
        <v>7.6582713355016372</v>
      </c>
      <c r="BB155" s="251">
        <f t="shared" si="23"/>
        <v>14893.097059897933</v>
      </c>
      <c r="BC155" s="251">
        <f t="shared" si="24"/>
        <v>156320.62865774971</v>
      </c>
    </row>
    <row r="156" spans="1:55">
      <c r="A156" s="11">
        <v>48396</v>
      </c>
      <c r="B156" s="251">
        <v>100</v>
      </c>
      <c r="C156" s="251">
        <v>295</v>
      </c>
      <c r="D156" s="251">
        <v>5</v>
      </c>
      <c r="E156" s="251">
        <v>220</v>
      </c>
      <c r="F156" s="251">
        <v>44</v>
      </c>
      <c r="G156" s="287">
        <v>0.33</v>
      </c>
      <c r="H156" s="287"/>
      <c r="I156" s="251"/>
      <c r="J156" s="251"/>
      <c r="K156" s="251"/>
      <c r="L156" s="251"/>
      <c r="M156" s="13"/>
      <c r="N156" s="251">
        <f t="shared" si="21"/>
        <v>664.33</v>
      </c>
      <c r="O156" s="251">
        <f>'BBD Monthly Production'!X27*12</f>
        <v>520.23151028165785</v>
      </c>
      <c r="P156" s="271">
        <f t="shared" si="22"/>
        <v>0.78309200289262537</v>
      </c>
      <c r="Y156" s="251">
        <f>SUM('RD Feedstock'!F154,'RD Feedstock'!I154)</f>
        <v>23.121874999999999</v>
      </c>
      <c r="Z156" s="251">
        <f>SUM('RD Feedstock'!G154,'RD Feedstock'!J154)</f>
        <v>7.65625</v>
      </c>
      <c r="AA156" s="251">
        <v>0</v>
      </c>
      <c r="AB156" s="251">
        <f>SUM('RD Feedstock'!B154,'RD Feedstock'!D154,'RD Feedstock'!H154)</f>
        <v>374.51145833333328</v>
      </c>
      <c r="AC156" s="251">
        <f>SUM('RD Feedstock'!C154,'RD Feedstock'!E154)</f>
        <v>12.34375</v>
      </c>
      <c r="AD156" s="251">
        <f t="shared" si="34"/>
        <v>417.63333333333327</v>
      </c>
      <c r="AH156" s="237">
        <f t="shared" si="31"/>
        <v>5.5364055391491744E-2</v>
      </c>
      <c r="AI156" s="237">
        <f t="shared" si="31"/>
        <v>1.8332468672679385E-2</v>
      </c>
      <c r="AJ156" s="237">
        <f t="shared" si="31"/>
        <v>0</v>
      </c>
      <c r="AK156" s="237">
        <f t="shared" si="31"/>
        <v>0.89674704685130502</v>
      </c>
      <c r="AL156" s="237">
        <f t="shared" si="31"/>
        <v>2.9556429084523911E-2</v>
      </c>
      <c r="AM156" s="237">
        <f t="shared" si="25"/>
        <v>1</v>
      </c>
      <c r="AO156" s="237">
        <f t="shared" si="26"/>
        <v>0.75124378109452739</v>
      </c>
      <c r="AP156" s="237">
        <f t="shared" si="27"/>
        <v>0.24875621890547264</v>
      </c>
      <c r="AQ156" s="237">
        <f t="shared" si="28"/>
        <v>0</v>
      </c>
      <c r="AR156" s="237">
        <f t="shared" si="29"/>
        <v>0.96809206717629603</v>
      </c>
      <c r="AS156" s="237">
        <f t="shared" si="29"/>
        <v>3.1907932823703966E-2</v>
      </c>
      <c r="AU156" s="251">
        <f t="shared" si="32"/>
        <v>10212.028158051531</v>
      </c>
      <c r="AV156" s="251">
        <f t="shared" si="32"/>
        <v>2887.5847423005398</v>
      </c>
      <c r="AW156" s="251">
        <f t="shared" si="32"/>
        <v>0</v>
      </c>
      <c r="AX156" s="251">
        <f t="shared" si="32"/>
        <v>133136.8193903814</v>
      </c>
      <c r="AY156" s="251">
        <f t="shared" si="32"/>
        <v>4359.0765619839231</v>
      </c>
      <c r="AZ156" s="251">
        <f t="shared" si="33"/>
        <v>150595.50885271741</v>
      </c>
      <c r="BA156" s="270">
        <f t="shared" si="30"/>
        <v>7.658271335501639</v>
      </c>
      <c r="BB156" s="251">
        <f t="shared" si="23"/>
        <v>13099.612900352071</v>
      </c>
      <c r="BC156" s="251">
        <f t="shared" si="24"/>
        <v>137495.89595236533</v>
      </c>
    </row>
    <row r="157" spans="1:55">
      <c r="A157" s="11">
        <v>48427</v>
      </c>
      <c r="B157" s="251">
        <v>100</v>
      </c>
      <c r="C157" s="251">
        <v>295</v>
      </c>
      <c r="D157" s="251">
        <v>5</v>
      </c>
      <c r="E157" s="251">
        <v>220</v>
      </c>
      <c r="F157" s="251">
        <v>44</v>
      </c>
      <c r="G157" s="287">
        <v>0.33</v>
      </c>
      <c r="H157" s="287"/>
      <c r="I157" s="251"/>
      <c r="J157" s="251"/>
      <c r="K157" s="251"/>
      <c r="L157" s="251"/>
      <c r="M157" s="13"/>
      <c r="N157" s="251">
        <f t="shared" si="21"/>
        <v>664.33</v>
      </c>
      <c r="O157" s="251">
        <f>'BBD Monthly Production'!X28*12</f>
        <v>457.30005600510725</v>
      </c>
      <c r="P157" s="271">
        <f t="shared" si="22"/>
        <v>0.68836279560626079</v>
      </c>
      <c r="Y157" s="251">
        <f>SUM('RD Feedstock'!F155,'RD Feedstock'!I155)</f>
        <v>23.121874999999999</v>
      </c>
      <c r="Z157" s="251">
        <f>SUM('RD Feedstock'!G155,'RD Feedstock'!J155)</f>
        <v>7.65625</v>
      </c>
      <c r="AA157" s="251">
        <v>0</v>
      </c>
      <c r="AB157" s="251">
        <f>SUM('RD Feedstock'!B155,'RD Feedstock'!D155,'RD Feedstock'!H155)</f>
        <v>374.51145833333328</v>
      </c>
      <c r="AC157" s="251">
        <f>SUM('RD Feedstock'!C155,'RD Feedstock'!E155)</f>
        <v>12.34375</v>
      </c>
      <c r="AD157" s="251">
        <f t="shared" si="34"/>
        <v>417.63333333333327</v>
      </c>
      <c r="AH157" s="237">
        <f t="shared" si="31"/>
        <v>5.5364055391491744E-2</v>
      </c>
      <c r="AI157" s="237">
        <f t="shared" si="31"/>
        <v>1.8332468672679385E-2</v>
      </c>
      <c r="AJ157" s="237">
        <f t="shared" si="31"/>
        <v>0</v>
      </c>
      <c r="AK157" s="237">
        <f t="shared" si="31"/>
        <v>0.89674704685130502</v>
      </c>
      <c r="AL157" s="237">
        <f t="shared" si="31"/>
        <v>2.9556429084523911E-2</v>
      </c>
      <c r="AM157" s="237">
        <f t="shared" si="25"/>
        <v>1</v>
      </c>
      <c r="AO157" s="237">
        <f t="shared" si="26"/>
        <v>0.75124378109452739</v>
      </c>
      <c r="AP157" s="237">
        <f t="shared" si="27"/>
        <v>0.24875621890547264</v>
      </c>
      <c r="AQ157" s="237">
        <f t="shared" si="28"/>
        <v>0</v>
      </c>
      <c r="AR157" s="237">
        <f t="shared" si="29"/>
        <v>0.96809206717629603</v>
      </c>
      <c r="AS157" s="237">
        <f t="shared" si="29"/>
        <v>3.1907932823703966E-2</v>
      </c>
      <c r="AU157" s="251">
        <f t="shared" si="32"/>
        <v>8976.6977899403664</v>
      </c>
      <c r="AV157" s="251">
        <f t="shared" si="32"/>
        <v>2538.2788975212284</v>
      </c>
      <c r="AW157" s="251">
        <f t="shared" si="32"/>
        <v>0</v>
      </c>
      <c r="AX157" s="251">
        <f t="shared" si="32"/>
        <v>117031.50186077811</v>
      </c>
      <c r="AY157" s="251">
        <f t="shared" si="32"/>
        <v>3831.7670431891975</v>
      </c>
      <c r="AZ157" s="251">
        <f t="shared" si="33"/>
        <v>132378.24559142889</v>
      </c>
      <c r="BA157" s="270">
        <f t="shared" si="30"/>
        <v>7.6582713355016363</v>
      </c>
      <c r="BB157" s="251">
        <f t="shared" si="23"/>
        <v>11514.976687461594</v>
      </c>
      <c r="BC157" s="251">
        <f t="shared" si="24"/>
        <v>120863.26890396731</v>
      </c>
    </row>
    <row r="158" spans="1:55">
      <c r="A158" s="11">
        <v>48458</v>
      </c>
      <c r="B158" s="251">
        <v>100</v>
      </c>
      <c r="C158" s="251">
        <v>295</v>
      </c>
      <c r="D158" s="251">
        <v>5</v>
      </c>
      <c r="E158" s="251">
        <v>220</v>
      </c>
      <c r="F158" s="251">
        <v>44</v>
      </c>
      <c r="G158" s="287">
        <v>0.33</v>
      </c>
      <c r="H158" s="287"/>
      <c r="I158" s="251"/>
      <c r="J158" s="251"/>
      <c r="K158" s="251"/>
      <c r="L158" s="251"/>
      <c r="M158" s="13"/>
      <c r="N158" s="251">
        <f t="shared" si="21"/>
        <v>664.33</v>
      </c>
      <c r="O158" s="251">
        <f>'BBD Monthly Production'!X29*12</f>
        <v>499.38341499064148</v>
      </c>
      <c r="P158" s="271">
        <f t="shared" si="22"/>
        <v>0.75170986556476671</v>
      </c>
      <c r="Y158" s="251">
        <f>SUM('RD Feedstock'!F156,'RD Feedstock'!I156)</f>
        <v>23.121874999999999</v>
      </c>
      <c r="Z158" s="251">
        <f>SUM('RD Feedstock'!G156,'RD Feedstock'!J156)</f>
        <v>7.65625</v>
      </c>
      <c r="AA158" s="251">
        <v>0</v>
      </c>
      <c r="AB158" s="251">
        <f>SUM('RD Feedstock'!B156,'RD Feedstock'!D156,'RD Feedstock'!H156)</f>
        <v>374.51145833333328</v>
      </c>
      <c r="AC158" s="251">
        <f>SUM('RD Feedstock'!C156,'RD Feedstock'!E156)</f>
        <v>12.34375</v>
      </c>
      <c r="AD158" s="251">
        <f t="shared" si="34"/>
        <v>417.63333333333327</v>
      </c>
      <c r="AH158" s="237">
        <f t="shared" si="31"/>
        <v>5.5364055391491744E-2</v>
      </c>
      <c r="AI158" s="237">
        <f t="shared" si="31"/>
        <v>1.8332468672679385E-2</v>
      </c>
      <c r="AJ158" s="237">
        <f t="shared" si="31"/>
        <v>0</v>
      </c>
      <c r="AK158" s="237">
        <f t="shared" si="31"/>
        <v>0.89674704685130502</v>
      </c>
      <c r="AL158" s="237">
        <f t="shared" si="31"/>
        <v>2.9556429084523911E-2</v>
      </c>
      <c r="AM158" s="237">
        <f t="shared" si="25"/>
        <v>1</v>
      </c>
      <c r="AO158" s="237">
        <f t="shared" si="26"/>
        <v>0.75124378109452739</v>
      </c>
      <c r="AP158" s="237">
        <f t="shared" si="27"/>
        <v>0.24875621890547264</v>
      </c>
      <c r="AQ158" s="237">
        <f t="shared" si="28"/>
        <v>0</v>
      </c>
      <c r="AR158" s="237">
        <f t="shared" si="29"/>
        <v>0.96809206717629603</v>
      </c>
      <c r="AS158" s="237">
        <f t="shared" si="29"/>
        <v>3.1907932823703966E-2</v>
      </c>
      <c r="AU158" s="251">
        <f t="shared" si="32"/>
        <v>9802.7847117283109</v>
      </c>
      <c r="AV158" s="251">
        <f t="shared" si="32"/>
        <v>2771.8657966415703</v>
      </c>
      <c r="AW158" s="251">
        <f t="shared" si="32"/>
        <v>0</v>
      </c>
      <c r="AX158" s="251">
        <f t="shared" si="32"/>
        <v>127801.40805420384</v>
      </c>
      <c r="AY158" s="251">
        <f t="shared" si="32"/>
        <v>4184.3880978117422</v>
      </c>
      <c r="AZ158" s="251">
        <f t="shared" si="33"/>
        <v>144560.44666038547</v>
      </c>
      <c r="BA158" s="270">
        <f t="shared" si="30"/>
        <v>7.6582713355016363</v>
      </c>
      <c r="BB158" s="251">
        <f t="shared" si="23"/>
        <v>12574.650508369881</v>
      </c>
      <c r="BC158" s="251">
        <f t="shared" si="24"/>
        <v>131985.79615201559</v>
      </c>
    </row>
    <row r="159" spans="1:55">
      <c r="A159" s="11">
        <v>48488</v>
      </c>
      <c r="B159" s="251">
        <v>100</v>
      </c>
      <c r="C159" s="251">
        <v>295</v>
      </c>
      <c r="D159" s="251">
        <v>5</v>
      </c>
      <c r="E159" s="251">
        <v>220</v>
      </c>
      <c r="F159" s="251">
        <v>44</v>
      </c>
      <c r="G159" s="287">
        <v>0.33</v>
      </c>
      <c r="H159" s="287"/>
      <c r="I159" s="251"/>
      <c r="J159" s="251"/>
      <c r="K159" s="251"/>
      <c r="L159" s="251"/>
      <c r="M159" s="13"/>
      <c r="N159" s="251">
        <f t="shared" si="21"/>
        <v>664.33</v>
      </c>
      <c r="O159" s="251">
        <f>'BBD Monthly Production'!X30*12</f>
        <v>398.70188600550989</v>
      </c>
      <c r="P159" s="271">
        <f t="shared" si="22"/>
        <v>0.60015637711003544</v>
      </c>
      <c r="Y159" s="251">
        <f>SUM('RD Feedstock'!F157,'RD Feedstock'!I157)</f>
        <v>23.121874999999999</v>
      </c>
      <c r="Z159" s="251">
        <f>SUM('RD Feedstock'!G157,'RD Feedstock'!J157)</f>
        <v>7.65625</v>
      </c>
      <c r="AA159" s="251">
        <v>0</v>
      </c>
      <c r="AB159" s="251">
        <f>SUM('RD Feedstock'!B157,'RD Feedstock'!D157,'RD Feedstock'!H157)</f>
        <v>374.51145833333328</v>
      </c>
      <c r="AC159" s="251">
        <f>SUM('RD Feedstock'!C157,'RD Feedstock'!E157)</f>
        <v>12.34375</v>
      </c>
      <c r="AD159" s="251">
        <f t="shared" si="34"/>
        <v>417.63333333333327</v>
      </c>
      <c r="AH159" s="237">
        <f t="shared" si="31"/>
        <v>5.5364055391491744E-2</v>
      </c>
      <c r="AI159" s="237">
        <f t="shared" si="31"/>
        <v>1.8332468672679385E-2</v>
      </c>
      <c r="AJ159" s="237">
        <f t="shared" si="31"/>
        <v>0</v>
      </c>
      <c r="AK159" s="237">
        <f t="shared" si="31"/>
        <v>0.89674704685130502</v>
      </c>
      <c r="AL159" s="237">
        <f t="shared" si="31"/>
        <v>2.9556429084523911E-2</v>
      </c>
      <c r="AM159" s="237">
        <f t="shared" si="25"/>
        <v>1</v>
      </c>
      <c r="AO159" s="237">
        <f t="shared" si="26"/>
        <v>0.75124378109452739</v>
      </c>
      <c r="AP159" s="237">
        <f t="shared" si="27"/>
        <v>0.24875621890547264</v>
      </c>
      <c r="AQ159" s="237">
        <f t="shared" si="28"/>
        <v>0</v>
      </c>
      <c r="AR159" s="237">
        <f t="shared" si="29"/>
        <v>0.96809206717629603</v>
      </c>
      <c r="AS159" s="237">
        <f t="shared" si="29"/>
        <v>3.1907932823703966E-2</v>
      </c>
      <c r="AU159" s="251">
        <f t="shared" si="32"/>
        <v>7826.4288227219149</v>
      </c>
      <c r="AV159" s="251">
        <f t="shared" si="32"/>
        <v>2213.025278174026</v>
      </c>
      <c r="AW159" s="251">
        <f t="shared" si="32"/>
        <v>0</v>
      </c>
      <c r="AX159" s="251">
        <f t="shared" si="32"/>
        <v>102035.15154047664</v>
      </c>
      <c r="AY159" s="251">
        <f t="shared" si="32"/>
        <v>3340.7665859464196</v>
      </c>
      <c r="AZ159" s="251">
        <f t="shared" si="33"/>
        <v>115415.37222731899</v>
      </c>
      <c r="BA159" s="270">
        <f t="shared" si="30"/>
        <v>7.6582713355016363</v>
      </c>
      <c r="BB159" s="251">
        <f t="shared" si="23"/>
        <v>10039.45410089594</v>
      </c>
      <c r="BC159" s="251">
        <f t="shared" si="24"/>
        <v>105375.91812642306</v>
      </c>
    </row>
    <row r="160" spans="1:55">
      <c r="A160" s="11">
        <v>48519</v>
      </c>
      <c r="B160" s="251">
        <v>100</v>
      </c>
      <c r="C160" s="251">
        <v>295</v>
      </c>
      <c r="D160" s="251">
        <v>5</v>
      </c>
      <c r="E160" s="251">
        <v>220</v>
      </c>
      <c r="F160" s="251">
        <v>44</v>
      </c>
      <c r="G160" s="287">
        <v>0.33</v>
      </c>
      <c r="H160" s="287"/>
      <c r="I160" s="251"/>
      <c r="J160" s="251"/>
      <c r="K160" s="251"/>
      <c r="L160" s="251"/>
      <c r="M160" s="13"/>
      <c r="N160" s="251">
        <f t="shared" si="21"/>
        <v>664.33</v>
      </c>
      <c r="O160" s="251">
        <f>'BBD Monthly Production'!X31*12</f>
        <v>513.67672543961316</v>
      </c>
      <c r="P160" s="271">
        <f t="shared" si="22"/>
        <v>0.77322524263485481</v>
      </c>
      <c r="Y160" s="251">
        <f>SUM('RD Feedstock'!F158,'RD Feedstock'!I158)</f>
        <v>23.121874999999999</v>
      </c>
      <c r="Z160" s="251">
        <f>SUM('RD Feedstock'!G158,'RD Feedstock'!J158)</f>
        <v>7.65625</v>
      </c>
      <c r="AA160" s="251">
        <v>0</v>
      </c>
      <c r="AB160" s="251">
        <f>SUM('RD Feedstock'!B158,'RD Feedstock'!D158,'RD Feedstock'!H158)</f>
        <v>374.51145833333328</v>
      </c>
      <c r="AC160" s="251">
        <f>SUM('RD Feedstock'!C158,'RD Feedstock'!E158)</f>
        <v>12.34375</v>
      </c>
      <c r="AD160" s="251">
        <f t="shared" si="34"/>
        <v>417.63333333333327</v>
      </c>
      <c r="AH160" s="237">
        <f t="shared" si="31"/>
        <v>5.5364055391491744E-2</v>
      </c>
      <c r="AI160" s="237">
        <f t="shared" si="31"/>
        <v>1.8332468672679385E-2</v>
      </c>
      <c r="AJ160" s="237">
        <f t="shared" si="31"/>
        <v>0</v>
      </c>
      <c r="AK160" s="237">
        <f t="shared" si="31"/>
        <v>0.89674704685130502</v>
      </c>
      <c r="AL160" s="237">
        <f t="shared" si="31"/>
        <v>2.9556429084523911E-2</v>
      </c>
      <c r="AM160" s="237">
        <f t="shared" si="25"/>
        <v>1</v>
      </c>
      <c r="AO160" s="237">
        <f t="shared" si="26"/>
        <v>0.75124378109452739</v>
      </c>
      <c r="AP160" s="237">
        <f t="shared" si="27"/>
        <v>0.24875621890547264</v>
      </c>
      <c r="AQ160" s="237">
        <f t="shared" si="28"/>
        <v>0</v>
      </c>
      <c r="AR160" s="237">
        <f t="shared" si="29"/>
        <v>0.96809206717629603</v>
      </c>
      <c r="AS160" s="237">
        <f t="shared" si="29"/>
        <v>3.1907932823703966E-2</v>
      </c>
      <c r="AU160" s="251">
        <f t="shared" si="32"/>
        <v>10083.359198071217</v>
      </c>
      <c r="AV160" s="251">
        <f t="shared" si="32"/>
        <v>2851.2019082643942</v>
      </c>
      <c r="AW160" s="251">
        <f t="shared" si="32"/>
        <v>0</v>
      </c>
      <c r="AX160" s="251">
        <f t="shared" si="32"/>
        <v>131459.32929527806</v>
      </c>
      <c r="AY160" s="251">
        <f t="shared" si="32"/>
        <v>4304.15330491644</v>
      </c>
      <c r="AZ160" s="251">
        <f t="shared" si="33"/>
        <v>148698.04370653009</v>
      </c>
      <c r="BA160" s="270">
        <f t="shared" si="30"/>
        <v>7.6582713355016345</v>
      </c>
      <c r="BB160" s="251">
        <f t="shared" si="23"/>
        <v>12934.561106335612</v>
      </c>
      <c r="BC160" s="251">
        <f t="shared" si="24"/>
        <v>135763.48260019449</v>
      </c>
    </row>
    <row r="161" spans="1:55">
      <c r="A161" s="11">
        <v>48549</v>
      </c>
      <c r="B161" s="251">
        <v>100</v>
      </c>
      <c r="C161" s="251">
        <v>295</v>
      </c>
      <c r="D161" s="251">
        <v>5</v>
      </c>
      <c r="E161" s="251">
        <v>220</v>
      </c>
      <c r="F161" s="251">
        <v>44</v>
      </c>
      <c r="G161" s="287">
        <v>0.33</v>
      </c>
      <c r="H161" s="287"/>
      <c r="I161" s="251"/>
      <c r="J161" s="251"/>
      <c r="K161" s="251"/>
      <c r="L161" s="251"/>
      <c r="M161" s="13"/>
      <c r="N161" s="251">
        <f t="shared" si="21"/>
        <v>664.33</v>
      </c>
      <c r="O161" s="251">
        <f>'BBD Monthly Production'!X32*12</f>
        <v>704.91413659039563</v>
      </c>
      <c r="P161" s="271">
        <f t="shared" si="22"/>
        <v>1.0610903264799054</v>
      </c>
      <c r="Y161" s="251">
        <f>SUM('RD Feedstock'!F159,'RD Feedstock'!I159)</f>
        <v>23.121874999999999</v>
      </c>
      <c r="Z161" s="251">
        <f>SUM('RD Feedstock'!G159,'RD Feedstock'!J159)</f>
        <v>7.65625</v>
      </c>
      <c r="AA161" s="251">
        <v>0</v>
      </c>
      <c r="AB161" s="251">
        <f>SUM('RD Feedstock'!B159,'RD Feedstock'!D159,'RD Feedstock'!H159)</f>
        <v>374.51145833333328</v>
      </c>
      <c r="AC161" s="251">
        <f>SUM('RD Feedstock'!C159,'RD Feedstock'!E159)</f>
        <v>12.34375</v>
      </c>
      <c r="AD161" s="251">
        <f t="shared" si="34"/>
        <v>417.63333333333327</v>
      </c>
      <c r="AH161" s="237">
        <f t="shared" si="31"/>
        <v>5.5364055391491744E-2</v>
      </c>
      <c r="AI161" s="237">
        <f t="shared" si="31"/>
        <v>1.8332468672679385E-2</v>
      </c>
      <c r="AJ161" s="237">
        <f t="shared" si="31"/>
        <v>0</v>
      </c>
      <c r="AK161" s="237">
        <f t="shared" si="31"/>
        <v>0.89674704685130502</v>
      </c>
      <c r="AL161" s="237">
        <f t="shared" si="31"/>
        <v>2.9556429084523911E-2</v>
      </c>
      <c r="AM161" s="237">
        <f t="shared" si="25"/>
        <v>1</v>
      </c>
      <c r="AO161" s="237">
        <f t="shared" si="26"/>
        <v>0.75124378109452739</v>
      </c>
      <c r="AP161" s="237">
        <f t="shared" si="27"/>
        <v>0.24875621890547264</v>
      </c>
      <c r="AQ161" s="237">
        <f t="shared" si="28"/>
        <v>0</v>
      </c>
      <c r="AR161" s="237">
        <f t="shared" si="29"/>
        <v>0.96809206717629603</v>
      </c>
      <c r="AS161" s="237">
        <f t="shared" si="29"/>
        <v>3.1907932823703966E-2</v>
      </c>
      <c r="AU161" s="251">
        <f t="shared" si="32"/>
        <v>13837.3067943776</v>
      </c>
      <c r="AV161" s="251">
        <f t="shared" si="32"/>
        <v>3912.6797689519963</v>
      </c>
      <c r="AW161" s="251">
        <f t="shared" si="32"/>
        <v>0</v>
      </c>
      <c r="AX161" s="251">
        <f t="shared" si="32"/>
        <v>180400.50291869268</v>
      </c>
      <c r="AY161" s="251">
        <f t="shared" si="32"/>
        <v>5906.5524296263802</v>
      </c>
      <c r="AZ161" s="251">
        <f t="shared" si="33"/>
        <v>204057.04191164864</v>
      </c>
      <c r="BA161" s="270">
        <f t="shared" si="30"/>
        <v>7.6582713355016354</v>
      </c>
      <c r="BB161" s="251">
        <f t="shared" si="23"/>
        <v>17749.986563329596</v>
      </c>
      <c r="BC161" s="251">
        <f t="shared" si="24"/>
        <v>186307.05534831906</v>
      </c>
    </row>
    <row r="162" spans="1:55">
      <c r="A162" s="11">
        <v>48580</v>
      </c>
      <c r="B162" s="251">
        <v>100</v>
      </c>
      <c r="C162" s="251">
        <v>295</v>
      </c>
      <c r="D162" s="251">
        <v>5</v>
      </c>
      <c r="E162" s="251">
        <v>220</v>
      </c>
      <c r="F162" s="251">
        <v>44</v>
      </c>
      <c r="G162" s="287">
        <v>0.33</v>
      </c>
      <c r="H162" s="287"/>
      <c r="I162" s="251"/>
      <c r="J162" s="251"/>
      <c r="K162" s="251"/>
      <c r="L162" s="251"/>
      <c r="M162" s="13"/>
      <c r="N162" s="251">
        <f t="shared" si="21"/>
        <v>664.33</v>
      </c>
      <c r="O162" s="251">
        <f>'BBD Monthly Production'!Y21*12</f>
        <v>225.24617456996771</v>
      </c>
      <c r="P162" s="271">
        <f t="shared" si="22"/>
        <v>0.3390576589495698</v>
      </c>
      <c r="Y162" s="251">
        <f>SUM('RD Feedstock'!F160,'RD Feedstock'!I160)</f>
        <v>23.121874999999999</v>
      </c>
      <c r="Z162" s="251">
        <f>SUM('RD Feedstock'!G160,'RD Feedstock'!J160)</f>
        <v>7.65625</v>
      </c>
      <c r="AA162" s="251">
        <v>0</v>
      </c>
      <c r="AB162" s="251">
        <f>SUM('RD Feedstock'!B160,'RD Feedstock'!D160,'RD Feedstock'!H160)</f>
        <v>374.51145833333328</v>
      </c>
      <c r="AC162" s="251">
        <f>SUM('RD Feedstock'!C160,'RD Feedstock'!E160)</f>
        <v>12.34375</v>
      </c>
      <c r="AD162" s="251">
        <f t="shared" si="34"/>
        <v>417.63333333333327</v>
      </c>
      <c r="AH162" s="237">
        <f t="shared" si="31"/>
        <v>5.5364055391491744E-2</v>
      </c>
      <c r="AI162" s="237">
        <f t="shared" si="31"/>
        <v>1.8332468672679385E-2</v>
      </c>
      <c r="AJ162" s="237">
        <f t="shared" si="31"/>
        <v>0</v>
      </c>
      <c r="AK162" s="237">
        <f t="shared" si="31"/>
        <v>0.89674704685130502</v>
      </c>
      <c r="AL162" s="237">
        <f t="shared" si="31"/>
        <v>2.9556429084523911E-2</v>
      </c>
      <c r="AM162" s="237">
        <f t="shared" si="25"/>
        <v>1</v>
      </c>
      <c r="AO162" s="237">
        <f t="shared" si="26"/>
        <v>0.75124378109452739</v>
      </c>
      <c r="AP162" s="237">
        <f t="shared" si="27"/>
        <v>0.24875621890547264</v>
      </c>
      <c r="AQ162" s="237">
        <f t="shared" si="28"/>
        <v>0</v>
      </c>
      <c r="AR162" s="237">
        <f t="shared" si="29"/>
        <v>0.96809206717629603</v>
      </c>
      <c r="AS162" s="237">
        <f t="shared" si="29"/>
        <v>3.1907932823703966E-2</v>
      </c>
      <c r="AU162" s="251">
        <f t="shared" si="32"/>
        <v>4421.5320136155196</v>
      </c>
      <c r="AV162" s="251">
        <f t="shared" si="32"/>
        <v>1250.2461002365294</v>
      </c>
      <c r="AW162" s="251">
        <f t="shared" si="32"/>
        <v>0</v>
      </c>
      <c r="AX162" s="251">
        <f t="shared" si="32"/>
        <v>57644.642182208539</v>
      </c>
      <c r="AY162" s="251">
        <f t="shared" si="32"/>
        <v>1887.3622624529125</v>
      </c>
      <c r="AZ162" s="251">
        <f t="shared" si="33"/>
        <v>65203.7825585135</v>
      </c>
      <c r="BA162" s="270">
        <f t="shared" si="30"/>
        <v>7.6582713355016381</v>
      </c>
      <c r="BB162" s="251">
        <f t="shared" si="23"/>
        <v>5671.7781138520495</v>
      </c>
      <c r="BC162" s="251">
        <f t="shared" si="24"/>
        <v>59532.004444661448</v>
      </c>
    </row>
    <row r="163" spans="1:55">
      <c r="A163" s="11">
        <v>48611</v>
      </c>
      <c r="B163" s="251">
        <v>100</v>
      </c>
      <c r="C163" s="251">
        <v>295</v>
      </c>
      <c r="D163" s="251">
        <v>5</v>
      </c>
      <c r="E163" s="251">
        <v>220</v>
      </c>
      <c r="F163" s="251">
        <v>44</v>
      </c>
      <c r="G163" s="287">
        <v>0.33</v>
      </c>
      <c r="H163" s="287"/>
      <c r="I163" s="251"/>
      <c r="J163" s="251"/>
      <c r="K163" s="251"/>
      <c r="L163" s="251"/>
      <c r="M163" s="13"/>
      <c r="N163" s="251">
        <f t="shared" si="21"/>
        <v>664.33</v>
      </c>
      <c r="O163" s="251">
        <f>'BBD Monthly Production'!Y22*12</f>
        <v>264.56224279726217</v>
      </c>
      <c r="P163" s="271">
        <f t="shared" si="22"/>
        <v>0.39823919256583651</v>
      </c>
      <c r="Y163" s="251">
        <f>SUM('RD Feedstock'!F161,'RD Feedstock'!I161)</f>
        <v>23.121874999999999</v>
      </c>
      <c r="Z163" s="251">
        <f>SUM('RD Feedstock'!G161,'RD Feedstock'!J161)</f>
        <v>7.65625</v>
      </c>
      <c r="AA163" s="251">
        <v>0</v>
      </c>
      <c r="AB163" s="251">
        <f>SUM('RD Feedstock'!B161,'RD Feedstock'!D161,'RD Feedstock'!H161)</f>
        <v>374.51145833333328</v>
      </c>
      <c r="AC163" s="251">
        <f>SUM('RD Feedstock'!C161,'RD Feedstock'!E161)</f>
        <v>12.34375</v>
      </c>
      <c r="AD163" s="251">
        <f t="shared" si="34"/>
        <v>417.63333333333327</v>
      </c>
      <c r="AH163" s="237">
        <f t="shared" ref="AH163:AL226" si="35">Y163/$AD163</f>
        <v>5.5364055391491744E-2</v>
      </c>
      <c r="AI163" s="237">
        <f t="shared" si="35"/>
        <v>1.8332468672679385E-2</v>
      </c>
      <c r="AJ163" s="237">
        <f t="shared" si="35"/>
        <v>0</v>
      </c>
      <c r="AK163" s="237">
        <f t="shared" si="35"/>
        <v>0.89674704685130502</v>
      </c>
      <c r="AL163" s="237">
        <f t="shared" si="35"/>
        <v>2.9556429084523911E-2</v>
      </c>
      <c r="AM163" s="237">
        <f t="shared" si="25"/>
        <v>1</v>
      </c>
      <c r="AO163" s="237">
        <f t="shared" si="26"/>
        <v>0.75124378109452739</v>
      </c>
      <c r="AP163" s="237">
        <f t="shared" si="27"/>
        <v>0.24875621890547264</v>
      </c>
      <c r="AQ163" s="237">
        <f t="shared" si="28"/>
        <v>0</v>
      </c>
      <c r="AR163" s="237">
        <f t="shared" si="29"/>
        <v>0.96809206717629603</v>
      </c>
      <c r="AS163" s="237">
        <f t="shared" si="29"/>
        <v>3.1907932823703966E-2</v>
      </c>
      <c r="AU163" s="251">
        <f t="shared" si="32"/>
        <v>5193.2976369312464</v>
      </c>
      <c r="AV163" s="251">
        <f t="shared" si="32"/>
        <v>1468.4729405886587</v>
      </c>
      <c r="AW163" s="251">
        <f t="shared" si="32"/>
        <v>0</v>
      </c>
      <c r="AX163" s="251">
        <f t="shared" si="32"/>
        <v>67706.347733037721</v>
      </c>
      <c r="AY163" s="251">
        <f t="shared" si="32"/>
        <v>2216.7958860067274</v>
      </c>
      <c r="AZ163" s="251">
        <f t="shared" si="33"/>
        <v>76584.91419656435</v>
      </c>
      <c r="BA163" s="270">
        <f t="shared" si="30"/>
        <v>7.6582713355016354</v>
      </c>
      <c r="BB163" s="251">
        <f t="shared" si="23"/>
        <v>6661.7705775199047</v>
      </c>
      <c r="BC163" s="251">
        <f t="shared" si="24"/>
        <v>69923.143619044451</v>
      </c>
    </row>
    <row r="164" spans="1:55">
      <c r="A164" s="11">
        <v>48639</v>
      </c>
      <c r="B164" s="251">
        <v>100</v>
      </c>
      <c r="C164" s="251">
        <v>295</v>
      </c>
      <c r="D164" s="251">
        <v>5</v>
      </c>
      <c r="E164" s="251">
        <v>220</v>
      </c>
      <c r="F164" s="251">
        <v>44</v>
      </c>
      <c r="G164" s="287">
        <v>0.33</v>
      </c>
      <c r="H164" s="287"/>
      <c r="I164" s="251"/>
      <c r="J164" s="251"/>
      <c r="K164" s="251"/>
      <c r="L164" s="251"/>
      <c r="M164" s="13"/>
      <c r="N164" s="251">
        <f t="shared" si="21"/>
        <v>664.33</v>
      </c>
      <c r="O164" s="251">
        <f>'BBD Monthly Production'!Y23*12</f>
        <v>517.27130174143576</v>
      </c>
      <c r="P164" s="271">
        <f t="shared" si="22"/>
        <v>0.77863607204467011</v>
      </c>
      <c r="Y164" s="251">
        <f>SUM('RD Feedstock'!F162,'RD Feedstock'!I162)</f>
        <v>23.121874999999999</v>
      </c>
      <c r="Z164" s="251">
        <f>SUM('RD Feedstock'!G162,'RD Feedstock'!J162)</f>
        <v>7.65625</v>
      </c>
      <c r="AA164" s="251">
        <v>0</v>
      </c>
      <c r="AB164" s="251">
        <f>SUM('RD Feedstock'!B162,'RD Feedstock'!D162,'RD Feedstock'!H162)</f>
        <v>374.51145833333328</v>
      </c>
      <c r="AC164" s="251">
        <f>SUM('RD Feedstock'!C162,'RD Feedstock'!E162)</f>
        <v>12.34375</v>
      </c>
      <c r="AD164" s="251">
        <f t="shared" si="34"/>
        <v>417.63333333333327</v>
      </c>
      <c r="AH164" s="237">
        <f t="shared" si="35"/>
        <v>5.5364055391491744E-2</v>
      </c>
      <c r="AI164" s="237">
        <f t="shared" si="35"/>
        <v>1.8332468672679385E-2</v>
      </c>
      <c r="AJ164" s="237">
        <f t="shared" si="35"/>
        <v>0</v>
      </c>
      <c r="AK164" s="237">
        <f t="shared" si="35"/>
        <v>0.89674704685130502</v>
      </c>
      <c r="AL164" s="237">
        <f t="shared" si="35"/>
        <v>2.9556429084523911E-2</v>
      </c>
      <c r="AM164" s="237">
        <f t="shared" si="25"/>
        <v>1</v>
      </c>
      <c r="AO164" s="237">
        <f t="shared" si="26"/>
        <v>0.75124378109452739</v>
      </c>
      <c r="AP164" s="237">
        <f t="shared" si="27"/>
        <v>0.24875621890547264</v>
      </c>
      <c r="AQ164" s="237">
        <f t="shared" si="28"/>
        <v>0</v>
      </c>
      <c r="AR164" s="237">
        <f t="shared" si="29"/>
        <v>0.96809206717629603</v>
      </c>
      <c r="AS164" s="237">
        <f t="shared" si="29"/>
        <v>3.1907932823703966E-2</v>
      </c>
      <c r="AU164" s="251">
        <f t="shared" si="32"/>
        <v>10153.919926679533</v>
      </c>
      <c r="AV164" s="251">
        <f t="shared" si="32"/>
        <v>2871.1538786449628</v>
      </c>
      <c r="AW164" s="251">
        <f t="shared" si="32"/>
        <v>0</v>
      </c>
      <c r="AX164" s="251">
        <f t="shared" si="32"/>
        <v>132379.24753633502</v>
      </c>
      <c r="AY164" s="251">
        <f t="shared" si="32"/>
        <v>4334.272651780022</v>
      </c>
      <c r="AZ164" s="251">
        <f t="shared" si="33"/>
        <v>149738.59399343954</v>
      </c>
      <c r="BA164" s="270">
        <f t="shared" si="30"/>
        <v>7.6582713355016363</v>
      </c>
      <c r="BB164" s="251">
        <f t="shared" si="23"/>
        <v>13025.073805324497</v>
      </c>
      <c r="BC164" s="251">
        <f t="shared" si="24"/>
        <v>136713.52018811504</v>
      </c>
    </row>
    <row r="165" spans="1:55">
      <c r="A165" s="11">
        <v>48670</v>
      </c>
      <c r="B165" s="251">
        <v>100</v>
      </c>
      <c r="C165" s="251">
        <v>295</v>
      </c>
      <c r="D165" s="251">
        <v>5</v>
      </c>
      <c r="E165" s="251">
        <v>220</v>
      </c>
      <c r="F165" s="251">
        <v>44</v>
      </c>
      <c r="G165" s="287">
        <v>0.33</v>
      </c>
      <c r="H165" s="287"/>
      <c r="I165" s="251"/>
      <c r="J165" s="251"/>
      <c r="K165" s="251"/>
      <c r="L165" s="251"/>
      <c r="M165" s="13"/>
      <c r="N165" s="251">
        <f t="shared" si="21"/>
        <v>664.33</v>
      </c>
      <c r="O165" s="251">
        <f>'BBD Monthly Production'!Y24*12</f>
        <v>447.78785941347428</v>
      </c>
      <c r="P165" s="271">
        <f t="shared" si="22"/>
        <v>0.6740443144423317</v>
      </c>
      <c r="Y165" s="251">
        <f>SUM('RD Feedstock'!F163,'RD Feedstock'!I163)</f>
        <v>23.121874999999999</v>
      </c>
      <c r="Z165" s="251">
        <f>SUM('RD Feedstock'!G163,'RD Feedstock'!J163)</f>
        <v>7.65625</v>
      </c>
      <c r="AA165" s="251">
        <v>0</v>
      </c>
      <c r="AB165" s="251">
        <f>SUM('RD Feedstock'!B163,'RD Feedstock'!D163,'RD Feedstock'!H163)</f>
        <v>374.51145833333328</v>
      </c>
      <c r="AC165" s="251">
        <f>SUM('RD Feedstock'!C163,'RD Feedstock'!E163)</f>
        <v>12.34375</v>
      </c>
      <c r="AD165" s="251">
        <f t="shared" si="34"/>
        <v>417.63333333333327</v>
      </c>
      <c r="AH165" s="237">
        <f t="shared" si="35"/>
        <v>5.5364055391491744E-2</v>
      </c>
      <c r="AI165" s="237">
        <f t="shared" si="35"/>
        <v>1.8332468672679385E-2</v>
      </c>
      <c r="AJ165" s="237">
        <f t="shared" si="35"/>
        <v>0</v>
      </c>
      <c r="AK165" s="237">
        <f t="shared" si="35"/>
        <v>0.89674704685130502</v>
      </c>
      <c r="AL165" s="237">
        <f t="shared" si="35"/>
        <v>2.9556429084523911E-2</v>
      </c>
      <c r="AM165" s="237">
        <f t="shared" si="25"/>
        <v>1</v>
      </c>
      <c r="AO165" s="237">
        <f t="shared" si="26"/>
        <v>0.75124378109452739</v>
      </c>
      <c r="AP165" s="237">
        <f t="shared" si="27"/>
        <v>0.24875621890547264</v>
      </c>
      <c r="AQ165" s="237">
        <f t="shared" si="28"/>
        <v>0</v>
      </c>
      <c r="AR165" s="237">
        <f t="shared" si="29"/>
        <v>0.96809206717629603</v>
      </c>
      <c r="AS165" s="237">
        <f t="shared" si="29"/>
        <v>3.1907932823703966E-2</v>
      </c>
      <c r="AU165" s="251">
        <f t="shared" si="32"/>
        <v>8789.9754989624817</v>
      </c>
      <c r="AV165" s="251">
        <f t="shared" si="32"/>
        <v>2485.4807236295865</v>
      </c>
      <c r="AW165" s="251">
        <f t="shared" si="32"/>
        <v>0</v>
      </c>
      <c r="AX165" s="251">
        <f t="shared" si="32"/>
        <v>114597.15566183222</v>
      </c>
      <c r="AY165" s="251">
        <f t="shared" si="32"/>
        <v>3752.0633105315551</v>
      </c>
      <c r="AZ165" s="251">
        <f t="shared" si="33"/>
        <v>129624.67519495584</v>
      </c>
      <c r="BA165" s="270">
        <f t="shared" si="30"/>
        <v>7.6582713355016354</v>
      </c>
      <c r="BB165" s="251">
        <f t="shared" si="23"/>
        <v>11275.456222592067</v>
      </c>
      <c r="BC165" s="251">
        <f t="shared" si="24"/>
        <v>118349.21897236377</v>
      </c>
    </row>
    <row r="166" spans="1:55">
      <c r="A166" s="11">
        <v>48700</v>
      </c>
      <c r="B166" s="251">
        <v>100</v>
      </c>
      <c r="C166" s="251">
        <v>295</v>
      </c>
      <c r="D166" s="251">
        <v>5</v>
      </c>
      <c r="E166" s="251">
        <v>220</v>
      </c>
      <c r="F166" s="251">
        <v>44</v>
      </c>
      <c r="G166" s="287">
        <v>0.33</v>
      </c>
      <c r="H166" s="287"/>
      <c r="I166" s="251"/>
      <c r="J166" s="251"/>
      <c r="K166" s="251"/>
      <c r="L166" s="251"/>
      <c r="M166" s="13"/>
      <c r="N166" s="251">
        <f t="shared" ref="N166:N229" si="36">SUM(B166:L166)</f>
        <v>664.33</v>
      </c>
      <c r="O166" s="251">
        <f>'BBD Monthly Production'!Y25*12</f>
        <v>482.06663898393924</v>
      </c>
      <c r="P166" s="271">
        <f t="shared" si="22"/>
        <v>0.72564333837691997</v>
      </c>
      <c r="Y166" s="251">
        <f>SUM('RD Feedstock'!F164,'RD Feedstock'!I164)</f>
        <v>23.121874999999999</v>
      </c>
      <c r="Z166" s="251">
        <f>SUM('RD Feedstock'!G164,'RD Feedstock'!J164)</f>
        <v>7.65625</v>
      </c>
      <c r="AA166" s="251">
        <v>0</v>
      </c>
      <c r="AB166" s="251">
        <f>SUM('RD Feedstock'!B164,'RD Feedstock'!D164,'RD Feedstock'!H164)</f>
        <v>374.51145833333328</v>
      </c>
      <c r="AC166" s="251">
        <f>SUM('RD Feedstock'!C164,'RD Feedstock'!E164)</f>
        <v>12.34375</v>
      </c>
      <c r="AD166" s="251">
        <f t="shared" si="34"/>
        <v>417.63333333333327</v>
      </c>
      <c r="AH166" s="237">
        <f t="shared" si="35"/>
        <v>5.5364055391491744E-2</v>
      </c>
      <c r="AI166" s="237">
        <f t="shared" si="35"/>
        <v>1.8332468672679385E-2</v>
      </c>
      <c r="AJ166" s="237">
        <f t="shared" si="35"/>
        <v>0</v>
      </c>
      <c r="AK166" s="237">
        <f t="shared" si="35"/>
        <v>0.89674704685130502</v>
      </c>
      <c r="AL166" s="237">
        <f t="shared" si="35"/>
        <v>2.9556429084523911E-2</v>
      </c>
      <c r="AM166" s="237">
        <f t="shared" si="25"/>
        <v>1</v>
      </c>
      <c r="AO166" s="237">
        <f t="shared" si="26"/>
        <v>0.75124378109452739</v>
      </c>
      <c r="AP166" s="237">
        <f t="shared" si="27"/>
        <v>0.24875621890547264</v>
      </c>
      <c r="AQ166" s="237">
        <f t="shared" si="28"/>
        <v>0</v>
      </c>
      <c r="AR166" s="237">
        <f t="shared" si="29"/>
        <v>0.96809206717629603</v>
      </c>
      <c r="AS166" s="237">
        <f t="shared" si="29"/>
        <v>3.1907932823703966E-2</v>
      </c>
      <c r="AU166" s="251">
        <f t="shared" si="32"/>
        <v>9462.8602729118829</v>
      </c>
      <c r="AV166" s="251">
        <f t="shared" si="32"/>
        <v>2675.7477084547995</v>
      </c>
      <c r="AW166" s="251">
        <f t="shared" si="32"/>
        <v>0</v>
      </c>
      <c r="AX166" s="251">
        <f t="shared" si="32"/>
        <v>123369.72632392999</v>
      </c>
      <c r="AY166" s="251">
        <f t="shared" si="32"/>
        <v>4039.288943054521</v>
      </c>
      <c r="AZ166" s="251">
        <f t="shared" si="33"/>
        <v>139547.62324835121</v>
      </c>
      <c r="BA166" s="270">
        <f t="shared" si="30"/>
        <v>7.6582713355016381</v>
      </c>
      <c r="BB166" s="251">
        <f t="shared" si="23"/>
        <v>12138.607981366682</v>
      </c>
      <c r="BC166" s="251">
        <f t="shared" si="24"/>
        <v>127409.01526698451</v>
      </c>
    </row>
    <row r="167" spans="1:55">
      <c r="A167" s="11">
        <v>48731</v>
      </c>
      <c r="B167" s="251">
        <v>100</v>
      </c>
      <c r="C167" s="251">
        <v>295</v>
      </c>
      <c r="D167" s="251">
        <v>5</v>
      </c>
      <c r="E167" s="251">
        <v>220</v>
      </c>
      <c r="F167" s="251">
        <v>44</v>
      </c>
      <c r="G167" s="287">
        <v>0.33</v>
      </c>
      <c r="H167" s="287"/>
      <c r="I167" s="251"/>
      <c r="J167" s="251"/>
      <c r="K167" s="251"/>
      <c r="L167" s="251"/>
      <c r="M167" s="13"/>
      <c r="N167" s="251">
        <f t="shared" si="36"/>
        <v>664.33</v>
      </c>
      <c r="O167" s="251">
        <f>'BBD Monthly Production'!Y26*12</f>
        <v>601.28023483585991</v>
      </c>
      <c r="P167" s="271">
        <f t="shared" si="22"/>
        <v>0.90509270217491289</v>
      </c>
      <c r="Y167" s="251">
        <f>SUM('RD Feedstock'!F165,'RD Feedstock'!I165)</f>
        <v>23.121874999999999</v>
      </c>
      <c r="Z167" s="251">
        <f>SUM('RD Feedstock'!G165,'RD Feedstock'!J165)</f>
        <v>7.65625</v>
      </c>
      <c r="AA167" s="251">
        <v>0</v>
      </c>
      <c r="AB167" s="251">
        <f>SUM('RD Feedstock'!B165,'RD Feedstock'!D165,'RD Feedstock'!H165)</f>
        <v>374.51145833333328</v>
      </c>
      <c r="AC167" s="251">
        <f>SUM('RD Feedstock'!C165,'RD Feedstock'!E165)</f>
        <v>12.34375</v>
      </c>
      <c r="AD167" s="251">
        <f t="shared" si="34"/>
        <v>417.63333333333327</v>
      </c>
      <c r="AH167" s="237">
        <f t="shared" si="35"/>
        <v>5.5364055391491744E-2</v>
      </c>
      <c r="AI167" s="237">
        <f t="shared" si="35"/>
        <v>1.8332468672679385E-2</v>
      </c>
      <c r="AJ167" s="237">
        <f t="shared" si="35"/>
        <v>0</v>
      </c>
      <c r="AK167" s="237">
        <f t="shared" si="35"/>
        <v>0.89674704685130502</v>
      </c>
      <c r="AL167" s="237">
        <f t="shared" si="35"/>
        <v>2.9556429084523911E-2</v>
      </c>
      <c r="AM167" s="237">
        <f t="shared" si="25"/>
        <v>1</v>
      </c>
      <c r="AO167" s="237">
        <f t="shared" si="26"/>
        <v>0.75124378109452739</v>
      </c>
      <c r="AP167" s="237">
        <f t="shared" si="27"/>
        <v>0.24875621890547264</v>
      </c>
      <c r="AQ167" s="237">
        <f t="shared" si="28"/>
        <v>0</v>
      </c>
      <c r="AR167" s="237">
        <f t="shared" si="29"/>
        <v>0.96809206717629603</v>
      </c>
      <c r="AS167" s="237">
        <f t="shared" si="29"/>
        <v>3.1907932823703966E-2</v>
      </c>
      <c r="AU167" s="251">
        <f t="shared" si="32"/>
        <v>11802.996488427301</v>
      </c>
      <c r="AV167" s="251">
        <f t="shared" si="32"/>
        <v>3337.4518798734334</v>
      </c>
      <c r="AW167" s="251">
        <f t="shared" si="32"/>
        <v>0</v>
      </c>
      <c r="AX167" s="251">
        <f t="shared" si="32"/>
        <v>153878.67986890461</v>
      </c>
      <c r="AY167" s="251">
        <f t="shared" si="32"/>
        <v>5038.1926643354209</v>
      </c>
      <c r="AZ167" s="251">
        <f t="shared" si="33"/>
        <v>174057.32090154078</v>
      </c>
      <c r="BA167" s="270">
        <f t="shared" si="30"/>
        <v>7.6582713355016381</v>
      </c>
      <c r="BB167" s="251">
        <f t="shared" si="23"/>
        <v>15140.448368300735</v>
      </c>
      <c r="BC167" s="251">
        <f t="shared" si="24"/>
        <v>158916.87253324004</v>
      </c>
    </row>
    <row r="168" spans="1:55">
      <c r="A168" s="11">
        <v>48761</v>
      </c>
      <c r="B168" s="251">
        <v>100</v>
      </c>
      <c r="C168" s="251">
        <v>295</v>
      </c>
      <c r="D168" s="251">
        <v>5</v>
      </c>
      <c r="E168" s="251">
        <v>220</v>
      </c>
      <c r="F168" s="251">
        <v>44</v>
      </c>
      <c r="G168" s="287">
        <v>0.33</v>
      </c>
      <c r="H168" s="287"/>
      <c r="I168" s="251"/>
      <c r="J168" s="251"/>
      <c r="K168" s="251"/>
      <c r="L168" s="251"/>
      <c r="M168" s="13"/>
      <c r="N168" s="251">
        <f t="shared" si="36"/>
        <v>664.33</v>
      </c>
      <c r="O168" s="251">
        <f>'BBD Monthly Production'!Y27*12</f>
        <v>529.00100003617649</v>
      </c>
      <c r="P168" s="271">
        <f t="shared" si="22"/>
        <v>0.79629250528528961</v>
      </c>
      <c r="Y168" s="251">
        <f>SUM('RD Feedstock'!F166,'RD Feedstock'!I166)</f>
        <v>23.121874999999999</v>
      </c>
      <c r="Z168" s="251">
        <f>SUM('RD Feedstock'!G166,'RD Feedstock'!J166)</f>
        <v>7.65625</v>
      </c>
      <c r="AA168" s="251">
        <v>0</v>
      </c>
      <c r="AB168" s="251">
        <f>SUM('RD Feedstock'!B166,'RD Feedstock'!D166,'RD Feedstock'!H166)</f>
        <v>374.51145833333328</v>
      </c>
      <c r="AC168" s="251">
        <f>SUM('RD Feedstock'!C166,'RD Feedstock'!E166)</f>
        <v>12.34375</v>
      </c>
      <c r="AD168" s="251">
        <f t="shared" si="34"/>
        <v>417.63333333333327</v>
      </c>
      <c r="AH168" s="237">
        <f t="shared" si="35"/>
        <v>5.5364055391491744E-2</v>
      </c>
      <c r="AI168" s="237">
        <f t="shared" si="35"/>
        <v>1.8332468672679385E-2</v>
      </c>
      <c r="AJ168" s="237">
        <f t="shared" si="35"/>
        <v>0</v>
      </c>
      <c r="AK168" s="237">
        <f t="shared" si="35"/>
        <v>0.89674704685130502</v>
      </c>
      <c r="AL168" s="237">
        <f t="shared" si="35"/>
        <v>2.9556429084523911E-2</v>
      </c>
      <c r="AM168" s="237">
        <f t="shared" si="25"/>
        <v>1</v>
      </c>
      <c r="AO168" s="237">
        <f t="shared" si="26"/>
        <v>0.75124378109452739</v>
      </c>
      <c r="AP168" s="237">
        <f t="shared" si="27"/>
        <v>0.24875621890547264</v>
      </c>
      <c r="AQ168" s="237">
        <f t="shared" si="28"/>
        <v>0</v>
      </c>
      <c r="AR168" s="237">
        <f t="shared" si="29"/>
        <v>0.96809206717629603</v>
      </c>
      <c r="AS168" s="237">
        <f t="shared" si="29"/>
        <v>3.1907932823703966E-2</v>
      </c>
      <c r="AU168" s="251">
        <f t="shared" ref="AU168:AY231" si="37">(($O168/12)*(AH168*Y$5))/2204.622*1000000</f>
        <v>10384.171279978927</v>
      </c>
      <c r="AV168" s="251">
        <f t="shared" si="37"/>
        <v>2936.2604651516972</v>
      </c>
      <c r="AW168" s="251">
        <f t="shared" si="37"/>
        <v>0</v>
      </c>
      <c r="AX168" s="251">
        <f t="shared" si="37"/>
        <v>135381.09323869372</v>
      </c>
      <c r="AY168" s="251">
        <f t="shared" si="37"/>
        <v>4432.5570730525133</v>
      </c>
      <c r="AZ168" s="251">
        <f t="shared" si="33"/>
        <v>153134.08205687685</v>
      </c>
      <c r="BA168" s="270">
        <f t="shared" si="30"/>
        <v>7.6582713355016381</v>
      </c>
      <c r="BB168" s="251">
        <f t="shared" si="23"/>
        <v>13320.431745130625</v>
      </c>
      <c r="BC168" s="251">
        <f t="shared" si="24"/>
        <v>139813.65031174623</v>
      </c>
    </row>
    <row r="169" spans="1:55">
      <c r="A169" s="11">
        <v>48792</v>
      </c>
      <c r="B169" s="251">
        <v>100</v>
      </c>
      <c r="C169" s="251">
        <v>295</v>
      </c>
      <c r="D169" s="251">
        <v>5</v>
      </c>
      <c r="E169" s="251">
        <v>220</v>
      </c>
      <c r="F169" s="251">
        <v>44</v>
      </c>
      <c r="G169" s="287">
        <v>0.33</v>
      </c>
      <c r="H169" s="287"/>
      <c r="I169" s="251"/>
      <c r="J169" s="251"/>
      <c r="K169" s="251"/>
      <c r="L169" s="251"/>
      <c r="M169" s="13"/>
      <c r="N169" s="251">
        <f t="shared" si="36"/>
        <v>664.33</v>
      </c>
      <c r="O169" s="251">
        <f>'BBD Monthly Production'!Y28*12</f>
        <v>465.05241258798731</v>
      </c>
      <c r="P169" s="271">
        <f t="shared" si="22"/>
        <v>0.70003223185463137</v>
      </c>
      <c r="Y169" s="251">
        <f>SUM('RD Feedstock'!F167,'RD Feedstock'!I167)</f>
        <v>23.121874999999999</v>
      </c>
      <c r="Z169" s="251">
        <f>SUM('RD Feedstock'!G167,'RD Feedstock'!J167)</f>
        <v>7.65625</v>
      </c>
      <c r="AA169" s="251">
        <v>0</v>
      </c>
      <c r="AB169" s="251">
        <f>SUM('RD Feedstock'!B167,'RD Feedstock'!D167,'RD Feedstock'!H167)</f>
        <v>374.51145833333328</v>
      </c>
      <c r="AC169" s="251">
        <f>SUM('RD Feedstock'!C167,'RD Feedstock'!E167)</f>
        <v>12.34375</v>
      </c>
      <c r="AD169" s="251">
        <f t="shared" si="34"/>
        <v>417.63333333333327</v>
      </c>
      <c r="AH169" s="237">
        <f t="shared" si="35"/>
        <v>5.5364055391491744E-2</v>
      </c>
      <c r="AI169" s="237">
        <f t="shared" si="35"/>
        <v>1.8332468672679385E-2</v>
      </c>
      <c r="AJ169" s="237">
        <f t="shared" si="35"/>
        <v>0</v>
      </c>
      <c r="AK169" s="237">
        <f t="shared" si="35"/>
        <v>0.89674704685130502</v>
      </c>
      <c r="AL169" s="237">
        <f t="shared" si="35"/>
        <v>2.9556429084523911E-2</v>
      </c>
      <c r="AM169" s="237">
        <f t="shared" si="25"/>
        <v>1</v>
      </c>
      <c r="AO169" s="237">
        <f t="shared" si="26"/>
        <v>0.75124378109452739</v>
      </c>
      <c r="AP169" s="237">
        <f t="shared" si="27"/>
        <v>0.24875621890547264</v>
      </c>
      <c r="AQ169" s="237">
        <f t="shared" si="28"/>
        <v>0</v>
      </c>
      <c r="AR169" s="237">
        <f t="shared" si="29"/>
        <v>0.96809206717629603</v>
      </c>
      <c r="AS169" s="237">
        <f t="shared" si="29"/>
        <v>3.1907932823703966E-2</v>
      </c>
      <c r="AU169" s="251">
        <f t="shared" si="37"/>
        <v>9128.8748152665848</v>
      </c>
      <c r="AV169" s="251">
        <f t="shared" si="37"/>
        <v>2581.3089449965873</v>
      </c>
      <c r="AW169" s="251">
        <f t="shared" si="37"/>
        <v>0</v>
      </c>
      <c r="AX169" s="251">
        <f t="shared" si="37"/>
        <v>119015.47260808239</v>
      </c>
      <c r="AY169" s="251">
        <f t="shared" si="37"/>
        <v>3896.7248844823512</v>
      </c>
      <c r="AZ169" s="251">
        <f t="shared" si="33"/>
        <v>134622.38125282791</v>
      </c>
      <c r="BA169" s="270">
        <f t="shared" si="30"/>
        <v>7.6582713355016363</v>
      </c>
      <c r="BB169" s="251">
        <f t="shared" si="23"/>
        <v>11710.183760263171</v>
      </c>
      <c r="BC169" s="251">
        <f t="shared" si="24"/>
        <v>122912.19749256474</v>
      </c>
    </row>
    <row r="170" spans="1:55">
      <c r="A170" s="11">
        <v>48823</v>
      </c>
      <c r="B170" s="251">
        <v>100</v>
      </c>
      <c r="C170" s="251">
        <v>295</v>
      </c>
      <c r="D170" s="251">
        <v>5</v>
      </c>
      <c r="E170" s="251">
        <v>220</v>
      </c>
      <c r="F170" s="251">
        <v>44</v>
      </c>
      <c r="G170" s="287">
        <v>0.33</v>
      </c>
      <c r="H170" s="287"/>
      <c r="I170" s="251"/>
      <c r="J170" s="251"/>
      <c r="K170" s="251"/>
      <c r="L170" s="251"/>
      <c r="M170" s="13"/>
      <c r="N170" s="251">
        <f t="shared" si="36"/>
        <v>664.33</v>
      </c>
      <c r="O170" s="251">
        <f>'BBD Monthly Production'!Y29*12</f>
        <v>507.97473597203845</v>
      </c>
      <c r="P170" s="271">
        <f t="shared" si="22"/>
        <v>0.76464217478066387</v>
      </c>
      <c r="Y170" s="251">
        <f>SUM('RD Feedstock'!F168,'RD Feedstock'!I168)</f>
        <v>23.121874999999999</v>
      </c>
      <c r="Z170" s="251">
        <f>SUM('RD Feedstock'!G168,'RD Feedstock'!J168)</f>
        <v>7.65625</v>
      </c>
      <c r="AA170" s="251">
        <v>0</v>
      </c>
      <c r="AB170" s="251">
        <f>SUM('RD Feedstock'!B168,'RD Feedstock'!D168,'RD Feedstock'!H168)</f>
        <v>374.51145833333328</v>
      </c>
      <c r="AC170" s="251">
        <f>SUM('RD Feedstock'!C168,'RD Feedstock'!E168)</f>
        <v>12.34375</v>
      </c>
      <c r="AD170" s="251">
        <f t="shared" si="34"/>
        <v>417.63333333333327</v>
      </c>
      <c r="AH170" s="237">
        <f t="shared" si="35"/>
        <v>5.5364055391491744E-2</v>
      </c>
      <c r="AI170" s="237">
        <f t="shared" si="35"/>
        <v>1.8332468672679385E-2</v>
      </c>
      <c r="AJ170" s="237">
        <f t="shared" si="35"/>
        <v>0</v>
      </c>
      <c r="AK170" s="237">
        <f t="shared" si="35"/>
        <v>0.89674704685130502</v>
      </c>
      <c r="AL170" s="237">
        <f t="shared" si="35"/>
        <v>2.9556429084523911E-2</v>
      </c>
      <c r="AM170" s="237">
        <f t="shared" si="25"/>
        <v>1</v>
      </c>
      <c r="AO170" s="237">
        <f t="shared" si="26"/>
        <v>0.75124378109452739</v>
      </c>
      <c r="AP170" s="237">
        <f t="shared" si="27"/>
        <v>0.24875621890547264</v>
      </c>
      <c r="AQ170" s="237">
        <f t="shared" si="28"/>
        <v>0</v>
      </c>
      <c r="AR170" s="237">
        <f t="shared" si="29"/>
        <v>0.96809206717629603</v>
      </c>
      <c r="AS170" s="237">
        <f t="shared" si="29"/>
        <v>3.1907932823703966E-2</v>
      </c>
      <c r="AU170" s="251">
        <f t="shared" si="37"/>
        <v>9971.4304205001299</v>
      </c>
      <c r="AV170" s="251">
        <f t="shared" si="37"/>
        <v>2819.5525801058347</v>
      </c>
      <c r="AW170" s="251">
        <f t="shared" si="37"/>
        <v>0</v>
      </c>
      <c r="AX170" s="251">
        <f t="shared" si="37"/>
        <v>130000.08523391903</v>
      </c>
      <c r="AY170" s="251">
        <f t="shared" si="37"/>
        <v>4256.3757132989549</v>
      </c>
      <c r="AZ170" s="251">
        <f t="shared" si="33"/>
        <v>147047.44394782392</v>
      </c>
      <c r="BA170" s="270">
        <f t="shared" si="30"/>
        <v>7.6582713355016345</v>
      </c>
      <c r="BB170" s="251">
        <f t="shared" si="23"/>
        <v>12790.983000605964</v>
      </c>
      <c r="BC170" s="251">
        <f t="shared" si="24"/>
        <v>134256.46094721797</v>
      </c>
    </row>
    <row r="171" spans="1:55">
      <c r="A171" s="11">
        <v>48853</v>
      </c>
      <c r="B171" s="251">
        <v>100</v>
      </c>
      <c r="C171" s="251">
        <v>295</v>
      </c>
      <c r="D171" s="251">
        <v>5</v>
      </c>
      <c r="E171" s="251">
        <v>220</v>
      </c>
      <c r="F171" s="251">
        <v>44</v>
      </c>
      <c r="G171" s="287">
        <v>0.33</v>
      </c>
      <c r="H171" s="287"/>
      <c r="I171" s="251"/>
      <c r="J171" s="251"/>
      <c r="K171" s="251"/>
      <c r="L171" s="251"/>
      <c r="M171" s="13"/>
      <c r="N171" s="251">
        <f t="shared" si="36"/>
        <v>664.33</v>
      </c>
      <c r="O171" s="251">
        <f>'BBD Monthly Production'!Y30*12</f>
        <v>405.67444851130693</v>
      </c>
      <c r="P171" s="271">
        <f t="shared" si="22"/>
        <v>0.61065200805519382</v>
      </c>
      <c r="Y171" s="251">
        <f>SUM('RD Feedstock'!F169,'RD Feedstock'!I169)</f>
        <v>23.121874999999999</v>
      </c>
      <c r="Z171" s="251">
        <f>SUM('RD Feedstock'!G169,'RD Feedstock'!J169)</f>
        <v>7.65625</v>
      </c>
      <c r="AA171" s="251">
        <v>0</v>
      </c>
      <c r="AB171" s="251">
        <f>SUM('RD Feedstock'!B169,'RD Feedstock'!D169,'RD Feedstock'!H169)</f>
        <v>374.51145833333328</v>
      </c>
      <c r="AC171" s="251">
        <f>SUM('RD Feedstock'!C169,'RD Feedstock'!E169)</f>
        <v>12.34375</v>
      </c>
      <c r="AD171" s="251">
        <f t="shared" si="34"/>
        <v>417.63333333333327</v>
      </c>
      <c r="AH171" s="237">
        <f t="shared" si="35"/>
        <v>5.5364055391491744E-2</v>
      </c>
      <c r="AI171" s="237">
        <f t="shared" si="35"/>
        <v>1.8332468672679385E-2</v>
      </c>
      <c r="AJ171" s="237">
        <f t="shared" si="35"/>
        <v>0</v>
      </c>
      <c r="AK171" s="237">
        <f t="shared" si="35"/>
        <v>0.89674704685130502</v>
      </c>
      <c r="AL171" s="237">
        <f t="shared" si="35"/>
        <v>2.9556429084523911E-2</v>
      </c>
      <c r="AM171" s="237">
        <f t="shared" si="25"/>
        <v>1</v>
      </c>
      <c r="AO171" s="237">
        <f t="shared" si="26"/>
        <v>0.75124378109452739</v>
      </c>
      <c r="AP171" s="237">
        <f t="shared" si="27"/>
        <v>0.24875621890547264</v>
      </c>
      <c r="AQ171" s="237">
        <f t="shared" si="28"/>
        <v>0</v>
      </c>
      <c r="AR171" s="237">
        <f t="shared" si="29"/>
        <v>0.96809206717629603</v>
      </c>
      <c r="AS171" s="237">
        <f t="shared" si="29"/>
        <v>3.1907932823703966E-2</v>
      </c>
      <c r="AU171" s="251">
        <f t="shared" si="37"/>
        <v>7963.2986647743955</v>
      </c>
      <c r="AV171" s="251">
        <f t="shared" si="37"/>
        <v>2251.7270190500753</v>
      </c>
      <c r="AW171" s="251">
        <f t="shared" si="37"/>
        <v>0</v>
      </c>
      <c r="AX171" s="251">
        <f t="shared" si="37"/>
        <v>103819.55862977398</v>
      </c>
      <c r="AY171" s="251">
        <f t="shared" si="37"/>
        <v>3399.190447622027</v>
      </c>
      <c r="AZ171" s="251">
        <f t="shared" si="33"/>
        <v>117433.77476122047</v>
      </c>
      <c r="BA171" s="270">
        <f t="shared" si="30"/>
        <v>7.6582713355016363</v>
      </c>
      <c r="BB171" s="251">
        <f t="shared" si="23"/>
        <v>10215.025683824471</v>
      </c>
      <c r="BC171" s="251">
        <f t="shared" si="24"/>
        <v>107218.749077396</v>
      </c>
    </row>
    <row r="172" spans="1:55">
      <c r="A172" s="11">
        <v>48884</v>
      </c>
      <c r="B172" s="251">
        <v>100</v>
      </c>
      <c r="C172" s="251">
        <v>295</v>
      </c>
      <c r="D172" s="251">
        <v>5</v>
      </c>
      <c r="E172" s="251">
        <v>220</v>
      </c>
      <c r="F172" s="251">
        <v>44</v>
      </c>
      <c r="G172" s="287">
        <v>0.33</v>
      </c>
      <c r="H172" s="287"/>
      <c r="I172" s="251"/>
      <c r="J172" s="251"/>
      <c r="K172" s="251"/>
      <c r="L172" s="251"/>
      <c r="M172" s="13"/>
      <c r="N172" s="251">
        <f t="shared" si="36"/>
        <v>664.33</v>
      </c>
      <c r="O172" s="251">
        <f>'BBD Monthly Production'!Y31*12</f>
        <v>522.38311473578017</v>
      </c>
      <c r="P172" s="271">
        <f t="shared" si="22"/>
        <v>0.78633076142245595</v>
      </c>
      <c r="Y172" s="251">
        <f>SUM('RD Feedstock'!F170,'RD Feedstock'!I170)</f>
        <v>23.121874999999999</v>
      </c>
      <c r="Z172" s="251">
        <f>SUM('RD Feedstock'!G170,'RD Feedstock'!J170)</f>
        <v>7.65625</v>
      </c>
      <c r="AA172" s="251">
        <v>0</v>
      </c>
      <c r="AB172" s="251">
        <f>SUM('RD Feedstock'!B170,'RD Feedstock'!D170,'RD Feedstock'!H170)</f>
        <v>374.51145833333328</v>
      </c>
      <c r="AC172" s="251">
        <f>SUM('RD Feedstock'!C170,'RD Feedstock'!E170)</f>
        <v>12.34375</v>
      </c>
      <c r="AD172" s="251">
        <f t="shared" si="34"/>
        <v>417.63333333333327</v>
      </c>
      <c r="AH172" s="237">
        <f t="shared" si="35"/>
        <v>5.5364055391491744E-2</v>
      </c>
      <c r="AI172" s="237">
        <f t="shared" si="35"/>
        <v>1.8332468672679385E-2</v>
      </c>
      <c r="AJ172" s="237">
        <f t="shared" si="35"/>
        <v>0</v>
      </c>
      <c r="AK172" s="237">
        <f t="shared" si="35"/>
        <v>0.89674704685130502</v>
      </c>
      <c r="AL172" s="237">
        <f t="shared" si="35"/>
        <v>2.9556429084523911E-2</v>
      </c>
      <c r="AM172" s="237">
        <f t="shared" si="25"/>
        <v>1</v>
      </c>
      <c r="AO172" s="237">
        <f t="shared" si="26"/>
        <v>0.75124378109452739</v>
      </c>
      <c r="AP172" s="237">
        <f t="shared" si="27"/>
        <v>0.24875621890547264</v>
      </c>
      <c r="AQ172" s="237">
        <f t="shared" si="28"/>
        <v>0</v>
      </c>
      <c r="AR172" s="237">
        <f t="shared" si="29"/>
        <v>0.96809206717629603</v>
      </c>
      <c r="AS172" s="237">
        <f t="shared" si="29"/>
        <v>3.1907932823703966E-2</v>
      </c>
      <c r="AU172" s="251">
        <f t="shared" si="37"/>
        <v>10254.263672118317</v>
      </c>
      <c r="AV172" s="251">
        <f t="shared" si="37"/>
        <v>2899.5273872007415</v>
      </c>
      <c r="AW172" s="251">
        <f t="shared" si="37"/>
        <v>0</v>
      </c>
      <c r="AX172" s="251">
        <f t="shared" si="37"/>
        <v>133687.45457480711</v>
      </c>
      <c r="AY172" s="251">
        <f t="shared" si="37"/>
        <v>4377.1050903626565</v>
      </c>
      <c r="AZ172" s="251">
        <f t="shared" si="33"/>
        <v>151218.35072448882</v>
      </c>
      <c r="BA172" s="270">
        <f t="shared" si="30"/>
        <v>7.6582713355016363</v>
      </c>
      <c r="BB172" s="251">
        <f t="shared" si="23"/>
        <v>13153.791059319059</v>
      </c>
      <c r="BC172" s="251">
        <f t="shared" si="24"/>
        <v>138064.55966516977</v>
      </c>
    </row>
    <row r="173" spans="1:55">
      <c r="A173" s="11">
        <v>48914</v>
      </c>
      <c r="B173" s="251">
        <v>100</v>
      </c>
      <c r="C173" s="251">
        <v>295</v>
      </c>
      <c r="D173" s="251">
        <v>5</v>
      </c>
      <c r="E173" s="251">
        <v>220</v>
      </c>
      <c r="F173" s="251">
        <v>44</v>
      </c>
      <c r="G173" s="287">
        <v>0.33</v>
      </c>
      <c r="H173" s="287"/>
      <c r="I173" s="251"/>
      <c r="J173" s="251"/>
      <c r="K173" s="251"/>
      <c r="L173" s="251"/>
      <c r="M173" s="13"/>
      <c r="N173" s="251">
        <f t="shared" si="36"/>
        <v>664.33</v>
      </c>
      <c r="O173" s="251">
        <f>'BBD Monthly Production'!Y32*12</f>
        <v>718.85118198233067</v>
      </c>
      <c r="P173" s="271">
        <f>O173/N173</f>
        <v>1.082069426312722</v>
      </c>
      <c r="Y173" s="251">
        <f>SUM('RD Feedstock'!F171,'RD Feedstock'!I171)</f>
        <v>23.121874999999999</v>
      </c>
      <c r="Z173" s="251">
        <f>SUM('RD Feedstock'!G171,'RD Feedstock'!J171)</f>
        <v>7.65625</v>
      </c>
      <c r="AA173" s="251">
        <v>0</v>
      </c>
      <c r="AB173" s="251">
        <f>SUM('RD Feedstock'!B171,'RD Feedstock'!D171,'RD Feedstock'!H171)</f>
        <v>374.51145833333328</v>
      </c>
      <c r="AC173" s="251">
        <f>SUM('RD Feedstock'!C171,'RD Feedstock'!E171)</f>
        <v>12.34375</v>
      </c>
      <c r="AD173" s="251">
        <f t="shared" si="34"/>
        <v>417.63333333333327</v>
      </c>
      <c r="AH173" s="237">
        <f t="shared" si="35"/>
        <v>5.5364055391491744E-2</v>
      </c>
      <c r="AI173" s="237">
        <f t="shared" si="35"/>
        <v>1.8332468672679385E-2</v>
      </c>
      <c r="AJ173" s="237">
        <f t="shared" si="35"/>
        <v>0</v>
      </c>
      <c r="AK173" s="237">
        <f t="shared" si="35"/>
        <v>0.89674704685130502</v>
      </c>
      <c r="AL173" s="237">
        <f t="shared" si="35"/>
        <v>2.9556429084523911E-2</v>
      </c>
      <c r="AM173" s="237">
        <f t="shared" si="25"/>
        <v>1</v>
      </c>
      <c r="AO173" s="237">
        <f t="shared" si="26"/>
        <v>0.75124378109452739</v>
      </c>
      <c r="AP173" s="237">
        <f t="shared" si="27"/>
        <v>0.24875621890547264</v>
      </c>
      <c r="AQ173" s="237">
        <f t="shared" si="28"/>
        <v>0</v>
      </c>
      <c r="AR173" s="237">
        <f t="shared" si="29"/>
        <v>0.96809206717629603</v>
      </c>
      <c r="AS173" s="237">
        <f t="shared" si="29"/>
        <v>3.1907932823703966E-2</v>
      </c>
      <c r="AU173" s="251">
        <f t="shared" si="37"/>
        <v>14110.887877356266</v>
      </c>
      <c r="AV173" s="251">
        <f t="shared" si="37"/>
        <v>3990.0384041579123</v>
      </c>
      <c r="AW173" s="251">
        <f t="shared" si="37"/>
        <v>0</v>
      </c>
      <c r="AX173" s="251">
        <f t="shared" si="37"/>
        <v>183967.24937389494</v>
      </c>
      <c r="AY173" s="251">
        <f t="shared" si="37"/>
        <v>6023.3324529632946</v>
      </c>
      <c r="AZ173" s="251">
        <f t="shared" si="33"/>
        <v>208091.50810837239</v>
      </c>
      <c r="BA173" s="270">
        <f t="shared" si="30"/>
        <v>7.6582713355016363</v>
      </c>
      <c r="BB173" s="251">
        <f t="shared" si="23"/>
        <v>18100.926281514177</v>
      </c>
      <c r="BC173" s="251">
        <f t="shared" si="24"/>
        <v>189990.58182685822</v>
      </c>
    </row>
    <row r="174" spans="1:55">
      <c r="A174" s="11">
        <v>48945</v>
      </c>
      <c r="B174" s="251">
        <v>100</v>
      </c>
      <c r="C174" s="251">
        <v>295</v>
      </c>
      <c r="D174" s="251">
        <v>5</v>
      </c>
      <c r="E174" s="251">
        <v>220</v>
      </c>
      <c r="F174" s="251">
        <v>44</v>
      </c>
      <c r="G174" s="287">
        <v>0.33</v>
      </c>
      <c r="H174" s="287"/>
      <c r="I174" s="251"/>
      <c r="J174" s="251"/>
      <c r="K174" s="251"/>
      <c r="L174" s="251"/>
      <c r="M174" s="13"/>
      <c r="N174" s="251">
        <f t="shared" si="36"/>
        <v>664.33</v>
      </c>
      <c r="O174" s="251">
        <f>'BBD Monthly Production'!Z21*12</f>
        <v>229.2120441019083</v>
      </c>
      <c r="P174" s="271">
        <f t="shared" ref="P174:P237" si="38">O174/N174</f>
        <v>0.34502738714480496</v>
      </c>
      <c r="Y174" s="251">
        <f>SUM('RD Feedstock'!F172,'RD Feedstock'!I172)</f>
        <v>23.121874999999999</v>
      </c>
      <c r="Z174" s="251">
        <f>SUM('RD Feedstock'!G172,'RD Feedstock'!J172)</f>
        <v>7.65625</v>
      </c>
      <c r="AA174" s="251">
        <v>0</v>
      </c>
      <c r="AB174" s="251">
        <f>SUM('RD Feedstock'!B172,'RD Feedstock'!D172,'RD Feedstock'!H172)</f>
        <v>374.51145833333328</v>
      </c>
      <c r="AC174" s="251">
        <f>SUM('RD Feedstock'!C172,'RD Feedstock'!E172)</f>
        <v>12.34375</v>
      </c>
      <c r="AD174" s="251">
        <f t="shared" si="34"/>
        <v>417.63333333333327</v>
      </c>
      <c r="AH174" s="237">
        <f t="shared" si="35"/>
        <v>5.5364055391491744E-2</v>
      </c>
      <c r="AI174" s="237">
        <f t="shared" si="35"/>
        <v>1.8332468672679385E-2</v>
      </c>
      <c r="AJ174" s="237">
        <f t="shared" si="35"/>
        <v>0</v>
      </c>
      <c r="AK174" s="237">
        <f t="shared" si="35"/>
        <v>0.89674704685130502</v>
      </c>
      <c r="AL174" s="237">
        <f t="shared" si="35"/>
        <v>2.9556429084523911E-2</v>
      </c>
      <c r="AM174" s="237">
        <f t="shared" si="25"/>
        <v>1</v>
      </c>
      <c r="AO174" s="237">
        <f t="shared" si="26"/>
        <v>0.75124378109452739</v>
      </c>
      <c r="AP174" s="237">
        <f t="shared" si="27"/>
        <v>0.24875621890547264</v>
      </c>
      <c r="AQ174" s="237">
        <f t="shared" si="28"/>
        <v>0</v>
      </c>
      <c r="AR174" s="237">
        <f t="shared" si="29"/>
        <v>0.96809206717629603</v>
      </c>
      <c r="AS174" s="237">
        <f t="shared" si="29"/>
        <v>3.1907932823703966E-2</v>
      </c>
      <c r="AU174" s="251">
        <f t="shared" si="37"/>
        <v>4499.3811452634836</v>
      </c>
      <c r="AV174" s="251">
        <f t="shared" si="37"/>
        <v>1272.2589620568101</v>
      </c>
      <c r="AW174" s="251">
        <f t="shared" si="37"/>
        <v>0</v>
      </c>
      <c r="AX174" s="251">
        <f t="shared" si="37"/>
        <v>58659.581195252795</v>
      </c>
      <c r="AY174" s="251">
        <f t="shared" si="37"/>
        <v>1920.5927157855233</v>
      </c>
      <c r="AZ174" s="251">
        <f t="shared" si="33"/>
        <v>66351.814018358607</v>
      </c>
      <c r="BA174" s="270">
        <f t="shared" si="30"/>
        <v>7.6582713355016363</v>
      </c>
      <c r="BB174" s="251">
        <f t="shared" ref="BB174:BB237" si="39">SUM(AU174:AW174)</f>
        <v>5771.6401073202942</v>
      </c>
      <c r="BC174" s="251">
        <f t="shared" ref="BC174:BC237" si="40">SUM(AX174:AY174)</f>
        <v>60580.173911038321</v>
      </c>
    </row>
    <row r="175" spans="1:55">
      <c r="A175" s="11">
        <v>48976</v>
      </c>
      <c r="B175" s="251">
        <v>100</v>
      </c>
      <c r="C175" s="251">
        <v>295</v>
      </c>
      <c r="D175" s="251">
        <v>5</v>
      </c>
      <c r="E175" s="251">
        <v>220</v>
      </c>
      <c r="F175" s="251">
        <v>44</v>
      </c>
      <c r="G175" s="287">
        <v>0.33</v>
      </c>
      <c r="H175" s="287"/>
      <c r="I175" s="251"/>
      <c r="J175" s="251"/>
      <c r="K175" s="251"/>
      <c r="L175" s="251"/>
      <c r="M175" s="13"/>
      <c r="N175" s="251">
        <f t="shared" si="36"/>
        <v>664.33</v>
      </c>
      <c r="O175" s="251">
        <f>'BBD Monthly Production'!Z22*12</f>
        <v>268.89599405037319</v>
      </c>
      <c r="P175" s="271">
        <f t="shared" si="38"/>
        <v>0.4047626842839751</v>
      </c>
      <c r="Y175" s="251">
        <f>SUM('RD Feedstock'!F173,'RD Feedstock'!I173)</f>
        <v>23.121874999999999</v>
      </c>
      <c r="Z175" s="251">
        <f>SUM('RD Feedstock'!G173,'RD Feedstock'!J173)</f>
        <v>7.65625</v>
      </c>
      <c r="AA175" s="251">
        <v>0</v>
      </c>
      <c r="AB175" s="251">
        <f>SUM('RD Feedstock'!B173,'RD Feedstock'!D173,'RD Feedstock'!H173)</f>
        <v>374.51145833333328</v>
      </c>
      <c r="AC175" s="251">
        <f>SUM('RD Feedstock'!C173,'RD Feedstock'!E173)</f>
        <v>12.34375</v>
      </c>
      <c r="AD175" s="251">
        <f t="shared" si="34"/>
        <v>417.63333333333327</v>
      </c>
      <c r="AH175" s="237">
        <f t="shared" si="35"/>
        <v>5.5364055391491744E-2</v>
      </c>
      <c r="AI175" s="237">
        <f t="shared" si="35"/>
        <v>1.8332468672679385E-2</v>
      </c>
      <c r="AJ175" s="237">
        <f t="shared" si="35"/>
        <v>0</v>
      </c>
      <c r="AK175" s="237">
        <f t="shared" si="35"/>
        <v>0.89674704685130502</v>
      </c>
      <c r="AL175" s="237">
        <f t="shared" si="35"/>
        <v>2.9556429084523911E-2</v>
      </c>
      <c r="AM175" s="237">
        <f t="shared" ref="AM175:AM238" si="41">SUM(AH175:AL175)</f>
        <v>1</v>
      </c>
      <c r="AO175" s="237">
        <f t="shared" ref="AO175:AO238" si="42">Y175/SUM($Y175:$AA175)</f>
        <v>0.75124378109452739</v>
      </c>
      <c r="AP175" s="237">
        <f t="shared" ref="AP175:AP238" si="43">Z175/SUM($Y175:$AA175)</f>
        <v>0.24875621890547264</v>
      </c>
      <c r="AQ175" s="237">
        <f t="shared" ref="AQ175:AQ238" si="44">AA175/SUM($Y175:$AA175)</f>
        <v>0</v>
      </c>
      <c r="AR175" s="237">
        <f t="shared" ref="AR175:AS238" si="45">AB175/SUM($AB175:$AC175)</f>
        <v>0.96809206717629603</v>
      </c>
      <c r="AS175" s="237">
        <f t="shared" si="45"/>
        <v>3.1907932823703966E-2</v>
      </c>
      <c r="AU175" s="251">
        <f t="shared" si="37"/>
        <v>5278.3682044614607</v>
      </c>
      <c r="AV175" s="251">
        <f t="shared" si="37"/>
        <v>1492.5277580076074</v>
      </c>
      <c r="AW175" s="251">
        <f t="shared" si="37"/>
        <v>0</v>
      </c>
      <c r="AX175" s="251">
        <f t="shared" si="37"/>
        <v>68815.434450133907</v>
      </c>
      <c r="AY175" s="251">
        <f t="shared" si="37"/>
        <v>2253.1088604028319</v>
      </c>
      <c r="AZ175" s="251">
        <f t="shared" si="33"/>
        <v>77839.439273005803</v>
      </c>
      <c r="BA175" s="270">
        <f t="shared" ref="BA175:BA238" si="46">(AZ175*2204.622/1000000)/(O175/12)</f>
        <v>7.6582713355016354</v>
      </c>
      <c r="BB175" s="251">
        <f t="shared" si="39"/>
        <v>6770.8959624690679</v>
      </c>
      <c r="BC175" s="251">
        <f t="shared" si="40"/>
        <v>71068.543310536741</v>
      </c>
    </row>
    <row r="176" spans="1:55">
      <c r="A176" s="11">
        <v>49004</v>
      </c>
      <c r="B176" s="251">
        <v>100</v>
      </c>
      <c r="C176" s="251">
        <v>295</v>
      </c>
      <c r="D176" s="251">
        <v>5</v>
      </c>
      <c r="E176" s="251">
        <v>220</v>
      </c>
      <c r="F176" s="251">
        <v>44</v>
      </c>
      <c r="G176" s="287">
        <v>0.33</v>
      </c>
      <c r="H176" s="287"/>
      <c r="I176" s="251"/>
      <c r="J176" s="251"/>
      <c r="K176" s="251"/>
      <c r="L176" s="251"/>
      <c r="M176" s="13"/>
      <c r="N176" s="251">
        <f t="shared" si="36"/>
        <v>664.33</v>
      </c>
      <c r="O176" s="251">
        <f>'BBD Monthly Production'!Z23*12</f>
        <v>525.66445499873294</v>
      </c>
      <c r="P176" s="271">
        <f t="shared" si="38"/>
        <v>0.79127008414302069</v>
      </c>
      <c r="Y176" s="251">
        <f>SUM('RD Feedstock'!F174,'RD Feedstock'!I174)</f>
        <v>23.121874999999999</v>
      </c>
      <c r="Z176" s="251">
        <f>SUM('RD Feedstock'!G174,'RD Feedstock'!J174)</f>
        <v>7.65625</v>
      </c>
      <c r="AA176" s="251">
        <v>0</v>
      </c>
      <c r="AB176" s="251">
        <f>SUM('RD Feedstock'!B174,'RD Feedstock'!D174,'RD Feedstock'!H174)</f>
        <v>374.51145833333328</v>
      </c>
      <c r="AC176" s="251">
        <f>SUM('RD Feedstock'!C174,'RD Feedstock'!E174)</f>
        <v>12.34375</v>
      </c>
      <c r="AD176" s="251">
        <f t="shared" si="34"/>
        <v>417.63333333333327</v>
      </c>
      <c r="AH176" s="237">
        <f t="shared" si="35"/>
        <v>5.5364055391491744E-2</v>
      </c>
      <c r="AI176" s="237">
        <f t="shared" si="35"/>
        <v>1.8332468672679385E-2</v>
      </c>
      <c r="AJ176" s="237">
        <f t="shared" si="35"/>
        <v>0</v>
      </c>
      <c r="AK176" s="237">
        <f t="shared" si="35"/>
        <v>0.89674704685130502</v>
      </c>
      <c r="AL176" s="237">
        <f t="shared" si="35"/>
        <v>2.9556429084523911E-2</v>
      </c>
      <c r="AM176" s="237">
        <f t="shared" si="41"/>
        <v>1</v>
      </c>
      <c r="AO176" s="237">
        <f t="shared" si="42"/>
        <v>0.75124378109452739</v>
      </c>
      <c r="AP176" s="237">
        <f t="shared" si="43"/>
        <v>0.24875621890547264</v>
      </c>
      <c r="AQ176" s="237">
        <f t="shared" si="44"/>
        <v>0</v>
      </c>
      <c r="AR176" s="237">
        <f t="shared" si="45"/>
        <v>0.96809206717629603</v>
      </c>
      <c r="AS176" s="237">
        <f t="shared" si="45"/>
        <v>3.1907932823703966E-2</v>
      </c>
      <c r="AU176" s="251">
        <f t="shared" si="37"/>
        <v>10318.675647362341</v>
      </c>
      <c r="AV176" s="251">
        <f t="shared" si="37"/>
        <v>2917.7407170170554</v>
      </c>
      <c r="AW176" s="251">
        <f t="shared" si="37"/>
        <v>0</v>
      </c>
      <c r="AX176" s="251">
        <f t="shared" si="37"/>
        <v>134527.20994777675</v>
      </c>
      <c r="AY176" s="251">
        <f t="shared" si="37"/>
        <v>4404.5997982944928</v>
      </c>
      <c r="AZ176" s="251">
        <f t="shared" si="33"/>
        <v>152168.22611045063</v>
      </c>
      <c r="BA176" s="270">
        <f t="shared" si="46"/>
        <v>7.6582713355016363</v>
      </c>
      <c r="BB176" s="251">
        <f t="shared" si="39"/>
        <v>13236.416364379396</v>
      </c>
      <c r="BC176" s="251">
        <f t="shared" si="40"/>
        <v>138931.80974607123</v>
      </c>
    </row>
    <row r="177" spans="1:55">
      <c r="A177" s="11">
        <v>49035</v>
      </c>
      <c r="B177" s="251">
        <v>100</v>
      </c>
      <c r="C177" s="251">
        <v>295</v>
      </c>
      <c r="D177" s="251">
        <v>5</v>
      </c>
      <c r="E177" s="251">
        <v>220</v>
      </c>
      <c r="F177" s="251">
        <v>44</v>
      </c>
      <c r="G177" s="287">
        <v>0.33</v>
      </c>
      <c r="H177" s="287"/>
      <c r="I177" s="251"/>
      <c r="J177" s="251"/>
      <c r="K177" s="251"/>
      <c r="L177" s="251"/>
      <c r="M177" s="13"/>
      <c r="N177" s="251">
        <f t="shared" si="36"/>
        <v>664.33</v>
      </c>
      <c r="O177" s="251">
        <f>'BBD Monthly Production'!Z24*12</f>
        <v>455.09089008103439</v>
      </c>
      <c r="P177" s="271">
        <f t="shared" si="38"/>
        <v>0.68503739117762918</v>
      </c>
      <c r="Y177" s="251">
        <f>SUM('RD Feedstock'!F175,'RD Feedstock'!I175)</f>
        <v>23.121874999999999</v>
      </c>
      <c r="Z177" s="251">
        <f>SUM('RD Feedstock'!G175,'RD Feedstock'!J175)</f>
        <v>7.65625</v>
      </c>
      <c r="AA177" s="251">
        <v>0</v>
      </c>
      <c r="AB177" s="251">
        <f>SUM('RD Feedstock'!B175,'RD Feedstock'!D175,'RD Feedstock'!H175)</f>
        <v>374.51145833333328</v>
      </c>
      <c r="AC177" s="251">
        <f>SUM('RD Feedstock'!C175,'RD Feedstock'!E175)</f>
        <v>12.34375</v>
      </c>
      <c r="AD177" s="251">
        <f t="shared" si="34"/>
        <v>417.63333333333327</v>
      </c>
      <c r="AH177" s="237">
        <f t="shared" si="35"/>
        <v>5.5364055391491744E-2</v>
      </c>
      <c r="AI177" s="237">
        <f t="shared" si="35"/>
        <v>1.8332468672679385E-2</v>
      </c>
      <c r="AJ177" s="237">
        <f t="shared" si="35"/>
        <v>0</v>
      </c>
      <c r="AK177" s="237">
        <f t="shared" si="35"/>
        <v>0.89674704685130502</v>
      </c>
      <c r="AL177" s="237">
        <f t="shared" si="35"/>
        <v>2.9556429084523911E-2</v>
      </c>
      <c r="AM177" s="237">
        <f t="shared" si="41"/>
        <v>1</v>
      </c>
      <c r="AO177" s="237">
        <f t="shared" si="42"/>
        <v>0.75124378109452739</v>
      </c>
      <c r="AP177" s="237">
        <f t="shared" si="43"/>
        <v>0.24875621890547264</v>
      </c>
      <c r="AQ177" s="237">
        <f t="shared" si="44"/>
        <v>0</v>
      </c>
      <c r="AR177" s="237">
        <f t="shared" si="45"/>
        <v>0.96809206717629603</v>
      </c>
      <c r="AS177" s="237">
        <f t="shared" si="45"/>
        <v>3.1907932823703966E-2</v>
      </c>
      <c r="AU177" s="251">
        <f t="shared" si="37"/>
        <v>8933.3323570963912</v>
      </c>
      <c r="AV177" s="251">
        <f t="shared" si="37"/>
        <v>2526.016753284503</v>
      </c>
      <c r="AW177" s="251">
        <f t="shared" si="37"/>
        <v>0</v>
      </c>
      <c r="AX177" s="251">
        <f t="shared" si="37"/>
        <v>116466.13563665717</v>
      </c>
      <c r="AY177" s="251">
        <f t="shared" si="37"/>
        <v>3813.2562009759945</v>
      </c>
      <c r="AZ177" s="251">
        <f t="shared" si="33"/>
        <v>131738.74094801405</v>
      </c>
      <c r="BA177" s="270">
        <f t="shared" si="46"/>
        <v>7.6582713355016354</v>
      </c>
      <c r="BB177" s="251">
        <f t="shared" si="39"/>
        <v>11459.349110380894</v>
      </c>
      <c r="BC177" s="251">
        <f t="shared" si="40"/>
        <v>120279.39183763317</v>
      </c>
    </row>
    <row r="178" spans="1:55">
      <c r="A178" s="11">
        <v>49065</v>
      </c>
      <c r="B178" s="251">
        <v>100</v>
      </c>
      <c r="C178" s="251">
        <v>295</v>
      </c>
      <c r="D178" s="251">
        <v>5</v>
      </c>
      <c r="E178" s="251">
        <v>220</v>
      </c>
      <c r="F178" s="251">
        <v>44</v>
      </c>
      <c r="G178" s="287">
        <v>0.33</v>
      </c>
      <c r="H178" s="287"/>
      <c r="I178" s="251"/>
      <c r="J178" s="251"/>
      <c r="K178" s="251"/>
      <c r="L178" s="251"/>
      <c r="M178" s="13"/>
      <c r="N178" s="251">
        <f t="shared" si="36"/>
        <v>664.33</v>
      </c>
      <c r="O178" s="251">
        <f>'BBD Monthly Production'!Z25*12</f>
        <v>490.01294529769433</v>
      </c>
      <c r="P178" s="271">
        <f t="shared" si="38"/>
        <v>0.73760472249890008</v>
      </c>
      <c r="Y178" s="251">
        <f>SUM('RD Feedstock'!F176,'RD Feedstock'!I176)</f>
        <v>23.121874999999999</v>
      </c>
      <c r="Z178" s="251">
        <f>SUM('RD Feedstock'!G176,'RD Feedstock'!J176)</f>
        <v>7.65625</v>
      </c>
      <c r="AA178" s="251">
        <v>0</v>
      </c>
      <c r="AB178" s="251">
        <f>SUM('RD Feedstock'!B176,'RD Feedstock'!D176,'RD Feedstock'!H176)</f>
        <v>374.51145833333328</v>
      </c>
      <c r="AC178" s="251">
        <f>SUM('RD Feedstock'!C176,'RD Feedstock'!E176)</f>
        <v>12.34375</v>
      </c>
      <c r="AD178" s="251">
        <f t="shared" si="34"/>
        <v>417.63333333333327</v>
      </c>
      <c r="AH178" s="237">
        <f t="shared" si="35"/>
        <v>5.5364055391491744E-2</v>
      </c>
      <c r="AI178" s="237">
        <f t="shared" si="35"/>
        <v>1.8332468672679385E-2</v>
      </c>
      <c r="AJ178" s="237">
        <f t="shared" si="35"/>
        <v>0</v>
      </c>
      <c r="AK178" s="237">
        <f t="shared" si="35"/>
        <v>0.89674704685130502</v>
      </c>
      <c r="AL178" s="237">
        <f t="shared" si="35"/>
        <v>2.9556429084523911E-2</v>
      </c>
      <c r="AM178" s="237">
        <f t="shared" si="41"/>
        <v>1</v>
      </c>
      <c r="AO178" s="237">
        <f t="shared" si="42"/>
        <v>0.75124378109452739</v>
      </c>
      <c r="AP178" s="237">
        <f t="shared" si="43"/>
        <v>0.24875621890547264</v>
      </c>
      <c r="AQ178" s="237">
        <f t="shared" si="44"/>
        <v>0</v>
      </c>
      <c r="AR178" s="237">
        <f t="shared" si="45"/>
        <v>0.96809206717629603</v>
      </c>
      <c r="AS178" s="237">
        <f t="shared" si="45"/>
        <v>3.1907932823703966E-2</v>
      </c>
      <c r="AU178" s="251">
        <f t="shared" si="37"/>
        <v>9618.8444880637799</v>
      </c>
      <c r="AV178" s="251">
        <f t="shared" si="37"/>
        <v>2719.8542887286908</v>
      </c>
      <c r="AW178" s="251">
        <f t="shared" si="37"/>
        <v>0</v>
      </c>
      <c r="AX178" s="251">
        <f t="shared" si="37"/>
        <v>125403.33237740085</v>
      </c>
      <c r="AY178" s="251">
        <f t="shared" si="37"/>
        <v>4105.8719102951654</v>
      </c>
      <c r="AZ178" s="251">
        <f t="shared" si="33"/>
        <v>141847.90306448846</v>
      </c>
      <c r="BA178" s="270">
        <f t="shared" si="46"/>
        <v>7.6582713355016363</v>
      </c>
      <c r="BB178" s="251">
        <f t="shared" si="39"/>
        <v>12338.698776792471</v>
      </c>
      <c r="BC178" s="251">
        <f t="shared" si="40"/>
        <v>129509.20428769602</v>
      </c>
    </row>
    <row r="179" spans="1:55">
      <c r="A179" s="11">
        <v>49096</v>
      </c>
      <c r="B179" s="251">
        <v>100</v>
      </c>
      <c r="C179" s="251">
        <v>295</v>
      </c>
      <c r="D179" s="251">
        <v>5</v>
      </c>
      <c r="E179" s="251">
        <v>220</v>
      </c>
      <c r="F179" s="251">
        <v>44</v>
      </c>
      <c r="G179" s="287">
        <v>0.33</v>
      </c>
      <c r="H179" s="287"/>
      <c r="I179" s="251"/>
      <c r="J179" s="251"/>
      <c r="K179" s="251"/>
      <c r="L179" s="251"/>
      <c r="M179" s="13"/>
      <c r="N179" s="251">
        <f t="shared" si="36"/>
        <v>664.33</v>
      </c>
      <c r="O179" s="251">
        <f>'BBD Monthly Production'!Z26*12</f>
        <v>610.94049837167154</v>
      </c>
      <c r="P179" s="271">
        <f t="shared" si="38"/>
        <v>0.91963406495517519</v>
      </c>
      <c r="Y179" s="251">
        <f>SUM('RD Feedstock'!F177,'RD Feedstock'!I177)</f>
        <v>23.121874999999999</v>
      </c>
      <c r="Z179" s="251">
        <f>SUM('RD Feedstock'!G177,'RD Feedstock'!J177)</f>
        <v>7.65625</v>
      </c>
      <c r="AA179" s="251">
        <v>0</v>
      </c>
      <c r="AB179" s="251">
        <f>SUM('RD Feedstock'!B177,'RD Feedstock'!D177,'RD Feedstock'!H177)</f>
        <v>374.51145833333328</v>
      </c>
      <c r="AC179" s="251">
        <f>SUM('RD Feedstock'!C177,'RD Feedstock'!E177)</f>
        <v>12.34375</v>
      </c>
      <c r="AD179" s="251">
        <f t="shared" si="34"/>
        <v>417.63333333333327</v>
      </c>
      <c r="AH179" s="237">
        <f t="shared" si="35"/>
        <v>5.5364055391491744E-2</v>
      </c>
      <c r="AI179" s="237">
        <f t="shared" si="35"/>
        <v>1.8332468672679385E-2</v>
      </c>
      <c r="AJ179" s="237">
        <f t="shared" si="35"/>
        <v>0</v>
      </c>
      <c r="AK179" s="237">
        <f t="shared" si="35"/>
        <v>0.89674704685130502</v>
      </c>
      <c r="AL179" s="237">
        <f t="shared" si="35"/>
        <v>2.9556429084523911E-2</v>
      </c>
      <c r="AM179" s="237">
        <f t="shared" si="41"/>
        <v>1</v>
      </c>
      <c r="AO179" s="237">
        <f t="shared" si="42"/>
        <v>0.75124378109452739</v>
      </c>
      <c r="AP179" s="237">
        <f t="shared" si="43"/>
        <v>0.24875621890547264</v>
      </c>
      <c r="AQ179" s="237">
        <f t="shared" si="44"/>
        <v>0</v>
      </c>
      <c r="AR179" s="237">
        <f t="shared" si="45"/>
        <v>0.96809206717629603</v>
      </c>
      <c r="AS179" s="237">
        <f t="shared" si="45"/>
        <v>3.1907932823703966E-2</v>
      </c>
      <c r="AU179" s="251">
        <f t="shared" si="37"/>
        <v>11992.625300393143</v>
      </c>
      <c r="AV179" s="251">
        <f t="shared" si="37"/>
        <v>3391.0719106507108</v>
      </c>
      <c r="AW179" s="251">
        <f t="shared" si="37"/>
        <v>0</v>
      </c>
      <c r="AX179" s="251">
        <f t="shared" si="37"/>
        <v>156350.9191243363</v>
      </c>
      <c r="AY179" s="251">
        <f t="shared" si="37"/>
        <v>5119.137066066769</v>
      </c>
      <c r="AZ179" s="251">
        <f t="shared" si="33"/>
        <v>176853.75340144691</v>
      </c>
      <c r="BA179" s="270">
        <f t="shared" si="46"/>
        <v>7.6582713355016363</v>
      </c>
      <c r="BB179" s="251">
        <f t="shared" si="39"/>
        <v>15383.697211043855</v>
      </c>
      <c r="BC179" s="251">
        <f t="shared" si="40"/>
        <v>161470.05619040306</v>
      </c>
    </row>
    <row r="180" spans="1:55">
      <c r="A180" s="11">
        <v>49126</v>
      </c>
      <c r="B180" s="251">
        <v>100</v>
      </c>
      <c r="C180" s="251">
        <v>295</v>
      </c>
      <c r="D180" s="251">
        <v>5</v>
      </c>
      <c r="E180" s="251">
        <v>220</v>
      </c>
      <c r="F180" s="251">
        <v>44</v>
      </c>
      <c r="G180" s="287">
        <v>0.33</v>
      </c>
      <c r="H180" s="287"/>
      <c r="I180" s="251"/>
      <c r="J180" s="251"/>
      <c r="K180" s="251"/>
      <c r="L180" s="251"/>
      <c r="M180" s="13"/>
      <c r="N180" s="251">
        <f t="shared" si="36"/>
        <v>664.33</v>
      </c>
      <c r="O180" s="251">
        <f>'BBD Monthly Production'!Z27*12</f>
        <v>537.74562772958802</v>
      </c>
      <c r="P180" s="271">
        <f t="shared" si="38"/>
        <v>0.80945558341424895</v>
      </c>
      <c r="Y180" s="251">
        <f>SUM('RD Feedstock'!F178,'RD Feedstock'!I178)</f>
        <v>23.121874999999999</v>
      </c>
      <c r="Z180" s="251">
        <f>SUM('RD Feedstock'!G178,'RD Feedstock'!J178)</f>
        <v>7.65625</v>
      </c>
      <c r="AA180" s="251">
        <v>0</v>
      </c>
      <c r="AB180" s="251">
        <f>SUM('RD Feedstock'!B178,'RD Feedstock'!D178,'RD Feedstock'!H178)</f>
        <v>374.51145833333328</v>
      </c>
      <c r="AC180" s="251">
        <f>SUM('RD Feedstock'!C178,'RD Feedstock'!E178)</f>
        <v>12.34375</v>
      </c>
      <c r="AD180" s="251">
        <f t="shared" si="34"/>
        <v>417.63333333333327</v>
      </c>
      <c r="AH180" s="237">
        <f t="shared" si="35"/>
        <v>5.5364055391491744E-2</v>
      </c>
      <c r="AI180" s="237">
        <f t="shared" si="35"/>
        <v>1.8332468672679385E-2</v>
      </c>
      <c r="AJ180" s="237">
        <f t="shared" si="35"/>
        <v>0</v>
      </c>
      <c r="AK180" s="237">
        <f t="shared" si="35"/>
        <v>0.89674704685130502</v>
      </c>
      <c r="AL180" s="237">
        <f t="shared" si="35"/>
        <v>2.9556429084523911E-2</v>
      </c>
      <c r="AM180" s="237">
        <f t="shared" si="41"/>
        <v>1</v>
      </c>
      <c r="AO180" s="237">
        <f t="shared" si="42"/>
        <v>0.75124378109452739</v>
      </c>
      <c r="AP180" s="237">
        <f t="shared" si="43"/>
        <v>0.24875621890547264</v>
      </c>
      <c r="AQ180" s="237">
        <f t="shared" si="44"/>
        <v>0</v>
      </c>
      <c r="AR180" s="237">
        <f t="shared" si="45"/>
        <v>0.96809206717629603</v>
      </c>
      <c r="AS180" s="237">
        <f t="shared" si="45"/>
        <v>3.1907932823703966E-2</v>
      </c>
      <c r="AU180" s="251">
        <f t="shared" si="37"/>
        <v>10555.826365209055</v>
      </c>
      <c r="AV180" s="251">
        <f t="shared" si="37"/>
        <v>2984.798189233275</v>
      </c>
      <c r="AW180" s="251">
        <f t="shared" si="37"/>
        <v>0</v>
      </c>
      <c r="AX180" s="251">
        <f t="shared" si="37"/>
        <v>137619.00442793238</v>
      </c>
      <c r="AY180" s="251">
        <f t="shared" si="37"/>
        <v>4505.8292621995861</v>
      </c>
      <c r="AZ180" s="251">
        <f t="shared" si="33"/>
        <v>155665.45824457429</v>
      </c>
      <c r="BA180" s="270">
        <f t="shared" si="46"/>
        <v>7.6582713355016363</v>
      </c>
      <c r="BB180" s="251">
        <f t="shared" si="39"/>
        <v>13540.624554442331</v>
      </c>
      <c r="BC180" s="251">
        <f t="shared" si="40"/>
        <v>142124.83369013196</v>
      </c>
    </row>
    <row r="181" spans="1:55">
      <c r="A181" s="11">
        <v>49157</v>
      </c>
      <c r="B181" s="251">
        <v>100</v>
      </c>
      <c r="C181" s="251">
        <v>295</v>
      </c>
      <c r="D181" s="251">
        <v>5</v>
      </c>
      <c r="E181" s="251">
        <v>220</v>
      </c>
      <c r="F181" s="251">
        <v>44</v>
      </c>
      <c r="G181" s="287">
        <v>0.33</v>
      </c>
      <c r="H181" s="287"/>
      <c r="I181" s="251"/>
      <c r="J181" s="251"/>
      <c r="K181" s="251"/>
      <c r="L181" s="251"/>
      <c r="M181" s="13"/>
      <c r="N181" s="251">
        <f t="shared" si="36"/>
        <v>664.33</v>
      </c>
      <c r="O181" s="251">
        <f>'BBD Monthly Production'!Z28*12</f>
        <v>472.80608085084725</v>
      </c>
      <c r="P181" s="271">
        <f t="shared" si="38"/>
        <v>0.71170364254338536</v>
      </c>
      <c r="Y181" s="251">
        <f>SUM('RD Feedstock'!F179,'RD Feedstock'!I179)</f>
        <v>23.121874999999999</v>
      </c>
      <c r="Z181" s="251">
        <f>SUM('RD Feedstock'!G179,'RD Feedstock'!J179)</f>
        <v>7.65625</v>
      </c>
      <c r="AA181" s="251">
        <v>0</v>
      </c>
      <c r="AB181" s="251">
        <f>SUM('RD Feedstock'!B179,'RD Feedstock'!D179,'RD Feedstock'!H179)</f>
        <v>374.51145833333328</v>
      </c>
      <c r="AC181" s="251">
        <f>SUM('RD Feedstock'!C179,'RD Feedstock'!E179)</f>
        <v>12.34375</v>
      </c>
      <c r="AD181" s="251">
        <f t="shared" si="34"/>
        <v>417.63333333333327</v>
      </c>
      <c r="AH181" s="237">
        <f t="shared" si="35"/>
        <v>5.5364055391491744E-2</v>
      </c>
      <c r="AI181" s="237">
        <f t="shared" si="35"/>
        <v>1.8332468672679385E-2</v>
      </c>
      <c r="AJ181" s="237">
        <f t="shared" si="35"/>
        <v>0</v>
      </c>
      <c r="AK181" s="237">
        <f t="shared" si="35"/>
        <v>0.89674704685130502</v>
      </c>
      <c r="AL181" s="237">
        <f t="shared" si="35"/>
        <v>2.9556429084523911E-2</v>
      </c>
      <c r="AM181" s="237">
        <f t="shared" si="41"/>
        <v>1</v>
      </c>
      <c r="AO181" s="237">
        <f t="shared" si="42"/>
        <v>0.75124378109452739</v>
      </c>
      <c r="AP181" s="237">
        <f t="shared" si="43"/>
        <v>0.24875621890547264</v>
      </c>
      <c r="AQ181" s="237">
        <f t="shared" si="44"/>
        <v>0</v>
      </c>
      <c r="AR181" s="237">
        <f t="shared" si="45"/>
        <v>0.96809206717629603</v>
      </c>
      <c r="AS181" s="237">
        <f t="shared" si="45"/>
        <v>3.1907932823703966E-2</v>
      </c>
      <c r="AU181" s="251">
        <f t="shared" si="37"/>
        <v>9281.0775885773492</v>
      </c>
      <c r="AV181" s="251">
        <f t="shared" si="37"/>
        <v>2624.3462730518845</v>
      </c>
      <c r="AW181" s="251">
        <f t="shared" si="37"/>
        <v>0</v>
      </c>
      <c r="AX181" s="251">
        <f t="shared" si="37"/>
        <v>120999.77903843764</v>
      </c>
      <c r="AY181" s="251">
        <f t="shared" si="37"/>
        <v>3961.6937164851115</v>
      </c>
      <c r="AZ181" s="251">
        <f t="shared" si="33"/>
        <v>136866.896616552</v>
      </c>
      <c r="BA181" s="270">
        <f t="shared" si="46"/>
        <v>7.6582713355016381</v>
      </c>
      <c r="BB181" s="251">
        <f t="shared" si="39"/>
        <v>11905.423861629233</v>
      </c>
      <c r="BC181" s="251">
        <f t="shared" si="40"/>
        <v>124961.47275492275</v>
      </c>
    </row>
    <row r="182" spans="1:55">
      <c r="A182" s="11">
        <v>49188</v>
      </c>
      <c r="B182" s="251">
        <v>100</v>
      </c>
      <c r="C182" s="251">
        <v>295</v>
      </c>
      <c r="D182" s="251">
        <v>5</v>
      </c>
      <c r="E182" s="251">
        <v>220</v>
      </c>
      <c r="F182" s="251">
        <v>44</v>
      </c>
      <c r="G182" s="287">
        <v>0.33</v>
      </c>
      <c r="H182" s="287"/>
      <c r="I182" s="251"/>
      <c r="J182" s="251"/>
      <c r="K182" s="251"/>
      <c r="L182" s="251"/>
      <c r="M182" s="13"/>
      <c r="N182" s="251">
        <f t="shared" si="36"/>
        <v>664.33</v>
      </c>
      <c r="O182" s="251">
        <f>'BBD Monthly Production'!Z29*12</f>
        <v>516.22472777918267</v>
      </c>
      <c r="P182" s="271">
        <f t="shared" si="38"/>
        <v>0.77706068938506867</v>
      </c>
      <c r="Y182" s="251">
        <f>SUM('RD Feedstock'!F180,'RD Feedstock'!I180)</f>
        <v>23.121874999999999</v>
      </c>
      <c r="Z182" s="251">
        <f>SUM('RD Feedstock'!G180,'RD Feedstock'!J180)</f>
        <v>7.65625</v>
      </c>
      <c r="AA182" s="251">
        <v>0</v>
      </c>
      <c r="AB182" s="251">
        <f>SUM('RD Feedstock'!B180,'RD Feedstock'!D180,'RD Feedstock'!H180)</f>
        <v>374.51145833333328</v>
      </c>
      <c r="AC182" s="251">
        <f>SUM('RD Feedstock'!C180,'RD Feedstock'!E180)</f>
        <v>12.34375</v>
      </c>
      <c r="AD182" s="251">
        <f t="shared" si="34"/>
        <v>417.63333333333327</v>
      </c>
      <c r="AH182" s="237">
        <f t="shared" si="35"/>
        <v>5.5364055391491744E-2</v>
      </c>
      <c r="AI182" s="237">
        <f t="shared" si="35"/>
        <v>1.8332468672679385E-2</v>
      </c>
      <c r="AJ182" s="237">
        <f t="shared" si="35"/>
        <v>0</v>
      </c>
      <c r="AK182" s="237">
        <f t="shared" si="35"/>
        <v>0.89674704685130502</v>
      </c>
      <c r="AL182" s="237">
        <f t="shared" si="35"/>
        <v>2.9556429084523911E-2</v>
      </c>
      <c r="AM182" s="237">
        <f t="shared" si="41"/>
        <v>1</v>
      </c>
      <c r="AO182" s="237">
        <f t="shared" si="42"/>
        <v>0.75124378109452739</v>
      </c>
      <c r="AP182" s="237">
        <f t="shared" si="43"/>
        <v>0.24875621890547264</v>
      </c>
      <c r="AQ182" s="237">
        <f t="shared" si="44"/>
        <v>0</v>
      </c>
      <c r="AR182" s="237">
        <f t="shared" si="45"/>
        <v>0.96809206717629603</v>
      </c>
      <c r="AS182" s="237">
        <f t="shared" si="45"/>
        <v>3.1907932823703966E-2</v>
      </c>
      <c r="AU182" s="251">
        <f t="shared" si="37"/>
        <v>10133.375913945227</v>
      </c>
      <c r="AV182" s="251">
        <f t="shared" si="37"/>
        <v>2865.3447899116504</v>
      </c>
      <c r="AW182" s="251">
        <f t="shared" si="37"/>
        <v>0</v>
      </c>
      <c r="AX182" s="251">
        <f t="shared" si="37"/>
        <v>132111.40999509164</v>
      </c>
      <c r="AY182" s="251">
        <f t="shared" si="37"/>
        <v>4325.5032944091645</v>
      </c>
      <c r="AZ182" s="251">
        <f t="shared" si="33"/>
        <v>149435.63399335768</v>
      </c>
      <c r="BA182" s="270">
        <f t="shared" si="46"/>
        <v>7.6582713355016372</v>
      </c>
      <c r="BB182" s="251">
        <f t="shared" si="39"/>
        <v>12998.720703856878</v>
      </c>
      <c r="BC182" s="251">
        <f t="shared" si="40"/>
        <v>136436.91328950081</v>
      </c>
    </row>
    <row r="183" spans="1:55">
      <c r="A183" s="11">
        <v>49218</v>
      </c>
      <c r="B183" s="251">
        <v>100</v>
      </c>
      <c r="C183" s="251">
        <v>295</v>
      </c>
      <c r="D183" s="251">
        <v>5</v>
      </c>
      <c r="E183" s="251">
        <v>220</v>
      </c>
      <c r="F183" s="251">
        <v>44</v>
      </c>
      <c r="G183" s="287">
        <v>0.33</v>
      </c>
      <c r="H183" s="287"/>
      <c r="I183" s="251"/>
      <c r="J183" s="251"/>
      <c r="K183" s="251"/>
      <c r="L183" s="251"/>
      <c r="M183" s="13"/>
      <c r="N183" s="251">
        <f t="shared" si="36"/>
        <v>664.33</v>
      </c>
      <c r="O183" s="251">
        <f>'BBD Monthly Production'!Z30*12</f>
        <v>412.7391096220822</v>
      </c>
      <c r="P183" s="271">
        <f t="shared" si="38"/>
        <v>0.62128627281935511</v>
      </c>
      <c r="Y183" s="251">
        <f>SUM('RD Feedstock'!F181,'RD Feedstock'!I181)</f>
        <v>23.121874999999999</v>
      </c>
      <c r="Z183" s="251">
        <f>SUM('RD Feedstock'!G181,'RD Feedstock'!J181)</f>
        <v>7.65625</v>
      </c>
      <c r="AA183" s="251">
        <v>0</v>
      </c>
      <c r="AB183" s="251">
        <f>SUM('RD Feedstock'!B181,'RD Feedstock'!D181,'RD Feedstock'!H181)</f>
        <v>374.51145833333328</v>
      </c>
      <c r="AC183" s="251">
        <f>SUM('RD Feedstock'!C181,'RD Feedstock'!E181)</f>
        <v>12.34375</v>
      </c>
      <c r="AD183" s="251">
        <f t="shared" si="34"/>
        <v>417.63333333333327</v>
      </c>
      <c r="AH183" s="237">
        <f t="shared" si="35"/>
        <v>5.5364055391491744E-2</v>
      </c>
      <c r="AI183" s="237">
        <f t="shared" si="35"/>
        <v>1.8332468672679385E-2</v>
      </c>
      <c r="AJ183" s="237">
        <f t="shared" si="35"/>
        <v>0</v>
      </c>
      <c r="AK183" s="237">
        <f t="shared" si="35"/>
        <v>0.89674704685130502</v>
      </c>
      <c r="AL183" s="237">
        <f t="shared" si="35"/>
        <v>2.9556429084523911E-2</v>
      </c>
      <c r="AM183" s="237">
        <f t="shared" si="41"/>
        <v>1</v>
      </c>
      <c r="AO183" s="237">
        <f t="shared" si="42"/>
        <v>0.75124378109452739</v>
      </c>
      <c r="AP183" s="237">
        <f t="shared" si="43"/>
        <v>0.24875621890547264</v>
      </c>
      <c r="AQ183" s="237">
        <f t="shared" si="44"/>
        <v>0</v>
      </c>
      <c r="AR183" s="237">
        <f t="shared" si="45"/>
        <v>0.96809206717629603</v>
      </c>
      <c r="AS183" s="237">
        <f t="shared" si="45"/>
        <v>3.1907932823703966E-2</v>
      </c>
      <c r="AU183" s="251">
        <f t="shared" si="37"/>
        <v>8101.9763818378415</v>
      </c>
      <c r="AV183" s="251">
        <f t="shared" si="37"/>
        <v>2290.9399602691756</v>
      </c>
      <c r="AW183" s="251">
        <f t="shared" si="37"/>
        <v>0</v>
      </c>
      <c r="AX183" s="251">
        <f t="shared" si="37"/>
        <v>105627.53544734564</v>
      </c>
      <c r="AY183" s="251">
        <f t="shared" si="37"/>
        <v>3458.3860135531772</v>
      </c>
      <c r="AZ183" s="251">
        <f t="shared" si="33"/>
        <v>119478.83780300582</v>
      </c>
      <c r="BA183" s="270">
        <f t="shared" si="46"/>
        <v>7.6582713355016363</v>
      </c>
      <c r="BB183" s="251">
        <f t="shared" si="39"/>
        <v>10392.916342107017</v>
      </c>
      <c r="BC183" s="251">
        <f t="shared" si="40"/>
        <v>109085.92146089881</v>
      </c>
    </row>
    <row r="184" spans="1:55">
      <c r="A184" s="11">
        <v>49249</v>
      </c>
      <c r="B184" s="251">
        <v>100</v>
      </c>
      <c r="C184" s="251">
        <v>295</v>
      </c>
      <c r="D184" s="251">
        <v>5</v>
      </c>
      <c r="E184" s="251">
        <v>220</v>
      </c>
      <c r="F184" s="251">
        <v>44</v>
      </c>
      <c r="G184" s="287">
        <v>0.33</v>
      </c>
      <c r="H184" s="287"/>
      <c r="I184" s="251"/>
      <c r="J184" s="251"/>
      <c r="K184" s="251"/>
      <c r="L184" s="251"/>
      <c r="M184" s="13"/>
      <c r="N184" s="251">
        <f t="shared" si="36"/>
        <v>664.33</v>
      </c>
      <c r="O184" s="251">
        <f>'BBD Monthly Production'!Z31*12</f>
        <v>531.36208329507531</v>
      </c>
      <c r="P184" s="271">
        <f t="shared" si="38"/>
        <v>0.79984658723085711</v>
      </c>
      <c r="Y184" s="251">
        <f>SUM('RD Feedstock'!F182,'RD Feedstock'!I182)</f>
        <v>23.121874999999999</v>
      </c>
      <c r="Z184" s="251">
        <f>SUM('RD Feedstock'!G182,'RD Feedstock'!J182)</f>
        <v>7.65625</v>
      </c>
      <c r="AA184" s="251">
        <v>0</v>
      </c>
      <c r="AB184" s="251">
        <f>SUM('RD Feedstock'!B182,'RD Feedstock'!D182,'RD Feedstock'!H182)</f>
        <v>374.51145833333328</v>
      </c>
      <c r="AC184" s="251">
        <f>SUM('RD Feedstock'!C182,'RD Feedstock'!E182)</f>
        <v>12.34375</v>
      </c>
      <c r="AD184" s="251">
        <f t="shared" si="34"/>
        <v>417.63333333333327</v>
      </c>
      <c r="AH184" s="237">
        <f t="shared" si="35"/>
        <v>5.5364055391491744E-2</v>
      </c>
      <c r="AI184" s="237">
        <f t="shared" si="35"/>
        <v>1.8332468672679385E-2</v>
      </c>
      <c r="AJ184" s="237">
        <f t="shared" si="35"/>
        <v>0</v>
      </c>
      <c r="AK184" s="237">
        <f t="shared" si="35"/>
        <v>0.89674704685130502</v>
      </c>
      <c r="AL184" s="237">
        <f t="shared" si="35"/>
        <v>2.9556429084523911E-2</v>
      </c>
      <c r="AM184" s="237">
        <f t="shared" si="41"/>
        <v>1</v>
      </c>
      <c r="AO184" s="237">
        <f t="shared" si="42"/>
        <v>0.75124378109452739</v>
      </c>
      <c r="AP184" s="237">
        <f t="shared" si="43"/>
        <v>0.24875621890547264</v>
      </c>
      <c r="AQ184" s="237">
        <f t="shared" si="44"/>
        <v>0</v>
      </c>
      <c r="AR184" s="237">
        <f t="shared" si="45"/>
        <v>0.96809206717629603</v>
      </c>
      <c r="AS184" s="237">
        <f t="shared" si="45"/>
        <v>3.1907932823703966E-2</v>
      </c>
      <c r="AU184" s="251">
        <f t="shared" si="37"/>
        <v>10430.518816117838</v>
      </c>
      <c r="AV184" s="251">
        <f t="shared" si="37"/>
        <v>2949.365838161506</v>
      </c>
      <c r="AW184" s="251">
        <f t="shared" si="37"/>
        <v>0</v>
      </c>
      <c r="AX184" s="251">
        <f t="shared" si="37"/>
        <v>135985.33790514129</v>
      </c>
      <c r="AY184" s="251">
        <f t="shared" si="37"/>
        <v>4452.3408471825842</v>
      </c>
      <c r="AZ184" s="251">
        <f t="shared" si="33"/>
        <v>153817.56340660321</v>
      </c>
      <c r="BA184" s="270">
        <f t="shared" si="46"/>
        <v>7.6582713355016372</v>
      </c>
      <c r="BB184" s="251">
        <f t="shared" si="39"/>
        <v>13379.884654279344</v>
      </c>
      <c r="BC184" s="251">
        <f t="shared" si="40"/>
        <v>140437.67875232387</v>
      </c>
    </row>
    <row r="185" spans="1:55">
      <c r="A185" s="11">
        <v>49279</v>
      </c>
      <c r="B185" s="251">
        <v>100</v>
      </c>
      <c r="C185" s="251">
        <v>295</v>
      </c>
      <c r="D185" s="251">
        <v>5</v>
      </c>
      <c r="E185" s="251">
        <v>220</v>
      </c>
      <c r="F185" s="251">
        <v>44</v>
      </c>
      <c r="G185" s="287">
        <v>0.33</v>
      </c>
      <c r="H185" s="287"/>
      <c r="I185" s="251"/>
      <c r="J185" s="251"/>
      <c r="K185" s="251"/>
      <c r="L185" s="251"/>
      <c r="M185" s="13"/>
      <c r="N185" s="251">
        <f t="shared" si="36"/>
        <v>664.33</v>
      </c>
      <c r="O185" s="251">
        <f>'BBD Monthly Production'!Z32*12</f>
        <v>731.24274575882782</v>
      </c>
      <c r="P185" s="271">
        <f t="shared" si="38"/>
        <v>1.1007221497731967</v>
      </c>
      <c r="Y185" s="251">
        <f>SUM('RD Feedstock'!F183,'RD Feedstock'!I183)</f>
        <v>23.121874999999999</v>
      </c>
      <c r="Z185" s="251">
        <f>SUM('RD Feedstock'!G183,'RD Feedstock'!J183)</f>
        <v>7.65625</v>
      </c>
      <c r="AA185" s="251">
        <v>0</v>
      </c>
      <c r="AB185" s="251">
        <f>SUM('RD Feedstock'!B183,'RD Feedstock'!D183,'RD Feedstock'!H183)</f>
        <v>374.51145833333328</v>
      </c>
      <c r="AC185" s="251">
        <f>SUM('RD Feedstock'!C183,'RD Feedstock'!E183)</f>
        <v>12.34375</v>
      </c>
      <c r="AD185" s="251">
        <f t="shared" si="34"/>
        <v>417.63333333333327</v>
      </c>
      <c r="AH185" s="237">
        <f t="shared" si="35"/>
        <v>5.5364055391491744E-2</v>
      </c>
      <c r="AI185" s="237">
        <f t="shared" si="35"/>
        <v>1.8332468672679385E-2</v>
      </c>
      <c r="AJ185" s="237">
        <f t="shared" si="35"/>
        <v>0</v>
      </c>
      <c r="AK185" s="237">
        <f t="shared" si="35"/>
        <v>0.89674704685130502</v>
      </c>
      <c r="AL185" s="237">
        <f t="shared" si="35"/>
        <v>2.9556429084523911E-2</v>
      </c>
      <c r="AM185" s="237">
        <f t="shared" si="41"/>
        <v>1</v>
      </c>
      <c r="AO185" s="237">
        <f t="shared" si="42"/>
        <v>0.75124378109452739</v>
      </c>
      <c r="AP185" s="237">
        <f t="shared" si="43"/>
        <v>0.24875621890547264</v>
      </c>
      <c r="AQ185" s="237">
        <f t="shared" si="44"/>
        <v>0</v>
      </c>
      <c r="AR185" s="237">
        <f t="shared" si="45"/>
        <v>0.96809206717629603</v>
      </c>
      <c r="AS185" s="237">
        <f t="shared" si="45"/>
        <v>3.1907932823703966E-2</v>
      </c>
      <c r="AU185" s="251">
        <f t="shared" si="37"/>
        <v>14354.131501986711</v>
      </c>
      <c r="AV185" s="251">
        <f t="shared" si="37"/>
        <v>4058.8187255861253</v>
      </c>
      <c r="AW185" s="251">
        <f t="shared" si="37"/>
        <v>0</v>
      </c>
      <c r="AX185" s="251">
        <f t="shared" si="37"/>
        <v>187138.47863600304</v>
      </c>
      <c r="AY185" s="251">
        <f t="shared" si="37"/>
        <v>6127.1627172915987</v>
      </c>
      <c r="AZ185" s="251">
        <f t="shared" si="33"/>
        <v>211678.59158086748</v>
      </c>
      <c r="BA185" s="270">
        <f t="shared" si="46"/>
        <v>7.6582713355016372</v>
      </c>
      <c r="BB185" s="251">
        <f t="shared" si="39"/>
        <v>18412.950227572837</v>
      </c>
      <c r="BC185" s="251">
        <f t="shared" si="40"/>
        <v>193265.64135329463</v>
      </c>
    </row>
    <row r="186" spans="1:55">
      <c r="A186" s="11">
        <v>49310</v>
      </c>
      <c r="B186" s="251">
        <v>100</v>
      </c>
      <c r="C186" s="251">
        <v>295</v>
      </c>
      <c r="D186" s="251">
        <v>5</v>
      </c>
      <c r="E186" s="251">
        <v>220</v>
      </c>
      <c r="F186" s="251">
        <v>44</v>
      </c>
      <c r="G186" s="287">
        <v>0.33</v>
      </c>
      <c r="H186" s="287"/>
      <c r="I186" s="251"/>
      <c r="J186" s="251"/>
      <c r="K186" s="251"/>
      <c r="L186" s="251"/>
      <c r="M186" s="13"/>
      <c r="N186" s="251">
        <f t="shared" si="36"/>
        <v>664.33</v>
      </c>
      <c r="O186" s="251">
        <f>'BBD Monthly Production'!AA21*12</f>
        <v>233.10233318861478</v>
      </c>
      <c r="P186" s="271">
        <f t="shared" si="38"/>
        <v>0.35088334591033787</v>
      </c>
      <c r="Y186" s="251">
        <f>SUM('RD Feedstock'!F184,'RD Feedstock'!I184)</f>
        <v>23.121874999999999</v>
      </c>
      <c r="Z186" s="251">
        <f>SUM('RD Feedstock'!G184,'RD Feedstock'!J184)</f>
        <v>7.65625</v>
      </c>
      <c r="AA186" s="251">
        <v>0</v>
      </c>
      <c r="AB186" s="251">
        <f>SUM('RD Feedstock'!B184,'RD Feedstock'!D184,'RD Feedstock'!H184)</f>
        <v>374.51145833333328</v>
      </c>
      <c r="AC186" s="251">
        <f>SUM('RD Feedstock'!C184,'RD Feedstock'!E184)</f>
        <v>12.34375</v>
      </c>
      <c r="AD186" s="251">
        <f t="shared" si="34"/>
        <v>417.63333333333327</v>
      </c>
      <c r="AH186" s="237">
        <f t="shared" si="35"/>
        <v>5.5364055391491744E-2</v>
      </c>
      <c r="AI186" s="237">
        <f t="shared" si="35"/>
        <v>1.8332468672679385E-2</v>
      </c>
      <c r="AJ186" s="237">
        <f t="shared" si="35"/>
        <v>0</v>
      </c>
      <c r="AK186" s="237">
        <f t="shared" si="35"/>
        <v>0.89674704685130502</v>
      </c>
      <c r="AL186" s="237">
        <f t="shared" si="35"/>
        <v>2.9556429084523911E-2</v>
      </c>
      <c r="AM186" s="237">
        <f t="shared" si="41"/>
        <v>1</v>
      </c>
      <c r="AO186" s="237">
        <f t="shared" si="42"/>
        <v>0.75124378109452739</v>
      </c>
      <c r="AP186" s="237">
        <f t="shared" si="43"/>
        <v>0.24875621890547264</v>
      </c>
      <c r="AQ186" s="237">
        <f t="shared" si="44"/>
        <v>0</v>
      </c>
      <c r="AR186" s="237">
        <f t="shared" si="45"/>
        <v>0.96809206717629603</v>
      </c>
      <c r="AS186" s="237">
        <f t="shared" si="45"/>
        <v>3.1907932823703966E-2</v>
      </c>
      <c r="AU186" s="251">
        <f t="shared" si="37"/>
        <v>4575.7466496807338</v>
      </c>
      <c r="AV186" s="251">
        <f t="shared" si="37"/>
        <v>1293.8523088416482</v>
      </c>
      <c r="AW186" s="251">
        <f t="shared" si="37"/>
        <v>0</v>
      </c>
      <c r="AX186" s="251">
        <f t="shared" si="37"/>
        <v>59655.177781151229</v>
      </c>
      <c r="AY186" s="251">
        <f t="shared" si="37"/>
        <v>1953.1898723245861</v>
      </c>
      <c r="AZ186" s="251">
        <f t="shared" si="33"/>
        <v>67477.966611998199</v>
      </c>
      <c r="BA186" s="270">
        <f t="shared" si="46"/>
        <v>7.6582713355016363</v>
      </c>
      <c r="BB186" s="251">
        <f t="shared" si="39"/>
        <v>5869.5989585223815</v>
      </c>
      <c r="BC186" s="251">
        <f t="shared" si="40"/>
        <v>61608.367653475812</v>
      </c>
    </row>
    <row r="187" spans="1:55">
      <c r="A187" s="11">
        <v>49341</v>
      </c>
      <c r="B187" s="251">
        <v>100</v>
      </c>
      <c r="C187" s="251">
        <v>295</v>
      </c>
      <c r="D187" s="251">
        <v>5</v>
      </c>
      <c r="E187" s="251">
        <v>220</v>
      </c>
      <c r="F187" s="251">
        <v>44</v>
      </c>
      <c r="G187" s="287">
        <v>0.33</v>
      </c>
      <c r="H187" s="287"/>
      <c r="I187" s="251"/>
      <c r="J187" s="251"/>
      <c r="K187" s="251"/>
      <c r="L187" s="251"/>
      <c r="M187" s="13"/>
      <c r="N187" s="251">
        <f t="shared" si="36"/>
        <v>664.33</v>
      </c>
      <c r="O187" s="251">
        <f>'BBD Monthly Production'!AA22*12</f>
        <v>273.72937552418176</v>
      </c>
      <c r="P187" s="271">
        <f t="shared" si="38"/>
        <v>0.41203825737838384</v>
      </c>
      <c r="Y187" s="251">
        <f>SUM('RD Feedstock'!F185,'RD Feedstock'!I185)</f>
        <v>23.121874999999999</v>
      </c>
      <c r="Z187" s="251">
        <f>SUM('RD Feedstock'!G185,'RD Feedstock'!J185)</f>
        <v>7.65625</v>
      </c>
      <c r="AA187" s="251">
        <v>0</v>
      </c>
      <c r="AB187" s="251">
        <f>SUM('RD Feedstock'!B185,'RD Feedstock'!D185,'RD Feedstock'!H185)</f>
        <v>374.51145833333328</v>
      </c>
      <c r="AC187" s="251">
        <f>SUM('RD Feedstock'!C185,'RD Feedstock'!E185)</f>
        <v>12.34375</v>
      </c>
      <c r="AD187" s="251">
        <f t="shared" si="34"/>
        <v>417.63333333333327</v>
      </c>
      <c r="AH187" s="237">
        <f t="shared" si="35"/>
        <v>5.5364055391491744E-2</v>
      </c>
      <c r="AI187" s="237">
        <f t="shared" si="35"/>
        <v>1.8332468672679385E-2</v>
      </c>
      <c r="AJ187" s="237">
        <f t="shared" si="35"/>
        <v>0</v>
      </c>
      <c r="AK187" s="237">
        <f t="shared" si="35"/>
        <v>0.89674704685130502</v>
      </c>
      <c r="AL187" s="237">
        <f t="shared" si="35"/>
        <v>2.9556429084523911E-2</v>
      </c>
      <c r="AM187" s="237">
        <f t="shared" si="41"/>
        <v>1</v>
      </c>
      <c r="AO187" s="237">
        <f t="shared" si="42"/>
        <v>0.75124378109452739</v>
      </c>
      <c r="AP187" s="237">
        <f t="shared" si="43"/>
        <v>0.24875621890547264</v>
      </c>
      <c r="AQ187" s="237">
        <f t="shared" si="44"/>
        <v>0</v>
      </c>
      <c r="AR187" s="237">
        <f t="shared" si="45"/>
        <v>0.96809206717629603</v>
      </c>
      <c r="AS187" s="237">
        <f t="shared" si="45"/>
        <v>3.1907932823703966E-2</v>
      </c>
      <c r="AU187" s="251">
        <f t="shared" si="37"/>
        <v>5373.246401444213</v>
      </c>
      <c r="AV187" s="251">
        <f t="shared" si="37"/>
        <v>1519.3558111371294</v>
      </c>
      <c r="AW187" s="251">
        <f t="shared" si="37"/>
        <v>0</v>
      </c>
      <c r="AX187" s="251">
        <f t="shared" si="37"/>
        <v>70052.385737407691</v>
      </c>
      <c r="AY187" s="251">
        <f t="shared" si="37"/>
        <v>2293.608290908684</v>
      </c>
      <c r="AZ187" s="251">
        <f t="shared" si="33"/>
        <v>79238.596240897721</v>
      </c>
      <c r="BA187" s="270">
        <f t="shared" si="46"/>
        <v>7.6582713355016381</v>
      </c>
      <c r="BB187" s="251">
        <f t="shared" si="39"/>
        <v>6892.6022125813424</v>
      </c>
      <c r="BC187" s="251">
        <f t="shared" si="40"/>
        <v>72345.994028316374</v>
      </c>
    </row>
    <row r="188" spans="1:55">
      <c r="A188" s="11">
        <v>49369</v>
      </c>
      <c r="B188" s="251">
        <v>100</v>
      </c>
      <c r="C188" s="251">
        <v>295</v>
      </c>
      <c r="D188" s="251">
        <v>5</v>
      </c>
      <c r="E188" s="251">
        <v>220</v>
      </c>
      <c r="F188" s="251">
        <v>44</v>
      </c>
      <c r="G188" s="287">
        <v>0.33</v>
      </c>
      <c r="H188" s="287"/>
      <c r="I188" s="251"/>
      <c r="J188" s="251"/>
      <c r="K188" s="251"/>
      <c r="L188" s="251"/>
      <c r="M188" s="13"/>
      <c r="N188" s="251">
        <f t="shared" si="36"/>
        <v>664.33</v>
      </c>
      <c r="O188" s="251">
        <f>'BBD Monthly Production'!AA23*12</f>
        <v>534.48962273735685</v>
      </c>
      <c r="P188" s="271">
        <f t="shared" si="38"/>
        <v>0.80455439726846123</v>
      </c>
      <c r="Y188" s="251">
        <f>SUM('RD Feedstock'!F186,'RD Feedstock'!I186)</f>
        <v>23.121874999999999</v>
      </c>
      <c r="Z188" s="251">
        <f>SUM('RD Feedstock'!G186,'RD Feedstock'!J186)</f>
        <v>7.65625</v>
      </c>
      <c r="AA188" s="251">
        <v>0</v>
      </c>
      <c r="AB188" s="251">
        <f>SUM('RD Feedstock'!B186,'RD Feedstock'!D186,'RD Feedstock'!H186)</f>
        <v>374.51145833333328</v>
      </c>
      <c r="AC188" s="251">
        <f>SUM('RD Feedstock'!C186,'RD Feedstock'!E186)</f>
        <v>12.34375</v>
      </c>
      <c r="AD188" s="251">
        <f t="shared" si="34"/>
        <v>417.63333333333327</v>
      </c>
      <c r="AH188" s="237">
        <f t="shared" si="35"/>
        <v>5.5364055391491744E-2</v>
      </c>
      <c r="AI188" s="237">
        <f t="shared" si="35"/>
        <v>1.8332468672679385E-2</v>
      </c>
      <c r="AJ188" s="237">
        <f t="shared" si="35"/>
        <v>0</v>
      </c>
      <c r="AK188" s="237">
        <f t="shared" si="35"/>
        <v>0.89674704685130502</v>
      </c>
      <c r="AL188" s="237">
        <f t="shared" si="35"/>
        <v>2.9556429084523911E-2</v>
      </c>
      <c r="AM188" s="237">
        <f t="shared" si="41"/>
        <v>1</v>
      </c>
      <c r="AO188" s="237">
        <f t="shared" si="42"/>
        <v>0.75124378109452739</v>
      </c>
      <c r="AP188" s="237">
        <f t="shared" si="43"/>
        <v>0.24875621890547264</v>
      </c>
      <c r="AQ188" s="237">
        <f t="shared" si="44"/>
        <v>0</v>
      </c>
      <c r="AR188" s="237">
        <f t="shared" si="45"/>
        <v>0.96809206717629603</v>
      </c>
      <c r="AS188" s="237">
        <f t="shared" si="45"/>
        <v>3.1907932823703966E-2</v>
      </c>
      <c r="AU188" s="251">
        <f t="shared" si="37"/>
        <v>10491.911715661166</v>
      </c>
      <c r="AV188" s="251">
        <f t="shared" si="37"/>
        <v>2966.7254847726581</v>
      </c>
      <c r="AW188" s="251">
        <f t="shared" si="37"/>
        <v>0</v>
      </c>
      <c r="AX188" s="251">
        <f t="shared" si="37"/>
        <v>136785.73281708712</v>
      </c>
      <c r="AY188" s="251">
        <f t="shared" si="37"/>
        <v>4478.5468412642349</v>
      </c>
      <c r="AZ188" s="251">
        <f t="shared" si="33"/>
        <v>154722.91685878517</v>
      </c>
      <c r="BA188" s="270">
        <f t="shared" si="46"/>
        <v>7.6582713355016363</v>
      </c>
      <c r="BB188" s="251">
        <f t="shared" si="39"/>
        <v>13458.637200433825</v>
      </c>
      <c r="BC188" s="251">
        <f t="shared" si="40"/>
        <v>141264.27965835136</v>
      </c>
    </row>
    <row r="189" spans="1:55">
      <c r="A189" s="11">
        <v>49400</v>
      </c>
      <c r="B189" s="251">
        <v>100</v>
      </c>
      <c r="C189" s="251">
        <v>295</v>
      </c>
      <c r="D189" s="251">
        <v>5</v>
      </c>
      <c r="E189" s="251">
        <v>220</v>
      </c>
      <c r="F189" s="251">
        <v>44</v>
      </c>
      <c r="G189" s="287">
        <v>0.33</v>
      </c>
      <c r="H189" s="287"/>
      <c r="I189" s="251"/>
      <c r="J189" s="251"/>
      <c r="K189" s="251"/>
      <c r="L189" s="251"/>
      <c r="M189" s="13"/>
      <c r="N189" s="251">
        <f t="shared" si="36"/>
        <v>664.33</v>
      </c>
      <c r="O189" s="251">
        <f>'BBD Monthly Production'!AA24*12</f>
        <v>462.62125977778868</v>
      </c>
      <c r="P189" s="271">
        <f t="shared" si="38"/>
        <v>0.6963726758956974</v>
      </c>
      <c r="Y189" s="251">
        <f>SUM('RD Feedstock'!F187,'RD Feedstock'!I187)</f>
        <v>23.121874999999999</v>
      </c>
      <c r="Z189" s="251">
        <f>SUM('RD Feedstock'!G187,'RD Feedstock'!J187)</f>
        <v>7.65625</v>
      </c>
      <c r="AA189" s="251">
        <v>0</v>
      </c>
      <c r="AB189" s="251">
        <f>SUM('RD Feedstock'!B187,'RD Feedstock'!D187,'RD Feedstock'!H187)</f>
        <v>374.51145833333328</v>
      </c>
      <c r="AC189" s="251">
        <f>SUM('RD Feedstock'!C187,'RD Feedstock'!E187)</f>
        <v>12.34375</v>
      </c>
      <c r="AD189" s="251">
        <f t="shared" si="34"/>
        <v>417.63333333333327</v>
      </c>
      <c r="AH189" s="237">
        <f t="shared" si="35"/>
        <v>5.5364055391491744E-2</v>
      </c>
      <c r="AI189" s="237">
        <f t="shared" si="35"/>
        <v>1.8332468672679385E-2</v>
      </c>
      <c r="AJ189" s="237">
        <f t="shared" si="35"/>
        <v>0</v>
      </c>
      <c r="AK189" s="237">
        <f t="shared" si="35"/>
        <v>0.89674704685130502</v>
      </c>
      <c r="AL189" s="237">
        <f t="shared" si="35"/>
        <v>2.9556429084523911E-2</v>
      </c>
      <c r="AM189" s="237">
        <f t="shared" si="41"/>
        <v>1</v>
      </c>
      <c r="AO189" s="237">
        <f t="shared" si="42"/>
        <v>0.75124378109452739</v>
      </c>
      <c r="AP189" s="237">
        <f t="shared" si="43"/>
        <v>0.24875621890547264</v>
      </c>
      <c r="AQ189" s="237">
        <f t="shared" si="44"/>
        <v>0</v>
      </c>
      <c r="AR189" s="237">
        <f t="shared" si="45"/>
        <v>0.96809206717629603</v>
      </c>
      <c r="AS189" s="237">
        <f t="shared" si="45"/>
        <v>3.1907932823703966E-2</v>
      </c>
      <c r="AU189" s="251">
        <f t="shared" si="37"/>
        <v>9081.1518295119677</v>
      </c>
      <c r="AV189" s="251">
        <f t="shared" si="37"/>
        <v>2567.8146455891374</v>
      </c>
      <c r="AW189" s="251">
        <f t="shared" si="37"/>
        <v>0</v>
      </c>
      <c r="AX189" s="251">
        <f t="shared" si="37"/>
        <v>118393.29585368588</v>
      </c>
      <c r="AY189" s="251">
        <f t="shared" si="37"/>
        <v>3876.3539899400339</v>
      </c>
      <c r="AZ189" s="251">
        <f t="shared" si="33"/>
        <v>133918.616318727</v>
      </c>
      <c r="BA189" s="270">
        <f t="shared" si="46"/>
        <v>7.6582713355016336</v>
      </c>
      <c r="BB189" s="251">
        <f t="shared" si="39"/>
        <v>11648.966475101104</v>
      </c>
      <c r="BC189" s="251">
        <f t="shared" si="40"/>
        <v>122269.64984362591</v>
      </c>
    </row>
    <row r="190" spans="1:55">
      <c r="A190" s="11">
        <v>49430</v>
      </c>
      <c r="B190" s="251">
        <v>100</v>
      </c>
      <c r="C190" s="251">
        <v>295</v>
      </c>
      <c r="D190" s="251">
        <v>5</v>
      </c>
      <c r="E190" s="251">
        <v>220</v>
      </c>
      <c r="F190" s="251">
        <v>44</v>
      </c>
      <c r="G190" s="287">
        <v>0.33</v>
      </c>
      <c r="H190" s="287"/>
      <c r="I190" s="251"/>
      <c r="J190" s="251"/>
      <c r="K190" s="251"/>
      <c r="L190" s="251"/>
      <c r="M190" s="13"/>
      <c r="N190" s="251">
        <f t="shared" si="36"/>
        <v>664.33</v>
      </c>
      <c r="O190" s="251">
        <f>'BBD Monthly Production'!AA25*12</f>
        <v>498.1446202403078</v>
      </c>
      <c r="P190" s="271">
        <f t="shared" si="38"/>
        <v>0.74984513756763627</v>
      </c>
      <c r="Y190" s="251">
        <f>SUM('RD Feedstock'!F188,'RD Feedstock'!I188)</f>
        <v>23.121874999999999</v>
      </c>
      <c r="Z190" s="251">
        <f>SUM('RD Feedstock'!G188,'RD Feedstock'!J188)</f>
        <v>7.65625</v>
      </c>
      <c r="AA190" s="251">
        <v>0</v>
      </c>
      <c r="AB190" s="251">
        <f>SUM('RD Feedstock'!B188,'RD Feedstock'!D188,'RD Feedstock'!H188)</f>
        <v>374.51145833333328</v>
      </c>
      <c r="AC190" s="251">
        <f>SUM('RD Feedstock'!C188,'RD Feedstock'!E188)</f>
        <v>12.34375</v>
      </c>
      <c r="AD190" s="251">
        <f t="shared" si="34"/>
        <v>417.63333333333327</v>
      </c>
      <c r="AH190" s="237">
        <f t="shared" si="35"/>
        <v>5.5364055391491744E-2</v>
      </c>
      <c r="AI190" s="237">
        <f t="shared" si="35"/>
        <v>1.8332468672679385E-2</v>
      </c>
      <c r="AJ190" s="237">
        <f t="shared" si="35"/>
        <v>0</v>
      </c>
      <c r="AK190" s="237">
        <f t="shared" si="35"/>
        <v>0.89674704685130502</v>
      </c>
      <c r="AL190" s="237">
        <f t="shared" si="35"/>
        <v>2.9556429084523911E-2</v>
      </c>
      <c r="AM190" s="237">
        <f t="shared" si="41"/>
        <v>1</v>
      </c>
      <c r="AO190" s="237">
        <f t="shared" si="42"/>
        <v>0.75124378109452739</v>
      </c>
      <c r="AP190" s="237">
        <f t="shared" si="43"/>
        <v>0.24875621890547264</v>
      </c>
      <c r="AQ190" s="237">
        <f t="shared" si="44"/>
        <v>0</v>
      </c>
      <c r="AR190" s="237">
        <f t="shared" si="45"/>
        <v>0.96809206717629603</v>
      </c>
      <c r="AS190" s="237">
        <f t="shared" si="45"/>
        <v>3.1907932823703966E-2</v>
      </c>
      <c r="AU190" s="251">
        <f t="shared" si="37"/>
        <v>9778.467447928575</v>
      </c>
      <c r="AV190" s="251">
        <f t="shared" si="37"/>
        <v>2764.9897717387948</v>
      </c>
      <c r="AW190" s="251">
        <f t="shared" si="37"/>
        <v>0</v>
      </c>
      <c r="AX190" s="251">
        <f t="shared" si="37"/>
        <v>127484.3776750797</v>
      </c>
      <c r="AY190" s="251">
        <f t="shared" si="37"/>
        <v>4174.0081014936331</v>
      </c>
      <c r="AZ190" s="251">
        <f t="shared" si="33"/>
        <v>144201.84299624071</v>
      </c>
      <c r="BA190" s="270">
        <f t="shared" si="46"/>
        <v>7.6582713355016372</v>
      </c>
      <c r="BB190" s="251">
        <f t="shared" si="39"/>
        <v>12543.457219667369</v>
      </c>
      <c r="BC190" s="251">
        <f t="shared" si="40"/>
        <v>131658.38577657333</v>
      </c>
    </row>
    <row r="191" spans="1:55">
      <c r="A191" s="11">
        <v>49461</v>
      </c>
      <c r="B191" s="251">
        <v>100</v>
      </c>
      <c r="C191" s="251">
        <v>295</v>
      </c>
      <c r="D191" s="251">
        <v>5</v>
      </c>
      <c r="E191" s="251">
        <v>220</v>
      </c>
      <c r="F191" s="251">
        <v>44</v>
      </c>
      <c r="G191" s="287">
        <v>0.33</v>
      </c>
      <c r="H191" s="287"/>
      <c r="I191" s="251"/>
      <c r="J191" s="251"/>
      <c r="K191" s="251"/>
      <c r="L191" s="251"/>
      <c r="M191" s="13"/>
      <c r="N191" s="251">
        <f t="shared" si="36"/>
        <v>664.33</v>
      </c>
      <c r="O191" s="251">
        <f>'BBD Monthly Production'!AA26*12</f>
        <v>621.26679131157562</v>
      </c>
      <c r="P191" s="271">
        <f t="shared" si="38"/>
        <v>0.93517798580761902</v>
      </c>
      <c r="Y191" s="251">
        <f>SUM('RD Feedstock'!F189,'RD Feedstock'!I189)</f>
        <v>23.121874999999999</v>
      </c>
      <c r="Z191" s="251">
        <f>SUM('RD Feedstock'!G189,'RD Feedstock'!J189)</f>
        <v>7.65625</v>
      </c>
      <c r="AA191" s="251">
        <v>0</v>
      </c>
      <c r="AB191" s="251">
        <f>SUM('RD Feedstock'!B189,'RD Feedstock'!D189,'RD Feedstock'!H189)</f>
        <v>374.51145833333328</v>
      </c>
      <c r="AC191" s="251">
        <f>SUM('RD Feedstock'!C189,'RD Feedstock'!E189)</f>
        <v>12.34375</v>
      </c>
      <c r="AD191" s="251">
        <f t="shared" si="34"/>
        <v>417.63333333333327</v>
      </c>
      <c r="AH191" s="237">
        <f t="shared" si="35"/>
        <v>5.5364055391491744E-2</v>
      </c>
      <c r="AI191" s="237">
        <f t="shared" si="35"/>
        <v>1.8332468672679385E-2</v>
      </c>
      <c r="AJ191" s="237">
        <f t="shared" si="35"/>
        <v>0</v>
      </c>
      <c r="AK191" s="237">
        <f t="shared" si="35"/>
        <v>0.89674704685130502</v>
      </c>
      <c r="AL191" s="237">
        <f t="shared" si="35"/>
        <v>2.9556429084523911E-2</v>
      </c>
      <c r="AM191" s="237">
        <f t="shared" si="41"/>
        <v>1</v>
      </c>
      <c r="AO191" s="237">
        <f t="shared" si="42"/>
        <v>0.75124378109452739</v>
      </c>
      <c r="AP191" s="237">
        <f t="shared" si="43"/>
        <v>0.24875621890547264</v>
      </c>
      <c r="AQ191" s="237">
        <f t="shared" si="44"/>
        <v>0</v>
      </c>
      <c r="AR191" s="237">
        <f t="shared" si="45"/>
        <v>0.96809206717629603</v>
      </c>
      <c r="AS191" s="237">
        <f t="shared" si="45"/>
        <v>3.1907932823703966E-2</v>
      </c>
      <c r="AU191" s="251">
        <f t="shared" si="37"/>
        <v>12195.328120553913</v>
      </c>
      <c r="AV191" s="251">
        <f t="shared" si="37"/>
        <v>3448.3887885185072</v>
      </c>
      <c r="AW191" s="251">
        <f t="shared" si="37"/>
        <v>0</v>
      </c>
      <c r="AX191" s="251">
        <f t="shared" si="37"/>
        <v>158993.60756388863</v>
      </c>
      <c r="AY191" s="251">
        <f t="shared" si="37"/>
        <v>5205.6622008133081</v>
      </c>
      <c r="AZ191" s="251">
        <f t="shared" si="33"/>
        <v>179842.98667377434</v>
      </c>
      <c r="BA191" s="270">
        <f t="shared" si="46"/>
        <v>7.6582713355016372</v>
      </c>
      <c r="BB191" s="251">
        <f t="shared" si="39"/>
        <v>15643.71690907242</v>
      </c>
      <c r="BC191" s="251">
        <f t="shared" si="40"/>
        <v>164199.26976470192</v>
      </c>
    </row>
    <row r="192" spans="1:55">
      <c r="A192" s="11">
        <v>49491</v>
      </c>
      <c r="B192" s="251">
        <v>100</v>
      </c>
      <c r="C192" s="251">
        <v>295</v>
      </c>
      <c r="D192" s="251">
        <v>5</v>
      </c>
      <c r="E192" s="251">
        <v>220</v>
      </c>
      <c r="F192" s="251">
        <v>44</v>
      </c>
      <c r="G192" s="287">
        <v>0.33</v>
      </c>
      <c r="H192" s="287"/>
      <c r="I192" s="251"/>
      <c r="J192" s="251"/>
      <c r="K192" s="251"/>
      <c r="L192" s="251"/>
      <c r="M192" s="13"/>
      <c r="N192" s="251">
        <f t="shared" si="36"/>
        <v>664.33</v>
      </c>
      <c r="O192" s="251">
        <f>'BBD Monthly Production'!AA27*12</f>
        <v>546.62580310522321</v>
      </c>
      <c r="P192" s="271">
        <f t="shared" si="38"/>
        <v>0.82282269821507859</v>
      </c>
      <c r="Y192" s="251">
        <f>SUM('RD Feedstock'!F190,'RD Feedstock'!I190)</f>
        <v>23.121874999999999</v>
      </c>
      <c r="Z192" s="251">
        <f>SUM('RD Feedstock'!G190,'RD Feedstock'!J190)</f>
        <v>7.65625</v>
      </c>
      <c r="AA192" s="251">
        <v>0</v>
      </c>
      <c r="AB192" s="251">
        <f>SUM('RD Feedstock'!B190,'RD Feedstock'!D190,'RD Feedstock'!H190)</f>
        <v>374.51145833333328</v>
      </c>
      <c r="AC192" s="251">
        <f>SUM('RD Feedstock'!C190,'RD Feedstock'!E190)</f>
        <v>12.34375</v>
      </c>
      <c r="AD192" s="251">
        <f t="shared" si="34"/>
        <v>417.63333333333327</v>
      </c>
      <c r="AH192" s="237">
        <f t="shared" si="35"/>
        <v>5.5364055391491744E-2</v>
      </c>
      <c r="AI192" s="237">
        <f t="shared" si="35"/>
        <v>1.8332468672679385E-2</v>
      </c>
      <c r="AJ192" s="237">
        <f t="shared" si="35"/>
        <v>0</v>
      </c>
      <c r="AK192" s="237">
        <f t="shared" si="35"/>
        <v>0.89674704685130502</v>
      </c>
      <c r="AL192" s="237">
        <f t="shared" si="35"/>
        <v>2.9556429084523911E-2</v>
      </c>
      <c r="AM192" s="237">
        <f t="shared" si="41"/>
        <v>1</v>
      </c>
      <c r="AO192" s="237">
        <f t="shared" si="42"/>
        <v>0.75124378109452739</v>
      </c>
      <c r="AP192" s="237">
        <f t="shared" si="43"/>
        <v>0.24875621890547264</v>
      </c>
      <c r="AQ192" s="237">
        <f t="shared" si="44"/>
        <v>0</v>
      </c>
      <c r="AR192" s="237">
        <f t="shared" si="45"/>
        <v>0.96809206717629603</v>
      </c>
      <c r="AS192" s="237">
        <f t="shared" si="45"/>
        <v>3.1907932823703966E-2</v>
      </c>
      <c r="AU192" s="251">
        <f t="shared" si="37"/>
        <v>10730.142221115831</v>
      </c>
      <c r="AV192" s="251">
        <f t="shared" si="37"/>
        <v>3034.0882810805651</v>
      </c>
      <c r="AW192" s="251">
        <f t="shared" si="37"/>
        <v>0</v>
      </c>
      <c r="AX192" s="251">
        <f t="shared" si="37"/>
        <v>139891.60476408032</v>
      </c>
      <c r="AY192" s="251">
        <f t="shared" si="37"/>
        <v>4580.2372201590742</v>
      </c>
      <c r="AZ192" s="251">
        <f t="shared" si="33"/>
        <v>158236.07248643576</v>
      </c>
      <c r="BA192" s="270">
        <f t="shared" si="46"/>
        <v>7.6582713355016363</v>
      </c>
      <c r="BB192" s="251">
        <f t="shared" si="39"/>
        <v>13764.230502196397</v>
      </c>
      <c r="BC192" s="251">
        <f t="shared" si="40"/>
        <v>144471.84198423938</v>
      </c>
    </row>
    <row r="193" spans="1:55">
      <c r="A193" s="11">
        <v>49522</v>
      </c>
      <c r="B193" s="251">
        <v>100</v>
      </c>
      <c r="C193" s="251">
        <v>295</v>
      </c>
      <c r="D193" s="251">
        <v>5</v>
      </c>
      <c r="E193" s="251">
        <v>220</v>
      </c>
      <c r="F193" s="251">
        <v>44</v>
      </c>
      <c r="G193" s="287">
        <v>0.33</v>
      </c>
      <c r="H193" s="287"/>
      <c r="I193" s="251"/>
      <c r="J193" s="251"/>
      <c r="K193" s="251"/>
      <c r="L193" s="251"/>
      <c r="M193" s="13"/>
      <c r="N193" s="251">
        <f t="shared" si="36"/>
        <v>664.33</v>
      </c>
      <c r="O193" s="251">
        <f>'BBD Monthly Production'!AA28*12</f>
        <v>480.55461147513529</v>
      </c>
      <c r="P193" s="271">
        <f t="shared" si="38"/>
        <v>0.72336731966813972</v>
      </c>
      <c r="Y193" s="251">
        <f>SUM('RD Feedstock'!F191,'RD Feedstock'!I191)</f>
        <v>23.121874999999999</v>
      </c>
      <c r="Z193" s="251">
        <f>SUM('RD Feedstock'!G191,'RD Feedstock'!J191)</f>
        <v>7.65625</v>
      </c>
      <c r="AA193" s="251">
        <v>0</v>
      </c>
      <c r="AB193" s="251">
        <f>SUM('RD Feedstock'!B191,'RD Feedstock'!D191,'RD Feedstock'!H191)</f>
        <v>374.51145833333328</v>
      </c>
      <c r="AC193" s="251">
        <f>SUM('RD Feedstock'!C191,'RD Feedstock'!E191)</f>
        <v>12.34375</v>
      </c>
      <c r="AD193" s="251">
        <f t="shared" si="34"/>
        <v>417.63333333333327</v>
      </c>
      <c r="AH193" s="237">
        <f t="shared" si="35"/>
        <v>5.5364055391491744E-2</v>
      </c>
      <c r="AI193" s="237">
        <f t="shared" si="35"/>
        <v>1.8332468672679385E-2</v>
      </c>
      <c r="AJ193" s="237">
        <f t="shared" si="35"/>
        <v>0</v>
      </c>
      <c r="AK193" s="237">
        <f t="shared" si="35"/>
        <v>0.89674704685130502</v>
      </c>
      <c r="AL193" s="237">
        <f t="shared" si="35"/>
        <v>2.9556429084523911E-2</v>
      </c>
      <c r="AM193" s="237">
        <f t="shared" si="41"/>
        <v>1</v>
      </c>
      <c r="AO193" s="237">
        <f t="shared" si="42"/>
        <v>0.75124378109452739</v>
      </c>
      <c r="AP193" s="237">
        <f t="shared" si="43"/>
        <v>0.24875621890547264</v>
      </c>
      <c r="AQ193" s="237">
        <f t="shared" si="44"/>
        <v>0</v>
      </c>
      <c r="AR193" s="237">
        <f t="shared" si="45"/>
        <v>0.96809206717629603</v>
      </c>
      <c r="AS193" s="237">
        <f t="shared" si="45"/>
        <v>3.1907932823703966E-2</v>
      </c>
      <c r="AU193" s="251">
        <f t="shared" si="37"/>
        <v>9433.1795111923657</v>
      </c>
      <c r="AV193" s="251">
        <f t="shared" si="37"/>
        <v>2667.3550842517843</v>
      </c>
      <c r="AW193" s="251">
        <f t="shared" si="37"/>
        <v>0</v>
      </c>
      <c r="AX193" s="251">
        <f t="shared" si="37"/>
        <v>122982.77065251376</v>
      </c>
      <c r="AY193" s="251">
        <f t="shared" si="37"/>
        <v>4026.6194996539584</v>
      </c>
      <c r="AZ193" s="251">
        <f t="shared" ref="AZ193:AZ256" si="47">SUM(AU193:AY193)</f>
        <v>139109.92474761186</v>
      </c>
      <c r="BA193" s="270">
        <f t="shared" si="46"/>
        <v>7.6582713355016354</v>
      </c>
      <c r="BB193" s="251">
        <f t="shared" si="39"/>
        <v>12100.534595444151</v>
      </c>
      <c r="BC193" s="251">
        <f t="shared" si="40"/>
        <v>127009.39015216772</v>
      </c>
    </row>
    <row r="194" spans="1:55">
      <c r="A194" s="11">
        <v>49553</v>
      </c>
      <c r="B194" s="251">
        <v>100</v>
      </c>
      <c r="C194" s="251">
        <v>295</v>
      </c>
      <c r="D194" s="251">
        <v>5</v>
      </c>
      <c r="E194" s="251">
        <v>220</v>
      </c>
      <c r="F194" s="251">
        <v>44</v>
      </c>
      <c r="G194" s="287">
        <v>0.33</v>
      </c>
      <c r="H194" s="287"/>
      <c r="I194" s="251"/>
      <c r="J194" s="251"/>
      <c r="K194" s="251"/>
      <c r="L194" s="251"/>
      <c r="M194" s="13"/>
      <c r="N194" s="251">
        <f t="shared" si="36"/>
        <v>664.33</v>
      </c>
      <c r="O194" s="251">
        <f>'BBD Monthly Production'!AA29*12</f>
        <v>524.78965823330805</v>
      </c>
      <c r="P194" s="271">
        <f t="shared" si="38"/>
        <v>0.78995327357383838</v>
      </c>
      <c r="Y194" s="251">
        <f>SUM('RD Feedstock'!F192,'RD Feedstock'!I192)</f>
        <v>23.121874999999999</v>
      </c>
      <c r="Z194" s="251">
        <f>SUM('RD Feedstock'!G192,'RD Feedstock'!J192)</f>
        <v>7.65625</v>
      </c>
      <c r="AA194" s="251">
        <v>0</v>
      </c>
      <c r="AB194" s="251">
        <f>SUM('RD Feedstock'!B192,'RD Feedstock'!D192,'RD Feedstock'!H192)</f>
        <v>374.51145833333328</v>
      </c>
      <c r="AC194" s="251">
        <f>SUM('RD Feedstock'!C192,'RD Feedstock'!E192)</f>
        <v>12.34375</v>
      </c>
      <c r="AD194" s="251">
        <f t="shared" si="34"/>
        <v>417.63333333333327</v>
      </c>
      <c r="AH194" s="237">
        <f t="shared" si="35"/>
        <v>5.5364055391491744E-2</v>
      </c>
      <c r="AI194" s="237">
        <f t="shared" si="35"/>
        <v>1.8332468672679385E-2</v>
      </c>
      <c r="AJ194" s="237">
        <f t="shared" si="35"/>
        <v>0</v>
      </c>
      <c r="AK194" s="237">
        <f t="shared" si="35"/>
        <v>0.89674704685130502</v>
      </c>
      <c r="AL194" s="237">
        <f t="shared" si="35"/>
        <v>2.9556429084523911E-2</v>
      </c>
      <c r="AM194" s="237">
        <f t="shared" si="41"/>
        <v>1</v>
      </c>
      <c r="AO194" s="237">
        <f t="shared" si="42"/>
        <v>0.75124378109452739</v>
      </c>
      <c r="AP194" s="237">
        <f t="shared" si="43"/>
        <v>0.24875621890547264</v>
      </c>
      <c r="AQ194" s="237">
        <f t="shared" si="44"/>
        <v>0</v>
      </c>
      <c r="AR194" s="237">
        <f t="shared" si="45"/>
        <v>0.96809206717629603</v>
      </c>
      <c r="AS194" s="237">
        <f t="shared" si="45"/>
        <v>3.1907932823703966E-2</v>
      </c>
      <c r="AU194" s="251">
        <f t="shared" si="37"/>
        <v>10301.503582570926</v>
      </c>
      <c r="AV194" s="251">
        <f t="shared" si="37"/>
        <v>2912.8850907381179</v>
      </c>
      <c r="AW194" s="251">
        <f t="shared" si="37"/>
        <v>0</v>
      </c>
      <c r="AX194" s="251">
        <f t="shared" si="37"/>
        <v>134303.33335310718</v>
      </c>
      <c r="AY194" s="251">
        <f t="shared" si="37"/>
        <v>4397.2697807901723</v>
      </c>
      <c r="AZ194" s="251">
        <f t="shared" si="47"/>
        <v>151914.99180720639</v>
      </c>
      <c r="BA194" s="270">
        <f t="shared" si="46"/>
        <v>7.6582713355016372</v>
      </c>
      <c r="BB194" s="251">
        <f t="shared" si="39"/>
        <v>13214.388673309044</v>
      </c>
      <c r="BC194" s="251">
        <f t="shared" si="40"/>
        <v>138700.60313389736</v>
      </c>
    </row>
    <row r="195" spans="1:55">
      <c r="A195" s="11">
        <v>49583</v>
      </c>
      <c r="B195" s="251">
        <v>100</v>
      </c>
      <c r="C195" s="251">
        <v>295</v>
      </c>
      <c r="D195" s="251">
        <v>5</v>
      </c>
      <c r="E195" s="251">
        <v>220</v>
      </c>
      <c r="F195" s="251">
        <v>44</v>
      </c>
      <c r="G195" s="287">
        <v>0.33</v>
      </c>
      <c r="H195" s="287"/>
      <c r="I195" s="251"/>
      <c r="J195" s="251"/>
      <c r="K195" s="251"/>
      <c r="L195" s="251"/>
      <c r="M195" s="13"/>
      <c r="N195" s="251">
        <f t="shared" si="36"/>
        <v>664.33</v>
      </c>
      <c r="O195" s="251">
        <f>'BBD Monthly Production'!AA30*12</f>
        <v>419.2286529811762</v>
      </c>
      <c r="P195" s="271">
        <f t="shared" si="38"/>
        <v>0.63105482663913437</v>
      </c>
      <c r="Y195" s="251">
        <f>SUM('RD Feedstock'!F193,'RD Feedstock'!I193)</f>
        <v>23.121874999999999</v>
      </c>
      <c r="Z195" s="251">
        <f>SUM('RD Feedstock'!G193,'RD Feedstock'!J193)</f>
        <v>7.65625</v>
      </c>
      <c r="AA195" s="251">
        <v>0</v>
      </c>
      <c r="AB195" s="251">
        <f>SUM('RD Feedstock'!B193,'RD Feedstock'!D193,'RD Feedstock'!H193)</f>
        <v>374.51145833333328</v>
      </c>
      <c r="AC195" s="251">
        <f>SUM('RD Feedstock'!C193,'RD Feedstock'!E193)</f>
        <v>12.34375</v>
      </c>
      <c r="AD195" s="251">
        <f t="shared" si="34"/>
        <v>417.63333333333327</v>
      </c>
      <c r="AH195" s="237">
        <f t="shared" si="35"/>
        <v>5.5364055391491744E-2</v>
      </c>
      <c r="AI195" s="237">
        <f t="shared" si="35"/>
        <v>1.8332468672679385E-2</v>
      </c>
      <c r="AJ195" s="237">
        <f t="shared" si="35"/>
        <v>0</v>
      </c>
      <c r="AK195" s="237">
        <f t="shared" si="35"/>
        <v>0.89674704685130502</v>
      </c>
      <c r="AL195" s="237">
        <f t="shared" si="35"/>
        <v>2.9556429084523911E-2</v>
      </c>
      <c r="AM195" s="237">
        <f t="shared" si="41"/>
        <v>1</v>
      </c>
      <c r="AO195" s="237">
        <f t="shared" si="42"/>
        <v>0.75124378109452739</v>
      </c>
      <c r="AP195" s="237">
        <f t="shared" si="43"/>
        <v>0.24875621890547264</v>
      </c>
      <c r="AQ195" s="237">
        <f t="shared" si="44"/>
        <v>0</v>
      </c>
      <c r="AR195" s="237">
        <f t="shared" si="45"/>
        <v>0.96809206717629603</v>
      </c>
      <c r="AS195" s="237">
        <f t="shared" si="45"/>
        <v>3.1907932823703966E-2</v>
      </c>
      <c r="AU195" s="251">
        <f t="shared" si="37"/>
        <v>8229.364666103982</v>
      </c>
      <c r="AV195" s="251">
        <f t="shared" si="37"/>
        <v>2326.9606664699058</v>
      </c>
      <c r="AW195" s="251">
        <f t="shared" si="37"/>
        <v>0</v>
      </c>
      <c r="AX195" s="251">
        <f t="shared" si="37"/>
        <v>107288.3290460609</v>
      </c>
      <c r="AY195" s="251">
        <f t="shared" si="37"/>
        <v>3512.7626051196698</v>
      </c>
      <c r="AZ195" s="251">
        <f t="shared" si="47"/>
        <v>121357.41698375446</v>
      </c>
      <c r="BA195" s="270">
        <f t="shared" si="46"/>
        <v>7.6582713355016372</v>
      </c>
      <c r="BB195" s="251">
        <f t="shared" si="39"/>
        <v>10556.325332573888</v>
      </c>
      <c r="BC195" s="251">
        <f t="shared" si="40"/>
        <v>110801.09165118057</v>
      </c>
    </row>
    <row r="196" spans="1:55">
      <c r="A196" s="11">
        <v>49614</v>
      </c>
      <c r="B196" s="251">
        <v>100</v>
      </c>
      <c r="C196" s="251">
        <v>295</v>
      </c>
      <c r="D196" s="251">
        <v>5</v>
      </c>
      <c r="E196" s="251">
        <v>220</v>
      </c>
      <c r="F196" s="251">
        <v>44</v>
      </c>
      <c r="G196" s="287">
        <v>0.33</v>
      </c>
      <c r="H196" s="287"/>
      <c r="I196" s="251"/>
      <c r="J196" s="251"/>
      <c r="K196" s="251"/>
      <c r="L196" s="251"/>
      <c r="M196" s="13"/>
      <c r="N196" s="251">
        <f t="shared" si="36"/>
        <v>664.33</v>
      </c>
      <c r="O196" s="251">
        <f>'BBD Monthly Production'!AA31*12</f>
        <v>539.88977363982792</v>
      </c>
      <c r="P196" s="271">
        <f t="shared" si="38"/>
        <v>0.81268311477703536</v>
      </c>
      <c r="Y196" s="251">
        <f>SUM('RD Feedstock'!F194,'RD Feedstock'!I194)</f>
        <v>23.121874999999999</v>
      </c>
      <c r="Z196" s="251">
        <f>SUM('RD Feedstock'!G194,'RD Feedstock'!J194)</f>
        <v>7.65625</v>
      </c>
      <c r="AA196" s="251">
        <v>0</v>
      </c>
      <c r="AB196" s="251">
        <f>SUM('RD Feedstock'!B194,'RD Feedstock'!D194,'RD Feedstock'!H194)</f>
        <v>374.51145833333328</v>
      </c>
      <c r="AC196" s="251">
        <f>SUM('RD Feedstock'!C194,'RD Feedstock'!E194)</f>
        <v>12.34375</v>
      </c>
      <c r="AD196" s="251">
        <f t="shared" si="34"/>
        <v>417.63333333333327</v>
      </c>
      <c r="AH196" s="237">
        <f t="shared" si="35"/>
        <v>5.5364055391491744E-2</v>
      </c>
      <c r="AI196" s="237">
        <f t="shared" si="35"/>
        <v>1.8332468672679385E-2</v>
      </c>
      <c r="AJ196" s="237">
        <f t="shared" si="35"/>
        <v>0</v>
      </c>
      <c r="AK196" s="237">
        <f t="shared" si="35"/>
        <v>0.89674704685130502</v>
      </c>
      <c r="AL196" s="237">
        <f t="shared" si="35"/>
        <v>2.9556429084523911E-2</v>
      </c>
      <c r="AM196" s="237">
        <f t="shared" si="41"/>
        <v>1</v>
      </c>
      <c r="AO196" s="237">
        <f t="shared" si="42"/>
        <v>0.75124378109452739</v>
      </c>
      <c r="AP196" s="237">
        <f t="shared" si="43"/>
        <v>0.24875621890547264</v>
      </c>
      <c r="AQ196" s="237">
        <f t="shared" si="44"/>
        <v>0</v>
      </c>
      <c r="AR196" s="237">
        <f t="shared" si="45"/>
        <v>0.96809206717629603</v>
      </c>
      <c r="AS196" s="237">
        <f t="shared" si="45"/>
        <v>3.1907932823703966E-2</v>
      </c>
      <c r="AU196" s="251">
        <f t="shared" si="37"/>
        <v>10597.91546972809</v>
      </c>
      <c r="AV196" s="251">
        <f t="shared" si="37"/>
        <v>2996.6994349158422</v>
      </c>
      <c r="AW196" s="251">
        <f t="shared" si="37"/>
        <v>0</v>
      </c>
      <c r="AX196" s="251">
        <f t="shared" si="37"/>
        <v>138167.73083368904</v>
      </c>
      <c r="AY196" s="251">
        <f t="shared" si="37"/>
        <v>4523.7952946256892</v>
      </c>
      <c r="AZ196" s="251">
        <f t="shared" si="47"/>
        <v>156286.14103295867</v>
      </c>
      <c r="BA196" s="270">
        <f t="shared" si="46"/>
        <v>7.6582713355016354</v>
      </c>
      <c r="BB196" s="251">
        <f t="shared" si="39"/>
        <v>13594.614904643931</v>
      </c>
      <c r="BC196" s="251">
        <f t="shared" si="40"/>
        <v>142691.52612831473</v>
      </c>
    </row>
    <row r="197" spans="1:55">
      <c r="A197" s="11">
        <v>49644</v>
      </c>
      <c r="B197" s="251">
        <v>100</v>
      </c>
      <c r="C197" s="251">
        <v>295</v>
      </c>
      <c r="D197" s="251">
        <v>5</v>
      </c>
      <c r="E197" s="251">
        <v>220</v>
      </c>
      <c r="F197" s="251">
        <v>44</v>
      </c>
      <c r="G197" s="287">
        <v>0.33</v>
      </c>
      <c r="H197" s="287"/>
      <c r="I197" s="251"/>
      <c r="J197" s="251"/>
      <c r="K197" s="251"/>
      <c r="L197" s="251"/>
      <c r="M197" s="13"/>
      <c r="N197" s="251">
        <f>SUM(B197:L197)</f>
        <v>664.33</v>
      </c>
      <c r="O197" s="251">
        <f>'BBD Monthly Production'!AA32*12</f>
        <v>742.28055549198007</v>
      </c>
      <c r="P197" s="271">
        <f t="shared" si="38"/>
        <v>1.1173370997726733</v>
      </c>
      <c r="Y197" s="251">
        <f>SUM('RD Feedstock'!F195,'RD Feedstock'!I195)</f>
        <v>23.121874999999999</v>
      </c>
      <c r="Z197" s="251">
        <f>SUM('RD Feedstock'!G195,'RD Feedstock'!J195)</f>
        <v>7.65625</v>
      </c>
      <c r="AA197" s="251">
        <v>0</v>
      </c>
      <c r="AB197" s="251">
        <f>SUM('RD Feedstock'!B195,'RD Feedstock'!D195,'RD Feedstock'!H195)</f>
        <v>374.51145833333328</v>
      </c>
      <c r="AC197" s="251">
        <f>SUM('RD Feedstock'!C195,'RD Feedstock'!E195)</f>
        <v>12.34375</v>
      </c>
      <c r="AD197" s="251">
        <f t="shared" si="34"/>
        <v>417.63333333333327</v>
      </c>
      <c r="AH197" s="237">
        <f t="shared" si="35"/>
        <v>5.5364055391491744E-2</v>
      </c>
      <c r="AI197" s="237">
        <f t="shared" si="35"/>
        <v>1.8332468672679385E-2</v>
      </c>
      <c r="AJ197" s="237">
        <f t="shared" si="35"/>
        <v>0</v>
      </c>
      <c r="AK197" s="237">
        <f t="shared" si="35"/>
        <v>0.89674704685130502</v>
      </c>
      <c r="AL197" s="237">
        <f t="shared" si="35"/>
        <v>2.9556429084523911E-2</v>
      </c>
      <c r="AM197" s="237">
        <f t="shared" si="41"/>
        <v>1</v>
      </c>
      <c r="AO197" s="237">
        <f t="shared" si="42"/>
        <v>0.75124378109452739</v>
      </c>
      <c r="AP197" s="237">
        <f t="shared" si="43"/>
        <v>0.24875621890547264</v>
      </c>
      <c r="AQ197" s="237">
        <f t="shared" si="44"/>
        <v>0</v>
      </c>
      <c r="AR197" s="237">
        <f t="shared" si="45"/>
        <v>0.96809206717629603</v>
      </c>
      <c r="AS197" s="237">
        <f t="shared" si="45"/>
        <v>3.1907932823703966E-2</v>
      </c>
      <c r="AU197" s="251">
        <f t="shared" si="37"/>
        <v>14570.801237614871</v>
      </c>
      <c r="AV197" s="251">
        <f t="shared" si="37"/>
        <v>4120.0849317730799</v>
      </c>
      <c r="AW197" s="251">
        <f t="shared" si="37"/>
        <v>0</v>
      </c>
      <c r="AX197" s="251">
        <f t="shared" si="37"/>
        <v>189963.25731984794</v>
      </c>
      <c r="AY197" s="251">
        <f t="shared" si="37"/>
        <v>6219.6497288479968</v>
      </c>
      <c r="AZ197" s="251">
        <f t="shared" si="47"/>
        <v>214873.79321808388</v>
      </c>
      <c r="BA197" s="270">
        <f t="shared" si="46"/>
        <v>7.6582713355016354</v>
      </c>
      <c r="BB197" s="251">
        <f t="shared" si="39"/>
        <v>18690.886169387952</v>
      </c>
      <c r="BC197" s="251">
        <f t="shared" si="40"/>
        <v>196182.90704869592</v>
      </c>
    </row>
    <row r="198" spans="1:55">
      <c r="A198" s="11">
        <v>49675</v>
      </c>
      <c r="B198" s="251">
        <v>100</v>
      </c>
      <c r="C198" s="251">
        <v>295</v>
      </c>
      <c r="D198" s="251">
        <v>5</v>
      </c>
      <c r="E198" s="251">
        <v>220</v>
      </c>
      <c r="F198" s="251">
        <v>44</v>
      </c>
      <c r="G198" s="287">
        <v>0.33</v>
      </c>
      <c r="H198" s="287"/>
      <c r="I198" s="251"/>
      <c r="J198" s="251"/>
      <c r="K198" s="251"/>
      <c r="L198" s="251"/>
      <c r="M198" s="13"/>
      <c r="N198" s="251">
        <f t="shared" si="36"/>
        <v>664.33</v>
      </c>
      <c r="O198" s="251">
        <f>'BBD Monthly Production'!AB21*12</f>
        <v>234.82259284852825</v>
      </c>
      <c r="P198" s="271">
        <f t="shared" si="38"/>
        <v>0.35347281147701931</v>
      </c>
      <c r="Y198" s="251">
        <f>SUM('RD Feedstock'!F196,'RD Feedstock'!I196)</f>
        <v>23.121874999999999</v>
      </c>
      <c r="Z198" s="251">
        <f>SUM('RD Feedstock'!G196,'RD Feedstock'!J196)</f>
        <v>7.65625</v>
      </c>
      <c r="AA198" s="251">
        <v>0</v>
      </c>
      <c r="AB198" s="251">
        <f>SUM('RD Feedstock'!B196,'RD Feedstock'!D196,'RD Feedstock'!H196)</f>
        <v>374.51145833333328</v>
      </c>
      <c r="AC198" s="251">
        <f>SUM('RD Feedstock'!C196,'RD Feedstock'!E196)</f>
        <v>12.34375</v>
      </c>
      <c r="AD198" s="251">
        <f t="shared" si="34"/>
        <v>417.63333333333327</v>
      </c>
      <c r="AH198" s="237">
        <f t="shared" si="35"/>
        <v>5.5364055391491744E-2</v>
      </c>
      <c r="AI198" s="237">
        <f t="shared" si="35"/>
        <v>1.8332468672679385E-2</v>
      </c>
      <c r="AJ198" s="237">
        <f t="shared" si="35"/>
        <v>0</v>
      </c>
      <c r="AK198" s="237">
        <f t="shared" si="35"/>
        <v>0.89674704685130502</v>
      </c>
      <c r="AL198" s="237">
        <f t="shared" si="35"/>
        <v>2.9556429084523911E-2</v>
      </c>
      <c r="AM198" s="237">
        <f t="shared" si="41"/>
        <v>1</v>
      </c>
      <c r="AO198" s="237">
        <f t="shared" si="42"/>
        <v>0.75124378109452739</v>
      </c>
      <c r="AP198" s="237">
        <f t="shared" si="43"/>
        <v>0.24875621890547264</v>
      </c>
      <c r="AQ198" s="237">
        <f t="shared" si="44"/>
        <v>0</v>
      </c>
      <c r="AR198" s="237">
        <f t="shared" si="45"/>
        <v>0.96809206717629603</v>
      </c>
      <c r="AS198" s="237">
        <f t="shared" si="45"/>
        <v>3.1907932823703966E-2</v>
      </c>
      <c r="AU198" s="251">
        <f t="shared" si="37"/>
        <v>4609.5149619398007</v>
      </c>
      <c r="AV198" s="251">
        <f t="shared" si="37"/>
        <v>1303.4007415078509</v>
      </c>
      <c r="AW198" s="251">
        <f t="shared" si="37"/>
        <v>0</v>
      </c>
      <c r="AX198" s="251">
        <f t="shared" si="37"/>
        <v>60095.423892968764</v>
      </c>
      <c r="AY198" s="251">
        <f t="shared" si="37"/>
        <v>1967.6041156294471</v>
      </c>
      <c r="AZ198" s="251">
        <f t="shared" si="47"/>
        <v>67975.943712045875</v>
      </c>
      <c r="BA198" s="270">
        <f t="shared" si="46"/>
        <v>7.658271335501639</v>
      </c>
      <c r="BB198" s="251">
        <f t="shared" si="39"/>
        <v>5912.915703447652</v>
      </c>
      <c r="BC198" s="251">
        <f t="shared" si="40"/>
        <v>62063.028008598209</v>
      </c>
    </row>
    <row r="199" spans="1:55">
      <c r="A199" s="11">
        <v>49706</v>
      </c>
      <c r="B199" s="251">
        <v>100</v>
      </c>
      <c r="C199" s="251">
        <v>295</v>
      </c>
      <c r="D199" s="251">
        <v>5</v>
      </c>
      <c r="E199" s="251">
        <v>220</v>
      </c>
      <c r="F199" s="251">
        <v>44</v>
      </c>
      <c r="G199" s="287">
        <v>0.33</v>
      </c>
      <c r="H199" s="287"/>
      <c r="I199" s="251"/>
      <c r="J199" s="251"/>
      <c r="K199" s="251"/>
      <c r="L199" s="251"/>
      <c r="M199" s="13"/>
      <c r="N199" s="251">
        <f t="shared" si="36"/>
        <v>664.33</v>
      </c>
      <c r="O199" s="251">
        <f>'BBD Monthly Production'!AB22*12</f>
        <v>275.6788293619594</v>
      </c>
      <c r="P199" s="271">
        <f t="shared" si="38"/>
        <v>0.41497272343859132</v>
      </c>
      <c r="Y199" s="251">
        <f>SUM('RD Feedstock'!F197,'RD Feedstock'!I197)</f>
        <v>23.121874999999999</v>
      </c>
      <c r="Z199" s="251">
        <f>SUM('RD Feedstock'!G197,'RD Feedstock'!J197)</f>
        <v>7.65625</v>
      </c>
      <c r="AA199" s="251">
        <v>0</v>
      </c>
      <c r="AB199" s="251">
        <f>SUM('RD Feedstock'!B197,'RD Feedstock'!D197,'RD Feedstock'!H197)</f>
        <v>374.51145833333328</v>
      </c>
      <c r="AC199" s="251">
        <f>SUM('RD Feedstock'!C197,'RD Feedstock'!E197)</f>
        <v>12.34375</v>
      </c>
      <c r="AD199" s="251">
        <f t="shared" ref="AD199:AD262" si="48">SUM(Y199:AC199)</f>
        <v>417.63333333333327</v>
      </c>
      <c r="AH199" s="237">
        <f t="shared" si="35"/>
        <v>5.5364055391491744E-2</v>
      </c>
      <c r="AI199" s="237">
        <f t="shared" si="35"/>
        <v>1.8332468672679385E-2</v>
      </c>
      <c r="AJ199" s="237">
        <f t="shared" si="35"/>
        <v>0</v>
      </c>
      <c r="AK199" s="237">
        <f t="shared" si="35"/>
        <v>0.89674704685130502</v>
      </c>
      <c r="AL199" s="237">
        <f t="shared" si="35"/>
        <v>2.9556429084523911E-2</v>
      </c>
      <c r="AM199" s="237">
        <f t="shared" si="41"/>
        <v>1</v>
      </c>
      <c r="AO199" s="237">
        <f t="shared" si="42"/>
        <v>0.75124378109452739</v>
      </c>
      <c r="AP199" s="237">
        <f t="shared" si="43"/>
        <v>0.24875621890547264</v>
      </c>
      <c r="AQ199" s="237">
        <f t="shared" si="44"/>
        <v>0</v>
      </c>
      <c r="AR199" s="237">
        <f t="shared" si="45"/>
        <v>0.96809206717629603</v>
      </c>
      <c r="AS199" s="237">
        <f t="shared" si="45"/>
        <v>3.1907932823703966E-2</v>
      </c>
      <c r="AU199" s="251">
        <f t="shared" si="37"/>
        <v>5411.5137441382922</v>
      </c>
      <c r="AV199" s="251">
        <f t="shared" si="37"/>
        <v>1530.1764035974711</v>
      </c>
      <c r="AW199" s="251">
        <f t="shared" si="37"/>
        <v>0</v>
      </c>
      <c r="AX199" s="251">
        <f t="shared" si="37"/>
        <v>70551.286858121341</v>
      </c>
      <c r="AY199" s="251">
        <f t="shared" si="37"/>
        <v>2309.9429772261756</v>
      </c>
      <c r="AZ199" s="251">
        <f t="shared" si="47"/>
        <v>79802.91998308328</v>
      </c>
      <c r="BA199" s="270">
        <f t="shared" si="46"/>
        <v>7.6582713355016363</v>
      </c>
      <c r="BB199" s="251">
        <f t="shared" si="39"/>
        <v>6941.6901477357633</v>
      </c>
      <c r="BC199" s="251">
        <f t="shared" si="40"/>
        <v>72861.22983534752</v>
      </c>
    </row>
    <row r="200" spans="1:55">
      <c r="A200" s="11">
        <v>49735</v>
      </c>
      <c r="B200" s="251">
        <v>100</v>
      </c>
      <c r="C200" s="251">
        <v>295</v>
      </c>
      <c r="D200" s="251">
        <v>5</v>
      </c>
      <c r="E200" s="251">
        <v>220</v>
      </c>
      <c r="F200" s="251">
        <v>44</v>
      </c>
      <c r="G200" s="287">
        <v>0.33</v>
      </c>
      <c r="H200" s="287"/>
      <c r="I200" s="251"/>
      <c r="J200" s="251"/>
      <c r="K200" s="251"/>
      <c r="L200" s="251"/>
      <c r="M200" s="13"/>
      <c r="N200" s="251">
        <f t="shared" si="36"/>
        <v>664.33</v>
      </c>
      <c r="O200" s="251">
        <f>'BBD Monthly Production'!AB23*12</f>
        <v>538.73817605106751</v>
      </c>
      <c r="P200" s="271">
        <f t="shared" si="38"/>
        <v>0.81094964257382252</v>
      </c>
      <c r="Y200" s="251">
        <f>SUM('RD Feedstock'!F198,'RD Feedstock'!I198)</f>
        <v>23.121874999999999</v>
      </c>
      <c r="Z200" s="251">
        <f>SUM('RD Feedstock'!G198,'RD Feedstock'!J198)</f>
        <v>7.65625</v>
      </c>
      <c r="AA200" s="251">
        <v>0</v>
      </c>
      <c r="AB200" s="251">
        <f>SUM('RD Feedstock'!B198,'RD Feedstock'!D198,'RD Feedstock'!H198)</f>
        <v>374.51145833333328</v>
      </c>
      <c r="AC200" s="251">
        <f>SUM('RD Feedstock'!C198,'RD Feedstock'!E198)</f>
        <v>12.34375</v>
      </c>
      <c r="AD200" s="251">
        <f t="shared" si="48"/>
        <v>417.63333333333327</v>
      </c>
      <c r="AH200" s="237">
        <f t="shared" si="35"/>
        <v>5.5364055391491744E-2</v>
      </c>
      <c r="AI200" s="237">
        <f t="shared" si="35"/>
        <v>1.8332468672679385E-2</v>
      </c>
      <c r="AJ200" s="237">
        <f t="shared" si="35"/>
        <v>0</v>
      </c>
      <c r="AK200" s="237">
        <f t="shared" si="35"/>
        <v>0.89674704685130502</v>
      </c>
      <c r="AL200" s="237">
        <f t="shared" si="35"/>
        <v>2.9556429084523911E-2</v>
      </c>
      <c r="AM200" s="237">
        <f t="shared" si="41"/>
        <v>1</v>
      </c>
      <c r="AO200" s="237">
        <f t="shared" si="42"/>
        <v>0.75124378109452739</v>
      </c>
      <c r="AP200" s="237">
        <f t="shared" si="43"/>
        <v>0.24875621890547264</v>
      </c>
      <c r="AQ200" s="237">
        <f t="shared" si="44"/>
        <v>0</v>
      </c>
      <c r="AR200" s="237">
        <f t="shared" si="45"/>
        <v>0.96809206717629603</v>
      </c>
      <c r="AS200" s="237">
        <f t="shared" si="45"/>
        <v>3.1907932823703966E-2</v>
      </c>
      <c r="AU200" s="251">
        <f t="shared" si="37"/>
        <v>10575.309866701858</v>
      </c>
      <c r="AV200" s="251">
        <f t="shared" si="37"/>
        <v>2990.3074045200401</v>
      </c>
      <c r="AW200" s="251">
        <f t="shared" si="37"/>
        <v>0</v>
      </c>
      <c r="AX200" s="251">
        <f t="shared" si="37"/>
        <v>137873.015813251</v>
      </c>
      <c r="AY200" s="251">
        <f t="shared" si="37"/>
        <v>4514.1459328342735</v>
      </c>
      <c r="AZ200" s="251">
        <f t="shared" si="47"/>
        <v>155952.77901730718</v>
      </c>
      <c r="BA200" s="270">
        <f t="shared" si="46"/>
        <v>7.6582713355016372</v>
      </c>
      <c r="BB200" s="251">
        <f t="shared" si="39"/>
        <v>13565.617271221898</v>
      </c>
      <c r="BC200" s="251">
        <f t="shared" si="40"/>
        <v>142387.16174608527</v>
      </c>
    </row>
    <row r="201" spans="1:55">
      <c r="A201" s="11">
        <v>49766</v>
      </c>
      <c r="B201" s="251">
        <v>100</v>
      </c>
      <c r="C201" s="251">
        <v>295</v>
      </c>
      <c r="D201" s="251">
        <v>5</v>
      </c>
      <c r="E201" s="251">
        <v>220</v>
      </c>
      <c r="F201" s="251">
        <v>44</v>
      </c>
      <c r="G201" s="287">
        <v>0.33</v>
      </c>
      <c r="H201" s="287"/>
      <c r="I201" s="251"/>
      <c r="J201" s="251"/>
      <c r="K201" s="251"/>
      <c r="L201" s="251"/>
      <c r="M201" s="13"/>
      <c r="N201" s="251">
        <f t="shared" si="36"/>
        <v>664.33</v>
      </c>
      <c r="O201" s="251">
        <f>'BBD Monthly Production'!AB24*12</f>
        <v>466.35929278425454</v>
      </c>
      <c r="P201" s="271">
        <f t="shared" si="38"/>
        <v>0.70199944723895424</v>
      </c>
      <c r="Y201" s="251">
        <f>SUM('RD Feedstock'!F199,'RD Feedstock'!I199)</f>
        <v>23.121874999999999</v>
      </c>
      <c r="Z201" s="251">
        <f>SUM('RD Feedstock'!G199,'RD Feedstock'!J199)</f>
        <v>7.65625</v>
      </c>
      <c r="AA201" s="251">
        <v>0</v>
      </c>
      <c r="AB201" s="251">
        <f>SUM('RD Feedstock'!B199,'RD Feedstock'!D199,'RD Feedstock'!H199)</f>
        <v>374.51145833333328</v>
      </c>
      <c r="AC201" s="251">
        <f>SUM('RD Feedstock'!C199,'RD Feedstock'!E199)</f>
        <v>12.34375</v>
      </c>
      <c r="AD201" s="251">
        <f t="shared" si="48"/>
        <v>417.63333333333327</v>
      </c>
      <c r="AH201" s="237">
        <f t="shared" si="35"/>
        <v>5.5364055391491744E-2</v>
      </c>
      <c r="AI201" s="237">
        <f t="shared" si="35"/>
        <v>1.8332468672679385E-2</v>
      </c>
      <c r="AJ201" s="237">
        <f t="shared" si="35"/>
        <v>0</v>
      </c>
      <c r="AK201" s="237">
        <f t="shared" si="35"/>
        <v>0.89674704685130502</v>
      </c>
      <c r="AL201" s="237">
        <f t="shared" si="35"/>
        <v>2.9556429084523911E-2</v>
      </c>
      <c r="AM201" s="237">
        <f t="shared" si="41"/>
        <v>1</v>
      </c>
      <c r="AO201" s="237">
        <f t="shared" si="42"/>
        <v>0.75124378109452739</v>
      </c>
      <c r="AP201" s="237">
        <f t="shared" si="43"/>
        <v>0.24875621890547264</v>
      </c>
      <c r="AQ201" s="237">
        <f t="shared" si="44"/>
        <v>0</v>
      </c>
      <c r="AR201" s="237">
        <f t="shared" si="45"/>
        <v>0.96809206717629603</v>
      </c>
      <c r="AS201" s="237">
        <f t="shared" si="45"/>
        <v>3.1907932823703966E-2</v>
      </c>
      <c r="AU201" s="251">
        <f t="shared" si="37"/>
        <v>9154.5285811375816</v>
      </c>
      <c r="AV201" s="251">
        <f t="shared" si="37"/>
        <v>2588.5628833685882</v>
      </c>
      <c r="AW201" s="251">
        <f t="shared" si="37"/>
        <v>0</v>
      </c>
      <c r="AX201" s="251">
        <f t="shared" si="37"/>
        <v>119349.92730607079</v>
      </c>
      <c r="AY201" s="251">
        <f t="shared" si="37"/>
        <v>3907.675376177453</v>
      </c>
      <c r="AZ201" s="251">
        <f t="shared" si="47"/>
        <v>135000.69414675439</v>
      </c>
      <c r="BA201" s="270">
        <f t="shared" si="46"/>
        <v>7.6582713355016363</v>
      </c>
      <c r="BB201" s="251">
        <f t="shared" si="39"/>
        <v>11743.091464506169</v>
      </c>
      <c r="BC201" s="251">
        <f t="shared" si="40"/>
        <v>123257.60268224825</v>
      </c>
    </row>
    <row r="202" spans="1:55">
      <c r="A202" s="11">
        <v>49796</v>
      </c>
      <c r="B202" s="251">
        <v>100</v>
      </c>
      <c r="C202" s="251">
        <v>295</v>
      </c>
      <c r="D202" s="251">
        <v>5</v>
      </c>
      <c r="E202" s="251">
        <v>220</v>
      </c>
      <c r="F202" s="251">
        <v>44</v>
      </c>
      <c r="G202" s="287">
        <v>0.33</v>
      </c>
      <c r="H202" s="287"/>
      <c r="I202" s="251"/>
      <c r="J202" s="251"/>
      <c r="K202" s="251"/>
      <c r="L202" s="251"/>
      <c r="M202" s="13"/>
      <c r="N202" s="251">
        <f t="shared" si="36"/>
        <v>664.33</v>
      </c>
      <c r="O202" s="251">
        <f>'BBD Monthly Production'!AB25*12</f>
        <v>502.12575291049916</v>
      </c>
      <c r="P202" s="271">
        <f t="shared" si="38"/>
        <v>0.75583784099844831</v>
      </c>
      <c r="Y202" s="251">
        <f>SUM('RD Feedstock'!F200,'RD Feedstock'!I200)</f>
        <v>23.121874999999999</v>
      </c>
      <c r="Z202" s="251">
        <f>SUM('RD Feedstock'!G200,'RD Feedstock'!J200)</f>
        <v>7.65625</v>
      </c>
      <c r="AA202" s="251">
        <v>0</v>
      </c>
      <c r="AB202" s="251">
        <f>SUM('RD Feedstock'!B200,'RD Feedstock'!D200,'RD Feedstock'!H200)</f>
        <v>374.51145833333328</v>
      </c>
      <c r="AC202" s="251">
        <f>SUM('RD Feedstock'!C200,'RD Feedstock'!E200)</f>
        <v>12.34375</v>
      </c>
      <c r="AD202" s="251">
        <f t="shared" si="48"/>
        <v>417.63333333333327</v>
      </c>
      <c r="AH202" s="237">
        <f t="shared" si="35"/>
        <v>5.5364055391491744E-2</v>
      </c>
      <c r="AI202" s="237">
        <f t="shared" si="35"/>
        <v>1.8332468672679385E-2</v>
      </c>
      <c r="AJ202" s="237">
        <f t="shared" si="35"/>
        <v>0</v>
      </c>
      <c r="AK202" s="237">
        <f t="shared" si="35"/>
        <v>0.89674704685130502</v>
      </c>
      <c r="AL202" s="237">
        <f t="shared" si="35"/>
        <v>2.9556429084523911E-2</v>
      </c>
      <c r="AM202" s="237">
        <f t="shared" si="41"/>
        <v>1</v>
      </c>
      <c r="AO202" s="237">
        <f t="shared" si="42"/>
        <v>0.75124378109452739</v>
      </c>
      <c r="AP202" s="237">
        <f t="shared" si="43"/>
        <v>0.24875621890547264</v>
      </c>
      <c r="AQ202" s="237">
        <f t="shared" si="44"/>
        <v>0</v>
      </c>
      <c r="AR202" s="237">
        <f t="shared" si="45"/>
        <v>0.96809206717629603</v>
      </c>
      <c r="AS202" s="237">
        <f t="shared" si="45"/>
        <v>3.1907932823703966E-2</v>
      </c>
      <c r="AU202" s="251">
        <f t="shared" si="37"/>
        <v>9856.6161915656558</v>
      </c>
      <c r="AV202" s="251">
        <f t="shared" si="37"/>
        <v>2787.0873527740046</v>
      </c>
      <c r="AW202" s="251">
        <f t="shared" si="37"/>
        <v>0</v>
      </c>
      <c r="AX202" s="251">
        <f t="shared" si="37"/>
        <v>128503.22280615114</v>
      </c>
      <c r="AY202" s="251">
        <f t="shared" si="37"/>
        <v>4207.3664463262703</v>
      </c>
      <c r="AZ202" s="251">
        <f t="shared" si="47"/>
        <v>145354.29279681708</v>
      </c>
      <c r="BA202" s="270">
        <f t="shared" si="46"/>
        <v>7.6582713355016381</v>
      </c>
      <c r="BB202" s="251">
        <f t="shared" si="39"/>
        <v>12643.70354433966</v>
      </c>
      <c r="BC202" s="251">
        <f t="shared" si="40"/>
        <v>132710.58925247742</v>
      </c>
    </row>
    <row r="203" spans="1:55">
      <c r="A203" s="11">
        <v>49827</v>
      </c>
      <c r="B203" s="251">
        <v>100</v>
      </c>
      <c r="C203" s="251">
        <v>295</v>
      </c>
      <c r="D203" s="251">
        <v>5</v>
      </c>
      <c r="E203" s="251">
        <v>220</v>
      </c>
      <c r="F203" s="251">
        <v>44</v>
      </c>
      <c r="G203" s="287">
        <v>0.33</v>
      </c>
      <c r="H203" s="287"/>
      <c r="I203" s="251"/>
      <c r="J203" s="251"/>
      <c r="K203" s="251"/>
      <c r="L203" s="251"/>
      <c r="M203" s="13"/>
      <c r="N203" s="251">
        <f t="shared" si="36"/>
        <v>664.33</v>
      </c>
      <c r="O203" s="251">
        <f>'BBD Monthly Production'!AB26*12</f>
        <v>626.19109443958575</v>
      </c>
      <c r="P203" s="271">
        <f t="shared" si="38"/>
        <v>0.94259042108528246</v>
      </c>
      <c r="Y203" s="251">
        <f>SUM('RD Feedstock'!F201,'RD Feedstock'!I201)</f>
        <v>23.121874999999999</v>
      </c>
      <c r="Z203" s="251">
        <f>SUM('RD Feedstock'!G201,'RD Feedstock'!J201)</f>
        <v>7.65625</v>
      </c>
      <c r="AA203" s="251">
        <v>0</v>
      </c>
      <c r="AB203" s="251">
        <f>SUM('RD Feedstock'!B201,'RD Feedstock'!D201,'RD Feedstock'!H201)</f>
        <v>374.51145833333328</v>
      </c>
      <c r="AC203" s="251">
        <f>SUM('RD Feedstock'!C201,'RD Feedstock'!E201)</f>
        <v>12.34375</v>
      </c>
      <c r="AD203" s="251">
        <f t="shared" si="48"/>
        <v>417.63333333333327</v>
      </c>
      <c r="AH203" s="237">
        <f t="shared" si="35"/>
        <v>5.5364055391491744E-2</v>
      </c>
      <c r="AI203" s="237">
        <f t="shared" si="35"/>
        <v>1.8332468672679385E-2</v>
      </c>
      <c r="AJ203" s="237">
        <f t="shared" si="35"/>
        <v>0</v>
      </c>
      <c r="AK203" s="237">
        <f t="shared" si="35"/>
        <v>0.89674704685130502</v>
      </c>
      <c r="AL203" s="237">
        <f t="shared" si="35"/>
        <v>2.9556429084523911E-2</v>
      </c>
      <c r="AM203" s="237">
        <f t="shared" si="41"/>
        <v>1</v>
      </c>
      <c r="AO203" s="237">
        <f t="shared" si="42"/>
        <v>0.75124378109452739</v>
      </c>
      <c r="AP203" s="237">
        <f t="shared" si="43"/>
        <v>0.24875621890547264</v>
      </c>
      <c r="AQ203" s="237">
        <f t="shared" si="44"/>
        <v>0</v>
      </c>
      <c r="AR203" s="237">
        <f t="shared" si="45"/>
        <v>0.96809206717629603</v>
      </c>
      <c r="AS203" s="237">
        <f t="shared" si="45"/>
        <v>3.1907932823703966E-2</v>
      </c>
      <c r="AU203" s="251">
        <f t="shared" si="37"/>
        <v>12291.9910892672</v>
      </c>
      <c r="AV203" s="251">
        <f t="shared" si="37"/>
        <v>3475.7215092358783</v>
      </c>
      <c r="AW203" s="251">
        <f t="shared" si="37"/>
        <v>0</v>
      </c>
      <c r="AX203" s="251">
        <f t="shared" si="37"/>
        <v>160253.82737606883</v>
      </c>
      <c r="AY203" s="251">
        <f t="shared" si="37"/>
        <v>5246.9234737757861</v>
      </c>
      <c r="AZ203" s="251">
        <f t="shared" si="47"/>
        <v>181268.4634483477</v>
      </c>
      <c r="BA203" s="270">
        <f t="shared" si="46"/>
        <v>7.6582713355016363</v>
      </c>
      <c r="BB203" s="251">
        <f t="shared" si="39"/>
        <v>15767.712598503078</v>
      </c>
      <c r="BC203" s="251">
        <f t="shared" si="40"/>
        <v>165500.75084984463</v>
      </c>
    </row>
    <row r="204" spans="1:55">
      <c r="A204" s="11">
        <v>49857</v>
      </c>
      <c r="B204" s="251">
        <v>100</v>
      </c>
      <c r="C204" s="251">
        <v>295</v>
      </c>
      <c r="D204" s="251">
        <v>5</v>
      </c>
      <c r="E204" s="251">
        <v>220</v>
      </c>
      <c r="F204" s="251">
        <v>44</v>
      </c>
      <c r="G204" s="287">
        <v>0.33</v>
      </c>
      <c r="H204" s="287"/>
      <c r="I204" s="251"/>
      <c r="J204" s="251"/>
      <c r="K204" s="251"/>
      <c r="L204" s="251"/>
      <c r="M204" s="13"/>
      <c r="N204" s="251">
        <f t="shared" si="36"/>
        <v>664.33</v>
      </c>
      <c r="O204" s="251">
        <f>'BBD Monthly Production'!AB27*12</f>
        <v>551.01517447779622</v>
      </c>
      <c r="P204" s="271">
        <f t="shared" si="38"/>
        <v>0.82942991356373519</v>
      </c>
      <c r="Y204" s="251">
        <f>SUM('RD Feedstock'!F202,'RD Feedstock'!I202)</f>
        <v>23.121874999999999</v>
      </c>
      <c r="Z204" s="251">
        <f>SUM('RD Feedstock'!G202,'RD Feedstock'!J202)</f>
        <v>7.65625</v>
      </c>
      <c r="AA204" s="251">
        <v>0</v>
      </c>
      <c r="AB204" s="251">
        <f>SUM('RD Feedstock'!B202,'RD Feedstock'!D202,'RD Feedstock'!H202)</f>
        <v>374.51145833333328</v>
      </c>
      <c r="AC204" s="251">
        <f>SUM('RD Feedstock'!C202,'RD Feedstock'!E202)</f>
        <v>12.34375</v>
      </c>
      <c r="AD204" s="251">
        <f t="shared" si="48"/>
        <v>417.63333333333327</v>
      </c>
      <c r="AH204" s="237">
        <f t="shared" si="35"/>
        <v>5.5364055391491744E-2</v>
      </c>
      <c r="AI204" s="237">
        <f t="shared" si="35"/>
        <v>1.8332468672679385E-2</v>
      </c>
      <c r="AJ204" s="237">
        <f t="shared" si="35"/>
        <v>0</v>
      </c>
      <c r="AK204" s="237">
        <f t="shared" si="35"/>
        <v>0.89674704685130502</v>
      </c>
      <c r="AL204" s="237">
        <f t="shared" si="35"/>
        <v>2.9556429084523911E-2</v>
      </c>
      <c r="AM204" s="237">
        <f t="shared" si="41"/>
        <v>1</v>
      </c>
      <c r="AO204" s="237">
        <f t="shared" si="42"/>
        <v>0.75124378109452739</v>
      </c>
      <c r="AP204" s="237">
        <f t="shared" si="43"/>
        <v>0.24875621890547264</v>
      </c>
      <c r="AQ204" s="237">
        <f t="shared" si="44"/>
        <v>0</v>
      </c>
      <c r="AR204" s="237">
        <f t="shared" si="45"/>
        <v>0.96809206717629603</v>
      </c>
      <c r="AS204" s="237">
        <f t="shared" si="45"/>
        <v>3.1907932823703966E-2</v>
      </c>
      <c r="AU204" s="251">
        <f t="shared" si="37"/>
        <v>10816.304599147476</v>
      </c>
      <c r="AV204" s="251">
        <f t="shared" si="37"/>
        <v>3058.4518222218358</v>
      </c>
      <c r="AW204" s="251">
        <f t="shared" si="37"/>
        <v>0</v>
      </c>
      <c r="AX204" s="251">
        <f t="shared" si="37"/>
        <v>141014.92569354724</v>
      </c>
      <c r="AY204" s="251">
        <f t="shared" si="37"/>
        <v>4617.0162416021758</v>
      </c>
      <c r="AZ204" s="251">
        <f t="shared" si="47"/>
        <v>159506.69835651873</v>
      </c>
      <c r="BA204" s="270">
        <f t="shared" si="46"/>
        <v>7.6582713355016372</v>
      </c>
      <c r="BB204" s="251">
        <f t="shared" si="39"/>
        <v>13874.756421369311</v>
      </c>
      <c r="BC204" s="251">
        <f t="shared" si="40"/>
        <v>145631.9419351494</v>
      </c>
    </row>
    <row r="205" spans="1:55">
      <c r="A205" s="11">
        <v>49888</v>
      </c>
      <c r="B205" s="251">
        <v>100</v>
      </c>
      <c r="C205" s="251">
        <v>295</v>
      </c>
      <c r="D205" s="251">
        <v>5</v>
      </c>
      <c r="E205" s="251">
        <v>220</v>
      </c>
      <c r="F205" s="251">
        <v>44</v>
      </c>
      <c r="G205" s="287">
        <v>0.33</v>
      </c>
      <c r="H205" s="287"/>
      <c r="I205" s="251"/>
      <c r="J205" s="251"/>
      <c r="K205" s="251"/>
      <c r="L205" s="251"/>
      <c r="M205" s="13"/>
      <c r="N205" s="251">
        <f t="shared" si="36"/>
        <v>664.33</v>
      </c>
      <c r="O205" s="251">
        <f>'BBD Monthly Production'!AB28*12</f>
        <v>484.43070523018088</v>
      </c>
      <c r="P205" s="271">
        <f t="shared" si="38"/>
        <v>0.72920191054172001</v>
      </c>
      <c r="Y205" s="251">
        <f>SUM('RD Feedstock'!F203,'RD Feedstock'!I203)</f>
        <v>23.121874999999999</v>
      </c>
      <c r="Z205" s="251">
        <f>SUM('RD Feedstock'!G203,'RD Feedstock'!J203)</f>
        <v>7.65625</v>
      </c>
      <c r="AA205" s="251">
        <v>0</v>
      </c>
      <c r="AB205" s="251">
        <f>SUM('RD Feedstock'!B203,'RD Feedstock'!D203,'RD Feedstock'!H203)</f>
        <v>374.51145833333328</v>
      </c>
      <c r="AC205" s="251">
        <f>SUM('RD Feedstock'!C203,'RD Feedstock'!E203)</f>
        <v>12.34375</v>
      </c>
      <c r="AD205" s="251">
        <f t="shared" si="48"/>
        <v>417.63333333333327</v>
      </c>
      <c r="AH205" s="237">
        <f t="shared" si="35"/>
        <v>5.5364055391491744E-2</v>
      </c>
      <c r="AI205" s="237">
        <f t="shared" si="35"/>
        <v>1.8332468672679385E-2</v>
      </c>
      <c r="AJ205" s="237">
        <f t="shared" si="35"/>
        <v>0</v>
      </c>
      <c r="AK205" s="237">
        <f t="shared" si="35"/>
        <v>0.89674704685130502</v>
      </c>
      <c r="AL205" s="237">
        <f t="shared" si="35"/>
        <v>2.9556429084523911E-2</v>
      </c>
      <c r="AM205" s="237">
        <f t="shared" si="41"/>
        <v>1</v>
      </c>
      <c r="AO205" s="237">
        <f t="shared" si="42"/>
        <v>0.75124378109452739</v>
      </c>
      <c r="AP205" s="237">
        <f t="shared" si="43"/>
        <v>0.24875621890547264</v>
      </c>
      <c r="AQ205" s="237">
        <f t="shared" si="44"/>
        <v>0</v>
      </c>
      <c r="AR205" s="237">
        <f t="shared" si="45"/>
        <v>0.96809206717629603</v>
      </c>
      <c r="AS205" s="237">
        <f t="shared" si="45"/>
        <v>3.1907932823703966E-2</v>
      </c>
      <c r="AU205" s="251">
        <f t="shared" si="37"/>
        <v>9509.2663644249624</v>
      </c>
      <c r="AV205" s="251">
        <f t="shared" si="37"/>
        <v>2688.8696387637483</v>
      </c>
      <c r="AW205" s="251">
        <f t="shared" si="37"/>
        <v>0</v>
      </c>
      <c r="AX205" s="251">
        <f t="shared" si="37"/>
        <v>123974.7343917465</v>
      </c>
      <c r="AY205" s="251">
        <f t="shared" si="37"/>
        <v>4059.0977119608674</v>
      </c>
      <c r="AZ205" s="251">
        <f t="shared" si="47"/>
        <v>140231.96810689609</v>
      </c>
      <c r="BA205" s="270">
        <f t="shared" si="46"/>
        <v>7.6582713355016372</v>
      </c>
      <c r="BB205" s="251">
        <f t="shared" si="39"/>
        <v>12198.136003188711</v>
      </c>
      <c r="BC205" s="251">
        <f t="shared" si="40"/>
        <v>128033.83210370738</v>
      </c>
    </row>
    <row r="206" spans="1:55">
      <c r="A206" s="11">
        <v>49919</v>
      </c>
      <c r="B206" s="251">
        <v>100</v>
      </c>
      <c r="C206" s="251">
        <v>295</v>
      </c>
      <c r="D206" s="251">
        <v>5</v>
      </c>
      <c r="E206" s="251">
        <v>220</v>
      </c>
      <c r="F206" s="251">
        <v>44</v>
      </c>
      <c r="G206" s="287">
        <v>0.33</v>
      </c>
      <c r="H206" s="287"/>
      <c r="I206" s="251"/>
      <c r="J206" s="251"/>
      <c r="K206" s="251"/>
      <c r="L206" s="251"/>
      <c r="M206" s="13"/>
      <c r="N206" s="251">
        <f t="shared" si="36"/>
        <v>664.33</v>
      </c>
      <c r="O206" s="251">
        <f>'BBD Monthly Production'!AB29*12</f>
        <v>529.02633947559059</v>
      </c>
      <c r="P206" s="271">
        <f t="shared" si="38"/>
        <v>0.79633064813509935</v>
      </c>
      <c r="Y206" s="251">
        <f>SUM('RD Feedstock'!F204,'RD Feedstock'!I204)</f>
        <v>23.121874999999999</v>
      </c>
      <c r="Z206" s="251">
        <f>SUM('RD Feedstock'!G204,'RD Feedstock'!J204)</f>
        <v>7.65625</v>
      </c>
      <c r="AA206" s="251">
        <v>0</v>
      </c>
      <c r="AB206" s="251">
        <f>SUM('RD Feedstock'!B204,'RD Feedstock'!D204,'RD Feedstock'!H204)</f>
        <v>374.51145833333328</v>
      </c>
      <c r="AC206" s="251">
        <f>SUM('RD Feedstock'!C204,'RD Feedstock'!E204)</f>
        <v>12.34375</v>
      </c>
      <c r="AD206" s="251">
        <f t="shared" si="48"/>
        <v>417.63333333333327</v>
      </c>
      <c r="AH206" s="237">
        <f t="shared" si="35"/>
        <v>5.5364055391491744E-2</v>
      </c>
      <c r="AI206" s="237">
        <f t="shared" si="35"/>
        <v>1.8332468672679385E-2</v>
      </c>
      <c r="AJ206" s="237">
        <f t="shared" si="35"/>
        <v>0</v>
      </c>
      <c r="AK206" s="237">
        <f t="shared" si="35"/>
        <v>0.89674704685130502</v>
      </c>
      <c r="AL206" s="237">
        <f t="shared" si="35"/>
        <v>2.9556429084523911E-2</v>
      </c>
      <c r="AM206" s="237">
        <f t="shared" si="41"/>
        <v>1</v>
      </c>
      <c r="AO206" s="237">
        <f t="shared" si="42"/>
        <v>0.75124378109452739</v>
      </c>
      <c r="AP206" s="237">
        <f t="shared" si="43"/>
        <v>0.24875621890547264</v>
      </c>
      <c r="AQ206" s="237">
        <f t="shared" si="44"/>
        <v>0</v>
      </c>
      <c r="AR206" s="237">
        <f t="shared" si="45"/>
        <v>0.96809206717629603</v>
      </c>
      <c r="AS206" s="237">
        <f t="shared" si="45"/>
        <v>3.1907932823703966E-2</v>
      </c>
      <c r="AU206" s="251">
        <f t="shared" si="37"/>
        <v>10384.668687505562</v>
      </c>
      <c r="AV206" s="251">
        <f t="shared" si="37"/>
        <v>2936.4011136460394</v>
      </c>
      <c r="AW206" s="251">
        <f t="shared" si="37"/>
        <v>0</v>
      </c>
      <c r="AX206" s="251">
        <f t="shared" si="37"/>
        <v>135387.57806766321</v>
      </c>
      <c r="AY206" s="251">
        <f t="shared" si="37"/>
        <v>4432.7693949789254</v>
      </c>
      <c r="AZ206" s="251">
        <f t="shared" si="47"/>
        <v>153141.41726379376</v>
      </c>
      <c r="BA206" s="270">
        <f t="shared" si="46"/>
        <v>7.6582713355016381</v>
      </c>
      <c r="BB206" s="251">
        <f t="shared" si="39"/>
        <v>13321.069801151601</v>
      </c>
      <c r="BC206" s="251">
        <f t="shared" si="40"/>
        <v>139820.34746264215</v>
      </c>
    </row>
    <row r="207" spans="1:55">
      <c r="A207" s="11">
        <v>49949</v>
      </c>
      <c r="B207" s="251">
        <v>100</v>
      </c>
      <c r="C207" s="251">
        <v>295</v>
      </c>
      <c r="D207" s="251">
        <v>5</v>
      </c>
      <c r="E207" s="251">
        <v>220</v>
      </c>
      <c r="F207" s="251">
        <v>44</v>
      </c>
      <c r="G207" s="287">
        <v>0.33</v>
      </c>
      <c r="H207" s="287"/>
      <c r="I207" s="251"/>
      <c r="J207" s="251"/>
      <c r="K207" s="251"/>
      <c r="L207" s="251"/>
      <c r="M207" s="13"/>
      <c r="N207" s="251">
        <f t="shared" si="36"/>
        <v>664.33</v>
      </c>
      <c r="O207" s="251">
        <f>'BBD Monthly Production'!AB30*12</f>
        <v>422.69201199267934</v>
      </c>
      <c r="P207" s="271">
        <f t="shared" si="38"/>
        <v>0.63626813781205016</v>
      </c>
      <c r="Y207" s="251">
        <f>SUM('RD Feedstock'!F205,'RD Feedstock'!I205)</f>
        <v>23.121874999999999</v>
      </c>
      <c r="Z207" s="251">
        <f>SUM('RD Feedstock'!G205,'RD Feedstock'!J205)</f>
        <v>7.65625</v>
      </c>
      <c r="AA207" s="251">
        <v>0</v>
      </c>
      <c r="AB207" s="251">
        <f>SUM('RD Feedstock'!B205,'RD Feedstock'!D205,'RD Feedstock'!H205)</f>
        <v>374.51145833333328</v>
      </c>
      <c r="AC207" s="251">
        <f>SUM('RD Feedstock'!C205,'RD Feedstock'!E205)</f>
        <v>12.34375</v>
      </c>
      <c r="AD207" s="251">
        <f t="shared" si="48"/>
        <v>417.63333333333327</v>
      </c>
      <c r="AH207" s="237">
        <f t="shared" si="35"/>
        <v>5.5364055391491744E-2</v>
      </c>
      <c r="AI207" s="237">
        <f t="shared" si="35"/>
        <v>1.8332468672679385E-2</v>
      </c>
      <c r="AJ207" s="237">
        <f t="shared" si="35"/>
        <v>0</v>
      </c>
      <c r="AK207" s="237">
        <f t="shared" si="35"/>
        <v>0.89674704685130502</v>
      </c>
      <c r="AL207" s="237">
        <f t="shared" si="35"/>
        <v>2.9556429084523911E-2</v>
      </c>
      <c r="AM207" s="237">
        <f t="shared" si="41"/>
        <v>1</v>
      </c>
      <c r="AO207" s="237">
        <f t="shared" si="42"/>
        <v>0.75124378109452739</v>
      </c>
      <c r="AP207" s="237">
        <f t="shared" si="43"/>
        <v>0.24875621890547264</v>
      </c>
      <c r="AQ207" s="237">
        <f t="shared" si="44"/>
        <v>0</v>
      </c>
      <c r="AR207" s="237">
        <f t="shared" si="45"/>
        <v>0.96809206717629603</v>
      </c>
      <c r="AS207" s="237">
        <f t="shared" si="45"/>
        <v>3.1907932823703966E-2</v>
      </c>
      <c r="AU207" s="251">
        <f t="shared" si="37"/>
        <v>8297.3496286599093</v>
      </c>
      <c r="AV207" s="251">
        <f t="shared" si="37"/>
        <v>2346.1843052558593</v>
      </c>
      <c r="AW207" s="251">
        <f t="shared" si="37"/>
        <v>0</v>
      </c>
      <c r="AX207" s="251">
        <f t="shared" si="37"/>
        <v>108174.66636720645</v>
      </c>
      <c r="AY207" s="251">
        <f t="shared" si="37"/>
        <v>3541.782467996883</v>
      </c>
      <c r="AZ207" s="251">
        <f t="shared" si="47"/>
        <v>122359.98276911909</v>
      </c>
      <c r="BA207" s="270">
        <f t="shared" si="46"/>
        <v>7.6582713355016363</v>
      </c>
      <c r="BB207" s="251">
        <f t="shared" si="39"/>
        <v>10643.533933915769</v>
      </c>
      <c r="BC207" s="251">
        <f t="shared" si="40"/>
        <v>111716.44883520332</v>
      </c>
    </row>
    <row r="208" spans="1:55">
      <c r="A208" s="11">
        <v>49980</v>
      </c>
      <c r="B208" s="251">
        <v>100</v>
      </c>
      <c r="C208" s="251">
        <v>295</v>
      </c>
      <c r="D208" s="251">
        <v>5</v>
      </c>
      <c r="E208" s="251">
        <v>220</v>
      </c>
      <c r="F208" s="251">
        <v>44</v>
      </c>
      <c r="G208" s="287">
        <v>0.33</v>
      </c>
      <c r="H208" s="287"/>
      <c r="I208" s="251"/>
      <c r="J208" s="251"/>
      <c r="K208" s="251"/>
      <c r="L208" s="251"/>
      <c r="M208" s="13"/>
      <c r="N208" s="251">
        <f t="shared" si="36"/>
        <v>664.33</v>
      </c>
      <c r="O208" s="251">
        <f>'BBD Monthly Production'!AB31*12</f>
        <v>544.27423895856668</v>
      </c>
      <c r="P208" s="271">
        <f t="shared" si="38"/>
        <v>0.81928294516063804</v>
      </c>
      <c r="Y208" s="251">
        <f>SUM('RD Feedstock'!F206,'RD Feedstock'!I206)</f>
        <v>23.121874999999999</v>
      </c>
      <c r="Z208" s="251">
        <f>SUM('RD Feedstock'!G206,'RD Feedstock'!J206)</f>
        <v>7.65625</v>
      </c>
      <c r="AA208" s="251">
        <v>0</v>
      </c>
      <c r="AB208" s="251">
        <f>SUM('RD Feedstock'!B206,'RD Feedstock'!D206,'RD Feedstock'!H206)</f>
        <v>374.51145833333328</v>
      </c>
      <c r="AC208" s="251">
        <f>SUM('RD Feedstock'!C206,'RD Feedstock'!E206)</f>
        <v>12.34375</v>
      </c>
      <c r="AD208" s="251">
        <f t="shared" si="48"/>
        <v>417.63333333333327</v>
      </c>
      <c r="AH208" s="237">
        <f t="shared" si="35"/>
        <v>5.5364055391491744E-2</v>
      </c>
      <c r="AI208" s="237">
        <f t="shared" si="35"/>
        <v>1.8332468672679385E-2</v>
      </c>
      <c r="AJ208" s="237">
        <f t="shared" si="35"/>
        <v>0</v>
      </c>
      <c r="AK208" s="237">
        <f t="shared" si="35"/>
        <v>0.89674704685130502</v>
      </c>
      <c r="AL208" s="237">
        <f t="shared" si="35"/>
        <v>2.9556429084523911E-2</v>
      </c>
      <c r="AM208" s="237">
        <f t="shared" si="41"/>
        <v>1</v>
      </c>
      <c r="AO208" s="237">
        <f t="shared" si="42"/>
        <v>0.75124378109452739</v>
      </c>
      <c r="AP208" s="237">
        <f t="shared" si="43"/>
        <v>0.24875621890547264</v>
      </c>
      <c r="AQ208" s="237">
        <f t="shared" si="44"/>
        <v>0</v>
      </c>
      <c r="AR208" s="237">
        <f t="shared" si="45"/>
        <v>0.96809206717629603</v>
      </c>
      <c r="AS208" s="237">
        <f t="shared" si="45"/>
        <v>3.1907932823703966E-2</v>
      </c>
      <c r="AU208" s="251">
        <f t="shared" si="37"/>
        <v>10683.981543020574</v>
      </c>
      <c r="AV208" s="251">
        <f t="shared" si="37"/>
        <v>3021.0357446304947</v>
      </c>
      <c r="AW208" s="251">
        <f t="shared" si="37"/>
        <v>0</v>
      </c>
      <c r="AX208" s="251">
        <f t="shared" si="37"/>
        <v>139289.79621367398</v>
      </c>
      <c r="AY208" s="251">
        <f t="shared" si="37"/>
        <v>4560.5332077086505</v>
      </c>
      <c r="AZ208" s="251">
        <f t="shared" si="47"/>
        <v>157555.34670903371</v>
      </c>
      <c r="BA208" s="270">
        <f t="shared" si="46"/>
        <v>7.6582713355016363</v>
      </c>
      <c r="BB208" s="251">
        <f t="shared" si="39"/>
        <v>13705.01728765107</v>
      </c>
      <c r="BC208" s="251">
        <f t="shared" si="40"/>
        <v>143850.32942138263</v>
      </c>
    </row>
    <row r="209" spans="1:55">
      <c r="A209" s="11">
        <v>50010</v>
      </c>
      <c r="B209" s="251">
        <v>100</v>
      </c>
      <c r="C209" s="251">
        <v>295</v>
      </c>
      <c r="D209" s="251">
        <v>5</v>
      </c>
      <c r="E209" s="251">
        <v>220</v>
      </c>
      <c r="F209" s="251">
        <v>44</v>
      </c>
      <c r="G209" s="287">
        <v>0.33</v>
      </c>
      <c r="H209" s="287"/>
      <c r="I209" s="251"/>
      <c r="J209" s="251"/>
      <c r="K209" s="251"/>
      <c r="L209" s="251"/>
      <c r="M209" s="13"/>
      <c r="N209" s="251">
        <f t="shared" si="36"/>
        <v>664.33</v>
      </c>
      <c r="O209" s="251">
        <f>'BBD Monthly Production'!AB32*12</f>
        <v>748.76177706049862</v>
      </c>
      <c r="P209" s="271">
        <f t="shared" si="38"/>
        <v>1.1270931270008859</v>
      </c>
      <c r="Y209" s="251">
        <f>SUM('RD Feedstock'!F207,'RD Feedstock'!I207)</f>
        <v>23.121874999999999</v>
      </c>
      <c r="Z209" s="251">
        <f>SUM('RD Feedstock'!G207,'RD Feedstock'!J207)</f>
        <v>7.65625</v>
      </c>
      <c r="AA209" s="251">
        <v>0</v>
      </c>
      <c r="AB209" s="251">
        <f>SUM('RD Feedstock'!B207,'RD Feedstock'!D207,'RD Feedstock'!H207)</f>
        <v>374.51145833333328</v>
      </c>
      <c r="AC209" s="251">
        <f>SUM('RD Feedstock'!C207,'RD Feedstock'!E207)</f>
        <v>12.34375</v>
      </c>
      <c r="AD209" s="251">
        <f t="shared" si="48"/>
        <v>417.63333333333327</v>
      </c>
      <c r="AH209" s="237">
        <f t="shared" si="35"/>
        <v>5.5364055391491744E-2</v>
      </c>
      <c r="AI209" s="237">
        <f t="shared" si="35"/>
        <v>1.8332468672679385E-2</v>
      </c>
      <c r="AJ209" s="237">
        <f t="shared" si="35"/>
        <v>0</v>
      </c>
      <c r="AK209" s="237">
        <f t="shared" si="35"/>
        <v>0.89674704685130502</v>
      </c>
      <c r="AL209" s="237">
        <f t="shared" si="35"/>
        <v>2.9556429084523911E-2</v>
      </c>
      <c r="AM209" s="237">
        <f t="shared" si="41"/>
        <v>1</v>
      </c>
      <c r="AO209" s="237">
        <f t="shared" si="42"/>
        <v>0.75124378109452739</v>
      </c>
      <c r="AP209" s="237">
        <f t="shared" si="43"/>
        <v>0.24875621890547264</v>
      </c>
      <c r="AQ209" s="237">
        <f t="shared" si="44"/>
        <v>0</v>
      </c>
      <c r="AR209" s="237">
        <f t="shared" si="45"/>
        <v>0.96809206717629603</v>
      </c>
      <c r="AS209" s="237">
        <f t="shared" si="45"/>
        <v>3.1907932823703966E-2</v>
      </c>
      <c r="AU209" s="251">
        <f t="shared" si="37"/>
        <v>14698.026166993808</v>
      </c>
      <c r="AV209" s="251">
        <f t="shared" si="37"/>
        <v>4156.0594472394559</v>
      </c>
      <c r="AW209" s="251">
        <f t="shared" si="37"/>
        <v>0</v>
      </c>
      <c r="AX209" s="251">
        <f t="shared" si="37"/>
        <v>191621.92121917565</v>
      </c>
      <c r="AY209" s="251">
        <f t="shared" si="37"/>
        <v>6273.9565912236685</v>
      </c>
      <c r="AZ209" s="251">
        <f t="shared" si="47"/>
        <v>216749.96342463256</v>
      </c>
      <c r="BA209" s="270">
        <f t="shared" si="46"/>
        <v>7.6582713355016354</v>
      </c>
      <c r="BB209" s="251">
        <f t="shared" si="39"/>
        <v>18854.085614233263</v>
      </c>
      <c r="BC209" s="251">
        <f t="shared" si="40"/>
        <v>197895.87781039931</v>
      </c>
    </row>
    <row r="210" spans="1:55">
      <c r="A210" s="11">
        <v>50041</v>
      </c>
      <c r="B210" s="251">
        <v>100</v>
      </c>
      <c r="C210" s="251">
        <v>295</v>
      </c>
      <c r="D210" s="251">
        <v>5</v>
      </c>
      <c r="E210" s="251">
        <v>220</v>
      </c>
      <c r="F210" s="251">
        <v>44</v>
      </c>
      <c r="G210" s="287">
        <v>0.33</v>
      </c>
      <c r="H210" s="287"/>
      <c r="I210" s="251"/>
      <c r="J210" s="251"/>
      <c r="K210" s="251"/>
      <c r="L210" s="251"/>
      <c r="M210" s="13"/>
      <c r="N210" s="251">
        <f t="shared" si="36"/>
        <v>664.33</v>
      </c>
      <c r="O210" s="251">
        <f>'BBD Monthly Production'!AC21*12</f>
        <v>234.88442390129757</v>
      </c>
      <c r="P210" s="271">
        <f t="shared" si="38"/>
        <v>0.3535658842763349</v>
      </c>
      <c r="Y210" s="251">
        <f>SUM('RD Feedstock'!F208,'RD Feedstock'!I208)</f>
        <v>23.121874999999999</v>
      </c>
      <c r="Z210" s="251">
        <f>SUM('RD Feedstock'!G208,'RD Feedstock'!J208)</f>
        <v>7.65625</v>
      </c>
      <c r="AA210" s="251">
        <v>0</v>
      </c>
      <c r="AB210" s="251">
        <f>SUM('RD Feedstock'!B208,'RD Feedstock'!D208,'RD Feedstock'!H208)</f>
        <v>374.51145833333328</v>
      </c>
      <c r="AC210" s="251">
        <f>SUM('RD Feedstock'!C208,'RD Feedstock'!E208)</f>
        <v>12.34375</v>
      </c>
      <c r="AD210" s="251">
        <f t="shared" si="48"/>
        <v>417.63333333333327</v>
      </c>
      <c r="AH210" s="237">
        <f t="shared" si="35"/>
        <v>5.5364055391491744E-2</v>
      </c>
      <c r="AI210" s="237">
        <f t="shared" si="35"/>
        <v>1.8332468672679385E-2</v>
      </c>
      <c r="AJ210" s="237">
        <f t="shared" si="35"/>
        <v>0</v>
      </c>
      <c r="AK210" s="237">
        <f t="shared" si="35"/>
        <v>0.89674704685130502</v>
      </c>
      <c r="AL210" s="237">
        <f t="shared" si="35"/>
        <v>2.9556429084523911E-2</v>
      </c>
      <c r="AM210" s="237">
        <f t="shared" si="41"/>
        <v>1</v>
      </c>
      <c r="AO210" s="237">
        <f t="shared" si="42"/>
        <v>0.75124378109452739</v>
      </c>
      <c r="AP210" s="237">
        <f t="shared" si="43"/>
        <v>0.24875621890547264</v>
      </c>
      <c r="AQ210" s="237">
        <f t="shared" si="44"/>
        <v>0</v>
      </c>
      <c r="AR210" s="237">
        <f t="shared" si="45"/>
        <v>0.96809206717629603</v>
      </c>
      <c r="AS210" s="237">
        <f t="shared" si="45"/>
        <v>3.1907932823703966E-2</v>
      </c>
      <c r="AU210" s="251">
        <f t="shared" si="37"/>
        <v>4610.7286916725116</v>
      </c>
      <c r="AV210" s="251">
        <f t="shared" si="37"/>
        <v>1303.7439394899961</v>
      </c>
      <c r="AW210" s="251">
        <f t="shared" si="37"/>
        <v>0</v>
      </c>
      <c r="AX210" s="251">
        <f t="shared" si="37"/>
        <v>60111.247597497568</v>
      </c>
      <c r="AY210" s="251">
        <f t="shared" si="37"/>
        <v>1968.1222047640015</v>
      </c>
      <c r="AZ210" s="251">
        <f t="shared" si="47"/>
        <v>67993.842433424084</v>
      </c>
      <c r="BA210" s="270">
        <f t="shared" si="46"/>
        <v>7.6582713355016381</v>
      </c>
      <c r="BB210" s="251">
        <f t="shared" si="39"/>
        <v>5914.4726311625072</v>
      </c>
      <c r="BC210" s="251">
        <f t="shared" si="40"/>
        <v>62079.369802261572</v>
      </c>
    </row>
    <row r="211" spans="1:55">
      <c r="A211" s="11">
        <v>50072</v>
      </c>
      <c r="B211" s="251">
        <v>100</v>
      </c>
      <c r="C211" s="251">
        <v>295</v>
      </c>
      <c r="D211" s="251">
        <v>5</v>
      </c>
      <c r="E211" s="251">
        <v>220</v>
      </c>
      <c r="F211" s="251">
        <v>44</v>
      </c>
      <c r="G211" s="287">
        <v>0.33</v>
      </c>
      <c r="H211" s="287"/>
      <c r="I211" s="251"/>
      <c r="J211" s="251"/>
      <c r="K211" s="251"/>
      <c r="L211" s="251"/>
      <c r="M211" s="13"/>
      <c r="N211" s="251">
        <f t="shared" si="36"/>
        <v>664.33</v>
      </c>
      <c r="O211" s="251">
        <f>'BBD Monthly Production'!AC22*12</f>
        <v>275.70896190583358</v>
      </c>
      <c r="P211" s="271">
        <f t="shared" si="38"/>
        <v>0.41501808123347367</v>
      </c>
      <c r="Y211" s="251">
        <f>SUM('RD Feedstock'!F209,'RD Feedstock'!I209)</f>
        <v>23.121874999999999</v>
      </c>
      <c r="Z211" s="251">
        <f>SUM('RD Feedstock'!G209,'RD Feedstock'!J209)</f>
        <v>7.65625</v>
      </c>
      <c r="AA211" s="251">
        <v>0</v>
      </c>
      <c r="AB211" s="251">
        <f>SUM('RD Feedstock'!B209,'RD Feedstock'!D209,'RD Feedstock'!H209)</f>
        <v>374.51145833333328</v>
      </c>
      <c r="AC211" s="251">
        <f>SUM('RD Feedstock'!C209,'RD Feedstock'!E209)</f>
        <v>12.34375</v>
      </c>
      <c r="AD211" s="251">
        <f t="shared" si="48"/>
        <v>417.63333333333327</v>
      </c>
      <c r="AH211" s="237">
        <f t="shared" si="35"/>
        <v>5.5364055391491744E-2</v>
      </c>
      <c r="AI211" s="237">
        <f t="shared" si="35"/>
        <v>1.8332468672679385E-2</v>
      </c>
      <c r="AJ211" s="237">
        <f t="shared" si="35"/>
        <v>0</v>
      </c>
      <c r="AK211" s="237">
        <f t="shared" si="35"/>
        <v>0.89674704685130502</v>
      </c>
      <c r="AL211" s="237">
        <f t="shared" si="35"/>
        <v>2.9556429084523911E-2</v>
      </c>
      <c r="AM211" s="237">
        <f t="shared" si="41"/>
        <v>1</v>
      </c>
      <c r="AO211" s="237">
        <f t="shared" si="42"/>
        <v>0.75124378109452739</v>
      </c>
      <c r="AP211" s="237">
        <f t="shared" si="43"/>
        <v>0.24875621890547264</v>
      </c>
      <c r="AQ211" s="237">
        <f t="shared" si="44"/>
        <v>0</v>
      </c>
      <c r="AR211" s="237">
        <f t="shared" si="45"/>
        <v>0.96809206717629603</v>
      </c>
      <c r="AS211" s="237">
        <f t="shared" si="45"/>
        <v>3.1907932823703966E-2</v>
      </c>
      <c r="AU211" s="251">
        <f t="shared" si="37"/>
        <v>5412.1052392331394</v>
      </c>
      <c r="AV211" s="251">
        <f t="shared" si="37"/>
        <v>1530.3436565843012</v>
      </c>
      <c r="AW211" s="251">
        <f t="shared" si="37"/>
        <v>0</v>
      </c>
      <c r="AX211" s="251">
        <f t="shared" si="37"/>
        <v>70558.99833074896</v>
      </c>
      <c r="AY211" s="251">
        <f t="shared" si="37"/>
        <v>2310.1954610976036</v>
      </c>
      <c r="AZ211" s="251">
        <f t="shared" si="47"/>
        <v>79811.642687664018</v>
      </c>
      <c r="BA211" s="270">
        <f t="shared" si="46"/>
        <v>7.6582713355016399</v>
      </c>
      <c r="BB211" s="251">
        <f t="shared" si="39"/>
        <v>6942.4488958174406</v>
      </c>
      <c r="BC211" s="251">
        <f t="shared" si="40"/>
        <v>72869.19379184657</v>
      </c>
    </row>
    <row r="212" spans="1:55">
      <c r="A212" s="11">
        <v>50100</v>
      </c>
      <c r="B212" s="251">
        <v>100</v>
      </c>
      <c r="C212" s="251">
        <v>295</v>
      </c>
      <c r="D212" s="251">
        <v>5</v>
      </c>
      <c r="E212" s="251">
        <v>220</v>
      </c>
      <c r="F212" s="251">
        <v>44</v>
      </c>
      <c r="G212" s="287">
        <v>0.33</v>
      </c>
      <c r="H212" s="287"/>
      <c r="I212" s="251"/>
      <c r="J212" s="251"/>
      <c r="K212" s="251"/>
      <c r="L212" s="251"/>
      <c r="M212" s="13"/>
      <c r="N212" s="251">
        <f t="shared" si="36"/>
        <v>664.33</v>
      </c>
      <c r="O212" s="251">
        <f>'BBD Monthly Production'!AC23*12</f>
        <v>538.71032809540338</v>
      </c>
      <c r="P212" s="271">
        <f t="shared" si="38"/>
        <v>0.81090772371472508</v>
      </c>
      <c r="Y212" s="251">
        <f>SUM('RD Feedstock'!F210,'RD Feedstock'!I210)</f>
        <v>23.121874999999999</v>
      </c>
      <c r="Z212" s="251">
        <f>SUM('RD Feedstock'!G210,'RD Feedstock'!J210)</f>
        <v>7.65625</v>
      </c>
      <c r="AA212" s="251">
        <v>0</v>
      </c>
      <c r="AB212" s="251">
        <f>SUM('RD Feedstock'!B210,'RD Feedstock'!D210,'RD Feedstock'!H210)</f>
        <v>374.51145833333328</v>
      </c>
      <c r="AC212" s="251">
        <f>SUM('RD Feedstock'!C210,'RD Feedstock'!E210)</f>
        <v>12.34375</v>
      </c>
      <c r="AD212" s="251">
        <f t="shared" si="48"/>
        <v>417.63333333333327</v>
      </c>
      <c r="AH212" s="237">
        <f t="shared" si="35"/>
        <v>5.5364055391491744E-2</v>
      </c>
      <c r="AI212" s="237">
        <f t="shared" si="35"/>
        <v>1.8332468672679385E-2</v>
      </c>
      <c r="AJ212" s="237">
        <f t="shared" si="35"/>
        <v>0</v>
      </c>
      <c r="AK212" s="237">
        <f t="shared" si="35"/>
        <v>0.89674704685130502</v>
      </c>
      <c r="AL212" s="237">
        <f t="shared" si="35"/>
        <v>2.9556429084523911E-2</v>
      </c>
      <c r="AM212" s="237">
        <f t="shared" si="41"/>
        <v>1</v>
      </c>
      <c r="AO212" s="237">
        <f t="shared" si="42"/>
        <v>0.75124378109452739</v>
      </c>
      <c r="AP212" s="237">
        <f t="shared" si="43"/>
        <v>0.24875621890547264</v>
      </c>
      <c r="AQ212" s="237">
        <f t="shared" si="44"/>
        <v>0</v>
      </c>
      <c r="AR212" s="237">
        <f t="shared" si="45"/>
        <v>0.96809206717629603</v>
      </c>
      <c r="AS212" s="237">
        <f t="shared" si="45"/>
        <v>3.1907932823703966E-2</v>
      </c>
      <c r="AU212" s="251">
        <f t="shared" si="37"/>
        <v>10574.763217562455</v>
      </c>
      <c r="AV212" s="251">
        <f t="shared" si="37"/>
        <v>2990.1528323146067</v>
      </c>
      <c r="AW212" s="251">
        <f t="shared" si="37"/>
        <v>0</v>
      </c>
      <c r="AX212" s="251">
        <f t="shared" si="37"/>
        <v>137865.88900879881</v>
      </c>
      <c r="AY212" s="251">
        <f t="shared" si="37"/>
        <v>4513.9125917766178</v>
      </c>
      <c r="AZ212" s="251">
        <f t="shared" si="47"/>
        <v>155944.71765045248</v>
      </c>
      <c r="BA212" s="270">
        <f t="shared" si="46"/>
        <v>7.6582713355016372</v>
      </c>
      <c r="BB212" s="251">
        <f t="shared" si="39"/>
        <v>13564.916049877062</v>
      </c>
      <c r="BC212" s="251">
        <f t="shared" si="40"/>
        <v>142379.80160057542</v>
      </c>
    </row>
    <row r="213" spans="1:55">
      <c r="A213" s="11">
        <v>50131</v>
      </c>
      <c r="B213" s="251">
        <v>100</v>
      </c>
      <c r="C213" s="251">
        <v>295</v>
      </c>
      <c r="D213" s="251">
        <v>5</v>
      </c>
      <c r="E213" s="251">
        <v>220</v>
      </c>
      <c r="F213" s="251">
        <v>44</v>
      </c>
      <c r="G213" s="287">
        <v>0.33</v>
      </c>
      <c r="H213" s="287"/>
      <c r="I213" s="251"/>
      <c r="J213" s="251"/>
      <c r="K213" s="251"/>
      <c r="L213" s="251"/>
      <c r="M213" s="13"/>
      <c r="N213" s="251">
        <f t="shared" si="36"/>
        <v>664.33</v>
      </c>
      <c r="O213" s="251">
        <f>'BBD Monthly Production'!AC24*12</f>
        <v>466.33134859941958</v>
      </c>
      <c r="P213" s="271">
        <f t="shared" si="38"/>
        <v>0.70195738352839632</v>
      </c>
      <c r="Y213" s="251">
        <f>SUM('RD Feedstock'!F211,'RD Feedstock'!I211)</f>
        <v>23.121874999999999</v>
      </c>
      <c r="Z213" s="251">
        <f>SUM('RD Feedstock'!G211,'RD Feedstock'!J211)</f>
        <v>7.65625</v>
      </c>
      <c r="AA213" s="251">
        <v>0</v>
      </c>
      <c r="AB213" s="251">
        <f>SUM('RD Feedstock'!B211,'RD Feedstock'!D211,'RD Feedstock'!H211)</f>
        <v>374.51145833333328</v>
      </c>
      <c r="AC213" s="251">
        <f>SUM('RD Feedstock'!C211,'RD Feedstock'!E211)</f>
        <v>12.34375</v>
      </c>
      <c r="AD213" s="251">
        <f t="shared" si="48"/>
        <v>417.63333333333327</v>
      </c>
      <c r="AH213" s="237">
        <f t="shared" si="35"/>
        <v>5.5364055391491744E-2</v>
      </c>
      <c r="AI213" s="237">
        <f t="shared" si="35"/>
        <v>1.8332468672679385E-2</v>
      </c>
      <c r="AJ213" s="237">
        <f t="shared" si="35"/>
        <v>0</v>
      </c>
      <c r="AK213" s="237">
        <f t="shared" si="35"/>
        <v>0.89674704685130502</v>
      </c>
      <c r="AL213" s="237">
        <f t="shared" si="35"/>
        <v>2.9556429084523911E-2</v>
      </c>
      <c r="AM213" s="237">
        <f t="shared" si="41"/>
        <v>1</v>
      </c>
      <c r="AO213" s="237">
        <f t="shared" si="42"/>
        <v>0.75124378109452739</v>
      </c>
      <c r="AP213" s="237">
        <f t="shared" si="43"/>
        <v>0.24875621890547264</v>
      </c>
      <c r="AQ213" s="237">
        <f t="shared" si="44"/>
        <v>0</v>
      </c>
      <c r="AR213" s="237">
        <f t="shared" si="45"/>
        <v>0.96809206717629603</v>
      </c>
      <c r="AS213" s="237">
        <f t="shared" si="45"/>
        <v>3.1907932823703966E-2</v>
      </c>
      <c r="AU213" s="251">
        <f t="shared" si="37"/>
        <v>9153.9800430410833</v>
      </c>
      <c r="AV213" s="251">
        <f t="shared" si="37"/>
        <v>2588.4077770357908</v>
      </c>
      <c r="AW213" s="251">
        <f t="shared" si="37"/>
        <v>0</v>
      </c>
      <c r="AX213" s="251">
        <f t="shared" si="37"/>
        <v>119342.77587480248</v>
      </c>
      <c r="AY213" s="251">
        <f t="shared" si="37"/>
        <v>3907.4412288050803</v>
      </c>
      <c r="AZ213" s="251">
        <f t="shared" si="47"/>
        <v>134992.60492368444</v>
      </c>
      <c r="BA213" s="270">
        <f t="shared" si="46"/>
        <v>7.6582713355016372</v>
      </c>
      <c r="BB213" s="251">
        <f t="shared" si="39"/>
        <v>11742.387820076874</v>
      </c>
      <c r="BC213" s="251">
        <f t="shared" si="40"/>
        <v>123250.21710360756</v>
      </c>
    </row>
    <row r="214" spans="1:55">
      <c r="A214" s="11">
        <v>50161</v>
      </c>
      <c r="B214" s="251">
        <v>100</v>
      </c>
      <c r="C214" s="251">
        <v>295</v>
      </c>
      <c r="D214" s="251">
        <v>5</v>
      </c>
      <c r="E214" s="251">
        <v>220</v>
      </c>
      <c r="F214" s="251">
        <v>44</v>
      </c>
      <c r="G214" s="287">
        <v>0.33</v>
      </c>
      <c r="H214" s="287"/>
      <c r="I214" s="251"/>
      <c r="J214" s="251"/>
      <c r="K214" s="251"/>
      <c r="L214" s="251"/>
      <c r="M214" s="13"/>
      <c r="N214" s="251">
        <f t="shared" si="36"/>
        <v>664.33</v>
      </c>
      <c r="O214" s="251">
        <f>'BBD Monthly Production'!AC25*12</f>
        <v>502.11702104060009</v>
      </c>
      <c r="P214" s="271">
        <f t="shared" si="38"/>
        <v>0.75582469712432088</v>
      </c>
      <c r="Y214" s="251">
        <f>SUM('RD Feedstock'!F212,'RD Feedstock'!I212)</f>
        <v>23.121874999999999</v>
      </c>
      <c r="Z214" s="251">
        <f>SUM('RD Feedstock'!G212,'RD Feedstock'!J212)</f>
        <v>7.65625</v>
      </c>
      <c r="AA214" s="251">
        <v>0</v>
      </c>
      <c r="AB214" s="251">
        <f>SUM('RD Feedstock'!B212,'RD Feedstock'!D212,'RD Feedstock'!H212)</f>
        <v>374.51145833333328</v>
      </c>
      <c r="AC214" s="251">
        <f>SUM('RD Feedstock'!C212,'RD Feedstock'!E212)</f>
        <v>12.34375</v>
      </c>
      <c r="AD214" s="251">
        <f t="shared" si="48"/>
        <v>417.63333333333327</v>
      </c>
      <c r="AH214" s="237">
        <f t="shared" ref="AH214:AL277" si="49">Y214/$AD214</f>
        <v>5.5364055391491744E-2</v>
      </c>
      <c r="AI214" s="237">
        <f t="shared" si="49"/>
        <v>1.8332468672679385E-2</v>
      </c>
      <c r="AJ214" s="237">
        <f t="shared" si="49"/>
        <v>0</v>
      </c>
      <c r="AK214" s="237">
        <f t="shared" si="49"/>
        <v>0.89674704685130502</v>
      </c>
      <c r="AL214" s="237">
        <f t="shared" si="49"/>
        <v>2.9556429084523911E-2</v>
      </c>
      <c r="AM214" s="237">
        <f t="shared" si="41"/>
        <v>1</v>
      </c>
      <c r="AO214" s="237">
        <f t="shared" si="42"/>
        <v>0.75124378109452739</v>
      </c>
      <c r="AP214" s="237">
        <f t="shared" si="43"/>
        <v>0.24875621890547264</v>
      </c>
      <c r="AQ214" s="237">
        <f t="shared" si="44"/>
        <v>0</v>
      </c>
      <c r="AR214" s="237">
        <f t="shared" si="45"/>
        <v>0.96809206717629603</v>
      </c>
      <c r="AS214" s="237">
        <f t="shared" si="45"/>
        <v>3.1907932823703966E-2</v>
      </c>
      <c r="AU214" s="251">
        <f t="shared" si="37"/>
        <v>9856.4447869130745</v>
      </c>
      <c r="AV214" s="251">
        <f t="shared" si="37"/>
        <v>2787.0388858630358</v>
      </c>
      <c r="AW214" s="251">
        <f t="shared" si="37"/>
        <v>0</v>
      </c>
      <c r="AX214" s="251">
        <f t="shared" si="37"/>
        <v>128500.98815991633</v>
      </c>
      <c r="AY214" s="251">
        <f t="shared" si="37"/>
        <v>4207.2932810360735</v>
      </c>
      <c r="AZ214" s="251">
        <f t="shared" si="47"/>
        <v>145351.76511372853</v>
      </c>
      <c r="BA214" s="270">
        <f t="shared" si="46"/>
        <v>7.6582713355016381</v>
      </c>
      <c r="BB214" s="251">
        <f t="shared" si="39"/>
        <v>12643.48367277611</v>
      </c>
      <c r="BC214" s="251">
        <f t="shared" si="40"/>
        <v>132708.28144095241</v>
      </c>
    </row>
    <row r="215" spans="1:55">
      <c r="A215" s="11">
        <v>50192</v>
      </c>
      <c r="B215" s="251">
        <v>100</v>
      </c>
      <c r="C215" s="251">
        <v>295</v>
      </c>
      <c r="D215" s="251">
        <v>5</v>
      </c>
      <c r="E215" s="251">
        <v>220</v>
      </c>
      <c r="F215" s="251">
        <v>44</v>
      </c>
      <c r="G215" s="287">
        <v>0.33</v>
      </c>
      <c r="H215" s="287"/>
      <c r="I215" s="251"/>
      <c r="J215" s="251"/>
      <c r="K215" s="251"/>
      <c r="L215" s="251"/>
      <c r="M215" s="13"/>
      <c r="N215" s="251">
        <f t="shared" si="36"/>
        <v>664.33</v>
      </c>
      <c r="O215" s="251">
        <f>'BBD Monthly Production'!AC26*12</f>
        <v>626.14500812763913</v>
      </c>
      <c r="P215" s="271">
        <f t="shared" si="38"/>
        <v>0.94252104846633311</v>
      </c>
      <c r="Y215" s="251">
        <f>SUM('RD Feedstock'!F213,'RD Feedstock'!I213)</f>
        <v>23.121874999999999</v>
      </c>
      <c r="Z215" s="251">
        <f>SUM('RD Feedstock'!G213,'RD Feedstock'!J213)</f>
        <v>7.65625</v>
      </c>
      <c r="AA215" s="251">
        <v>0</v>
      </c>
      <c r="AB215" s="251">
        <f>SUM('RD Feedstock'!B213,'RD Feedstock'!D213,'RD Feedstock'!H213)</f>
        <v>374.51145833333328</v>
      </c>
      <c r="AC215" s="251">
        <f>SUM('RD Feedstock'!C213,'RD Feedstock'!E213)</f>
        <v>12.34375</v>
      </c>
      <c r="AD215" s="251">
        <f t="shared" si="48"/>
        <v>417.63333333333327</v>
      </c>
      <c r="AH215" s="237">
        <f t="shared" si="49"/>
        <v>5.5364055391491744E-2</v>
      </c>
      <c r="AI215" s="237">
        <f t="shared" si="49"/>
        <v>1.8332468672679385E-2</v>
      </c>
      <c r="AJ215" s="237">
        <f t="shared" si="49"/>
        <v>0</v>
      </c>
      <c r="AK215" s="237">
        <f t="shared" si="49"/>
        <v>0.89674704685130502</v>
      </c>
      <c r="AL215" s="237">
        <f t="shared" si="49"/>
        <v>2.9556429084523911E-2</v>
      </c>
      <c r="AM215" s="237">
        <f t="shared" si="41"/>
        <v>1</v>
      </c>
      <c r="AO215" s="237">
        <f t="shared" si="42"/>
        <v>0.75124378109452739</v>
      </c>
      <c r="AP215" s="237">
        <f t="shared" si="43"/>
        <v>0.24875621890547264</v>
      </c>
      <c r="AQ215" s="237">
        <f t="shared" si="44"/>
        <v>0</v>
      </c>
      <c r="AR215" s="237">
        <f t="shared" si="45"/>
        <v>0.96809206717629603</v>
      </c>
      <c r="AS215" s="237">
        <f t="shared" si="45"/>
        <v>3.1907932823703966E-2</v>
      </c>
      <c r="AU215" s="251">
        <f t="shared" si="37"/>
        <v>12291.086425274347</v>
      </c>
      <c r="AV215" s="251">
        <f t="shared" si="37"/>
        <v>3475.4657036405315</v>
      </c>
      <c r="AW215" s="251">
        <f t="shared" si="37"/>
        <v>0</v>
      </c>
      <c r="AX215" s="251">
        <f t="shared" si="37"/>
        <v>160242.03304053025</v>
      </c>
      <c r="AY215" s="251">
        <f t="shared" si="37"/>
        <v>5246.5373115417333</v>
      </c>
      <c r="AZ215" s="251">
        <f t="shared" si="47"/>
        <v>181255.12248098687</v>
      </c>
      <c r="BA215" s="270">
        <f t="shared" si="46"/>
        <v>7.6582713355016372</v>
      </c>
      <c r="BB215" s="251">
        <f t="shared" si="39"/>
        <v>15766.552128914878</v>
      </c>
      <c r="BC215" s="251">
        <f t="shared" si="40"/>
        <v>165488.57035207198</v>
      </c>
    </row>
    <row r="216" spans="1:55">
      <c r="A216" s="11">
        <v>50222</v>
      </c>
      <c r="B216" s="251">
        <v>100</v>
      </c>
      <c r="C216" s="251">
        <v>295</v>
      </c>
      <c r="D216" s="251">
        <v>5</v>
      </c>
      <c r="E216" s="251">
        <v>220</v>
      </c>
      <c r="F216" s="251">
        <v>44</v>
      </c>
      <c r="G216" s="287">
        <v>0.33</v>
      </c>
      <c r="H216" s="287"/>
      <c r="I216" s="251"/>
      <c r="J216" s="251"/>
      <c r="K216" s="251"/>
      <c r="L216" s="251"/>
      <c r="M216" s="13"/>
      <c r="N216" s="251">
        <f t="shared" si="36"/>
        <v>664.33</v>
      </c>
      <c r="O216" s="251">
        <f>'BBD Monthly Production'!AC27*12</f>
        <v>551.00626863632317</v>
      </c>
      <c r="P216" s="271">
        <f t="shared" si="38"/>
        <v>0.82941650781437404</v>
      </c>
      <c r="Y216" s="251">
        <f>SUM('RD Feedstock'!F214,'RD Feedstock'!I214)</f>
        <v>23.121874999999999</v>
      </c>
      <c r="Z216" s="251">
        <f>SUM('RD Feedstock'!G214,'RD Feedstock'!J214)</f>
        <v>7.65625</v>
      </c>
      <c r="AA216" s="251">
        <v>0</v>
      </c>
      <c r="AB216" s="251">
        <f>SUM('RD Feedstock'!B214,'RD Feedstock'!D214,'RD Feedstock'!H214)</f>
        <v>374.51145833333328</v>
      </c>
      <c r="AC216" s="251">
        <f>SUM('RD Feedstock'!C214,'RD Feedstock'!E214)</f>
        <v>12.34375</v>
      </c>
      <c r="AD216" s="251">
        <f t="shared" si="48"/>
        <v>417.63333333333327</v>
      </c>
      <c r="AH216" s="237">
        <f t="shared" si="49"/>
        <v>5.5364055391491744E-2</v>
      </c>
      <c r="AI216" s="237">
        <f t="shared" si="49"/>
        <v>1.8332468672679385E-2</v>
      </c>
      <c r="AJ216" s="237">
        <f t="shared" si="49"/>
        <v>0</v>
      </c>
      <c r="AK216" s="237">
        <f t="shared" si="49"/>
        <v>0.89674704685130502</v>
      </c>
      <c r="AL216" s="237">
        <f t="shared" si="49"/>
        <v>2.9556429084523911E-2</v>
      </c>
      <c r="AM216" s="237">
        <f t="shared" si="41"/>
        <v>1</v>
      </c>
      <c r="AO216" s="237">
        <f t="shared" si="42"/>
        <v>0.75124378109452739</v>
      </c>
      <c r="AP216" s="237">
        <f t="shared" si="43"/>
        <v>0.24875621890547264</v>
      </c>
      <c r="AQ216" s="237">
        <f t="shared" si="44"/>
        <v>0</v>
      </c>
      <c r="AR216" s="237">
        <f t="shared" si="45"/>
        <v>0.96809206717629603</v>
      </c>
      <c r="AS216" s="237">
        <f t="shared" si="45"/>
        <v>3.1907932823703966E-2</v>
      </c>
      <c r="AU216" s="251">
        <f>(($O216/12)*(AH216*Y$5))/2204.622*1000000</f>
        <v>10816.129779471819</v>
      </c>
      <c r="AV216" s="251">
        <f t="shared" si="37"/>
        <v>3058.4023896683539</v>
      </c>
      <c r="AW216" s="251">
        <f t="shared" si="37"/>
        <v>0</v>
      </c>
      <c r="AX216" s="251">
        <f t="shared" si="37"/>
        <v>141012.64652478433</v>
      </c>
      <c r="AY216" s="251">
        <f t="shared" si="37"/>
        <v>4616.9416185851869</v>
      </c>
      <c r="AZ216" s="251">
        <f t="shared" si="47"/>
        <v>159504.12031250968</v>
      </c>
      <c r="BA216" s="270">
        <f t="shared" si="46"/>
        <v>7.6582713355016363</v>
      </c>
      <c r="BB216" s="251">
        <f t="shared" si="39"/>
        <v>13874.532169140173</v>
      </c>
      <c r="BC216" s="251">
        <f t="shared" si="40"/>
        <v>145629.5881433695</v>
      </c>
    </row>
    <row r="217" spans="1:55">
      <c r="A217" s="11">
        <v>50253</v>
      </c>
      <c r="B217" s="251">
        <v>100</v>
      </c>
      <c r="C217" s="251">
        <v>295</v>
      </c>
      <c r="D217" s="251">
        <v>5</v>
      </c>
      <c r="E217" s="251">
        <v>220</v>
      </c>
      <c r="F217" s="251">
        <v>44</v>
      </c>
      <c r="G217" s="287">
        <v>0.33</v>
      </c>
      <c r="H217" s="287"/>
      <c r="I217" s="251"/>
      <c r="J217" s="251"/>
      <c r="K217" s="251"/>
      <c r="L217" s="251"/>
      <c r="M217" s="13"/>
      <c r="N217" s="251">
        <f t="shared" si="36"/>
        <v>664.33</v>
      </c>
      <c r="O217" s="251">
        <f>'BBD Monthly Production'!AC28*12</f>
        <v>484.43106386663169</v>
      </c>
      <c r="P217" s="271">
        <f t="shared" si="38"/>
        <v>0.72920245038855935</v>
      </c>
      <c r="Y217" s="251">
        <f>SUM('RD Feedstock'!F215,'RD Feedstock'!I215)</f>
        <v>23.121874999999999</v>
      </c>
      <c r="Z217" s="251">
        <f>SUM('RD Feedstock'!G215,'RD Feedstock'!J215)</f>
        <v>7.65625</v>
      </c>
      <c r="AA217" s="251">
        <v>0</v>
      </c>
      <c r="AB217" s="251">
        <f>SUM('RD Feedstock'!B215,'RD Feedstock'!D215,'RD Feedstock'!H215)</f>
        <v>374.51145833333328</v>
      </c>
      <c r="AC217" s="251">
        <f>SUM('RD Feedstock'!C215,'RD Feedstock'!E215)</f>
        <v>12.34375</v>
      </c>
      <c r="AD217" s="251">
        <f t="shared" si="48"/>
        <v>417.63333333333327</v>
      </c>
      <c r="AH217" s="237">
        <f t="shared" si="49"/>
        <v>5.5364055391491744E-2</v>
      </c>
      <c r="AI217" s="237">
        <f t="shared" si="49"/>
        <v>1.8332468672679385E-2</v>
      </c>
      <c r="AJ217" s="237">
        <f t="shared" si="49"/>
        <v>0</v>
      </c>
      <c r="AK217" s="237">
        <f t="shared" si="49"/>
        <v>0.89674704685130502</v>
      </c>
      <c r="AL217" s="237">
        <f t="shared" si="49"/>
        <v>2.9556429084523911E-2</v>
      </c>
      <c r="AM217" s="237">
        <f t="shared" si="41"/>
        <v>1</v>
      </c>
      <c r="AO217" s="237">
        <f t="shared" si="42"/>
        <v>0.75124378109452739</v>
      </c>
      <c r="AP217" s="237">
        <f t="shared" si="43"/>
        <v>0.24875621890547264</v>
      </c>
      <c r="AQ217" s="237">
        <f t="shared" si="44"/>
        <v>0</v>
      </c>
      <c r="AR217" s="237">
        <f t="shared" si="45"/>
        <v>0.96809206717629603</v>
      </c>
      <c r="AS217" s="237">
        <f t="shared" si="45"/>
        <v>3.1907932823703966E-2</v>
      </c>
      <c r="AU217" s="251">
        <f t="shared" si="37"/>
        <v>9509.2734043782584</v>
      </c>
      <c r="AV217" s="251">
        <f t="shared" si="37"/>
        <v>2688.8716294027681</v>
      </c>
      <c r="AW217" s="251">
        <f t="shared" si="37"/>
        <v>0</v>
      </c>
      <c r="AX217" s="251">
        <f t="shared" si="37"/>
        <v>123974.8261734157</v>
      </c>
      <c r="AY217" s="251">
        <f t="shared" si="37"/>
        <v>4059.1007170148027</v>
      </c>
      <c r="AZ217" s="251">
        <f t="shared" si="47"/>
        <v>140232.07192421154</v>
      </c>
      <c r="BA217" s="270">
        <f t="shared" si="46"/>
        <v>7.6582713355016372</v>
      </c>
      <c r="BB217" s="251">
        <f t="shared" si="39"/>
        <v>12198.145033781027</v>
      </c>
      <c r="BC217" s="251">
        <f t="shared" si="40"/>
        <v>128033.92689043051</v>
      </c>
    </row>
    <row r="218" spans="1:55">
      <c r="A218" s="11">
        <v>50284</v>
      </c>
      <c r="B218" s="251">
        <v>100</v>
      </c>
      <c r="C218" s="251">
        <v>295</v>
      </c>
      <c r="D218" s="251">
        <v>5</v>
      </c>
      <c r="E218" s="251">
        <v>220</v>
      </c>
      <c r="F218" s="251">
        <v>44</v>
      </c>
      <c r="G218" s="287">
        <v>0.33</v>
      </c>
      <c r="H218" s="287"/>
      <c r="I218" s="251"/>
      <c r="J218" s="251"/>
      <c r="K218" s="251"/>
      <c r="L218" s="251"/>
      <c r="M218" s="13"/>
      <c r="N218" s="251">
        <f t="shared" si="36"/>
        <v>664.33</v>
      </c>
      <c r="O218" s="251">
        <f>'BBD Monthly Production'!AC29*12</f>
        <v>528.98946276552601</v>
      </c>
      <c r="P218" s="271">
        <f t="shared" si="38"/>
        <v>0.79627513850876219</v>
      </c>
      <c r="Y218" s="251">
        <f>SUM('RD Feedstock'!F216,'RD Feedstock'!I216)</f>
        <v>23.121874999999999</v>
      </c>
      <c r="Z218" s="251">
        <f>SUM('RD Feedstock'!G216,'RD Feedstock'!J216)</f>
        <v>7.65625</v>
      </c>
      <c r="AA218" s="251">
        <v>0</v>
      </c>
      <c r="AB218" s="251">
        <f>SUM('RD Feedstock'!B216,'RD Feedstock'!D216,'RD Feedstock'!H216)</f>
        <v>374.51145833333328</v>
      </c>
      <c r="AC218" s="251">
        <f>SUM('RD Feedstock'!C216,'RD Feedstock'!E216)</f>
        <v>12.34375</v>
      </c>
      <c r="AD218" s="251">
        <f t="shared" si="48"/>
        <v>417.63333333333327</v>
      </c>
      <c r="AH218" s="237">
        <f t="shared" si="49"/>
        <v>5.5364055391491744E-2</v>
      </c>
      <c r="AI218" s="237">
        <f t="shared" si="49"/>
        <v>1.8332468672679385E-2</v>
      </c>
      <c r="AJ218" s="237">
        <f t="shared" si="49"/>
        <v>0</v>
      </c>
      <c r="AK218" s="237">
        <f t="shared" si="49"/>
        <v>0.89674704685130502</v>
      </c>
      <c r="AL218" s="237">
        <f t="shared" si="49"/>
        <v>2.9556429084523911E-2</v>
      </c>
      <c r="AM218" s="237">
        <f t="shared" si="41"/>
        <v>1</v>
      </c>
      <c r="AO218" s="237">
        <f t="shared" si="42"/>
        <v>0.75124378109452739</v>
      </c>
      <c r="AP218" s="237">
        <f t="shared" si="43"/>
        <v>0.24875621890547264</v>
      </c>
      <c r="AQ218" s="237">
        <f t="shared" si="44"/>
        <v>0</v>
      </c>
      <c r="AR218" s="237">
        <f t="shared" si="45"/>
        <v>0.96809206717629603</v>
      </c>
      <c r="AS218" s="237">
        <f t="shared" si="45"/>
        <v>3.1907932823703966E-2</v>
      </c>
      <c r="AU218" s="251">
        <f t="shared" si="37"/>
        <v>10383.944805937237</v>
      </c>
      <c r="AV218" s="251">
        <f t="shared" si="37"/>
        <v>2936.1964266495311</v>
      </c>
      <c r="AW218" s="251">
        <f t="shared" si="37"/>
        <v>0</v>
      </c>
      <c r="AX218" s="251">
        <f t="shared" si="37"/>
        <v>135378.14063876754</v>
      </c>
      <c r="AY218" s="251">
        <f t="shared" si="37"/>
        <v>4432.4604010034582</v>
      </c>
      <c r="AZ218" s="251">
        <f t="shared" si="47"/>
        <v>153130.74227235775</v>
      </c>
      <c r="BA218" s="270">
        <f t="shared" si="46"/>
        <v>7.6582713355016363</v>
      </c>
      <c r="BB218" s="251">
        <f t="shared" si="39"/>
        <v>13320.141232586768</v>
      </c>
      <c r="BC218" s="251">
        <f t="shared" si="40"/>
        <v>139810.60103977099</v>
      </c>
    </row>
    <row r="219" spans="1:55">
      <c r="A219" s="11">
        <v>50314</v>
      </c>
      <c r="B219" s="251">
        <v>100</v>
      </c>
      <c r="C219" s="251">
        <v>295</v>
      </c>
      <c r="D219" s="251">
        <v>5</v>
      </c>
      <c r="E219" s="251">
        <v>220</v>
      </c>
      <c r="F219" s="251">
        <v>44</v>
      </c>
      <c r="G219" s="287">
        <v>0.33</v>
      </c>
      <c r="H219" s="287"/>
      <c r="I219" s="251"/>
      <c r="J219" s="251"/>
      <c r="K219" s="251"/>
      <c r="L219" s="251"/>
      <c r="M219" s="13"/>
      <c r="N219" s="251">
        <f t="shared" si="36"/>
        <v>664.33</v>
      </c>
      <c r="O219" s="251">
        <f>'BBD Monthly Production'!AC30*12</f>
        <v>422.72903456736435</v>
      </c>
      <c r="P219" s="271">
        <f t="shared" si="38"/>
        <v>0.63632386700489862</v>
      </c>
      <c r="Y219" s="251">
        <f>SUM('RD Feedstock'!F217,'RD Feedstock'!I217)</f>
        <v>23.121874999999999</v>
      </c>
      <c r="Z219" s="251">
        <f>SUM('RD Feedstock'!G217,'RD Feedstock'!J217)</f>
        <v>7.65625</v>
      </c>
      <c r="AA219" s="251">
        <v>0</v>
      </c>
      <c r="AB219" s="251">
        <f>SUM('RD Feedstock'!B217,'RD Feedstock'!D217,'RD Feedstock'!H217)</f>
        <v>374.51145833333328</v>
      </c>
      <c r="AC219" s="251">
        <f>SUM('RD Feedstock'!C217,'RD Feedstock'!E217)</f>
        <v>12.34375</v>
      </c>
      <c r="AD219" s="251">
        <f t="shared" si="48"/>
        <v>417.63333333333327</v>
      </c>
      <c r="AH219" s="237">
        <f t="shared" si="49"/>
        <v>5.5364055391491744E-2</v>
      </c>
      <c r="AI219" s="237">
        <f t="shared" si="49"/>
        <v>1.8332468672679385E-2</v>
      </c>
      <c r="AJ219" s="237">
        <f t="shared" si="49"/>
        <v>0</v>
      </c>
      <c r="AK219" s="237">
        <f t="shared" si="49"/>
        <v>0.89674704685130502</v>
      </c>
      <c r="AL219" s="237">
        <f t="shared" si="49"/>
        <v>2.9556429084523911E-2</v>
      </c>
      <c r="AM219" s="237">
        <f t="shared" si="41"/>
        <v>1</v>
      </c>
      <c r="AO219" s="237">
        <f t="shared" si="42"/>
        <v>0.75124378109452739</v>
      </c>
      <c r="AP219" s="237">
        <f t="shared" si="43"/>
        <v>0.24875621890547264</v>
      </c>
      <c r="AQ219" s="237">
        <f t="shared" si="44"/>
        <v>0</v>
      </c>
      <c r="AR219" s="237">
        <f t="shared" si="45"/>
        <v>0.96809206717629603</v>
      </c>
      <c r="AS219" s="237">
        <f t="shared" si="45"/>
        <v>3.1907932823703966E-2</v>
      </c>
      <c r="AU219" s="251">
        <f t="shared" si="37"/>
        <v>8298.0763735181008</v>
      </c>
      <c r="AV219" s="251">
        <f t="shared" ref="AV219:AY282" si="50">(($O219/12)*(AI219*Z$5))/2204.622*1000000</f>
        <v>2346.3898018850869</v>
      </c>
      <c r="AW219" s="251">
        <f t="shared" si="50"/>
        <v>0</v>
      </c>
      <c r="AX219" s="251">
        <f t="shared" si="50"/>
        <v>108184.14112554344</v>
      </c>
      <c r="AY219" s="251">
        <f t="shared" si="50"/>
        <v>3542.0926841879136</v>
      </c>
      <c r="AZ219" s="251">
        <f t="shared" si="47"/>
        <v>122370.69998513453</v>
      </c>
      <c r="BA219" s="270">
        <f t="shared" si="46"/>
        <v>7.6582713355016363</v>
      </c>
      <c r="BB219" s="251">
        <f t="shared" si="39"/>
        <v>10644.466175403188</v>
      </c>
      <c r="BC219" s="251">
        <f t="shared" si="40"/>
        <v>111726.23380973135</v>
      </c>
    </row>
    <row r="220" spans="1:55">
      <c r="A220" s="11">
        <v>50345</v>
      </c>
      <c r="B220" s="251">
        <v>100</v>
      </c>
      <c r="C220" s="251">
        <v>295</v>
      </c>
      <c r="D220" s="251">
        <v>5</v>
      </c>
      <c r="E220" s="251">
        <v>220</v>
      </c>
      <c r="F220" s="251">
        <v>44</v>
      </c>
      <c r="G220" s="287">
        <v>0.33</v>
      </c>
      <c r="H220" s="287"/>
      <c r="I220" s="251"/>
      <c r="J220" s="251"/>
      <c r="K220" s="251"/>
      <c r="L220" s="251"/>
      <c r="M220" s="13"/>
      <c r="N220" s="251">
        <f t="shared" si="36"/>
        <v>664.33</v>
      </c>
      <c r="O220" s="251">
        <f>'BBD Monthly Production'!AC31*12</f>
        <v>544.31472233607462</v>
      </c>
      <c r="P220" s="271">
        <f t="shared" si="38"/>
        <v>0.81934388381689005</v>
      </c>
      <c r="Y220" s="251">
        <f>SUM('RD Feedstock'!F218,'RD Feedstock'!I218)</f>
        <v>23.121874999999999</v>
      </c>
      <c r="Z220" s="251">
        <f>SUM('RD Feedstock'!G218,'RD Feedstock'!J218)</f>
        <v>7.65625</v>
      </c>
      <c r="AA220" s="251">
        <v>0</v>
      </c>
      <c r="AB220" s="251">
        <f>SUM('RD Feedstock'!B218,'RD Feedstock'!D218,'RD Feedstock'!H218)</f>
        <v>374.51145833333328</v>
      </c>
      <c r="AC220" s="251">
        <f>SUM('RD Feedstock'!C218,'RD Feedstock'!E218)</f>
        <v>12.34375</v>
      </c>
      <c r="AD220" s="251">
        <f t="shared" si="48"/>
        <v>417.63333333333327</v>
      </c>
      <c r="AH220" s="237">
        <f t="shared" si="49"/>
        <v>5.5364055391491744E-2</v>
      </c>
      <c r="AI220" s="237">
        <f t="shared" si="49"/>
        <v>1.8332468672679385E-2</v>
      </c>
      <c r="AJ220" s="237">
        <f t="shared" si="49"/>
        <v>0</v>
      </c>
      <c r="AK220" s="237">
        <f t="shared" si="49"/>
        <v>0.89674704685130502</v>
      </c>
      <c r="AL220" s="237">
        <f t="shared" si="49"/>
        <v>2.9556429084523911E-2</v>
      </c>
      <c r="AM220" s="237">
        <f t="shared" si="41"/>
        <v>1</v>
      </c>
      <c r="AO220" s="237">
        <f t="shared" si="42"/>
        <v>0.75124378109452739</v>
      </c>
      <c r="AP220" s="237">
        <f t="shared" si="43"/>
        <v>0.24875621890547264</v>
      </c>
      <c r="AQ220" s="237">
        <f t="shared" si="44"/>
        <v>0</v>
      </c>
      <c r="AR220" s="237">
        <f t="shared" si="45"/>
        <v>0.96809206717629603</v>
      </c>
      <c r="AS220" s="237">
        <f t="shared" si="45"/>
        <v>3.1907932823703966E-2</v>
      </c>
      <c r="AU220" s="251">
        <f t="shared" ref="AU220:AY283" si="51">(($O220/12)*(AH220*Y$5))/2204.622*1000000</f>
        <v>10684.776222663915</v>
      </c>
      <c r="AV220" s="251">
        <f t="shared" si="50"/>
        <v>3021.2604507101892</v>
      </c>
      <c r="AW220" s="251">
        <f t="shared" si="50"/>
        <v>0</v>
      </c>
      <c r="AX220" s="251">
        <f t="shared" si="50"/>
        <v>139300.15665515643</v>
      </c>
      <c r="AY220" s="251">
        <f t="shared" si="50"/>
        <v>4560.8724223439758</v>
      </c>
      <c r="AZ220" s="251">
        <f t="shared" si="47"/>
        <v>157567.06575087449</v>
      </c>
      <c r="BA220" s="270">
        <f t="shared" si="46"/>
        <v>7.6582713355016363</v>
      </c>
      <c r="BB220" s="251">
        <f t="shared" si="39"/>
        <v>13706.036673374105</v>
      </c>
      <c r="BC220" s="251">
        <f t="shared" si="40"/>
        <v>143861.0290775004</v>
      </c>
    </row>
    <row r="221" spans="1:55">
      <c r="A221" s="11">
        <v>50375</v>
      </c>
      <c r="B221" s="251">
        <v>100</v>
      </c>
      <c r="C221" s="251">
        <v>295</v>
      </c>
      <c r="D221" s="251">
        <v>5</v>
      </c>
      <c r="E221" s="251">
        <v>220</v>
      </c>
      <c r="F221" s="251">
        <v>44</v>
      </c>
      <c r="G221" s="287">
        <v>0.33</v>
      </c>
      <c r="H221" s="287"/>
      <c r="I221" s="251"/>
      <c r="J221" s="251"/>
      <c r="K221" s="251"/>
      <c r="L221" s="251"/>
      <c r="M221" s="13"/>
      <c r="N221" s="251">
        <f t="shared" si="36"/>
        <v>664.33</v>
      </c>
      <c r="O221" s="251">
        <f>'BBD Monthly Production'!AC32*12</f>
        <v>748.74834174909336</v>
      </c>
      <c r="P221" s="271">
        <f t="shared" si="38"/>
        <v>1.1270729031491777</v>
      </c>
      <c r="Y221" s="251">
        <f>SUM('RD Feedstock'!F219,'RD Feedstock'!I219)</f>
        <v>23.121874999999999</v>
      </c>
      <c r="Z221" s="251">
        <f>SUM('RD Feedstock'!G219,'RD Feedstock'!J219)</f>
        <v>7.65625</v>
      </c>
      <c r="AA221" s="251">
        <v>0</v>
      </c>
      <c r="AB221" s="251">
        <f>SUM('RD Feedstock'!B219,'RD Feedstock'!D219,'RD Feedstock'!H219)</f>
        <v>374.51145833333328</v>
      </c>
      <c r="AC221" s="251">
        <f>SUM('RD Feedstock'!C219,'RD Feedstock'!E219)</f>
        <v>12.34375</v>
      </c>
      <c r="AD221" s="251">
        <f t="shared" si="48"/>
        <v>417.63333333333327</v>
      </c>
      <c r="AH221" s="237">
        <f t="shared" si="49"/>
        <v>5.5364055391491744E-2</v>
      </c>
      <c r="AI221" s="237">
        <f t="shared" si="49"/>
        <v>1.8332468672679385E-2</v>
      </c>
      <c r="AJ221" s="237">
        <f t="shared" si="49"/>
        <v>0</v>
      </c>
      <c r="AK221" s="237">
        <f t="shared" si="49"/>
        <v>0.89674704685130502</v>
      </c>
      <c r="AL221" s="237">
        <f t="shared" si="49"/>
        <v>2.9556429084523911E-2</v>
      </c>
      <c r="AM221" s="237">
        <f t="shared" si="41"/>
        <v>1</v>
      </c>
      <c r="AO221" s="237">
        <f t="shared" si="42"/>
        <v>0.75124378109452739</v>
      </c>
      <c r="AP221" s="237">
        <f t="shared" si="43"/>
        <v>0.24875621890547264</v>
      </c>
      <c r="AQ221" s="237">
        <f t="shared" si="44"/>
        <v>0</v>
      </c>
      <c r="AR221" s="237">
        <f t="shared" si="45"/>
        <v>0.96809206717629603</v>
      </c>
      <c r="AS221" s="237">
        <f t="shared" si="45"/>
        <v>3.1907932823703966E-2</v>
      </c>
      <c r="AU221" s="251">
        <f t="shared" si="51"/>
        <v>14697.762434836737</v>
      </c>
      <c r="AV221" s="251">
        <f t="shared" si="50"/>
        <v>4155.9848735170744</v>
      </c>
      <c r="AW221" s="251">
        <f t="shared" si="50"/>
        <v>0</v>
      </c>
      <c r="AX221" s="251">
        <f t="shared" si="50"/>
        <v>191618.48287568305</v>
      </c>
      <c r="AY221" s="251">
        <f t="shared" si="50"/>
        <v>6273.8440152841258</v>
      </c>
      <c r="AZ221" s="251">
        <f t="shared" si="47"/>
        <v>216746.07419932098</v>
      </c>
      <c r="BA221" s="270">
        <f t="shared" si="46"/>
        <v>7.6582713355016363</v>
      </c>
      <c r="BB221" s="251">
        <f t="shared" si="39"/>
        <v>18853.747308353813</v>
      </c>
      <c r="BC221" s="251">
        <f t="shared" si="40"/>
        <v>197892.32689096718</v>
      </c>
    </row>
    <row r="222" spans="1:55">
      <c r="A222" s="11">
        <v>50406</v>
      </c>
      <c r="B222" s="251">
        <v>100</v>
      </c>
      <c r="C222" s="251">
        <v>295</v>
      </c>
      <c r="D222" s="251">
        <v>5</v>
      </c>
      <c r="E222" s="251">
        <v>220</v>
      </c>
      <c r="F222" s="251">
        <v>44</v>
      </c>
      <c r="G222" s="287">
        <v>0.33</v>
      </c>
      <c r="H222" s="287"/>
      <c r="I222" s="251"/>
      <c r="J222" s="251"/>
      <c r="K222" s="251"/>
      <c r="L222" s="251"/>
      <c r="M222" s="13"/>
      <c r="N222" s="251">
        <f t="shared" si="36"/>
        <v>664.33</v>
      </c>
      <c r="O222" s="251">
        <f>'BBD Monthly Production'!AD21*12</f>
        <v>234.89617310776759</v>
      </c>
      <c r="P222" s="271">
        <f t="shared" si="38"/>
        <v>0.35358357007476343</v>
      </c>
      <c r="Y222" s="251">
        <f>SUM('RD Feedstock'!F220,'RD Feedstock'!I220)</f>
        <v>23.121874999999999</v>
      </c>
      <c r="Z222" s="251">
        <f>SUM('RD Feedstock'!G220,'RD Feedstock'!J220)</f>
        <v>7.65625</v>
      </c>
      <c r="AA222" s="251">
        <v>0</v>
      </c>
      <c r="AB222" s="251">
        <f>SUM('RD Feedstock'!B220,'RD Feedstock'!D220,'RD Feedstock'!H220)</f>
        <v>374.51145833333328</v>
      </c>
      <c r="AC222" s="251">
        <f>SUM('RD Feedstock'!C220,'RD Feedstock'!E220)</f>
        <v>12.34375</v>
      </c>
      <c r="AD222" s="251">
        <f t="shared" si="48"/>
        <v>417.63333333333327</v>
      </c>
      <c r="AH222" s="237">
        <f t="shared" si="49"/>
        <v>5.5364055391491744E-2</v>
      </c>
      <c r="AI222" s="237">
        <f t="shared" si="49"/>
        <v>1.8332468672679385E-2</v>
      </c>
      <c r="AJ222" s="237">
        <f t="shared" si="49"/>
        <v>0</v>
      </c>
      <c r="AK222" s="237">
        <f t="shared" si="49"/>
        <v>0.89674704685130502</v>
      </c>
      <c r="AL222" s="237">
        <f t="shared" si="49"/>
        <v>2.9556429084523911E-2</v>
      </c>
      <c r="AM222" s="237">
        <f t="shared" si="41"/>
        <v>1</v>
      </c>
      <c r="AO222" s="237">
        <f t="shared" si="42"/>
        <v>0.75124378109452739</v>
      </c>
      <c r="AP222" s="237">
        <f t="shared" si="43"/>
        <v>0.24875621890547264</v>
      </c>
      <c r="AQ222" s="237">
        <f t="shared" si="44"/>
        <v>0</v>
      </c>
      <c r="AR222" s="237">
        <f t="shared" si="45"/>
        <v>0.96809206717629603</v>
      </c>
      <c r="AS222" s="237">
        <f t="shared" si="45"/>
        <v>3.1907932823703966E-2</v>
      </c>
      <c r="AU222" s="251">
        <f t="shared" si="51"/>
        <v>4610.9593259669273</v>
      </c>
      <c r="AV222" s="251">
        <f t="shared" si="50"/>
        <v>1303.8091543581204</v>
      </c>
      <c r="AW222" s="251">
        <f t="shared" si="50"/>
        <v>0</v>
      </c>
      <c r="AX222" s="251">
        <f t="shared" si="50"/>
        <v>60114.254435701063</v>
      </c>
      <c r="AY222" s="251">
        <f t="shared" si="50"/>
        <v>1968.220652646402</v>
      </c>
      <c r="AZ222" s="251">
        <f t="shared" si="47"/>
        <v>67997.243568672508</v>
      </c>
      <c r="BA222" s="270">
        <f t="shared" si="46"/>
        <v>7.6582713355016363</v>
      </c>
      <c r="BB222" s="251">
        <f t="shared" si="39"/>
        <v>5914.7684803250477</v>
      </c>
      <c r="BC222" s="251">
        <f t="shared" si="40"/>
        <v>62082.475088347463</v>
      </c>
    </row>
    <row r="223" spans="1:55">
      <c r="A223" s="11">
        <v>50437</v>
      </c>
      <c r="B223" s="251">
        <v>100</v>
      </c>
      <c r="C223" s="251">
        <v>295</v>
      </c>
      <c r="D223" s="251">
        <v>5</v>
      </c>
      <c r="E223" s="251">
        <v>220</v>
      </c>
      <c r="F223" s="251">
        <v>44</v>
      </c>
      <c r="G223" s="287">
        <v>0.33</v>
      </c>
      <c r="H223" s="287"/>
      <c r="I223" s="251"/>
      <c r="J223" s="251"/>
      <c r="K223" s="251"/>
      <c r="L223" s="251"/>
      <c r="M223" s="13"/>
      <c r="N223" s="251">
        <f t="shared" si="36"/>
        <v>664.33</v>
      </c>
      <c r="O223" s="251">
        <f>'BBD Monthly Production'!AD22*12</f>
        <v>275.77445414170279</v>
      </c>
      <c r="P223" s="271">
        <f t="shared" si="38"/>
        <v>0.41511666512381312</v>
      </c>
      <c r="Y223" s="251">
        <f>SUM('RD Feedstock'!F221,'RD Feedstock'!I221)</f>
        <v>23.121874999999999</v>
      </c>
      <c r="Z223" s="251">
        <f>SUM('RD Feedstock'!G221,'RD Feedstock'!J221)</f>
        <v>7.65625</v>
      </c>
      <c r="AA223" s="251">
        <v>0</v>
      </c>
      <c r="AB223" s="251">
        <f>SUM('RD Feedstock'!B221,'RD Feedstock'!D221,'RD Feedstock'!H221)</f>
        <v>374.51145833333328</v>
      </c>
      <c r="AC223" s="251">
        <f>SUM('RD Feedstock'!C221,'RD Feedstock'!E221)</f>
        <v>12.34375</v>
      </c>
      <c r="AD223" s="251">
        <f t="shared" si="48"/>
        <v>417.63333333333327</v>
      </c>
      <c r="AH223" s="237">
        <f t="shared" si="49"/>
        <v>5.5364055391491744E-2</v>
      </c>
      <c r="AI223" s="237">
        <f t="shared" si="49"/>
        <v>1.8332468672679385E-2</v>
      </c>
      <c r="AJ223" s="237">
        <f t="shared" si="49"/>
        <v>0</v>
      </c>
      <c r="AK223" s="237">
        <f t="shared" si="49"/>
        <v>0.89674704685130502</v>
      </c>
      <c r="AL223" s="237">
        <f t="shared" si="49"/>
        <v>2.9556429084523911E-2</v>
      </c>
      <c r="AM223" s="237">
        <f t="shared" si="41"/>
        <v>1</v>
      </c>
      <c r="AO223" s="237">
        <f t="shared" si="42"/>
        <v>0.75124378109452739</v>
      </c>
      <c r="AP223" s="237">
        <f t="shared" si="43"/>
        <v>0.24875621890547264</v>
      </c>
      <c r="AQ223" s="237">
        <f t="shared" si="44"/>
        <v>0</v>
      </c>
      <c r="AR223" s="237">
        <f t="shared" si="45"/>
        <v>0.96809206717629603</v>
      </c>
      <c r="AS223" s="237">
        <f t="shared" si="45"/>
        <v>3.1907932823703966E-2</v>
      </c>
      <c r="AU223" s="251">
        <f t="shared" si="51"/>
        <v>5413.3908371710058</v>
      </c>
      <c r="AV223" s="251">
        <f t="shared" si="50"/>
        <v>1530.7071762429484</v>
      </c>
      <c r="AW223" s="251">
        <f t="shared" si="50"/>
        <v>0</v>
      </c>
      <c r="AX223" s="251">
        <f t="shared" si="50"/>
        <v>70575.758999424463</v>
      </c>
      <c r="AY223" s="251">
        <f t="shared" si="50"/>
        <v>2310.7442276846468</v>
      </c>
      <c r="AZ223" s="251">
        <f t="shared" si="47"/>
        <v>79830.601240523058</v>
      </c>
      <c r="BA223" s="270">
        <f t="shared" si="46"/>
        <v>7.6582713355016354</v>
      </c>
      <c r="BB223" s="251">
        <f t="shared" si="39"/>
        <v>6944.0980134139545</v>
      </c>
      <c r="BC223" s="251">
        <f t="shared" si="40"/>
        <v>72886.503227109104</v>
      </c>
    </row>
    <row r="224" spans="1:55">
      <c r="A224" s="11">
        <v>50465</v>
      </c>
      <c r="B224" s="251">
        <v>100</v>
      </c>
      <c r="C224" s="251">
        <v>295</v>
      </c>
      <c r="D224" s="251">
        <v>5</v>
      </c>
      <c r="E224" s="251">
        <v>220</v>
      </c>
      <c r="F224" s="251">
        <v>44</v>
      </c>
      <c r="G224" s="287">
        <v>0.33</v>
      </c>
      <c r="H224" s="287"/>
      <c r="I224" s="251"/>
      <c r="J224" s="251"/>
      <c r="K224" s="251"/>
      <c r="L224" s="251"/>
      <c r="M224" s="13"/>
      <c r="N224" s="251">
        <f t="shared" si="36"/>
        <v>664.33</v>
      </c>
      <c r="O224" s="251">
        <f>'BBD Monthly Production'!AD23*12</f>
        <v>538.74937395849861</v>
      </c>
      <c r="P224" s="271">
        <f t="shared" si="38"/>
        <v>0.8109664985150431</v>
      </c>
      <c r="Y224" s="251">
        <f>SUM('RD Feedstock'!F222,'RD Feedstock'!I222)</f>
        <v>23.121874999999999</v>
      </c>
      <c r="Z224" s="251">
        <f>SUM('RD Feedstock'!G222,'RD Feedstock'!J222)</f>
        <v>7.65625</v>
      </c>
      <c r="AA224" s="251">
        <v>0</v>
      </c>
      <c r="AB224" s="251">
        <f>SUM('RD Feedstock'!B222,'RD Feedstock'!D222,'RD Feedstock'!H222)</f>
        <v>374.51145833333328</v>
      </c>
      <c r="AC224" s="251">
        <f>SUM('RD Feedstock'!C222,'RD Feedstock'!E222)</f>
        <v>12.34375</v>
      </c>
      <c r="AD224" s="251">
        <f t="shared" si="48"/>
        <v>417.63333333333327</v>
      </c>
      <c r="AH224" s="237">
        <f t="shared" si="49"/>
        <v>5.5364055391491744E-2</v>
      </c>
      <c r="AI224" s="237">
        <f t="shared" si="49"/>
        <v>1.8332468672679385E-2</v>
      </c>
      <c r="AJ224" s="237">
        <f t="shared" si="49"/>
        <v>0</v>
      </c>
      <c r="AK224" s="237">
        <f t="shared" si="49"/>
        <v>0.89674704685130502</v>
      </c>
      <c r="AL224" s="237">
        <f t="shared" si="49"/>
        <v>2.9556429084523911E-2</v>
      </c>
      <c r="AM224" s="237">
        <f t="shared" si="41"/>
        <v>1</v>
      </c>
      <c r="AO224" s="237">
        <f t="shared" si="42"/>
        <v>0.75124378109452739</v>
      </c>
      <c r="AP224" s="237">
        <f t="shared" si="43"/>
        <v>0.24875621890547264</v>
      </c>
      <c r="AQ224" s="237">
        <f t="shared" si="44"/>
        <v>0</v>
      </c>
      <c r="AR224" s="237">
        <f t="shared" si="45"/>
        <v>0.96809206717629603</v>
      </c>
      <c r="AS224" s="237">
        <f t="shared" si="45"/>
        <v>3.1907932823703966E-2</v>
      </c>
      <c r="AU224" s="251">
        <f t="shared" si="51"/>
        <v>10575.52967911948</v>
      </c>
      <c r="AV224" s="251">
        <f t="shared" si="50"/>
        <v>2990.3695593607304</v>
      </c>
      <c r="AW224" s="251">
        <f t="shared" si="50"/>
        <v>0</v>
      </c>
      <c r="AX224" s="251">
        <f t="shared" si="50"/>
        <v>137875.88156388266</v>
      </c>
      <c r="AY224" s="251">
        <f t="shared" si="50"/>
        <v>4514.2397613219</v>
      </c>
      <c r="AZ224" s="251">
        <f t="shared" si="47"/>
        <v>155956.02056368475</v>
      </c>
      <c r="BA224" s="270">
        <f t="shared" si="46"/>
        <v>7.6582713355016354</v>
      </c>
      <c r="BB224" s="251">
        <f t="shared" si="39"/>
        <v>13565.89923848021</v>
      </c>
      <c r="BC224" s="251">
        <f t="shared" si="40"/>
        <v>142390.12132520456</v>
      </c>
    </row>
    <row r="225" spans="1:55">
      <c r="A225" s="11">
        <v>50496</v>
      </c>
      <c r="B225" s="251">
        <v>100</v>
      </c>
      <c r="C225" s="251">
        <v>295</v>
      </c>
      <c r="D225" s="251">
        <v>5</v>
      </c>
      <c r="E225" s="251">
        <v>220</v>
      </c>
      <c r="F225" s="251">
        <v>44</v>
      </c>
      <c r="G225" s="287">
        <v>0.33</v>
      </c>
      <c r="H225" s="287"/>
      <c r="I225" s="251"/>
      <c r="J225" s="251"/>
      <c r="K225" s="251"/>
      <c r="L225" s="251"/>
      <c r="M225" s="13"/>
      <c r="N225" s="251">
        <f t="shared" si="36"/>
        <v>664.33</v>
      </c>
      <c r="O225" s="251">
        <f>'BBD Monthly Production'!AD24*12</f>
        <v>466.34756054861725</v>
      </c>
      <c r="P225" s="271">
        <f t="shared" si="38"/>
        <v>0.70198178698631286</v>
      </c>
      <c r="Y225" s="251">
        <f>SUM('RD Feedstock'!F223,'RD Feedstock'!I223)</f>
        <v>23.121874999999999</v>
      </c>
      <c r="Z225" s="251">
        <f>SUM('RD Feedstock'!G223,'RD Feedstock'!J223)</f>
        <v>7.65625</v>
      </c>
      <c r="AA225" s="251">
        <v>0</v>
      </c>
      <c r="AB225" s="251">
        <f>SUM('RD Feedstock'!B223,'RD Feedstock'!D223,'RD Feedstock'!H223)</f>
        <v>374.51145833333328</v>
      </c>
      <c r="AC225" s="251">
        <f>SUM('RD Feedstock'!C223,'RD Feedstock'!E223)</f>
        <v>12.34375</v>
      </c>
      <c r="AD225" s="251">
        <f t="shared" si="48"/>
        <v>417.63333333333327</v>
      </c>
      <c r="AH225" s="237">
        <f t="shared" si="49"/>
        <v>5.5364055391491744E-2</v>
      </c>
      <c r="AI225" s="237">
        <f t="shared" si="49"/>
        <v>1.8332468672679385E-2</v>
      </c>
      <c r="AJ225" s="237">
        <f t="shared" si="49"/>
        <v>0</v>
      </c>
      <c r="AK225" s="237">
        <f t="shared" si="49"/>
        <v>0.89674704685130502</v>
      </c>
      <c r="AL225" s="237">
        <f t="shared" si="49"/>
        <v>2.9556429084523911E-2</v>
      </c>
      <c r="AM225" s="237">
        <f t="shared" si="41"/>
        <v>1</v>
      </c>
      <c r="AO225" s="237">
        <f t="shared" si="42"/>
        <v>0.75124378109452739</v>
      </c>
      <c r="AP225" s="237">
        <f t="shared" si="43"/>
        <v>0.24875621890547264</v>
      </c>
      <c r="AQ225" s="237">
        <f t="shared" si="44"/>
        <v>0</v>
      </c>
      <c r="AR225" s="237">
        <f t="shared" si="45"/>
        <v>0.96809206717629603</v>
      </c>
      <c r="AS225" s="237">
        <f t="shared" si="45"/>
        <v>3.1907932823703966E-2</v>
      </c>
      <c r="AU225" s="251">
        <f t="shared" si="51"/>
        <v>9154.298279976816</v>
      </c>
      <c r="AV225" s="251">
        <f t="shared" si="50"/>
        <v>2588.4977626983678</v>
      </c>
      <c r="AW225" s="251">
        <f t="shared" si="50"/>
        <v>0</v>
      </c>
      <c r="AX225" s="251">
        <f t="shared" si="50"/>
        <v>119346.92481101578</v>
      </c>
      <c r="AY225" s="251">
        <f t="shared" si="50"/>
        <v>3907.5770704955112</v>
      </c>
      <c r="AZ225" s="251">
        <f t="shared" si="47"/>
        <v>134997.29792418648</v>
      </c>
      <c r="BA225" s="270">
        <f t="shared" si="46"/>
        <v>7.6582713355016381</v>
      </c>
      <c r="BB225" s="251">
        <f t="shared" si="39"/>
        <v>11742.796042675183</v>
      </c>
      <c r="BC225" s="251">
        <f t="shared" si="40"/>
        <v>123254.50188151129</v>
      </c>
    </row>
    <row r="226" spans="1:55">
      <c r="A226" s="11">
        <v>50526</v>
      </c>
      <c r="B226" s="251">
        <v>100</v>
      </c>
      <c r="C226" s="251">
        <v>295</v>
      </c>
      <c r="D226" s="251">
        <v>5</v>
      </c>
      <c r="E226" s="251">
        <v>220</v>
      </c>
      <c r="F226" s="251">
        <v>44</v>
      </c>
      <c r="G226" s="287">
        <v>0.33</v>
      </c>
      <c r="H226" s="287"/>
      <c r="I226" s="251"/>
      <c r="J226" s="251"/>
      <c r="K226" s="251"/>
      <c r="L226" s="251"/>
      <c r="M226" s="13"/>
      <c r="N226" s="251">
        <f t="shared" si="36"/>
        <v>664.33</v>
      </c>
      <c r="O226" s="251">
        <f>'BBD Monthly Production'!AD25*12</f>
        <v>502.13482426183396</v>
      </c>
      <c r="P226" s="271">
        <f t="shared" si="38"/>
        <v>0.75585149588583067</v>
      </c>
      <c r="Y226" s="251">
        <f>SUM('RD Feedstock'!F224,'RD Feedstock'!I224)</f>
        <v>23.121874999999999</v>
      </c>
      <c r="Z226" s="251">
        <f>SUM('RD Feedstock'!G224,'RD Feedstock'!J224)</f>
        <v>7.65625</v>
      </c>
      <c r="AA226" s="251">
        <v>0</v>
      </c>
      <c r="AB226" s="251">
        <f>SUM('RD Feedstock'!B224,'RD Feedstock'!D224,'RD Feedstock'!H224)</f>
        <v>374.51145833333328</v>
      </c>
      <c r="AC226" s="251">
        <f>SUM('RD Feedstock'!C224,'RD Feedstock'!E224)</f>
        <v>12.34375</v>
      </c>
      <c r="AD226" s="251">
        <f t="shared" si="48"/>
        <v>417.63333333333327</v>
      </c>
      <c r="AH226" s="237">
        <f t="shared" si="49"/>
        <v>5.5364055391491744E-2</v>
      </c>
      <c r="AI226" s="237">
        <f t="shared" si="49"/>
        <v>1.8332468672679385E-2</v>
      </c>
      <c r="AJ226" s="237">
        <f t="shared" si="49"/>
        <v>0</v>
      </c>
      <c r="AK226" s="237">
        <f t="shared" si="49"/>
        <v>0.89674704685130502</v>
      </c>
      <c r="AL226" s="237">
        <f t="shared" si="49"/>
        <v>2.9556429084523911E-2</v>
      </c>
      <c r="AM226" s="237">
        <f t="shared" si="41"/>
        <v>1</v>
      </c>
      <c r="AO226" s="237">
        <f t="shared" si="42"/>
        <v>0.75124378109452739</v>
      </c>
      <c r="AP226" s="237">
        <f t="shared" si="43"/>
        <v>0.24875621890547264</v>
      </c>
      <c r="AQ226" s="237">
        <f t="shared" si="44"/>
        <v>0</v>
      </c>
      <c r="AR226" s="237">
        <f t="shared" si="45"/>
        <v>0.96809206717629603</v>
      </c>
      <c r="AS226" s="237">
        <f t="shared" si="45"/>
        <v>3.1907932823703966E-2</v>
      </c>
      <c r="AU226" s="251">
        <f t="shared" si="51"/>
        <v>9856.7942601628711</v>
      </c>
      <c r="AV226" s="251">
        <f t="shared" si="50"/>
        <v>2787.1377040026191</v>
      </c>
      <c r="AW226" s="251">
        <f t="shared" si="50"/>
        <v>0</v>
      </c>
      <c r="AX226" s="251">
        <f t="shared" si="50"/>
        <v>128505.54433193423</v>
      </c>
      <c r="AY226" s="251">
        <f t="shared" si="50"/>
        <v>4207.4424561684409</v>
      </c>
      <c r="AZ226" s="251">
        <f t="shared" si="47"/>
        <v>145356.91875226816</v>
      </c>
      <c r="BA226" s="270">
        <f t="shared" si="46"/>
        <v>7.6582713355016372</v>
      </c>
      <c r="BB226" s="251">
        <f t="shared" si="39"/>
        <v>12643.931964165491</v>
      </c>
      <c r="BC226" s="251">
        <f t="shared" si="40"/>
        <v>132712.98678810266</v>
      </c>
    </row>
    <row r="227" spans="1:55">
      <c r="A227" s="11">
        <v>50557</v>
      </c>
      <c r="B227" s="251">
        <v>100</v>
      </c>
      <c r="C227" s="251">
        <v>295</v>
      </c>
      <c r="D227" s="251">
        <v>5</v>
      </c>
      <c r="E227" s="251">
        <v>220</v>
      </c>
      <c r="F227" s="251">
        <v>44</v>
      </c>
      <c r="G227" s="287">
        <v>0.33</v>
      </c>
      <c r="H227" s="287"/>
      <c r="I227" s="251"/>
      <c r="J227" s="251"/>
      <c r="K227" s="251"/>
      <c r="L227" s="251"/>
      <c r="M227" s="13"/>
      <c r="N227" s="251">
        <f t="shared" si="36"/>
        <v>664.33</v>
      </c>
      <c r="O227" s="251">
        <f>'BBD Monthly Production'!AD26*12</f>
        <v>626.20417576163106</v>
      </c>
      <c r="P227" s="271">
        <f t="shared" si="38"/>
        <v>0.94261011208530554</v>
      </c>
      <c r="Y227" s="251">
        <f>SUM('RD Feedstock'!F225,'RD Feedstock'!I225)</f>
        <v>23.121874999999999</v>
      </c>
      <c r="Z227" s="251">
        <f>SUM('RD Feedstock'!G225,'RD Feedstock'!J225)</f>
        <v>7.65625</v>
      </c>
      <c r="AA227" s="251">
        <v>0</v>
      </c>
      <c r="AB227" s="251">
        <f>SUM('RD Feedstock'!B225,'RD Feedstock'!D225,'RD Feedstock'!H225)</f>
        <v>374.51145833333328</v>
      </c>
      <c r="AC227" s="251">
        <f>SUM('RD Feedstock'!C225,'RD Feedstock'!E225)</f>
        <v>12.34375</v>
      </c>
      <c r="AD227" s="251">
        <f t="shared" si="48"/>
        <v>417.63333333333327</v>
      </c>
      <c r="AH227" s="237">
        <f t="shared" si="49"/>
        <v>5.5364055391491744E-2</v>
      </c>
      <c r="AI227" s="237">
        <f t="shared" si="49"/>
        <v>1.8332468672679385E-2</v>
      </c>
      <c r="AJ227" s="237">
        <f t="shared" si="49"/>
        <v>0</v>
      </c>
      <c r="AK227" s="237">
        <f t="shared" si="49"/>
        <v>0.89674704685130502</v>
      </c>
      <c r="AL227" s="237">
        <f t="shared" si="49"/>
        <v>2.9556429084523911E-2</v>
      </c>
      <c r="AM227" s="237">
        <f t="shared" si="41"/>
        <v>1</v>
      </c>
      <c r="AO227" s="237">
        <f t="shared" si="42"/>
        <v>0.75124378109452739</v>
      </c>
      <c r="AP227" s="237">
        <f t="shared" si="43"/>
        <v>0.24875621890547264</v>
      </c>
      <c r="AQ227" s="237">
        <f t="shared" si="44"/>
        <v>0</v>
      </c>
      <c r="AR227" s="237">
        <f t="shared" si="45"/>
        <v>0.96809206717629603</v>
      </c>
      <c r="AS227" s="237">
        <f t="shared" si="45"/>
        <v>3.1907932823703966E-2</v>
      </c>
      <c r="AU227" s="251">
        <f t="shared" si="51"/>
        <v>12292.247872692333</v>
      </c>
      <c r="AV227" s="251">
        <f t="shared" si="50"/>
        <v>3475.7941181132737</v>
      </c>
      <c r="AW227" s="251">
        <f t="shared" si="50"/>
        <v>0</v>
      </c>
      <c r="AX227" s="251">
        <f t="shared" si="50"/>
        <v>160257.17512716833</v>
      </c>
      <c r="AY227" s="251">
        <f t="shared" si="50"/>
        <v>5247.0330835998748</v>
      </c>
      <c r="AZ227" s="251">
        <f t="shared" si="47"/>
        <v>181272.25020157383</v>
      </c>
      <c r="BA227" s="270">
        <f t="shared" si="46"/>
        <v>7.6582713355016381</v>
      </c>
      <c r="BB227" s="251">
        <f t="shared" si="39"/>
        <v>15768.041990805606</v>
      </c>
      <c r="BC227" s="251">
        <f t="shared" si="40"/>
        <v>165504.20821076821</v>
      </c>
    </row>
    <row r="228" spans="1:55">
      <c r="A228" s="11">
        <v>50587</v>
      </c>
      <c r="B228" s="251">
        <v>100</v>
      </c>
      <c r="C228" s="251">
        <v>295</v>
      </c>
      <c r="D228" s="251">
        <v>5</v>
      </c>
      <c r="E228" s="251">
        <v>220</v>
      </c>
      <c r="F228" s="251">
        <v>44</v>
      </c>
      <c r="G228" s="287">
        <v>0.33</v>
      </c>
      <c r="H228" s="287"/>
      <c r="I228" s="251"/>
      <c r="J228" s="251"/>
      <c r="K228" s="251"/>
      <c r="L228" s="251"/>
      <c r="M228" s="13"/>
      <c r="N228" s="251">
        <f t="shared" si="36"/>
        <v>664.33</v>
      </c>
      <c r="O228" s="251">
        <f>'BBD Monthly Production'!AD27*12</f>
        <v>551.01846464550226</v>
      </c>
      <c r="P228" s="271">
        <f t="shared" si="38"/>
        <v>0.82943486617419393</v>
      </c>
      <c r="Y228" s="251">
        <f>SUM('RD Feedstock'!F226,'RD Feedstock'!I226)</f>
        <v>23.121874999999999</v>
      </c>
      <c r="Z228" s="251">
        <f>SUM('RD Feedstock'!G226,'RD Feedstock'!J226)</f>
        <v>7.65625</v>
      </c>
      <c r="AA228" s="251">
        <v>0</v>
      </c>
      <c r="AB228" s="251">
        <f>SUM('RD Feedstock'!B226,'RD Feedstock'!D226,'RD Feedstock'!H226)</f>
        <v>374.51145833333328</v>
      </c>
      <c r="AC228" s="251">
        <f>SUM('RD Feedstock'!C226,'RD Feedstock'!E226)</f>
        <v>12.34375</v>
      </c>
      <c r="AD228" s="251">
        <f t="shared" si="48"/>
        <v>417.63333333333327</v>
      </c>
      <c r="AH228" s="237">
        <f t="shared" si="49"/>
        <v>5.5364055391491744E-2</v>
      </c>
      <c r="AI228" s="237">
        <f t="shared" si="49"/>
        <v>1.8332468672679385E-2</v>
      </c>
      <c r="AJ228" s="237">
        <f t="shared" si="49"/>
        <v>0</v>
      </c>
      <c r="AK228" s="237">
        <f t="shared" si="49"/>
        <v>0.89674704685130502</v>
      </c>
      <c r="AL228" s="237">
        <f t="shared" si="49"/>
        <v>2.9556429084523911E-2</v>
      </c>
      <c r="AM228" s="237">
        <f t="shared" si="41"/>
        <v>1</v>
      </c>
      <c r="AO228" s="237">
        <f t="shared" si="42"/>
        <v>0.75124378109452739</v>
      </c>
      <c r="AP228" s="237">
        <f t="shared" si="43"/>
        <v>0.24875621890547264</v>
      </c>
      <c r="AQ228" s="237">
        <f t="shared" si="44"/>
        <v>0</v>
      </c>
      <c r="AR228" s="237">
        <f t="shared" si="45"/>
        <v>0.96809206717629603</v>
      </c>
      <c r="AS228" s="237">
        <f t="shared" si="45"/>
        <v>3.1907932823703966E-2</v>
      </c>
      <c r="AU228" s="251">
        <f t="shared" si="51"/>
        <v>10816.369184403453</v>
      </c>
      <c r="AV228" s="251">
        <f t="shared" si="50"/>
        <v>3058.4700845490493</v>
      </c>
      <c r="AW228" s="251">
        <f t="shared" si="50"/>
        <v>0</v>
      </c>
      <c r="AX228" s="251">
        <f t="shared" si="50"/>
        <v>141015.76770802538</v>
      </c>
      <c r="AY228" s="251">
        <f t="shared" si="50"/>
        <v>4617.0438102762155</v>
      </c>
      <c r="AZ228" s="251">
        <f t="shared" si="47"/>
        <v>159507.6507872541</v>
      </c>
      <c r="BA228" s="270">
        <f t="shared" si="46"/>
        <v>7.6582713355016363</v>
      </c>
      <c r="BB228" s="251">
        <f t="shared" si="39"/>
        <v>13874.839268952503</v>
      </c>
      <c r="BC228" s="251">
        <f t="shared" si="40"/>
        <v>145632.81151830161</v>
      </c>
    </row>
    <row r="229" spans="1:55">
      <c r="A229" s="11">
        <v>50618</v>
      </c>
      <c r="B229" s="251">
        <v>100</v>
      </c>
      <c r="C229" s="251">
        <v>295</v>
      </c>
      <c r="D229" s="251">
        <v>5</v>
      </c>
      <c r="E229" s="251">
        <v>220</v>
      </c>
      <c r="F229" s="251">
        <v>44</v>
      </c>
      <c r="G229" s="287">
        <v>0.33</v>
      </c>
      <c r="H229" s="287"/>
      <c r="I229" s="251"/>
      <c r="J229" s="251"/>
      <c r="K229" s="251"/>
      <c r="L229" s="251"/>
      <c r="M229" s="13"/>
      <c r="N229" s="251">
        <f t="shared" si="36"/>
        <v>664.33</v>
      </c>
      <c r="O229" s="251">
        <f>'BBD Monthly Production'!AD28*12</f>
        <v>484.43060847992922</v>
      </c>
      <c r="P229" s="271">
        <f t="shared" si="38"/>
        <v>0.72920176490588895</v>
      </c>
      <c r="Y229" s="251">
        <f>SUM('RD Feedstock'!F227,'RD Feedstock'!I227)</f>
        <v>23.121874999999999</v>
      </c>
      <c r="Z229" s="251">
        <f>SUM('RD Feedstock'!G227,'RD Feedstock'!J227)</f>
        <v>7.65625</v>
      </c>
      <c r="AA229" s="251">
        <v>0</v>
      </c>
      <c r="AB229" s="251">
        <f>SUM('RD Feedstock'!B227,'RD Feedstock'!D227,'RD Feedstock'!H227)</f>
        <v>374.51145833333328</v>
      </c>
      <c r="AC229" s="251">
        <f>SUM('RD Feedstock'!C227,'RD Feedstock'!E227)</f>
        <v>12.34375</v>
      </c>
      <c r="AD229" s="251">
        <f t="shared" si="48"/>
        <v>417.63333333333327</v>
      </c>
      <c r="AH229" s="237">
        <f t="shared" si="49"/>
        <v>5.5364055391491744E-2</v>
      </c>
      <c r="AI229" s="237">
        <f t="shared" si="49"/>
        <v>1.8332468672679385E-2</v>
      </c>
      <c r="AJ229" s="237">
        <f t="shared" si="49"/>
        <v>0</v>
      </c>
      <c r="AK229" s="237">
        <f t="shared" si="49"/>
        <v>0.89674704685130502</v>
      </c>
      <c r="AL229" s="237">
        <f t="shared" si="49"/>
        <v>2.9556429084523911E-2</v>
      </c>
      <c r="AM229" s="237">
        <f t="shared" si="41"/>
        <v>1</v>
      </c>
      <c r="AO229" s="237">
        <f t="shared" si="42"/>
        <v>0.75124378109452739</v>
      </c>
      <c r="AP229" s="237">
        <f t="shared" si="43"/>
        <v>0.24875621890547264</v>
      </c>
      <c r="AQ229" s="237">
        <f t="shared" si="44"/>
        <v>0</v>
      </c>
      <c r="AR229" s="237">
        <f t="shared" si="45"/>
        <v>0.96809206717629603</v>
      </c>
      <c r="AS229" s="237">
        <f t="shared" si="45"/>
        <v>3.1907932823703966E-2</v>
      </c>
      <c r="AU229" s="251">
        <f t="shared" si="51"/>
        <v>9509.26446523917</v>
      </c>
      <c r="AV229" s="251">
        <f t="shared" si="50"/>
        <v>2688.8691017440856</v>
      </c>
      <c r="AW229" s="251">
        <f t="shared" si="50"/>
        <v>0</v>
      </c>
      <c r="AX229" s="251">
        <f t="shared" si="50"/>
        <v>123974.70963157622</v>
      </c>
      <c r="AY229" s="251">
        <f t="shared" si="50"/>
        <v>4059.0969012799578</v>
      </c>
      <c r="AZ229" s="251">
        <f t="shared" si="47"/>
        <v>140231.94009983944</v>
      </c>
      <c r="BA229" s="270">
        <f t="shared" si="46"/>
        <v>7.6582713355016363</v>
      </c>
      <c r="BB229" s="251">
        <f t="shared" si="39"/>
        <v>12198.133566983255</v>
      </c>
      <c r="BC229" s="251">
        <f t="shared" si="40"/>
        <v>128033.80653285618</v>
      </c>
    </row>
    <row r="230" spans="1:55">
      <c r="A230" s="11">
        <v>50649</v>
      </c>
      <c r="B230" s="251">
        <v>100</v>
      </c>
      <c r="C230" s="251">
        <v>295</v>
      </c>
      <c r="D230" s="251">
        <v>5</v>
      </c>
      <c r="E230" s="251">
        <v>220</v>
      </c>
      <c r="F230" s="251">
        <v>44</v>
      </c>
      <c r="G230" s="287">
        <v>0.33</v>
      </c>
      <c r="H230" s="287"/>
      <c r="I230" s="251"/>
      <c r="J230" s="251"/>
      <c r="K230" s="251"/>
      <c r="L230" s="251"/>
      <c r="M230" s="13"/>
      <c r="N230" s="251">
        <f t="shared" ref="N230:N293" si="52">SUM(B230:L230)</f>
        <v>664.33</v>
      </c>
      <c r="O230" s="251">
        <f>'BBD Monthly Production'!AD29*12</f>
        <v>529.01252021204039</v>
      </c>
      <c r="P230" s="271">
        <f t="shared" si="38"/>
        <v>0.79630984632944524</v>
      </c>
      <c r="Y230" s="251">
        <f>SUM('RD Feedstock'!F228,'RD Feedstock'!I228)</f>
        <v>23.121874999999999</v>
      </c>
      <c r="Z230" s="251">
        <f>SUM('RD Feedstock'!G228,'RD Feedstock'!J228)</f>
        <v>7.65625</v>
      </c>
      <c r="AA230" s="251">
        <v>0</v>
      </c>
      <c r="AB230" s="251">
        <f>SUM('RD Feedstock'!B228,'RD Feedstock'!D228,'RD Feedstock'!H228)</f>
        <v>374.51145833333328</v>
      </c>
      <c r="AC230" s="251">
        <f>SUM('RD Feedstock'!C228,'RD Feedstock'!E228)</f>
        <v>12.34375</v>
      </c>
      <c r="AD230" s="251">
        <f t="shared" si="48"/>
        <v>417.63333333333327</v>
      </c>
      <c r="AH230" s="237">
        <f t="shared" si="49"/>
        <v>5.5364055391491744E-2</v>
      </c>
      <c r="AI230" s="237">
        <f t="shared" si="49"/>
        <v>1.8332468672679385E-2</v>
      </c>
      <c r="AJ230" s="237">
        <f t="shared" si="49"/>
        <v>0</v>
      </c>
      <c r="AK230" s="237">
        <f t="shared" si="49"/>
        <v>0.89674704685130502</v>
      </c>
      <c r="AL230" s="237">
        <f t="shared" si="49"/>
        <v>2.9556429084523911E-2</v>
      </c>
      <c r="AM230" s="237">
        <f t="shared" si="41"/>
        <v>1</v>
      </c>
      <c r="AO230" s="237">
        <f t="shared" si="42"/>
        <v>0.75124378109452739</v>
      </c>
      <c r="AP230" s="237">
        <f t="shared" si="43"/>
        <v>0.24875621890547264</v>
      </c>
      <c r="AQ230" s="237">
        <f t="shared" si="44"/>
        <v>0</v>
      </c>
      <c r="AR230" s="237">
        <f t="shared" si="45"/>
        <v>0.96809206717629603</v>
      </c>
      <c r="AS230" s="237">
        <f t="shared" si="45"/>
        <v>3.1907932823703966E-2</v>
      </c>
      <c r="AU230" s="251">
        <f t="shared" si="51"/>
        <v>10384.397418453786</v>
      </c>
      <c r="AV230" s="251">
        <f t="shared" si="50"/>
        <v>2936.3244087679441</v>
      </c>
      <c r="AW230" s="251">
        <f t="shared" si="50"/>
        <v>0</v>
      </c>
      <c r="AX230" s="251">
        <f t="shared" si="50"/>
        <v>135384.04146374934</v>
      </c>
      <c r="AY230" s="251">
        <f t="shared" si="50"/>
        <v>4432.6536018624856</v>
      </c>
      <c r="AZ230" s="251">
        <f t="shared" si="47"/>
        <v>153137.41689283354</v>
      </c>
      <c r="BA230" s="270">
        <f t="shared" si="46"/>
        <v>7.6582713355016363</v>
      </c>
      <c r="BB230" s="251">
        <f t="shared" si="39"/>
        <v>13320.721827221729</v>
      </c>
      <c r="BC230" s="251">
        <f t="shared" si="40"/>
        <v>139816.69506561183</v>
      </c>
    </row>
    <row r="231" spans="1:55">
      <c r="A231" s="11">
        <v>50679</v>
      </c>
      <c r="B231" s="251">
        <v>100</v>
      </c>
      <c r="C231" s="251">
        <v>295</v>
      </c>
      <c r="D231" s="251">
        <v>5</v>
      </c>
      <c r="E231" s="251">
        <v>220</v>
      </c>
      <c r="F231" s="251">
        <v>44</v>
      </c>
      <c r="G231" s="287">
        <v>0.33</v>
      </c>
      <c r="H231" s="287"/>
      <c r="I231" s="251"/>
      <c r="J231" s="251"/>
      <c r="K231" s="251"/>
      <c r="L231" s="251"/>
      <c r="M231" s="13"/>
      <c r="N231" s="251">
        <f t="shared" si="52"/>
        <v>664.33</v>
      </c>
      <c r="O231" s="251">
        <f>'BBD Monthly Production'!AD30*12</f>
        <v>422.67703861671794</v>
      </c>
      <c r="P231" s="271">
        <f t="shared" si="38"/>
        <v>0.63624559874869102</v>
      </c>
      <c r="Y231" s="251">
        <f>SUM('RD Feedstock'!F229,'RD Feedstock'!I229)</f>
        <v>23.121874999999999</v>
      </c>
      <c r="Z231" s="251">
        <f>SUM('RD Feedstock'!G229,'RD Feedstock'!J229)</f>
        <v>7.65625</v>
      </c>
      <c r="AA231" s="251">
        <v>0</v>
      </c>
      <c r="AB231" s="251">
        <f>SUM('RD Feedstock'!B229,'RD Feedstock'!D229,'RD Feedstock'!H229)</f>
        <v>374.51145833333328</v>
      </c>
      <c r="AC231" s="251">
        <f>SUM('RD Feedstock'!C229,'RD Feedstock'!E229)</f>
        <v>12.34375</v>
      </c>
      <c r="AD231" s="251">
        <f t="shared" si="48"/>
        <v>417.63333333333327</v>
      </c>
      <c r="AH231" s="237">
        <f t="shared" si="49"/>
        <v>5.5364055391491744E-2</v>
      </c>
      <c r="AI231" s="237">
        <f t="shared" si="49"/>
        <v>1.8332468672679385E-2</v>
      </c>
      <c r="AJ231" s="237">
        <f t="shared" si="49"/>
        <v>0</v>
      </c>
      <c r="AK231" s="237">
        <f t="shared" si="49"/>
        <v>0.89674704685130502</v>
      </c>
      <c r="AL231" s="237">
        <f t="shared" si="49"/>
        <v>2.9556429084523911E-2</v>
      </c>
      <c r="AM231" s="237">
        <f t="shared" si="41"/>
        <v>1</v>
      </c>
      <c r="AO231" s="237">
        <f t="shared" si="42"/>
        <v>0.75124378109452739</v>
      </c>
      <c r="AP231" s="237">
        <f t="shared" si="43"/>
        <v>0.24875621890547264</v>
      </c>
      <c r="AQ231" s="237">
        <f t="shared" si="44"/>
        <v>0</v>
      </c>
      <c r="AR231" s="237">
        <f t="shared" si="45"/>
        <v>0.96809206717629603</v>
      </c>
      <c r="AS231" s="237">
        <f t="shared" si="45"/>
        <v>3.1907932823703966E-2</v>
      </c>
      <c r="AU231" s="251">
        <f t="shared" si="51"/>
        <v>8297.0557046397062</v>
      </c>
      <c r="AV231" s="251">
        <f t="shared" si="50"/>
        <v>2346.1011943886538</v>
      </c>
      <c r="AW231" s="251">
        <f t="shared" si="50"/>
        <v>0</v>
      </c>
      <c r="AX231" s="251">
        <f t="shared" si="50"/>
        <v>108170.83440468277</v>
      </c>
      <c r="AY231" s="251">
        <f t="shared" si="50"/>
        <v>3541.6570044466803</v>
      </c>
      <c r="AZ231" s="251">
        <f t="shared" si="47"/>
        <v>122355.6483081578</v>
      </c>
      <c r="BA231" s="270">
        <f t="shared" si="46"/>
        <v>7.6582713355016381</v>
      </c>
      <c r="BB231" s="251">
        <f t="shared" si="39"/>
        <v>10643.156899028359</v>
      </c>
      <c r="BC231" s="251">
        <f t="shared" si="40"/>
        <v>111712.49140912945</v>
      </c>
    </row>
    <row r="232" spans="1:55">
      <c r="A232" s="11">
        <v>50710</v>
      </c>
      <c r="B232" s="251">
        <v>100</v>
      </c>
      <c r="C232" s="251">
        <v>295</v>
      </c>
      <c r="D232" s="251">
        <v>5</v>
      </c>
      <c r="E232" s="251">
        <v>220</v>
      </c>
      <c r="F232" s="251">
        <v>44</v>
      </c>
      <c r="G232" s="287">
        <v>0.33</v>
      </c>
      <c r="H232" s="287"/>
      <c r="I232" s="251"/>
      <c r="J232" s="251"/>
      <c r="K232" s="251"/>
      <c r="L232" s="251"/>
      <c r="M232" s="13"/>
      <c r="N232" s="251">
        <f t="shared" si="52"/>
        <v>664.33</v>
      </c>
      <c r="O232" s="251">
        <f>'BBD Monthly Production'!AD31*12</f>
        <v>544.2776520502905</v>
      </c>
      <c r="P232" s="271">
        <f t="shared" si="38"/>
        <v>0.81928808280566956</v>
      </c>
      <c r="Y232" s="251">
        <f>SUM('RD Feedstock'!F230,'RD Feedstock'!I230)</f>
        <v>23.121874999999999</v>
      </c>
      <c r="Z232" s="251">
        <f>SUM('RD Feedstock'!G230,'RD Feedstock'!J230)</f>
        <v>7.65625</v>
      </c>
      <c r="AA232" s="251">
        <v>0</v>
      </c>
      <c r="AB232" s="251">
        <f>SUM('RD Feedstock'!B230,'RD Feedstock'!D230,'RD Feedstock'!H230)</f>
        <v>374.51145833333328</v>
      </c>
      <c r="AC232" s="251">
        <f>SUM('RD Feedstock'!C230,'RD Feedstock'!E230)</f>
        <v>12.34375</v>
      </c>
      <c r="AD232" s="251">
        <f t="shared" si="48"/>
        <v>417.63333333333327</v>
      </c>
      <c r="AH232" s="237">
        <f t="shared" si="49"/>
        <v>5.5364055391491744E-2</v>
      </c>
      <c r="AI232" s="237">
        <f t="shared" si="49"/>
        <v>1.8332468672679385E-2</v>
      </c>
      <c r="AJ232" s="237">
        <f t="shared" si="49"/>
        <v>0</v>
      </c>
      <c r="AK232" s="237">
        <f t="shared" si="49"/>
        <v>0.89674704685130502</v>
      </c>
      <c r="AL232" s="237">
        <f t="shared" si="49"/>
        <v>2.9556429084523911E-2</v>
      </c>
      <c r="AM232" s="237">
        <f t="shared" si="41"/>
        <v>1</v>
      </c>
      <c r="AO232" s="237">
        <f t="shared" si="42"/>
        <v>0.75124378109452739</v>
      </c>
      <c r="AP232" s="237">
        <f t="shared" si="43"/>
        <v>0.24875621890547264</v>
      </c>
      <c r="AQ232" s="237">
        <f t="shared" si="44"/>
        <v>0</v>
      </c>
      <c r="AR232" s="237">
        <f t="shared" si="45"/>
        <v>0.96809206717629603</v>
      </c>
      <c r="AS232" s="237">
        <f t="shared" si="45"/>
        <v>3.1907932823703966E-2</v>
      </c>
      <c r="AU232" s="251">
        <f t="shared" si="51"/>
        <v>10684.048541247521</v>
      </c>
      <c r="AV232" s="251">
        <f t="shared" si="50"/>
        <v>3021.05468925686</v>
      </c>
      <c r="AW232" s="251">
        <f t="shared" si="50"/>
        <v>0</v>
      </c>
      <c r="AX232" s="251">
        <f t="shared" si="50"/>
        <v>139290.66968667094</v>
      </c>
      <c r="AY232" s="251">
        <f t="shared" si="50"/>
        <v>4560.5618063764414</v>
      </c>
      <c r="AZ232" s="251">
        <f t="shared" si="47"/>
        <v>157556.33472355176</v>
      </c>
      <c r="BA232" s="270">
        <f t="shared" si="46"/>
        <v>7.6582713355016363</v>
      </c>
      <c r="BB232" s="251">
        <f t="shared" si="39"/>
        <v>13705.103230504381</v>
      </c>
      <c r="BC232" s="251">
        <f t="shared" si="40"/>
        <v>143851.23149304738</v>
      </c>
    </row>
    <row r="233" spans="1:55">
      <c r="A233" s="11">
        <v>50740</v>
      </c>
      <c r="B233" s="251">
        <v>100</v>
      </c>
      <c r="C233" s="251">
        <v>295</v>
      </c>
      <c r="D233" s="251">
        <v>5</v>
      </c>
      <c r="E233" s="251">
        <v>220</v>
      </c>
      <c r="F233" s="251">
        <v>44</v>
      </c>
      <c r="G233" s="287">
        <v>0.33</v>
      </c>
      <c r="H233" s="287"/>
      <c r="I233" s="251"/>
      <c r="J233" s="251"/>
      <c r="K233" s="251"/>
      <c r="L233" s="251"/>
      <c r="M233" s="13"/>
      <c r="N233" s="251">
        <f t="shared" si="52"/>
        <v>664.33</v>
      </c>
      <c r="O233" s="251">
        <f>'BBD Monthly Production'!AD32*12</f>
        <v>748.59313980667446</v>
      </c>
      <c r="P233" s="271">
        <f t="shared" si="38"/>
        <v>1.126839281391288</v>
      </c>
      <c r="Y233" s="251">
        <f>SUM('RD Feedstock'!F231,'RD Feedstock'!I231)</f>
        <v>23.121874999999999</v>
      </c>
      <c r="Z233" s="251">
        <f>SUM('RD Feedstock'!G231,'RD Feedstock'!J231)</f>
        <v>7.65625</v>
      </c>
      <c r="AA233" s="251">
        <v>0</v>
      </c>
      <c r="AB233" s="251">
        <f>SUM('RD Feedstock'!B231,'RD Feedstock'!D231,'RD Feedstock'!H231)</f>
        <v>374.51145833333328</v>
      </c>
      <c r="AC233" s="251">
        <f>SUM('RD Feedstock'!C231,'RD Feedstock'!E231)</f>
        <v>12.34375</v>
      </c>
      <c r="AD233" s="251">
        <f t="shared" si="48"/>
        <v>417.63333333333327</v>
      </c>
      <c r="AH233" s="237">
        <f t="shared" si="49"/>
        <v>5.5364055391491744E-2</v>
      </c>
      <c r="AI233" s="237">
        <f t="shared" si="49"/>
        <v>1.8332468672679385E-2</v>
      </c>
      <c r="AJ233" s="237">
        <f t="shared" si="49"/>
        <v>0</v>
      </c>
      <c r="AK233" s="237">
        <f t="shared" si="49"/>
        <v>0.89674704685130502</v>
      </c>
      <c r="AL233" s="237">
        <f t="shared" si="49"/>
        <v>2.9556429084523911E-2</v>
      </c>
      <c r="AM233" s="237">
        <f t="shared" si="41"/>
        <v>1</v>
      </c>
      <c r="AO233" s="237">
        <f t="shared" si="42"/>
        <v>0.75124378109452739</v>
      </c>
      <c r="AP233" s="237">
        <f t="shared" si="43"/>
        <v>0.24875621890547264</v>
      </c>
      <c r="AQ233" s="237">
        <f t="shared" si="44"/>
        <v>0</v>
      </c>
      <c r="AR233" s="237">
        <f t="shared" si="45"/>
        <v>0.96809206717629603</v>
      </c>
      <c r="AS233" s="237">
        <f t="shared" si="45"/>
        <v>3.1907932823703966E-2</v>
      </c>
      <c r="AU233" s="251">
        <f t="shared" si="51"/>
        <v>14694.715855429604</v>
      </c>
      <c r="AV233" s="251">
        <f t="shared" si="50"/>
        <v>4155.1234132786094</v>
      </c>
      <c r="AW233" s="251">
        <f t="shared" si="50"/>
        <v>0</v>
      </c>
      <c r="AX233" s="251">
        <f t="shared" si="50"/>
        <v>191578.76384181358</v>
      </c>
      <c r="AY233" s="251">
        <f t="shared" si="50"/>
        <v>6272.5435612820102</v>
      </c>
      <c r="AZ233" s="251">
        <f t="shared" si="47"/>
        <v>216701.14667180381</v>
      </c>
      <c r="BA233" s="270">
        <f t="shared" si="46"/>
        <v>7.6582713355016381</v>
      </c>
      <c r="BB233" s="251">
        <f t="shared" si="39"/>
        <v>18849.839268708212</v>
      </c>
      <c r="BC233" s="251">
        <f t="shared" si="40"/>
        <v>197851.30740309559</v>
      </c>
    </row>
    <row r="234" spans="1:55">
      <c r="A234" s="11">
        <v>50771</v>
      </c>
      <c r="B234" s="251">
        <v>100</v>
      </c>
      <c r="C234" s="251">
        <v>295</v>
      </c>
      <c r="D234" s="251">
        <v>5</v>
      </c>
      <c r="E234" s="251">
        <v>220</v>
      </c>
      <c r="F234" s="251">
        <v>44</v>
      </c>
      <c r="G234" s="287">
        <v>0.33</v>
      </c>
      <c r="H234" s="287"/>
      <c r="I234" s="251"/>
      <c r="J234" s="251"/>
      <c r="K234" s="251"/>
      <c r="L234" s="251"/>
      <c r="M234" s="13"/>
      <c r="N234" s="251">
        <f t="shared" si="52"/>
        <v>664.33</v>
      </c>
      <c r="O234" s="251">
        <f>'BBD Monthly Production'!AE21*12</f>
        <v>234.86772995253114</v>
      </c>
      <c r="P234" s="271">
        <f t="shared" si="38"/>
        <v>0.35354075527603918</v>
      </c>
      <c r="Y234" s="251">
        <f>SUM('RD Feedstock'!F232,'RD Feedstock'!I232)</f>
        <v>23.121874999999999</v>
      </c>
      <c r="Z234" s="251">
        <f>SUM('RD Feedstock'!G232,'RD Feedstock'!J232)</f>
        <v>7.65625</v>
      </c>
      <c r="AA234" s="251">
        <v>0</v>
      </c>
      <c r="AB234" s="251">
        <f>SUM('RD Feedstock'!B232,'RD Feedstock'!D232,'RD Feedstock'!H232)</f>
        <v>374.51145833333328</v>
      </c>
      <c r="AC234" s="251">
        <f>SUM('RD Feedstock'!C232,'RD Feedstock'!E232)</f>
        <v>12.34375</v>
      </c>
      <c r="AD234" s="251">
        <f t="shared" si="48"/>
        <v>417.63333333333327</v>
      </c>
      <c r="AH234" s="237">
        <f t="shared" si="49"/>
        <v>5.5364055391491744E-2</v>
      </c>
      <c r="AI234" s="237">
        <f t="shared" si="49"/>
        <v>1.8332468672679385E-2</v>
      </c>
      <c r="AJ234" s="237">
        <f t="shared" si="49"/>
        <v>0</v>
      </c>
      <c r="AK234" s="237">
        <f t="shared" si="49"/>
        <v>0.89674704685130502</v>
      </c>
      <c r="AL234" s="237">
        <f t="shared" si="49"/>
        <v>2.9556429084523911E-2</v>
      </c>
      <c r="AM234" s="237">
        <f t="shared" si="41"/>
        <v>1</v>
      </c>
      <c r="AO234" s="237">
        <f t="shared" si="42"/>
        <v>0.75124378109452739</v>
      </c>
      <c r="AP234" s="237">
        <f t="shared" si="43"/>
        <v>0.24875621890547264</v>
      </c>
      <c r="AQ234" s="237">
        <f t="shared" si="44"/>
        <v>0</v>
      </c>
      <c r="AR234" s="237">
        <f t="shared" si="45"/>
        <v>0.96809206717629603</v>
      </c>
      <c r="AS234" s="237">
        <f t="shared" si="45"/>
        <v>3.1907932823703966E-2</v>
      </c>
      <c r="AU234" s="251">
        <f t="shared" si="51"/>
        <v>4610.4009931930796</v>
      </c>
      <c r="AV234" s="251">
        <f t="shared" si="50"/>
        <v>1303.6512784519894</v>
      </c>
      <c r="AW234" s="251">
        <f t="shared" si="50"/>
        <v>0</v>
      </c>
      <c r="AX234" s="251">
        <f t="shared" si="50"/>
        <v>60106.975308722467</v>
      </c>
      <c r="AY234" s="251">
        <f t="shared" si="50"/>
        <v>1967.9823243466169</v>
      </c>
      <c r="AZ234" s="251">
        <f t="shared" si="47"/>
        <v>67989.009904714156</v>
      </c>
      <c r="BA234" s="270">
        <f t="shared" si="46"/>
        <v>7.6582713355016372</v>
      </c>
      <c r="BB234" s="251">
        <f t="shared" si="39"/>
        <v>5914.0522716450687</v>
      </c>
      <c r="BC234" s="251">
        <f t="shared" si="40"/>
        <v>62074.957633069083</v>
      </c>
    </row>
    <row r="235" spans="1:55">
      <c r="A235" s="11">
        <v>50802</v>
      </c>
      <c r="B235" s="251">
        <v>100</v>
      </c>
      <c r="C235" s="251">
        <v>295</v>
      </c>
      <c r="D235" s="251">
        <v>5</v>
      </c>
      <c r="E235" s="251">
        <v>220</v>
      </c>
      <c r="F235" s="251">
        <v>44</v>
      </c>
      <c r="G235" s="287">
        <v>0.33</v>
      </c>
      <c r="H235" s="287"/>
      <c r="I235" s="251"/>
      <c r="J235" s="251"/>
      <c r="K235" s="251"/>
      <c r="L235" s="251"/>
      <c r="M235" s="13"/>
      <c r="N235" s="251">
        <f t="shared" si="52"/>
        <v>664.33</v>
      </c>
      <c r="O235" s="251">
        <f>'BBD Monthly Production'!AE22*12</f>
        <v>275.72074846983196</v>
      </c>
      <c r="P235" s="271">
        <f t="shared" si="38"/>
        <v>0.41503582326529276</v>
      </c>
      <c r="Y235" s="251">
        <f>SUM('RD Feedstock'!F233,'RD Feedstock'!I233)</f>
        <v>23.121874999999999</v>
      </c>
      <c r="Z235" s="251">
        <f>SUM('RD Feedstock'!G233,'RD Feedstock'!J233)</f>
        <v>7.65625</v>
      </c>
      <c r="AA235" s="251">
        <v>0</v>
      </c>
      <c r="AB235" s="251">
        <f>SUM('RD Feedstock'!B233,'RD Feedstock'!D233,'RD Feedstock'!H233)</f>
        <v>374.51145833333328</v>
      </c>
      <c r="AC235" s="251">
        <f>SUM('RD Feedstock'!C233,'RD Feedstock'!E233)</f>
        <v>12.34375</v>
      </c>
      <c r="AD235" s="251">
        <f t="shared" si="48"/>
        <v>417.63333333333327</v>
      </c>
      <c r="AH235" s="237">
        <f t="shared" si="49"/>
        <v>5.5364055391491744E-2</v>
      </c>
      <c r="AI235" s="237">
        <f t="shared" si="49"/>
        <v>1.8332468672679385E-2</v>
      </c>
      <c r="AJ235" s="237">
        <f t="shared" si="49"/>
        <v>0</v>
      </c>
      <c r="AK235" s="237">
        <f t="shared" si="49"/>
        <v>0.89674704685130502</v>
      </c>
      <c r="AL235" s="237">
        <f t="shared" si="49"/>
        <v>2.9556429084523911E-2</v>
      </c>
      <c r="AM235" s="237">
        <f t="shared" si="41"/>
        <v>1</v>
      </c>
      <c r="AO235" s="237">
        <f t="shared" si="42"/>
        <v>0.75124378109452739</v>
      </c>
      <c r="AP235" s="237">
        <f t="shared" si="43"/>
        <v>0.24875621890547264</v>
      </c>
      <c r="AQ235" s="237">
        <f t="shared" si="44"/>
        <v>0</v>
      </c>
      <c r="AR235" s="237">
        <f t="shared" si="45"/>
        <v>0.96809206717629603</v>
      </c>
      <c r="AS235" s="237">
        <f t="shared" si="45"/>
        <v>3.1907932823703966E-2</v>
      </c>
      <c r="AU235" s="251">
        <f t="shared" si="51"/>
        <v>5412.3366068474797</v>
      </c>
      <c r="AV235" s="251">
        <f t="shared" si="50"/>
        <v>1530.4090788082406</v>
      </c>
      <c r="AW235" s="251">
        <f t="shared" si="50"/>
        <v>0</v>
      </c>
      <c r="AX235" s="251">
        <f t="shared" si="50"/>
        <v>70562.014729431598</v>
      </c>
      <c r="AY235" s="251">
        <f t="shared" si="50"/>
        <v>2310.294222002809</v>
      </c>
      <c r="AZ235" s="251">
        <f t="shared" si="47"/>
        <v>79815.054637090128</v>
      </c>
      <c r="BA235" s="270">
        <f t="shared" si="46"/>
        <v>7.6582713355016363</v>
      </c>
      <c r="BB235" s="251">
        <f t="shared" si="39"/>
        <v>6942.7456856557201</v>
      </c>
      <c r="BC235" s="251">
        <f t="shared" si="40"/>
        <v>72872.308951434403</v>
      </c>
    </row>
    <row r="236" spans="1:55">
      <c r="A236" s="11">
        <v>50830</v>
      </c>
      <c r="B236" s="251">
        <v>100</v>
      </c>
      <c r="C236" s="251">
        <v>295</v>
      </c>
      <c r="D236" s="251">
        <v>5</v>
      </c>
      <c r="E236" s="251">
        <v>220</v>
      </c>
      <c r="F236" s="251">
        <v>44</v>
      </c>
      <c r="G236" s="287">
        <v>0.33</v>
      </c>
      <c r="H236" s="287"/>
      <c r="I236" s="251"/>
      <c r="J236" s="251"/>
      <c r="K236" s="251"/>
      <c r="L236" s="251"/>
      <c r="M236" s="13"/>
      <c r="N236" s="251">
        <f t="shared" si="52"/>
        <v>664.33</v>
      </c>
      <c r="O236" s="251">
        <f>'BBD Monthly Production'!AE23*12</f>
        <v>538.73262603498983</v>
      </c>
      <c r="P236" s="271">
        <f t="shared" si="38"/>
        <v>0.8109412882678636</v>
      </c>
      <c r="Y236" s="251">
        <f>SUM('RD Feedstock'!F234,'RD Feedstock'!I234)</f>
        <v>23.121874999999999</v>
      </c>
      <c r="Z236" s="251">
        <f>SUM('RD Feedstock'!G234,'RD Feedstock'!J234)</f>
        <v>7.65625</v>
      </c>
      <c r="AA236" s="251">
        <v>0</v>
      </c>
      <c r="AB236" s="251">
        <f>SUM('RD Feedstock'!B234,'RD Feedstock'!D234,'RD Feedstock'!H234)</f>
        <v>374.51145833333328</v>
      </c>
      <c r="AC236" s="251">
        <f>SUM('RD Feedstock'!C234,'RD Feedstock'!E234)</f>
        <v>12.34375</v>
      </c>
      <c r="AD236" s="251">
        <f t="shared" si="48"/>
        <v>417.63333333333327</v>
      </c>
      <c r="AH236" s="237">
        <f t="shared" si="49"/>
        <v>5.5364055391491744E-2</v>
      </c>
      <c r="AI236" s="237">
        <f t="shared" si="49"/>
        <v>1.8332468672679385E-2</v>
      </c>
      <c r="AJ236" s="237">
        <f t="shared" si="49"/>
        <v>0</v>
      </c>
      <c r="AK236" s="237">
        <f t="shared" si="49"/>
        <v>0.89674704685130502</v>
      </c>
      <c r="AL236" s="237">
        <f t="shared" si="49"/>
        <v>2.9556429084523911E-2</v>
      </c>
      <c r="AM236" s="237">
        <f t="shared" si="41"/>
        <v>1</v>
      </c>
      <c r="AO236" s="237">
        <f t="shared" si="42"/>
        <v>0.75124378109452739</v>
      </c>
      <c r="AP236" s="237">
        <f t="shared" si="43"/>
        <v>0.24875621890547264</v>
      </c>
      <c r="AQ236" s="237">
        <f t="shared" si="44"/>
        <v>0</v>
      </c>
      <c r="AR236" s="237">
        <f t="shared" si="45"/>
        <v>0.96809206717629603</v>
      </c>
      <c r="AS236" s="237">
        <f t="shared" si="45"/>
        <v>3.1907932823703966E-2</v>
      </c>
      <c r="AU236" s="251">
        <f t="shared" si="51"/>
        <v>10575.200921127929</v>
      </c>
      <c r="AV236" s="251">
        <f t="shared" si="50"/>
        <v>2990.2765987317921</v>
      </c>
      <c r="AW236" s="251">
        <f t="shared" si="50"/>
        <v>0</v>
      </c>
      <c r="AX236" s="251">
        <f t="shared" si="50"/>
        <v>137871.59546197747</v>
      </c>
      <c r="AY236" s="251">
        <f t="shared" si="50"/>
        <v>4514.0994286442628</v>
      </c>
      <c r="AZ236" s="251">
        <f t="shared" si="47"/>
        <v>155951.17241048146</v>
      </c>
      <c r="BA236" s="270">
        <f t="shared" si="46"/>
        <v>7.6582713355016363</v>
      </c>
      <c r="BB236" s="251">
        <f t="shared" si="39"/>
        <v>13565.477519859722</v>
      </c>
      <c r="BC236" s="251">
        <f t="shared" si="40"/>
        <v>142385.69489062173</v>
      </c>
    </row>
    <row r="237" spans="1:55">
      <c r="A237" s="11">
        <v>50861</v>
      </c>
      <c r="B237" s="251">
        <v>100</v>
      </c>
      <c r="C237" s="251">
        <v>295</v>
      </c>
      <c r="D237" s="251">
        <v>5</v>
      </c>
      <c r="E237" s="251">
        <v>220</v>
      </c>
      <c r="F237" s="251">
        <v>44</v>
      </c>
      <c r="G237" s="287">
        <v>0.33</v>
      </c>
      <c r="H237" s="287"/>
      <c r="I237" s="251"/>
      <c r="J237" s="251"/>
      <c r="K237" s="251"/>
      <c r="L237" s="251"/>
      <c r="M237" s="13"/>
      <c r="N237" s="251">
        <f t="shared" si="52"/>
        <v>664.33</v>
      </c>
      <c r="O237" s="251">
        <f>'BBD Monthly Production'!AE24*12</f>
        <v>466.34606731076377</v>
      </c>
      <c r="P237" s="271">
        <f t="shared" si="38"/>
        <v>0.70197953925122114</v>
      </c>
      <c r="Y237" s="251">
        <f>SUM('RD Feedstock'!F235,'RD Feedstock'!I235)</f>
        <v>23.121874999999999</v>
      </c>
      <c r="Z237" s="251">
        <f>SUM('RD Feedstock'!G235,'RD Feedstock'!J235)</f>
        <v>7.65625</v>
      </c>
      <c r="AA237" s="251">
        <v>0</v>
      </c>
      <c r="AB237" s="251">
        <f>SUM('RD Feedstock'!B235,'RD Feedstock'!D235,'RD Feedstock'!H235)</f>
        <v>374.51145833333328</v>
      </c>
      <c r="AC237" s="251">
        <f>SUM('RD Feedstock'!C235,'RD Feedstock'!E235)</f>
        <v>12.34375</v>
      </c>
      <c r="AD237" s="251">
        <f t="shared" si="48"/>
        <v>417.63333333333327</v>
      </c>
      <c r="AH237" s="237">
        <f t="shared" si="49"/>
        <v>5.5364055391491744E-2</v>
      </c>
      <c r="AI237" s="237">
        <f t="shared" si="49"/>
        <v>1.8332468672679385E-2</v>
      </c>
      <c r="AJ237" s="237">
        <f t="shared" si="49"/>
        <v>0</v>
      </c>
      <c r="AK237" s="237">
        <f t="shared" si="49"/>
        <v>0.89674704685130502</v>
      </c>
      <c r="AL237" s="237">
        <f t="shared" si="49"/>
        <v>2.9556429084523911E-2</v>
      </c>
      <c r="AM237" s="237">
        <f t="shared" si="41"/>
        <v>1</v>
      </c>
      <c r="AO237" s="237">
        <f t="shared" si="42"/>
        <v>0.75124378109452739</v>
      </c>
      <c r="AP237" s="237">
        <f t="shared" si="43"/>
        <v>0.24875621890547264</v>
      </c>
      <c r="AQ237" s="237">
        <f t="shared" si="44"/>
        <v>0</v>
      </c>
      <c r="AR237" s="237">
        <f t="shared" si="45"/>
        <v>0.96809206717629603</v>
      </c>
      <c r="AS237" s="237">
        <f t="shared" si="45"/>
        <v>3.1907932823703966E-2</v>
      </c>
      <c r="AU237" s="251">
        <f t="shared" si="51"/>
        <v>9154.268968051827</v>
      </c>
      <c r="AV237" s="251">
        <f t="shared" si="50"/>
        <v>2588.4894743675823</v>
      </c>
      <c r="AW237" s="251">
        <f t="shared" si="50"/>
        <v>0</v>
      </c>
      <c r="AX237" s="251">
        <f t="shared" si="50"/>
        <v>119346.542663963</v>
      </c>
      <c r="AY237" s="251">
        <f t="shared" si="50"/>
        <v>3907.5645584926815</v>
      </c>
      <c r="AZ237" s="251">
        <f t="shared" si="47"/>
        <v>134996.86566487511</v>
      </c>
      <c r="BA237" s="270">
        <f t="shared" si="46"/>
        <v>7.6582713355016372</v>
      </c>
      <c r="BB237" s="251">
        <f t="shared" si="39"/>
        <v>11742.75844241941</v>
      </c>
      <c r="BC237" s="251">
        <f t="shared" si="40"/>
        <v>123254.10722245568</v>
      </c>
    </row>
    <row r="238" spans="1:55">
      <c r="A238" s="11">
        <v>50891</v>
      </c>
      <c r="B238" s="251">
        <v>100</v>
      </c>
      <c r="C238" s="251">
        <v>295</v>
      </c>
      <c r="D238" s="251">
        <v>5</v>
      </c>
      <c r="E238" s="251">
        <v>220</v>
      </c>
      <c r="F238" s="251">
        <v>44</v>
      </c>
      <c r="G238" s="287">
        <v>0.33</v>
      </c>
      <c r="H238" s="287"/>
      <c r="I238" s="251"/>
      <c r="J238" s="251"/>
      <c r="K238" s="251"/>
      <c r="L238" s="251"/>
      <c r="M238" s="13"/>
      <c r="N238" s="251">
        <f t="shared" si="52"/>
        <v>664.33</v>
      </c>
      <c r="O238" s="251">
        <f>'BBD Monthly Production'!AE25*12</f>
        <v>502.12586607097774</v>
      </c>
      <c r="P238" s="271">
        <f t="shared" ref="P238:P301" si="53">O238/N238</f>
        <v>0.75583801133619999</v>
      </c>
      <c r="Y238" s="251">
        <f>SUM('RD Feedstock'!F236,'RD Feedstock'!I236)</f>
        <v>23.121874999999999</v>
      </c>
      <c r="Z238" s="251">
        <f>SUM('RD Feedstock'!G236,'RD Feedstock'!J236)</f>
        <v>7.65625</v>
      </c>
      <c r="AA238" s="251">
        <v>0</v>
      </c>
      <c r="AB238" s="251">
        <f>SUM('RD Feedstock'!B236,'RD Feedstock'!D236,'RD Feedstock'!H236)</f>
        <v>374.51145833333328</v>
      </c>
      <c r="AC238" s="251">
        <f>SUM('RD Feedstock'!C236,'RD Feedstock'!E236)</f>
        <v>12.34375</v>
      </c>
      <c r="AD238" s="251">
        <f t="shared" si="48"/>
        <v>417.63333333333327</v>
      </c>
      <c r="AH238" s="237">
        <f t="shared" si="49"/>
        <v>5.5364055391491744E-2</v>
      </c>
      <c r="AI238" s="237">
        <f t="shared" si="49"/>
        <v>1.8332468672679385E-2</v>
      </c>
      <c r="AJ238" s="237">
        <f t="shared" si="49"/>
        <v>0</v>
      </c>
      <c r="AK238" s="237">
        <f t="shared" si="49"/>
        <v>0.89674704685130502</v>
      </c>
      <c r="AL238" s="237">
        <f t="shared" si="49"/>
        <v>2.9556429084523911E-2</v>
      </c>
      <c r="AM238" s="237">
        <f t="shared" si="41"/>
        <v>1</v>
      </c>
      <c r="AO238" s="237">
        <f t="shared" si="42"/>
        <v>0.75124378109452739</v>
      </c>
      <c r="AP238" s="237">
        <f t="shared" si="43"/>
        <v>0.24875621890547264</v>
      </c>
      <c r="AQ238" s="237">
        <f t="shared" si="44"/>
        <v>0</v>
      </c>
      <c r="AR238" s="237">
        <f t="shared" si="45"/>
        <v>0.96809206717629603</v>
      </c>
      <c r="AS238" s="237">
        <f t="shared" si="45"/>
        <v>3.1907932823703966E-2</v>
      </c>
      <c r="AU238" s="251">
        <f t="shared" si="51"/>
        <v>9856.6184128805326</v>
      </c>
      <c r="AV238" s="251">
        <f t="shared" si="50"/>
        <v>2787.0879808798863</v>
      </c>
      <c r="AW238" s="251">
        <f t="shared" si="50"/>
        <v>0</v>
      </c>
      <c r="AX238" s="251">
        <f t="shared" si="50"/>
        <v>128503.25176600055</v>
      </c>
      <c r="AY238" s="251">
        <f t="shared" si="50"/>
        <v>4207.3673945102619</v>
      </c>
      <c r="AZ238" s="251">
        <f t="shared" si="47"/>
        <v>145354.32555427123</v>
      </c>
      <c r="BA238" s="270">
        <f t="shared" si="46"/>
        <v>7.6582713355016372</v>
      </c>
      <c r="BB238" s="251">
        <f t="shared" ref="BB238:BB281" si="54">SUM(AU238:AW238)</f>
        <v>12643.706393760418</v>
      </c>
      <c r="BC238" s="251">
        <f t="shared" ref="BC238:BC281" si="55">SUM(AX238:AY238)</f>
        <v>132710.6191605108</v>
      </c>
    </row>
    <row r="239" spans="1:55">
      <c r="A239" s="11">
        <v>50922</v>
      </c>
      <c r="B239" s="251">
        <v>100</v>
      </c>
      <c r="C239" s="251">
        <v>295</v>
      </c>
      <c r="D239" s="251">
        <v>5</v>
      </c>
      <c r="E239" s="251">
        <v>220</v>
      </c>
      <c r="F239" s="251">
        <v>44</v>
      </c>
      <c r="G239" s="287">
        <v>0.33</v>
      </c>
      <c r="H239" s="287"/>
      <c r="I239" s="251"/>
      <c r="J239" s="251"/>
      <c r="K239" s="251"/>
      <c r="L239" s="251"/>
      <c r="M239" s="13"/>
      <c r="N239" s="251">
        <f t="shared" si="52"/>
        <v>664.33</v>
      </c>
      <c r="O239" s="251">
        <f>'BBD Monthly Production'!AE26*12</f>
        <v>626.18009277628528</v>
      </c>
      <c r="P239" s="271">
        <f t="shared" si="53"/>
        <v>0.9425738605456403</v>
      </c>
      <c r="Y239" s="251">
        <f>SUM('RD Feedstock'!F237,'RD Feedstock'!I237)</f>
        <v>23.121874999999999</v>
      </c>
      <c r="Z239" s="251">
        <f>SUM('RD Feedstock'!G237,'RD Feedstock'!J237)</f>
        <v>7.65625</v>
      </c>
      <c r="AA239" s="251">
        <v>0</v>
      </c>
      <c r="AB239" s="251">
        <f>SUM('RD Feedstock'!B237,'RD Feedstock'!D237,'RD Feedstock'!H237)</f>
        <v>374.51145833333328</v>
      </c>
      <c r="AC239" s="251">
        <f>SUM('RD Feedstock'!C237,'RD Feedstock'!E237)</f>
        <v>12.34375</v>
      </c>
      <c r="AD239" s="251">
        <f t="shared" si="48"/>
        <v>417.63333333333327</v>
      </c>
      <c r="AH239" s="237">
        <f t="shared" si="49"/>
        <v>5.5364055391491744E-2</v>
      </c>
      <c r="AI239" s="237">
        <f t="shared" si="49"/>
        <v>1.8332468672679385E-2</v>
      </c>
      <c r="AJ239" s="237">
        <f t="shared" si="49"/>
        <v>0</v>
      </c>
      <c r="AK239" s="237">
        <f t="shared" si="49"/>
        <v>0.89674704685130502</v>
      </c>
      <c r="AL239" s="237">
        <f t="shared" si="49"/>
        <v>2.9556429084523911E-2</v>
      </c>
      <c r="AM239" s="237">
        <f t="shared" ref="AM239:AM302" si="56">SUM(AH239:AL239)</f>
        <v>1</v>
      </c>
      <c r="AO239" s="237">
        <f t="shared" ref="AO239:AO302" si="57">Y239/SUM($Y239:$AA239)</f>
        <v>0.75124378109452739</v>
      </c>
      <c r="AP239" s="237">
        <f t="shared" ref="AP239:AP302" si="58">Z239/SUM($Y239:$AA239)</f>
        <v>0.24875621890547264</v>
      </c>
      <c r="AQ239" s="237">
        <f t="shared" ref="AQ239:AQ302" si="59">AA239/SUM($Y239:$AA239)</f>
        <v>0</v>
      </c>
      <c r="AR239" s="237">
        <f t="shared" ref="AR239:AS281" si="60">AB239/SUM($AB239:$AC239)</f>
        <v>0.96809206717629603</v>
      </c>
      <c r="AS239" s="237">
        <f t="shared" si="60"/>
        <v>3.1907932823703966E-2</v>
      </c>
      <c r="AU239" s="251">
        <f t="shared" si="51"/>
        <v>12291.77512907796</v>
      </c>
      <c r="AV239" s="251">
        <f t="shared" si="50"/>
        <v>3475.6604436632274</v>
      </c>
      <c r="AW239" s="251">
        <f t="shared" si="50"/>
        <v>0</v>
      </c>
      <c r="AX239" s="251">
        <f t="shared" si="50"/>
        <v>160251.01184792246</v>
      </c>
      <c r="AY239" s="251">
        <f t="shared" si="50"/>
        <v>5246.8312896391308</v>
      </c>
      <c r="AZ239" s="251">
        <f t="shared" si="47"/>
        <v>181265.27871030278</v>
      </c>
      <c r="BA239" s="270">
        <f t="shared" ref="BA239:BA302" si="61">(AZ239*2204.622/1000000)/(O239/12)</f>
        <v>7.6582713355016381</v>
      </c>
      <c r="BB239" s="251">
        <f t="shared" si="54"/>
        <v>15767.435572741188</v>
      </c>
      <c r="BC239" s="251">
        <f t="shared" si="55"/>
        <v>165497.84313756161</v>
      </c>
    </row>
    <row r="240" spans="1:55">
      <c r="A240" s="11">
        <v>50952</v>
      </c>
      <c r="B240" s="251">
        <v>100</v>
      </c>
      <c r="C240" s="251">
        <v>295</v>
      </c>
      <c r="D240" s="251">
        <v>5</v>
      </c>
      <c r="E240" s="251">
        <v>220</v>
      </c>
      <c r="F240" s="251">
        <v>44</v>
      </c>
      <c r="G240" s="287">
        <v>0.33</v>
      </c>
      <c r="H240" s="287"/>
      <c r="I240" s="251"/>
      <c r="J240" s="251"/>
      <c r="K240" s="251"/>
      <c r="L240" s="251"/>
      <c r="M240" s="13"/>
      <c r="N240" s="251">
        <f t="shared" si="52"/>
        <v>664.33</v>
      </c>
      <c r="O240" s="251">
        <f>'BBD Monthly Production'!AE27*12</f>
        <v>551.01330258654048</v>
      </c>
      <c r="P240" s="271">
        <f t="shared" si="53"/>
        <v>0.82942709585076757</v>
      </c>
      <c r="Y240" s="251">
        <f>SUM('RD Feedstock'!F238,'RD Feedstock'!I238)</f>
        <v>23.121874999999999</v>
      </c>
      <c r="Z240" s="251">
        <f>SUM('RD Feedstock'!G238,'RD Feedstock'!J238)</f>
        <v>7.65625</v>
      </c>
      <c r="AA240" s="251">
        <v>0</v>
      </c>
      <c r="AB240" s="251">
        <f>SUM('RD Feedstock'!B238,'RD Feedstock'!D238,'RD Feedstock'!H238)</f>
        <v>374.51145833333328</v>
      </c>
      <c r="AC240" s="251">
        <f>SUM('RD Feedstock'!C238,'RD Feedstock'!E238)</f>
        <v>12.34375</v>
      </c>
      <c r="AD240" s="251">
        <f t="shared" si="48"/>
        <v>417.63333333333327</v>
      </c>
      <c r="AH240" s="237">
        <f t="shared" si="49"/>
        <v>5.5364055391491744E-2</v>
      </c>
      <c r="AI240" s="237">
        <f t="shared" si="49"/>
        <v>1.8332468672679385E-2</v>
      </c>
      <c r="AJ240" s="237">
        <f t="shared" si="49"/>
        <v>0</v>
      </c>
      <c r="AK240" s="237">
        <f t="shared" si="49"/>
        <v>0.89674704685130502</v>
      </c>
      <c r="AL240" s="237">
        <f t="shared" si="49"/>
        <v>2.9556429084523911E-2</v>
      </c>
      <c r="AM240" s="237">
        <f t="shared" si="56"/>
        <v>1</v>
      </c>
      <c r="AO240" s="237">
        <f t="shared" si="57"/>
        <v>0.75124378109452739</v>
      </c>
      <c r="AP240" s="237">
        <f t="shared" si="58"/>
        <v>0.24875621890547264</v>
      </c>
      <c r="AQ240" s="237">
        <f t="shared" si="59"/>
        <v>0</v>
      </c>
      <c r="AR240" s="237">
        <f t="shared" si="60"/>
        <v>0.96809206717629603</v>
      </c>
      <c r="AS240" s="237">
        <f t="shared" si="60"/>
        <v>3.1907932823703966E-2</v>
      </c>
      <c r="AU240" s="251">
        <f t="shared" si="51"/>
        <v>10816.267854340915</v>
      </c>
      <c r="AV240" s="251">
        <f t="shared" si="50"/>
        <v>3058.4414321464133</v>
      </c>
      <c r="AW240" s="251">
        <f t="shared" si="50"/>
        <v>0</v>
      </c>
      <c r="AX240" s="251">
        <f t="shared" si="50"/>
        <v>141014.44664211894</v>
      </c>
      <c r="AY240" s="251">
        <f t="shared" si="50"/>
        <v>4617.0005568211918</v>
      </c>
      <c r="AZ240" s="251">
        <f t="shared" si="47"/>
        <v>159506.15648542746</v>
      </c>
      <c r="BA240" s="270">
        <f t="shared" si="61"/>
        <v>7.6582713355016363</v>
      </c>
      <c r="BB240" s="251">
        <f t="shared" si="54"/>
        <v>13874.709286487328</v>
      </c>
      <c r="BC240" s="251">
        <f t="shared" si="55"/>
        <v>145631.44719894012</v>
      </c>
    </row>
    <row r="241" spans="1:55">
      <c r="A241" s="11">
        <v>50983</v>
      </c>
      <c r="B241" s="251">
        <v>100</v>
      </c>
      <c r="C241" s="251">
        <v>295</v>
      </c>
      <c r="D241" s="251">
        <v>5</v>
      </c>
      <c r="E241" s="251">
        <v>220</v>
      </c>
      <c r="F241" s="251">
        <v>44</v>
      </c>
      <c r="G241" s="287">
        <v>0.33</v>
      </c>
      <c r="H241" s="287"/>
      <c r="I241" s="251"/>
      <c r="J241" s="251"/>
      <c r="K241" s="251"/>
      <c r="L241" s="251"/>
      <c r="M241" s="13"/>
      <c r="N241" s="251">
        <f t="shared" si="52"/>
        <v>664.33</v>
      </c>
      <c r="O241" s="251">
        <f>'BBD Monthly Production'!AE28*12</f>
        <v>484.43079252558067</v>
      </c>
      <c r="P241" s="271">
        <f t="shared" si="53"/>
        <v>0.72920204194538951</v>
      </c>
      <c r="Y241" s="251">
        <f>SUM('RD Feedstock'!F239,'RD Feedstock'!I239)</f>
        <v>23.121874999999999</v>
      </c>
      <c r="Z241" s="251">
        <f>SUM('RD Feedstock'!G239,'RD Feedstock'!J239)</f>
        <v>7.65625</v>
      </c>
      <c r="AA241" s="251">
        <v>0</v>
      </c>
      <c r="AB241" s="251">
        <f>SUM('RD Feedstock'!B239,'RD Feedstock'!D239,'RD Feedstock'!H239)</f>
        <v>374.51145833333328</v>
      </c>
      <c r="AC241" s="251">
        <f>SUM('RD Feedstock'!C239,'RD Feedstock'!E239)</f>
        <v>12.34375</v>
      </c>
      <c r="AD241" s="251">
        <f t="shared" si="48"/>
        <v>417.63333333333327</v>
      </c>
      <c r="AH241" s="237">
        <f t="shared" si="49"/>
        <v>5.5364055391491744E-2</v>
      </c>
      <c r="AI241" s="237">
        <f t="shared" si="49"/>
        <v>1.8332468672679385E-2</v>
      </c>
      <c r="AJ241" s="237">
        <f t="shared" si="49"/>
        <v>0</v>
      </c>
      <c r="AK241" s="237">
        <f t="shared" si="49"/>
        <v>0.89674704685130502</v>
      </c>
      <c r="AL241" s="237">
        <f t="shared" si="49"/>
        <v>2.9556429084523911E-2</v>
      </c>
      <c r="AM241" s="237">
        <f t="shared" si="56"/>
        <v>1</v>
      </c>
      <c r="AO241" s="237">
        <f t="shared" si="57"/>
        <v>0.75124378109452739</v>
      </c>
      <c r="AP241" s="237">
        <f t="shared" si="58"/>
        <v>0.24875621890547264</v>
      </c>
      <c r="AQ241" s="237">
        <f t="shared" si="59"/>
        <v>0</v>
      </c>
      <c r="AR241" s="237">
        <f t="shared" si="60"/>
        <v>0.96809206717629603</v>
      </c>
      <c r="AS241" s="237">
        <f t="shared" si="60"/>
        <v>3.1907932823703966E-2</v>
      </c>
      <c r="AU241" s="251">
        <f t="shared" si="51"/>
        <v>9509.2680780141327</v>
      </c>
      <c r="AV241" s="251">
        <f t="shared" si="50"/>
        <v>2688.8701233035345</v>
      </c>
      <c r="AW241" s="251">
        <f t="shared" si="50"/>
        <v>0</v>
      </c>
      <c r="AX241" s="251">
        <f t="shared" si="50"/>
        <v>123974.75673224615</v>
      </c>
      <c r="AY241" s="251">
        <f t="shared" si="50"/>
        <v>4059.0984434185439</v>
      </c>
      <c r="AZ241" s="251">
        <f t="shared" si="47"/>
        <v>140231.99337698237</v>
      </c>
      <c r="BA241" s="270">
        <f t="shared" si="61"/>
        <v>7.6582713355016372</v>
      </c>
      <c r="BB241" s="251">
        <f t="shared" si="54"/>
        <v>12198.138201317666</v>
      </c>
      <c r="BC241" s="251">
        <f t="shared" si="55"/>
        <v>128033.85517566469</v>
      </c>
    </row>
    <row r="242" spans="1:55">
      <c r="A242" s="11">
        <v>51014</v>
      </c>
      <c r="B242" s="251">
        <v>100</v>
      </c>
      <c r="C242" s="251">
        <v>295</v>
      </c>
      <c r="D242" s="251">
        <v>5</v>
      </c>
      <c r="E242" s="251">
        <v>220</v>
      </c>
      <c r="F242" s="251">
        <v>44</v>
      </c>
      <c r="G242" s="287">
        <v>0.33</v>
      </c>
      <c r="H242" s="287"/>
      <c r="I242" s="251"/>
      <c r="J242" s="251"/>
      <c r="K242" s="251"/>
      <c r="L242" s="251"/>
      <c r="M242" s="13"/>
      <c r="N242" s="251">
        <f t="shared" si="52"/>
        <v>664.33</v>
      </c>
      <c r="O242" s="251">
        <f>'BBD Monthly Production'!AE29*12</f>
        <v>529.00944081771911</v>
      </c>
      <c r="P242" s="271">
        <f t="shared" si="53"/>
        <v>0.79630521099110241</v>
      </c>
      <c r="Y242" s="251">
        <f>SUM('RD Feedstock'!F240,'RD Feedstock'!I240)</f>
        <v>23.121874999999999</v>
      </c>
      <c r="Z242" s="251">
        <f>SUM('RD Feedstock'!G240,'RD Feedstock'!J240)</f>
        <v>7.65625</v>
      </c>
      <c r="AA242" s="251">
        <v>0</v>
      </c>
      <c r="AB242" s="251">
        <f>SUM('RD Feedstock'!B240,'RD Feedstock'!D240,'RD Feedstock'!H240)</f>
        <v>374.51145833333328</v>
      </c>
      <c r="AC242" s="251">
        <f>SUM('RD Feedstock'!C240,'RD Feedstock'!E240)</f>
        <v>12.34375</v>
      </c>
      <c r="AD242" s="251">
        <f t="shared" si="48"/>
        <v>417.63333333333327</v>
      </c>
      <c r="AH242" s="237">
        <f t="shared" si="49"/>
        <v>5.5364055391491744E-2</v>
      </c>
      <c r="AI242" s="237">
        <f t="shared" si="49"/>
        <v>1.8332468672679385E-2</v>
      </c>
      <c r="AJ242" s="237">
        <f t="shared" si="49"/>
        <v>0</v>
      </c>
      <c r="AK242" s="237">
        <f t="shared" si="49"/>
        <v>0.89674704685130502</v>
      </c>
      <c r="AL242" s="237">
        <f t="shared" si="49"/>
        <v>2.9556429084523911E-2</v>
      </c>
      <c r="AM242" s="237">
        <f t="shared" si="56"/>
        <v>1</v>
      </c>
      <c r="AO242" s="237">
        <f t="shared" si="57"/>
        <v>0.75124378109452739</v>
      </c>
      <c r="AP242" s="237">
        <f t="shared" si="58"/>
        <v>0.24875621890547264</v>
      </c>
      <c r="AQ242" s="237">
        <f t="shared" si="59"/>
        <v>0</v>
      </c>
      <c r="AR242" s="237">
        <f t="shared" si="60"/>
        <v>0.96809206717629603</v>
      </c>
      <c r="AS242" s="237">
        <f t="shared" si="60"/>
        <v>3.1907932823703966E-2</v>
      </c>
      <c r="AU242" s="251">
        <f t="shared" si="51"/>
        <v>10384.336970632197</v>
      </c>
      <c r="AV242" s="251">
        <f t="shared" si="50"/>
        <v>2936.3073163545055</v>
      </c>
      <c r="AW242" s="251">
        <f t="shared" si="50"/>
        <v>0</v>
      </c>
      <c r="AX242" s="251">
        <f t="shared" si="50"/>
        <v>135383.25339006004</v>
      </c>
      <c r="AY242" s="251">
        <f t="shared" si="50"/>
        <v>4432.627799281624</v>
      </c>
      <c r="AZ242" s="251">
        <f t="shared" si="47"/>
        <v>153136.52547632836</v>
      </c>
      <c r="BA242" s="270">
        <f t="shared" si="61"/>
        <v>7.6582713355016372</v>
      </c>
      <c r="BB242" s="251">
        <f t="shared" si="54"/>
        <v>13320.644286986702</v>
      </c>
      <c r="BC242" s="251">
        <f t="shared" si="55"/>
        <v>139815.88118934166</v>
      </c>
    </row>
    <row r="243" spans="1:55">
      <c r="A243" s="11">
        <v>51044</v>
      </c>
      <c r="B243" s="251">
        <v>100</v>
      </c>
      <c r="C243" s="251">
        <v>295</v>
      </c>
      <c r="D243" s="251">
        <v>5</v>
      </c>
      <c r="E243" s="251">
        <v>220</v>
      </c>
      <c r="F243" s="251">
        <v>44</v>
      </c>
      <c r="G243" s="287">
        <v>0.33</v>
      </c>
      <c r="H243" s="287"/>
      <c r="I243" s="251"/>
      <c r="J243" s="251"/>
      <c r="K243" s="251"/>
      <c r="L243" s="251"/>
      <c r="M243" s="13"/>
      <c r="N243" s="251">
        <f t="shared" si="52"/>
        <v>664.33</v>
      </c>
      <c r="O243" s="251">
        <f>'BBD Monthly Production'!AE30*12</f>
        <v>422.69936172558732</v>
      </c>
      <c r="P243" s="271">
        <f t="shared" si="53"/>
        <v>0.63627920118854675</v>
      </c>
      <c r="Y243" s="251">
        <f>SUM('RD Feedstock'!F241,'RD Feedstock'!I241)</f>
        <v>23.121874999999999</v>
      </c>
      <c r="Z243" s="251">
        <f>SUM('RD Feedstock'!G241,'RD Feedstock'!J241)</f>
        <v>7.65625</v>
      </c>
      <c r="AA243" s="251">
        <v>0</v>
      </c>
      <c r="AB243" s="251">
        <f>SUM('RD Feedstock'!B241,'RD Feedstock'!D241,'RD Feedstock'!H241)</f>
        <v>374.51145833333328</v>
      </c>
      <c r="AC243" s="251">
        <f>SUM('RD Feedstock'!C241,'RD Feedstock'!E241)</f>
        <v>12.34375</v>
      </c>
      <c r="AD243" s="251">
        <f t="shared" si="48"/>
        <v>417.63333333333327</v>
      </c>
      <c r="AH243" s="237">
        <f t="shared" si="49"/>
        <v>5.5364055391491744E-2</v>
      </c>
      <c r="AI243" s="237">
        <f t="shared" si="49"/>
        <v>1.8332468672679385E-2</v>
      </c>
      <c r="AJ243" s="237">
        <f t="shared" si="49"/>
        <v>0</v>
      </c>
      <c r="AK243" s="237">
        <f t="shared" si="49"/>
        <v>0.89674704685130502</v>
      </c>
      <c r="AL243" s="237">
        <f t="shared" si="49"/>
        <v>2.9556429084523911E-2</v>
      </c>
      <c r="AM243" s="237">
        <f t="shared" si="56"/>
        <v>1</v>
      </c>
      <c r="AO243" s="237">
        <f t="shared" si="57"/>
        <v>0.75124378109452739</v>
      </c>
      <c r="AP243" s="237">
        <f t="shared" si="58"/>
        <v>0.24875621890547264</v>
      </c>
      <c r="AQ243" s="237">
        <f t="shared" si="59"/>
        <v>0</v>
      </c>
      <c r="AR243" s="237">
        <f t="shared" si="60"/>
        <v>0.96809206717629603</v>
      </c>
      <c r="AS243" s="237">
        <f t="shared" si="60"/>
        <v>3.1907932823703966E-2</v>
      </c>
      <c r="AU243" s="251">
        <f t="shared" si="51"/>
        <v>8297.4939022725739</v>
      </c>
      <c r="AV243" s="251">
        <f t="shared" si="50"/>
        <v>2346.2251005098674</v>
      </c>
      <c r="AW243" s="251">
        <f t="shared" si="50"/>
        <v>0</v>
      </c>
      <c r="AX243" s="251">
        <f t="shared" si="50"/>
        <v>108176.54729914424</v>
      </c>
      <c r="AY243" s="251">
        <f t="shared" si="50"/>
        <v>3541.8440522104929</v>
      </c>
      <c r="AZ243" s="251">
        <f t="shared" si="47"/>
        <v>122362.11035413717</v>
      </c>
      <c r="BA243" s="270">
        <f t="shared" si="61"/>
        <v>7.6582713355016363</v>
      </c>
      <c r="BB243" s="251">
        <f t="shared" si="54"/>
        <v>10643.719002782442</v>
      </c>
      <c r="BC243" s="251">
        <f t="shared" si="55"/>
        <v>111718.39135135473</v>
      </c>
    </row>
    <row r="244" spans="1:55">
      <c r="A244" s="11">
        <v>51075</v>
      </c>
      <c r="B244" s="251">
        <v>100</v>
      </c>
      <c r="C244" s="251">
        <v>295</v>
      </c>
      <c r="D244" s="251">
        <v>5</v>
      </c>
      <c r="E244" s="251">
        <v>220</v>
      </c>
      <c r="F244" s="251">
        <v>44</v>
      </c>
      <c r="G244" s="287">
        <v>0.33</v>
      </c>
      <c r="H244" s="287"/>
      <c r="I244" s="251"/>
      <c r="J244" s="251"/>
      <c r="K244" s="251"/>
      <c r="L244" s="251"/>
      <c r="M244" s="13"/>
      <c r="N244" s="251">
        <f t="shared" si="52"/>
        <v>664.33</v>
      </c>
      <c r="O244" s="251">
        <f>'BBD Monthly Production'!AE31*12</f>
        <v>544.28887111497738</v>
      </c>
      <c r="P244" s="271">
        <f t="shared" si="53"/>
        <v>0.81930497059439944</v>
      </c>
      <c r="Y244" s="251">
        <f>SUM('RD Feedstock'!F242,'RD Feedstock'!I242)</f>
        <v>23.121874999999999</v>
      </c>
      <c r="Z244" s="251">
        <f>SUM('RD Feedstock'!G242,'RD Feedstock'!J242)</f>
        <v>7.65625</v>
      </c>
      <c r="AA244" s="251">
        <v>0</v>
      </c>
      <c r="AB244" s="251">
        <f>SUM('RD Feedstock'!B242,'RD Feedstock'!D242,'RD Feedstock'!H242)</f>
        <v>374.51145833333328</v>
      </c>
      <c r="AC244" s="251">
        <f>SUM('RD Feedstock'!C242,'RD Feedstock'!E242)</f>
        <v>12.34375</v>
      </c>
      <c r="AD244" s="251">
        <f t="shared" si="48"/>
        <v>417.63333333333327</v>
      </c>
      <c r="AH244" s="237">
        <f t="shared" si="49"/>
        <v>5.5364055391491744E-2</v>
      </c>
      <c r="AI244" s="237">
        <f t="shared" si="49"/>
        <v>1.8332468672679385E-2</v>
      </c>
      <c r="AJ244" s="237">
        <f t="shared" si="49"/>
        <v>0</v>
      </c>
      <c r="AK244" s="237">
        <f t="shared" si="49"/>
        <v>0.89674704685130502</v>
      </c>
      <c r="AL244" s="237">
        <f t="shared" si="49"/>
        <v>2.9556429084523911E-2</v>
      </c>
      <c r="AM244" s="237">
        <f t="shared" si="56"/>
        <v>1</v>
      </c>
      <c r="AO244" s="237">
        <f t="shared" si="57"/>
        <v>0.75124378109452739</v>
      </c>
      <c r="AP244" s="237">
        <f t="shared" si="58"/>
        <v>0.24875621890547264</v>
      </c>
      <c r="AQ244" s="237">
        <f t="shared" si="59"/>
        <v>0</v>
      </c>
      <c r="AR244" s="237">
        <f t="shared" si="60"/>
        <v>0.96809206717629603</v>
      </c>
      <c r="AS244" s="237">
        <f t="shared" si="60"/>
        <v>3.1907932823703966E-2</v>
      </c>
      <c r="AU244" s="251">
        <f t="shared" si="51"/>
        <v>10684.268768977339</v>
      </c>
      <c r="AV244" s="251">
        <f t="shared" si="50"/>
        <v>3021.1169615325152</v>
      </c>
      <c r="AW244" s="251">
        <f t="shared" si="50"/>
        <v>0</v>
      </c>
      <c r="AX244" s="251">
        <f t="shared" si="50"/>
        <v>139293.54085183379</v>
      </c>
      <c r="AY244" s="251">
        <f t="shared" si="50"/>
        <v>4560.6558121430235</v>
      </c>
      <c r="AZ244" s="251">
        <f t="shared" si="47"/>
        <v>157559.58239448667</v>
      </c>
      <c r="BA244" s="270">
        <f t="shared" si="61"/>
        <v>7.6582713355016372</v>
      </c>
      <c r="BB244" s="251">
        <f t="shared" si="54"/>
        <v>13705.385730509854</v>
      </c>
      <c r="BC244" s="251">
        <f t="shared" si="55"/>
        <v>143854.19666397682</v>
      </c>
    </row>
    <row r="245" spans="1:55">
      <c r="A245" s="11">
        <v>51105</v>
      </c>
      <c r="B245" s="251">
        <v>100</v>
      </c>
      <c r="C245" s="251">
        <v>295</v>
      </c>
      <c r="D245" s="251">
        <v>5</v>
      </c>
      <c r="E245" s="251">
        <v>220</v>
      </c>
      <c r="F245" s="251">
        <v>44</v>
      </c>
      <c r="G245" s="287">
        <v>0.33</v>
      </c>
      <c r="H245" s="287"/>
      <c r="I245" s="251"/>
      <c r="J245" s="251"/>
      <c r="K245" s="251"/>
      <c r="L245" s="251"/>
      <c r="M245" s="13"/>
      <c r="N245" s="251">
        <f t="shared" si="52"/>
        <v>664.33</v>
      </c>
      <c r="O245" s="251">
        <f>'BBD Monthly Production'!AE32*12</f>
        <v>748.70108620542192</v>
      </c>
      <c r="P245" s="271">
        <f t="shared" si="53"/>
        <v>1.1270017705137836</v>
      </c>
      <c r="Y245" s="251">
        <f>SUM('RD Feedstock'!F243,'RD Feedstock'!I243)</f>
        <v>23.121874999999999</v>
      </c>
      <c r="Z245" s="251">
        <f>SUM('RD Feedstock'!G243,'RD Feedstock'!J243)</f>
        <v>7.65625</v>
      </c>
      <c r="AA245" s="251">
        <v>0</v>
      </c>
      <c r="AB245" s="251">
        <f>SUM('RD Feedstock'!B243,'RD Feedstock'!D243,'RD Feedstock'!H243)</f>
        <v>374.51145833333328</v>
      </c>
      <c r="AC245" s="251">
        <f>SUM('RD Feedstock'!C243,'RD Feedstock'!E243)</f>
        <v>12.34375</v>
      </c>
      <c r="AD245" s="251">
        <f t="shared" si="48"/>
        <v>417.63333333333327</v>
      </c>
      <c r="AH245" s="237">
        <f t="shared" si="49"/>
        <v>5.5364055391491744E-2</v>
      </c>
      <c r="AI245" s="237">
        <f t="shared" si="49"/>
        <v>1.8332468672679385E-2</v>
      </c>
      <c r="AJ245" s="237">
        <f t="shared" si="49"/>
        <v>0</v>
      </c>
      <c r="AK245" s="237">
        <f t="shared" si="49"/>
        <v>0.89674704685130502</v>
      </c>
      <c r="AL245" s="237">
        <f t="shared" si="49"/>
        <v>2.9556429084523911E-2</v>
      </c>
      <c r="AM245" s="237">
        <f t="shared" si="56"/>
        <v>1</v>
      </c>
      <c r="AO245" s="237">
        <f t="shared" si="57"/>
        <v>0.75124378109452739</v>
      </c>
      <c r="AP245" s="237">
        <f t="shared" si="58"/>
        <v>0.24875621890547264</v>
      </c>
      <c r="AQ245" s="237">
        <f t="shared" si="59"/>
        <v>0</v>
      </c>
      <c r="AR245" s="237">
        <f t="shared" si="60"/>
        <v>0.96809206717629603</v>
      </c>
      <c r="AS245" s="237">
        <f t="shared" si="60"/>
        <v>3.1907932823703966E-2</v>
      </c>
      <c r="AU245" s="251">
        <f t="shared" si="51"/>
        <v>14696.834819086715</v>
      </c>
      <c r="AV245" s="251">
        <f t="shared" si="50"/>
        <v>4155.7225780117124</v>
      </c>
      <c r="AW245" s="251">
        <f t="shared" si="50"/>
        <v>0</v>
      </c>
      <c r="AX245" s="251">
        <f t="shared" si="50"/>
        <v>191606.38931222403</v>
      </c>
      <c r="AY245" s="251">
        <f t="shared" si="50"/>
        <v>6273.4480559299327</v>
      </c>
      <c r="AZ245" s="251">
        <f t="shared" si="47"/>
        <v>216732.39476525239</v>
      </c>
      <c r="BA245" s="270">
        <f t="shared" si="61"/>
        <v>7.6582713355016372</v>
      </c>
      <c r="BB245" s="251">
        <f t="shared" si="54"/>
        <v>18852.557397098426</v>
      </c>
      <c r="BC245" s="251">
        <f t="shared" si="55"/>
        <v>197879.83736815397</v>
      </c>
    </row>
    <row r="246" spans="1:55">
      <c r="A246" s="11">
        <v>51136</v>
      </c>
      <c r="B246" s="251">
        <v>100</v>
      </c>
      <c r="C246" s="251">
        <v>295</v>
      </c>
      <c r="D246" s="251">
        <v>5</v>
      </c>
      <c r="E246" s="251">
        <v>220</v>
      </c>
      <c r="F246" s="251">
        <v>44</v>
      </c>
      <c r="G246" s="287">
        <v>0.33</v>
      </c>
      <c r="H246" s="287"/>
      <c r="I246" s="251"/>
      <c r="J246" s="251"/>
      <c r="K246" s="251"/>
      <c r="L246" s="251"/>
      <c r="M246" s="13"/>
      <c r="N246" s="251">
        <f t="shared" si="52"/>
        <v>664.33</v>
      </c>
      <c r="O246" s="251">
        <f>'BBD Monthly Production'!AF21*12</f>
        <v>234.88277565386545</v>
      </c>
      <c r="P246" s="271">
        <f t="shared" si="53"/>
        <v>0.35356340320904583</v>
      </c>
      <c r="Y246" s="251">
        <f>SUM('RD Feedstock'!F244,'RD Feedstock'!I244)</f>
        <v>23.121874999999999</v>
      </c>
      <c r="Z246" s="251">
        <f>SUM('RD Feedstock'!G244,'RD Feedstock'!J244)</f>
        <v>7.65625</v>
      </c>
      <c r="AA246" s="251">
        <v>0</v>
      </c>
      <c r="AB246" s="251">
        <f>SUM('RD Feedstock'!B244,'RD Feedstock'!D244,'RD Feedstock'!H244)</f>
        <v>374.51145833333328</v>
      </c>
      <c r="AC246" s="251">
        <f>SUM('RD Feedstock'!C244,'RD Feedstock'!E244)</f>
        <v>12.34375</v>
      </c>
      <c r="AD246" s="251">
        <f t="shared" si="48"/>
        <v>417.63333333333327</v>
      </c>
      <c r="AH246" s="237">
        <f t="shared" si="49"/>
        <v>5.5364055391491744E-2</v>
      </c>
      <c r="AI246" s="237">
        <f t="shared" si="49"/>
        <v>1.8332468672679385E-2</v>
      </c>
      <c r="AJ246" s="237">
        <f t="shared" si="49"/>
        <v>0</v>
      </c>
      <c r="AK246" s="237">
        <f t="shared" si="49"/>
        <v>0.89674704685130502</v>
      </c>
      <c r="AL246" s="237">
        <f t="shared" si="49"/>
        <v>2.9556429084523911E-2</v>
      </c>
      <c r="AM246" s="237">
        <f t="shared" si="56"/>
        <v>1</v>
      </c>
      <c r="AO246" s="237">
        <f t="shared" si="57"/>
        <v>0.75124378109452739</v>
      </c>
      <c r="AP246" s="237">
        <f t="shared" si="58"/>
        <v>0.24875621890547264</v>
      </c>
      <c r="AQ246" s="237">
        <f t="shared" si="59"/>
        <v>0</v>
      </c>
      <c r="AR246" s="237">
        <f t="shared" si="60"/>
        <v>0.96809206717629603</v>
      </c>
      <c r="AS246" s="237">
        <f t="shared" si="60"/>
        <v>3.1907932823703966E-2</v>
      </c>
      <c r="AU246" s="251">
        <f t="shared" si="51"/>
        <v>4610.6963369441728</v>
      </c>
      <c r="AV246" s="251">
        <f t="shared" si="50"/>
        <v>1303.7347907667022</v>
      </c>
      <c r="AW246" s="251">
        <f t="shared" si="50"/>
        <v>0</v>
      </c>
      <c r="AX246" s="251">
        <f t="shared" si="50"/>
        <v>60110.825780640356</v>
      </c>
      <c r="AY246" s="251">
        <f t="shared" si="50"/>
        <v>1968.1083939190064</v>
      </c>
      <c r="AZ246" s="251">
        <f t="shared" si="47"/>
        <v>67993.365302270235</v>
      </c>
      <c r="BA246" s="270">
        <f t="shared" si="61"/>
        <v>7.6582713355016363</v>
      </c>
      <c r="BB246" s="251">
        <f t="shared" si="54"/>
        <v>5914.4311277108754</v>
      </c>
      <c r="BC246" s="251">
        <f t="shared" si="55"/>
        <v>62078.934174559363</v>
      </c>
    </row>
    <row r="247" spans="1:55">
      <c r="A247" s="11">
        <v>51167</v>
      </c>
      <c r="B247" s="251">
        <v>100</v>
      </c>
      <c r="C247" s="251">
        <v>295</v>
      </c>
      <c r="D247" s="251">
        <v>5</v>
      </c>
      <c r="E247" s="251">
        <v>220</v>
      </c>
      <c r="F247" s="251">
        <v>44</v>
      </c>
      <c r="G247" s="287">
        <v>0.33</v>
      </c>
      <c r="H247" s="287"/>
      <c r="I247" s="251"/>
      <c r="J247" s="251"/>
      <c r="K247" s="251"/>
      <c r="L247" s="251"/>
      <c r="M247" s="13"/>
      <c r="N247" s="251">
        <f t="shared" si="52"/>
        <v>664.33</v>
      </c>
      <c r="O247" s="251">
        <f>'BBD Monthly Production'!AF22*12</f>
        <v>275.73472150578954</v>
      </c>
      <c r="P247" s="271">
        <f t="shared" si="53"/>
        <v>0.41505685654086</v>
      </c>
      <c r="Y247" s="251">
        <f>SUM('RD Feedstock'!F245,'RD Feedstock'!I245)</f>
        <v>23.121874999999999</v>
      </c>
      <c r="Z247" s="251">
        <f>SUM('RD Feedstock'!G245,'RD Feedstock'!J245)</f>
        <v>7.65625</v>
      </c>
      <c r="AA247" s="251">
        <v>0</v>
      </c>
      <c r="AB247" s="251">
        <f>SUM('RD Feedstock'!B245,'RD Feedstock'!D245,'RD Feedstock'!H245)</f>
        <v>374.51145833333328</v>
      </c>
      <c r="AC247" s="251">
        <f>SUM('RD Feedstock'!C245,'RD Feedstock'!E245)</f>
        <v>12.34375</v>
      </c>
      <c r="AD247" s="251">
        <f t="shared" si="48"/>
        <v>417.63333333333327</v>
      </c>
      <c r="AH247" s="237">
        <f t="shared" si="49"/>
        <v>5.5364055391491744E-2</v>
      </c>
      <c r="AI247" s="237">
        <f t="shared" si="49"/>
        <v>1.8332468672679385E-2</v>
      </c>
      <c r="AJ247" s="237">
        <f t="shared" si="49"/>
        <v>0</v>
      </c>
      <c r="AK247" s="237">
        <f t="shared" si="49"/>
        <v>0.89674704685130502</v>
      </c>
      <c r="AL247" s="237">
        <f t="shared" si="49"/>
        <v>2.9556429084523911E-2</v>
      </c>
      <c r="AM247" s="237">
        <f t="shared" si="56"/>
        <v>1</v>
      </c>
      <c r="AO247" s="237">
        <f t="shared" si="57"/>
        <v>0.75124378109452739</v>
      </c>
      <c r="AP247" s="237">
        <f t="shared" si="58"/>
        <v>0.24875621890547264</v>
      </c>
      <c r="AQ247" s="237">
        <f t="shared" si="59"/>
        <v>0</v>
      </c>
      <c r="AR247" s="237">
        <f t="shared" si="60"/>
        <v>0.96809206717629603</v>
      </c>
      <c r="AS247" s="237">
        <f t="shared" si="60"/>
        <v>3.1907932823703966E-2</v>
      </c>
      <c r="AU247" s="251">
        <f t="shared" si="51"/>
        <v>5412.6108944172101</v>
      </c>
      <c r="AV247" s="251">
        <f t="shared" si="50"/>
        <v>1530.4866372118308</v>
      </c>
      <c r="AW247" s="251">
        <f t="shared" si="50"/>
        <v>0</v>
      </c>
      <c r="AX247" s="251">
        <f t="shared" si="50"/>
        <v>70565.590686535041</v>
      </c>
      <c r="AY247" s="251">
        <f t="shared" si="50"/>
        <v>2310.4113035950209</v>
      </c>
      <c r="AZ247" s="251">
        <f t="shared" si="47"/>
        <v>79819.099521759097</v>
      </c>
      <c r="BA247" s="270">
        <f t="shared" si="61"/>
        <v>7.6582713355016363</v>
      </c>
      <c r="BB247" s="251">
        <f t="shared" si="54"/>
        <v>6943.0975316290405</v>
      </c>
      <c r="BC247" s="251">
        <f t="shared" si="55"/>
        <v>72876.001990130055</v>
      </c>
    </row>
    <row r="248" spans="1:55">
      <c r="A248" s="11">
        <v>51196</v>
      </c>
      <c r="B248" s="251">
        <v>100</v>
      </c>
      <c r="C248" s="251">
        <v>295</v>
      </c>
      <c r="D248" s="251">
        <v>5</v>
      </c>
      <c r="E248" s="251">
        <v>220</v>
      </c>
      <c r="F248" s="251">
        <v>44</v>
      </c>
      <c r="G248" s="287">
        <v>0.33</v>
      </c>
      <c r="H248" s="287"/>
      <c r="I248" s="251"/>
      <c r="J248" s="251"/>
      <c r="K248" s="251"/>
      <c r="L248" s="251"/>
      <c r="M248" s="13"/>
      <c r="N248" s="251">
        <f t="shared" si="52"/>
        <v>664.33</v>
      </c>
      <c r="O248" s="251">
        <f>'BBD Monthly Production'!AF23*12</f>
        <v>538.73077602963076</v>
      </c>
      <c r="P248" s="271">
        <f t="shared" si="53"/>
        <v>0.81093850349921082</v>
      </c>
      <c r="Y248" s="251">
        <f>SUM('RD Feedstock'!F246,'RD Feedstock'!I246)</f>
        <v>23.121874999999999</v>
      </c>
      <c r="Z248" s="251">
        <f>SUM('RD Feedstock'!G246,'RD Feedstock'!J246)</f>
        <v>7.65625</v>
      </c>
      <c r="AA248" s="251">
        <v>0</v>
      </c>
      <c r="AB248" s="251">
        <f>SUM('RD Feedstock'!B246,'RD Feedstock'!D246,'RD Feedstock'!H246)</f>
        <v>374.51145833333328</v>
      </c>
      <c r="AC248" s="251">
        <f>SUM('RD Feedstock'!C246,'RD Feedstock'!E246)</f>
        <v>12.34375</v>
      </c>
      <c r="AD248" s="251">
        <f t="shared" si="48"/>
        <v>417.63333333333327</v>
      </c>
      <c r="AH248" s="237">
        <f t="shared" si="49"/>
        <v>5.5364055391491744E-2</v>
      </c>
      <c r="AI248" s="237">
        <f t="shared" si="49"/>
        <v>1.8332468672679385E-2</v>
      </c>
      <c r="AJ248" s="237">
        <f t="shared" si="49"/>
        <v>0</v>
      </c>
      <c r="AK248" s="237">
        <f t="shared" si="49"/>
        <v>0.89674704685130502</v>
      </c>
      <c r="AL248" s="237">
        <f t="shared" si="49"/>
        <v>2.9556429084523911E-2</v>
      </c>
      <c r="AM248" s="237">
        <f t="shared" si="56"/>
        <v>1</v>
      </c>
      <c r="AO248" s="237">
        <f t="shared" si="57"/>
        <v>0.75124378109452739</v>
      </c>
      <c r="AP248" s="237">
        <f t="shared" si="58"/>
        <v>0.24875621890547264</v>
      </c>
      <c r="AQ248" s="237">
        <f t="shared" si="59"/>
        <v>0</v>
      </c>
      <c r="AR248" s="237">
        <f t="shared" si="60"/>
        <v>0.96809206717629603</v>
      </c>
      <c r="AS248" s="237">
        <f t="shared" si="60"/>
        <v>3.1907932823703966E-2</v>
      </c>
      <c r="AU248" s="251">
        <f t="shared" si="51"/>
        <v>10575.164605936623</v>
      </c>
      <c r="AV248" s="251">
        <f t="shared" si="50"/>
        <v>2990.2663301357111</v>
      </c>
      <c r="AW248" s="251">
        <f t="shared" si="50"/>
        <v>0</v>
      </c>
      <c r="AX248" s="251">
        <f t="shared" si="50"/>
        <v>137871.12201155303</v>
      </c>
      <c r="AY248" s="251">
        <f t="shared" si="50"/>
        <v>4514.083927247596</v>
      </c>
      <c r="AZ248" s="251">
        <f t="shared" si="47"/>
        <v>155950.63687487296</v>
      </c>
      <c r="BA248" s="270">
        <f t="shared" si="61"/>
        <v>7.6582713355016363</v>
      </c>
      <c r="BB248" s="251">
        <f t="shared" si="54"/>
        <v>13565.430936072335</v>
      </c>
      <c r="BC248" s="251">
        <f t="shared" si="55"/>
        <v>142385.20593880062</v>
      </c>
    </row>
    <row r="249" spans="1:55">
      <c r="A249" s="11">
        <v>51227</v>
      </c>
      <c r="B249" s="251">
        <v>100</v>
      </c>
      <c r="C249" s="251">
        <v>295</v>
      </c>
      <c r="D249" s="251">
        <v>5</v>
      </c>
      <c r="E249" s="251">
        <v>220</v>
      </c>
      <c r="F249" s="251">
        <v>44</v>
      </c>
      <c r="G249" s="287">
        <v>0.33</v>
      </c>
      <c r="H249" s="287"/>
      <c r="I249" s="251"/>
      <c r="J249" s="251"/>
      <c r="K249" s="251"/>
      <c r="L249" s="251"/>
      <c r="M249" s="13"/>
      <c r="N249" s="251">
        <f t="shared" si="52"/>
        <v>664.33</v>
      </c>
      <c r="O249" s="251">
        <f>'BBD Monthly Production'!AF24*12</f>
        <v>466.34165881960007</v>
      </c>
      <c r="P249" s="271">
        <f t="shared" si="53"/>
        <v>0.70197290325530992</v>
      </c>
      <c r="Y249" s="251">
        <f>SUM('RD Feedstock'!F247,'RD Feedstock'!I247)</f>
        <v>23.121874999999999</v>
      </c>
      <c r="Z249" s="251">
        <f>SUM('RD Feedstock'!G247,'RD Feedstock'!J247)</f>
        <v>7.65625</v>
      </c>
      <c r="AA249" s="251">
        <v>0</v>
      </c>
      <c r="AB249" s="251">
        <f>SUM('RD Feedstock'!B247,'RD Feedstock'!D247,'RD Feedstock'!H247)</f>
        <v>374.51145833333328</v>
      </c>
      <c r="AC249" s="251">
        <f>SUM('RD Feedstock'!C247,'RD Feedstock'!E247)</f>
        <v>12.34375</v>
      </c>
      <c r="AD249" s="251">
        <f t="shared" si="48"/>
        <v>417.63333333333327</v>
      </c>
      <c r="AH249" s="237">
        <f t="shared" si="49"/>
        <v>5.5364055391491744E-2</v>
      </c>
      <c r="AI249" s="237">
        <f t="shared" si="49"/>
        <v>1.8332468672679385E-2</v>
      </c>
      <c r="AJ249" s="237">
        <f t="shared" si="49"/>
        <v>0</v>
      </c>
      <c r="AK249" s="237">
        <f t="shared" si="49"/>
        <v>0.89674704685130502</v>
      </c>
      <c r="AL249" s="237">
        <f t="shared" si="49"/>
        <v>2.9556429084523911E-2</v>
      </c>
      <c r="AM249" s="237">
        <f t="shared" si="56"/>
        <v>1</v>
      </c>
      <c r="AO249" s="237">
        <f t="shared" si="57"/>
        <v>0.75124378109452739</v>
      </c>
      <c r="AP249" s="237">
        <f t="shared" si="58"/>
        <v>0.24875621890547264</v>
      </c>
      <c r="AQ249" s="237">
        <f t="shared" si="59"/>
        <v>0</v>
      </c>
      <c r="AR249" s="237">
        <f t="shared" si="60"/>
        <v>0.96809206717629603</v>
      </c>
      <c r="AS249" s="237">
        <f t="shared" si="60"/>
        <v>3.1907932823703966E-2</v>
      </c>
      <c r="AU249" s="251">
        <f t="shared" si="51"/>
        <v>9154.1824303565736</v>
      </c>
      <c r="AV249" s="251">
        <f t="shared" si="50"/>
        <v>2588.4650047005798</v>
      </c>
      <c r="AW249" s="251">
        <f t="shared" si="50"/>
        <v>0</v>
      </c>
      <c r="AX249" s="251">
        <f t="shared" si="50"/>
        <v>119345.41444992706</v>
      </c>
      <c r="AY249" s="251">
        <f t="shared" si="50"/>
        <v>3907.5276192644237</v>
      </c>
      <c r="AZ249" s="251">
        <f t="shared" si="47"/>
        <v>134995.58950424867</v>
      </c>
      <c r="BA249" s="270">
        <f t="shared" si="61"/>
        <v>7.658271335501639</v>
      </c>
      <c r="BB249" s="251">
        <f t="shared" si="54"/>
        <v>11742.647435057153</v>
      </c>
      <c r="BC249" s="251">
        <f t="shared" si="55"/>
        <v>123252.94206919149</v>
      </c>
    </row>
    <row r="250" spans="1:55">
      <c r="A250" s="11">
        <v>51257</v>
      </c>
      <c r="B250" s="251">
        <v>100</v>
      </c>
      <c r="C250" s="251">
        <v>295</v>
      </c>
      <c r="D250" s="251">
        <v>5</v>
      </c>
      <c r="E250" s="251">
        <v>220</v>
      </c>
      <c r="F250" s="251">
        <v>44</v>
      </c>
      <c r="G250" s="287">
        <v>0.33</v>
      </c>
      <c r="H250" s="287"/>
      <c r="I250" s="251"/>
      <c r="J250" s="251"/>
      <c r="K250" s="251"/>
      <c r="L250" s="251"/>
      <c r="M250" s="13"/>
      <c r="N250" s="251">
        <f t="shared" si="52"/>
        <v>664.33</v>
      </c>
      <c r="O250" s="251">
        <f>'BBD Monthly Production'!AF25*12</f>
        <v>502.12590379113726</v>
      </c>
      <c r="P250" s="271">
        <f t="shared" si="53"/>
        <v>0.75583806811545051</v>
      </c>
      <c r="Y250" s="251">
        <f>SUM('RD Feedstock'!F248,'RD Feedstock'!I248)</f>
        <v>23.121874999999999</v>
      </c>
      <c r="Z250" s="251">
        <f>SUM('RD Feedstock'!G248,'RD Feedstock'!J248)</f>
        <v>7.65625</v>
      </c>
      <c r="AA250" s="251">
        <v>0</v>
      </c>
      <c r="AB250" s="251">
        <f>SUM('RD Feedstock'!B248,'RD Feedstock'!D248,'RD Feedstock'!H248)</f>
        <v>374.51145833333328</v>
      </c>
      <c r="AC250" s="251">
        <f>SUM('RD Feedstock'!C248,'RD Feedstock'!E248)</f>
        <v>12.34375</v>
      </c>
      <c r="AD250" s="251">
        <f t="shared" si="48"/>
        <v>417.63333333333327</v>
      </c>
      <c r="AH250" s="237">
        <f t="shared" si="49"/>
        <v>5.5364055391491744E-2</v>
      </c>
      <c r="AI250" s="237">
        <f t="shared" si="49"/>
        <v>1.8332468672679385E-2</v>
      </c>
      <c r="AJ250" s="237">
        <f t="shared" si="49"/>
        <v>0</v>
      </c>
      <c r="AK250" s="237">
        <f t="shared" si="49"/>
        <v>0.89674704685130502</v>
      </c>
      <c r="AL250" s="237">
        <f t="shared" si="49"/>
        <v>2.9556429084523911E-2</v>
      </c>
      <c r="AM250" s="237">
        <f t="shared" si="56"/>
        <v>1</v>
      </c>
      <c r="AO250" s="237">
        <f t="shared" si="57"/>
        <v>0.75124378109452739</v>
      </c>
      <c r="AP250" s="237">
        <f t="shared" si="58"/>
        <v>0.24875621890547264</v>
      </c>
      <c r="AQ250" s="237">
        <f t="shared" si="59"/>
        <v>0</v>
      </c>
      <c r="AR250" s="237">
        <f t="shared" si="60"/>
        <v>0.96809206717629603</v>
      </c>
      <c r="AS250" s="237">
        <f t="shared" si="60"/>
        <v>3.1907932823703966E-2</v>
      </c>
      <c r="AU250" s="251">
        <f t="shared" si="51"/>
        <v>9856.6191533188266</v>
      </c>
      <c r="AV250" s="251">
        <f t="shared" si="50"/>
        <v>2787.0881902485135</v>
      </c>
      <c r="AW250" s="251">
        <f t="shared" si="50"/>
        <v>0</v>
      </c>
      <c r="AX250" s="251">
        <f t="shared" si="50"/>
        <v>128503.26141928369</v>
      </c>
      <c r="AY250" s="251">
        <f t="shared" si="50"/>
        <v>4207.3677105715924</v>
      </c>
      <c r="AZ250" s="251">
        <f t="shared" si="47"/>
        <v>145354.33647342262</v>
      </c>
      <c r="BA250" s="270">
        <f t="shared" si="61"/>
        <v>7.6582713355016363</v>
      </c>
      <c r="BB250" s="251">
        <f t="shared" si="54"/>
        <v>12643.707343567341</v>
      </c>
      <c r="BC250" s="251">
        <f t="shared" si="55"/>
        <v>132710.62912985528</v>
      </c>
    </row>
    <row r="251" spans="1:55">
      <c r="A251" s="11">
        <v>51288</v>
      </c>
      <c r="B251" s="251">
        <v>100</v>
      </c>
      <c r="C251" s="251">
        <v>295</v>
      </c>
      <c r="D251" s="251">
        <v>5</v>
      </c>
      <c r="E251" s="251">
        <v>220</v>
      </c>
      <c r="F251" s="251">
        <v>44</v>
      </c>
      <c r="G251" s="287">
        <v>0.33</v>
      </c>
      <c r="H251" s="287"/>
      <c r="I251" s="251"/>
      <c r="J251" s="251"/>
      <c r="K251" s="251"/>
      <c r="L251" s="251"/>
      <c r="M251" s="13"/>
      <c r="N251" s="251">
        <f t="shared" si="52"/>
        <v>664.33</v>
      </c>
      <c r="O251" s="251">
        <f>'BBD Monthly Production'!AF26*12</f>
        <v>626.17642555518523</v>
      </c>
      <c r="P251" s="271">
        <f t="shared" si="53"/>
        <v>0.94256834036575976</v>
      </c>
      <c r="Y251" s="251">
        <f>SUM('RD Feedstock'!F249,'RD Feedstock'!I249)</f>
        <v>23.121874999999999</v>
      </c>
      <c r="Z251" s="251">
        <f>SUM('RD Feedstock'!G249,'RD Feedstock'!J249)</f>
        <v>7.65625</v>
      </c>
      <c r="AA251" s="251">
        <v>0</v>
      </c>
      <c r="AB251" s="251">
        <f>SUM('RD Feedstock'!B249,'RD Feedstock'!D249,'RD Feedstock'!H249)</f>
        <v>374.51145833333328</v>
      </c>
      <c r="AC251" s="251">
        <f>SUM('RD Feedstock'!C249,'RD Feedstock'!E249)</f>
        <v>12.34375</v>
      </c>
      <c r="AD251" s="251">
        <f t="shared" si="48"/>
        <v>417.63333333333327</v>
      </c>
      <c r="AH251" s="237">
        <f t="shared" si="49"/>
        <v>5.5364055391491744E-2</v>
      </c>
      <c r="AI251" s="237">
        <f t="shared" si="49"/>
        <v>1.8332468672679385E-2</v>
      </c>
      <c r="AJ251" s="237">
        <f t="shared" si="49"/>
        <v>0</v>
      </c>
      <c r="AK251" s="237">
        <f t="shared" si="49"/>
        <v>0.89674704685130502</v>
      </c>
      <c r="AL251" s="237">
        <f t="shared" si="49"/>
        <v>2.9556429084523911E-2</v>
      </c>
      <c r="AM251" s="237">
        <f t="shared" si="56"/>
        <v>1</v>
      </c>
      <c r="AO251" s="237">
        <f t="shared" si="57"/>
        <v>0.75124378109452739</v>
      </c>
      <c r="AP251" s="237">
        <f t="shared" si="58"/>
        <v>0.24875621890547264</v>
      </c>
      <c r="AQ251" s="237">
        <f t="shared" si="59"/>
        <v>0</v>
      </c>
      <c r="AR251" s="237">
        <f t="shared" si="60"/>
        <v>0.96809206717629603</v>
      </c>
      <c r="AS251" s="237">
        <f t="shared" si="60"/>
        <v>3.1907932823703966E-2</v>
      </c>
      <c r="AU251" s="251">
        <f t="shared" si="51"/>
        <v>12291.703142348215</v>
      </c>
      <c r="AV251" s="251">
        <f t="shared" si="50"/>
        <v>3475.6400884723448</v>
      </c>
      <c r="AW251" s="251">
        <f t="shared" si="50"/>
        <v>0</v>
      </c>
      <c r="AX251" s="251">
        <f t="shared" si="50"/>
        <v>160250.07333854036</v>
      </c>
      <c r="AY251" s="251">
        <f t="shared" si="50"/>
        <v>5246.8005615935808</v>
      </c>
      <c r="AZ251" s="251">
        <f t="shared" si="47"/>
        <v>181264.21713095449</v>
      </c>
      <c r="BA251" s="270">
        <f t="shared" si="61"/>
        <v>7.6582713355016363</v>
      </c>
      <c r="BB251" s="251">
        <f t="shared" si="54"/>
        <v>15767.343230820559</v>
      </c>
      <c r="BC251" s="251">
        <f t="shared" si="55"/>
        <v>165496.87390013394</v>
      </c>
    </row>
    <row r="252" spans="1:55">
      <c r="A252" s="11">
        <v>51318</v>
      </c>
      <c r="B252" s="251">
        <v>100</v>
      </c>
      <c r="C252" s="251">
        <v>295</v>
      </c>
      <c r="D252" s="251">
        <v>5</v>
      </c>
      <c r="E252" s="251">
        <v>220</v>
      </c>
      <c r="F252" s="251">
        <v>44</v>
      </c>
      <c r="G252" s="287">
        <v>0.33</v>
      </c>
      <c r="H252" s="287"/>
      <c r="I252" s="251"/>
      <c r="J252" s="251"/>
      <c r="K252" s="251"/>
      <c r="L252" s="251"/>
      <c r="M252" s="13"/>
      <c r="N252" s="251">
        <f t="shared" si="52"/>
        <v>664.33</v>
      </c>
      <c r="O252" s="251">
        <f>'BBD Monthly Production'!AF27*12</f>
        <v>551.01267862278871</v>
      </c>
      <c r="P252" s="271">
        <f t="shared" si="53"/>
        <v>0.82942615661311192</v>
      </c>
      <c r="Y252" s="251">
        <f>SUM('RD Feedstock'!F250,'RD Feedstock'!I250)</f>
        <v>23.121874999999999</v>
      </c>
      <c r="Z252" s="251">
        <f>SUM('RD Feedstock'!G250,'RD Feedstock'!J250)</f>
        <v>7.65625</v>
      </c>
      <c r="AA252" s="251">
        <v>0</v>
      </c>
      <c r="AB252" s="251">
        <f>SUM('RD Feedstock'!B250,'RD Feedstock'!D250,'RD Feedstock'!H250)</f>
        <v>374.51145833333328</v>
      </c>
      <c r="AC252" s="251">
        <f>SUM('RD Feedstock'!C250,'RD Feedstock'!E250)</f>
        <v>12.34375</v>
      </c>
      <c r="AD252" s="251">
        <f t="shared" si="48"/>
        <v>417.63333333333327</v>
      </c>
      <c r="AH252" s="237">
        <f t="shared" si="49"/>
        <v>5.5364055391491744E-2</v>
      </c>
      <c r="AI252" s="237">
        <f t="shared" si="49"/>
        <v>1.8332468672679385E-2</v>
      </c>
      <c r="AJ252" s="237">
        <f t="shared" si="49"/>
        <v>0</v>
      </c>
      <c r="AK252" s="237">
        <f t="shared" si="49"/>
        <v>0.89674704685130502</v>
      </c>
      <c r="AL252" s="237">
        <f t="shared" si="49"/>
        <v>2.9556429084523911E-2</v>
      </c>
      <c r="AM252" s="237">
        <f t="shared" si="56"/>
        <v>1</v>
      </c>
      <c r="AO252" s="237">
        <f t="shared" si="57"/>
        <v>0.75124378109452739</v>
      </c>
      <c r="AP252" s="237">
        <f t="shared" si="58"/>
        <v>0.24875621890547264</v>
      </c>
      <c r="AQ252" s="237">
        <f t="shared" si="59"/>
        <v>0</v>
      </c>
      <c r="AR252" s="237">
        <f t="shared" si="60"/>
        <v>0.96809206717629603</v>
      </c>
      <c r="AS252" s="237">
        <f t="shared" si="60"/>
        <v>3.1907932823703966E-2</v>
      </c>
      <c r="AU252" s="251">
        <f t="shared" si="51"/>
        <v>10816.255606072064</v>
      </c>
      <c r="AV252" s="251">
        <f t="shared" si="50"/>
        <v>3058.4379687879396</v>
      </c>
      <c r="AW252" s="251">
        <f t="shared" si="50"/>
        <v>0</v>
      </c>
      <c r="AX252" s="251">
        <f t="shared" si="50"/>
        <v>141014.28695830956</v>
      </c>
      <c r="AY252" s="251">
        <f t="shared" si="50"/>
        <v>4616.9953285608644</v>
      </c>
      <c r="AZ252" s="251">
        <f t="shared" si="47"/>
        <v>159505.9758617304</v>
      </c>
      <c r="BA252" s="270">
        <f t="shared" si="61"/>
        <v>7.6582713355016345</v>
      </c>
      <c r="BB252" s="251">
        <f t="shared" si="54"/>
        <v>13874.693574860003</v>
      </c>
      <c r="BC252" s="251">
        <f t="shared" si="55"/>
        <v>145631.28228687041</v>
      </c>
    </row>
    <row r="253" spans="1:55">
      <c r="A253" s="11">
        <v>51349</v>
      </c>
      <c r="B253" s="251">
        <v>100</v>
      </c>
      <c r="C253" s="251">
        <v>295</v>
      </c>
      <c r="D253" s="251">
        <v>5</v>
      </c>
      <c r="E253" s="251">
        <v>220</v>
      </c>
      <c r="F253" s="251">
        <v>44</v>
      </c>
      <c r="G253" s="287">
        <v>0.33</v>
      </c>
      <c r="H253" s="287"/>
      <c r="I253" s="251"/>
      <c r="J253" s="251"/>
      <c r="K253" s="251"/>
      <c r="L253" s="251"/>
      <c r="M253" s="13"/>
      <c r="N253" s="251">
        <f t="shared" si="52"/>
        <v>664.33</v>
      </c>
      <c r="O253" s="251">
        <f>'BBD Monthly Production'!AF28*12</f>
        <v>484.43082162404716</v>
      </c>
      <c r="P253" s="271">
        <f t="shared" si="53"/>
        <v>0.7292020857466126</v>
      </c>
      <c r="Y253" s="251">
        <f>SUM('RD Feedstock'!F251,'RD Feedstock'!I251)</f>
        <v>23.121874999999999</v>
      </c>
      <c r="Z253" s="251">
        <f>SUM('RD Feedstock'!G251,'RD Feedstock'!J251)</f>
        <v>7.65625</v>
      </c>
      <c r="AA253" s="251">
        <v>0</v>
      </c>
      <c r="AB253" s="251">
        <f>SUM('RD Feedstock'!B251,'RD Feedstock'!D251,'RD Feedstock'!H251)</f>
        <v>374.51145833333328</v>
      </c>
      <c r="AC253" s="251">
        <f>SUM('RD Feedstock'!C251,'RD Feedstock'!E251)</f>
        <v>12.34375</v>
      </c>
      <c r="AD253" s="251">
        <f t="shared" si="48"/>
        <v>417.63333333333327</v>
      </c>
      <c r="AH253" s="237">
        <f t="shared" si="49"/>
        <v>5.5364055391491744E-2</v>
      </c>
      <c r="AI253" s="237">
        <f t="shared" si="49"/>
        <v>1.8332468672679385E-2</v>
      </c>
      <c r="AJ253" s="237">
        <f t="shared" si="49"/>
        <v>0</v>
      </c>
      <c r="AK253" s="237">
        <f t="shared" si="49"/>
        <v>0.89674704685130502</v>
      </c>
      <c r="AL253" s="237">
        <f t="shared" si="49"/>
        <v>2.9556429084523911E-2</v>
      </c>
      <c r="AM253" s="237">
        <f t="shared" si="56"/>
        <v>1</v>
      </c>
      <c r="AO253" s="237">
        <f t="shared" si="57"/>
        <v>0.75124378109452739</v>
      </c>
      <c r="AP253" s="237">
        <f t="shared" si="58"/>
        <v>0.24875621890547264</v>
      </c>
      <c r="AQ253" s="237">
        <f t="shared" si="59"/>
        <v>0</v>
      </c>
      <c r="AR253" s="237">
        <f t="shared" si="60"/>
        <v>0.96809206717629603</v>
      </c>
      <c r="AS253" s="237">
        <f t="shared" si="60"/>
        <v>3.1907932823703966E-2</v>
      </c>
      <c r="AU253" s="251">
        <f t="shared" si="51"/>
        <v>9509.2686492105204</v>
      </c>
      <c r="AV253" s="251">
        <f t="shared" si="50"/>
        <v>2688.8702848167954</v>
      </c>
      <c r="AW253" s="251">
        <f t="shared" si="50"/>
        <v>0</v>
      </c>
      <c r="AX253" s="251">
        <f t="shared" si="50"/>
        <v>123974.76417907936</v>
      </c>
      <c r="AY253" s="251">
        <f t="shared" si="50"/>
        <v>4059.0986872377671</v>
      </c>
      <c r="AZ253" s="251">
        <f t="shared" si="47"/>
        <v>140232.00180034444</v>
      </c>
      <c r="BA253" s="270">
        <f t="shared" si="61"/>
        <v>7.6582713355016381</v>
      </c>
      <c r="BB253" s="251">
        <f t="shared" si="54"/>
        <v>12198.138934027316</v>
      </c>
      <c r="BC253" s="251">
        <f t="shared" si="55"/>
        <v>128033.86286631713</v>
      </c>
    </row>
    <row r="254" spans="1:55">
      <c r="A254" s="11">
        <v>51380</v>
      </c>
      <c r="B254" s="251">
        <v>100</v>
      </c>
      <c r="C254" s="251">
        <v>295</v>
      </c>
      <c r="D254" s="251">
        <v>5</v>
      </c>
      <c r="E254" s="251">
        <v>220</v>
      </c>
      <c r="F254" s="251">
        <v>44</v>
      </c>
      <c r="G254" s="287">
        <v>0.33</v>
      </c>
      <c r="H254" s="287"/>
      <c r="I254" s="251"/>
      <c r="J254" s="251"/>
      <c r="K254" s="251"/>
      <c r="L254" s="251"/>
      <c r="M254" s="13"/>
      <c r="N254" s="251">
        <f t="shared" si="52"/>
        <v>664.33</v>
      </c>
      <c r="O254" s="251">
        <f>'BBD Monthly Production'!AF29*12</f>
        <v>529.0038079317618</v>
      </c>
      <c r="P254" s="271">
        <f t="shared" si="53"/>
        <v>0.79629673194310324</v>
      </c>
      <c r="Y254" s="251">
        <f>SUM('RD Feedstock'!F252,'RD Feedstock'!I252)</f>
        <v>23.121874999999999</v>
      </c>
      <c r="Z254" s="251">
        <f>SUM('RD Feedstock'!G252,'RD Feedstock'!J252)</f>
        <v>7.65625</v>
      </c>
      <c r="AA254" s="251">
        <v>0</v>
      </c>
      <c r="AB254" s="251">
        <f>SUM('RD Feedstock'!B252,'RD Feedstock'!D252,'RD Feedstock'!H252)</f>
        <v>374.51145833333328</v>
      </c>
      <c r="AC254" s="251">
        <f>SUM('RD Feedstock'!C252,'RD Feedstock'!E252)</f>
        <v>12.34375</v>
      </c>
      <c r="AD254" s="251">
        <f t="shared" si="48"/>
        <v>417.63333333333327</v>
      </c>
      <c r="AH254" s="237">
        <f t="shared" si="49"/>
        <v>5.5364055391491744E-2</v>
      </c>
      <c r="AI254" s="237">
        <f t="shared" si="49"/>
        <v>1.8332468672679385E-2</v>
      </c>
      <c r="AJ254" s="237">
        <f t="shared" si="49"/>
        <v>0</v>
      </c>
      <c r="AK254" s="237">
        <f t="shared" si="49"/>
        <v>0.89674704685130502</v>
      </c>
      <c r="AL254" s="237">
        <f t="shared" si="49"/>
        <v>2.9556429084523911E-2</v>
      </c>
      <c r="AM254" s="237">
        <f t="shared" si="56"/>
        <v>1</v>
      </c>
      <c r="AO254" s="237">
        <f t="shared" si="57"/>
        <v>0.75124378109452739</v>
      </c>
      <c r="AP254" s="237">
        <f t="shared" si="58"/>
        <v>0.24875621890547264</v>
      </c>
      <c r="AQ254" s="237">
        <f t="shared" si="59"/>
        <v>0</v>
      </c>
      <c r="AR254" s="237">
        <f t="shared" si="60"/>
        <v>0.96809206717629603</v>
      </c>
      <c r="AS254" s="237">
        <f t="shared" si="60"/>
        <v>3.1907932823703966E-2</v>
      </c>
      <c r="AU254" s="251">
        <f t="shared" si="51"/>
        <v>10384.226398341072</v>
      </c>
      <c r="AV254" s="251">
        <f t="shared" si="50"/>
        <v>2936.2760505906599</v>
      </c>
      <c r="AW254" s="251">
        <f t="shared" si="50"/>
        <v>0</v>
      </c>
      <c r="AX254" s="251">
        <f t="shared" si="50"/>
        <v>135381.81183085896</v>
      </c>
      <c r="AY254" s="251">
        <f t="shared" si="50"/>
        <v>4432.5806007158553</v>
      </c>
      <c r="AZ254" s="251">
        <f t="shared" si="47"/>
        <v>153134.89488050656</v>
      </c>
      <c r="BA254" s="270">
        <f t="shared" si="61"/>
        <v>7.6582713355016381</v>
      </c>
      <c r="BB254" s="251">
        <f t="shared" si="54"/>
        <v>13320.502448931733</v>
      </c>
      <c r="BC254" s="251">
        <f t="shared" si="55"/>
        <v>139814.39243157482</v>
      </c>
    </row>
    <row r="255" spans="1:55">
      <c r="A255" s="11">
        <v>51410</v>
      </c>
      <c r="B255" s="251">
        <v>100</v>
      </c>
      <c r="C255" s="251">
        <v>295</v>
      </c>
      <c r="D255" s="251">
        <v>5</v>
      </c>
      <c r="E255" s="251">
        <v>220</v>
      </c>
      <c r="F255" s="251">
        <v>44</v>
      </c>
      <c r="G255" s="287">
        <v>0.33</v>
      </c>
      <c r="H255" s="287"/>
      <c r="I255" s="251"/>
      <c r="J255" s="251"/>
      <c r="K255" s="251"/>
      <c r="L255" s="251"/>
      <c r="M255" s="13"/>
      <c r="N255" s="251">
        <f t="shared" si="52"/>
        <v>664.33</v>
      </c>
      <c r="O255" s="251">
        <f>'BBD Monthly Production'!AF30*12</f>
        <v>422.70181163655661</v>
      </c>
      <c r="P255" s="271">
        <f t="shared" si="53"/>
        <v>0.63628288898071228</v>
      </c>
      <c r="Y255" s="251">
        <f>SUM('RD Feedstock'!F253,'RD Feedstock'!I253)</f>
        <v>23.121874999999999</v>
      </c>
      <c r="Z255" s="251">
        <f>SUM('RD Feedstock'!G253,'RD Feedstock'!J253)</f>
        <v>7.65625</v>
      </c>
      <c r="AA255" s="251">
        <v>0</v>
      </c>
      <c r="AB255" s="251">
        <f>SUM('RD Feedstock'!B253,'RD Feedstock'!D253,'RD Feedstock'!H253)</f>
        <v>374.51145833333328</v>
      </c>
      <c r="AC255" s="251">
        <f>SUM('RD Feedstock'!C253,'RD Feedstock'!E253)</f>
        <v>12.34375</v>
      </c>
      <c r="AD255" s="251">
        <f t="shared" si="48"/>
        <v>417.63333333333327</v>
      </c>
      <c r="AH255" s="237">
        <f t="shared" si="49"/>
        <v>5.5364055391491744E-2</v>
      </c>
      <c r="AI255" s="237">
        <f t="shared" si="49"/>
        <v>1.8332468672679385E-2</v>
      </c>
      <c r="AJ255" s="237">
        <f t="shared" si="49"/>
        <v>0</v>
      </c>
      <c r="AK255" s="237">
        <f t="shared" si="49"/>
        <v>0.89674704685130502</v>
      </c>
      <c r="AL255" s="237">
        <f t="shared" si="49"/>
        <v>2.9556429084523911E-2</v>
      </c>
      <c r="AM255" s="237">
        <f t="shared" si="56"/>
        <v>1</v>
      </c>
      <c r="AO255" s="237">
        <f t="shared" si="57"/>
        <v>0.75124378109452739</v>
      </c>
      <c r="AP255" s="237">
        <f t="shared" si="58"/>
        <v>0.24875621890547264</v>
      </c>
      <c r="AQ255" s="237">
        <f t="shared" si="59"/>
        <v>0</v>
      </c>
      <c r="AR255" s="237">
        <f t="shared" si="60"/>
        <v>0.96809206717629603</v>
      </c>
      <c r="AS255" s="237">
        <f t="shared" si="60"/>
        <v>3.1907932823703966E-2</v>
      </c>
      <c r="AU255" s="251">
        <f t="shared" si="51"/>
        <v>8297.5419934767942</v>
      </c>
      <c r="AV255" s="251">
        <f t="shared" si="50"/>
        <v>2346.2386989278698</v>
      </c>
      <c r="AW255" s="251">
        <f t="shared" si="50"/>
        <v>0</v>
      </c>
      <c r="AX255" s="251">
        <f t="shared" si="50"/>
        <v>108177.17427645683</v>
      </c>
      <c r="AY255" s="251">
        <f t="shared" si="50"/>
        <v>3541.8645802816959</v>
      </c>
      <c r="AZ255" s="251">
        <f t="shared" si="47"/>
        <v>122362.81954914318</v>
      </c>
      <c r="BA255" s="270">
        <f t="shared" si="61"/>
        <v>7.6582713355016381</v>
      </c>
      <c r="BB255" s="251">
        <f t="shared" si="54"/>
        <v>10643.780692404664</v>
      </c>
      <c r="BC255" s="251">
        <f t="shared" si="55"/>
        <v>111719.03885673852</v>
      </c>
    </row>
    <row r="256" spans="1:55">
      <c r="A256" s="11">
        <v>51441</v>
      </c>
      <c r="B256" s="251">
        <v>100</v>
      </c>
      <c r="C256" s="251">
        <v>295</v>
      </c>
      <c r="D256" s="251">
        <v>5</v>
      </c>
      <c r="E256" s="251">
        <v>220</v>
      </c>
      <c r="F256" s="251">
        <v>44</v>
      </c>
      <c r="G256" s="287">
        <v>0.33</v>
      </c>
      <c r="H256" s="287"/>
      <c r="I256" s="251"/>
      <c r="J256" s="251"/>
      <c r="K256" s="251"/>
      <c r="L256" s="251"/>
      <c r="M256" s="13"/>
      <c r="N256" s="251">
        <f t="shared" si="52"/>
        <v>664.33</v>
      </c>
      <c r="O256" s="251">
        <f>'BBD Monthly Production'!AF31*12</f>
        <v>544.29374850044758</v>
      </c>
      <c r="P256" s="271">
        <f t="shared" si="53"/>
        <v>0.81931231240565316</v>
      </c>
      <c r="Y256" s="251">
        <f>SUM('RD Feedstock'!F254,'RD Feedstock'!I254)</f>
        <v>23.121874999999999</v>
      </c>
      <c r="Z256" s="251">
        <f>SUM('RD Feedstock'!G254,'RD Feedstock'!J254)</f>
        <v>7.65625</v>
      </c>
      <c r="AA256" s="251">
        <v>0</v>
      </c>
      <c r="AB256" s="251">
        <f>SUM('RD Feedstock'!B254,'RD Feedstock'!D254,'RD Feedstock'!H254)</f>
        <v>374.51145833333328</v>
      </c>
      <c r="AC256" s="251">
        <f>SUM('RD Feedstock'!C254,'RD Feedstock'!E254)</f>
        <v>12.34375</v>
      </c>
      <c r="AD256" s="251">
        <f t="shared" si="48"/>
        <v>417.63333333333327</v>
      </c>
      <c r="AH256" s="237">
        <f t="shared" si="49"/>
        <v>5.5364055391491744E-2</v>
      </c>
      <c r="AI256" s="237">
        <f t="shared" si="49"/>
        <v>1.8332468672679385E-2</v>
      </c>
      <c r="AJ256" s="237">
        <f t="shared" si="49"/>
        <v>0</v>
      </c>
      <c r="AK256" s="237">
        <f t="shared" si="49"/>
        <v>0.89674704685130502</v>
      </c>
      <c r="AL256" s="237">
        <f t="shared" si="49"/>
        <v>2.9556429084523911E-2</v>
      </c>
      <c r="AM256" s="237">
        <f t="shared" si="56"/>
        <v>1</v>
      </c>
      <c r="AO256" s="237">
        <f t="shared" si="57"/>
        <v>0.75124378109452739</v>
      </c>
      <c r="AP256" s="237">
        <f t="shared" si="58"/>
        <v>0.24875621890547264</v>
      </c>
      <c r="AQ256" s="237">
        <f t="shared" si="59"/>
        <v>0</v>
      </c>
      <c r="AR256" s="237">
        <f t="shared" si="60"/>
        <v>0.96809206717629603</v>
      </c>
      <c r="AS256" s="237">
        <f t="shared" si="60"/>
        <v>3.1907932823703966E-2</v>
      </c>
      <c r="AU256" s="251">
        <f t="shared" si="51"/>
        <v>10684.364510962927</v>
      </c>
      <c r="AV256" s="251">
        <f t="shared" si="50"/>
        <v>3021.1440338331881</v>
      </c>
      <c r="AW256" s="251">
        <f t="shared" si="50"/>
        <v>0</v>
      </c>
      <c r="AX256" s="251">
        <f t="shared" si="50"/>
        <v>139294.78906455371</v>
      </c>
      <c r="AY256" s="251">
        <f t="shared" si="50"/>
        <v>4560.6966802878142</v>
      </c>
      <c r="AZ256" s="251">
        <f t="shared" si="47"/>
        <v>157560.99428963763</v>
      </c>
      <c r="BA256" s="270">
        <f t="shared" si="61"/>
        <v>7.6582713355016354</v>
      </c>
      <c r="BB256" s="251">
        <f t="shared" si="54"/>
        <v>13705.508544796116</v>
      </c>
      <c r="BC256" s="251">
        <f t="shared" si="55"/>
        <v>143855.48574484151</v>
      </c>
    </row>
    <row r="257" spans="1:55">
      <c r="A257" s="11">
        <v>51471</v>
      </c>
      <c r="B257" s="251">
        <v>100</v>
      </c>
      <c r="C257" s="251">
        <v>295</v>
      </c>
      <c r="D257" s="251">
        <v>5</v>
      </c>
      <c r="E257" s="251">
        <v>220</v>
      </c>
      <c r="F257" s="251">
        <v>44</v>
      </c>
      <c r="G257" s="287">
        <v>0.33</v>
      </c>
      <c r="H257" s="287"/>
      <c r="I257" s="251"/>
      <c r="J257" s="251"/>
      <c r="K257" s="251"/>
      <c r="L257" s="251"/>
      <c r="M257" s="13"/>
      <c r="N257" s="251">
        <f t="shared" si="52"/>
        <v>664.33</v>
      </c>
      <c r="O257" s="251">
        <f>'BBD Monthly Production'!AF32*12</f>
        <v>748.68085592039631</v>
      </c>
      <c r="P257" s="271">
        <f t="shared" si="53"/>
        <v>1.1269713183514161</v>
      </c>
      <c r="Y257" s="251">
        <f>SUM('RD Feedstock'!F255,'RD Feedstock'!I255)</f>
        <v>23.121874999999999</v>
      </c>
      <c r="Z257" s="251">
        <f>SUM('RD Feedstock'!G255,'RD Feedstock'!J255)</f>
        <v>7.65625</v>
      </c>
      <c r="AA257" s="251">
        <v>0</v>
      </c>
      <c r="AB257" s="251">
        <f>SUM('RD Feedstock'!B255,'RD Feedstock'!D255,'RD Feedstock'!H255)</f>
        <v>374.51145833333328</v>
      </c>
      <c r="AC257" s="251">
        <f>SUM('RD Feedstock'!C255,'RD Feedstock'!E255)</f>
        <v>12.34375</v>
      </c>
      <c r="AD257" s="251">
        <f t="shared" si="48"/>
        <v>417.63333333333327</v>
      </c>
      <c r="AH257" s="237">
        <f t="shared" si="49"/>
        <v>5.5364055391491744E-2</v>
      </c>
      <c r="AI257" s="237">
        <f t="shared" si="49"/>
        <v>1.8332468672679385E-2</v>
      </c>
      <c r="AJ257" s="237">
        <f t="shared" si="49"/>
        <v>0</v>
      </c>
      <c r="AK257" s="237">
        <f t="shared" si="49"/>
        <v>0.89674704685130502</v>
      </c>
      <c r="AL257" s="237">
        <f t="shared" si="49"/>
        <v>2.9556429084523911E-2</v>
      </c>
      <c r="AM257" s="237">
        <f t="shared" si="56"/>
        <v>1</v>
      </c>
      <c r="AO257" s="237">
        <f t="shared" si="57"/>
        <v>0.75124378109452739</v>
      </c>
      <c r="AP257" s="237">
        <f t="shared" si="58"/>
        <v>0.24875621890547264</v>
      </c>
      <c r="AQ257" s="237">
        <f t="shared" si="59"/>
        <v>0</v>
      </c>
      <c r="AR257" s="237">
        <f t="shared" si="60"/>
        <v>0.96809206717629603</v>
      </c>
      <c r="AS257" s="237">
        <f t="shared" si="60"/>
        <v>3.1907932823703966E-2</v>
      </c>
      <c r="AU257" s="251">
        <f t="shared" si="51"/>
        <v>14696.437703117681</v>
      </c>
      <c r="AV257" s="251">
        <f t="shared" si="50"/>
        <v>4155.6102882691293</v>
      </c>
      <c r="AW257" s="251">
        <f t="shared" si="50"/>
        <v>0</v>
      </c>
      <c r="AX257" s="251">
        <f t="shared" si="50"/>
        <v>191601.21200990683</v>
      </c>
      <c r="AY257" s="251">
        <f t="shared" si="50"/>
        <v>6273.2785441653532</v>
      </c>
      <c r="AZ257" s="251">
        <f t="shared" ref="AZ257:AZ320" si="62">SUM(AU257:AY257)</f>
        <v>216726.53854545899</v>
      </c>
      <c r="BA257" s="270">
        <f t="shared" si="61"/>
        <v>7.6582713355016372</v>
      </c>
      <c r="BB257" s="251">
        <f t="shared" si="54"/>
        <v>18852.047991386811</v>
      </c>
      <c r="BC257" s="251">
        <f t="shared" si="55"/>
        <v>197874.49055407217</v>
      </c>
    </row>
    <row r="258" spans="1:55">
      <c r="A258" s="11">
        <v>51502</v>
      </c>
      <c r="B258" s="251">
        <v>100</v>
      </c>
      <c r="C258" s="251">
        <v>295</v>
      </c>
      <c r="D258" s="251">
        <v>5</v>
      </c>
      <c r="E258" s="251">
        <v>220</v>
      </c>
      <c r="F258" s="251">
        <v>44</v>
      </c>
      <c r="G258" s="287">
        <v>0.33</v>
      </c>
      <c r="H258" s="287"/>
      <c r="I258" s="251"/>
      <c r="J258" s="251"/>
      <c r="K258" s="251"/>
      <c r="L258" s="251"/>
      <c r="M258" s="13"/>
      <c r="N258" s="251">
        <f t="shared" si="52"/>
        <v>664.33</v>
      </c>
      <c r="O258" s="251">
        <f>'BBD Monthly Production'!AG21*12</f>
        <v>234.88222623805473</v>
      </c>
      <c r="P258" s="271">
        <f t="shared" si="53"/>
        <v>0.35356257618661618</v>
      </c>
      <c r="Y258" s="251">
        <f>SUM('RD Feedstock'!F256,'RD Feedstock'!I256)</f>
        <v>23.121874999999999</v>
      </c>
      <c r="Z258" s="251">
        <f>SUM('RD Feedstock'!G256,'RD Feedstock'!J256)</f>
        <v>7.65625</v>
      </c>
      <c r="AA258" s="251">
        <v>0</v>
      </c>
      <c r="AB258" s="251">
        <f>SUM('RD Feedstock'!B256,'RD Feedstock'!D256,'RD Feedstock'!H256)</f>
        <v>374.51145833333328</v>
      </c>
      <c r="AC258" s="251">
        <f>SUM('RD Feedstock'!C256,'RD Feedstock'!E256)</f>
        <v>12.34375</v>
      </c>
      <c r="AD258" s="251">
        <f t="shared" si="48"/>
        <v>417.63333333333327</v>
      </c>
      <c r="AH258" s="237">
        <f t="shared" si="49"/>
        <v>5.5364055391491744E-2</v>
      </c>
      <c r="AI258" s="237">
        <f t="shared" si="49"/>
        <v>1.8332468672679385E-2</v>
      </c>
      <c r="AJ258" s="237">
        <f t="shared" si="49"/>
        <v>0</v>
      </c>
      <c r="AK258" s="237">
        <f t="shared" si="49"/>
        <v>0.89674704685130502</v>
      </c>
      <c r="AL258" s="237">
        <f t="shared" si="49"/>
        <v>2.9556429084523911E-2</v>
      </c>
      <c r="AM258" s="237">
        <f t="shared" si="56"/>
        <v>1</v>
      </c>
      <c r="AO258" s="237">
        <f t="shared" si="57"/>
        <v>0.75124378109452739</v>
      </c>
      <c r="AP258" s="237">
        <f t="shared" si="58"/>
        <v>0.24875621890547264</v>
      </c>
      <c r="AQ258" s="237">
        <f t="shared" si="59"/>
        <v>0</v>
      </c>
      <c r="AR258" s="237">
        <f t="shared" si="60"/>
        <v>0.96809206717629603</v>
      </c>
      <c r="AS258" s="237">
        <f t="shared" si="60"/>
        <v>3.1907932823703966E-2</v>
      </c>
      <c r="AU258" s="251">
        <f t="shared" si="51"/>
        <v>4610.6855520347272</v>
      </c>
      <c r="AV258" s="251">
        <f t="shared" si="50"/>
        <v>1303.7317411922704</v>
      </c>
      <c r="AW258" s="251">
        <f t="shared" si="50"/>
        <v>0</v>
      </c>
      <c r="AX258" s="251">
        <f t="shared" si="50"/>
        <v>60110.685175021295</v>
      </c>
      <c r="AY258" s="251">
        <f t="shared" si="50"/>
        <v>1968.1037903040085</v>
      </c>
      <c r="AZ258" s="251">
        <f t="shared" si="62"/>
        <v>67993.206258552309</v>
      </c>
      <c r="BA258" s="270">
        <f t="shared" si="61"/>
        <v>7.6582713355016381</v>
      </c>
      <c r="BB258" s="251">
        <f t="shared" si="54"/>
        <v>5914.4172932269976</v>
      </c>
      <c r="BC258" s="251">
        <f t="shared" si="55"/>
        <v>62078.788965325301</v>
      </c>
    </row>
    <row r="259" spans="1:55">
      <c r="A259" s="11">
        <v>51533</v>
      </c>
      <c r="B259" s="251">
        <v>100</v>
      </c>
      <c r="C259" s="251">
        <v>295</v>
      </c>
      <c r="D259" s="251">
        <v>5</v>
      </c>
      <c r="E259" s="251">
        <v>220</v>
      </c>
      <c r="F259" s="251">
        <v>44</v>
      </c>
      <c r="G259" s="287">
        <v>0.33</v>
      </c>
      <c r="H259" s="287"/>
      <c r="I259" s="251"/>
      <c r="J259" s="251"/>
      <c r="K259" s="251"/>
      <c r="L259" s="251"/>
      <c r="M259" s="13"/>
      <c r="N259" s="251">
        <f t="shared" si="52"/>
        <v>664.33</v>
      </c>
      <c r="O259" s="251">
        <f>'BBD Monthly Production'!AG22*12</f>
        <v>275.74330803910811</v>
      </c>
      <c r="P259" s="271">
        <f t="shared" si="53"/>
        <v>0.41506978164332198</v>
      </c>
      <c r="Y259" s="251">
        <f>SUM('RD Feedstock'!F257,'RD Feedstock'!I257)</f>
        <v>23.121874999999999</v>
      </c>
      <c r="Z259" s="251">
        <f>SUM('RD Feedstock'!G257,'RD Feedstock'!J257)</f>
        <v>7.65625</v>
      </c>
      <c r="AA259" s="251">
        <v>0</v>
      </c>
      <c r="AB259" s="251">
        <f>SUM('RD Feedstock'!B257,'RD Feedstock'!D257,'RD Feedstock'!H257)</f>
        <v>374.51145833333328</v>
      </c>
      <c r="AC259" s="251">
        <f>SUM('RD Feedstock'!C257,'RD Feedstock'!E257)</f>
        <v>12.34375</v>
      </c>
      <c r="AD259" s="251">
        <f t="shared" si="48"/>
        <v>417.63333333333327</v>
      </c>
      <c r="AH259" s="237">
        <f t="shared" si="49"/>
        <v>5.5364055391491744E-2</v>
      </c>
      <c r="AI259" s="237">
        <f t="shared" si="49"/>
        <v>1.8332468672679385E-2</v>
      </c>
      <c r="AJ259" s="237">
        <f t="shared" si="49"/>
        <v>0</v>
      </c>
      <c r="AK259" s="237">
        <f t="shared" si="49"/>
        <v>0.89674704685130502</v>
      </c>
      <c r="AL259" s="237">
        <f t="shared" si="49"/>
        <v>2.9556429084523911E-2</v>
      </c>
      <c r="AM259" s="237">
        <f t="shared" si="56"/>
        <v>1</v>
      </c>
      <c r="AO259" s="237">
        <f t="shared" si="57"/>
        <v>0.75124378109452739</v>
      </c>
      <c r="AP259" s="237">
        <f t="shared" si="58"/>
        <v>0.24875621890547264</v>
      </c>
      <c r="AQ259" s="237">
        <f t="shared" si="59"/>
        <v>0</v>
      </c>
      <c r="AR259" s="237">
        <f t="shared" si="60"/>
        <v>0.96809206717629603</v>
      </c>
      <c r="AS259" s="237">
        <f t="shared" si="60"/>
        <v>3.1907932823703966E-2</v>
      </c>
      <c r="AU259" s="251">
        <f t="shared" si="51"/>
        <v>5412.7794461452313</v>
      </c>
      <c r="AV259" s="251">
        <f t="shared" si="50"/>
        <v>1530.5342974210066</v>
      </c>
      <c r="AW259" s="251">
        <f t="shared" si="50"/>
        <v>0</v>
      </c>
      <c r="AX259" s="251">
        <f t="shared" si="50"/>
        <v>70567.7881384637</v>
      </c>
      <c r="AY259" s="251">
        <f t="shared" si="50"/>
        <v>2310.4832510941587</v>
      </c>
      <c r="AZ259" s="251">
        <f t="shared" si="62"/>
        <v>79821.585133124099</v>
      </c>
      <c r="BA259" s="270">
        <f t="shared" si="61"/>
        <v>7.6582713355016363</v>
      </c>
      <c r="BB259" s="251">
        <f t="shared" si="54"/>
        <v>6943.3137435662375</v>
      </c>
      <c r="BC259" s="251">
        <f t="shared" si="55"/>
        <v>72878.271389557864</v>
      </c>
    </row>
    <row r="260" spans="1:55">
      <c r="A260" s="11">
        <v>51561</v>
      </c>
      <c r="B260" s="251">
        <v>100</v>
      </c>
      <c r="C260" s="251">
        <v>295</v>
      </c>
      <c r="D260" s="251">
        <v>5</v>
      </c>
      <c r="E260" s="251">
        <v>220</v>
      </c>
      <c r="F260" s="251">
        <v>44</v>
      </c>
      <c r="G260" s="287">
        <v>0.33</v>
      </c>
      <c r="H260" s="287"/>
      <c r="I260" s="251"/>
      <c r="J260" s="251"/>
      <c r="K260" s="251"/>
      <c r="L260" s="251"/>
      <c r="M260" s="13"/>
      <c r="N260" s="251">
        <f t="shared" si="52"/>
        <v>664.33</v>
      </c>
      <c r="O260" s="251">
        <f>'BBD Monthly Production'!AG23*12</f>
        <v>538.73759200770644</v>
      </c>
      <c r="P260" s="271">
        <f t="shared" si="53"/>
        <v>0.81094876342737254</v>
      </c>
      <c r="Y260" s="251">
        <f>SUM('RD Feedstock'!F258,'RD Feedstock'!I258)</f>
        <v>23.121874999999999</v>
      </c>
      <c r="Z260" s="251">
        <f>SUM('RD Feedstock'!G258,'RD Feedstock'!J258)</f>
        <v>7.65625</v>
      </c>
      <c r="AA260" s="251">
        <v>0</v>
      </c>
      <c r="AB260" s="251">
        <f>SUM('RD Feedstock'!B258,'RD Feedstock'!D258,'RD Feedstock'!H258)</f>
        <v>374.51145833333328</v>
      </c>
      <c r="AC260" s="251">
        <f>SUM('RD Feedstock'!C258,'RD Feedstock'!E258)</f>
        <v>12.34375</v>
      </c>
      <c r="AD260" s="251">
        <f t="shared" si="48"/>
        <v>417.63333333333327</v>
      </c>
      <c r="AH260" s="237">
        <f t="shared" si="49"/>
        <v>5.5364055391491744E-2</v>
      </c>
      <c r="AI260" s="237">
        <f t="shared" si="49"/>
        <v>1.8332468672679385E-2</v>
      </c>
      <c r="AJ260" s="237">
        <f t="shared" si="49"/>
        <v>0</v>
      </c>
      <c r="AK260" s="237">
        <f t="shared" si="49"/>
        <v>0.89674704685130502</v>
      </c>
      <c r="AL260" s="237">
        <f t="shared" si="49"/>
        <v>2.9556429084523911E-2</v>
      </c>
      <c r="AM260" s="237">
        <f t="shared" si="56"/>
        <v>1</v>
      </c>
      <c r="AO260" s="237">
        <f t="shared" si="57"/>
        <v>0.75124378109452739</v>
      </c>
      <c r="AP260" s="237">
        <f t="shared" si="58"/>
        <v>0.24875621890547264</v>
      </c>
      <c r="AQ260" s="237">
        <f t="shared" si="59"/>
        <v>0</v>
      </c>
      <c r="AR260" s="237">
        <f t="shared" si="60"/>
        <v>0.96809206717629603</v>
      </c>
      <c r="AS260" s="237">
        <f t="shared" si="60"/>
        <v>3.1907932823703966E-2</v>
      </c>
      <c r="AU260" s="251">
        <f t="shared" si="51"/>
        <v>10575.298402061344</v>
      </c>
      <c r="AV260" s="251">
        <f t="shared" si="50"/>
        <v>2990.3041627427442</v>
      </c>
      <c r="AW260" s="251">
        <f t="shared" si="50"/>
        <v>0</v>
      </c>
      <c r="AX260" s="251">
        <f t="shared" si="50"/>
        <v>137872.86634580439</v>
      </c>
      <c r="AY260" s="251">
        <f t="shared" si="50"/>
        <v>4514.1410390712526</v>
      </c>
      <c r="AZ260" s="251">
        <f t="shared" si="62"/>
        <v>155952.60994967973</v>
      </c>
      <c r="BA260" s="270">
        <f t="shared" si="61"/>
        <v>7.6582713355016363</v>
      </c>
      <c r="BB260" s="251">
        <f t="shared" si="54"/>
        <v>13565.602564804089</v>
      </c>
      <c r="BC260" s="251">
        <f t="shared" si="55"/>
        <v>142387.00738487564</v>
      </c>
    </row>
    <row r="261" spans="1:55">
      <c r="A261" s="11">
        <v>51592</v>
      </c>
      <c r="B261" s="251">
        <v>100</v>
      </c>
      <c r="C261" s="251">
        <v>295</v>
      </c>
      <c r="D261" s="251">
        <v>5</v>
      </c>
      <c r="E261" s="251">
        <v>220</v>
      </c>
      <c r="F261" s="251">
        <v>44</v>
      </c>
      <c r="G261" s="287">
        <v>0.33</v>
      </c>
      <c r="H261" s="287"/>
      <c r="I261" s="251"/>
      <c r="J261" s="251"/>
      <c r="K261" s="251"/>
      <c r="L261" s="251"/>
      <c r="M261" s="13"/>
      <c r="N261" s="251">
        <f t="shared" si="52"/>
        <v>664.33</v>
      </c>
      <c r="O261" s="251">
        <f>'BBD Monthly Production'!AG24*12</f>
        <v>466.34509555966042</v>
      </c>
      <c r="P261" s="271">
        <f t="shared" si="53"/>
        <v>0.70197807649761468</v>
      </c>
      <c r="Y261" s="251">
        <f>SUM('RD Feedstock'!F259,'RD Feedstock'!I259)</f>
        <v>23.121874999999999</v>
      </c>
      <c r="Z261" s="251">
        <f>SUM('RD Feedstock'!G259,'RD Feedstock'!J259)</f>
        <v>7.65625</v>
      </c>
      <c r="AA261" s="251">
        <v>0</v>
      </c>
      <c r="AB261" s="251">
        <f>SUM('RD Feedstock'!B259,'RD Feedstock'!D259,'RD Feedstock'!H259)</f>
        <v>374.51145833333328</v>
      </c>
      <c r="AC261" s="251">
        <f>SUM('RD Feedstock'!C259,'RD Feedstock'!E259)</f>
        <v>12.34375</v>
      </c>
      <c r="AD261" s="251">
        <f t="shared" si="48"/>
        <v>417.63333333333327</v>
      </c>
      <c r="AH261" s="237">
        <f t="shared" si="49"/>
        <v>5.5364055391491744E-2</v>
      </c>
      <c r="AI261" s="237">
        <f t="shared" si="49"/>
        <v>1.8332468672679385E-2</v>
      </c>
      <c r="AJ261" s="237">
        <f t="shared" si="49"/>
        <v>0</v>
      </c>
      <c r="AK261" s="237">
        <f t="shared" si="49"/>
        <v>0.89674704685130502</v>
      </c>
      <c r="AL261" s="237">
        <f t="shared" si="49"/>
        <v>2.9556429084523911E-2</v>
      </c>
      <c r="AM261" s="237">
        <f t="shared" si="56"/>
        <v>1</v>
      </c>
      <c r="AO261" s="237">
        <f t="shared" si="57"/>
        <v>0.75124378109452739</v>
      </c>
      <c r="AP261" s="237">
        <f t="shared" si="58"/>
        <v>0.24875621890547264</v>
      </c>
      <c r="AQ261" s="237">
        <f t="shared" si="59"/>
        <v>0</v>
      </c>
      <c r="AR261" s="237">
        <f t="shared" si="60"/>
        <v>0.96809206717629603</v>
      </c>
      <c r="AS261" s="237">
        <f t="shared" si="60"/>
        <v>3.1907932823703966E-2</v>
      </c>
      <c r="AU261" s="251">
        <f t="shared" si="51"/>
        <v>9154.2498927950728</v>
      </c>
      <c r="AV261" s="251">
        <f t="shared" si="50"/>
        <v>2588.4840805888434</v>
      </c>
      <c r="AW261" s="251">
        <f t="shared" si="50"/>
        <v>0</v>
      </c>
      <c r="AX261" s="251">
        <f t="shared" si="50"/>
        <v>119346.2939749686</v>
      </c>
      <c r="AY261" s="251">
        <f t="shared" si="50"/>
        <v>3907.5564160842055</v>
      </c>
      <c r="AZ261" s="251">
        <f t="shared" si="62"/>
        <v>134996.58436443671</v>
      </c>
      <c r="BA261" s="270">
        <f t="shared" si="61"/>
        <v>7.6582713355016336</v>
      </c>
      <c r="BB261" s="251">
        <f t="shared" si="54"/>
        <v>11742.733973383916</v>
      </c>
      <c r="BC261" s="251">
        <f t="shared" si="55"/>
        <v>123253.85039105281</v>
      </c>
    </row>
    <row r="262" spans="1:55">
      <c r="A262" s="11">
        <v>51622</v>
      </c>
      <c r="B262" s="251">
        <v>100</v>
      </c>
      <c r="C262" s="251">
        <v>295</v>
      </c>
      <c r="D262" s="251">
        <v>5</v>
      </c>
      <c r="E262" s="251">
        <v>220</v>
      </c>
      <c r="F262" s="251">
        <v>44</v>
      </c>
      <c r="G262" s="287">
        <v>0.33</v>
      </c>
      <c r="H262" s="287"/>
      <c r="I262" s="251"/>
      <c r="J262" s="251"/>
      <c r="K262" s="251"/>
      <c r="L262" s="251"/>
      <c r="M262" s="13"/>
      <c r="N262" s="251">
        <f t="shared" si="52"/>
        <v>664.33</v>
      </c>
      <c r="O262" s="251">
        <f>'BBD Monthly Production'!AG25*12</f>
        <v>502.12886470798298</v>
      </c>
      <c r="P262" s="271">
        <f t="shared" si="53"/>
        <v>0.75584252511249372</v>
      </c>
      <c r="Y262" s="251">
        <f>SUM('RD Feedstock'!F260,'RD Feedstock'!I260)</f>
        <v>23.121874999999999</v>
      </c>
      <c r="Z262" s="251">
        <f>SUM('RD Feedstock'!G260,'RD Feedstock'!J260)</f>
        <v>7.65625</v>
      </c>
      <c r="AA262" s="251">
        <v>0</v>
      </c>
      <c r="AB262" s="251">
        <f>SUM('RD Feedstock'!B260,'RD Feedstock'!D260,'RD Feedstock'!H260)</f>
        <v>374.51145833333328</v>
      </c>
      <c r="AC262" s="251">
        <f>SUM('RD Feedstock'!C260,'RD Feedstock'!E260)</f>
        <v>12.34375</v>
      </c>
      <c r="AD262" s="251">
        <f t="shared" si="48"/>
        <v>417.63333333333327</v>
      </c>
      <c r="AH262" s="237">
        <f t="shared" si="49"/>
        <v>5.5364055391491744E-2</v>
      </c>
      <c r="AI262" s="237">
        <f t="shared" si="49"/>
        <v>1.8332468672679385E-2</v>
      </c>
      <c r="AJ262" s="237">
        <f t="shared" si="49"/>
        <v>0</v>
      </c>
      <c r="AK262" s="237">
        <f t="shared" si="49"/>
        <v>0.89674704685130502</v>
      </c>
      <c r="AL262" s="237">
        <f t="shared" si="49"/>
        <v>2.9556429084523911E-2</v>
      </c>
      <c r="AM262" s="237">
        <f t="shared" si="56"/>
        <v>1</v>
      </c>
      <c r="AO262" s="237">
        <f t="shared" si="57"/>
        <v>0.75124378109452739</v>
      </c>
      <c r="AP262" s="237">
        <f t="shared" si="58"/>
        <v>0.24875621890547264</v>
      </c>
      <c r="AQ262" s="237">
        <f t="shared" si="59"/>
        <v>0</v>
      </c>
      <c r="AR262" s="237">
        <f t="shared" si="60"/>
        <v>0.96809206717629603</v>
      </c>
      <c r="AS262" s="237">
        <f t="shared" si="60"/>
        <v>3.1907932823703966E-2</v>
      </c>
      <c r="AU262" s="251">
        <f t="shared" si="51"/>
        <v>9856.677275454078</v>
      </c>
      <c r="AV262" s="251">
        <f t="shared" si="50"/>
        <v>2787.104625043673</v>
      </c>
      <c r="AW262" s="251">
        <f t="shared" si="50"/>
        <v>0</v>
      </c>
      <c r="AX262" s="251">
        <f t="shared" si="50"/>
        <v>128504.01917240617</v>
      </c>
      <c r="AY262" s="251">
        <f t="shared" si="50"/>
        <v>4207.3925204167654</v>
      </c>
      <c r="AZ262" s="251">
        <f t="shared" si="62"/>
        <v>145355.19359332067</v>
      </c>
      <c r="BA262" s="270">
        <f t="shared" si="61"/>
        <v>7.6582713355016354</v>
      </c>
      <c r="BB262" s="251">
        <f t="shared" si="54"/>
        <v>12643.78190049775</v>
      </c>
      <c r="BC262" s="251">
        <f t="shared" si="55"/>
        <v>132711.41169282293</v>
      </c>
    </row>
    <row r="263" spans="1:55">
      <c r="A263" s="11">
        <v>51653</v>
      </c>
      <c r="B263" s="251">
        <v>100</v>
      </c>
      <c r="C263" s="251">
        <v>295</v>
      </c>
      <c r="D263" s="251">
        <v>5</v>
      </c>
      <c r="E263" s="251">
        <v>220</v>
      </c>
      <c r="F263" s="251">
        <v>44</v>
      </c>
      <c r="G263" s="287">
        <v>0.33</v>
      </c>
      <c r="H263" s="287"/>
      <c r="I263" s="251"/>
      <c r="J263" s="251"/>
      <c r="K263" s="251"/>
      <c r="L263" s="251"/>
      <c r="M263" s="13"/>
      <c r="N263" s="251">
        <f t="shared" si="52"/>
        <v>664.33</v>
      </c>
      <c r="O263" s="251">
        <f>'BBD Monthly Production'!AG26*12</f>
        <v>626.18689803103393</v>
      </c>
      <c r="P263" s="271">
        <f t="shared" si="53"/>
        <v>0.94258410433223527</v>
      </c>
      <c r="Y263" s="251">
        <f>SUM('RD Feedstock'!F261,'RD Feedstock'!I261)</f>
        <v>23.121874999999999</v>
      </c>
      <c r="Z263" s="251">
        <f>SUM('RD Feedstock'!G261,'RD Feedstock'!J261)</f>
        <v>7.65625</v>
      </c>
      <c r="AA263" s="251">
        <v>0</v>
      </c>
      <c r="AB263" s="251">
        <f>SUM('RD Feedstock'!B261,'RD Feedstock'!D261,'RD Feedstock'!H261)</f>
        <v>374.51145833333328</v>
      </c>
      <c r="AC263" s="251">
        <f>SUM('RD Feedstock'!C261,'RD Feedstock'!E261)</f>
        <v>12.34375</v>
      </c>
      <c r="AD263" s="251">
        <f t="shared" ref="AD263:AD326" si="63">SUM(Y263:AC263)</f>
        <v>417.63333333333327</v>
      </c>
      <c r="AH263" s="237">
        <f t="shared" si="49"/>
        <v>5.5364055391491744E-2</v>
      </c>
      <c r="AI263" s="237">
        <f t="shared" si="49"/>
        <v>1.8332468672679385E-2</v>
      </c>
      <c r="AJ263" s="237">
        <f t="shared" si="49"/>
        <v>0</v>
      </c>
      <c r="AK263" s="237">
        <f t="shared" si="49"/>
        <v>0.89674704685130502</v>
      </c>
      <c r="AL263" s="237">
        <f t="shared" si="49"/>
        <v>2.9556429084523911E-2</v>
      </c>
      <c r="AM263" s="237">
        <f t="shared" si="56"/>
        <v>1</v>
      </c>
      <c r="AO263" s="237">
        <f t="shared" si="57"/>
        <v>0.75124378109452739</v>
      </c>
      <c r="AP263" s="237">
        <f t="shared" si="58"/>
        <v>0.24875621890547264</v>
      </c>
      <c r="AQ263" s="237">
        <f t="shared" si="59"/>
        <v>0</v>
      </c>
      <c r="AR263" s="237">
        <f t="shared" si="60"/>
        <v>0.96809206717629603</v>
      </c>
      <c r="AS263" s="237">
        <f t="shared" si="60"/>
        <v>3.1907932823703966E-2</v>
      </c>
      <c r="AU263" s="251">
        <f t="shared" si="51"/>
        <v>12291.908714706167</v>
      </c>
      <c r="AV263" s="251">
        <f t="shared" si="50"/>
        <v>3475.6982167496153</v>
      </c>
      <c r="AW263" s="251">
        <f t="shared" si="50"/>
        <v>0</v>
      </c>
      <c r="AX263" s="251">
        <f t="shared" si="50"/>
        <v>160252.75343787705</v>
      </c>
      <c r="AY263" s="251">
        <f t="shared" si="50"/>
        <v>5246.8883116108618</v>
      </c>
      <c r="AZ263" s="251">
        <f t="shared" si="62"/>
        <v>181267.24868094368</v>
      </c>
      <c r="BA263" s="270">
        <f t="shared" si="61"/>
        <v>7.6582713355016354</v>
      </c>
      <c r="BB263" s="251">
        <f t="shared" si="54"/>
        <v>15767.606931455783</v>
      </c>
      <c r="BC263" s="251">
        <f t="shared" si="55"/>
        <v>165499.6417494879</v>
      </c>
    </row>
    <row r="264" spans="1:55">
      <c r="A264" s="11">
        <v>51683</v>
      </c>
      <c r="B264" s="251">
        <v>100</v>
      </c>
      <c r="C264" s="251">
        <v>295</v>
      </c>
      <c r="D264" s="251">
        <v>5</v>
      </c>
      <c r="E264" s="251">
        <v>220</v>
      </c>
      <c r="F264" s="251">
        <v>44</v>
      </c>
      <c r="G264" s="287">
        <v>0.33</v>
      </c>
      <c r="H264" s="287"/>
      <c r="I264" s="251"/>
      <c r="J264" s="251"/>
      <c r="K264" s="251"/>
      <c r="L264" s="251"/>
      <c r="M264" s="13"/>
      <c r="N264" s="251">
        <f t="shared" si="52"/>
        <v>664.33</v>
      </c>
      <c r="O264" s="251">
        <f>'BBD Monthly Production'!AG27*12</f>
        <v>551.01481528494389</v>
      </c>
      <c r="P264" s="271">
        <f t="shared" si="53"/>
        <v>0.82942937287935792</v>
      </c>
      <c r="Y264" s="251">
        <f>SUM('RD Feedstock'!F262,'RD Feedstock'!I262)</f>
        <v>23.121874999999999</v>
      </c>
      <c r="Z264" s="251">
        <f>SUM('RD Feedstock'!G262,'RD Feedstock'!J262)</f>
        <v>7.65625</v>
      </c>
      <c r="AA264" s="251">
        <v>0</v>
      </c>
      <c r="AB264" s="251">
        <f>SUM('RD Feedstock'!B262,'RD Feedstock'!D262,'RD Feedstock'!H262)</f>
        <v>374.51145833333328</v>
      </c>
      <c r="AC264" s="251">
        <f>SUM('RD Feedstock'!C262,'RD Feedstock'!E262)</f>
        <v>12.34375</v>
      </c>
      <c r="AD264" s="251">
        <f t="shared" si="63"/>
        <v>417.63333333333327</v>
      </c>
      <c r="AH264" s="237">
        <f t="shared" si="49"/>
        <v>5.5364055391491744E-2</v>
      </c>
      <c r="AI264" s="237">
        <f t="shared" si="49"/>
        <v>1.8332468672679385E-2</v>
      </c>
      <c r="AJ264" s="237">
        <f t="shared" si="49"/>
        <v>0</v>
      </c>
      <c r="AK264" s="237">
        <f t="shared" si="49"/>
        <v>0.89674704685130502</v>
      </c>
      <c r="AL264" s="237">
        <f t="shared" si="49"/>
        <v>2.9556429084523911E-2</v>
      </c>
      <c r="AM264" s="237">
        <f t="shared" si="56"/>
        <v>1</v>
      </c>
      <c r="AO264" s="237">
        <f t="shared" si="57"/>
        <v>0.75124378109452739</v>
      </c>
      <c r="AP264" s="237">
        <f t="shared" si="58"/>
        <v>0.24875621890547264</v>
      </c>
      <c r="AQ264" s="237">
        <f t="shared" si="59"/>
        <v>0</v>
      </c>
      <c r="AR264" s="237">
        <f t="shared" si="60"/>
        <v>0.96809206717629603</v>
      </c>
      <c r="AS264" s="237">
        <f t="shared" si="60"/>
        <v>3.1907932823703966E-2</v>
      </c>
      <c r="AU264" s="251">
        <f>(($O264/12)*(AH264*Y$5))/2204.622*1000000</f>
        <v>10816.297548272145</v>
      </c>
      <c r="AV264" s="251">
        <f t="shared" si="50"/>
        <v>3058.4498284944671</v>
      </c>
      <c r="AW264" s="251">
        <f t="shared" si="50"/>
        <v>0</v>
      </c>
      <c r="AX264" s="251">
        <f t="shared" si="50"/>
        <v>141014.83376948466</v>
      </c>
      <c r="AY264" s="251">
        <f t="shared" si="50"/>
        <v>4617.0132318860915</v>
      </c>
      <c r="AZ264" s="251">
        <f t="shared" si="62"/>
        <v>159506.59437813735</v>
      </c>
      <c r="BA264" s="270">
        <f t="shared" si="61"/>
        <v>7.6582713355016372</v>
      </c>
      <c r="BB264" s="251">
        <f t="shared" si="54"/>
        <v>13874.747376766612</v>
      </c>
      <c r="BC264" s="251">
        <f t="shared" si="55"/>
        <v>145631.84700137074</v>
      </c>
    </row>
    <row r="265" spans="1:55">
      <c r="A265" s="11">
        <v>51714</v>
      </c>
      <c r="B265" s="251">
        <v>100</v>
      </c>
      <c r="C265" s="251">
        <v>295</v>
      </c>
      <c r="D265" s="251">
        <v>5</v>
      </c>
      <c r="E265" s="251">
        <v>220</v>
      </c>
      <c r="F265" s="251">
        <v>44</v>
      </c>
      <c r="G265" s="287">
        <v>0.33</v>
      </c>
      <c r="H265" s="287"/>
      <c r="I265" s="251"/>
      <c r="J265" s="251"/>
      <c r="K265" s="251"/>
      <c r="L265" s="251"/>
      <c r="M265" s="13"/>
      <c r="N265" s="251">
        <f t="shared" si="52"/>
        <v>664.33</v>
      </c>
      <c r="O265" s="251">
        <f>'BBD Monthly Production'!AG28*12</f>
        <v>484.43074087651905</v>
      </c>
      <c r="P265" s="271">
        <f t="shared" si="53"/>
        <v>0.72920196419929706</v>
      </c>
      <c r="Y265" s="251">
        <f>SUM('RD Feedstock'!F263,'RD Feedstock'!I263)</f>
        <v>23.121874999999999</v>
      </c>
      <c r="Z265" s="251">
        <f>SUM('RD Feedstock'!G263,'RD Feedstock'!J263)</f>
        <v>7.65625</v>
      </c>
      <c r="AA265" s="251">
        <v>0</v>
      </c>
      <c r="AB265" s="251">
        <f>SUM('RD Feedstock'!B263,'RD Feedstock'!D263,'RD Feedstock'!H263)</f>
        <v>374.51145833333328</v>
      </c>
      <c r="AC265" s="251">
        <f>SUM('RD Feedstock'!C263,'RD Feedstock'!E263)</f>
        <v>12.34375</v>
      </c>
      <c r="AD265" s="251">
        <f t="shared" si="63"/>
        <v>417.63333333333327</v>
      </c>
      <c r="AH265" s="237">
        <f t="shared" ref="AH265:AL307" si="64">Y265/$AD265</f>
        <v>5.5364055391491744E-2</v>
      </c>
      <c r="AI265" s="237">
        <f t="shared" si="64"/>
        <v>1.8332468672679385E-2</v>
      </c>
      <c r="AJ265" s="237">
        <f t="shared" si="64"/>
        <v>0</v>
      </c>
      <c r="AK265" s="237">
        <f t="shared" si="64"/>
        <v>0.89674704685130502</v>
      </c>
      <c r="AL265" s="237">
        <f t="shared" si="64"/>
        <v>2.9556429084523911E-2</v>
      </c>
      <c r="AM265" s="237">
        <f t="shared" si="56"/>
        <v>1</v>
      </c>
      <c r="AO265" s="237">
        <f t="shared" si="57"/>
        <v>0.75124378109452739</v>
      </c>
      <c r="AP265" s="237">
        <f t="shared" si="58"/>
        <v>0.24875621890547264</v>
      </c>
      <c r="AQ265" s="237">
        <f t="shared" si="59"/>
        <v>0</v>
      </c>
      <c r="AR265" s="237">
        <f t="shared" si="60"/>
        <v>0.96809206717629603</v>
      </c>
      <c r="AS265" s="237">
        <f t="shared" si="60"/>
        <v>3.1907932823703966E-2</v>
      </c>
      <c r="AU265" s="251">
        <f t="shared" si="51"/>
        <v>9509.2670641546065</v>
      </c>
      <c r="AV265" s="251">
        <f t="shared" si="50"/>
        <v>2688.8698366214717</v>
      </c>
      <c r="AW265" s="251">
        <f t="shared" si="50"/>
        <v>0</v>
      </c>
      <c r="AX265" s="251">
        <f t="shared" si="50"/>
        <v>123974.74351430056</v>
      </c>
      <c r="AY265" s="251">
        <f t="shared" si="50"/>
        <v>4059.0980106454226</v>
      </c>
      <c r="AZ265" s="251">
        <f t="shared" si="62"/>
        <v>140231.97842572205</v>
      </c>
      <c r="BA265" s="270">
        <f t="shared" si="61"/>
        <v>7.6582713355016354</v>
      </c>
      <c r="BB265" s="251">
        <f t="shared" si="54"/>
        <v>12198.136900776079</v>
      </c>
      <c r="BC265" s="251">
        <f t="shared" si="55"/>
        <v>128033.84152494598</v>
      </c>
    </row>
    <row r="266" spans="1:55">
      <c r="A266" s="11">
        <v>51745</v>
      </c>
      <c r="B266" s="251">
        <v>100</v>
      </c>
      <c r="C266" s="251">
        <v>295</v>
      </c>
      <c r="D266" s="251">
        <v>5</v>
      </c>
      <c r="E266" s="251">
        <v>220</v>
      </c>
      <c r="F266" s="251">
        <v>44</v>
      </c>
      <c r="G266" s="287">
        <v>0.33</v>
      </c>
      <c r="H266" s="287"/>
      <c r="I266" s="251"/>
      <c r="J266" s="251"/>
      <c r="K266" s="251"/>
      <c r="L266" s="251"/>
      <c r="M266" s="13"/>
      <c r="N266" s="251">
        <f t="shared" si="52"/>
        <v>664.33</v>
      </c>
      <c r="O266" s="251">
        <f>'BBD Monthly Production'!AG29*12</f>
        <v>529.00858965384054</v>
      </c>
      <c r="P266" s="271">
        <f t="shared" si="53"/>
        <v>0.79630392975455044</v>
      </c>
      <c r="Y266" s="251">
        <f>SUM('RD Feedstock'!F264,'RD Feedstock'!I264)</f>
        <v>23.121874999999999</v>
      </c>
      <c r="Z266" s="251">
        <f>SUM('RD Feedstock'!G264,'RD Feedstock'!J264)</f>
        <v>7.65625</v>
      </c>
      <c r="AA266" s="251">
        <v>0</v>
      </c>
      <c r="AB266" s="251">
        <f>SUM('RD Feedstock'!B264,'RD Feedstock'!D264,'RD Feedstock'!H264)</f>
        <v>374.51145833333328</v>
      </c>
      <c r="AC266" s="251">
        <f>SUM('RD Feedstock'!C264,'RD Feedstock'!E264)</f>
        <v>12.34375</v>
      </c>
      <c r="AD266" s="251">
        <f t="shared" si="63"/>
        <v>417.63333333333327</v>
      </c>
      <c r="AH266" s="237">
        <f t="shared" si="64"/>
        <v>5.5364055391491744E-2</v>
      </c>
      <c r="AI266" s="237">
        <f t="shared" si="64"/>
        <v>1.8332468672679385E-2</v>
      </c>
      <c r="AJ266" s="237">
        <f t="shared" si="64"/>
        <v>0</v>
      </c>
      <c r="AK266" s="237">
        <f t="shared" si="64"/>
        <v>0.89674704685130502</v>
      </c>
      <c r="AL266" s="237">
        <f t="shared" si="64"/>
        <v>2.9556429084523911E-2</v>
      </c>
      <c r="AM266" s="237">
        <f t="shared" si="56"/>
        <v>1</v>
      </c>
      <c r="AO266" s="237">
        <f t="shared" si="57"/>
        <v>0.75124378109452739</v>
      </c>
      <c r="AP266" s="237">
        <f t="shared" si="58"/>
        <v>0.24875621890547264</v>
      </c>
      <c r="AQ266" s="237">
        <f t="shared" si="59"/>
        <v>0</v>
      </c>
      <c r="AR266" s="237">
        <f t="shared" si="60"/>
        <v>0.96809206717629603</v>
      </c>
      <c r="AS266" s="237">
        <f t="shared" si="60"/>
        <v>3.1907932823703966E-2</v>
      </c>
      <c r="AU266" s="251">
        <f t="shared" si="51"/>
        <v>10384.320262475687</v>
      </c>
      <c r="AV266" s="251">
        <f t="shared" si="50"/>
        <v>2936.3025919043707</v>
      </c>
      <c r="AW266" s="251">
        <f t="shared" si="50"/>
        <v>0</v>
      </c>
      <c r="AX266" s="251">
        <f t="shared" si="50"/>
        <v>135383.03556155614</v>
      </c>
      <c r="AY266" s="251">
        <f t="shared" si="50"/>
        <v>4432.6206672866565</v>
      </c>
      <c r="AZ266" s="251">
        <f t="shared" si="62"/>
        <v>153136.27908322285</v>
      </c>
      <c r="BA266" s="270">
        <f t="shared" si="61"/>
        <v>7.6582713355016363</v>
      </c>
      <c r="BB266" s="251">
        <f t="shared" si="54"/>
        <v>13320.622854380057</v>
      </c>
      <c r="BC266" s="251">
        <f t="shared" si="55"/>
        <v>139815.6562288428</v>
      </c>
    </row>
    <row r="267" spans="1:55">
      <c r="A267" s="11">
        <v>51775</v>
      </c>
      <c r="B267" s="251">
        <v>100</v>
      </c>
      <c r="C267" s="251">
        <v>295</v>
      </c>
      <c r="D267" s="251">
        <v>5</v>
      </c>
      <c r="E267" s="251">
        <v>220</v>
      </c>
      <c r="F267" s="251">
        <v>44</v>
      </c>
      <c r="G267" s="287">
        <v>0.33</v>
      </c>
      <c r="H267" s="287"/>
      <c r="I267" s="251"/>
      <c r="J267" s="251"/>
      <c r="K267" s="251"/>
      <c r="L267" s="251"/>
      <c r="M267" s="13"/>
      <c r="N267" s="251">
        <f t="shared" si="52"/>
        <v>664.33</v>
      </c>
      <c r="O267" s="251">
        <f>'BBD Monthly Production'!AG30*12</f>
        <v>422.69273732628722</v>
      </c>
      <c r="P267" s="271">
        <f t="shared" si="53"/>
        <v>0.63626922963931654</v>
      </c>
      <c r="Y267" s="251">
        <f>SUM('RD Feedstock'!F265,'RD Feedstock'!I265)</f>
        <v>23.121874999999999</v>
      </c>
      <c r="Z267" s="251">
        <f>SUM('RD Feedstock'!G265,'RD Feedstock'!J265)</f>
        <v>7.65625</v>
      </c>
      <c r="AA267" s="251">
        <v>0</v>
      </c>
      <c r="AB267" s="251">
        <f>SUM('RD Feedstock'!B265,'RD Feedstock'!D265,'RD Feedstock'!H265)</f>
        <v>374.51145833333328</v>
      </c>
      <c r="AC267" s="251">
        <f>SUM('RD Feedstock'!C265,'RD Feedstock'!E265)</f>
        <v>12.34375</v>
      </c>
      <c r="AD267" s="251">
        <f t="shared" si="63"/>
        <v>417.63333333333327</v>
      </c>
      <c r="AH267" s="237">
        <f t="shared" si="64"/>
        <v>5.5364055391491744E-2</v>
      </c>
      <c r="AI267" s="237">
        <f t="shared" si="64"/>
        <v>1.8332468672679385E-2</v>
      </c>
      <c r="AJ267" s="237">
        <f t="shared" si="64"/>
        <v>0</v>
      </c>
      <c r="AK267" s="237">
        <f t="shared" si="64"/>
        <v>0.89674704685130502</v>
      </c>
      <c r="AL267" s="237">
        <f t="shared" si="64"/>
        <v>2.9556429084523911E-2</v>
      </c>
      <c r="AM267" s="237">
        <f t="shared" si="56"/>
        <v>1</v>
      </c>
      <c r="AO267" s="237">
        <f t="shared" si="57"/>
        <v>0.75124378109452739</v>
      </c>
      <c r="AP267" s="237">
        <f t="shared" si="58"/>
        <v>0.24875621890547264</v>
      </c>
      <c r="AQ267" s="237">
        <f t="shared" si="59"/>
        <v>0</v>
      </c>
      <c r="AR267" s="237">
        <f t="shared" si="60"/>
        <v>0.96809206717629603</v>
      </c>
      <c r="AS267" s="237">
        <f t="shared" si="60"/>
        <v>3.1907932823703966E-2</v>
      </c>
      <c r="AU267" s="251">
        <f t="shared" si="51"/>
        <v>8297.3638667963569</v>
      </c>
      <c r="AV267" s="251">
        <f t="shared" si="50"/>
        <v>2346.1883312754635</v>
      </c>
      <c r="AW267" s="251">
        <f t="shared" si="50"/>
        <v>0</v>
      </c>
      <c r="AX267" s="251">
        <f t="shared" si="50"/>
        <v>108174.85199342793</v>
      </c>
      <c r="AY267" s="251">
        <f t="shared" si="50"/>
        <v>3541.7885456462895</v>
      </c>
      <c r="AZ267" s="251">
        <f t="shared" si="62"/>
        <v>122360.19273714603</v>
      </c>
      <c r="BA267" s="270">
        <f t="shared" si="61"/>
        <v>7.6582713355016345</v>
      </c>
      <c r="BB267" s="251">
        <f t="shared" si="54"/>
        <v>10643.55219807182</v>
      </c>
      <c r="BC267" s="251">
        <f t="shared" si="55"/>
        <v>111716.64053907421</v>
      </c>
    </row>
    <row r="268" spans="1:55">
      <c r="A268" s="11">
        <v>51806</v>
      </c>
      <c r="B268" s="251">
        <v>100</v>
      </c>
      <c r="C268" s="251">
        <v>295</v>
      </c>
      <c r="D268" s="251">
        <v>5</v>
      </c>
      <c r="E268" s="251">
        <v>220</v>
      </c>
      <c r="F268" s="251">
        <v>44</v>
      </c>
      <c r="G268" s="287">
        <v>0.33</v>
      </c>
      <c r="H268" s="287"/>
      <c r="I268" s="251"/>
      <c r="J268" s="251"/>
      <c r="K268" s="251"/>
      <c r="L268" s="251"/>
      <c r="M268" s="13"/>
      <c r="N268" s="251">
        <f t="shared" si="52"/>
        <v>664.33</v>
      </c>
      <c r="O268" s="251">
        <f>'BBD Monthly Production'!AG31*12</f>
        <v>544.28675722190519</v>
      </c>
      <c r="P268" s="271">
        <f t="shared" si="53"/>
        <v>0.81930178860190739</v>
      </c>
      <c r="Y268" s="251">
        <f>SUM('RD Feedstock'!F266,'RD Feedstock'!I266)</f>
        <v>23.121874999999999</v>
      </c>
      <c r="Z268" s="251">
        <f>SUM('RD Feedstock'!G266,'RD Feedstock'!J266)</f>
        <v>7.65625</v>
      </c>
      <c r="AA268" s="251">
        <v>0</v>
      </c>
      <c r="AB268" s="251">
        <f>SUM('RD Feedstock'!B266,'RD Feedstock'!D266,'RD Feedstock'!H266)</f>
        <v>374.51145833333328</v>
      </c>
      <c r="AC268" s="251">
        <f>SUM('RD Feedstock'!C266,'RD Feedstock'!E266)</f>
        <v>12.34375</v>
      </c>
      <c r="AD268" s="251">
        <f t="shared" si="63"/>
        <v>417.63333333333327</v>
      </c>
      <c r="AH268" s="237">
        <f t="shared" si="64"/>
        <v>5.5364055391491744E-2</v>
      </c>
      <c r="AI268" s="237">
        <f t="shared" si="64"/>
        <v>1.8332468672679385E-2</v>
      </c>
      <c r="AJ268" s="237">
        <f t="shared" si="64"/>
        <v>0</v>
      </c>
      <c r="AK268" s="237">
        <f t="shared" si="64"/>
        <v>0.89674704685130502</v>
      </c>
      <c r="AL268" s="237">
        <f t="shared" si="64"/>
        <v>2.9556429084523911E-2</v>
      </c>
      <c r="AM268" s="237">
        <f t="shared" si="56"/>
        <v>1</v>
      </c>
      <c r="AO268" s="237">
        <f t="shared" si="57"/>
        <v>0.75124378109452739</v>
      </c>
      <c r="AP268" s="237">
        <f t="shared" si="58"/>
        <v>0.24875621890547264</v>
      </c>
      <c r="AQ268" s="237">
        <f t="shared" si="59"/>
        <v>0</v>
      </c>
      <c r="AR268" s="237">
        <f t="shared" si="60"/>
        <v>0.96809206717629603</v>
      </c>
      <c r="AS268" s="237">
        <f t="shared" si="60"/>
        <v>3.1907932823703966E-2</v>
      </c>
      <c r="AU268" s="251">
        <f t="shared" si="51"/>
        <v>10684.227273729262</v>
      </c>
      <c r="AV268" s="251">
        <f t="shared" si="50"/>
        <v>3021.1052282075216</v>
      </c>
      <c r="AW268" s="251">
        <f t="shared" si="50"/>
        <v>0</v>
      </c>
      <c r="AX268" s="251">
        <f t="shared" si="50"/>
        <v>139292.99986768619</v>
      </c>
      <c r="AY268" s="251">
        <f t="shared" si="50"/>
        <v>4560.6380996024272</v>
      </c>
      <c r="AZ268" s="251">
        <f t="shared" si="62"/>
        <v>157558.9704692254</v>
      </c>
      <c r="BA268" s="270">
        <f t="shared" si="61"/>
        <v>7.6582713355016381</v>
      </c>
      <c r="BB268" s="251">
        <f t="shared" si="54"/>
        <v>13705.332501936784</v>
      </c>
      <c r="BC268" s="251">
        <f t="shared" si="55"/>
        <v>143853.63796728861</v>
      </c>
    </row>
    <row r="269" spans="1:55">
      <c r="A269" s="11">
        <v>51836</v>
      </c>
      <c r="B269" s="251">
        <v>100</v>
      </c>
      <c r="C269" s="251">
        <v>295</v>
      </c>
      <c r="D269" s="251">
        <v>5</v>
      </c>
      <c r="E269" s="251">
        <v>220</v>
      </c>
      <c r="F269" s="251">
        <v>44</v>
      </c>
      <c r="G269" s="287">
        <v>0.33</v>
      </c>
      <c r="H269" s="287"/>
      <c r="I269" s="251"/>
      <c r="J269" s="251"/>
      <c r="K269" s="251"/>
      <c r="L269" s="251"/>
      <c r="M269" s="13"/>
      <c r="N269" s="251">
        <f t="shared" si="52"/>
        <v>664.33</v>
      </c>
      <c r="O269" s="251">
        <f>'BBD Monthly Production'!AG32*12</f>
        <v>748.65836064416339</v>
      </c>
      <c r="P269" s="271">
        <f t="shared" si="53"/>
        <v>1.1269374567521613</v>
      </c>
      <c r="Y269" s="251">
        <f>SUM('RD Feedstock'!F267,'RD Feedstock'!I267)</f>
        <v>23.121874999999999</v>
      </c>
      <c r="Z269" s="251">
        <f>SUM('RD Feedstock'!G267,'RD Feedstock'!J267)</f>
        <v>7.65625</v>
      </c>
      <c r="AA269" s="251">
        <v>0</v>
      </c>
      <c r="AB269" s="251">
        <f>SUM('RD Feedstock'!B267,'RD Feedstock'!D267,'RD Feedstock'!H267)</f>
        <v>374.51145833333328</v>
      </c>
      <c r="AC269" s="251">
        <f>SUM('RD Feedstock'!C267,'RD Feedstock'!E267)</f>
        <v>12.34375</v>
      </c>
      <c r="AD269" s="251">
        <f t="shared" si="63"/>
        <v>417.63333333333327</v>
      </c>
      <c r="AH269" s="237">
        <f t="shared" si="64"/>
        <v>5.5364055391491744E-2</v>
      </c>
      <c r="AI269" s="237">
        <f t="shared" si="64"/>
        <v>1.8332468672679385E-2</v>
      </c>
      <c r="AJ269" s="237">
        <f t="shared" si="64"/>
        <v>0</v>
      </c>
      <c r="AK269" s="237">
        <f t="shared" si="64"/>
        <v>0.89674704685130502</v>
      </c>
      <c r="AL269" s="237">
        <f t="shared" si="64"/>
        <v>2.9556429084523911E-2</v>
      </c>
      <c r="AM269" s="237">
        <f t="shared" si="56"/>
        <v>1</v>
      </c>
      <c r="AO269" s="237">
        <f t="shared" si="57"/>
        <v>0.75124378109452739</v>
      </c>
      <c r="AP269" s="237">
        <f t="shared" si="58"/>
        <v>0.24875621890547264</v>
      </c>
      <c r="AQ269" s="237">
        <f t="shared" si="59"/>
        <v>0</v>
      </c>
      <c r="AR269" s="237">
        <f t="shared" si="60"/>
        <v>0.96809206717629603</v>
      </c>
      <c r="AS269" s="237">
        <f t="shared" si="60"/>
        <v>3.1907932823703966E-2</v>
      </c>
      <c r="AU269" s="251">
        <f t="shared" si="51"/>
        <v>14695.99612587798</v>
      </c>
      <c r="AV269" s="251">
        <f t="shared" si="50"/>
        <v>4155.4854265198119</v>
      </c>
      <c r="AW269" s="251">
        <f t="shared" si="50"/>
        <v>0</v>
      </c>
      <c r="AX269" s="251">
        <f t="shared" si="50"/>
        <v>191595.45505464793</v>
      </c>
      <c r="AY269" s="251">
        <f t="shared" si="50"/>
        <v>6273.0900537924244</v>
      </c>
      <c r="AZ269" s="251">
        <f t="shared" si="62"/>
        <v>216720.02666083816</v>
      </c>
      <c r="BA269" s="270">
        <f t="shared" si="61"/>
        <v>7.6582713355016381</v>
      </c>
      <c r="BB269" s="251">
        <f t="shared" si="54"/>
        <v>18851.481552397792</v>
      </c>
      <c r="BC269" s="251">
        <f t="shared" si="55"/>
        <v>197868.54510844036</v>
      </c>
    </row>
    <row r="270" spans="1:55">
      <c r="A270" s="11">
        <v>51867</v>
      </c>
      <c r="B270" s="251">
        <v>100</v>
      </c>
      <c r="C270" s="251">
        <v>295</v>
      </c>
      <c r="D270" s="251">
        <v>5</v>
      </c>
      <c r="E270" s="251">
        <v>220</v>
      </c>
      <c r="F270" s="251">
        <v>44</v>
      </c>
      <c r="G270" s="287">
        <v>0.33</v>
      </c>
      <c r="H270" s="287"/>
      <c r="I270" s="251"/>
      <c r="J270" s="251"/>
      <c r="K270" s="251"/>
      <c r="L270" s="251"/>
      <c r="M270" s="13"/>
      <c r="N270" s="251">
        <f t="shared" si="52"/>
        <v>664.33</v>
      </c>
      <c r="O270" s="251">
        <f>'BBD Monthly Production'!AH21*12</f>
        <v>234.87757728148381</v>
      </c>
      <c r="P270" s="271">
        <f t="shared" si="53"/>
        <v>0.35355557822390049</v>
      </c>
      <c r="Y270" s="251">
        <f>SUM('RD Feedstock'!F268,'RD Feedstock'!I268)</f>
        <v>23.121874999999999</v>
      </c>
      <c r="Z270" s="251">
        <f>SUM('RD Feedstock'!G268,'RD Feedstock'!J268)</f>
        <v>7.65625</v>
      </c>
      <c r="AA270" s="251">
        <v>0</v>
      </c>
      <c r="AB270" s="251">
        <f>SUM('RD Feedstock'!B268,'RD Feedstock'!D268,'RD Feedstock'!H268)</f>
        <v>374.51145833333328</v>
      </c>
      <c r="AC270" s="251">
        <f>SUM('RD Feedstock'!C268,'RD Feedstock'!E268)</f>
        <v>12.34375</v>
      </c>
      <c r="AD270" s="251">
        <f t="shared" si="63"/>
        <v>417.63333333333327</v>
      </c>
      <c r="AH270" s="237">
        <f t="shared" si="64"/>
        <v>5.5364055391491744E-2</v>
      </c>
      <c r="AI270" s="237">
        <f t="shared" si="64"/>
        <v>1.8332468672679385E-2</v>
      </c>
      <c r="AJ270" s="237">
        <f t="shared" si="64"/>
        <v>0</v>
      </c>
      <c r="AK270" s="237">
        <f t="shared" si="64"/>
        <v>0.89674704685130502</v>
      </c>
      <c r="AL270" s="237">
        <f t="shared" si="64"/>
        <v>2.9556429084523911E-2</v>
      </c>
      <c r="AM270" s="237">
        <f t="shared" si="56"/>
        <v>1</v>
      </c>
      <c r="AO270" s="237">
        <f t="shared" si="57"/>
        <v>0.75124378109452739</v>
      </c>
      <c r="AP270" s="237">
        <f t="shared" si="58"/>
        <v>0.24875621890547264</v>
      </c>
      <c r="AQ270" s="237">
        <f t="shared" si="59"/>
        <v>0</v>
      </c>
      <c r="AR270" s="237">
        <f t="shared" si="60"/>
        <v>0.96809206717629603</v>
      </c>
      <c r="AS270" s="237">
        <f t="shared" si="60"/>
        <v>3.1907932823703966E-2</v>
      </c>
      <c r="AU270" s="251">
        <f t="shared" si="51"/>
        <v>4610.5942940573268</v>
      </c>
      <c r="AV270" s="251">
        <f t="shared" si="50"/>
        <v>1303.7059368036539</v>
      </c>
      <c r="AW270" s="251">
        <f t="shared" si="50"/>
        <v>0</v>
      </c>
      <c r="AX270" s="251">
        <f t="shared" si="50"/>
        <v>60109.495421461383</v>
      </c>
      <c r="AY270" s="251">
        <f t="shared" si="50"/>
        <v>1968.0648361898775</v>
      </c>
      <c r="AZ270" s="251">
        <f t="shared" si="62"/>
        <v>67991.860488512248</v>
      </c>
      <c r="BA270" s="270">
        <f t="shared" si="61"/>
        <v>7.6582713355016372</v>
      </c>
      <c r="BB270" s="251">
        <f t="shared" si="54"/>
        <v>5914.3002308609812</v>
      </c>
      <c r="BC270" s="251">
        <f t="shared" si="55"/>
        <v>62077.560257651261</v>
      </c>
    </row>
    <row r="271" spans="1:55">
      <c r="A271" s="11">
        <v>51898</v>
      </c>
      <c r="B271" s="251">
        <v>100</v>
      </c>
      <c r="C271" s="251">
        <v>295</v>
      </c>
      <c r="D271" s="251">
        <v>5</v>
      </c>
      <c r="E271" s="251">
        <v>220</v>
      </c>
      <c r="F271" s="251">
        <v>44</v>
      </c>
      <c r="G271" s="287">
        <v>0.33</v>
      </c>
      <c r="H271" s="287"/>
      <c r="I271" s="251"/>
      <c r="J271" s="251"/>
      <c r="K271" s="251"/>
      <c r="L271" s="251"/>
      <c r="M271" s="13"/>
      <c r="N271" s="251">
        <f t="shared" si="52"/>
        <v>664.33</v>
      </c>
      <c r="O271" s="251">
        <f>'BBD Monthly Production'!AH22*12</f>
        <v>275.73292600490987</v>
      </c>
      <c r="P271" s="271">
        <f t="shared" si="53"/>
        <v>0.41505415381649158</v>
      </c>
      <c r="Y271" s="251">
        <f>SUM('RD Feedstock'!F269,'RD Feedstock'!I269)</f>
        <v>23.121874999999999</v>
      </c>
      <c r="Z271" s="251">
        <f>SUM('RD Feedstock'!G269,'RD Feedstock'!J269)</f>
        <v>7.65625</v>
      </c>
      <c r="AA271" s="251">
        <v>0</v>
      </c>
      <c r="AB271" s="251">
        <f>SUM('RD Feedstock'!B269,'RD Feedstock'!D269,'RD Feedstock'!H269)</f>
        <v>374.51145833333328</v>
      </c>
      <c r="AC271" s="251">
        <f>SUM('RD Feedstock'!C269,'RD Feedstock'!E269)</f>
        <v>12.34375</v>
      </c>
      <c r="AD271" s="251">
        <f t="shared" si="63"/>
        <v>417.63333333333327</v>
      </c>
      <c r="AH271" s="237">
        <f t="shared" si="64"/>
        <v>5.5364055391491744E-2</v>
      </c>
      <c r="AI271" s="237">
        <f t="shared" si="64"/>
        <v>1.8332468672679385E-2</v>
      </c>
      <c r="AJ271" s="237">
        <f t="shared" si="64"/>
        <v>0</v>
      </c>
      <c r="AK271" s="237">
        <f t="shared" si="64"/>
        <v>0.89674704685130502</v>
      </c>
      <c r="AL271" s="237">
        <f t="shared" si="64"/>
        <v>2.9556429084523911E-2</v>
      </c>
      <c r="AM271" s="237">
        <f t="shared" si="56"/>
        <v>1</v>
      </c>
      <c r="AO271" s="237">
        <f t="shared" si="57"/>
        <v>0.75124378109452739</v>
      </c>
      <c r="AP271" s="237">
        <f t="shared" si="58"/>
        <v>0.24875621890547264</v>
      </c>
      <c r="AQ271" s="237">
        <f t="shared" si="59"/>
        <v>0</v>
      </c>
      <c r="AR271" s="237">
        <f t="shared" si="60"/>
        <v>0.96809206717629603</v>
      </c>
      <c r="AS271" s="237">
        <f t="shared" si="60"/>
        <v>3.1907932823703966E-2</v>
      </c>
      <c r="AU271" s="251">
        <f t="shared" si="51"/>
        <v>5412.575649136641</v>
      </c>
      <c r="AV271" s="251">
        <f t="shared" si="50"/>
        <v>1530.4766711470261</v>
      </c>
      <c r="AW271" s="251">
        <f t="shared" si="50"/>
        <v>0</v>
      </c>
      <c r="AX271" s="251">
        <f t="shared" si="50"/>
        <v>70565.131184810118</v>
      </c>
      <c r="AY271" s="251">
        <f t="shared" si="50"/>
        <v>2310.39625889733</v>
      </c>
      <c r="AZ271" s="251">
        <f t="shared" si="62"/>
        <v>79818.579763991118</v>
      </c>
      <c r="BA271" s="270">
        <f t="shared" si="61"/>
        <v>7.658271335501639</v>
      </c>
      <c r="BB271" s="251">
        <f t="shared" si="54"/>
        <v>6943.0523202836666</v>
      </c>
      <c r="BC271" s="251">
        <f t="shared" si="55"/>
        <v>72875.527443707455</v>
      </c>
    </row>
    <row r="272" spans="1:55">
      <c r="A272" s="11">
        <v>51926</v>
      </c>
      <c r="B272" s="251">
        <v>100</v>
      </c>
      <c r="C272" s="251">
        <v>295</v>
      </c>
      <c r="D272" s="251">
        <v>5</v>
      </c>
      <c r="E272" s="251">
        <v>220</v>
      </c>
      <c r="F272" s="251">
        <v>44</v>
      </c>
      <c r="G272" s="287">
        <v>0.33</v>
      </c>
      <c r="H272" s="287"/>
      <c r="I272" s="251"/>
      <c r="J272" s="251"/>
      <c r="K272" s="251"/>
      <c r="L272" s="251"/>
      <c r="M272" s="13"/>
      <c r="N272" s="251">
        <f t="shared" si="52"/>
        <v>664.33</v>
      </c>
      <c r="O272" s="251">
        <f>'BBD Monthly Production'!AH23*12</f>
        <v>538.73366469077564</v>
      </c>
      <c r="P272" s="271">
        <f t="shared" si="53"/>
        <v>0.81094285173148228</v>
      </c>
      <c r="Y272" s="251">
        <f>SUM('RD Feedstock'!F270,'RD Feedstock'!I270)</f>
        <v>23.121874999999999</v>
      </c>
      <c r="Z272" s="251">
        <f>SUM('RD Feedstock'!G270,'RD Feedstock'!J270)</f>
        <v>7.65625</v>
      </c>
      <c r="AA272" s="251">
        <v>0</v>
      </c>
      <c r="AB272" s="251">
        <f>SUM('RD Feedstock'!B270,'RD Feedstock'!D270,'RD Feedstock'!H270)</f>
        <v>374.51145833333328</v>
      </c>
      <c r="AC272" s="251">
        <f>SUM('RD Feedstock'!C270,'RD Feedstock'!E270)</f>
        <v>12.34375</v>
      </c>
      <c r="AD272" s="251">
        <f t="shared" si="63"/>
        <v>417.63333333333327</v>
      </c>
      <c r="AH272" s="237">
        <f t="shared" si="64"/>
        <v>5.5364055391491744E-2</v>
      </c>
      <c r="AI272" s="237">
        <f t="shared" si="64"/>
        <v>1.8332468672679385E-2</v>
      </c>
      <c r="AJ272" s="237">
        <f t="shared" si="64"/>
        <v>0</v>
      </c>
      <c r="AK272" s="237">
        <f t="shared" si="64"/>
        <v>0.89674704685130502</v>
      </c>
      <c r="AL272" s="237">
        <f t="shared" si="64"/>
        <v>2.9556429084523911E-2</v>
      </c>
      <c r="AM272" s="237">
        <f t="shared" si="56"/>
        <v>1</v>
      </c>
      <c r="AO272" s="237">
        <f t="shared" si="57"/>
        <v>0.75124378109452739</v>
      </c>
      <c r="AP272" s="237">
        <f t="shared" si="58"/>
        <v>0.24875621890547264</v>
      </c>
      <c r="AQ272" s="237">
        <f t="shared" si="59"/>
        <v>0</v>
      </c>
      <c r="AR272" s="237">
        <f t="shared" si="60"/>
        <v>0.96809206717629603</v>
      </c>
      <c r="AS272" s="237">
        <f t="shared" si="60"/>
        <v>3.1907932823703966E-2</v>
      </c>
      <c r="AU272" s="251">
        <f t="shared" si="51"/>
        <v>10575.221309708631</v>
      </c>
      <c r="AV272" s="251">
        <f t="shared" si="50"/>
        <v>2990.282363870082</v>
      </c>
      <c r="AW272" s="251">
        <f t="shared" si="50"/>
        <v>0</v>
      </c>
      <c r="AX272" s="251">
        <f t="shared" si="50"/>
        <v>137871.86127311163</v>
      </c>
      <c r="AY272" s="251">
        <f t="shared" si="50"/>
        <v>4514.1081316543696</v>
      </c>
      <c r="AZ272" s="251">
        <f t="shared" si="62"/>
        <v>155951.47307834469</v>
      </c>
      <c r="BA272" s="270">
        <f t="shared" si="61"/>
        <v>7.6582713355016354</v>
      </c>
      <c r="BB272" s="251">
        <f t="shared" si="54"/>
        <v>13565.503673578714</v>
      </c>
      <c r="BC272" s="251">
        <f t="shared" si="55"/>
        <v>142385.96940476599</v>
      </c>
    </row>
    <row r="273" spans="1:55">
      <c r="A273" s="11">
        <v>51957</v>
      </c>
      <c r="B273" s="251">
        <v>100</v>
      </c>
      <c r="C273" s="251">
        <v>295</v>
      </c>
      <c r="D273" s="251">
        <v>5</v>
      </c>
      <c r="E273" s="251">
        <v>220</v>
      </c>
      <c r="F273" s="251">
        <v>44</v>
      </c>
      <c r="G273" s="287">
        <v>0.33</v>
      </c>
      <c r="H273" s="287"/>
      <c r="I273" s="251"/>
      <c r="J273" s="251"/>
      <c r="K273" s="251"/>
      <c r="L273" s="251"/>
      <c r="M273" s="13"/>
      <c r="N273" s="251">
        <f t="shared" si="52"/>
        <v>664.33</v>
      </c>
      <c r="O273" s="251">
        <f>'BBD Monthly Production'!AH24*12</f>
        <v>466.34427389667474</v>
      </c>
      <c r="P273" s="271">
        <f t="shared" si="53"/>
        <v>0.70197683966804858</v>
      </c>
      <c r="Y273" s="251">
        <f>SUM('RD Feedstock'!F271,'RD Feedstock'!I271)</f>
        <v>23.121874999999999</v>
      </c>
      <c r="Z273" s="251">
        <f>SUM('RD Feedstock'!G271,'RD Feedstock'!J271)</f>
        <v>7.65625</v>
      </c>
      <c r="AA273" s="251">
        <v>0</v>
      </c>
      <c r="AB273" s="251">
        <f>SUM('RD Feedstock'!B271,'RD Feedstock'!D271,'RD Feedstock'!H271)</f>
        <v>374.51145833333328</v>
      </c>
      <c r="AC273" s="251">
        <f>SUM('RD Feedstock'!C271,'RD Feedstock'!E271)</f>
        <v>12.34375</v>
      </c>
      <c r="AD273" s="251">
        <f t="shared" si="63"/>
        <v>417.63333333333327</v>
      </c>
      <c r="AH273" s="237">
        <f t="shared" si="64"/>
        <v>5.5364055391491744E-2</v>
      </c>
      <c r="AI273" s="237">
        <f t="shared" si="64"/>
        <v>1.8332468672679385E-2</v>
      </c>
      <c r="AJ273" s="237">
        <f t="shared" si="64"/>
        <v>0</v>
      </c>
      <c r="AK273" s="237">
        <f t="shared" si="64"/>
        <v>0.89674704685130502</v>
      </c>
      <c r="AL273" s="237">
        <f t="shared" si="64"/>
        <v>2.9556429084523911E-2</v>
      </c>
      <c r="AM273" s="237">
        <f t="shared" si="56"/>
        <v>1</v>
      </c>
      <c r="AO273" s="237">
        <f t="shared" si="57"/>
        <v>0.75124378109452739</v>
      </c>
      <c r="AP273" s="237">
        <f t="shared" si="58"/>
        <v>0.24875621890547264</v>
      </c>
      <c r="AQ273" s="237">
        <f t="shared" si="59"/>
        <v>0</v>
      </c>
      <c r="AR273" s="237">
        <f t="shared" si="60"/>
        <v>0.96809206717629603</v>
      </c>
      <c r="AS273" s="237">
        <f t="shared" si="60"/>
        <v>3.1907932823703966E-2</v>
      </c>
      <c r="AU273" s="251">
        <f t="shared" si="51"/>
        <v>9154.2337637344899</v>
      </c>
      <c r="AV273" s="251">
        <f t="shared" si="50"/>
        <v>2588.4795198856682</v>
      </c>
      <c r="AW273" s="251">
        <f t="shared" si="50"/>
        <v>0</v>
      </c>
      <c r="AX273" s="251">
        <f t="shared" si="50"/>
        <v>119346.08369628621</v>
      </c>
      <c r="AY273" s="251">
        <f t="shared" si="50"/>
        <v>3907.5495312804369</v>
      </c>
      <c r="AZ273" s="251">
        <f t="shared" si="62"/>
        <v>134996.3465111868</v>
      </c>
      <c r="BA273" s="270">
        <f t="shared" si="61"/>
        <v>7.6582713355016363</v>
      </c>
      <c r="BB273" s="251">
        <f t="shared" si="54"/>
        <v>11742.713283620158</v>
      </c>
      <c r="BC273" s="251">
        <f t="shared" si="55"/>
        <v>123253.63322756665</v>
      </c>
    </row>
    <row r="274" spans="1:55">
      <c r="A274" s="11">
        <v>51987</v>
      </c>
      <c r="B274" s="251">
        <v>100</v>
      </c>
      <c r="C274" s="251">
        <v>295</v>
      </c>
      <c r="D274" s="251">
        <v>5</v>
      </c>
      <c r="E274" s="251">
        <v>220</v>
      </c>
      <c r="F274" s="251">
        <v>44</v>
      </c>
      <c r="G274" s="287">
        <v>0.33</v>
      </c>
      <c r="H274" s="287"/>
      <c r="I274" s="251"/>
      <c r="J274" s="251"/>
      <c r="K274" s="251"/>
      <c r="L274" s="251"/>
      <c r="M274" s="13"/>
      <c r="N274" s="251">
        <f t="shared" si="52"/>
        <v>664.33</v>
      </c>
      <c r="O274" s="251">
        <f>'BBD Monthly Production'!AH25*12</f>
        <v>502.12687819003264</v>
      </c>
      <c r="P274" s="271">
        <f t="shared" si="53"/>
        <v>0.75583953485471467</v>
      </c>
      <c r="Y274" s="251">
        <f>SUM('RD Feedstock'!F272,'RD Feedstock'!I272)</f>
        <v>23.121874999999999</v>
      </c>
      <c r="Z274" s="251">
        <f>SUM('RD Feedstock'!G272,'RD Feedstock'!J272)</f>
        <v>7.65625</v>
      </c>
      <c r="AA274" s="251">
        <v>0</v>
      </c>
      <c r="AB274" s="251">
        <f>SUM('RD Feedstock'!B272,'RD Feedstock'!D272,'RD Feedstock'!H272)</f>
        <v>374.51145833333328</v>
      </c>
      <c r="AC274" s="251">
        <f>SUM('RD Feedstock'!C272,'RD Feedstock'!E272)</f>
        <v>12.34375</v>
      </c>
      <c r="AD274" s="251">
        <f t="shared" si="63"/>
        <v>417.63333333333327</v>
      </c>
      <c r="AH274" s="237">
        <f t="shared" si="64"/>
        <v>5.5364055391491744E-2</v>
      </c>
      <c r="AI274" s="237">
        <f t="shared" si="64"/>
        <v>1.8332468672679385E-2</v>
      </c>
      <c r="AJ274" s="237">
        <f t="shared" si="64"/>
        <v>0</v>
      </c>
      <c r="AK274" s="237">
        <f t="shared" si="64"/>
        <v>0.89674704685130502</v>
      </c>
      <c r="AL274" s="237">
        <f t="shared" si="64"/>
        <v>2.9556429084523911E-2</v>
      </c>
      <c r="AM274" s="237">
        <f t="shared" si="56"/>
        <v>1</v>
      </c>
      <c r="AO274" s="237">
        <f t="shared" si="57"/>
        <v>0.75124378109452739</v>
      </c>
      <c r="AP274" s="237">
        <f t="shared" si="58"/>
        <v>0.24875621890547264</v>
      </c>
      <c r="AQ274" s="237">
        <f t="shared" si="59"/>
        <v>0</v>
      </c>
      <c r="AR274" s="237">
        <f t="shared" si="60"/>
        <v>0.96809206717629603</v>
      </c>
      <c r="AS274" s="237">
        <f t="shared" si="60"/>
        <v>3.1907932823703966E-2</v>
      </c>
      <c r="AU274" s="251">
        <f t="shared" si="51"/>
        <v>9856.6382805511439</v>
      </c>
      <c r="AV274" s="251">
        <f t="shared" si="50"/>
        <v>2787.0935987240246</v>
      </c>
      <c r="AW274" s="251">
        <f t="shared" si="50"/>
        <v>0</v>
      </c>
      <c r="AX274" s="251">
        <f t="shared" si="50"/>
        <v>128503.51078589678</v>
      </c>
      <c r="AY274" s="251">
        <f t="shared" si="50"/>
        <v>4207.3758751662062</v>
      </c>
      <c r="AZ274" s="251">
        <f t="shared" si="62"/>
        <v>145354.61854033815</v>
      </c>
      <c r="BA274" s="270">
        <f t="shared" si="61"/>
        <v>7.6582713355016345</v>
      </c>
      <c r="BB274" s="251">
        <f t="shared" si="54"/>
        <v>12643.731879275168</v>
      </c>
      <c r="BC274" s="251">
        <f t="shared" si="55"/>
        <v>132710.88666106298</v>
      </c>
    </row>
    <row r="275" spans="1:55">
      <c r="A275" s="11">
        <v>52018</v>
      </c>
      <c r="B275" s="251">
        <v>100</v>
      </c>
      <c r="C275" s="251">
        <v>295</v>
      </c>
      <c r="D275" s="251">
        <v>5</v>
      </c>
      <c r="E275" s="251">
        <v>220</v>
      </c>
      <c r="F275" s="251">
        <v>44</v>
      </c>
      <c r="G275" s="287">
        <v>0.33</v>
      </c>
      <c r="H275" s="287"/>
      <c r="I275" s="251"/>
      <c r="J275" s="251"/>
      <c r="K275" s="251"/>
      <c r="L275" s="251"/>
      <c r="M275" s="13"/>
      <c r="N275" s="251">
        <f t="shared" si="52"/>
        <v>664.33</v>
      </c>
      <c r="O275" s="251">
        <f>'BBD Monthly Production'!AH26*12</f>
        <v>626.1811387875016</v>
      </c>
      <c r="P275" s="271">
        <f t="shared" si="53"/>
        <v>0.942575435081212</v>
      </c>
      <c r="Y275" s="251">
        <f>SUM('RD Feedstock'!F273,'RD Feedstock'!I273)</f>
        <v>23.121874999999999</v>
      </c>
      <c r="Z275" s="251">
        <f>SUM('RD Feedstock'!G273,'RD Feedstock'!J273)</f>
        <v>7.65625</v>
      </c>
      <c r="AA275" s="251">
        <v>0</v>
      </c>
      <c r="AB275" s="251">
        <f>SUM('RD Feedstock'!B273,'RD Feedstock'!D273,'RD Feedstock'!H273)</f>
        <v>374.51145833333328</v>
      </c>
      <c r="AC275" s="251">
        <f>SUM('RD Feedstock'!C273,'RD Feedstock'!E273)</f>
        <v>12.34375</v>
      </c>
      <c r="AD275" s="251">
        <f t="shared" si="63"/>
        <v>417.63333333333327</v>
      </c>
      <c r="AH275" s="237">
        <f t="shared" si="64"/>
        <v>5.5364055391491744E-2</v>
      </c>
      <c r="AI275" s="237">
        <f t="shared" si="64"/>
        <v>1.8332468672679385E-2</v>
      </c>
      <c r="AJ275" s="237">
        <f t="shared" si="64"/>
        <v>0</v>
      </c>
      <c r="AK275" s="237">
        <f t="shared" si="64"/>
        <v>0.89674704685130502</v>
      </c>
      <c r="AL275" s="237">
        <f t="shared" si="64"/>
        <v>2.9556429084523911E-2</v>
      </c>
      <c r="AM275" s="237">
        <f t="shared" si="56"/>
        <v>1</v>
      </c>
      <c r="AO275" s="237">
        <f t="shared" si="57"/>
        <v>0.75124378109452739</v>
      </c>
      <c r="AP275" s="237">
        <f t="shared" si="58"/>
        <v>0.24875621890547264</v>
      </c>
      <c r="AQ275" s="237">
        <f t="shared" si="59"/>
        <v>0</v>
      </c>
      <c r="AR275" s="237">
        <f t="shared" si="60"/>
        <v>0.96809206717629603</v>
      </c>
      <c r="AS275" s="237">
        <f t="shared" si="60"/>
        <v>3.1907932823703966E-2</v>
      </c>
      <c r="AU275" s="251">
        <f t="shared" si="51"/>
        <v>12291.795662044115</v>
      </c>
      <c r="AV275" s="251">
        <f t="shared" si="50"/>
        <v>3475.6662496283966</v>
      </c>
      <c r="AW275" s="251">
        <f t="shared" si="50"/>
        <v>0</v>
      </c>
      <c r="AX275" s="251">
        <f t="shared" si="50"/>
        <v>160251.27954144662</v>
      </c>
      <c r="AY275" s="251">
        <f t="shared" si="50"/>
        <v>5246.8400542811914</v>
      </c>
      <c r="AZ275" s="251">
        <f t="shared" si="62"/>
        <v>181265.58150740035</v>
      </c>
      <c r="BA275" s="270">
        <f t="shared" si="61"/>
        <v>7.6582713355016363</v>
      </c>
      <c r="BB275" s="251">
        <f t="shared" si="54"/>
        <v>15767.461911672512</v>
      </c>
      <c r="BC275" s="251">
        <f t="shared" si="55"/>
        <v>165498.11959572783</v>
      </c>
    </row>
    <row r="276" spans="1:55">
      <c r="A276" s="11">
        <v>52048</v>
      </c>
      <c r="B276" s="251">
        <v>100</v>
      </c>
      <c r="C276" s="251">
        <v>295</v>
      </c>
      <c r="D276" s="251">
        <v>5</v>
      </c>
      <c r="E276" s="251">
        <v>220</v>
      </c>
      <c r="F276" s="251">
        <v>44</v>
      </c>
      <c r="G276" s="287">
        <v>0.33</v>
      </c>
      <c r="H276" s="287"/>
      <c r="I276" s="251"/>
      <c r="J276" s="251"/>
      <c r="K276" s="251"/>
      <c r="L276" s="251"/>
      <c r="M276" s="13"/>
      <c r="N276" s="251">
        <f t="shared" si="52"/>
        <v>664.33</v>
      </c>
      <c r="O276" s="251">
        <f>'BBD Monthly Production'!AH27*12</f>
        <v>551.01359883142447</v>
      </c>
      <c r="P276" s="271">
        <f t="shared" si="53"/>
        <v>0.82942754178107936</v>
      </c>
      <c r="Y276" s="251">
        <f>SUM('RD Feedstock'!F274,'RD Feedstock'!I274)</f>
        <v>23.121874999999999</v>
      </c>
      <c r="Z276" s="251">
        <f>SUM('RD Feedstock'!G274,'RD Feedstock'!J274)</f>
        <v>7.65625</v>
      </c>
      <c r="AA276" s="251">
        <v>0</v>
      </c>
      <c r="AB276" s="251">
        <f>SUM('RD Feedstock'!B274,'RD Feedstock'!D274,'RD Feedstock'!H274)</f>
        <v>374.51145833333328</v>
      </c>
      <c r="AC276" s="251">
        <f>SUM('RD Feedstock'!C274,'RD Feedstock'!E274)</f>
        <v>12.34375</v>
      </c>
      <c r="AD276" s="251">
        <f t="shared" si="63"/>
        <v>417.63333333333327</v>
      </c>
      <c r="AH276" s="237">
        <f t="shared" si="64"/>
        <v>5.5364055391491744E-2</v>
      </c>
      <c r="AI276" s="237">
        <f t="shared" si="64"/>
        <v>1.8332468672679385E-2</v>
      </c>
      <c r="AJ276" s="237">
        <f t="shared" si="64"/>
        <v>0</v>
      </c>
      <c r="AK276" s="237">
        <f t="shared" si="64"/>
        <v>0.89674704685130502</v>
      </c>
      <c r="AL276" s="237">
        <f t="shared" si="64"/>
        <v>2.9556429084523911E-2</v>
      </c>
      <c r="AM276" s="237">
        <f t="shared" si="56"/>
        <v>1</v>
      </c>
      <c r="AO276" s="237">
        <f t="shared" si="57"/>
        <v>0.75124378109452739</v>
      </c>
      <c r="AP276" s="237">
        <f t="shared" si="58"/>
        <v>0.24875621890547264</v>
      </c>
      <c r="AQ276" s="237">
        <f t="shared" si="59"/>
        <v>0</v>
      </c>
      <c r="AR276" s="237">
        <f t="shared" si="60"/>
        <v>0.96809206717629603</v>
      </c>
      <c r="AS276" s="237">
        <f t="shared" si="60"/>
        <v>3.1907932823703966E-2</v>
      </c>
      <c r="AU276" s="251">
        <f t="shared" si="51"/>
        <v>10816.27366956171</v>
      </c>
      <c r="AV276" s="251">
        <f t="shared" si="50"/>
        <v>3058.4430764762737</v>
      </c>
      <c r="AW276" s="251">
        <f t="shared" si="50"/>
        <v>0</v>
      </c>
      <c r="AX276" s="251">
        <f t="shared" si="50"/>
        <v>141014.52245663776</v>
      </c>
      <c r="AY276" s="251">
        <f t="shared" si="50"/>
        <v>4617.0030390893844</v>
      </c>
      <c r="AZ276" s="251">
        <f t="shared" si="62"/>
        <v>159506.24224176511</v>
      </c>
      <c r="BA276" s="270">
        <f t="shared" si="61"/>
        <v>7.6582713355016363</v>
      </c>
      <c r="BB276" s="251">
        <f t="shared" si="54"/>
        <v>13874.716746037982</v>
      </c>
      <c r="BC276" s="251">
        <f t="shared" si="55"/>
        <v>145631.52549572714</v>
      </c>
    </row>
    <row r="277" spans="1:55">
      <c r="A277" s="11">
        <v>52079</v>
      </c>
      <c r="B277" s="251">
        <v>100</v>
      </c>
      <c r="C277" s="251">
        <v>295</v>
      </c>
      <c r="D277" s="251">
        <v>5</v>
      </c>
      <c r="E277" s="251">
        <v>220</v>
      </c>
      <c r="F277" s="251">
        <v>44</v>
      </c>
      <c r="G277" s="287">
        <v>0.33</v>
      </c>
      <c r="H277" s="287"/>
      <c r="I277" s="251"/>
      <c r="J277" s="251"/>
      <c r="K277" s="251"/>
      <c r="L277" s="251"/>
      <c r="M277" s="13"/>
      <c r="N277" s="251">
        <f t="shared" si="52"/>
        <v>664.33</v>
      </c>
      <c r="O277" s="251">
        <f>'BBD Monthly Production'!AH28*12</f>
        <v>484.4307850087157</v>
      </c>
      <c r="P277" s="271">
        <f t="shared" si="53"/>
        <v>0.72920203063043321</v>
      </c>
      <c r="Y277" s="251">
        <f>SUM('RD Feedstock'!F275,'RD Feedstock'!I275)</f>
        <v>23.121874999999999</v>
      </c>
      <c r="Z277" s="251">
        <f>SUM('RD Feedstock'!G275,'RD Feedstock'!J275)</f>
        <v>7.65625</v>
      </c>
      <c r="AA277" s="251">
        <v>0</v>
      </c>
      <c r="AB277" s="251">
        <f>SUM('RD Feedstock'!B275,'RD Feedstock'!D275,'RD Feedstock'!H275)</f>
        <v>374.51145833333328</v>
      </c>
      <c r="AC277" s="251">
        <f>SUM('RD Feedstock'!C275,'RD Feedstock'!E275)</f>
        <v>12.34375</v>
      </c>
      <c r="AD277" s="251">
        <f t="shared" si="63"/>
        <v>417.63333333333327</v>
      </c>
      <c r="AH277" s="237">
        <f t="shared" si="64"/>
        <v>5.5364055391491744E-2</v>
      </c>
      <c r="AI277" s="237">
        <f t="shared" si="64"/>
        <v>1.8332468672679385E-2</v>
      </c>
      <c r="AJ277" s="237">
        <f t="shared" si="64"/>
        <v>0</v>
      </c>
      <c r="AK277" s="237">
        <f t="shared" si="64"/>
        <v>0.89674704685130502</v>
      </c>
      <c r="AL277" s="237">
        <f t="shared" si="64"/>
        <v>2.9556429084523911E-2</v>
      </c>
      <c r="AM277" s="237">
        <f t="shared" si="56"/>
        <v>1</v>
      </c>
      <c r="AO277" s="237">
        <f t="shared" si="57"/>
        <v>0.75124378109452739</v>
      </c>
      <c r="AP277" s="237">
        <f t="shared" si="58"/>
        <v>0.24875621890547264</v>
      </c>
      <c r="AQ277" s="237">
        <f t="shared" si="59"/>
        <v>0</v>
      </c>
      <c r="AR277" s="237">
        <f t="shared" si="60"/>
        <v>0.96809206717629603</v>
      </c>
      <c r="AS277" s="237">
        <f t="shared" si="60"/>
        <v>3.1907932823703966E-2</v>
      </c>
      <c r="AU277" s="251">
        <f t="shared" si="51"/>
        <v>9509.2679304597532</v>
      </c>
      <c r="AV277" s="251">
        <f t="shared" si="50"/>
        <v>2688.8700815806005</v>
      </c>
      <c r="AW277" s="251">
        <f t="shared" si="50"/>
        <v>0</v>
      </c>
      <c r="AX277" s="251">
        <f t="shared" si="50"/>
        <v>123974.75480854203</v>
      </c>
      <c r="AY277" s="251">
        <f t="shared" si="50"/>
        <v>4059.0983804339126</v>
      </c>
      <c r="AZ277" s="251">
        <f t="shared" si="62"/>
        <v>140231.9912010163</v>
      </c>
      <c r="BA277" s="270">
        <f t="shared" si="61"/>
        <v>7.6582713355016363</v>
      </c>
      <c r="BB277" s="251">
        <f t="shared" si="54"/>
        <v>12198.138012040354</v>
      </c>
      <c r="BC277" s="251">
        <f t="shared" si="55"/>
        <v>128033.85318897595</v>
      </c>
    </row>
    <row r="278" spans="1:55">
      <c r="A278" s="11">
        <v>52110</v>
      </c>
      <c r="B278" s="251">
        <v>100</v>
      </c>
      <c r="C278" s="251">
        <v>295</v>
      </c>
      <c r="D278" s="251">
        <v>5</v>
      </c>
      <c r="E278" s="251">
        <v>220</v>
      </c>
      <c r="F278" s="251">
        <v>44</v>
      </c>
      <c r="G278" s="287">
        <v>0.33</v>
      </c>
      <c r="H278" s="287"/>
      <c r="I278" s="251"/>
      <c r="J278" s="251"/>
      <c r="K278" s="251"/>
      <c r="L278" s="251"/>
      <c r="M278" s="13"/>
      <c r="N278" s="251">
        <f t="shared" si="52"/>
        <v>664.33</v>
      </c>
      <c r="O278" s="251">
        <f>'BBD Monthly Production'!AH29*12</f>
        <v>529.00727946777386</v>
      </c>
      <c r="P278" s="271">
        <f t="shared" si="53"/>
        <v>0.79630195756291877</v>
      </c>
      <c r="Y278" s="251">
        <f>SUM('RD Feedstock'!F276,'RD Feedstock'!I276)</f>
        <v>23.121874999999999</v>
      </c>
      <c r="Z278" s="251">
        <f>SUM('RD Feedstock'!G276,'RD Feedstock'!J276)</f>
        <v>7.65625</v>
      </c>
      <c r="AA278" s="251">
        <v>0</v>
      </c>
      <c r="AB278" s="251">
        <f>SUM('RD Feedstock'!B276,'RD Feedstock'!D276,'RD Feedstock'!H276)</f>
        <v>374.51145833333328</v>
      </c>
      <c r="AC278" s="251">
        <f>SUM('RD Feedstock'!C276,'RD Feedstock'!E276)</f>
        <v>12.34375</v>
      </c>
      <c r="AD278" s="251">
        <f t="shared" si="63"/>
        <v>417.63333333333327</v>
      </c>
      <c r="AH278" s="237">
        <f t="shared" si="64"/>
        <v>5.5364055391491744E-2</v>
      </c>
      <c r="AI278" s="237">
        <f t="shared" si="64"/>
        <v>1.8332468672679385E-2</v>
      </c>
      <c r="AJ278" s="237">
        <f t="shared" si="64"/>
        <v>0</v>
      </c>
      <c r="AK278" s="237">
        <f t="shared" si="64"/>
        <v>0.89674704685130502</v>
      </c>
      <c r="AL278" s="237">
        <f t="shared" si="64"/>
        <v>2.9556429084523911E-2</v>
      </c>
      <c r="AM278" s="237">
        <f t="shared" si="56"/>
        <v>1</v>
      </c>
      <c r="AO278" s="237">
        <f t="shared" si="57"/>
        <v>0.75124378109452739</v>
      </c>
      <c r="AP278" s="237">
        <f t="shared" si="58"/>
        <v>0.24875621890547264</v>
      </c>
      <c r="AQ278" s="237">
        <f t="shared" si="59"/>
        <v>0</v>
      </c>
      <c r="AR278" s="237">
        <f t="shared" si="60"/>
        <v>0.96809206717629603</v>
      </c>
      <c r="AS278" s="237">
        <f t="shared" si="60"/>
        <v>3.1907932823703966E-2</v>
      </c>
      <c r="AU278" s="251">
        <f t="shared" si="51"/>
        <v>10384.294543816319</v>
      </c>
      <c r="AV278" s="251">
        <f t="shared" si="50"/>
        <v>2936.2953196165122</v>
      </c>
      <c r="AW278" s="251">
        <f t="shared" si="50"/>
        <v>0</v>
      </c>
      <c r="AX278" s="251">
        <f t="shared" si="50"/>
        <v>135382.70026082505</v>
      </c>
      <c r="AY278" s="251">
        <f t="shared" si="50"/>
        <v>4432.6096890947128</v>
      </c>
      <c r="AZ278" s="251">
        <f t="shared" si="62"/>
        <v>153135.89981335259</v>
      </c>
      <c r="BA278" s="270">
        <f t="shared" si="61"/>
        <v>7.6582713355016363</v>
      </c>
      <c r="BB278" s="251">
        <f t="shared" si="54"/>
        <v>13320.589863432831</v>
      </c>
      <c r="BC278" s="251">
        <f t="shared" si="55"/>
        <v>139815.30994991976</v>
      </c>
    </row>
    <row r="279" spans="1:55">
      <c r="A279" s="11">
        <v>52140</v>
      </c>
      <c r="B279" s="251">
        <v>100</v>
      </c>
      <c r="C279" s="251">
        <v>295</v>
      </c>
      <c r="D279" s="251">
        <v>5</v>
      </c>
      <c r="E279" s="251">
        <v>220</v>
      </c>
      <c r="F279" s="251">
        <v>44</v>
      </c>
      <c r="G279" s="287">
        <v>0.33</v>
      </c>
      <c r="H279" s="287"/>
      <c r="I279" s="251"/>
      <c r="J279" s="251"/>
      <c r="K279" s="251"/>
      <c r="L279" s="251"/>
      <c r="M279" s="13"/>
      <c r="N279" s="251">
        <f t="shared" si="52"/>
        <v>664.33</v>
      </c>
      <c r="O279" s="251">
        <f>'BBD Monthly Production'!AH30*12</f>
        <v>422.69797022947705</v>
      </c>
      <c r="P279" s="271">
        <f t="shared" si="53"/>
        <v>0.63627710660285852</v>
      </c>
      <c r="Y279" s="251">
        <f>SUM('RD Feedstock'!F277,'RD Feedstock'!I277)</f>
        <v>23.121874999999999</v>
      </c>
      <c r="Z279" s="251">
        <f>SUM('RD Feedstock'!G277,'RD Feedstock'!J277)</f>
        <v>7.65625</v>
      </c>
      <c r="AA279" s="251">
        <v>0</v>
      </c>
      <c r="AB279" s="251">
        <f>SUM('RD Feedstock'!B277,'RD Feedstock'!D277,'RD Feedstock'!H277)</f>
        <v>374.51145833333328</v>
      </c>
      <c r="AC279" s="251">
        <f>SUM('RD Feedstock'!C277,'RD Feedstock'!E277)</f>
        <v>12.34375</v>
      </c>
      <c r="AD279" s="251">
        <f t="shared" si="63"/>
        <v>417.63333333333327</v>
      </c>
      <c r="AH279" s="237">
        <f t="shared" si="64"/>
        <v>5.5364055391491744E-2</v>
      </c>
      <c r="AI279" s="237">
        <f t="shared" si="64"/>
        <v>1.8332468672679385E-2</v>
      </c>
      <c r="AJ279" s="237">
        <f t="shared" si="64"/>
        <v>0</v>
      </c>
      <c r="AK279" s="237">
        <f t="shared" si="64"/>
        <v>0.89674704685130502</v>
      </c>
      <c r="AL279" s="237">
        <f t="shared" si="64"/>
        <v>2.9556429084523911E-2</v>
      </c>
      <c r="AM279" s="237">
        <f t="shared" si="56"/>
        <v>1</v>
      </c>
      <c r="AO279" s="237">
        <f t="shared" si="57"/>
        <v>0.75124378109452739</v>
      </c>
      <c r="AP279" s="237">
        <f t="shared" si="58"/>
        <v>0.24875621890547264</v>
      </c>
      <c r="AQ279" s="237">
        <f t="shared" si="59"/>
        <v>0</v>
      </c>
      <c r="AR279" s="237">
        <f t="shared" si="60"/>
        <v>0.96809206717629603</v>
      </c>
      <c r="AS279" s="237">
        <f t="shared" si="60"/>
        <v>3.1907932823703966E-2</v>
      </c>
      <c r="AU279" s="251">
        <f t="shared" si="51"/>
        <v>8297.4665875152405</v>
      </c>
      <c r="AV279" s="251">
        <f t="shared" si="50"/>
        <v>2346.2173769043998</v>
      </c>
      <c r="AW279" s="251">
        <f t="shared" si="50"/>
        <v>0</v>
      </c>
      <c r="AX279" s="251">
        <f t="shared" si="50"/>
        <v>108176.19118967633</v>
      </c>
      <c r="AY279" s="251">
        <f t="shared" si="50"/>
        <v>3541.8323927128263</v>
      </c>
      <c r="AZ279" s="251">
        <f t="shared" si="62"/>
        <v>122361.7075468088</v>
      </c>
      <c r="BA279" s="270">
        <f t="shared" si="61"/>
        <v>7.6582713355016354</v>
      </c>
      <c r="BB279" s="251">
        <f t="shared" si="54"/>
        <v>10643.683964419641</v>
      </c>
      <c r="BC279" s="251">
        <f t="shared" si="55"/>
        <v>111718.02358238916</v>
      </c>
    </row>
    <row r="280" spans="1:55">
      <c r="A280" s="11">
        <v>52171</v>
      </c>
      <c r="B280" s="251">
        <v>100</v>
      </c>
      <c r="C280" s="251">
        <v>295</v>
      </c>
      <c r="D280" s="251">
        <v>5</v>
      </c>
      <c r="E280" s="251">
        <v>220</v>
      </c>
      <c r="F280" s="251">
        <v>44</v>
      </c>
      <c r="G280" s="287">
        <v>0.33</v>
      </c>
      <c r="H280" s="287"/>
      <c r="I280" s="251"/>
      <c r="J280" s="251"/>
      <c r="K280" s="251"/>
      <c r="L280" s="251"/>
      <c r="M280" s="13"/>
      <c r="N280" s="251">
        <f t="shared" si="52"/>
        <v>664.33</v>
      </c>
      <c r="O280" s="251">
        <f>'BBD Monthly Production'!AH31*12</f>
        <v>544.28979227911009</v>
      </c>
      <c r="P280" s="271">
        <f t="shared" si="53"/>
        <v>0.81930635720065337</v>
      </c>
      <c r="Y280" s="251">
        <f>SUM('RD Feedstock'!F278,'RD Feedstock'!I278)</f>
        <v>23.121874999999999</v>
      </c>
      <c r="Z280" s="251">
        <f>SUM('RD Feedstock'!G278,'RD Feedstock'!J278)</f>
        <v>7.65625</v>
      </c>
      <c r="AA280" s="251">
        <v>0</v>
      </c>
      <c r="AB280" s="251">
        <f>SUM('RD Feedstock'!B278,'RD Feedstock'!D278,'RD Feedstock'!H278)</f>
        <v>374.51145833333328</v>
      </c>
      <c r="AC280" s="251">
        <f>SUM('RD Feedstock'!C278,'RD Feedstock'!E278)</f>
        <v>12.34375</v>
      </c>
      <c r="AD280" s="251">
        <f t="shared" si="63"/>
        <v>417.63333333333327</v>
      </c>
      <c r="AH280" s="237">
        <f t="shared" si="64"/>
        <v>5.5364055391491744E-2</v>
      </c>
      <c r="AI280" s="237">
        <f t="shared" si="64"/>
        <v>1.8332468672679385E-2</v>
      </c>
      <c r="AJ280" s="237">
        <f t="shared" si="64"/>
        <v>0</v>
      </c>
      <c r="AK280" s="237">
        <f t="shared" si="64"/>
        <v>0.89674704685130502</v>
      </c>
      <c r="AL280" s="237">
        <f t="shared" si="64"/>
        <v>2.9556429084523911E-2</v>
      </c>
      <c r="AM280" s="237">
        <f t="shared" si="56"/>
        <v>1</v>
      </c>
      <c r="AO280" s="237">
        <f t="shared" si="57"/>
        <v>0.75124378109452739</v>
      </c>
      <c r="AP280" s="237">
        <f t="shared" si="58"/>
        <v>0.24875621890547264</v>
      </c>
      <c r="AQ280" s="237">
        <f t="shared" si="59"/>
        <v>0</v>
      </c>
      <c r="AR280" s="237">
        <f t="shared" si="60"/>
        <v>0.96809206717629603</v>
      </c>
      <c r="AS280" s="237">
        <f t="shared" si="60"/>
        <v>3.1907932823703966E-2</v>
      </c>
      <c r="AU280" s="251">
        <f t="shared" si="51"/>
        <v>10684.286851223176</v>
      </c>
      <c r="AV280" s="251">
        <f t="shared" si="50"/>
        <v>3021.1220745244086</v>
      </c>
      <c r="AW280" s="251">
        <f t="shared" si="50"/>
        <v>0</v>
      </c>
      <c r="AX280" s="251">
        <f t="shared" si="50"/>
        <v>139293.77659469124</v>
      </c>
      <c r="AY280" s="251">
        <f t="shared" si="50"/>
        <v>4560.6635306777553</v>
      </c>
      <c r="AZ280" s="251">
        <f t="shared" si="62"/>
        <v>157559.84905111659</v>
      </c>
      <c r="BA280" s="270">
        <f t="shared" si="61"/>
        <v>7.6582713355016372</v>
      </c>
      <c r="BB280" s="251">
        <f t="shared" si="54"/>
        <v>13705.408925747584</v>
      </c>
      <c r="BC280" s="251">
        <f t="shared" si="55"/>
        <v>143854.440125369</v>
      </c>
    </row>
    <row r="281" spans="1:55">
      <c r="A281" s="11">
        <v>52201</v>
      </c>
      <c r="B281" s="251">
        <v>100</v>
      </c>
      <c r="C281" s="251">
        <v>295</v>
      </c>
      <c r="D281" s="251">
        <v>5</v>
      </c>
      <c r="E281" s="251">
        <v>220</v>
      </c>
      <c r="F281" s="251">
        <v>44</v>
      </c>
      <c r="G281" s="287">
        <v>0.33</v>
      </c>
      <c r="H281" s="287"/>
      <c r="I281" s="251"/>
      <c r="J281" s="251"/>
      <c r="K281" s="251"/>
      <c r="L281" s="251"/>
      <c r="M281" s="13"/>
      <c r="N281" s="251">
        <f t="shared" si="52"/>
        <v>664.33</v>
      </c>
      <c r="O281" s="251">
        <f>'BBD Monthly Production'!AH32*12</f>
        <v>748.68010092332611</v>
      </c>
      <c r="P281" s="271">
        <f t="shared" si="53"/>
        <v>1.126970181872452</v>
      </c>
      <c r="Y281" s="251">
        <f>SUM('RD Feedstock'!F279,'RD Feedstock'!I279)</f>
        <v>23.121874999999999</v>
      </c>
      <c r="Z281" s="251">
        <f>SUM('RD Feedstock'!G279,'RD Feedstock'!J279)</f>
        <v>7.65625</v>
      </c>
      <c r="AA281" s="251">
        <v>0</v>
      </c>
      <c r="AB281" s="251">
        <f>SUM('RD Feedstock'!B279,'RD Feedstock'!D279,'RD Feedstock'!H279)</f>
        <v>374.51145833333328</v>
      </c>
      <c r="AC281" s="251">
        <f>SUM('RD Feedstock'!C279,'RD Feedstock'!E279)</f>
        <v>12.34375</v>
      </c>
      <c r="AD281" s="251">
        <f t="shared" si="63"/>
        <v>417.63333333333327</v>
      </c>
      <c r="AH281" s="237">
        <f t="shared" si="64"/>
        <v>5.5364055391491744E-2</v>
      </c>
      <c r="AI281" s="237">
        <f t="shared" si="64"/>
        <v>1.8332468672679385E-2</v>
      </c>
      <c r="AJ281" s="237">
        <f t="shared" si="64"/>
        <v>0</v>
      </c>
      <c r="AK281" s="237">
        <f t="shared" si="64"/>
        <v>0.89674704685130502</v>
      </c>
      <c r="AL281" s="237">
        <f t="shared" si="64"/>
        <v>2.9556429084523911E-2</v>
      </c>
      <c r="AM281" s="237">
        <f t="shared" si="56"/>
        <v>1</v>
      </c>
      <c r="AO281" s="237">
        <f t="shared" si="57"/>
        <v>0.75124378109452739</v>
      </c>
      <c r="AP281" s="237">
        <f t="shared" si="58"/>
        <v>0.24875621890547264</v>
      </c>
      <c r="AQ281" s="237">
        <f t="shared" si="59"/>
        <v>0</v>
      </c>
      <c r="AR281" s="237">
        <f t="shared" si="60"/>
        <v>0.96809206717629603</v>
      </c>
      <c r="AS281" s="237">
        <f t="shared" si="60"/>
        <v>3.1907932823703966E-2</v>
      </c>
      <c r="AU281" s="251">
        <f t="shared" si="51"/>
        <v>14696.422882694102</v>
      </c>
      <c r="AV281" s="251">
        <f t="shared" si="50"/>
        <v>4155.6060976002127</v>
      </c>
      <c r="AW281" s="251">
        <f t="shared" si="50"/>
        <v>0</v>
      </c>
      <c r="AX281" s="251">
        <f t="shared" si="50"/>
        <v>191601.01879225933</v>
      </c>
      <c r="AY281" s="251">
        <f t="shared" si="50"/>
        <v>6273.2722179625607</v>
      </c>
      <c r="AZ281" s="251">
        <f t="shared" si="62"/>
        <v>216726.3199905162</v>
      </c>
      <c r="BA281" s="270">
        <f t="shared" si="61"/>
        <v>7.6582713355016372</v>
      </c>
      <c r="BB281" s="251">
        <f t="shared" si="54"/>
        <v>18852.028980294315</v>
      </c>
      <c r="BC281" s="251">
        <f t="shared" si="55"/>
        <v>197874.2910102219</v>
      </c>
    </row>
    <row r="282" spans="1:55">
      <c r="A282" s="11">
        <v>52232</v>
      </c>
      <c r="B282" s="251">
        <v>100</v>
      </c>
      <c r="C282" s="251">
        <v>295</v>
      </c>
      <c r="D282" s="251">
        <v>5</v>
      </c>
      <c r="E282" s="251">
        <v>220</v>
      </c>
      <c r="F282" s="251">
        <v>44</v>
      </c>
      <c r="G282" s="287">
        <v>0.33</v>
      </c>
      <c r="H282" s="287"/>
      <c r="N282" s="251">
        <f t="shared" si="52"/>
        <v>664.33</v>
      </c>
      <c r="O282" s="251">
        <f>'BBD Monthly Production'!AI21*12</f>
        <v>234.88085972446797</v>
      </c>
      <c r="P282" s="271">
        <f t="shared" si="53"/>
        <v>0.35356051920652076</v>
      </c>
      <c r="Y282" s="251">
        <f>SUM('RD Feedstock'!G269,'RD Feedstock'!I269)</f>
        <v>21.543749999999999</v>
      </c>
      <c r="Z282" s="251">
        <f>SUM('RD Feedstock'!G269,'RD Feedstock'!J269)</f>
        <v>7.65625</v>
      </c>
      <c r="AA282" s="251">
        <v>0</v>
      </c>
      <c r="AB282" s="251">
        <f>SUM('RD Feedstock'!B280,'RD Feedstock'!D280,'RD Feedstock'!H280)</f>
        <v>374.51145833333328</v>
      </c>
      <c r="AC282" s="251">
        <f>SUM('RD Feedstock'!C280,'RD Feedstock'!E280)</f>
        <v>12.34375</v>
      </c>
      <c r="AD282" s="251">
        <f t="shared" si="63"/>
        <v>416.05520833333327</v>
      </c>
      <c r="AH282" s="237">
        <f t="shared" si="64"/>
        <v>5.1780988600771641E-2</v>
      </c>
      <c r="AI282" s="237">
        <f t="shared" si="64"/>
        <v>1.8402004942252758E-2</v>
      </c>
      <c r="AJ282" s="237">
        <f t="shared" si="64"/>
        <v>0</v>
      </c>
      <c r="AK282" s="237">
        <f t="shared" si="64"/>
        <v>0.90014846787660896</v>
      </c>
      <c r="AL282" s="237">
        <f t="shared" si="64"/>
        <v>2.9668538580366693E-2</v>
      </c>
      <c r="AM282" s="237">
        <f t="shared" si="56"/>
        <v>1</v>
      </c>
      <c r="AO282" s="237">
        <f t="shared" si="57"/>
        <v>0.73779965753424659</v>
      </c>
      <c r="AP282" s="237">
        <f t="shared" si="58"/>
        <v>0.26220034246575341</v>
      </c>
      <c r="AQ282" s="237">
        <f t="shared" si="59"/>
        <v>0</v>
      </c>
      <c r="AR282" s="237">
        <f t="shared" ref="AR282:AS345" si="65">AB282/SUM($AB282:$AC282)</f>
        <v>0.96809206717629603</v>
      </c>
      <c r="AS282" s="237">
        <f t="shared" si="65"/>
        <v>3.1907932823703966E-2</v>
      </c>
      <c r="AU282" s="251">
        <f t="shared" si="51"/>
        <v>4312.2647958457019</v>
      </c>
      <c r="AV282" s="251">
        <f t="shared" si="50"/>
        <v>1308.6692684481659</v>
      </c>
      <c r="AW282" s="251">
        <f>(($O282/12)*(AJ282*AA$5))/2204.622*1000000</f>
        <v>0</v>
      </c>
      <c r="AX282" s="251">
        <f t="shared" si="50"/>
        <v>60338.33794824504</v>
      </c>
      <c r="AY282" s="251">
        <f t="shared" si="50"/>
        <v>1975.5574449171663</v>
      </c>
      <c r="AZ282" s="251">
        <f t="shared" si="62"/>
        <v>67934.829457456071</v>
      </c>
      <c r="BA282" s="270">
        <f t="shared" si="61"/>
        <v>7.6517407044838315</v>
      </c>
      <c r="BB282" s="251">
        <f t="shared" ref="BB282:BB345" si="66">SUM(AU282:AW282)</f>
        <v>5620.9340642938678</v>
      </c>
      <c r="BC282" s="251">
        <f t="shared" ref="BC282:BC345" si="67">SUM(AX282:AY282)</f>
        <v>62313.895393162209</v>
      </c>
    </row>
    <row r="283" spans="1:55">
      <c r="A283" s="11">
        <v>52263</v>
      </c>
      <c r="B283" s="251">
        <v>100</v>
      </c>
      <c r="C283" s="251">
        <v>295</v>
      </c>
      <c r="D283" s="251">
        <v>5</v>
      </c>
      <c r="E283" s="251">
        <v>220</v>
      </c>
      <c r="F283" s="251">
        <v>44</v>
      </c>
      <c r="G283" s="287">
        <v>0.33</v>
      </c>
      <c r="H283" s="287"/>
      <c r="N283" s="251">
        <f t="shared" si="52"/>
        <v>664.33</v>
      </c>
      <c r="O283" s="251">
        <f>'BBD Monthly Production'!AI22*12</f>
        <v>275.73698518326927</v>
      </c>
      <c r="P283" s="271">
        <f t="shared" si="53"/>
        <v>0.41506026400022467</v>
      </c>
      <c r="Y283" s="251">
        <f>SUM('RD Feedstock'!G270,'RD Feedstock'!I270)</f>
        <v>21.543749999999999</v>
      </c>
      <c r="Z283" s="251">
        <f>SUM('RD Feedstock'!G270,'RD Feedstock'!J270)</f>
        <v>7.65625</v>
      </c>
      <c r="AA283" s="251">
        <v>0</v>
      </c>
      <c r="AB283" s="251">
        <f>SUM('RD Feedstock'!B281,'RD Feedstock'!D281,'RD Feedstock'!H281)</f>
        <v>374.51145833333328</v>
      </c>
      <c r="AC283" s="251">
        <f>SUM('RD Feedstock'!C281,'RD Feedstock'!E281)</f>
        <v>12.34375</v>
      </c>
      <c r="AD283" s="251">
        <f t="shared" si="63"/>
        <v>416.05520833333327</v>
      </c>
      <c r="AH283" s="237">
        <f t="shared" si="64"/>
        <v>5.1780988600771641E-2</v>
      </c>
      <c r="AI283" s="237">
        <f t="shared" si="64"/>
        <v>1.8402004942252758E-2</v>
      </c>
      <c r="AJ283" s="237">
        <f t="shared" si="64"/>
        <v>0</v>
      </c>
      <c r="AK283" s="237">
        <f t="shared" si="64"/>
        <v>0.90014846787660896</v>
      </c>
      <c r="AL283" s="237">
        <f t="shared" si="64"/>
        <v>2.9668538580366693E-2</v>
      </c>
      <c r="AM283" s="237">
        <f t="shared" si="56"/>
        <v>1</v>
      </c>
      <c r="AO283" s="237">
        <f t="shared" si="57"/>
        <v>0.73779965753424659</v>
      </c>
      <c r="AP283" s="237">
        <f t="shared" si="58"/>
        <v>0.26220034246575341</v>
      </c>
      <c r="AQ283" s="237">
        <f t="shared" si="59"/>
        <v>0</v>
      </c>
      <c r="AR283" s="237">
        <f t="shared" si="65"/>
        <v>0.96809206717629603</v>
      </c>
      <c r="AS283" s="237">
        <f t="shared" si="65"/>
        <v>3.1907932823703966E-2</v>
      </c>
      <c r="AU283" s="251">
        <f t="shared" si="51"/>
        <v>5062.357552306652</v>
      </c>
      <c r="AV283" s="251">
        <f t="shared" si="51"/>
        <v>1536.3044869096311</v>
      </c>
      <c r="AW283" s="251">
        <f t="shared" si="51"/>
        <v>0</v>
      </c>
      <c r="AX283" s="251">
        <f t="shared" si="51"/>
        <v>70833.832166381384</v>
      </c>
      <c r="AY283" s="251">
        <f t="shared" si="51"/>
        <v>2319.1938864530475</v>
      </c>
      <c r="AZ283" s="251">
        <f t="shared" si="62"/>
        <v>79751.688092050725</v>
      </c>
      <c r="BA283" s="270">
        <f t="shared" si="61"/>
        <v>7.6517407044838315</v>
      </c>
      <c r="BB283" s="251">
        <f t="shared" si="66"/>
        <v>6598.6620392162831</v>
      </c>
      <c r="BC283" s="251">
        <f t="shared" si="67"/>
        <v>73153.026052834437</v>
      </c>
    </row>
    <row r="284" spans="1:55">
      <c r="A284" s="11">
        <v>52291</v>
      </c>
      <c r="B284" s="251">
        <v>100</v>
      </c>
      <c r="C284" s="251">
        <v>295</v>
      </c>
      <c r="D284" s="251">
        <v>5</v>
      </c>
      <c r="E284" s="251">
        <v>220</v>
      </c>
      <c r="F284" s="251">
        <v>44</v>
      </c>
      <c r="G284" s="287">
        <v>0.33</v>
      </c>
      <c r="H284" s="287"/>
      <c r="N284" s="251">
        <f t="shared" si="52"/>
        <v>664.33</v>
      </c>
      <c r="O284" s="251">
        <f>'BBD Monthly Production'!AI23*12</f>
        <v>538.73401090937102</v>
      </c>
      <c r="P284" s="271">
        <f t="shared" si="53"/>
        <v>0.81094337288602203</v>
      </c>
      <c r="Y284" s="251">
        <f>SUM('RD Feedstock'!G271,'RD Feedstock'!I271)</f>
        <v>21.543749999999999</v>
      </c>
      <c r="Z284" s="251">
        <f>SUM('RD Feedstock'!G271,'RD Feedstock'!J271)</f>
        <v>7.65625</v>
      </c>
      <c r="AA284" s="251">
        <v>0</v>
      </c>
      <c r="AB284" s="251">
        <f>SUM('RD Feedstock'!B282,'RD Feedstock'!D282,'RD Feedstock'!H282)</f>
        <v>374.51145833333328</v>
      </c>
      <c r="AC284" s="251">
        <f>SUM('RD Feedstock'!C282,'RD Feedstock'!E282)</f>
        <v>12.34375</v>
      </c>
      <c r="AD284" s="251">
        <f t="shared" si="63"/>
        <v>416.05520833333327</v>
      </c>
      <c r="AH284" s="237">
        <f t="shared" si="64"/>
        <v>5.1780988600771641E-2</v>
      </c>
      <c r="AI284" s="237">
        <f t="shared" si="64"/>
        <v>1.8402004942252758E-2</v>
      </c>
      <c r="AJ284" s="237">
        <f t="shared" si="64"/>
        <v>0</v>
      </c>
      <c r="AK284" s="237">
        <f t="shared" si="64"/>
        <v>0.90014846787660896</v>
      </c>
      <c r="AL284" s="237">
        <f t="shared" si="64"/>
        <v>2.9668538580366693E-2</v>
      </c>
      <c r="AM284" s="237">
        <f t="shared" si="56"/>
        <v>1</v>
      </c>
      <c r="AO284" s="237">
        <f t="shared" si="57"/>
        <v>0.73779965753424659</v>
      </c>
      <c r="AP284" s="237">
        <f t="shared" si="58"/>
        <v>0.26220034246575341</v>
      </c>
      <c r="AQ284" s="237">
        <f t="shared" si="59"/>
        <v>0</v>
      </c>
      <c r="AR284" s="237">
        <f t="shared" si="65"/>
        <v>0.96809206717629603</v>
      </c>
      <c r="AS284" s="237">
        <f t="shared" si="65"/>
        <v>3.1907932823703966E-2</v>
      </c>
      <c r="AU284" s="251">
        <f t="shared" ref="AU284:AY347" si="68">(($O284/12)*(AH284*Y$5))/2204.622*1000000</f>
        <v>9890.8174650521596</v>
      </c>
      <c r="AV284" s="251">
        <f t="shared" si="68"/>
        <v>3001.6266322081638</v>
      </c>
      <c r="AW284" s="251">
        <f t="shared" si="68"/>
        <v>0</v>
      </c>
      <c r="AX284" s="251">
        <f t="shared" si="68"/>
        <v>138394.90732703969</v>
      </c>
      <c r="AY284" s="251">
        <f t="shared" si="68"/>
        <v>4531.2333552022656</v>
      </c>
      <c r="AZ284" s="251">
        <f t="shared" si="62"/>
        <v>155818.5847795023</v>
      </c>
      <c r="BA284" s="270">
        <f t="shared" si="61"/>
        <v>7.6517407044838324</v>
      </c>
      <c r="BB284" s="251">
        <f t="shared" si="66"/>
        <v>12892.444097260322</v>
      </c>
      <c r="BC284" s="251">
        <f t="shared" si="67"/>
        <v>142926.14068224197</v>
      </c>
    </row>
    <row r="285" spans="1:55">
      <c r="A285" s="11">
        <v>52322</v>
      </c>
      <c r="B285" s="251">
        <v>100</v>
      </c>
      <c r="C285" s="251">
        <v>295</v>
      </c>
      <c r="D285" s="251">
        <v>5</v>
      </c>
      <c r="E285" s="251">
        <v>220</v>
      </c>
      <c r="F285" s="251">
        <v>44</v>
      </c>
      <c r="G285" s="287">
        <v>0.33</v>
      </c>
      <c r="H285" s="287"/>
      <c r="N285" s="251">
        <f t="shared" si="52"/>
        <v>664.33</v>
      </c>
      <c r="O285" s="251">
        <f>'BBD Monthly Production'!AI24*12</f>
        <v>466.34367609197847</v>
      </c>
      <c r="P285" s="271">
        <f t="shared" si="53"/>
        <v>0.70197593980699113</v>
      </c>
      <c r="Y285" s="251">
        <f>SUM('RD Feedstock'!G272,'RD Feedstock'!I272)</f>
        <v>21.543749999999999</v>
      </c>
      <c r="Z285" s="251">
        <f>SUM('RD Feedstock'!G272,'RD Feedstock'!J272)</f>
        <v>7.65625</v>
      </c>
      <c r="AA285" s="251">
        <v>0</v>
      </c>
      <c r="AB285" s="251">
        <f>SUM('RD Feedstock'!B283,'RD Feedstock'!D283,'RD Feedstock'!H283)</f>
        <v>374.51145833333328</v>
      </c>
      <c r="AC285" s="251">
        <f>SUM('RD Feedstock'!C283,'RD Feedstock'!E283)</f>
        <v>12.34375</v>
      </c>
      <c r="AD285" s="251">
        <f t="shared" si="63"/>
        <v>416.05520833333327</v>
      </c>
      <c r="AH285" s="237">
        <f t="shared" si="64"/>
        <v>5.1780988600771641E-2</v>
      </c>
      <c r="AI285" s="237">
        <f t="shared" si="64"/>
        <v>1.8402004942252758E-2</v>
      </c>
      <c r="AJ285" s="237">
        <f t="shared" si="64"/>
        <v>0</v>
      </c>
      <c r="AK285" s="237">
        <f t="shared" si="64"/>
        <v>0.90014846787660896</v>
      </c>
      <c r="AL285" s="237">
        <f t="shared" si="64"/>
        <v>2.9668538580366693E-2</v>
      </c>
      <c r="AM285" s="237">
        <f t="shared" si="56"/>
        <v>1</v>
      </c>
      <c r="AO285" s="237">
        <f t="shared" si="57"/>
        <v>0.73779965753424659</v>
      </c>
      <c r="AP285" s="237">
        <f t="shared" si="58"/>
        <v>0.26220034246575341</v>
      </c>
      <c r="AQ285" s="237">
        <f t="shared" si="59"/>
        <v>0</v>
      </c>
      <c r="AR285" s="237">
        <f t="shared" si="65"/>
        <v>0.96809206717629603</v>
      </c>
      <c r="AS285" s="237">
        <f t="shared" si="65"/>
        <v>3.1907932823703966E-2</v>
      </c>
      <c r="AU285" s="251">
        <f t="shared" si="68"/>
        <v>8561.7764663146791</v>
      </c>
      <c r="AV285" s="251">
        <f t="shared" si="68"/>
        <v>2598.2944636384223</v>
      </c>
      <c r="AW285" s="251">
        <f t="shared" si="68"/>
        <v>0</v>
      </c>
      <c r="AX285" s="251">
        <f t="shared" si="68"/>
        <v>119798.61773783129</v>
      </c>
      <c r="AY285" s="251">
        <f t="shared" si="68"/>
        <v>3922.3660977496634</v>
      </c>
      <c r="AZ285" s="251">
        <f t="shared" si="62"/>
        <v>134881.05476553406</v>
      </c>
      <c r="BA285" s="270">
        <f t="shared" si="61"/>
        <v>7.6517407044838306</v>
      </c>
      <c r="BB285" s="251">
        <f t="shared" si="66"/>
        <v>11160.070929953101</v>
      </c>
      <c r="BC285" s="251">
        <f t="shared" si="67"/>
        <v>123720.98383558095</v>
      </c>
    </row>
    <row r="286" spans="1:55">
      <c r="A286" s="11">
        <v>52352</v>
      </c>
      <c r="B286" s="251">
        <v>100</v>
      </c>
      <c r="C286" s="251">
        <v>295</v>
      </c>
      <c r="D286" s="251">
        <v>5</v>
      </c>
      <c r="E286" s="251">
        <v>220</v>
      </c>
      <c r="F286" s="251">
        <v>44</v>
      </c>
      <c r="G286" s="287">
        <v>0.33</v>
      </c>
      <c r="H286" s="287"/>
      <c r="N286" s="251">
        <f t="shared" si="52"/>
        <v>664.33</v>
      </c>
      <c r="O286" s="251">
        <f>'BBD Monthly Production'!AI25*12</f>
        <v>502.12721556305104</v>
      </c>
      <c r="P286" s="271">
        <f t="shared" si="53"/>
        <v>0.75584004269421978</v>
      </c>
      <c r="Y286" s="251">
        <f>SUM('RD Feedstock'!G273,'RD Feedstock'!I273)</f>
        <v>21.543749999999999</v>
      </c>
      <c r="Z286" s="251">
        <f>SUM('RD Feedstock'!G273,'RD Feedstock'!J273)</f>
        <v>7.65625</v>
      </c>
      <c r="AA286" s="251">
        <v>0</v>
      </c>
      <c r="AB286" s="251">
        <f>SUM('RD Feedstock'!B284,'RD Feedstock'!D284,'RD Feedstock'!H284)</f>
        <v>374.51145833333328</v>
      </c>
      <c r="AC286" s="251">
        <f>SUM('RD Feedstock'!C284,'RD Feedstock'!E284)</f>
        <v>12.34375</v>
      </c>
      <c r="AD286" s="251">
        <f t="shared" si="63"/>
        <v>416.05520833333327</v>
      </c>
      <c r="AH286" s="237">
        <f t="shared" si="64"/>
        <v>5.1780988600771641E-2</v>
      </c>
      <c r="AI286" s="237">
        <f t="shared" si="64"/>
        <v>1.8402004942252758E-2</v>
      </c>
      <c r="AJ286" s="237">
        <f t="shared" si="64"/>
        <v>0</v>
      </c>
      <c r="AK286" s="237">
        <f t="shared" si="64"/>
        <v>0.90014846787660896</v>
      </c>
      <c r="AL286" s="237">
        <f t="shared" si="64"/>
        <v>2.9668538580366693E-2</v>
      </c>
      <c r="AM286" s="237">
        <f t="shared" si="56"/>
        <v>1</v>
      </c>
      <c r="AO286" s="237">
        <f t="shared" si="57"/>
        <v>0.73779965753424659</v>
      </c>
      <c r="AP286" s="237">
        <f t="shared" si="58"/>
        <v>0.26220034246575341</v>
      </c>
      <c r="AQ286" s="237">
        <f t="shared" si="59"/>
        <v>0</v>
      </c>
      <c r="AR286" s="237">
        <f t="shared" si="65"/>
        <v>0.96809206717629603</v>
      </c>
      <c r="AS286" s="237">
        <f t="shared" si="65"/>
        <v>3.1907932823703966E-2</v>
      </c>
      <c r="AU286" s="251">
        <f t="shared" si="68"/>
        <v>9218.739735747853</v>
      </c>
      <c r="AV286" s="251">
        <f t="shared" si="68"/>
        <v>2797.6671093151631</v>
      </c>
      <c r="AW286" s="251">
        <f t="shared" si="68"/>
        <v>0</v>
      </c>
      <c r="AX286" s="251">
        <f t="shared" si="68"/>
        <v>128991.0197927401</v>
      </c>
      <c r="AY286" s="251">
        <f t="shared" si="68"/>
        <v>4223.337568522089</v>
      </c>
      <c r="AZ286" s="251">
        <f t="shared" si="62"/>
        <v>145230.7642063252</v>
      </c>
      <c r="BA286" s="270">
        <f t="shared" si="61"/>
        <v>7.6517407044838306</v>
      </c>
      <c r="BB286" s="251">
        <f t="shared" si="66"/>
        <v>12016.406845063017</v>
      </c>
      <c r="BC286" s="251">
        <f t="shared" si="67"/>
        <v>133214.3573612622</v>
      </c>
    </row>
    <row r="287" spans="1:55">
      <c r="A287" s="11">
        <v>52383</v>
      </c>
      <c r="B287" s="251">
        <v>100</v>
      </c>
      <c r="C287" s="251">
        <v>295</v>
      </c>
      <c r="D287" s="251">
        <v>5</v>
      </c>
      <c r="E287" s="251">
        <v>220</v>
      </c>
      <c r="F287" s="251">
        <v>44</v>
      </c>
      <c r="G287" s="287">
        <v>0.33</v>
      </c>
      <c r="H287" s="287"/>
      <c r="N287" s="251">
        <f t="shared" si="52"/>
        <v>664.33</v>
      </c>
      <c r="O287" s="251">
        <f>'BBD Monthly Production'!AI26*12</f>
        <v>626.181487457907</v>
      </c>
      <c r="P287" s="271">
        <f t="shared" si="53"/>
        <v>0.94257595992640253</v>
      </c>
      <c r="Y287" s="251">
        <f>SUM('RD Feedstock'!G274,'RD Feedstock'!I274)</f>
        <v>21.543749999999999</v>
      </c>
      <c r="Z287" s="251">
        <f>SUM('RD Feedstock'!G274,'RD Feedstock'!J274)</f>
        <v>7.65625</v>
      </c>
      <c r="AA287" s="251">
        <v>0</v>
      </c>
      <c r="AB287" s="251">
        <f>SUM('RD Feedstock'!B285,'RD Feedstock'!D285,'RD Feedstock'!H285)</f>
        <v>374.51145833333328</v>
      </c>
      <c r="AC287" s="251">
        <f>SUM('RD Feedstock'!C285,'RD Feedstock'!E285)</f>
        <v>12.34375</v>
      </c>
      <c r="AD287" s="251">
        <f t="shared" si="63"/>
        <v>416.05520833333327</v>
      </c>
      <c r="AH287" s="237">
        <f t="shared" si="64"/>
        <v>5.1780988600771641E-2</v>
      </c>
      <c r="AI287" s="237">
        <f t="shared" si="64"/>
        <v>1.8402004942252758E-2</v>
      </c>
      <c r="AJ287" s="237">
        <f t="shared" si="64"/>
        <v>0</v>
      </c>
      <c r="AK287" s="237">
        <f t="shared" si="64"/>
        <v>0.90014846787660896</v>
      </c>
      <c r="AL287" s="237">
        <f t="shared" si="64"/>
        <v>2.9668538580366693E-2</v>
      </c>
      <c r="AM287" s="237">
        <f t="shared" si="56"/>
        <v>1</v>
      </c>
      <c r="AO287" s="237">
        <f t="shared" si="57"/>
        <v>0.73779965753424659</v>
      </c>
      <c r="AP287" s="237">
        <f t="shared" si="58"/>
        <v>0.26220034246575341</v>
      </c>
      <c r="AQ287" s="237">
        <f t="shared" si="59"/>
        <v>0</v>
      </c>
      <c r="AR287" s="237">
        <f t="shared" si="65"/>
        <v>0.96809206717629603</v>
      </c>
      <c r="AS287" s="237">
        <f t="shared" si="65"/>
        <v>3.1907932823703966E-2</v>
      </c>
      <c r="AU287" s="251">
        <f t="shared" si="68"/>
        <v>11496.298111913533</v>
      </c>
      <c r="AV287" s="251">
        <f t="shared" si="68"/>
        <v>3488.8516248987426</v>
      </c>
      <c r="AW287" s="251">
        <f t="shared" si="68"/>
        <v>0</v>
      </c>
      <c r="AX287" s="251">
        <f t="shared" si="68"/>
        <v>160859.21284302097</v>
      </c>
      <c r="AY287" s="251">
        <f t="shared" si="68"/>
        <v>5266.7445992318408</v>
      </c>
      <c r="AZ287" s="251">
        <f t="shared" si="62"/>
        <v>181111.10717906509</v>
      </c>
      <c r="BA287" s="270">
        <f t="shared" si="61"/>
        <v>7.6517407044838297</v>
      </c>
      <c r="BB287" s="251">
        <f t="shared" si="66"/>
        <v>14985.149736812276</v>
      </c>
      <c r="BC287" s="251">
        <f t="shared" si="67"/>
        <v>166125.95744225281</v>
      </c>
    </row>
    <row r="288" spans="1:55">
      <c r="A288" s="11">
        <v>52413</v>
      </c>
      <c r="B288" s="251">
        <v>100</v>
      </c>
      <c r="C288" s="251">
        <v>295</v>
      </c>
      <c r="D288" s="251">
        <v>5</v>
      </c>
      <c r="E288" s="251">
        <v>220</v>
      </c>
      <c r="F288" s="251">
        <v>44</v>
      </c>
      <c r="G288" s="287">
        <v>0.33</v>
      </c>
      <c r="H288" s="287"/>
      <c r="N288" s="251">
        <f t="shared" si="52"/>
        <v>664.33</v>
      </c>
      <c r="O288" s="251">
        <f>'BBD Monthly Production'!AI27*12</f>
        <v>551.01369757971906</v>
      </c>
      <c r="P288" s="271">
        <f t="shared" si="53"/>
        <v>0.82942769042451647</v>
      </c>
      <c r="Y288" s="251">
        <f>SUM('RD Feedstock'!G275,'RD Feedstock'!I275)</f>
        <v>21.543749999999999</v>
      </c>
      <c r="Z288" s="251">
        <f>SUM('RD Feedstock'!G275,'RD Feedstock'!J275)</f>
        <v>7.65625</v>
      </c>
      <c r="AA288" s="251">
        <v>0</v>
      </c>
      <c r="AB288" s="251">
        <f>SUM('RD Feedstock'!B286,'RD Feedstock'!D286,'RD Feedstock'!H286)</f>
        <v>374.51145833333328</v>
      </c>
      <c r="AC288" s="251">
        <f>SUM('RD Feedstock'!C286,'RD Feedstock'!E286)</f>
        <v>12.34375</v>
      </c>
      <c r="AD288" s="251">
        <f t="shared" si="63"/>
        <v>416.05520833333327</v>
      </c>
      <c r="AH288" s="237">
        <f t="shared" si="64"/>
        <v>5.1780988600771641E-2</v>
      </c>
      <c r="AI288" s="237">
        <f t="shared" si="64"/>
        <v>1.8402004942252758E-2</v>
      </c>
      <c r="AJ288" s="237">
        <f t="shared" si="64"/>
        <v>0</v>
      </c>
      <c r="AK288" s="237">
        <f t="shared" si="64"/>
        <v>0.90014846787660896</v>
      </c>
      <c r="AL288" s="237">
        <f t="shared" si="64"/>
        <v>2.9668538580366693E-2</v>
      </c>
      <c r="AM288" s="237">
        <f t="shared" si="56"/>
        <v>1</v>
      </c>
      <c r="AO288" s="237">
        <f t="shared" si="57"/>
        <v>0.73779965753424659</v>
      </c>
      <c r="AP288" s="237">
        <f t="shared" si="58"/>
        <v>0.26220034246575341</v>
      </c>
      <c r="AQ288" s="237">
        <f t="shared" si="59"/>
        <v>0</v>
      </c>
      <c r="AR288" s="237">
        <f t="shared" si="65"/>
        <v>0.96809206717629603</v>
      </c>
      <c r="AS288" s="237">
        <f t="shared" si="65"/>
        <v>3.1907932823703966E-2</v>
      </c>
      <c r="AU288" s="251">
        <f t="shared" si="68"/>
        <v>10116.264785854188</v>
      </c>
      <c r="AV288" s="251">
        <f t="shared" si="68"/>
        <v>3070.0445041050411</v>
      </c>
      <c r="AW288" s="251">
        <f t="shared" si="68"/>
        <v>0</v>
      </c>
      <c r="AX288" s="251">
        <f t="shared" si="68"/>
        <v>141549.42526044301</v>
      </c>
      <c r="AY288" s="251">
        <f t="shared" si="68"/>
        <v>4634.5164683997991</v>
      </c>
      <c r="AZ288" s="251">
        <f t="shared" si="62"/>
        <v>159370.25101880202</v>
      </c>
      <c r="BA288" s="270">
        <f t="shared" si="61"/>
        <v>7.6517407044838306</v>
      </c>
      <c r="BB288" s="251">
        <f t="shared" si="66"/>
        <v>13186.309289959228</v>
      </c>
      <c r="BC288" s="251">
        <f t="shared" si="67"/>
        <v>146183.94172884279</v>
      </c>
    </row>
    <row r="289" spans="1:55">
      <c r="A289" s="11">
        <v>52444</v>
      </c>
      <c r="B289" s="251">
        <v>100</v>
      </c>
      <c r="C289" s="251">
        <v>295</v>
      </c>
      <c r="D289" s="251">
        <v>5</v>
      </c>
      <c r="E289" s="251">
        <v>220</v>
      </c>
      <c r="F289" s="251">
        <v>44</v>
      </c>
      <c r="G289" s="287">
        <v>0.33</v>
      </c>
      <c r="H289" s="287"/>
      <c r="N289" s="251">
        <f t="shared" si="52"/>
        <v>664.33</v>
      </c>
      <c r="O289" s="251">
        <f>'BBD Monthly Production'!AI28*12</f>
        <v>484.43078250309389</v>
      </c>
      <c r="P289" s="271">
        <f t="shared" si="53"/>
        <v>0.72920202685878077</v>
      </c>
      <c r="Y289" s="251">
        <f>SUM('RD Feedstock'!G276,'RD Feedstock'!I276)</f>
        <v>21.543749999999999</v>
      </c>
      <c r="Z289" s="251">
        <f>SUM('RD Feedstock'!G276,'RD Feedstock'!J276)</f>
        <v>7.65625</v>
      </c>
      <c r="AA289" s="251">
        <v>0</v>
      </c>
      <c r="AB289" s="251">
        <f>SUM('RD Feedstock'!B287,'RD Feedstock'!D287,'RD Feedstock'!H287)</f>
        <v>374.51145833333328</v>
      </c>
      <c r="AC289" s="251">
        <f>SUM('RD Feedstock'!C287,'RD Feedstock'!E287)</f>
        <v>12.34375</v>
      </c>
      <c r="AD289" s="251">
        <f t="shared" si="63"/>
        <v>416.05520833333327</v>
      </c>
      <c r="AH289" s="237">
        <f t="shared" si="64"/>
        <v>5.1780988600771641E-2</v>
      </c>
      <c r="AI289" s="237">
        <f t="shared" si="64"/>
        <v>1.8402004942252758E-2</v>
      </c>
      <c r="AJ289" s="237">
        <f t="shared" si="64"/>
        <v>0</v>
      </c>
      <c r="AK289" s="237">
        <f t="shared" si="64"/>
        <v>0.90014846787660896</v>
      </c>
      <c r="AL289" s="237">
        <f t="shared" si="64"/>
        <v>2.9668538580366693E-2</v>
      </c>
      <c r="AM289" s="237">
        <f t="shared" si="56"/>
        <v>1</v>
      </c>
      <c r="AO289" s="237">
        <f t="shared" si="57"/>
        <v>0.73779965753424659</v>
      </c>
      <c r="AP289" s="237">
        <f t="shared" si="58"/>
        <v>0.26220034246575341</v>
      </c>
      <c r="AQ289" s="237">
        <f t="shared" si="59"/>
        <v>0</v>
      </c>
      <c r="AR289" s="237">
        <f t="shared" si="65"/>
        <v>0.96809206717629603</v>
      </c>
      <c r="AS289" s="237">
        <f t="shared" si="65"/>
        <v>3.1907932823703966E-2</v>
      </c>
      <c r="AU289" s="251">
        <f t="shared" si="68"/>
        <v>8893.8443594876844</v>
      </c>
      <c r="AV289" s="251">
        <f t="shared" si="68"/>
        <v>2699.0691301784941</v>
      </c>
      <c r="AW289" s="251">
        <f t="shared" si="68"/>
        <v>0</v>
      </c>
      <c r="AX289" s="251">
        <f t="shared" si="68"/>
        <v>124444.9986324686</v>
      </c>
      <c r="AY289" s="251">
        <f t="shared" si="68"/>
        <v>4074.4947887354015</v>
      </c>
      <c r="AZ289" s="251">
        <f t="shared" si="62"/>
        <v>140112.4069108702</v>
      </c>
      <c r="BA289" s="270">
        <f t="shared" si="61"/>
        <v>7.6517407044838315</v>
      </c>
      <c r="BB289" s="251">
        <f t="shared" si="66"/>
        <v>11592.913489666178</v>
      </c>
      <c r="BC289" s="251">
        <f t="shared" si="67"/>
        <v>128519.49342120401</v>
      </c>
    </row>
    <row r="290" spans="1:55">
      <c r="A290" s="11">
        <v>52475</v>
      </c>
      <c r="B290" s="251">
        <v>100</v>
      </c>
      <c r="C290" s="251">
        <v>295</v>
      </c>
      <c r="D290" s="251">
        <v>5</v>
      </c>
      <c r="E290" s="251">
        <v>220</v>
      </c>
      <c r="F290" s="251">
        <v>44</v>
      </c>
      <c r="G290" s="287">
        <v>0.33</v>
      </c>
      <c r="H290" s="287"/>
      <c r="N290" s="251">
        <f t="shared" si="52"/>
        <v>664.33</v>
      </c>
      <c r="O290" s="251">
        <f>'BBD Monthly Production'!AI29*12</f>
        <v>529.00655901779203</v>
      </c>
      <c r="P290" s="271">
        <f t="shared" si="53"/>
        <v>0.79630087308685737</v>
      </c>
      <c r="Y290" s="251">
        <f>SUM('RD Feedstock'!G277,'RD Feedstock'!I277)</f>
        <v>21.543749999999999</v>
      </c>
      <c r="Z290" s="251">
        <f>SUM('RD Feedstock'!G277,'RD Feedstock'!J277)</f>
        <v>7.65625</v>
      </c>
      <c r="AA290" s="251">
        <v>0</v>
      </c>
      <c r="AB290" s="251">
        <f>SUM('RD Feedstock'!B288,'RD Feedstock'!D288,'RD Feedstock'!H288)</f>
        <v>374.51145833333328</v>
      </c>
      <c r="AC290" s="251">
        <f>SUM('RD Feedstock'!C288,'RD Feedstock'!E288)</f>
        <v>12.34375</v>
      </c>
      <c r="AD290" s="251">
        <f t="shared" si="63"/>
        <v>416.05520833333327</v>
      </c>
      <c r="AH290" s="237">
        <f t="shared" si="64"/>
        <v>5.1780988600771641E-2</v>
      </c>
      <c r="AI290" s="237">
        <f t="shared" si="64"/>
        <v>1.8402004942252758E-2</v>
      </c>
      <c r="AJ290" s="237">
        <f t="shared" si="64"/>
        <v>0</v>
      </c>
      <c r="AK290" s="237">
        <f t="shared" si="64"/>
        <v>0.90014846787660896</v>
      </c>
      <c r="AL290" s="237">
        <f t="shared" si="64"/>
        <v>2.9668538580366693E-2</v>
      </c>
      <c r="AM290" s="237">
        <f t="shared" si="56"/>
        <v>1</v>
      </c>
      <c r="AO290" s="237">
        <f t="shared" si="57"/>
        <v>0.73779965753424659</v>
      </c>
      <c r="AP290" s="237">
        <f t="shared" si="58"/>
        <v>0.26220034246575341</v>
      </c>
      <c r="AQ290" s="237">
        <f t="shared" si="59"/>
        <v>0</v>
      </c>
      <c r="AR290" s="237">
        <f t="shared" si="65"/>
        <v>0.96809206717629603</v>
      </c>
      <c r="AS290" s="237">
        <f t="shared" si="65"/>
        <v>3.1907932823703966E-2</v>
      </c>
      <c r="AU290" s="251">
        <f t="shared" si="68"/>
        <v>9712.2275689041908</v>
      </c>
      <c r="AV290" s="251">
        <f t="shared" si="68"/>
        <v>2947.4288684323051</v>
      </c>
      <c r="AW290" s="251">
        <f t="shared" si="68"/>
        <v>0</v>
      </c>
      <c r="AX290" s="251">
        <f t="shared" si="68"/>
        <v>135896.03074638551</v>
      </c>
      <c r="AY290" s="251">
        <f t="shared" si="68"/>
        <v>4449.4168120108552</v>
      </c>
      <c r="AZ290" s="251">
        <f t="shared" si="62"/>
        <v>153005.10399573288</v>
      </c>
      <c r="BA290" s="270">
        <f t="shared" si="61"/>
        <v>7.6517407044838306</v>
      </c>
      <c r="BB290" s="251">
        <f t="shared" si="66"/>
        <v>12659.656437336496</v>
      </c>
      <c r="BC290" s="251">
        <f t="shared" si="67"/>
        <v>140345.44755839638</v>
      </c>
    </row>
    <row r="291" spans="1:55">
      <c r="A291" s="11">
        <v>52505</v>
      </c>
      <c r="B291" s="251">
        <v>100</v>
      </c>
      <c r="C291" s="251">
        <v>295</v>
      </c>
      <c r="D291" s="251">
        <v>5</v>
      </c>
      <c r="E291" s="251">
        <v>220</v>
      </c>
      <c r="F291" s="251">
        <v>44</v>
      </c>
      <c r="G291" s="287">
        <v>0.33</v>
      </c>
      <c r="H291" s="287"/>
      <c r="N291" s="251">
        <f t="shared" si="52"/>
        <v>664.33</v>
      </c>
      <c r="O291" s="251">
        <f>'BBD Monthly Production'!AI30*12</f>
        <v>422.69750639744029</v>
      </c>
      <c r="P291" s="271">
        <f t="shared" si="53"/>
        <v>0.63627640840762911</v>
      </c>
      <c r="Y291" s="251">
        <f>SUM('RD Feedstock'!G278,'RD Feedstock'!I278)</f>
        <v>21.543749999999999</v>
      </c>
      <c r="Z291" s="251">
        <f>SUM('RD Feedstock'!G278,'RD Feedstock'!J278)</f>
        <v>7.65625</v>
      </c>
      <c r="AA291" s="251">
        <v>0</v>
      </c>
      <c r="AB291" s="251">
        <f>SUM('RD Feedstock'!B289,'RD Feedstock'!D289,'RD Feedstock'!H289)</f>
        <v>374.51145833333328</v>
      </c>
      <c r="AC291" s="251">
        <f>SUM('RD Feedstock'!C289,'RD Feedstock'!E289)</f>
        <v>12.34375</v>
      </c>
      <c r="AD291" s="251">
        <f t="shared" si="63"/>
        <v>416.05520833333327</v>
      </c>
      <c r="AH291" s="237">
        <f t="shared" si="64"/>
        <v>5.1780988600771641E-2</v>
      </c>
      <c r="AI291" s="237">
        <f t="shared" si="64"/>
        <v>1.8402004942252758E-2</v>
      </c>
      <c r="AJ291" s="237">
        <f t="shared" si="64"/>
        <v>0</v>
      </c>
      <c r="AK291" s="237">
        <f t="shared" si="64"/>
        <v>0.90014846787660896</v>
      </c>
      <c r="AL291" s="237">
        <f t="shared" si="64"/>
        <v>2.9668538580366693E-2</v>
      </c>
      <c r="AM291" s="237">
        <f t="shared" si="56"/>
        <v>1</v>
      </c>
      <c r="AO291" s="237">
        <f t="shared" si="57"/>
        <v>0.73779965753424659</v>
      </c>
      <c r="AP291" s="237">
        <f t="shared" si="58"/>
        <v>0.26220034246575341</v>
      </c>
      <c r="AQ291" s="237">
        <f t="shared" si="59"/>
        <v>0</v>
      </c>
      <c r="AR291" s="237">
        <f t="shared" si="65"/>
        <v>0.96809206717629603</v>
      </c>
      <c r="AS291" s="237">
        <f t="shared" si="65"/>
        <v>3.1907932823703966E-2</v>
      </c>
      <c r="AU291" s="251">
        <f t="shared" si="68"/>
        <v>7760.4602532011331</v>
      </c>
      <c r="AV291" s="251">
        <f t="shared" si="68"/>
        <v>2355.1141507269326</v>
      </c>
      <c r="AW291" s="251">
        <f t="shared" si="68"/>
        <v>0</v>
      </c>
      <c r="AX291" s="251">
        <f t="shared" si="68"/>
        <v>108586.39150422152</v>
      </c>
      <c r="AY291" s="251">
        <f t="shared" si="68"/>
        <v>3555.2628966488519</v>
      </c>
      <c r="AZ291" s="251">
        <f t="shared" si="62"/>
        <v>122257.22880479845</v>
      </c>
      <c r="BA291" s="270">
        <f t="shared" si="61"/>
        <v>7.6517407044838306</v>
      </c>
      <c r="BB291" s="251">
        <f t="shared" si="66"/>
        <v>10115.574403928065</v>
      </c>
      <c r="BC291" s="251">
        <f t="shared" si="67"/>
        <v>112141.65440087038</v>
      </c>
    </row>
    <row r="292" spans="1:55">
      <c r="A292" s="11">
        <v>52536</v>
      </c>
      <c r="B292" s="251">
        <v>100</v>
      </c>
      <c r="C292" s="251">
        <v>295</v>
      </c>
      <c r="D292" s="251">
        <v>5</v>
      </c>
      <c r="E292" s="251">
        <v>220</v>
      </c>
      <c r="F292" s="251">
        <v>44</v>
      </c>
      <c r="G292" s="287">
        <v>0.33</v>
      </c>
      <c r="H292" s="287"/>
      <c r="N292" s="251">
        <f t="shared" si="52"/>
        <v>664.33</v>
      </c>
      <c r="O292" s="251">
        <f>'BBD Monthly Production'!AI31*12</f>
        <v>544.29009933382099</v>
      </c>
      <c r="P292" s="271">
        <f t="shared" si="53"/>
        <v>0.81930681940273808</v>
      </c>
      <c r="Y292" s="251">
        <f>SUM('RD Feedstock'!G279,'RD Feedstock'!I279)</f>
        <v>21.543749999999999</v>
      </c>
      <c r="Z292" s="251">
        <f>SUM('RD Feedstock'!G279,'RD Feedstock'!J279)</f>
        <v>7.65625</v>
      </c>
      <c r="AA292" s="251">
        <v>0</v>
      </c>
      <c r="AB292" s="251">
        <f>SUM('RD Feedstock'!B290,'RD Feedstock'!D290,'RD Feedstock'!H290)</f>
        <v>374.51145833333328</v>
      </c>
      <c r="AC292" s="251">
        <f>SUM('RD Feedstock'!C290,'RD Feedstock'!E290)</f>
        <v>12.34375</v>
      </c>
      <c r="AD292" s="251">
        <f t="shared" si="63"/>
        <v>416.05520833333327</v>
      </c>
      <c r="AH292" s="237">
        <f t="shared" si="64"/>
        <v>5.1780988600771641E-2</v>
      </c>
      <c r="AI292" s="237">
        <f t="shared" si="64"/>
        <v>1.8402004942252758E-2</v>
      </c>
      <c r="AJ292" s="237">
        <f t="shared" si="64"/>
        <v>0</v>
      </c>
      <c r="AK292" s="237">
        <f t="shared" si="64"/>
        <v>0.90014846787660896</v>
      </c>
      <c r="AL292" s="237">
        <f t="shared" si="64"/>
        <v>2.9668538580366693E-2</v>
      </c>
      <c r="AM292" s="237">
        <f t="shared" si="56"/>
        <v>1</v>
      </c>
      <c r="AO292" s="237">
        <f t="shared" si="57"/>
        <v>0.73779965753424659</v>
      </c>
      <c r="AP292" s="237">
        <f t="shared" si="58"/>
        <v>0.26220034246575341</v>
      </c>
      <c r="AQ292" s="237">
        <f t="shared" si="59"/>
        <v>0</v>
      </c>
      <c r="AR292" s="237">
        <f t="shared" si="65"/>
        <v>0.96809206717629603</v>
      </c>
      <c r="AS292" s="237">
        <f t="shared" si="65"/>
        <v>3.1907932823703966E-2</v>
      </c>
      <c r="AU292" s="251">
        <f t="shared" si="68"/>
        <v>9992.8237525949917</v>
      </c>
      <c r="AV292" s="251">
        <f t="shared" si="68"/>
        <v>3032.5831017237638</v>
      </c>
      <c r="AW292" s="251">
        <f t="shared" si="68"/>
        <v>0</v>
      </c>
      <c r="AX292" s="251">
        <f t="shared" si="68"/>
        <v>139822.20600696647</v>
      </c>
      <c r="AY292" s="251">
        <f t="shared" si="68"/>
        <v>4577.9650125387398</v>
      </c>
      <c r="AZ292" s="251">
        <f t="shared" si="62"/>
        <v>157425.57787382396</v>
      </c>
      <c r="BA292" s="270">
        <f t="shared" si="61"/>
        <v>7.6517407044838315</v>
      </c>
      <c r="BB292" s="251">
        <f t="shared" si="66"/>
        <v>13025.406854318755</v>
      </c>
      <c r="BC292" s="251">
        <f t="shared" si="67"/>
        <v>144400.17101950521</v>
      </c>
    </row>
    <row r="293" spans="1:55">
      <c r="A293" s="11">
        <v>52566</v>
      </c>
      <c r="B293" s="251">
        <v>100</v>
      </c>
      <c r="C293" s="251">
        <v>295</v>
      </c>
      <c r="D293" s="251">
        <v>5</v>
      </c>
      <c r="E293" s="251">
        <v>220</v>
      </c>
      <c r="F293" s="251">
        <v>44</v>
      </c>
      <c r="G293" s="287">
        <v>0.33</v>
      </c>
      <c r="H293" s="287"/>
      <c r="N293" s="251">
        <f t="shared" si="52"/>
        <v>664.33</v>
      </c>
      <c r="O293" s="251">
        <f>'BBD Monthly Production'!AI32*12</f>
        <v>748.67310582929554</v>
      </c>
      <c r="P293" s="271">
        <f t="shared" si="53"/>
        <v>1.1269596523253436</v>
      </c>
      <c r="Y293" s="251">
        <f>SUM('RD Feedstock'!G280,'RD Feedstock'!I280)</f>
        <v>21.543749999999999</v>
      </c>
      <c r="Z293" s="251">
        <f>SUM('RD Feedstock'!G280,'RD Feedstock'!J280)</f>
        <v>7.65625</v>
      </c>
      <c r="AA293" s="251">
        <v>0</v>
      </c>
      <c r="AB293" s="251">
        <f>SUM('RD Feedstock'!B291,'RD Feedstock'!D291,'RD Feedstock'!H291)</f>
        <v>374.51145833333328</v>
      </c>
      <c r="AC293" s="251">
        <f>SUM('RD Feedstock'!C291,'RD Feedstock'!E291)</f>
        <v>12.34375</v>
      </c>
      <c r="AD293" s="251">
        <f t="shared" si="63"/>
        <v>416.05520833333327</v>
      </c>
      <c r="AH293" s="237">
        <f t="shared" si="64"/>
        <v>5.1780988600771641E-2</v>
      </c>
      <c r="AI293" s="237">
        <f t="shared" si="64"/>
        <v>1.8402004942252758E-2</v>
      </c>
      <c r="AJ293" s="237">
        <f t="shared" si="64"/>
        <v>0</v>
      </c>
      <c r="AK293" s="237">
        <f t="shared" si="64"/>
        <v>0.90014846787660896</v>
      </c>
      <c r="AL293" s="237">
        <f t="shared" si="64"/>
        <v>2.9668538580366693E-2</v>
      </c>
      <c r="AM293" s="237">
        <f t="shared" si="56"/>
        <v>1</v>
      </c>
      <c r="AO293" s="237">
        <f t="shared" si="57"/>
        <v>0.73779965753424659</v>
      </c>
      <c r="AP293" s="237">
        <f t="shared" si="58"/>
        <v>0.26220034246575341</v>
      </c>
      <c r="AQ293" s="237">
        <f t="shared" si="59"/>
        <v>0</v>
      </c>
      <c r="AR293" s="237">
        <f t="shared" si="65"/>
        <v>0.96809206717629603</v>
      </c>
      <c r="AS293" s="237">
        <f t="shared" si="65"/>
        <v>3.1907932823703966E-2</v>
      </c>
      <c r="AU293" s="251">
        <f t="shared" si="68"/>
        <v>13745.167152620985</v>
      </c>
      <c r="AV293" s="251">
        <f t="shared" si="68"/>
        <v>4171.3296130718181</v>
      </c>
      <c r="AW293" s="251">
        <f t="shared" si="68"/>
        <v>0</v>
      </c>
      <c r="AX293" s="251">
        <f t="shared" si="68"/>
        <v>192325.97720087631</v>
      </c>
      <c r="AY293" s="251">
        <f t="shared" si="68"/>
        <v>6297.0083205815481</v>
      </c>
      <c r="AZ293" s="251">
        <f t="shared" si="62"/>
        <v>216539.48228715066</v>
      </c>
      <c r="BA293" s="270">
        <f t="shared" si="61"/>
        <v>7.6517407044838306</v>
      </c>
      <c r="BB293" s="251">
        <f t="shared" si="66"/>
        <v>17916.496765692802</v>
      </c>
      <c r="BC293" s="251">
        <f t="shared" si="67"/>
        <v>198622.98552145786</v>
      </c>
    </row>
    <row r="294" spans="1:55">
      <c r="A294" s="11">
        <v>52597</v>
      </c>
      <c r="B294" s="251">
        <v>100</v>
      </c>
      <c r="C294" s="251">
        <v>295</v>
      </c>
      <c r="D294" s="251">
        <v>5</v>
      </c>
      <c r="E294" s="251">
        <v>220</v>
      </c>
      <c r="F294" s="251">
        <v>44</v>
      </c>
      <c r="G294" s="287">
        <v>0.33</v>
      </c>
      <c r="H294" s="287"/>
      <c r="N294" s="251">
        <f t="shared" ref="N294:N357" si="69">SUM(B294:L294)</f>
        <v>664.33</v>
      </c>
      <c r="O294" s="251">
        <f>'BBD Monthly Production'!AJ21*12</f>
        <v>234.88022108133552</v>
      </c>
      <c r="P294" s="271">
        <f t="shared" si="53"/>
        <v>0.35355955787234583</v>
      </c>
      <c r="Y294" s="251">
        <f>SUM('RD Feedstock'!G281,'RD Feedstock'!I281)</f>
        <v>21.543749999999999</v>
      </c>
      <c r="Z294" s="251">
        <f>SUM('RD Feedstock'!G281,'RD Feedstock'!J281)</f>
        <v>7.65625</v>
      </c>
      <c r="AA294" s="251">
        <v>0</v>
      </c>
      <c r="AB294" s="251">
        <f>SUM('RD Feedstock'!B292,'RD Feedstock'!D292,'RD Feedstock'!H292)</f>
        <v>374.51145833333328</v>
      </c>
      <c r="AC294" s="251">
        <f>SUM('RD Feedstock'!C292,'RD Feedstock'!E292)</f>
        <v>12.34375</v>
      </c>
      <c r="AD294" s="251">
        <f t="shared" si="63"/>
        <v>416.05520833333327</v>
      </c>
      <c r="AH294" s="237">
        <f t="shared" si="64"/>
        <v>5.1780988600771641E-2</v>
      </c>
      <c r="AI294" s="237">
        <f t="shared" si="64"/>
        <v>1.8402004942252758E-2</v>
      </c>
      <c r="AJ294" s="237">
        <f t="shared" si="64"/>
        <v>0</v>
      </c>
      <c r="AK294" s="237">
        <f t="shared" si="64"/>
        <v>0.90014846787660896</v>
      </c>
      <c r="AL294" s="237">
        <f t="shared" si="64"/>
        <v>2.9668538580366693E-2</v>
      </c>
      <c r="AM294" s="237">
        <f t="shared" si="56"/>
        <v>1</v>
      </c>
      <c r="AO294" s="237">
        <f t="shared" si="57"/>
        <v>0.73779965753424659</v>
      </c>
      <c r="AP294" s="237">
        <f t="shared" si="58"/>
        <v>0.26220034246575341</v>
      </c>
      <c r="AQ294" s="237">
        <f t="shared" si="59"/>
        <v>0</v>
      </c>
      <c r="AR294" s="237">
        <f t="shared" si="65"/>
        <v>0.96809206717629603</v>
      </c>
      <c r="AS294" s="237">
        <f t="shared" si="65"/>
        <v>3.1907932823703966E-2</v>
      </c>
      <c r="AU294" s="251">
        <f t="shared" si="68"/>
        <v>4312.2530707596288</v>
      </c>
      <c r="AV294" s="251">
        <f t="shared" si="68"/>
        <v>1308.665710164865</v>
      </c>
      <c r="AW294" s="251">
        <f t="shared" si="68"/>
        <v>0</v>
      </c>
      <c r="AX294" s="251">
        <f t="shared" si="68"/>
        <v>60338.17388777114</v>
      </c>
      <c r="AY294" s="251">
        <f t="shared" si="68"/>
        <v>1975.5520733590217</v>
      </c>
      <c r="AZ294" s="251">
        <f t="shared" si="62"/>
        <v>67934.644742054661</v>
      </c>
      <c r="BA294" s="270">
        <f t="shared" si="61"/>
        <v>7.6517407044838297</v>
      </c>
      <c r="BB294" s="251">
        <f t="shared" si="66"/>
        <v>5620.9187809244941</v>
      </c>
      <c r="BC294" s="251">
        <f t="shared" si="67"/>
        <v>62313.725961130163</v>
      </c>
    </row>
    <row r="295" spans="1:55">
      <c r="A295" s="11">
        <v>52628</v>
      </c>
      <c r="B295" s="251">
        <v>100</v>
      </c>
      <c r="C295" s="251">
        <v>295</v>
      </c>
      <c r="D295" s="251">
        <v>5</v>
      </c>
      <c r="E295" s="251">
        <v>220</v>
      </c>
      <c r="F295" s="251">
        <v>44</v>
      </c>
      <c r="G295" s="287">
        <v>0.33</v>
      </c>
      <c r="H295" s="287"/>
      <c r="N295" s="251">
        <f t="shared" si="69"/>
        <v>664.33</v>
      </c>
      <c r="O295" s="251">
        <f>'BBD Monthly Production'!AJ22*12</f>
        <v>275.73773974242908</v>
      </c>
      <c r="P295" s="271">
        <f t="shared" si="53"/>
        <v>0.41506139982001272</v>
      </c>
      <c r="Y295" s="251">
        <f>SUM('RD Feedstock'!G282,'RD Feedstock'!I282)</f>
        <v>21.543749999999999</v>
      </c>
      <c r="Z295" s="251">
        <f>SUM('RD Feedstock'!G282,'RD Feedstock'!J282)</f>
        <v>7.65625</v>
      </c>
      <c r="AA295" s="251">
        <v>0</v>
      </c>
      <c r="AB295" s="251">
        <f>SUM('RD Feedstock'!B293,'RD Feedstock'!D293,'RD Feedstock'!H293)</f>
        <v>374.51145833333328</v>
      </c>
      <c r="AC295" s="251">
        <f>SUM('RD Feedstock'!C293,'RD Feedstock'!E293)</f>
        <v>12.34375</v>
      </c>
      <c r="AD295" s="251">
        <f t="shared" si="63"/>
        <v>416.05520833333327</v>
      </c>
      <c r="AH295" s="237">
        <f t="shared" si="64"/>
        <v>5.1780988600771641E-2</v>
      </c>
      <c r="AI295" s="237">
        <f t="shared" si="64"/>
        <v>1.8402004942252758E-2</v>
      </c>
      <c r="AJ295" s="237">
        <f t="shared" si="64"/>
        <v>0</v>
      </c>
      <c r="AK295" s="237">
        <f t="shared" si="64"/>
        <v>0.90014846787660896</v>
      </c>
      <c r="AL295" s="237">
        <f t="shared" si="64"/>
        <v>2.9668538580366693E-2</v>
      </c>
      <c r="AM295" s="237">
        <f t="shared" si="56"/>
        <v>1</v>
      </c>
      <c r="AO295" s="237">
        <f t="shared" si="57"/>
        <v>0.73779965753424659</v>
      </c>
      <c r="AP295" s="237">
        <f t="shared" si="58"/>
        <v>0.26220034246575341</v>
      </c>
      <c r="AQ295" s="237">
        <f t="shared" si="59"/>
        <v>0</v>
      </c>
      <c r="AR295" s="237">
        <f t="shared" si="65"/>
        <v>0.96809206717629603</v>
      </c>
      <c r="AS295" s="237">
        <f t="shared" si="65"/>
        <v>3.1907932823703966E-2</v>
      </c>
      <c r="AU295" s="251">
        <f t="shared" si="68"/>
        <v>5062.3714055380524</v>
      </c>
      <c r="AV295" s="251">
        <f t="shared" si="68"/>
        <v>1536.3086910341597</v>
      </c>
      <c r="AW295" s="251">
        <f t="shared" si="68"/>
        <v>0</v>
      </c>
      <c r="AX295" s="251">
        <f t="shared" si="68"/>
        <v>70834.026004421816</v>
      </c>
      <c r="AY295" s="251">
        <f t="shared" si="68"/>
        <v>2319.2002329683301</v>
      </c>
      <c r="AZ295" s="251">
        <f t="shared" si="62"/>
        <v>79751.906333962354</v>
      </c>
      <c r="BA295" s="270">
        <f t="shared" si="61"/>
        <v>7.6517407044838288</v>
      </c>
      <c r="BB295" s="251">
        <f t="shared" si="66"/>
        <v>6598.6800965722123</v>
      </c>
      <c r="BC295" s="251">
        <f t="shared" si="67"/>
        <v>73153.226237390147</v>
      </c>
    </row>
    <row r="296" spans="1:55">
      <c r="A296" s="11">
        <v>52657</v>
      </c>
      <c r="B296" s="251">
        <v>100</v>
      </c>
      <c r="C296" s="251">
        <v>295</v>
      </c>
      <c r="D296" s="251">
        <v>5</v>
      </c>
      <c r="E296" s="251">
        <v>220</v>
      </c>
      <c r="F296" s="251">
        <v>44</v>
      </c>
      <c r="G296" s="287">
        <v>0.33</v>
      </c>
      <c r="H296" s="287"/>
      <c r="N296" s="251">
        <f t="shared" si="69"/>
        <v>664.33</v>
      </c>
      <c r="O296" s="251">
        <f>'BBD Monthly Production'!AJ23*12</f>
        <v>538.7350892026177</v>
      </c>
      <c r="P296" s="271">
        <f t="shared" si="53"/>
        <v>0.81094499601495895</v>
      </c>
      <c r="Y296" s="251">
        <f>SUM('RD Feedstock'!G283,'RD Feedstock'!I283)</f>
        <v>21.543749999999999</v>
      </c>
      <c r="Z296" s="251">
        <f>SUM('RD Feedstock'!G283,'RD Feedstock'!J283)</f>
        <v>7.65625</v>
      </c>
      <c r="AA296" s="251">
        <v>0</v>
      </c>
      <c r="AB296" s="251">
        <f>SUM('RD Feedstock'!B294,'RD Feedstock'!D294,'RD Feedstock'!H294)</f>
        <v>374.51145833333328</v>
      </c>
      <c r="AC296" s="251">
        <f>SUM('RD Feedstock'!C294,'RD Feedstock'!E294)</f>
        <v>12.34375</v>
      </c>
      <c r="AD296" s="251">
        <f t="shared" si="63"/>
        <v>416.05520833333327</v>
      </c>
      <c r="AH296" s="237">
        <f t="shared" si="64"/>
        <v>5.1780988600771641E-2</v>
      </c>
      <c r="AI296" s="237">
        <f t="shared" si="64"/>
        <v>1.8402004942252758E-2</v>
      </c>
      <c r="AJ296" s="237">
        <f t="shared" si="64"/>
        <v>0</v>
      </c>
      <c r="AK296" s="237">
        <f t="shared" si="64"/>
        <v>0.90014846787660896</v>
      </c>
      <c r="AL296" s="237">
        <f t="shared" si="64"/>
        <v>2.9668538580366693E-2</v>
      </c>
      <c r="AM296" s="237">
        <f t="shared" si="56"/>
        <v>1</v>
      </c>
      <c r="AO296" s="237">
        <f t="shared" si="57"/>
        <v>0.73779965753424659</v>
      </c>
      <c r="AP296" s="237">
        <f t="shared" si="58"/>
        <v>0.26220034246575341</v>
      </c>
      <c r="AQ296" s="237">
        <f t="shared" si="59"/>
        <v>0</v>
      </c>
      <c r="AR296" s="237">
        <f t="shared" si="65"/>
        <v>0.96809206717629603</v>
      </c>
      <c r="AS296" s="237">
        <f t="shared" si="65"/>
        <v>3.1907932823703966E-2</v>
      </c>
      <c r="AU296" s="251">
        <f t="shared" si="68"/>
        <v>9890.8372618376998</v>
      </c>
      <c r="AV296" s="251">
        <f t="shared" si="68"/>
        <v>3001.6326400592761</v>
      </c>
      <c r="AW296" s="251">
        <f t="shared" si="68"/>
        <v>0</v>
      </c>
      <c r="AX296" s="251">
        <f t="shared" si="68"/>
        <v>138395.18432884564</v>
      </c>
      <c r="AY296" s="251">
        <f t="shared" si="68"/>
        <v>4531.2424246098526</v>
      </c>
      <c r="AZ296" s="251">
        <f t="shared" si="62"/>
        <v>155818.8966553525</v>
      </c>
      <c r="BA296" s="270">
        <f t="shared" si="61"/>
        <v>7.6517407044838306</v>
      </c>
      <c r="BB296" s="251">
        <f t="shared" si="66"/>
        <v>12892.469901896977</v>
      </c>
      <c r="BC296" s="251">
        <f t="shared" si="67"/>
        <v>142926.42675345548</v>
      </c>
    </row>
    <row r="297" spans="1:55">
      <c r="A297" s="11">
        <v>52688</v>
      </c>
      <c r="B297" s="251">
        <v>100</v>
      </c>
      <c r="C297" s="251">
        <v>295</v>
      </c>
      <c r="D297" s="251">
        <v>5</v>
      </c>
      <c r="E297" s="251">
        <v>220</v>
      </c>
      <c r="F297" s="251">
        <v>44</v>
      </c>
      <c r="G297" s="287">
        <v>0.33</v>
      </c>
      <c r="H297" s="287"/>
      <c r="N297" s="251">
        <f t="shared" si="69"/>
        <v>664.33</v>
      </c>
      <c r="O297" s="251">
        <f>'BBD Monthly Production'!AJ24*12</f>
        <v>466.34434851610467</v>
      </c>
      <c r="P297" s="271">
        <f t="shared" si="53"/>
        <v>0.70197695199088506</v>
      </c>
      <c r="Y297" s="251">
        <f>SUM('RD Feedstock'!G284,'RD Feedstock'!I284)</f>
        <v>21.543749999999999</v>
      </c>
      <c r="Z297" s="251">
        <f>SUM('RD Feedstock'!G284,'RD Feedstock'!J284)</f>
        <v>7.65625</v>
      </c>
      <c r="AA297" s="251">
        <v>0</v>
      </c>
      <c r="AB297" s="251">
        <f>SUM('RD Feedstock'!B295,'RD Feedstock'!D295,'RD Feedstock'!H295)</f>
        <v>374.51145833333328</v>
      </c>
      <c r="AC297" s="251">
        <f>SUM('RD Feedstock'!C295,'RD Feedstock'!E295)</f>
        <v>12.34375</v>
      </c>
      <c r="AD297" s="251">
        <f t="shared" si="63"/>
        <v>416.05520833333327</v>
      </c>
      <c r="AH297" s="237">
        <f t="shared" si="64"/>
        <v>5.1780988600771641E-2</v>
      </c>
      <c r="AI297" s="237">
        <f t="shared" si="64"/>
        <v>1.8402004942252758E-2</v>
      </c>
      <c r="AJ297" s="237">
        <f t="shared" si="64"/>
        <v>0</v>
      </c>
      <c r="AK297" s="237">
        <f t="shared" si="64"/>
        <v>0.90014846787660896</v>
      </c>
      <c r="AL297" s="237">
        <f t="shared" si="64"/>
        <v>2.9668538580366693E-2</v>
      </c>
      <c r="AM297" s="237">
        <f t="shared" si="56"/>
        <v>1</v>
      </c>
      <c r="AO297" s="237">
        <f t="shared" si="57"/>
        <v>0.73779965753424659</v>
      </c>
      <c r="AP297" s="237">
        <f t="shared" si="58"/>
        <v>0.26220034246575341</v>
      </c>
      <c r="AQ297" s="237">
        <f t="shared" si="59"/>
        <v>0</v>
      </c>
      <c r="AR297" s="237">
        <f t="shared" si="65"/>
        <v>0.96809206717629603</v>
      </c>
      <c r="AS297" s="237">
        <f t="shared" si="65"/>
        <v>3.1907932823703966E-2</v>
      </c>
      <c r="AU297" s="251">
        <f t="shared" si="68"/>
        <v>8561.7888115985425</v>
      </c>
      <c r="AV297" s="251">
        <f t="shared" si="68"/>
        <v>2598.2982101369253</v>
      </c>
      <c r="AW297" s="251">
        <f t="shared" si="68"/>
        <v>0</v>
      </c>
      <c r="AX297" s="251">
        <f t="shared" si="68"/>
        <v>119798.79047627505</v>
      </c>
      <c r="AY297" s="251">
        <f t="shared" si="68"/>
        <v>3922.3717534360835</v>
      </c>
      <c r="AZ297" s="251">
        <f t="shared" si="62"/>
        <v>134881.2492514466</v>
      </c>
      <c r="BA297" s="270">
        <f t="shared" si="61"/>
        <v>7.6517407044838306</v>
      </c>
      <c r="BB297" s="251">
        <f t="shared" si="66"/>
        <v>11160.087021735468</v>
      </c>
      <c r="BC297" s="251">
        <f t="shared" si="67"/>
        <v>123721.16222971113</v>
      </c>
    </row>
    <row r="298" spans="1:55">
      <c r="A298" s="11">
        <v>52718</v>
      </c>
      <c r="B298" s="251">
        <v>100</v>
      </c>
      <c r="C298" s="251">
        <v>295</v>
      </c>
      <c r="D298" s="251">
        <v>5</v>
      </c>
      <c r="E298" s="251">
        <v>220</v>
      </c>
      <c r="F298" s="251">
        <v>44</v>
      </c>
      <c r="G298" s="287">
        <v>0.33</v>
      </c>
      <c r="H298" s="287"/>
      <c r="N298" s="251">
        <f t="shared" si="69"/>
        <v>664.33</v>
      </c>
      <c r="O298" s="251">
        <f>'BBD Monthly Production'!AJ25*12</f>
        <v>502.12765282035559</v>
      </c>
      <c r="P298" s="271">
        <f t="shared" si="53"/>
        <v>0.75584070088714272</v>
      </c>
      <c r="Y298" s="251">
        <f>SUM('RD Feedstock'!G285,'RD Feedstock'!I285)</f>
        <v>21.543749999999999</v>
      </c>
      <c r="Z298" s="251">
        <f>SUM('RD Feedstock'!G285,'RD Feedstock'!J285)</f>
        <v>7.65625</v>
      </c>
      <c r="AA298" s="251">
        <v>0</v>
      </c>
      <c r="AB298" s="251">
        <f>SUM('RD Feedstock'!B296,'RD Feedstock'!D296,'RD Feedstock'!H296)</f>
        <v>374.51145833333328</v>
      </c>
      <c r="AC298" s="251">
        <f>SUM('RD Feedstock'!C296,'RD Feedstock'!E296)</f>
        <v>12.34375</v>
      </c>
      <c r="AD298" s="251">
        <f t="shared" si="63"/>
        <v>416.05520833333327</v>
      </c>
      <c r="AH298" s="237">
        <f t="shared" si="64"/>
        <v>5.1780988600771641E-2</v>
      </c>
      <c r="AI298" s="237">
        <f t="shared" si="64"/>
        <v>1.8402004942252758E-2</v>
      </c>
      <c r="AJ298" s="237">
        <f t="shared" si="64"/>
        <v>0</v>
      </c>
      <c r="AK298" s="237">
        <f t="shared" si="64"/>
        <v>0.90014846787660896</v>
      </c>
      <c r="AL298" s="237">
        <f t="shared" si="64"/>
        <v>2.9668538580366693E-2</v>
      </c>
      <c r="AM298" s="237">
        <f t="shared" si="56"/>
        <v>1</v>
      </c>
      <c r="AO298" s="237">
        <f t="shared" si="57"/>
        <v>0.73779965753424659</v>
      </c>
      <c r="AP298" s="237">
        <f t="shared" si="58"/>
        <v>0.26220034246575341</v>
      </c>
      <c r="AQ298" s="237">
        <f t="shared" si="59"/>
        <v>0</v>
      </c>
      <c r="AR298" s="237">
        <f t="shared" si="65"/>
        <v>0.96809206717629603</v>
      </c>
      <c r="AS298" s="237">
        <f t="shared" si="65"/>
        <v>3.1907932823703966E-2</v>
      </c>
      <c r="AU298" s="251">
        <f t="shared" si="68"/>
        <v>9218.7477635168416</v>
      </c>
      <c r="AV298" s="251">
        <f t="shared" si="68"/>
        <v>2797.669545551124</v>
      </c>
      <c r="AW298" s="251">
        <f t="shared" si="68"/>
        <v>0</v>
      </c>
      <c r="AX298" s="251">
        <f t="shared" si="68"/>
        <v>128991.13211938537</v>
      </c>
      <c r="AY298" s="251">
        <f t="shared" si="68"/>
        <v>4223.3412462458691</v>
      </c>
      <c r="AZ298" s="251">
        <f t="shared" si="62"/>
        <v>145230.89067469919</v>
      </c>
      <c r="BA298" s="270">
        <f t="shared" si="61"/>
        <v>7.6517407044838297</v>
      </c>
      <c r="BB298" s="251">
        <f t="shared" si="66"/>
        <v>12016.417309067965</v>
      </c>
      <c r="BC298" s="251">
        <f t="shared" si="67"/>
        <v>133214.47336563125</v>
      </c>
    </row>
    <row r="299" spans="1:55">
      <c r="A299" s="11">
        <v>52749</v>
      </c>
      <c r="B299" s="251">
        <v>100</v>
      </c>
      <c r="C299" s="251">
        <v>295</v>
      </c>
      <c r="D299" s="251">
        <v>5</v>
      </c>
      <c r="E299" s="251">
        <v>220</v>
      </c>
      <c r="F299" s="251">
        <v>44</v>
      </c>
      <c r="G299" s="287">
        <v>0.33</v>
      </c>
      <c r="H299" s="287"/>
      <c r="N299" s="251">
        <f t="shared" si="69"/>
        <v>664.33</v>
      </c>
      <c r="O299" s="251">
        <f>'BBD Monthly Production'!AJ26*12</f>
        <v>626.18317475881418</v>
      </c>
      <c r="P299" s="271">
        <f t="shared" si="53"/>
        <v>0.9425784997799499</v>
      </c>
      <c r="Y299" s="251">
        <f>SUM('RD Feedstock'!G286,'RD Feedstock'!I286)</f>
        <v>21.543749999999999</v>
      </c>
      <c r="Z299" s="251">
        <f>SUM('RD Feedstock'!G286,'RD Feedstock'!J286)</f>
        <v>7.65625</v>
      </c>
      <c r="AA299" s="251">
        <v>0</v>
      </c>
      <c r="AB299" s="251">
        <f>SUM('RD Feedstock'!B297,'RD Feedstock'!D297,'RD Feedstock'!H297)</f>
        <v>374.51145833333328</v>
      </c>
      <c r="AC299" s="251">
        <f>SUM('RD Feedstock'!C297,'RD Feedstock'!E297)</f>
        <v>12.34375</v>
      </c>
      <c r="AD299" s="251">
        <f t="shared" si="63"/>
        <v>416.05520833333327</v>
      </c>
      <c r="AH299" s="237">
        <f t="shared" si="64"/>
        <v>5.1780988600771641E-2</v>
      </c>
      <c r="AI299" s="237">
        <f t="shared" si="64"/>
        <v>1.8402004942252758E-2</v>
      </c>
      <c r="AJ299" s="237">
        <f t="shared" si="64"/>
        <v>0</v>
      </c>
      <c r="AK299" s="237">
        <f t="shared" si="64"/>
        <v>0.90014846787660896</v>
      </c>
      <c r="AL299" s="237">
        <f t="shared" si="64"/>
        <v>2.9668538580366693E-2</v>
      </c>
      <c r="AM299" s="237">
        <f t="shared" si="56"/>
        <v>1</v>
      </c>
      <c r="AO299" s="237">
        <f t="shared" si="57"/>
        <v>0.73779965753424659</v>
      </c>
      <c r="AP299" s="237">
        <f t="shared" si="58"/>
        <v>0.26220034246575341</v>
      </c>
      <c r="AQ299" s="237">
        <f t="shared" si="59"/>
        <v>0</v>
      </c>
      <c r="AR299" s="237">
        <f t="shared" si="65"/>
        <v>0.96809206717629603</v>
      </c>
      <c r="AS299" s="237">
        <f t="shared" si="65"/>
        <v>3.1907932823703966E-2</v>
      </c>
      <c r="AU299" s="251">
        <f t="shared" si="68"/>
        <v>11496.329089696528</v>
      </c>
      <c r="AV299" s="251">
        <f t="shared" si="68"/>
        <v>3488.8610259152683</v>
      </c>
      <c r="AW299" s="251">
        <f t="shared" si="68"/>
        <v>0</v>
      </c>
      <c r="AX299" s="251">
        <f t="shared" si="68"/>
        <v>160859.64629227045</v>
      </c>
      <c r="AY299" s="251">
        <f t="shared" si="68"/>
        <v>5266.7587909368303</v>
      </c>
      <c r="AZ299" s="251">
        <f t="shared" si="62"/>
        <v>181111.59519881906</v>
      </c>
      <c r="BA299" s="270">
        <f t="shared" si="61"/>
        <v>7.6517407044838306</v>
      </c>
      <c r="BB299" s="251">
        <f t="shared" si="66"/>
        <v>14985.190115611797</v>
      </c>
      <c r="BC299" s="251">
        <f t="shared" si="67"/>
        <v>166126.4050832073</v>
      </c>
    </row>
    <row r="300" spans="1:55">
      <c r="A300" s="11">
        <v>52779</v>
      </c>
      <c r="B300" s="251">
        <v>100</v>
      </c>
      <c r="C300" s="251">
        <v>295</v>
      </c>
      <c r="D300" s="251">
        <v>5</v>
      </c>
      <c r="E300" s="251">
        <v>220</v>
      </c>
      <c r="F300" s="251">
        <v>44</v>
      </c>
      <c r="G300" s="287">
        <v>0.33</v>
      </c>
      <c r="H300" s="287"/>
      <c r="N300" s="251">
        <f t="shared" si="69"/>
        <v>664.33</v>
      </c>
      <c r="O300" s="251">
        <f>'BBD Monthly Production'!AJ27*12</f>
        <v>551.01403723202907</v>
      </c>
      <c r="P300" s="271">
        <f t="shared" si="53"/>
        <v>0.82942820169498443</v>
      </c>
      <c r="Y300" s="251">
        <f>SUM('RD Feedstock'!G287,'RD Feedstock'!I287)</f>
        <v>21.543749999999999</v>
      </c>
      <c r="Z300" s="251">
        <f>SUM('RD Feedstock'!G287,'RD Feedstock'!J287)</f>
        <v>7.65625</v>
      </c>
      <c r="AA300" s="251">
        <v>0</v>
      </c>
      <c r="AB300" s="251">
        <f>SUM('RD Feedstock'!B298,'RD Feedstock'!D298,'RD Feedstock'!H298)</f>
        <v>374.51145833333328</v>
      </c>
      <c r="AC300" s="251">
        <f>SUM('RD Feedstock'!C298,'RD Feedstock'!E298)</f>
        <v>12.34375</v>
      </c>
      <c r="AD300" s="251">
        <f t="shared" si="63"/>
        <v>416.05520833333327</v>
      </c>
      <c r="AH300" s="237">
        <f t="shared" si="64"/>
        <v>5.1780988600771641E-2</v>
      </c>
      <c r="AI300" s="237">
        <f t="shared" si="64"/>
        <v>1.8402004942252758E-2</v>
      </c>
      <c r="AJ300" s="237">
        <f t="shared" si="64"/>
        <v>0</v>
      </c>
      <c r="AK300" s="237">
        <f t="shared" si="64"/>
        <v>0.90014846787660896</v>
      </c>
      <c r="AL300" s="237">
        <f t="shared" si="64"/>
        <v>2.9668538580366693E-2</v>
      </c>
      <c r="AM300" s="237">
        <f t="shared" si="56"/>
        <v>1</v>
      </c>
      <c r="AO300" s="237">
        <f t="shared" si="57"/>
        <v>0.73779965753424659</v>
      </c>
      <c r="AP300" s="237">
        <f t="shared" si="58"/>
        <v>0.26220034246575341</v>
      </c>
      <c r="AQ300" s="237">
        <f t="shared" si="59"/>
        <v>0</v>
      </c>
      <c r="AR300" s="237">
        <f t="shared" si="65"/>
        <v>0.96809206717629603</v>
      </c>
      <c r="AS300" s="237">
        <f t="shared" si="65"/>
        <v>3.1907932823703966E-2</v>
      </c>
      <c r="AU300" s="251">
        <f t="shared" si="68"/>
        <v>10116.271021656887</v>
      </c>
      <c r="AV300" s="251">
        <f t="shared" si="68"/>
        <v>3070.0463965220765</v>
      </c>
      <c r="AW300" s="251">
        <f t="shared" si="68"/>
        <v>0</v>
      </c>
      <c r="AX300" s="251">
        <f t="shared" si="68"/>
        <v>141549.51251342686</v>
      </c>
      <c r="AY300" s="251">
        <f t="shared" si="68"/>
        <v>4634.5193251785522</v>
      </c>
      <c r="AZ300" s="251">
        <f t="shared" si="62"/>
        <v>159370.34925678436</v>
      </c>
      <c r="BA300" s="270">
        <f t="shared" si="61"/>
        <v>7.6517407044838288</v>
      </c>
      <c r="BB300" s="251">
        <f t="shared" si="66"/>
        <v>13186.317418178964</v>
      </c>
      <c r="BC300" s="251">
        <f t="shared" si="67"/>
        <v>146184.03183860541</v>
      </c>
    </row>
    <row r="301" spans="1:55">
      <c r="A301" s="11">
        <v>52810</v>
      </c>
      <c r="B301" s="251">
        <v>100</v>
      </c>
      <c r="C301" s="251">
        <v>295</v>
      </c>
      <c r="D301" s="251">
        <v>5</v>
      </c>
      <c r="E301" s="251">
        <v>220</v>
      </c>
      <c r="F301" s="251">
        <v>44</v>
      </c>
      <c r="G301" s="287">
        <v>0.33</v>
      </c>
      <c r="H301" s="287"/>
      <c r="N301" s="251">
        <f t="shared" si="69"/>
        <v>664.33</v>
      </c>
      <c r="O301" s="251">
        <f>'BBD Monthly Production'!AJ28*12</f>
        <v>484.43076946277631</v>
      </c>
      <c r="P301" s="271">
        <f t="shared" si="53"/>
        <v>0.72920200722950379</v>
      </c>
      <c r="Y301" s="251">
        <f>SUM('RD Feedstock'!G288,'RD Feedstock'!I288)</f>
        <v>21.543749999999999</v>
      </c>
      <c r="Z301" s="251">
        <f>SUM('RD Feedstock'!G288,'RD Feedstock'!J288)</f>
        <v>7.65625</v>
      </c>
      <c r="AA301" s="251">
        <v>0</v>
      </c>
      <c r="AB301" s="251">
        <f>SUM('RD Feedstock'!B299,'RD Feedstock'!D299,'RD Feedstock'!H299)</f>
        <v>374.51145833333328</v>
      </c>
      <c r="AC301" s="251">
        <f>SUM('RD Feedstock'!C299,'RD Feedstock'!E299)</f>
        <v>12.34375</v>
      </c>
      <c r="AD301" s="251">
        <f t="shared" si="63"/>
        <v>416.05520833333327</v>
      </c>
      <c r="AH301" s="237">
        <f t="shared" si="64"/>
        <v>5.1780988600771641E-2</v>
      </c>
      <c r="AI301" s="237">
        <f t="shared" si="64"/>
        <v>1.8402004942252758E-2</v>
      </c>
      <c r="AJ301" s="237">
        <f t="shared" si="64"/>
        <v>0</v>
      </c>
      <c r="AK301" s="237">
        <f t="shared" si="64"/>
        <v>0.90014846787660896</v>
      </c>
      <c r="AL301" s="237">
        <f t="shared" si="64"/>
        <v>2.9668538580366693E-2</v>
      </c>
      <c r="AM301" s="237">
        <f t="shared" si="56"/>
        <v>1</v>
      </c>
      <c r="AO301" s="237">
        <f t="shared" si="57"/>
        <v>0.73779965753424659</v>
      </c>
      <c r="AP301" s="237">
        <f t="shared" si="58"/>
        <v>0.26220034246575341</v>
      </c>
      <c r="AQ301" s="237">
        <f t="shared" si="59"/>
        <v>0</v>
      </c>
      <c r="AR301" s="237">
        <f t="shared" si="65"/>
        <v>0.96809206717629603</v>
      </c>
      <c r="AS301" s="237">
        <f t="shared" si="65"/>
        <v>3.1907932823703966E-2</v>
      </c>
      <c r="AU301" s="251">
        <f t="shared" si="68"/>
        <v>8893.8441200756588</v>
      </c>
      <c r="AV301" s="251">
        <f t="shared" si="68"/>
        <v>2699.0690575226681</v>
      </c>
      <c r="AW301" s="251">
        <f t="shared" si="68"/>
        <v>0</v>
      </c>
      <c r="AX301" s="251">
        <f t="shared" si="68"/>
        <v>124444.99528255286</v>
      </c>
      <c r="AY301" s="251">
        <f t="shared" si="68"/>
        <v>4074.4946790547046</v>
      </c>
      <c r="AZ301" s="251">
        <f t="shared" si="62"/>
        <v>140112.40313920588</v>
      </c>
      <c r="BA301" s="270">
        <f t="shared" si="61"/>
        <v>7.6517407044838306</v>
      </c>
      <c r="BB301" s="251">
        <f t="shared" si="66"/>
        <v>11592.913177598326</v>
      </c>
      <c r="BC301" s="251">
        <f t="shared" si="67"/>
        <v>128519.48996160757</v>
      </c>
    </row>
    <row r="302" spans="1:55">
      <c r="A302" s="11">
        <v>52841</v>
      </c>
      <c r="B302" s="251">
        <v>100</v>
      </c>
      <c r="C302" s="251">
        <v>295</v>
      </c>
      <c r="D302" s="251">
        <v>5</v>
      </c>
      <c r="E302" s="251">
        <v>220</v>
      </c>
      <c r="F302" s="251">
        <v>44</v>
      </c>
      <c r="G302" s="287">
        <v>0.33</v>
      </c>
      <c r="H302" s="287"/>
      <c r="N302" s="251">
        <f t="shared" si="69"/>
        <v>664.33</v>
      </c>
      <c r="O302" s="251">
        <f>'BBD Monthly Production'!AJ29*12</f>
        <v>529.00747604646892</v>
      </c>
      <c r="P302" s="271">
        <f t="shared" ref="P302:P365" si="70">O302/N302</f>
        <v>0.79630225346810901</v>
      </c>
      <c r="Y302" s="251">
        <f>SUM('RD Feedstock'!G289,'RD Feedstock'!I289)</f>
        <v>21.543749999999999</v>
      </c>
      <c r="Z302" s="251">
        <f>SUM('RD Feedstock'!G289,'RD Feedstock'!J289)</f>
        <v>7.65625</v>
      </c>
      <c r="AA302" s="251">
        <v>0</v>
      </c>
      <c r="AB302" s="251">
        <f>SUM('RD Feedstock'!B300,'RD Feedstock'!D300,'RD Feedstock'!H300)</f>
        <v>374.51145833333328</v>
      </c>
      <c r="AC302" s="251">
        <f>SUM('RD Feedstock'!C300,'RD Feedstock'!E300)</f>
        <v>12.34375</v>
      </c>
      <c r="AD302" s="251">
        <f t="shared" si="63"/>
        <v>416.05520833333327</v>
      </c>
      <c r="AH302" s="237">
        <f t="shared" si="64"/>
        <v>5.1780988600771641E-2</v>
      </c>
      <c r="AI302" s="237">
        <f t="shared" si="64"/>
        <v>1.8402004942252758E-2</v>
      </c>
      <c r="AJ302" s="237">
        <f t="shared" si="64"/>
        <v>0</v>
      </c>
      <c r="AK302" s="237">
        <f t="shared" si="64"/>
        <v>0.90014846787660896</v>
      </c>
      <c r="AL302" s="237">
        <f t="shared" si="64"/>
        <v>2.9668538580366693E-2</v>
      </c>
      <c r="AM302" s="237">
        <f t="shared" si="56"/>
        <v>1</v>
      </c>
      <c r="AO302" s="237">
        <f t="shared" si="57"/>
        <v>0.73779965753424659</v>
      </c>
      <c r="AP302" s="237">
        <f t="shared" si="58"/>
        <v>0.26220034246575341</v>
      </c>
      <c r="AQ302" s="237">
        <f t="shared" si="59"/>
        <v>0</v>
      </c>
      <c r="AR302" s="237">
        <f t="shared" si="65"/>
        <v>0.96809206717629603</v>
      </c>
      <c r="AS302" s="237">
        <f t="shared" si="65"/>
        <v>3.1907932823703966E-2</v>
      </c>
      <c r="AU302" s="251">
        <f t="shared" si="68"/>
        <v>9712.2444049736969</v>
      </c>
      <c r="AV302" s="251">
        <f t="shared" si="68"/>
        <v>2947.4339777768851</v>
      </c>
      <c r="AW302" s="251">
        <f t="shared" si="68"/>
        <v>0</v>
      </c>
      <c r="AX302" s="251">
        <f t="shared" si="68"/>
        <v>135896.26632107765</v>
      </c>
      <c r="AY302" s="251">
        <f t="shared" si="68"/>
        <v>4449.4245250396307</v>
      </c>
      <c r="AZ302" s="251">
        <f t="shared" si="62"/>
        <v>153005.36922886784</v>
      </c>
      <c r="BA302" s="270">
        <f t="shared" si="61"/>
        <v>7.6517407044838306</v>
      </c>
      <c r="BB302" s="251">
        <f t="shared" si="66"/>
        <v>12659.678382750582</v>
      </c>
      <c r="BC302" s="251">
        <f t="shared" si="67"/>
        <v>140345.69084611727</v>
      </c>
    </row>
    <row r="303" spans="1:55">
      <c r="A303" s="11">
        <v>52871</v>
      </c>
      <c r="B303" s="251">
        <v>100</v>
      </c>
      <c r="C303" s="251">
        <v>295</v>
      </c>
      <c r="D303" s="251">
        <v>5</v>
      </c>
      <c r="E303" s="251">
        <v>220</v>
      </c>
      <c r="F303" s="251">
        <v>44</v>
      </c>
      <c r="G303" s="287">
        <v>0.33</v>
      </c>
      <c r="H303" s="287"/>
      <c r="N303" s="251">
        <f t="shared" si="69"/>
        <v>664.33</v>
      </c>
      <c r="O303" s="251">
        <f>'BBD Monthly Production'!AJ30*12</f>
        <v>422.69607131773483</v>
      </c>
      <c r="P303" s="271">
        <f t="shared" si="70"/>
        <v>0.63627424821660139</v>
      </c>
      <c r="Y303" s="251">
        <f>SUM('RD Feedstock'!G290,'RD Feedstock'!I290)</f>
        <v>21.543749999999999</v>
      </c>
      <c r="Z303" s="251">
        <f>SUM('RD Feedstock'!G290,'RD Feedstock'!J290)</f>
        <v>7.65625</v>
      </c>
      <c r="AA303" s="251">
        <v>0</v>
      </c>
      <c r="AB303" s="251">
        <f>SUM('RD Feedstock'!B301,'RD Feedstock'!D301,'RD Feedstock'!H301)</f>
        <v>374.51145833333328</v>
      </c>
      <c r="AC303" s="251">
        <f>SUM('RD Feedstock'!C301,'RD Feedstock'!E301)</f>
        <v>12.34375</v>
      </c>
      <c r="AD303" s="251">
        <f t="shared" si="63"/>
        <v>416.05520833333327</v>
      </c>
      <c r="AH303" s="237">
        <f t="shared" si="64"/>
        <v>5.1780988600771641E-2</v>
      </c>
      <c r="AI303" s="237">
        <f t="shared" si="64"/>
        <v>1.8402004942252758E-2</v>
      </c>
      <c r="AJ303" s="237">
        <f t="shared" si="64"/>
        <v>0</v>
      </c>
      <c r="AK303" s="237">
        <f t="shared" si="64"/>
        <v>0.90014846787660896</v>
      </c>
      <c r="AL303" s="237">
        <f t="shared" si="64"/>
        <v>2.9668538580366693E-2</v>
      </c>
      <c r="AM303" s="237">
        <f t="shared" ref="AM303:AM366" si="71">SUM(AH303:AL303)</f>
        <v>1</v>
      </c>
      <c r="AO303" s="237">
        <f t="shared" ref="AO303:AO366" si="72">Y303/SUM($Y303:$AA303)</f>
        <v>0.73779965753424659</v>
      </c>
      <c r="AP303" s="237">
        <f t="shared" ref="AP303:AP366" si="73">Z303/SUM($Y303:$AA303)</f>
        <v>0.26220034246575341</v>
      </c>
      <c r="AQ303" s="237">
        <f t="shared" ref="AQ303:AQ366" si="74">AA303/SUM($Y303:$AA303)</f>
        <v>0</v>
      </c>
      <c r="AR303" s="237">
        <f t="shared" si="65"/>
        <v>0.96809206717629603</v>
      </c>
      <c r="AS303" s="237">
        <f t="shared" si="65"/>
        <v>3.1907932823703966E-2</v>
      </c>
      <c r="AU303" s="251">
        <f t="shared" si="68"/>
        <v>7760.4339060407037</v>
      </c>
      <c r="AV303" s="251">
        <f t="shared" si="68"/>
        <v>2355.1061549936467</v>
      </c>
      <c r="AW303" s="251">
        <f t="shared" si="68"/>
        <v>0</v>
      </c>
      <c r="AX303" s="251">
        <f t="shared" si="68"/>
        <v>108586.02284785527</v>
      </c>
      <c r="AY303" s="251">
        <f t="shared" si="68"/>
        <v>3555.2508263490436</v>
      </c>
      <c r="AZ303" s="251">
        <f t="shared" si="62"/>
        <v>122256.81373523867</v>
      </c>
      <c r="BA303" s="270">
        <f t="shared" ref="BA303:BA366" si="75">(AZ303*2204.622/1000000)/(O303/12)</f>
        <v>7.6517407044838297</v>
      </c>
      <c r="BB303" s="251">
        <f t="shared" si="66"/>
        <v>10115.540061034349</v>
      </c>
      <c r="BC303" s="251">
        <f t="shared" si="67"/>
        <v>112141.27367420432</v>
      </c>
    </row>
    <row r="304" spans="1:55">
      <c r="A304" s="11">
        <v>52902</v>
      </c>
      <c r="B304" s="251">
        <v>100</v>
      </c>
      <c r="C304" s="251">
        <v>295</v>
      </c>
      <c r="D304" s="251">
        <v>5</v>
      </c>
      <c r="E304" s="251">
        <v>220</v>
      </c>
      <c r="F304" s="251">
        <v>44</v>
      </c>
      <c r="G304" s="287">
        <v>0.33</v>
      </c>
      <c r="H304" s="287"/>
      <c r="N304" s="251">
        <f t="shared" si="69"/>
        <v>664.33</v>
      </c>
      <c r="O304" s="251">
        <f>'BBD Monthly Production'!AJ31*12</f>
        <v>544.28888294494539</v>
      </c>
      <c r="P304" s="271">
        <f t="shared" si="70"/>
        <v>0.81930498840176624</v>
      </c>
      <c r="Y304" s="251">
        <f>SUM('RD Feedstock'!G291,'RD Feedstock'!I291)</f>
        <v>21.543749999999999</v>
      </c>
      <c r="Z304" s="251">
        <f>SUM('RD Feedstock'!G291,'RD Feedstock'!J291)</f>
        <v>7.65625</v>
      </c>
      <c r="AA304" s="251">
        <v>0</v>
      </c>
      <c r="AB304" s="251">
        <f>SUM('RD Feedstock'!B302,'RD Feedstock'!D302,'RD Feedstock'!H302)</f>
        <v>374.51145833333328</v>
      </c>
      <c r="AC304" s="251">
        <f>SUM('RD Feedstock'!C302,'RD Feedstock'!E302)</f>
        <v>12.34375</v>
      </c>
      <c r="AD304" s="251">
        <f t="shared" si="63"/>
        <v>416.05520833333327</v>
      </c>
      <c r="AH304" s="237">
        <f t="shared" si="64"/>
        <v>5.1780988600771641E-2</v>
      </c>
      <c r="AI304" s="237">
        <f t="shared" si="64"/>
        <v>1.8402004942252758E-2</v>
      </c>
      <c r="AJ304" s="237">
        <f t="shared" si="64"/>
        <v>0</v>
      </c>
      <c r="AK304" s="237">
        <f t="shared" si="64"/>
        <v>0.90014846787660896</v>
      </c>
      <c r="AL304" s="237">
        <f t="shared" si="64"/>
        <v>2.9668538580366693E-2</v>
      </c>
      <c r="AM304" s="237">
        <f t="shared" si="71"/>
        <v>1</v>
      </c>
      <c r="AO304" s="237">
        <f t="shared" si="72"/>
        <v>0.73779965753424659</v>
      </c>
      <c r="AP304" s="237">
        <f t="shared" si="73"/>
        <v>0.26220034246575341</v>
      </c>
      <c r="AQ304" s="237">
        <f t="shared" si="74"/>
        <v>0</v>
      </c>
      <c r="AR304" s="237">
        <f t="shared" si="65"/>
        <v>0.96809206717629603</v>
      </c>
      <c r="AS304" s="237">
        <f t="shared" si="65"/>
        <v>3.1907932823703966E-2</v>
      </c>
      <c r="AU304" s="251">
        <f t="shared" si="68"/>
        <v>9992.8014204605952</v>
      </c>
      <c r="AV304" s="251">
        <f t="shared" si="68"/>
        <v>3032.576324454888</v>
      </c>
      <c r="AW304" s="251">
        <f t="shared" si="68"/>
        <v>0</v>
      </c>
      <c r="AX304" s="251">
        <f t="shared" si="68"/>
        <v>139821.89352989558</v>
      </c>
      <c r="AY304" s="251">
        <f t="shared" si="68"/>
        <v>4577.9547816237891</v>
      </c>
      <c r="AZ304" s="251">
        <f t="shared" si="62"/>
        <v>157425.22605643485</v>
      </c>
      <c r="BA304" s="270">
        <f t="shared" si="75"/>
        <v>7.6517407044838315</v>
      </c>
      <c r="BB304" s="251">
        <f t="shared" si="66"/>
        <v>13025.377744915484</v>
      </c>
      <c r="BC304" s="251">
        <f t="shared" si="67"/>
        <v>144399.84831151937</v>
      </c>
    </row>
    <row r="305" spans="1:55">
      <c r="A305" s="11">
        <v>52932</v>
      </c>
      <c r="B305" s="251">
        <v>100</v>
      </c>
      <c r="C305" s="251">
        <v>295</v>
      </c>
      <c r="D305" s="251">
        <v>5</v>
      </c>
      <c r="E305" s="251">
        <v>220</v>
      </c>
      <c r="F305" s="251">
        <v>44</v>
      </c>
      <c r="G305" s="287">
        <v>0.33</v>
      </c>
      <c r="H305" s="287"/>
      <c r="N305" s="251">
        <f t="shared" si="69"/>
        <v>664.33</v>
      </c>
      <c r="O305" s="251">
        <f>'BBD Monthly Production'!AJ32*12</f>
        <v>748.6705224655957</v>
      </c>
      <c r="P305" s="271">
        <f t="shared" si="70"/>
        <v>1.1269557636499867</v>
      </c>
      <c r="Y305" s="251">
        <f>SUM('RD Feedstock'!G292,'RD Feedstock'!I292)</f>
        <v>21.543749999999999</v>
      </c>
      <c r="Z305" s="251">
        <f>SUM('RD Feedstock'!G292,'RD Feedstock'!J292)</f>
        <v>7.65625</v>
      </c>
      <c r="AA305" s="251">
        <v>0</v>
      </c>
      <c r="AB305" s="251">
        <f>SUM('RD Feedstock'!B303,'RD Feedstock'!D303,'RD Feedstock'!H303)</f>
        <v>374.51145833333328</v>
      </c>
      <c r="AC305" s="251">
        <f>SUM('RD Feedstock'!C303,'RD Feedstock'!E303)</f>
        <v>12.34375</v>
      </c>
      <c r="AD305" s="251">
        <f t="shared" si="63"/>
        <v>416.05520833333327</v>
      </c>
      <c r="AH305" s="237">
        <f t="shared" si="64"/>
        <v>5.1780988600771641E-2</v>
      </c>
      <c r="AI305" s="237">
        <f t="shared" si="64"/>
        <v>1.8402004942252758E-2</v>
      </c>
      <c r="AJ305" s="237">
        <f t="shared" si="64"/>
        <v>0</v>
      </c>
      <c r="AK305" s="237">
        <f t="shared" si="64"/>
        <v>0.90014846787660896</v>
      </c>
      <c r="AL305" s="237">
        <f t="shared" si="64"/>
        <v>2.9668538580366693E-2</v>
      </c>
      <c r="AM305" s="237">
        <f t="shared" si="71"/>
        <v>1</v>
      </c>
      <c r="AO305" s="237">
        <f t="shared" si="72"/>
        <v>0.73779965753424659</v>
      </c>
      <c r="AP305" s="237">
        <f t="shared" si="73"/>
        <v>0.26220034246575341</v>
      </c>
      <c r="AQ305" s="237">
        <f t="shared" si="74"/>
        <v>0</v>
      </c>
      <c r="AR305" s="237">
        <f t="shared" si="65"/>
        <v>0.96809206717629603</v>
      </c>
      <c r="AS305" s="237">
        <f t="shared" si="65"/>
        <v>3.1907932823703966E-2</v>
      </c>
      <c r="AU305" s="251">
        <f t="shared" si="68"/>
        <v>13745.119723688926</v>
      </c>
      <c r="AV305" s="251">
        <f t="shared" si="68"/>
        <v>4171.3152195248622</v>
      </c>
      <c r="AW305" s="251">
        <f t="shared" si="68"/>
        <v>0</v>
      </c>
      <c r="AX305" s="251">
        <f t="shared" si="68"/>
        <v>192325.31356284232</v>
      </c>
      <c r="AY305" s="251">
        <f t="shared" si="68"/>
        <v>6296.9865921895625</v>
      </c>
      <c r="AZ305" s="251">
        <f t="shared" si="62"/>
        <v>216538.73509824567</v>
      </c>
      <c r="BA305" s="270">
        <f t="shared" si="75"/>
        <v>7.6517407044838297</v>
      </c>
      <c r="BB305" s="251">
        <f t="shared" si="66"/>
        <v>17916.43494321379</v>
      </c>
      <c r="BC305" s="251">
        <f t="shared" si="67"/>
        <v>198622.30015503187</v>
      </c>
    </row>
    <row r="306" spans="1:55">
      <c r="A306" s="11">
        <v>52963</v>
      </c>
      <c r="B306" s="251">
        <v>100</v>
      </c>
      <c r="C306" s="251">
        <v>295</v>
      </c>
      <c r="D306" s="251">
        <v>5</v>
      </c>
      <c r="E306" s="251">
        <v>220</v>
      </c>
      <c r="F306" s="251">
        <v>44</v>
      </c>
      <c r="G306" s="287">
        <v>0.33</v>
      </c>
      <c r="H306" s="287"/>
      <c r="N306" s="251">
        <f t="shared" si="69"/>
        <v>664.33</v>
      </c>
      <c r="O306" s="251">
        <f>'BBD Monthly Production'!AK21*12</f>
        <v>234.87955269576241</v>
      </c>
      <c r="P306" s="271">
        <f t="shared" si="70"/>
        <v>0.35355855176758899</v>
      </c>
      <c r="Y306" s="251">
        <f>SUM('RD Feedstock'!G293,'RD Feedstock'!I293)</f>
        <v>21.543749999999999</v>
      </c>
      <c r="Z306" s="251">
        <f>SUM('RD Feedstock'!G293,'RD Feedstock'!J293)</f>
        <v>7.65625</v>
      </c>
      <c r="AA306" s="251">
        <v>0</v>
      </c>
      <c r="AB306" s="251">
        <f>SUM('RD Feedstock'!B304,'RD Feedstock'!D304,'RD Feedstock'!H304)</f>
        <v>374.51145833333328</v>
      </c>
      <c r="AC306" s="251">
        <f>SUM('RD Feedstock'!C304,'RD Feedstock'!E304)</f>
        <v>12.34375</v>
      </c>
      <c r="AD306" s="251">
        <f t="shared" si="63"/>
        <v>416.05520833333327</v>
      </c>
      <c r="AH306" s="237">
        <f t="shared" si="64"/>
        <v>5.1780988600771641E-2</v>
      </c>
      <c r="AI306" s="237">
        <f t="shared" si="64"/>
        <v>1.8402004942252758E-2</v>
      </c>
      <c r="AJ306" s="237">
        <f t="shared" si="64"/>
        <v>0</v>
      </c>
      <c r="AK306" s="237">
        <f t="shared" si="64"/>
        <v>0.90014846787660896</v>
      </c>
      <c r="AL306" s="237">
        <f t="shared" si="64"/>
        <v>2.9668538580366693E-2</v>
      </c>
      <c r="AM306" s="237">
        <f t="shared" si="71"/>
        <v>1</v>
      </c>
      <c r="AO306" s="237">
        <f t="shared" si="72"/>
        <v>0.73779965753424659</v>
      </c>
      <c r="AP306" s="237">
        <f t="shared" si="73"/>
        <v>0.26220034246575341</v>
      </c>
      <c r="AQ306" s="237">
        <f t="shared" si="74"/>
        <v>0</v>
      </c>
      <c r="AR306" s="237">
        <f t="shared" si="65"/>
        <v>0.96809206717629603</v>
      </c>
      <c r="AS306" s="237">
        <f t="shared" si="65"/>
        <v>3.1907932823703966E-2</v>
      </c>
      <c r="AU306" s="251">
        <f t="shared" si="68"/>
        <v>4312.2407996210586</v>
      </c>
      <c r="AV306" s="251">
        <f t="shared" si="68"/>
        <v>1308.6619861676861</v>
      </c>
      <c r="AW306" s="251">
        <f t="shared" si="68"/>
        <v>0</v>
      </c>
      <c r="AX306" s="251">
        <f t="shared" si="68"/>
        <v>60338.002186787773</v>
      </c>
      <c r="AY306" s="251">
        <f t="shared" si="68"/>
        <v>1975.5464516404345</v>
      </c>
      <c r="AZ306" s="251">
        <f t="shared" si="62"/>
        <v>67934.451424216953</v>
      </c>
      <c r="BA306" s="270">
        <f t="shared" si="75"/>
        <v>7.6517407044838306</v>
      </c>
      <c r="BB306" s="251">
        <f t="shared" si="66"/>
        <v>5620.9027857887449</v>
      </c>
      <c r="BC306" s="251">
        <f t="shared" si="67"/>
        <v>62313.548638428205</v>
      </c>
    </row>
    <row r="307" spans="1:55">
      <c r="A307" s="11">
        <v>52994</v>
      </c>
      <c r="B307" s="251">
        <v>100</v>
      </c>
      <c r="C307" s="251">
        <v>295</v>
      </c>
      <c r="D307" s="251">
        <v>5</v>
      </c>
      <c r="E307" s="251">
        <v>220</v>
      </c>
      <c r="F307" s="251">
        <v>44</v>
      </c>
      <c r="G307" s="287">
        <v>0.33</v>
      </c>
      <c r="H307" s="287"/>
      <c r="N307" s="251">
        <f t="shared" si="69"/>
        <v>664.33</v>
      </c>
      <c r="O307" s="251">
        <f>'BBD Monthly Production'!AK22*12</f>
        <v>275.73588364353606</v>
      </c>
      <c r="P307" s="271">
        <f t="shared" si="70"/>
        <v>0.41505860587890964</v>
      </c>
      <c r="Y307" s="251">
        <f>SUM('RD Feedstock'!G294,'RD Feedstock'!I294)</f>
        <v>21.543749999999999</v>
      </c>
      <c r="Z307" s="251">
        <f>SUM('RD Feedstock'!G294,'RD Feedstock'!J294)</f>
        <v>7.65625</v>
      </c>
      <c r="AA307" s="251">
        <v>0</v>
      </c>
      <c r="AB307" s="251">
        <f>SUM('RD Feedstock'!B305,'RD Feedstock'!D305,'RD Feedstock'!H305)</f>
        <v>374.51145833333328</v>
      </c>
      <c r="AC307" s="251">
        <f>SUM('RD Feedstock'!C305,'RD Feedstock'!E305)</f>
        <v>12.34375</v>
      </c>
      <c r="AD307" s="251">
        <f t="shared" si="63"/>
        <v>416.05520833333327</v>
      </c>
      <c r="AH307" s="237">
        <f t="shared" si="64"/>
        <v>5.1780988600771641E-2</v>
      </c>
      <c r="AI307" s="237">
        <f t="shared" si="64"/>
        <v>1.8402004942252758E-2</v>
      </c>
      <c r="AJ307" s="237">
        <f t="shared" si="64"/>
        <v>0</v>
      </c>
      <c r="AK307" s="237">
        <f t="shared" si="64"/>
        <v>0.90014846787660896</v>
      </c>
      <c r="AL307" s="237">
        <f t="shared" si="64"/>
        <v>2.9668538580366693E-2</v>
      </c>
      <c r="AM307" s="237">
        <f t="shared" si="71"/>
        <v>1</v>
      </c>
      <c r="AO307" s="237">
        <f t="shared" si="72"/>
        <v>0.73779965753424659</v>
      </c>
      <c r="AP307" s="237">
        <f t="shared" si="73"/>
        <v>0.26220034246575341</v>
      </c>
      <c r="AQ307" s="237">
        <f t="shared" si="74"/>
        <v>0</v>
      </c>
      <c r="AR307" s="237">
        <f t="shared" si="65"/>
        <v>0.96809206717629603</v>
      </c>
      <c r="AS307" s="237">
        <f t="shared" si="65"/>
        <v>3.1907932823703966E-2</v>
      </c>
      <c r="AU307" s="251">
        <f t="shared" si="68"/>
        <v>5062.3373287302466</v>
      </c>
      <c r="AV307" s="251">
        <f t="shared" si="68"/>
        <v>1536.298349537695</v>
      </c>
      <c r="AW307" s="251">
        <f t="shared" si="68"/>
        <v>0</v>
      </c>
      <c r="AX307" s="251">
        <f t="shared" si="68"/>
        <v>70833.54919280592</v>
      </c>
      <c r="AY307" s="251">
        <f t="shared" si="68"/>
        <v>2319.1846215217824</v>
      </c>
      <c r="AZ307" s="251">
        <f t="shared" si="62"/>
        <v>79751.369492595637</v>
      </c>
      <c r="BA307" s="270">
        <f t="shared" si="75"/>
        <v>7.6517407044838306</v>
      </c>
      <c r="BB307" s="251">
        <f t="shared" si="66"/>
        <v>6598.6356782679413</v>
      </c>
      <c r="BC307" s="251">
        <f t="shared" si="67"/>
        <v>73152.733814327701</v>
      </c>
    </row>
    <row r="308" spans="1:55">
      <c r="A308" s="11">
        <v>53022</v>
      </c>
      <c r="B308" s="251">
        <v>100</v>
      </c>
      <c r="C308" s="251">
        <v>295</v>
      </c>
      <c r="D308" s="251">
        <v>5</v>
      </c>
      <c r="E308" s="251">
        <v>220</v>
      </c>
      <c r="F308" s="251">
        <v>44</v>
      </c>
      <c r="G308" s="287">
        <v>0.33</v>
      </c>
      <c r="H308" s="287"/>
      <c r="N308" s="251">
        <f t="shared" si="69"/>
        <v>664.33</v>
      </c>
      <c r="O308" s="251">
        <f>'BBD Monthly Production'!AK23*12</f>
        <v>538.73425493425475</v>
      </c>
      <c r="P308" s="271">
        <f t="shared" si="70"/>
        <v>0.81094374021082105</v>
      </c>
      <c r="Y308" s="251">
        <f>SUM('RD Feedstock'!G295,'RD Feedstock'!I295)</f>
        <v>21.543749999999999</v>
      </c>
      <c r="Z308" s="251">
        <f>SUM('RD Feedstock'!G295,'RD Feedstock'!J295)</f>
        <v>7.65625</v>
      </c>
      <c r="AA308" s="251">
        <v>0</v>
      </c>
      <c r="AB308" s="251">
        <f>SUM('RD Feedstock'!B306,'RD Feedstock'!D306,'RD Feedstock'!H306)</f>
        <v>374.51145833333328</v>
      </c>
      <c r="AC308" s="251">
        <f>SUM('RD Feedstock'!C306,'RD Feedstock'!E306)</f>
        <v>12.34375</v>
      </c>
      <c r="AD308" s="251">
        <f t="shared" si="63"/>
        <v>416.05520833333327</v>
      </c>
      <c r="AH308" s="237">
        <f t="shared" ref="AH308:AL371" si="76">Y308/$AD308</f>
        <v>5.1780988600771641E-2</v>
      </c>
      <c r="AI308" s="237">
        <f t="shared" si="76"/>
        <v>1.8402004942252758E-2</v>
      </c>
      <c r="AJ308" s="237">
        <f t="shared" si="76"/>
        <v>0</v>
      </c>
      <c r="AK308" s="237">
        <f t="shared" si="76"/>
        <v>0.90014846787660896</v>
      </c>
      <c r="AL308" s="237">
        <f t="shared" si="76"/>
        <v>2.9668538580366693E-2</v>
      </c>
      <c r="AM308" s="237">
        <f t="shared" si="71"/>
        <v>1</v>
      </c>
      <c r="AO308" s="237">
        <f t="shared" si="72"/>
        <v>0.73779965753424659</v>
      </c>
      <c r="AP308" s="237">
        <f t="shared" si="73"/>
        <v>0.26220034246575341</v>
      </c>
      <c r="AQ308" s="237">
        <f t="shared" si="74"/>
        <v>0</v>
      </c>
      <c r="AR308" s="237">
        <f t="shared" si="65"/>
        <v>0.96809206717629603</v>
      </c>
      <c r="AS308" s="237">
        <f t="shared" si="65"/>
        <v>3.1907932823703966E-2</v>
      </c>
      <c r="AU308" s="251">
        <f t="shared" si="68"/>
        <v>9890.8219451954828</v>
      </c>
      <c r="AV308" s="251">
        <f t="shared" si="68"/>
        <v>3001.6279918245514</v>
      </c>
      <c r="AW308" s="251">
        <f t="shared" si="68"/>
        <v>0</v>
      </c>
      <c r="AX308" s="251">
        <f t="shared" si="68"/>
        <v>138394.97001437796</v>
      </c>
      <c r="AY308" s="251">
        <f t="shared" si="68"/>
        <v>4531.2354076691045</v>
      </c>
      <c r="AZ308" s="251">
        <f t="shared" si="62"/>
        <v>155818.65535906708</v>
      </c>
      <c r="BA308" s="270">
        <f t="shared" si="75"/>
        <v>7.6517407044838315</v>
      </c>
      <c r="BB308" s="251">
        <f t="shared" si="66"/>
        <v>12892.449937020034</v>
      </c>
      <c r="BC308" s="251">
        <f t="shared" si="67"/>
        <v>142926.20542204706</v>
      </c>
    </row>
    <row r="309" spans="1:55">
      <c r="A309" s="11">
        <v>53053</v>
      </c>
      <c r="B309" s="251">
        <v>100</v>
      </c>
      <c r="C309" s="251">
        <v>295</v>
      </c>
      <c r="D309" s="251">
        <v>5</v>
      </c>
      <c r="E309" s="251">
        <v>220</v>
      </c>
      <c r="F309" s="251">
        <v>44</v>
      </c>
      <c r="G309" s="287">
        <v>0.33</v>
      </c>
      <c r="H309" s="287"/>
      <c r="N309" s="251">
        <f t="shared" si="69"/>
        <v>664.33</v>
      </c>
      <c r="O309" s="251">
        <f>'BBD Monthly Production'!AK24*12</f>
        <v>466.34409950158602</v>
      </c>
      <c r="P309" s="271">
        <f t="shared" si="70"/>
        <v>0.70197657715530837</v>
      </c>
      <c r="Y309" s="251">
        <f>SUM('RD Feedstock'!G296,'RD Feedstock'!I296)</f>
        <v>21.543749999999999</v>
      </c>
      <c r="Z309" s="251">
        <f>SUM('RD Feedstock'!G296,'RD Feedstock'!J296)</f>
        <v>7.65625</v>
      </c>
      <c r="AA309" s="251">
        <v>0</v>
      </c>
      <c r="AB309" s="251">
        <f>SUM('RD Feedstock'!B307,'RD Feedstock'!D307,'RD Feedstock'!H307)</f>
        <v>374.51145833333328</v>
      </c>
      <c r="AC309" s="251">
        <f>SUM('RD Feedstock'!C307,'RD Feedstock'!E307)</f>
        <v>12.34375</v>
      </c>
      <c r="AD309" s="251">
        <f t="shared" si="63"/>
        <v>416.05520833333327</v>
      </c>
      <c r="AH309" s="237">
        <f t="shared" si="76"/>
        <v>5.1780988600771641E-2</v>
      </c>
      <c r="AI309" s="237">
        <f t="shared" si="76"/>
        <v>1.8402004942252758E-2</v>
      </c>
      <c r="AJ309" s="237">
        <f t="shared" si="76"/>
        <v>0</v>
      </c>
      <c r="AK309" s="237">
        <f t="shared" si="76"/>
        <v>0.90014846787660896</v>
      </c>
      <c r="AL309" s="237">
        <f t="shared" si="76"/>
        <v>2.9668538580366693E-2</v>
      </c>
      <c r="AM309" s="237">
        <f t="shared" si="71"/>
        <v>1</v>
      </c>
      <c r="AO309" s="237">
        <f t="shared" si="72"/>
        <v>0.73779965753424659</v>
      </c>
      <c r="AP309" s="237">
        <f t="shared" si="73"/>
        <v>0.26220034246575341</v>
      </c>
      <c r="AQ309" s="237">
        <f t="shared" si="74"/>
        <v>0</v>
      </c>
      <c r="AR309" s="237">
        <f t="shared" si="65"/>
        <v>0.96809206717629603</v>
      </c>
      <c r="AS309" s="237">
        <f t="shared" si="65"/>
        <v>3.1907932823703966E-2</v>
      </c>
      <c r="AU309" s="251">
        <f t="shared" si="68"/>
        <v>8561.7842398486609</v>
      </c>
      <c r="AV309" s="251">
        <f t="shared" si="68"/>
        <v>2598.2968227201372</v>
      </c>
      <c r="AW309" s="251">
        <f t="shared" si="68"/>
        <v>0</v>
      </c>
      <c r="AX309" s="251">
        <f t="shared" si="68"/>
        <v>119798.72650715386</v>
      </c>
      <c r="AY309" s="251">
        <f t="shared" si="68"/>
        <v>3922.3696590019658</v>
      </c>
      <c r="AZ309" s="251">
        <f t="shared" si="62"/>
        <v>134881.17722872461</v>
      </c>
      <c r="BA309" s="270">
        <f t="shared" si="75"/>
        <v>7.6517407044838297</v>
      </c>
      <c r="BB309" s="251">
        <f t="shared" si="66"/>
        <v>11160.081062568799</v>
      </c>
      <c r="BC309" s="251">
        <f t="shared" si="67"/>
        <v>123721.09616615582</v>
      </c>
    </row>
    <row r="310" spans="1:55">
      <c r="A310" s="11">
        <v>53083</v>
      </c>
      <c r="B310" s="251">
        <v>100</v>
      </c>
      <c r="C310" s="251">
        <v>295</v>
      </c>
      <c r="D310" s="251">
        <v>5</v>
      </c>
      <c r="E310" s="251">
        <v>220</v>
      </c>
      <c r="F310" s="251">
        <v>44</v>
      </c>
      <c r="G310" s="287">
        <v>0.33</v>
      </c>
      <c r="H310" s="287"/>
      <c r="N310" s="251">
        <f t="shared" si="69"/>
        <v>664.33</v>
      </c>
      <c r="O310" s="251">
        <f>'BBD Monthly Production'!AK25*12</f>
        <v>502.12724885781319</v>
      </c>
      <c r="P310" s="271">
        <f t="shared" si="70"/>
        <v>0.75584009281202591</v>
      </c>
      <c r="Y310" s="251">
        <f>SUM('RD Feedstock'!G297,'RD Feedstock'!I297)</f>
        <v>21.543749999999999</v>
      </c>
      <c r="Z310" s="251">
        <f>SUM('RD Feedstock'!G297,'RD Feedstock'!J297)</f>
        <v>7.65625</v>
      </c>
      <c r="AA310" s="251">
        <v>0</v>
      </c>
      <c r="AB310" s="251">
        <f>SUM('RD Feedstock'!B308,'RD Feedstock'!D308,'RD Feedstock'!H308)</f>
        <v>374.51145833333328</v>
      </c>
      <c r="AC310" s="251">
        <f>SUM('RD Feedstock'!C308,'RD Feedstock'!E308)</f>
        <v>12.34375</v>
      </c>
      <c r="AD310" s="251">
        <f t="shared" si="63"/>
        <v>416.05520833333327</v>
      </c>
      <c r="AH310" s="237">
        <f t="shared" si="76"/>
        <v>5.1780988600771641E-2</v>
      </c>
      <c r="AI310" s="237">
        <f t="shared" si="76"/>
        <v>1.8402004942252758E-2</v>
      </c>
      <c r="AJ310" s="237">
        <f t="shared" si="76"/>
        <v>0</v>
      </c>
      <c r="AK310" s="237">
        <f t="shared" si="76"/>
        <v>0.90014846787660896</v>
      </c>
      <c r="AL310" s="237">
        <f t="shared" si="76"/>
        <v>2.9668538580366693E-2</v>
      </c>
      <c r="AM310" s="237">
        <f t="shared" si="71"/>
        <v>1</v>
      </c>
      <c r="AO310" s="237">
        <f t="shared" si="72"/>
        <v>0.73779965753424659</v>
      </c>
      <c r="AP310" s="237">
        <f t="shared" si="73"/>
        <v>0.26220034246575341</v>
      </c>
      <c r="AQ310" s="237">
        <f t="shared" si="74"/>
        <v>0</v>
      </c>
      <c r="AR310" s="237">
        <f t="shared" si="65"/>
        <v>0.96809206717629603</v>
      </c>
      <c r="AS310" s="237">
        <f t="shared" si="65"/>
        <v>3.1907932823703966E-2</v>
      </c>
      <c r="AU310" s="251">
        <f t="shared" si="68"/>
        <v>9218.7403470187382</v>
      </c>
      <c r="AV310" s="251">
        <f t="shared" si="68"/>
        <v>2797.6672948212622</v>
      </c>
      <c r="AW310" s="251">
        <f t="shared" si="68"/>
        <v>0</v>
      </c>
      <c r="AX310" s="251">
        <f t="shared" si="68"/>
        <v>128991.0283458023</v>
      </c>
      <c r="AY310" s="251">
        <f t="shared" si="68"/>
        <v>4223.3378485607236</v>
      </c>
      <c r="AZ310" s="251">
        <f t="shared" si="62"/>
        <v>145230.77383620301</v>
      </c>
      <c r="BA310" s="270">
        <f t="shared" si="75"/>
        <v>7.6517407044838288</v>
      </c>
      <c r="BB310" s="251">
        <f t="shared" si="66"/>
        <v>12016.40764184</v>
      </c>
      <c r="BC310" s="251">
        <f t="shared" si="67"/>
        <v>133214.36619436301</v>
      </c>
    </row>
    <row r="311" spans="1:55">
      <c r="A311" s="11">
        <v>53114</v>
      </c>
      <c r="B311" s="251">
        <v>100</v>
      </c>
      <c r="C311" s="251">
        <v>295</v>
      </c>
      <c r="D311" s="251">
        <v>5</v>
      </c>
      <c r="E311" s="251">
        <v>220</v>
      </c>
      <c r="F311" s="251">
        <v>44</v>
      </c>
      <c r="G311" s="287">
        <v>0.33</v>
      </c>
      <c r="H311" s="287"/>
      <c r="N311" s="251">
        <f t="shared" si="69"/>
        <v>664.33</v>
      </c>
      <c r="O311" s="251">
        <f>'BBD Monthly Production'!AK26*12</f>
        <v>626.18193366807418</v>
      </c>
      <c r="P311" s="271">
        <f t="shared" si="70"/>
        <v>0.9425766315958547</v>
      </c>
      <c r="Y311" s="251">
        <f>SUM('RD Feedstock'!G298,'RD Feedstock'!I298)</f>
        <v>21.543749999999999</v>
      </c>
      <c r="Z311" s="251">
        <f>SUM('RD Feedstock'!G298,'RD Feedstock'!J298)</f>
        <v>7.65625</v>
      </c>
      <c r="AA311" s="251">
        <v>0</v>
      </c>
      <c r="AB311" s="251">
        <f>SUM('RD Feedstock'!B309,'RD Feedstock'!D309,'RD Feedstock'!H309)</f>
        <v>374.51145833333328</v>
      </c>
      <c r="AC311" s="251">
        <f>SUM('RD Feedstock'!C309,'RD Feedstock'!E309)</f>
        <v>12.34375</v>
      </c>
      <c r="AD311" s="251">
        <f t="shared" si="63"/>
        <v>416.05520833333327</v>
      </c>
      <c r="AH311" s="237">
        <f t="shared" si="76"/>
        <v>5.1780988600771641E-2</v>
      </c>
      <c r="AI311" s="237">
        <f t="shared" si="76"/>
        <v>1.8402004942252758E-2</v>
      </c>
      <c r="AJ311" s="237">
        <f t="shared" si="76"/>
        <v>0</v>
      </c>
      <c r="AK311" s="237">
        <f t="shared" si="76"/>
        <v>0.90014846787660896</v>
      </c>
      <c r="AL311" s="237">
        <f t="shared" si="76"/>
        <v>2.9668538580366693E-2</v>
      </c>
      <c r="AM311" s="237">
        <f t="shared" si="71"/>
        <v>1</v>
      </c>
      <c r="AO311" s="237">
        <f t="shared" si="72"/>
        <v>0.73779965753424659</v>
      </c>
      <c r="AP311" s="237">
        <f t="shared" si="73"/>
        <v>0.26220034246575341</v>
      </c>
      <c r="AQ311" s="237">
        <f t="shared" si="74"/>
        <v>0</v>
      </c>
      <c r="AR311" s="237">
        <f t="shared" si="65"/>
        <v>0.96809206717629603</v>
      </c>
      <c r="AS311" s="237">
        <f t="shared" si="65"/>
        <v>3.1907932823703966E-2</v>
      </c>
      <c r="AU311" s="251">
        <f t="shared" si="68"/>
        <v>11496.306304051444</v>
      </c>
      <c r="AV311" s="251">
        <f t="shared" si="68"/>
        <v>3488.8541110167416</v>
      </c>
      <c r="AW311" s="251">
        <f t="shared" si="68"/>
        <v>0</v>
      </c>
      <c r="AX311" s="251">
        <f t="shared" si="68"/>
        <v>160859.32746955927</v>
      </c>
      <c r="AY311" s="251">
        <f t="shared" si="68"/>
        <v>5266.7483522571774</v>
      </c>
      <c r="AZ311" s="251">
        <f t="shared" si="62"/>
        <v>181111.23623688464</v>
      </c>
      <c r="BA311" s="270">
        <f t="shared" si="75"/>
        <v>7.6517407044838297</v>
      </c>
      <c r="BB311" s="251">
        <f t="shared" si="66"/>
        <v>14985.160415068185</v>
      </c>
      <c r="BC311" s="251">
        <f t="shared" si="67"/>
        <v>166126.07582181646</v>
      </c>
    </row>
    <row r="312" spans="1:55">
      <c r="A312" s="11">
        <v>53144</v>
      </c>
      <c r="B312" s="251">
        <v>100</v>
      </c>
      <c r="C312" s="251">
        <v>295</v>
      </c>
      <c r="D312" s="251">
        <v>5</v>
      </c>
      <c r="E312" s="251">
        <v>220</v>
      </c>
      <c r="F312" s="251">
        <v>44</v>
      </c>
      <c r="G312" s="287">
        <v>0.33</v>
      </c>
      <c r="H312" s="287"/>
      <c r="N312" s="251">
        <f t="shared" si="69"/>
        <v>664.33</v>
      </c>
      <c r="O312" s="251">
        <f>'BBD Monthly Production'!AK27*12</f>
        <v>551.01377788105765</v>
      </c>
      <c r="P312" s="271">
        <f t="shared" si="70"/>
        <v>0.82942781130019361</v>
      </c>
      <c r="Y312" s="251">
        <f>SUM('RD Feedstock'!G299,'RD Feedstock'!I299)</f>
        <v>21.543749999999999</v>
      </c>
      <c r="Z312" s="251">
        <f>SUM('RD Feedstock'!G299,'RD Feedstock'!J299)</f>
        <v>7.65625</v>
      </c>
      <c r="AA312" s="251">
        <v>0</v>
      </c>
      <c r="AB312" s="251">
        <f>SUM('RD Feedstock'!B310,'RD Feedstock'!D310,'RD Feedstock'!H310)</f>
        <v>374.51145833333328</v>
      </c>
      <c r="AC312" s="251">
        <f>SUM('RD Feedstock'!C310,'RD Feedstock'!E310)</f>
        <v>12.34375</v>
      </c>
      <c r="AD312" s="251">
        <f t="shared" si="63"/>
        <v>416.05520833333327</v>
      </c>
      <c r="AH312" s="237">
        <f t="shared" si="76"/>
        <v>5.1780988600771641E-2</v>
      </c>
      <c r="AI312" s="237">
        <f t="shared" si="76"/>
        <v>1.8402004942252758E-2</v>
      </c>
      <c r="AJ312" s="237">
        <f t="shared" si="76"/>
        <v>0</v>
      </c>
      <c r="AK312" s="237">
        <f t="shared" si="76"/>
        <v>0.90014846787660896</v>
      </c>
      <c r="AL312" s="237">
        <f t="shared" si="76"/>
        <v>2.9668538580366693E-2</v>
      </c>
      <c r="AM312" s="237">
        <f t="shared" si="71"/>
        <v>1</v>
      </c>
      <c r="AO312" s="237">
        <f t="shared" si="72"/>
        <v>0.73779965753424659</v>
      </c>
      <c r="AP312" s="237">
        <f t="shared" si="73"/>
        <v>0.26220034246575341</v>
      </c>
      <c r="AQ312" s="237">
        <f t="shared" si="74"/>
        <v>0</v>
      </c>
      <c r="AR312" s="237">
        <f t="shared" si="65"/>
        <v>0.96809206717629603</v>
      </c>
      <c r="AS312" s="237">
        <f t="shared" si="65"/>
        <v>3.1907932823703966E-2</v>
      </c>
      <c r="AU312" s="251">
        <f t="shared" si="68"/>
        <v>10116.266260136237</v>
      </c>
      <c r="AV312" s="251">
        <f t="shared" si="68"/>
        <v>3070.0449515143964</v>
      </c>
      <c r="AW312" s="251">
        <f t="shared" si="68"/>
        <v>0</v>
      </c>
      <c r="AX312" s="251">
        <f t="shared" si="68"/>
        <v>141549.44588898341</v>
      </c>
      <c r="AY312" s="251">
        <f t="shared" si="68"/>
        <v>4634.5171438056514</v>
      </c>
      <c r="AZ312" s="251">
        <f t="shared" si="62"/>
        <v>159370.2742444397</v>
      </c>
      <c r="BA312" s="270">
        <f t="shared" si="75"/>
        <v>7.6517407044838306</v>
      </c>
      <c r="BB312" s="251">
        <f t="shared" si="66"/>
        <v>13186.311211650635</v>
      </c>
      <c r="BC312" s="251">
        <f t="shared" si="67"/>
        <v>146183.96303278906</v>
      </c>
    </row>
    <row r="313" spans="1:55">
      <c r="A313" s="11">
        <v>53175</v>
      </c>
      <c r="B313" s="251">
        <v>100</v>
      </c>
      <c r="C313" s="251">
        <v>295</v>
      </c>
      <c r="D313" s="251">
        <v>5</v>
      </c>
      <c r="E313" s="251">
        <v>220</v>
      </c>
      <c r="F313" s="251">
        <v>44</v>
      </c>
      <c r="G313" s="287">
        <v>0.33</v>
      </c>
      <c r="H313" s="287"/>
      <c r="N313" s="251">
        <f t="shared" si="69"/>
        <v>664.33</v>
      </c>
      <c r="O313" s="251">
        <f>'BBD Monthly Production'!AK28*12</f>
        <v>484.43077899152871</v>
      </c>
      <c r="P313" s="271">
        <f t="shared" si="70"/>
        <v>0.72920202157290603</v>
      </c>
      <c r="Y313" s="251">
        <f>SUM('RD Feedstock'!G300,'RD Feedstock'!I300)</f>
        <v>21.543749999999999</v>
      </c>
      <c r="Z313" s="251">
        <f>SUM('RD Feedstock'!G300,'RD Feedstock'!J300)</f>
        <v>7.65625</v>
      </c>
      <c r="AA313" s="251">
        <v>0</v>
      </c>
      <c r="AB313" s="251">
        <f>SUM('RD Feedstock'!B311,'RD Feedstock'!D311,'RD Feedstock'!H311)</f>
        <v>374.51145833333328</v>
      </c>
      <c r="AC313" s="251">
        <f>SUM('RD Feedstock'!C311,'RD Feedstock'!E311)</f>
        <v>12.34375</v>
      </c>
      <c r="AD313" s="251">
        <f t="shared" si="63"/>
        <v>416.05520833333327</v>
      </c>
      <c r="AH313" s="237">
        <f t="shared" si="76"/>
        <v>5.1780988600771641E-2</v>
      </c>
      <c r="AI313" s="237">
        <f t="shared" si="76"/>
        <v>1.8402004942252758E-2</v>
      </c>
      <c r="AJ313" s="237">
        <f t="shared" si="76"/>
        <v>0</v>
      </c>
      <c r="AK313" s="237">
        <f t="shared" si="76"/>
        <v>0.90014846787660896</v>
      </c>
      <c r="AL313" s="237">
        <f t="shared" si="76"/>
        <v>2.9668538580366693E-2</v>
      </c>
      <c r="AM313" s="237">
        <f t="shared" si="71"/>
        <v>1</v>
      </c>
      <c r="AO313" s="237">
        <f t="shared" si="72"/>
        <v>0.73779965753424659</v>
      </c>
      <c r="AP313" s="237">
        <f t="shared" si="73"/>
        <v>0.26220034246575341</v>
      </c>
      <c r="AQ313" s="237">
        <f t="shared" si="74"/>
        <v>0</v>
      </c>
      <c r="AR313" s="237">
        <f t="shared" si="65"/>
        <v>0.96809206717629603</v>
      </c>
      <c r="AS313" s="237">
        <f t="shared" si="65"/>
        <v>3.1907932823703966E-2</v>
      </c>
      <c r="AU313" s="251">
        <f t="shared" si="68"/>
        <v>8893.8442950175577</v>
      </c>
      <c r="AV313" s="251">
        <f t="shared" si="68"/>
        <v>2699.0691106133513</v>
      </c>
      <c r="AW313" s="251">
        <f t="shared" si="68"/>
        <v>0</v>
      </c>
      <c r="AX313" s="251">
        <f t="shared" si="68"/>
        <v>124444.9977303857</v>
      </c>
      <c r="AY313" s="251">
        <f t="shared" si="68"/>
        <v>4074.4947592000071</v>
      </c>
      <c r="AZ313" s="251">
        <f t="shared" si="62"/>
        <v>140112.40589521659</v>
      </c>
      <c r="BA313" s="270">
        <f t="shared" si="75"/>
        <v>7.6517407044838288</v>
      </c>
      <c r="BB313" s="251">
        <f t="shared" si="66"/>
        <v>11592.913405630909</v>
      </c>
      <c r="BC313" s="251">
        <f t="shared" si="67"/>
        <v>128519.49248958571</v>
      </c>
    </row>
    <row r="314" spans="1:55">
      <c r="A314" s="11">
        <v>53206</v>
      </c>
      <c r="B314" s="251">
        <v>100</v>
      </c>
      <c r="C314" s="251">
        <v>295</v>
      </c>
      <c r="D314" s="251">
        <v>5</v>
      </c>
      <c r="E314" s="251">
        <v>220</v>
      </c>
      <c r="F314" s="251">
        <v>44</v>
      </c>
      <c r="G314" s="287">
        <v>0.33</v>
      </c>
      <c r="H314" s="287"/>
      <c r="N314" s="251">
        <f t="shared" si="69"/>
        <v>664.33</v>
      </c>
      <c r="O314" s="251">
        <f>'BBD Monthly Production'!AK29*12</f>
        <v>529.00710484401156</v>
      </c>
      <c r="P314" s="271">
        <f t="shared" si="70"/>
        <v>0.79630169470596168</v>
      </c>
      <c r="Y314" s="251">
        <f>SUM('RD Feedstock'!G301,'RD Feedstock'!I301)</f>
        <v>21.543749999999999</v>
      </c>
      <c r="Z314" s="251">
        <f>SUM('RD Feedstock'!G301,'RD Feedstock'!J301)</f>
        <v>7.65625</v>
      </c>
      <c r="AA314" s="251">
        <v>0</v>
      </c>
      <c r="AB314" s="251">
        <f>SUM('RD Feedstock'!B312,'RD Feedstock'!D312,'RD Feedstock'!H312)</f>
        <v>374.51145833333328</v>
      </c>
      <c r="AC314" s="251">
        <f>SUM('RD Feedstock'!C312,'RD Feedstock'!E312)</f>
        <v>12.34375</v>
      </c>
      <c r="AD314" s="251">
        <f t="shared" si="63"/>
        <v>416.05520833333327</v>
      </c>
      <c r="AH314" s="237">
        <f t="shared" si="76"/>
        <v>5.1780988600771641E-2</v>
      </c>
      <c r="AI314" s="237">
        <f t="shared" si="76"/>
        <v>1.8402004942252758E-2</v>
      </c>
      <c r="AJ314" s="237">
        <f t="shared" si="76"/>
        <v>0</v>
      </c>
      <c r="AK314" s="237">
        <f t="shared" si="76"/>
        <v>0.90014846787660896</v>
      </c>
      <c r="AL314" s="237">
        <f t="shared" si="76"/>
        <v>2.9668538580366693E-2</v>
      </c>
      <c r="AM314" s="237">
        <f t="shared" si="71"/>
        <v>1</v>
      </c>
      <c r="AO314" s="237">
        <f t="shared" si="72"/>
        <v>0.73779965753424659</v>
      </c>
      <c r="AP314" s="237">
        <f t="shared" si="73"/>
        <v>0.26220034246575341</v>
      </c>
      <c r="AQ314" s="237">
        <f t="shared" si="74"/>
        <v>0</v>
      </c>
      <c r="AR314" s="237">
        <f t="shared" si="65"/>
        <v>0.96809206717629603</v>
      </c>
      <c r="AS314" s="237">
        <f t="shared" si="65"/>
        <v>3.1907932823703966E-2</v>
      </c>
      <c r="AU314" s="251">
        <f t="shared" si="68"/>
        <v>9712.2375899301423</v>
      </c>
      <c r="AV314" s="251">
        <f t="shared" si="68"/>
        <v>2947.4319095740998</v>
      </c>
      <c r="AW314" s="251">
        <f t="shared" si="68"/>
        <v>0</v>
      </c>
      <c r="AX314" s="251">
        <f t="shared" si="68"/>
        <v>135896.17096320409</v>
      </c>
      <c r="AY314" s="251">
        <f t="shared" si="68"/>
        <v>4449.4214028960087</v>
      </c>
      <c r="AZ314" s="251">
        <f t="shared" si="62"/>
        <v>153005.26186560432</v>
      </c>
      <c r="BA314" s="270">
        <f t="shared" si="75"/>
        <v>7.6517407044838297</v>
      </c>
      <c r="BB314" s="251">
        <f t="shared" si="66"/>
        <v>12659.669499504242</v>
      </c>
      <c r="BC314" s="251">
        <f t="shared" si="67"/>
        <v>140345.59236610009</v>
      </c>
    </row>
    <row r="315" spans="1:55">
      <c r="A315" s="11">
        <v>53236</v>
      </c>
      <c r="B315" s="251">
        <v>100</v>
      </c>
      <c r="C315" s="251">
        <v>295</v>
      </c>
      <c r="D315" s="251">
        <v>5</v>
      </c>
      <c r="E315" s="251">
        <v>220</v>
      </c>
      <c r="F315" s="251">
        <v>44</v>
      </c>
      <c r="G315" s="287">
        <v>0.33</v>
      </c>
      <c r="H315" s="287"/>
      <c r="N315" s="251">
        <f t="shared" si="69"/>
        <v>664.33</v>
      </c>
      <c r="O315" s="251">
        <f>'BBD Monthly Production'!AK30*12</f>
        <v>422.69718264821734</v>
      </c>
      <c r="P315" s="271">
        <f t="shared" si="70"/>
        <v>0.6362759210756963</v>
      </c>
      <c r="Y315" s="251">
        <f>SUM('RD Feedstock'!G302,'RD Feedstock'!I302)</f>
        <v>21.543749999999999</v>
      </c>
      <c r="Z315" s="251">
        <f>SUM('RD Feedstock'!G302,'RD Feedstock'!J302)</f>
        <v>7.65625</v>
      </c>
      <c r="AA315" s="251">
        <v>0</v>
      </c>
      <c r="AB315" s="251">
        <f>SUM('RD Feedstock'!B313,'RD Feedstock'!D313,'RD Feedstock'!H313)</f>
        <v>374.51145833333328</v>
      </c>
      <c r="AC315" s="251">
        <f>SUM('RD Feedstock'!C313,'RD Feedstock'!E313)</f>
        <v>12.34375</v>
      </c>
      <c r="AD315" s="251">
        <f t="shared" si="63"/>
        <v>416.05520833333327</v>
      </c>
      <c r="AH315" s="237">
        <f t="shared" si="76"/>
        <v>5.1780988600771641E-2</v>
      </c>
      <c r="AI315" s="237">
        <f t="shared" si="76"/>
        <v>1.8402004942252758E-2</v>
      </c>
      <c r="AJ315" s="237">
        <f t="shared" si="76"/>
        <v>0</v>
      </c>
      <c r="AK315" s="237">
        <f t="shared" si="76"/>
        <v>0.90014846787660896</v>
      </c>
      <c r="AL315" s="237">
        <f t="shared" si="76"/>
        <v>2.9668538580366693E-2</v>
      </c>
      <c r="AM315" s="237">
        <f t="shared" si="71"/>
        <v>1</v>
      </c>
      <c r="AO315" s="237">
        <f t="shared" si="72"/>
        <v>0.73779965753424659</v>
      </c>
      <c r="AP315" s="237">
        <f t="shared" si="73"/>
        <v>0.26220034246575341</v>
      </c>
      <c r="AQ315" s="237">
        <f t="shared" si="74"/>
        <v>0</v>
      </c>
      <c r="AR315" s="237">
        <f t="shared" si="65"/>
        <v>0.96809206717629603</v>
      </c>
      <c r="AS315" s="237">
        <f t="shared" si="65"/>
        <v>3.1907932823703966E-2</v>
      </c>
      <c r="AU315" s="251">
        <f t="shared" si="68"/>
        <v>7760.4543093691054</v>
      </c>
      <c r="AV315" s="251">
        <f t="shared" si="68"/>
        <v>2355.1123469160166</v>
      </c>
      <c r="AW315" s="251">
        <f t="shared" si="68"/>
        <v>0</v>
      </c>
      <c r="AX315" s="251">
        <f t="shared" si="68"/>
        <v>108586.30833656774</v>
      </c>
      <c r="AY315" s="251">
        <f t="shared" si="68"/>
        <v>3555.260173629239</v>
      </c>
      <c r="AZ315" s="251">
        <f t="shared" si="62"/>
        <v>122257.13516648211</v>
      </c>
      <c r="BA315" s="270">
        <f t="shared" si="75"/>
        <v>7.6517407044838297</v>
      </c>
      <c r="BB315" s="251">
        <f t="shared" si="66"/>
        <v>10115.566656285122</v>
      </c>
      <c r="BC315" s="251">
        <f t="shared" si="67"/>
        <v>112141.56851019699</v>
      </c>
    </row>
    <row r="316" spans="1:55">
      <c r="A316" s="11">
        <v>53267</v>
      </c>
      <c r="B316" s="251">
        <v>100</v>
      </c>
      <c r="C316" s="251">
        <v>295</v>
      </c>
      <c r="D316" s="251">
        <v>5</v>
      </c>
      <c r="E316" s="251">
        <v>220</v>
      </c>
      <c r="F316" s="251">
        <v>44</v>
      </c>
      <c r="G316" s="287">
        <v>0.33</v>
      </c>
      <c r="H316" s="287"/>
      <c r="N316" s="251">
        <f t="shared" si="69"/>
        <v>664.33</v>
      </c>
      <c r="O316" s="251">
        <f>'BBD Monthly Production'!AK31*12</f>
        <v>544.28959151929234</v>
      </c>
      <c r="P316" s="271">
        <f t="shared" si="70"/>
        <v>0.81930605500171949</v>
      </c>
      <c r="Y316" s="251">
        <f>SUM('RD Feedstock'!G303,'RD Feedstock'!I303)</f>
        <v>21.543749999999999</v>
      </c>
      <c r="Z316" s="251">
        <f>SUM('RD Feedstock'!G303,'RD Feedstock'!J303)</f>
        <v>7.65625</v>
      </c>
      <c r="AA316" s="251">
        <v>0</v>
      </c>
      <c r="AB316" s="251">
        <f>SUM('RD Feedstock'!B314,'RD Feedstock'!D314,'RD Feedstock'!H314)</f>
        <v>374.51145833333328</v>
      </c>
      <c r="AC316" s="251">
        <f>SUM('RD Feedstock'!C314,'RD Feedstock'!E314)</f>
        <v>12.34375</v>
      </c>
      <c r="AD316" s="251">
        <f t="shared" si="63"/>
        <v>416.05520833333327</v>
      </c>
      <c r="AH316" s="237">
        <f t="shared" si="76"/>
        <v>5.1780988600771641E-2</v>
      </c>
      <c r="AI316" s="237">
        <f t="shared" si="76"/>
        <v>1.8402004942252758E-2</v>
      </c>
      <c r="AJ316" s="237">
        <f t="shared" si="76"/>
        <v>0</v>
      </c>
      <c r="AK316" s="237">
        <f t="shared" si="76"/>
        <v>0.90014846787660896</v>
      </c>
      <c r="AL316" s="237">
        <f t="shared" si="76"/>
        <v>2.9668538580366693E-2</v>
      </c>
      <c r="AM316" s="237">
        <f t="shared" si="71"/>
        <v>1</v>
      </c>
      <c r="AO316" s="237">
        <f t="shared" si="72"/>
        <v>0.73779965753424659</v>
      </c>
      <c r="AP316" s="237">
        <f t="shared" si="73"/>
        <v>0.26220034246575341</v>
      </c>
      <c r="AQ316" s="237">
        <f t="shared" si="74"/>
        <v>0</v>
      </c>
      <c r="AR316" s="237">
        <f t="shared" si="65"/>
        <v>0.96809206717629603</v>
      </c>
      <c r="AS316" s="237">
        <f t="shared" si="65"/>
        <v>3.1907932823703966E-2</v>
      </c>
      <c r="AU316" s="251">
        <f t="shared" si="68"/>
        <v>9992.814429439768</v>
      </c>
      <c r="AV316" s="251">
        <f t="shared" si="68"/>
        <v>3032.580272369049</v>
      </c>
      <c r="AW316" s="251">
        <f t="shared" si="68"/>
        <v>0</v>
      </c>
      <c r="AX316" s="251">
        <f t="shared" si="68"/>
        <v>139822.07555493779</v>
      </c>
      <c r="AY316" s="251">
        <f t="shared" si="68"/>
        <v>4577.9607413657977</v>
      </c>
      <c r="AZ316" s="251">
        <f t="shared" si="62"/>
        <v>157425.4309981124</v>
      </c>
      <c r="BA316" s="270">
        <f t="shared" si="75"/>
        <v>7.6517407044838306</v>
      </c>
      <c r="BB316" s="251">
        <f t="shared" si="66"/>
        <v>13025.394701808817</v>
      </c>
      <c r="BC316" s="251">
        <f t="shared" si="67"/>
        <v>144400.03629630359</v>
      </c>
    </row>
    <row r="317" spans="1:55">
      <c r="A317" s="11">
        <v>53297</v>
      </c>
      <c r="B317" s="251">
        <v>100</v>
      </c>
      <c r="C317" s="251">
        <v>295</v>
      </c>
      <c r="D317" s="251">
        <v>5</v>
      </c>
      <c r="E317" s="251">
        <v>220</v>
      </c>
      <c r="F317" s="251">
        <v>44</v>
      </c>
      <c r="G317" s="287">
        <v>0.33</v>
      </c>
      <c r="H317" s="287"/>
      <c r="N317" s="251">
        <f t="shared" si="69"/>
        <v>664.33</v>
      </c>
      <c r="O317" s="251">
        <f>'BBD Monthly Production'!AK32*12</f>
        <v>748.67457640607245</v>
      </c>
      <c r="P317" s="271">
        <f t="shared" si="70"/>
        <v>1.1269618659492608</v>
      </c>
      <c r="Y317" s="251">
        <f>SUM('RD Feedstock'!G304,'RD Feedstock'!I304)</f>
        <v>21.543749999999999</v>
      </c>
      <c r="Z317" s="251">
        <f>SUM('RD Feedstock'!G304,'RD Feedstock'!J304)</f>
        <v>7.65625</v>
      </c>
      <c r="AA317" s="251">
        <v>0</v>
      </c>
      <c r="AB317" s="251">
        <f>SUM('RD Feedstock'!B315,'RD Feedstock'!D315,'RD Feedstock'!H315)</f>
        <v>374.51145833333328</v>
      </c>
      <c r="AC317" s="251">
        <f>SUM('RD Feedstock'!C315,'RD Feedstock'!E315)</f>
        <v>12.34375</v>
      </c>
      <c r="AD317" s="251">
        <f t="shared" si="63"/>
        <v>416.05520833333327</v>
      </c>
      <c r="AH317" s="237">
        <f t="shared" si="76"/>
        <v>5.1780988600771641E-2</v>
      </c>
      <c r="AI317" s="237">
        <f t="shared" si="76"/>
        <v>1.8402004942252758E-2</v>
      </c>
      <c r="AJ317" s="237">
        <f t="shared" si="76"/>
        <v>0</v>
      </c>
      <c r="AK317" s="237">
        <f t="shared" si="76"/>
        <v>0.90014846787660896</v>
      </c>
      <c r="AL317" s="237">
        <f t="shared" si="76"/>
        <v>2.9668538580366693E-2</v>
      </c>
      <c r="AM317" s="237">
        <f t="shared" si="71"/>
        <v>1</v>
      </c>
      <c r="AO317" s="237">
        <f t="shared" si="72"/>
        <v>0.73779965753424659</v>
      </c>
      <c r="AP317" s="237">
        <f t="shared" si="73"/>
        <v>0.26220034246575341</v>
      </c>
      <c r="AQ317" s="237">
        <f t="shared" si="74"/>
        <v>0</v>
      </c>
      <c r="AR317" s="237">
        <f t="shared" si="65"/>
        <v>0.96809206717629603</v>
      </c>
      <c r="AS317" s="237">
        <f t="shared" si="65"/>
        <v>3.1907932823703966E-2</v>
      </c>
      <c r="AU317" s="251">
        <f t="shared" si="68"/>
        <v>13745.194151485312</v>
      </c>
      <c r="AV317" s="251">
        <f t="shared" si="68"/>
        <v>4171.3378065816541</v>
      </c>
      <c r="AW317" s="251">
        <f t="shared" si="68"/>
        <v>0</v>
      </c>
      <c r="AX317" s="251">
        <f t="shared" si="68"/>
        <v>192326.35497605411</v>
      </c>
      <c r="AY317" s="251">
        <f t="shared" si="68"/>
        <v>6297.020689443375</v>
      </c>
      <c r="AZ317" s="251">
        <f t="shared" si="62"/>
        <v>216539.90762356445</v>
      </c>
      <c r="BA317" s="270">
        <f t="shared" si="75"/>
        <v>7.6517407044838306</v>
      </c>
      <c r="BB317" s="251">
        <f t="shared" si="66"/>
        <v>17916.531958066967</v>
      </c>
      <c r="BC317" s="251">
        <f t="shared" si="67"/>
        <v>198623.37566549747</v>
      </c>
    </row>
    <row r="318" spans="1:55">
      <c r="A318" s="11">
        <v>53328</v>
      </c>
      <c r="B318" s="251">
        <v>100</v>
      </c>
      <c r="C318" s="251">
        <v>295</v>
      </c>
      <c r="D318" s="251">
        <v>5</v>
      </c>
      <c r="E318" s="251">
        <v>220</v>
      </c>
      <c r="F318" s="251">
        <v>44</v>
      </c>
      <c r="G318" s="287">
        <v>0.33</v>
      </c>
      <c r="H318" s="287"/>
      <c r="N318" s="251">
        <f t="shared" si="69"/>
        <v>664.33</v>
      </c>
      <c r="O318" s="251">
        <f>'BBD Monthly Production'!AL21*12</f>
        <v>234.88021116718863</v>
      </c>
      <c r="P318" s="271">
        <f t="shared" si="70"/>
        <v>0.35355954294881853</v>
      </c>
      <c r="Y318" s="251">
        <f>SUM('RD Feedstock'!G305,'RD Feedstock'!I305)</f>
        <v>21.543749999999999</v>
      </c>
      <c r="Z318" s="251">
        <f>SUM('RD Feedstock'!G305,'RD Feedstock'!J305)</f>
        <v>7.65625</v>
      </c>
      <c r="AA318" s="251">
        <v>0</v>
      </c>
      <c r="AB318" s="251">
        <f>SUM('RD Feedstock'!B316,'RD Feedstock'!D316,'RD Feedstock'!H316)</f>
        <v>374.51145833333328</v>
      </c>
      <c r="AC318" s="251">
        <f>SUM('RD Feedstock'!C316,'RD Feedstock'!E316)</f>
        <v>12.34375</v>
      </c>
      <c r="AD318" s="251">
        <f t="shared" si="63"/>
        <v>416.05520833333327</v>
      </c>
      <c r="AH318" s="237">
        <f t="shared" si="76"/>
        <v>5.1780988600771641E-2</v>
      </c>
      <c r="AI318" s="237">
        <f t="shared" si="76"/>
        <v>1.8402004942252758E-2</v>
      </c>
      <c r="AJ318" s="237">
        <f t="shared" si="76"/>
        <v>0</v>
      </c>
      <c r="AK318" s="237">
        <f t="shared" si="76"/>
        <v>0.90014846787660896</v>
      </c>
      <c r="AL318" s="237">
        <f t="shared" si="76"/>
        <v>2.9668538580366693E-2</v>
      </c>
      <c r="AM318" s="237">
        <f t="shared" si="71"/>
        <v>1</v>
      </c>
      <c r="AO318" s="237">
        <f t="shared" si="72"/>
        <v>0.73779965753424659</v>
      </c>
      <c r="AP318" s="237">
        <f t="shared" si="73"/>
        <v>0.26220034246575341</v>
      </c>
      <c r="AQ318" s="237">
        <f t="shared" si="74"/>
        <v>0</v>
      </c>
      <c r="AR318" s="237">
        <f t="shared" si="65"/>
        <v>0.96809206717629603</v>
      </c>
      <c r="AS318" s="237">
        <f t="shared" si="65"/>
        <v>3.1907932823703966E-2</v>
      </c>
      <c r="AU318" s="251">
        <f t="shared" si="68"/>
        <v>4312.2528887421295</v>
      </c>
      <c r="AV318" s="251">
        <f t="shared" si="68"/>
        <v>1308.6656549269055</v>
      </c>
      <c r="AW318" s="251">
        <f t="shared" si="68"/>
        <v>0</v>
      </c>
      <c r="AX318" s="251">
        <f t="shared" si="68"/>
        <v>60338.171340934648</v>
      </c>
      <c r="AY318" s="251">
        <f t="shared" si="68"/>
        <v>1975.5519899722074</v>
      </c>
      <c r="AZ318" s="251">
        <f t="shared" si="62"/>
        <v>67934.6418745759</v>
      </c>
      <c r="BA318" s="270">
        <f t="shared" si="75"/>
        <v>7.6517407044838324</v>
      </c>
      <c r="BB318" s="251">
        <f t="shared" si="66"/>
        <v>5620.918543669035</v>
      </c>
      <c r="BC318" s="251">
        <f t="shared" si="67"/>
        <v>62313.723330906854</v>
      </c>
    </row>
    <row r="319" spans="1:55">
      <c r="A319" s="11">
        <v>53359</v>
      </c>
      <c r="B319" s="251">
        <v>100</v>
      </c>
      <c r="C319" s="251">
        <v>295</v>
      </c>
      <c r="D319" s="251">
        <v>5</v>
      </c>
      <c r="E319" s="251">
        <v>220</v>
      </c>
      <c r="F319" s="251">
        <v>44</v>
      </c>
      <c r="G319" s="287">
        <v>0.33</v>
      </c>
      <c r="H319" s="287"/>
      <c r="N319" s="251">
        <f t="shared" si="69"/>
        <v>664.33</v>
      </c>
      <c r="O319" s="251">
        <f>'BBD Monthly Production'!AL22*12</f>
        <v>275.73686952307816</v>
      </c>
      <c r="P319" s="271">
        <f t="shared" si="70"/>
        <v>0.41506008989971571</v>
      </c>
      <c r="Y319" s="251">
        <f>SUM('RD Feedstock'!G306,'RD Feedstock'!I306)</f>
        <v>21.543749999999999</v>
      </c>
      <c r="Z319" s="251">
        <f>SUM('RD Feedstock'!G306,'RD Feedstock'!J306)</f>
        <v>7.65625</v>
      </c>
      <c r="AA319" s="251">
        <v>0</v>
      </c>
      <c r="AB319" s="251">
        <f>SUM('RD Feedstock'!B317,'RD Feedstock'!D317,'RD Feedstock'!H317)</f>
        <v>374.51145833333328</v>
      </c>
      <c r="AC319" s="251">
        <f>SUM('RD Feedstock'!C317,'RD Feedstock'!E317)</f>
        <v>12.34375</v>
      </c>
      <c r="AD319" s="251">
        <f t="shared" si="63"/>
        <v>416.05520833333327</v>
      </c>
      <c r="AH319" s="237">
        <f t="shared" si="76"/>
        <v>5.1780988600771641E-2</v>
      </c>
      <c r="AI319" s="237">
        <f t="shared" si="76"/>
        <v>1.8402004942252758E-2</v>
      </c>
      <c r="AJ319" s="237">
        <f t="shared" si="76"/>
        <v>0</v>
      </c>
      <c r="AK319" s="237">
        <f t="shared" si="76"/>
        <v>0.90014846787660896</v>
      </c>
      <c r="AL319" s="237">
        <f t="shared" si="76"/>
        <v>2.9668538580366693E-2</v>
      </c>
      <c r="AM319" s="237">
        <f t="shared" si="71"/>
        <v>1</v>
      </c>
      <c r="AO319" s="237">
        <f t="shared" si="72"/>
        <v>0.73779965753424659</v>
      </c>
      <c r="AP319" s="237">
        <f t="shared" si="73"/>
        <v>0.26220034246575341</v>
      </c>
      <c r="AQ319" s="237">
        <f t="shared" si="74"/>
        <v>0</v>
      </c>
      <c r="AR319" s="237">
        <f t="shared" si="65"/>
        <v>0.96809206717629603</v>
      </c>
      <c r="AS319" s="237">
        <f t="shared" si="65"/>
        <v>3.1907932823703966E-2</v>
      </c>
      <c r="AU319" s="251">
        <f t="shared" si="68"/>
        <v>5062.3554288583182</v>
      </c>
      <c r="AV319" s="251">
        <f t="shared" si="68"/>
        <v>1536.3038424938288</v>
      </c>
      <c r="AW319" s="251">
        <f t="shared" si="68"/>
        <v>0</v>
      </c>
      <c r="AX319" s="251">
        <f t="shared" si="68"/>
        <v>70833.802454536402</v>
      </c>
      <c r="AY319" s="251">
        <f t="shared" si="68"/>
        <v>2319.1929136477202</v>
      </c>
      <c r="AZ319" s="251">
        <f t="shared" si="62"/>
        <v>79751.654639536282</v>
      </c>
      <c r="BA319" s="270">
        <f t="shared" si="75"/>
        <v>7.6517407044838341</v>
      </c>
      <c r="BB319" s="251">
        <f t="shared" si="66"/>
        <v>6598.6592713521468</v>
      </c>
      <c r="BC319" s="251">
        <f t="shared" si="67"/>
        <v>73152.995368184129</v>
      </c>
    </row>
    <row r="320" spans="1:55">
      <c r="A320" s="11">
        <v>53387</v>
      </c>
      <c r="B320" s="251">
        <v>100</v>
      </c>
      <c r="C320" s="251">
        <v>295</v>
      </c>
      <c r="D320" s="251">
        <v>5</v>
      </c>
      <c r="E320" s="251">
        <v>220</v>
      </c>
      <c r="F320" s="251">
        <v>44</v>
      </c>
      <c r="G320" s="287">
        <v>0.33</v>
      </c>
      <c r="H320" s="287"/>
      <c r="N320" s="251">
        <f t="shared" si="69"/>
        <v>664.33</v>
      </c>
      <c r="O320" s="251">
        <f>'BBD Monthly Production'!AL23*12</f>
        <v>538.73445168208104</v>
      </c>
      <c r="P320" s="271">
        <f t="shared" si="70"/>
        <v>0.81094403637060042</v>
      </c>
      <c r="Y320" s="251">
        <f>SUM('RD Feedstock'!G307,'RD Feedstock'!I307)</f>
        <v>21.543749999999999</v>
      </c>
      <c r="Z320" s="251">
        <f>SUM('RD Feedstock'!G307,'RD Feedstock'!J307)</f>
        <v>7.65625</v>
      </c>
      <c r="AA320" s="251">
        <v>0</v>
      </c>
      <c r="AB320" s="251">
        <f>SUM('RD Feedstock'!B318,'RD Feedstock'!D318,'RD Feedstock'!H318)</f>
        <v>374.51145833333328</v>
      </c>
      <c r="AC320" s="251">
        <f>SUM('RD Feedstock'!C318,'RD Feedstock'!E318)</f>
        <v>12.34375</v>
      </c>
      <c r="AD320" s="251">
        <f t="shared" si="63"/>
        <v>416.05520833333327</v>
      </c>
      <c r="AH320" s="237">
        <f t="shared" si="76"/>
        <v>5.1780988600771641E-2</v>
      </c>
      <c r="AI320" s="237">
        <f t="shared" si="76"/>
        <v>1.8402004942252758E-2</v>
      </c>
      <c r="AJ320" s="237">
        <f t="shared" si="76"/>
        <v>0</v>
      </c>
      <c r="AK320" s="237">
        <f t="shared" si="76"/>
        <v>0.90014846787660896</v>
      </c>
      <c r="AL320" s="237">
        <f t="shared" si="76"/>
        <v>2.9668538580366693E-2</v>
      </c>
      <c r="AM320" s="237">
        <f t="shared" si="71"/>
        <v>1</v>
      </c>
      <c r="AO320" s="237">
        <f t="shared" si="72"/>
        <v>0.73779965753424659</v>
      </c>
      <c r="AP320" s="237">
        <f t="shared" si="73"/>
        <v>0.26220034246575341</v>
      </c>
      <c r="AQ320" s="237">
        <f t="shared" si="74"/>
        <v>0</v>
      </c>
      <c r="AR320" s="237">
        <f t="shared" si="65"/>
        <v>0.96809206717629603</v>
      </c>
      <c r="AS320" s="237">
        <f t="shared" si="65"/>
        <v>3.1907932823703966E-2</v>
      </c>
      <c r="AU320" s="251">
        <f t="shared" si="68"/>
        <v>9890.8255573617789</v>
      </c>
      <c r="AV320" s="251">
        <f t="shared" si="68"/>
        <v>3001.6290880306633</v>
      </c>
      <c r="AW320" s="251">
        <f t="shared" si="68"/>
        <v>0</v>
      </c>
      <c r="AX320" s="251">
        <f t="shared" si="68"/>
        <v>138395.02055675437</v>
      </c>
      <c r="AY320" s="251">
        <f t="shared" si="68"/>
        <v>4531.2370624937403</v>
      </c>
      <c r="AZ320" s="251">
        <f t="shared" si="62"/>
        <v>155818.71226464055</v>
      </c>
      <c r="BA320" s="270">
        <f t="shared" si="75"/>
        <v>7.6517407044838288</v>
      </c>
      <c r="BB320" s="251">
        <f t="shared" si="66"/>
        <v>12892.454645392441</v>
      </c>
      <c r="BC320" s="251">
        <f t="shared" si="67"/>
        <v>142926.25761924812</v>
      </c>
    </row>
    <row r="321" spans="1:55">
      <c r="A321" s="11">
        <v>53418</v>
      </c>
      <c r="B321" s="251">
        <v>100</v>
      </c>
      <c r="C321" s="251">
        <v>295</v>
      </c>
      <c r="D321" s="251">
        <v>5</v>
      </c>
      <c r="E321" s="251">
        <v>220</v>
      </c>
      <c r="F321" s="251">
        <v>44</v>
      </c>
      <c r="G321" s="287">
        <v>0.33</v>
      </c>
      <c r="H321" s="287"/>
      <c r="N321" s="251">
        <f t="shared" si="69"/>
        <v>664.33</v>
      </c>
      <c r="O321" s="251">
        <f>'BBD Monthly Production'!AL24*12</f>
        <v>466.34404136988974</v>
      </c>
      <c r="P321" s="271">
        <f t="shared" si="70"/>
        <v>0.70197648965106152</v>
      </c>
      <c r="Y321" s="251">
        <f>SUM('RD Feedstock'!G308,'RD Feedstock'!I308)</f>
        <v>21.543749999999999</v>
      </c>
      <c r="Z321" s="251">
        <f>SUM('RD Feedstock'!G308,'RD Feedstock'!J308)</f>
        <v>7.65625</v>
      </c>
      <c r="AA321" s="251">
        <v>0</v>
      </c>
      <c r="AB321" s="251">
        <f>SUM('RD Feedstock'!B319,'RD Feedstock'!D319,'RD Feedstock'!H319)</f>
        <v>374.51145833333328</v>
      </c>
      <c r="AC321" s="251">
        <f>SUM('RD Feedstock'!C319,'RD Feedstock'!E319)</f>
        <v>12.34375</v>
      </c>
      <c r="AD321" s="251">
        <f t="shared" si="63"/>
        <v>416.05520833333327</v>
      </c>
      <c r="AH321" s="237">
        <f t="shared" si="76"/>
        <v>5.1780988600771641E-2</v>
      </c>
      <c r="AI321" s="237">
        <f t="shared" si="76"/>
        <v>1.8402004942252758E-2</v>
      </c>
      <c r="AJ321" s="237">
        <f t="shared" si="76"/>
        <v>0</v>
      </c>
      <c r="AK321" s="237">
        <f t="shared" si="76"/>
        <v>0.90014846787660896</v>
      </c>
      <c r="AL321" s="237">
        <f t="shared" si="76"/>
        <v>2.9668538580366693E-2</v>
      </c>
      <c r="AM321" s="237">
        <f t="shared" si="71"/>
        <v>1</v>
      </c>
      <c r="AO321" s="237">
        <f t="shared" si="72"/>
        <v>0.73779965753424659</v>
      </c>
      <c r="AP321" s="237">
        <f t="shared" si="73"/>
        <v>0.26220034246575341</v>
      </c>
      <c r="AQ321" s="237">
        <f t="shared" si="74"/>
        <v>0</v>
      </c>
      <c r="AR321" s="237">
        <f t="shared" si="65"/>
        <v>0.96809206717629603</v>
      </c>
      <c r="AS321" s="237">
        <f t="shared" si="65"/>
        <v>3.1907932823703966E-2</v>
      </c>
      <c r="AU321" s="251">
        <f t="shared" si="68"/>
        <v>8561.7831725872948</v>
      </c>
      <c r="AV321" s="251">
        <f t="shared" si="68"/>
        <v>2598.2964988318286</v>
      </c>
      <c r="AW321" s="251">
        <f t="shared" si="68"/>
        <v>0</v>
      </c>
      <c r="AX321" s="251">
        <f t="shared" si="68"/>
        <v>119798.71157375339</v>
      </c>
      <c r="AY321" s="251">
        <f t="shared" si="68"/>
        <v>3922.3691700625709</v>
      </c>
      <c r="AZ321" s="251">
        <f t="shared" ref="AZ321:AZ384" si="77">SUM(AU321:AY321)</f>
        <v>134881.16041523509</v>
      </c>
      <c r="BA321" s="270">
        <f t="shared" si="75"/>
        <v>7.6517407044838306</v>
      </c>
      <c r="BB321" s="251">
        <f t="shared" si="66"/>
        <v>11160.079671419124</v>
      </c>
      <c r="BC321" s="251">
        <f t="shared" si="67"/>
        <v>123721.08074381595</v>
      </c>
    </row>
    <row r="322" spans="1:55">
      <c r="A322" s="11">
        <v>53448</v>
      </c>
      <c r="B322" s="251">
        <v>100</v>
      </c>
      <c r="C322" s="251">
        <v>295</v>
      </c>
      <c r="D322" s="251">
        <v>5</v>
      </c>
      <c r="E322" s="251">
        <v>220</v>
      </c>
      <c r="F322" s="251">
        <v>44</v>
      </c>
      <c r="G322" s="287">
        <v>0.33</v>
      </c>
      <c r="H322" s="287"/>
      <c r="N322" s="251">
        <f t="shared" si="69"/>
        <v>664.33</v>
      </c>
      <c r="O322" s="251">
        <f>'BBD Monthly Production'!AL25*12</f>
        <v>502.12737241373986</v>
      </c>
      <c r="P322" s="271">
        <f t="shared" si="70"/>
        <v>0.75584027879779603</v>
      </c>
      <c r="Y322" s="251">
        <f>SUM('RD Feedstock'!G309,'RD Feedstock'!I309)</f>
        <v>21.543749999999999</v>
      </c>
      <c r="Z322" s="251">
        <f>SUM('RD Feedstock'!G309,'RD Feedstock'!J309)</f>
        <v>7.65625</v>
      </c>
      <c r="AA322" s="251">
        <v>0</v>
      </c>
      <c r="AB322" s="251">
        <f>SUM('RD Feedstock'!B320,'RD Feedstock'!D320,'RD Feedstock'!H320)</f>
        <v>374.51145833333328</v>
      </c>
      <c r="AC322" s="251">
        <f>SUM('RD Feedstock'!C320,'RD Feedstock'!E320)</f>
        <v>12.34375</v>
      </c>
      <c r="AD322" s="251">
        <f t="shared" si="63"/>
        <v>416.05520833333327</v>
      </c>
      <c r="AH322" s="237">
        <f t="shared" si="76"/>
        <v>5.1780988600771641E-2</v>
      </c>
      <c r="AI322" s="237">
        <f t="shared" si="76"/>
        <v>1.8402004942252758E-2</v>
      </c>
      <c r="AJ322" s="237">
        <f t="shared" si="76"/>
        <v>0</v>
      </c>
      <c r="AK322" s="237">
        <f t="shared" si="76"/>
        <v>0.90014846787660896</v>
      </c>
      <c r="AL322" s="237">
        <f t="shared" si="76"/>
        <v>2.9668538580366693E-2</v>
      </c>
      <c r="AM322" s="237">
        <f t="shared" si="71"/>
        <v>1</v>
      </c>
      <c r="AO322" s="237">
        <f t="shared" si="72"/>
        <v>0.73779965753424659</v>
      </c>
      <c r="AP322" s="237">
        <f t="shared" si="73"/>
        <v>0.26220034246575341</v>
      </c>
      <c r="AQ322" s="237">
        <f t="shared" si="74"/>
        <v>0</v>
      </c>
      <c r="AR322" s="237">
        <f t="shared" si="65"/>
        <v>0.96809206717629603</v>
      </c>
      <c r="AS322" s="237">
        <f t="shared" si="65"/>
        <v>3.1907932823703966E-2</v>
      </c>
      <c r="AU322" s="251">
        <f t="shared" si="68"/>
        <v>9218.7426154278091</v>
      </c>
      <c r="AV322" s="251">
        <f t="shared" si="68"/>
        <v>2797.6679832291829</v>
      </c>
      <c r="AW322" s="251">
        <f t="shared" si="68"/>
        <v>0</v>
      </c>
      <c r="AX322" s="251">
        <f t="shared" si="68"/>
        <v>128991.06008597591</v>
      </c>
      <c r="AY322" s="251">
        <f t="shared" si="68"/>
        <v>4223.3388877762263</v>
      </c>
      <c r="AZ322" s="251">
        <f t="shared" si="77"/>
        <v>145230.80957240911</v>
      </c>
      <c r="BA322" s="270">
        <f t="shared" si="75"/>
        <v>7.6517407044838297</v>
      </c>
      <c r="BB322" s="251">
        <f t="shared" si="66"/>
        <v>12016.410598656992</v>
      </c>
      <c r="BC322" s="251">
        <f t="shared" si="67"/>
        <v>133214.39897375213</v>
      </c>
    </row>
    <row r="323" spans="1:55">
      <c r="A323" s="11">
        <v>53479</v>
      </c>
      <c r="B323" s="251">
        <v>100</v>
      </c>
      <c r="C323" s="251">
        <v>295</v>
      </c>
      <c r="D323" s="251">
        <v>5</v>
      </c>
      <c r="E323" s="251">
        <v>220</v>
      </c>
      <c r="F323" s="251">
        <v>44</v>
      </c>
      <c r="G323" s="287">
        <v>0.33</v>
      </c>
      <c r="H323" s="287"/>
      <c r="N323" s="251">
        <f t="shared" si="69"/>
        <v>664.33</v>
      </c>
      <c r="O323" s="251">
        <f>'BBD Monthly Production'!AL26*12</f>
        <v>626.18219862826516</v>
      </c>
      <c r="P323" s="271">
        <f t="shared" si="70"/>
        <v>0.94257703043406904</v>
      </c>
      <c r="Y323" s="251">
        <f>SUM('RD Feedstock'!G310,'RD Feedstock'!I310)</f>
        <v>21.543749999999999</v>
      </c>
      <c r="Z323" s="251">
        <f>SUM('RD Feedstock'!G310,'RD Feedstock'!J310)</f>
        <v>7.65625</v>
      </c>
      <c r="AA323" s="251">
        <v>0</v>
      </c>
      <c r="AB323" s="251">
        <f>SUM('RD Feedstock'!B321,'RD Feedstock'!D321,'RD Feedstock'!H321)</f>
        <v>374.51145833333328</v>
      </c>
      <c r="AC323" s="251">
        <f>SUM('RD Feedstock'!C321,'RD Feedstock'!E321)</f>
        <v>12.34375</v>
      </c>
      <c r="AD323" s="251">
        <f t="shared" si="63"/>
        <v>416.05520833333327</v>
      </c>
      <c r="AH323" s="237">
        <f t="shared" si="76"/>
        <v>5.1780988600771641E-2</v>
      </c>
      <c r="AI323" s="237">
        <f t="shared" si="76"/>
        <v>1.8402004942252758E-2</v>
      </c>
      <c r="AJ323" s="237">
        <f t="shared" si="76"/>
        <v>0</v>
      </c>
      <c r="AK323" s="237">
        <f t="shared" si="76"/>
        <v>0.90014846787660896</v>
      </c>
      <c r="AL323" s="237">
        <f t="shared" si="76"/>
        <v>2.9668538580366693E-2</v>
      </c>
      <c r="AM323" s="237">
        <f t="shared" si="71"/>
        <v>1</v>
      </c>
      <c r="AO323" s="237">
        <f t="shared" si="72"/>
        <v>0.73779965753424659</v>
      </c>
      <c r="AP323" s="237">
        <f t="shared" si="73"/>
        <v>0.26220034246575341</v>
      </c>
      <c r="AQ323" s="237">
        <f t="shared" si="74"/>
        <v>0</v>
      </c>
      <c r="AR323" s="237">
        <f t="shared" si="65"/>
        <v>0.96809206717629603</v>
      </c>
      <c r="AS323" s="237">
        <f t="shared" si="65"/>
        <v>3.1907932823703966E-2</v>
      </c>
      <c r="AU323" s="251">
        <f t="shared" si="68"/>
        <v>11496.311168553837</v>
      </c>
      <c r="AV323" s="251">
        <f t="shared" si="68"/>
        <v>3488.8555872769175</v>
      </c>
      <c r="AW323" s="251">
        <f t="shared" si="68"/>
        <v>0</v>
      </c>
      <c r="AX323" s="251">
        <f t="shared" si="68"/>
        <v>160859.39553495028</v>
      </c>
      <c r="AY323" s="251">
        <f t="shared" si="68"/>
        <v>5266.7505808086162</v>
      </c>
      <c r="AZ323" s="251">
        <f t="shared" si="77"/>
        <v>181111.31287158965</v>
      </c>
      <c r="BA323" s="270">
        <f t="shared" si="75"/>
        <v>7.6517407044838315</v>
      </c>
      <c r="BB323" s="251">
        <f t="shared" si="66"/>
        <v>14985.166755830754</v>
      </c>
      <c r="BC323" s="251">
        <f t="shared" si="67"/>
        <v>166126.14611575889</v>
      </c>
    </row>
    <row r="324" spans="1:55">
      <c r="A324" s="11">
        <v>53509</v>
      </c>
      <c r="B324" s="251">
        <v>100</v>
      </c>
      <c r="C324" s="251">
        <v>295</v>
      </c>
      <c r="D324" s="251">
        <v>5</v>
      </c>
      <c r="E324" s="251">
        <v>220</v>
      </c>
      <c r="F324" s="251">
        <v>44</v>
      </c>
      <c r="G324" s="287">
        <v>0.33</v>
      </c>
      <c r="H324" s="287"/>
      <c r="N324" s="251">
        <f t="shared" si="69"/>
        <v>664.33</v>
      </c>
      <c r="O324" s="251">
        <f>'BBD Monthly Production'!AL27*12</f>
        <v>551.01383756426867</v>
      </c>
      <c r="P324" s="271">
        <f t="shared" si="70"/>
        <v>0.82942790113989828</v>
      </c>
      <c r="Y324" s="251">
        <f>SUM('RD Feedstock'!G311,'RD Feedstock'!I311)</f>
        <v>21.543749999999999</v>
      </c>
      <c r="Z324" s="251">
        <f>SUM('RD Feedstock'!G311,'RD Feedstock'!J311)</f>
        <v>7.65625</v>
      </c>
      <c r="AA324" s="251">
        <v>0</v>
      </c>
      <c r="AB324" s="251">
        <f>SUM('RD Feedstock'!B322,'RD Feedstock'!D322,'RD Feedstock'!H322)</f>
        <v>374.51145833333328</v>
      </c>
      <c r="AC324" s="251">
        <f>SUM('RD Feedstock'!C322,'RD Feedstock'!E322)</f>
        <v>12.34375</v>
      </c>
      <c r="AD324" s="251">
        <f t="shared" si="63"/>
        <v>416.05520833333327</v>
      </c>
      <c r="AH324" s="237">
        <f t="shared" si="76"/>
        <v>5.1780988600771641E-2</v>
      </c>
      <c r="AI324" s="237">
        <f t="shared" si="76"/>
        <v>1.8402004942252758E-2</v>
      </c>
      <c r="AJ324" s="237">
        <f t="shared" si="76"/>
        <v>0</v>
      </c>
      <c r="AK324" s="237">
        <f t="shared" si="76"/>
        <v>0.90014846787660896</v>
      </c>
      <c r="AL324" s="237">
        <f t="shared" si="76"/>
        <v>2.9668538580366693E-2</v>
      </c>
      <c r="AM324" s="237">
        <f t="shared" si="71"/>
        <v>1</v>
      </c>
      <c r="AO324" s="237">
        <f t="shared" si="72"/>
        <v>0.73779965753424659</v>
      </c>
      <c r="AP324" s="237">
        <f t="shared" si="73"/>
        <v>0.26220034246575341</v>
      </c>
      <c r="AQ324" s="237">
        <f t="shared" si="74"/>
        <v>0</v>
      </c>
      <c r="AR324" s="237">
        <f t="shared" si="65"/>
        <v>0.96809206717629603</v>
      </c>
      <c r="AS324" s="237">
        <f t="shared" si="65"/>
        <v>3.1907932823703966E-2</v>
      </c>
      <c r="AU324" s="251">
        <f t="shared" si="68"/>
        <v>10116.267355882437</v>
      </c>
      <c r="AV324" s="251">
        <f t="shared" si="68"/>
        <v>3070.0452840471717</v>
      </c>
      <c r="AW324" s="251">
        <f t="shared" si="68"/>
        <v>0</v>
      </c>
      <c r="AX324" s="251">
        <f t="shared" si="68"/>
        <v>141549.46122095111</v>
      </c>
      <c r="AY324" s="251">
        <f t="shared" si="68"/>
        <v>4634.5176457946682</v>
      </c>
      <c r="AZ324" s="251">
        <f t="shared" si="77"/>
        <v>159370.29150667539</v>
      </c>
      <c r="BA324" s="270">
        <f t="shared" si="75"/>
        <v>7.6517407044838297</v>
      </c>
      <c r="BB324" s="251">
        <f t="shared" si="66"/>
        <v>13186.312639929609</v>
      </c>
      <c r="BC324" s="251">
        <f t="shared" si="67"/>
        <v>146183.97886674578</v>
      </c>
    </row>
    <row r="325" spans="1:55">
      <c r="A325" s="11">
        <v>53540</v>
      </c>
      <c r="B325" s="251">
        <v>100</v>
      </c>
      <c r="C325" s="251">
        <v>295</v>
      </c>
      <c r="D325" s="251">
        <v>5</v>
      </c>
      <c r="E325" s="251">
        <v>220</v>
      </c>
      <c r="F325" s="251">
        <v>44</v>
      </c>
      <c r="G325" s="287">
        <v>0.33</v>
      </c>
      <c r="H325" s="287"/>
      <c r="N325" s="251">
        <f t="shared" si="69"/>
        <v>664.33</v>
      </c>
      <c r="O325" s="251">
        <f>'BBD Monthly Production'!AL28*12</f>
        <v>484.43077698579975</v>
      </c>
      <c r="P325" s="271">
        <f t="shared" si="70"/>
        <v>0.72920201855373046</v>
      </c>
      <c r="Y325" s="251">
        <f>SUM('RD Feedstock'!G312,'RD Feedstock'!I312)</f>
        <v>21.543749999999999</v>
      </c>
      <c r="Z325" s="251">
        <f>SUM('RD Feedstock'!G312,'RD Feedstock'!J312)</f>
        <v>7.65625</v>
      </c>
      <c r="AA325" s="251">
        <v>0</v>
      </c>
      <c r="AB325" s="251">
        <f>SUM('RD Feedstock'!B323,'RD Feedstock'!D323,'RD Feedstock'!H323)</f>
        <v>374.51145833333328</v>
      </c>
      <c r="AC325" s="251">
        <f>SUM('RD Feedstock'!C323,'RD Feedstock'!E323)</f>
        <v>12.34375</v>
      </c>
      <c r="AD325" s="251">
        <f t="shared" si="63"/>
        <v>416.05520833333327</v>
      </c>
      <c r="AH325" s="237">
        <f t="shared" si="76"/>
        <v>5.1780988600771641E-2</v>
      </c>
      <c r="AI325" s="237">
        <f t="shared" si="76"/>
        <v>1.8402004942252758E-2</v>
      </c>
      <c r="AJ325" s="237">
        <f t="shared" si="76"/>
        <v>0</v>
      </c>
      <c r="AK325" s="237">
        <f t="shared" si="76"/>
        <v>0.90014846787660896</v>
      </c>
      <c r="AL325" s="237">
        <f t="shared" si="76"/>
        <v>2.9668538580366693E-2</v>
      </c>
      <c r="AM325" s="237">
        <f t="shared" si="71"/>
        <v>1</v>
      </c>
      <c r="AO325" s="237">
        <f t="shared" si="72"/>
        <v>0.73779965753424659</v>
      </c>
      <c r="AP325" s="237">
        <f t="shared" si="73"/>
        <v>0.26220034246575341</v>
      </c>
      <c r="AQ325" s="237">
        <f t="shared" si="74"/>
        <v>0</v>
      </c>
      <c r="AR325" s="237">
        <f t="shared" si="65"/>
        <v>0.96809206717629603</v>
      </c>
      <c r="AS325" s="237">
        <f t="shared" si="65"/>
        <v>3.1907932823703966E-2</v>
      </c>
      <c r="AU325" s="251">
        <f t="shared" si="68"/>
        <v>8893.8442581936342</v>
      </c>
      <c r="AV325" s="251">
        <f t="shared" si="68"/>
        <v>2699.0690994381712</v>
      </c>
      <c r="AW325" s="251">
        <f t="shared" si="68"/>
        <v>0</v>
      </c>
      <c r="AX325" s="251">
        <f t="shared" si="68"/>
        <v>124444.99721513577</v>
      </c>
      <c r="AY325" s="251">
        <f t="shared" si="68"/>
        <v>4074.4947423300382</v>
      </c>
      <c r="AZ325" s="251">
        <f t="shared" si="77"/>
        <v>140112.40531509763</v>
      </c>
      <c r="BA325" s="270">
        <f t="shared" si="75"/>
        <v>7.6517407044838324</v>
      </c>
      <c r="BB325" s="251">
        <f t="shared" si="66"/>
        <v>11592.913357631805</v>
      </c>
      <c r="BC325" s="251">
        <f t="shared" si="67"/>
        <v>128519.4919574658</v>
      </c>
    </row>
    <row r="326" spans="1:55">
      <c r="A326" s="11">
        <v>53571</v>
      </c>
      <c r="B326" s="251">
        <v>100</v>
      </c>
      <c r="C326" s="251">
        <v>295</v>
      </c>
      <c r="D326" s="251">
        <v>5</v>
      </c>
      <c r="E326" s="251">
        <v>220</v>
      </c>
      <c r="F326" s="251">
        <v>44</v>
      </c>
      <c r="G326" s="287">
        <v>0.33</v>
      </c>
      <c r="H326" s="287"/>
      <c r="N326" s="251">
        <f t="shared" si="69"/>
        <v>664.33</v>
      </c>
      <c r="O326" s="251">
        <f>'BBD Monthly Production'!AL29*12</f>
        <v>529.00704663609099</v>
      </c>
      <c r="P326" s="271">
        <f t="shared" si="70"/>
        <v>0.79630160708697628</v>
      </c>
      <c r="Y326" s="251">
        <f>SUM('RD Feedstock'!G313,'RD Feedstock'!I313)</f>
        <v>21.543749999999999</v>
      </c>
      <c r="Z326" s="251">
        <f>SUM('RD Feedstock'!G313,'RD Feedstock'!J313)</f>
        <v>7.65625</v>
      </c>
      <c r="AA326" s="251">
        <v>0</v>
      </c>
      <c r="AB326" s="251">
        <f>SUM('RD Feedstock'!B324,'RD Feedstock'!D324,'RD Feedstock'!H324)</f>
        <v>374.51145833333328</v>
      </c>
      <c r="AC326" s="251">
        <f>SUM('RD Feedstock'!C324,'RD Feedstock'!E324)</f>
        <v>12.34375</v>
      </c>
      <c r="AD326" s="251">
        <f t="shared" si="63"/>
        <v>416.05520833333327</v>
      </c>
      <c r="AH326" s="237">
        <f t="shared" si="76"/>
        <v>5.1780988600771641E-2</v>
      </c>
      <c r="AI326" s="237">
        <f t="shared" si="76"/>
        <v>1.8402004942252758E-2</v>
      </c>
      <c r="AJ326" s="237">
        <f t="shared" si="76"/>
        <v>0</v>
      </c>
      <c r="AK326" s="237">
        <f t="shared" si="76"/>
        <v>0.90014846787660896</v>
      </c>
      <c r="AL326" s="237">
        <f t="shared" si="76"/>
        <v>2.9668538580366693E-2</v>
      </c>
      <c r="AM326" s="237">
        <f t="shared" si="71"/>
        <v>1</v>
      </c>
      <c r="AO326" s="237">
        <f t="shared" si="72"/>
        <v>0.73779965753424659</v>
      </c>
      <c r="AP326" s="237">
        <f t="shared" si="73"/>
        <v>0.26220034246575341</v>
      </c>
      <c r="AQ326" s="237">
        <f t="shared" si="74"/>
        <v>0</v>
      </c>
      <c r="AR326" s="237">
        <f t="shared" si="65"/>
        <v>0.96809206717629603</v>
      </c>
      <c r="AS326" s="237">
        <f t="shared" si="65"/>
        <v>3.1907932823703966E-2</v>
      </c>
      <c r="AU326" s="251">
        <f t="shared" si="68"/>
        <v>9712.2365212693458</v>
      </c>
      <c r="AV326" s="251">
        <f t="shared" si="68"/>
        <v>2947.4315852610971</v>
      </c>
      <c r="AW326" s="251">
        <f t="shared" si="68"/>
        <v>0</v>
      </c>
      <c r="AX326" s="251">
        <f t="shared" si="68"/>
        <v>135896.15601022245</v>
      </c>
      <c r="AY326" s="251">
        <f t="shared" si="68"/>
        <v>4449.4209133155</v>
      </c>
      <c r="AZ326" s="251">
        <f t="shared" si="77"/>
        <v>153005.24503006838</v>
      </c>
      <c r="BA326" s="270">
        <f t="shared" si="75"/>
        <v>7.6517407044838297</v>
      </c>
      <c r="BB326" s="251">
        <f t="shared" si="66"/>
        <v>12659.668106530444</v>
      </c>
      <c r="BC326" s="251">
        <f t="shared" si="67"/>
        <v>140345.57692353794</v>
      </c>
    </row>
    <row r="327" spans="1:55">
      <c r="A327" s="11">
        <v>53601</v>
      </c>
      <c r="B327" s="251">
        <v>100</v>
      </c>
      <c r="C327" s="251">
        <v>295</v>
      </c>
      <c r="D327" s="251">
        <v>5</v>
      </c>
      <c r="E327" s="251">
        <v>220</v>
      </c>
      <c r="F327" s="251">
        <v>44</v>
      </c>
      <c r="G327" s="287">
        <v>0.33</v>
      </c>
      <c r="H327" s="287"/>
      <c r="N327" s="251">
        <f t="shared" si="69"/>
        <v>664.33</v>
      </c>
      <c r="O327" s="251">
        <f>'BBD Monthly Production'!AL30*12</f>
        <v>422.6969201211308</v>
      </c>
      <c r="P327" s="271">
        <f t="shared" si="70"/>
        <v>0.6362755258999756</v>
      </c>
      <c r="Y327" s="251">
        <f>SUM('RD Feedstock'!G314,'RD Feedstock'!I314)</f>
        <v>21.543749999999999</v>
      </c>
      <c r="Z327" s="251">
        <f>SUM('RD Feedstock'!G314,'RD Feedstock'!J314)</f>
        <v>7.65625</v>
      </c>
      <c r="AA327" s="251">
        <v>0</v>
      </c>
      <c r="AB327" s="251">
        <f>SUM('RD Feedstock'!B325,'RD Feedstock'!D325,'RD Feedstock'!H325)</f>
        <v>374.51145833333328</v>
      </c>
      <c r="AC327" s="251">
        <f>SUM('RD Feedstock'!C325,'RD Feedstock'!E325)</f>
        <v>12.34375</v>
      </c>
      <c r="AD327" s="251">
        <f t="shared" ref="AD327:AD390" si="78">SUM(Y327:AC327)</f>
        <v>416.05520833333327</v>
      </c>
      <c r="AH327" s="237">
        <f t="shared" si="76"/>
        <v>5.1780988600771641E-2</v>
      </c>
      <c r="AI327" s="237">
        <f t="shared" si="76"/>
        <v>1.8402004942252758E-2</v>
      </c>
      <c r="AJ327" s="237">
        <f t="shared" si="76"/>
        <v>0</v>
      </c>
      <c r="AK327" s="237">
        <f t="shared" si="76"/>
        <v>0.90014846787660896</v>
      </c>
      <c r="AL327" s="237">
        <f t="shared" si="76"/>
        <v>2.9668538580366693E-2</v>
      </c>
      <c r="AM327" s="237">
        <f t="shared" si="71"/>
        <v>1</v>
      </c>
      <c r="AO327" s="237">
        <f t="shared" si="72"/>
        <v>0.73779965753424659</v>
      </c>
      <c r="AP327" s="237">
        <f t="shared" si="73"/>
        <v>0.26220034246575341</v>
      </c>
      <c r="AQ327" s="237">
        <f t="shared" si="74"/>
        <v>0</v>
      </c>
      <c r="AR327" s="237">
        <f t="shared" si="65"/>
        <v>0.96809206717629603</v>
      </c>
      <c r="AS327" s="237">
        <f t="shared" si="65"/>
        <v>3.1907932823703966E-2</v>
      </c>
      <c r="AU327" s="251">
        <f t="shared" si="68"/>
        <v>7760.4494895369817</v>
      </c>
      <c r="AV327" s="251">
        <f t="shared" si="68"/>
        <v>2355.1108842121989</v>
      </c>
      <c r="AW327" s="251">
        <f t="shared" si="68"/>
        <v>0</v>
      </c>
      <c r="AX327" s="251">
        <f t="shared" si="68"/>
        <v>108586.24089621485</v>
      </c>
      <c r="AY327" s="251">
        <f t="shared" si="68"/>
        <v>3555.2579655423783</v>
      </c>
      <c r="AZ327" s="251">
        <f t="shared" si="77"/>
        <v>122257.0592355064</v>
      </c>
      <c r="BA327" s="270">
        <f t="shared" si="75"/>
        <v>7.6517407044838297</v>
      </c>
      <c r="BB327" s="251">
        <f t="shared" si="66"/>
        <v>10115.56037374918</v>
      </c>
      <c r="BC327" s="251">
        <f t="shared" si="67"/>
        <v>112141.49886175722</v>
      </c>
    </row>
    <row r="328" spans="1:55">
      <c r="A328" s="11">
        <v>53632</v>
      </c>
      <c r="B328" s="251">
        <v>100</v>
      </c>
      <c r="C328" s="251">
        <v>295</v>
      </c>
      <c r="D328" s="251">
        <v>5</v>
      </c>
      <c r="E328" s="251">
        <v>220</v>
      </c>
      <c r="F328" s="251">
        <v>44</v>
      </c>
      <c r="G328" s="287">
        <v>0.33</v>
      </c>
      <c r="H328" s="287"/>
      <c r="N328" s="251">
        <f t="shared" si="69"/>
        <v>664.33</v>
      </c>
      <c r="O328" s="251">
        <f>'BBD Monthly Production'!AL31*12</f>
        <v>544.28952459935283</v>
      </c>
      <c r="P328" s="271">
        <f t="shared" si="70"/>
        <v>0.81930595426874109</v>
      </c>
      <c r="Y328" s="251">
        <f>SUM('RD Feedstock'!G315,'RD Feedstock'!I315)</f>
        <v>21.543749999999999</v>
      </c>
      <c r="Z328" s="251">
        <f>SUM('RD Feedstock'!G315,'RD Feedstock'!J315)</f>
        <v>7.65625</v>
      </c>
      <c r="AA328" s="251">
        <v>0</v>
      </c>
      <c r="AB328" s="251">
        <f>SUM('RD Feedstock'!B326,'RD Feedstock'!D326,'RD Feedstock'!H326)</f>
        <v>374.51145833333328</v>
      </c>
      <c r="AC328" s="251">
        <f>SUM('RD Feedstock'!C326,'RD Feedstock'!E326)</f>
        <v>12.34375</v>
      </c>
      <c r="AD328" s="251">
        <f t="shared" si="78"/>
        <v>416.05520833333327</v>
      </c>
      <c r="AH328" s="237">
        <f t="shared" si="76"/>
        <v>5.1780988600771641E-2</v>
      </c>
      <c r="AI328" s="237">
        <f t="shared" si="76"/>
        <v>1.8402004942252758E-2</v>
      </c>
      <c r="AJ328" s="237">
        <f t="shared" si="76"/>
        <v>0</v>
      </c>
      <c r="AK328" s="237">
        <f t="shared" si="76"/>
        <v>0.90014846787660896</v>
      </c>
      <c r="AL328" s="237">
        <f t="shared" si="76"/>
        <v>2.9668538580366693E-2</v>
      </c>
      <c r="AM328" s="237">
        <f t="shared" si="71"/>
        <v>1</v>
      </c>
      <c r="AO328" s="237">
        <f t="shared" si="72"/>
        <v>0.73779965753424659</v>
      </c>
      <c r="AP328" s="237">
        <f t="shared" si="73"/>
        <v>0.26220034246575341</v>
      </c>
      <c r="AQ328" s="237">
        <f t="shared" si="74"/>
        <v>0</v>
      </c>
      <c r="AR328" s="237">
        <f t="shared" si="65"/>
        <v>0.96809206717629603</v>
      </c>
      <c r="AS328" s="237">
        <f t="shared" si="65"/>
        <v>3.1907932823703966E-2</v>
      </c>
      <c r="AU328" s="251">
        <f t="shared" si="68"/>
        <v>9992.8132008317825</v>
      </c>
      <c r="AV328" s="251">
        <f t="shared" si="68"/>
        <v>3032.5798995158998</v>
      </c>
      <c r="AW328" s="251">
        <f t="shared" si="68"/>
        <v>0</v>
      </c>
      <c r="AX328" s="251">
        <f t="shared" si="68"/>
        <v>139822.05836393323</v>
      </c>
      <c r="AY328" s="251">
        <f t="shared" si="68"/>
        <v>4577.960178509441</v>
      </c>
      <c r="AZ328" s="251">
        <f t="shared" si="77"/>
        <v>157425.41164279036</v>
      </c>
      <c r="BA328" s="270">
        <f t="shared" si="75"/>
        <v>7.6517407044838297</v>
      </c>
      <c r="BB328" s="251">
        <f t="shared" si="66"/>
        <v>13025.393100347683</v>
      </c>
      <c r="BC328" s="251">
        <f t="shared" si="67"/>
        <v>144400.01854244267</v>
      </c>
    </row>
    <row r="329" spans="1:55">
      <c r="A329" s="11">
        <v>53662</v>
      </c>
      <c r="B329" s="251">
        <v>100</v>
      </c>
      <c r="C329" s="251">
        <v>295</v>
      </c>
      <c r="D329" s="251">
        <v>5</v>
      </c>
      <c r="E329" s="251">
        <v>220</v>
      </c>
      <c r="F329" s="251">
        <v>44</v>
      </c>
      <c r="G329" s="287">
        <v>0.33</v>
      </c>
      <c r="H329" s="287"/>
      <c r="N329" s="251">
        <f t="shared" si="69"/>
        <v>664.33</v>
      </c>
      <c r="O329" s="251">
        <f>'BBD Monthly Production'!AL32*12</f>
        <v>748.67273490032051</v>
      </c>
      <c r="P329" s="271">
        <f t="shared" si="70"/>
        <v>1.1269590939748626</v>
      </c>
      <c r="Y329" s="251">
        <f>SUM('RD Feedstock'!G316,'RD Feedstock'!I316)</f>
        <v>21.543749999999999</v>
      </c>
      <c r="Z329" s="251">
        <f>SUM('RD Feedstock'!G316,'RD Feedstock'!J316)</f>
        <v>7.65625</v>
      </c>
      <c r="AA329" s="251">
        <v>0</v>
      </c>
      <c r="AB329" s="251">
        <f>SUM('RD Feedstock'!B327,'RD Feedstock'!D327,'RD Feedstock'!H327)</f>
        <v>374.51145833333328</v>
      </c>
      <c r="AC329" s="251">
        <f>SUM('RD Feedstock'!C327,'RD Feedstock'!E327)</f>
        <v>12.34375</v>
      </c>
      <c r="AD329" s="251">
        <f t="shared" si="78"/>
        <v>416.05520833333327</v>
      </c>
      <c r="AH329" s="237">
        <f t="shared" si="76"/>
        <v>5.1780988600771641E-2</v>
      </c>
      <c r="AI329" s="237">
        <f t="shared" si="76"/>
        <v>1.8402004942252758E-2</v>
      </c>
      <c r="AJ329" s="237">
        <f t="shared" si="76"/>
        <v>0</v>
      </c>
      <c r="AK329" s="237">
        <f t="shared" si="76"/>
        <v>0.90014846787660896</v>
      </c>
      <c r="AL329" s="237">
        <f t="shared" si="76"/>
        <v>2.9668538580366693E-2</v>
      </c>
      <c r="AM329" s="237">
        <f t="shared" si="71"/>
        <v>1</v>
      </c>
      <c r="AO329" s="237">
        <f t="shared" si="72"/>
        <v>0.73779965753424659</v>
      </c>
      <c r="AP329" s="237">
        <f t="shared" si="73"/>
        <v>0.26220034246575341</v>
      </c>
      <c r="AQ329" s="237">
        <f t="shared" si="74"/>
        <v>0</v>
      </c>
      <c r="AR329" s="237">
        <f t="shared" si="65"/>
        <v>0.96809206717629603</v>
      </c>
      <c r="AS329" s="237">
        <f t="shared" si="65"/>
        <v>3.1907932823703966E-2</v>
      </c>
      <c r="AU329" s="251">
        <f t="shared" si="68"/>
        <v>13745.160342598392</v>
      </c>
      <c r="AV329" s="251">
        <f t="shared" si="68"/>
        <v>4171.3275463927739</v>
      </c>
      <c r="AW329" s="251">
        <f t="shared" si="68"/>
        <v>0</v>
      </c>
      <c r="AX329" s="251">
        <f t="shared" si="68"/>
        <v>192325.88191325738</v>
      </c>
      <c r="AY329" s="251">
        <f t="shared" si="68"/>
        <v>6297.0052007381555</v>
      </c>
      <c r="AZ329" s="251">
        <f t="shared" si="77"/>
        <v>216539.37500298669</v>
      </c>
      <c r="BA329" s="270">
        <f t="shared" si="75"/>
        <v>7.6517407044838297</v>
      </c>
      <c r="BB329" s="251">
        <f t="shared" si="66"/>
        <v>17916.487888991167</v>
      </c>
      <c r="BC329" s="251">
        <f t="shared" si="67"/>
        <v>198622.88711399553</v>
      </c>
    </row>
    <row r="330" spans="1:55">
      <c r="A330" s="11">
        <v>53693</v>
      </c>
      <c r="B330" s="251">
        <v>100</v>
      </c>
      <c r="C330" s="251">
        <v>295</v>
      </c>
      <c r="D330" s="251">
        <v>5</v>
      </c>
      <c r="E330" s="251">
        <v>220</v>
      </c>
      <c r="F330" s="251">
        <v>44</v>
      </c>
      <c r="G330" s="287">
        <v>0.33</v>
      </c>
      <c r="H330" s="287"/>
      <c r="N330" s="251">
        <f t="shared" si="69"/>
        <v>664.33</v>
      </c>
      <c r="O330" s="251">
        <f>'BBD Monthly Production'!AM21*12</f>
        <v>234.87999498142892</v>
      </c>
      <c r="P330" s="271">
        <f t="shared" si="70"/>
        <v>0.35355921752958458</v>
      </c>
      <c r="Y330" s="251">
        <f>SUM('RD Feedstock'!G317,'RD Feedstock'!I317)</f>
        <v>21.543749999999999</v>
      </c>
      <c r="Z330" s="251">
        <f>SUM('RD Feedstock'!G317,'RD Feedstock'!J317)</f>
        <v>7.65625</v>
      </c>
      <c r="AA330" s="251">
        <v>0</v>
      </c>
      <c r="AB330" s="251">
        <f>SUM('RD Feedstock'!B328,'RD Feedstock'!D328,'RD Feedstock'!H328)</f>
        <v>374.51145833333328</v>
      </c>
      <c r="AC330" s="251">
        <f>SUM('RD Feedstock'!C328,'RD Feedstock'!E328)</f>
        <v>12.34375</v>
      </c>
      <c r="AD330" s="251">
        <f t="shared" si="78"/>
        <v>416.05520833333327</v>
      </c>
      <c r="AH330" s="237">
        <f t="shared" si="76"/>
        <v>5.1780988600771641E-2</v>
      </c>
      <c r="AI330" s="237">
        <f t="shared" si="76"/>
        <v>1.8402004942252758E-2</v>
      </c>
      <c r="AJ330" s="237">
        <f t="shared" si="76"/>
        <v>0</v>
      </c>
      <c r="AK330" s="237">
        <f t="shared" si="76"/>
        <v>0.90014846787660896</v>
      </c>
      <c r="AL330" s="237">
        <f t="shared" si="76"/>
        <v>2.9668538580366693E-2</v>
      </c>
      <c r="AM330" s="237">
        <f t="shared" si="71"/>
        <v>1</v>
      </c>
      <c r="AO330" s="237">
        <f t="shared" si="72"/>
        <v>0.73779965753424659</v>
      </c>
      <c r="AP330" s="237">
        <f t="shared" si="73"/>
        <v>0.26220034246575341</v>
      </c>
      <c r="AQ330" s="237">
        <f t="shared" si="74"/>
        <v>0</v>
      </c>
      <c r="AR330" s="237">
        <f t="shared" si="65"/>
        <v>0.96809206717629603</v>
      </c>
      <c r="AS330" s="237">
        <f t="shared" si="65"/>
        <v>3.1907932823703966E-2</v>
      </c>
      <c r="AU330" s="251">
        <f t="shared" si="68"/>
        <v>4312.2489197076065</v>
      </c>
      <c r="AV330" s="251">
        <f t="shared" si="68"/>
        <v>1308.6644504198193</v>
      </c>
      <c r="AW330" s="251">
        <f t="shared" si="68"/>
        <v>0</v>
      </c>
      <c r="AX330" s="251">
        <f t="shared" si="68"/>
        <v>60338.11580516454</v>
      </c>
      <c r="AY330" s="251">
        <f t="shared" si="68"/>
        <v>1975.5501716572219</v>
      </c>
      <c r="AZ330" s="251">
        <f t="shared" si="77"/>
        <v>67934.579346949191</v>
      </c>
      <c r="BA330" s="270">
        <f t="shared" si="75"/>
        <v>7.6517407044838315</v>
      </c>
      <c r="BB330" s="251">
        <f t="shared" si="66"/>
        <v>5620.9133701274259</v>
      </c>
      <c r="BC330" s="251">
        <f t="shared" si="67"/>
        <v>62313.665976821765</v>
      </c>
    </row>
    <row r="331" spans="1:55">
      <c r="A331" s="11">
        <v>53724</v>
      </c>
      <c r="B331" s="251">
        <v>100</v>
      </c>
      <c r="C331" s="251">
        <v>295</v>
      </c>
      <c r="D331" s="251">
        <v>5</v>
      </c>
      <c r="E331" s="251">
        <v>220</v>
      </c>
      <c r="F331" s="251">
        <v>44</v>
      </c>
      <c r="G331" s="287">
        <v>0.33</v>
      </c>
      <c r="H331" s="287"/>
      <c r="N331" s="251">
        <f t="shared" si="69"/>
        <v>664.33</v>
      </c>
      <c r="O331" s="251">
        <f>'BBD Monthly Production'!AM22*12</f>
        <v>275.73683096968102</v>
      </c>
      <c r="P331" s="271">
        <f t="shared" si="70"/>
        <v>0.4150600318662126</v>
      </c>
      <c r="Y331" s="251">
        <f>SUM('RD Feedstock'!G318,'RD Feedstock'!I318)</f>
        <v>21.543749999999999</v>
      </c>
      <c r="Z331" s="251">
        <f>SUM('RD Feedstock'!G318,'RD Feedstock'!J318)</f>
        <v>7.65625</v>
      </c>
      <c r="AA331" s="251">
        <v>0</v>
      </c>
      <c r="AB331" s="251">
        <f>SUM('RD Feedstock'!B329,'RD Feedstock'!D329,'RD Feedstock'!H329)</f>
        <v>374.51145833333328</v>
      </c>
      <c r="AC331" s="251">
        <f>SUM('RD Feedstock'!C329,'RD Feedstock'!E329)</f>
        <v>12.34375</v>
      </c>
      <c r="AD331" s="251">
        <f t="shared" si="78"/>
        <v>416.05520833333327</v>
      </c>
      <c r="AH331" s="237">
        <f t="shared" si="76"/>
        <v>5.1780988600771641E-2</v>
      </c>
      <c r="AI331" s="237">
        <f t="shared" si="76"/>
        <v>1.8402004942252758E-2</v>
      </c>
      <c r="AJ331" s="237">
        <f t="shared" si="76"/>
        <v>0</v>
      </c>
      <c r="AK331" s="237">
        <f t="shared" si="76"/>
        <v>0.90014846787660896</v>
      </c>
      <c r="AL331" s="237">
        <f t="shared" si="76"/>
        <v>2.9668538580366693E-2</v>
      </c>
      <c r="AM331" s="237">
        <f t="shared" si="71"/>
        <v>1</v>
      </c>
      <c r="AO331" s="237">
        <f t="shared" si="72"/>
        <v>0.73779965753424659</v>
      </c>
      <c r="AP331" s="237">
        <f t="shared" si="73"/>
        <v>0.26220034246575341</v>
      </c>
      <c r="AQ331" s="237">
        <f t="shared" si="74"/>
        <v>0</v>
      </c>
      <c r="AR331" s="237">
        <f t="shared" si="65"/>
        <v>0.96809206717629603</v>
      </c>
      <c r="AS331" s="237">
        <f t="shared" si="65"/>
        <v>3.1907932823703966E-2</v>
      </c>
      <c r="AU331" s="251">
        <f t="shared" si="68"/>
        <v>5062.354721042203</v>
      </c>
      <c r="AV331" s="251">
        <f t="shared" si="68"/>
        <v>1536.3036276885605</v>
      </c>
      <c r="AW331" s="251">
        <f t="shared" si="68"/>
        <v>0</v>
      </c>
      <c r="AX331" s="251">
        <f t="shared" si="68"/>
        <v>70833.792550588012</v>
      </c>
      <c r="AY331" s="251">
        <f t="shared" si="68"/>
        <v>2319.1925893792768</v>
      </c>
      <c r="AZ331" s="251">
        <f t="shared" si="77"/>
        <v>79751.643488698057</v>
      </c>
      <c r="BA331" s="270">
        <f t="shared" si="75"/>
        <v>7.6517407044838306</v>
      </c>
      <c r="BB331" s="251">
        <f t="shared" si="66"/>
        <v>6598.6583487307635</v>
      </c>
      <c r="BC331" s="251">
        <f t="shared" si="67"/>
        <v>73152.985139967292</v>
      </c>
    </row>
    <row r="332" spans="1:55">
      <c r="A332" s="11">
        <v>53752</v>
      </c>
      <c r="B332" s="251">
        <v>100</v>
      </c>
      <c r="C332" s="251">
        <v>295</v>
      </c>
      <c r="D332" s="251">
        <v>5</v>
      </c>
      <c r="E332" s="251">
        <v>220</v>
      </c>
      <c r="F332" s="251">
        <v>44</v>
      </c>
      <c r="G332" s="287">
        <v>0.33</v>
      </c>
      <c r="H332" s="287"/>
      <c r="N332" s="251">
        <f t="shared" si="69"/>
        <v>664.33</v>
      </c>
      <c r="O332" s="251">
        <f>'BBD Monthly Production'!AM23*12</f>
        <v>538.73459860631806</v>
      </c>
      <c r="P332" s="271">
        <f t="shared" si="70"/>
        <v>0.81094425753212718</v>
      </c>
      <c r="Y332" s="251">
        <f>SUM('RD Feedstock'!G319,'RD Feedstock'!I319)</f>
        <v>21.543749999999999</v>
      </c>
      <c r="Z332" s="251">
        <f>SUM('RD Feedstock'!G319,'RD Feedstock'!J319)</f>
        <v>7.65625</v>
      </c>
      <c r="AA332" s="251">
        <v>0</v>
      </c>
      <c r="AB332" s="251">
        <f>SUM('RD Feedstock'!B330,'RD Feedstock'!D330,'RD Feedstock'!H330)</f>
        <v>374.51145833333328</v>
      </c>
      <c r="AC332" s="251">
        <f>SUM('RD Feedstock'!C330,'RD Feedstock'!E330)</f>
        <v>12.34375</v>
      </c>
      <c r="AD332" s="251">
        <f t="shared" si="78"/>
        <v>416.05520833333327</v>
      </c>
      <c r="AH332" s="237">
        <f t="shared" si="76"/>
        <v>5.1780988600771641E-2</v>
      </c>
      <c r="AI332" s="237">
        <f t="shared" si="76"/>
        <v>1.8402004942252758E-2</v>
      </c>
      <c r="AJ332" s="237">
        <f t="shared" si="76"/>
        <v>0</v>
      </c>
      <c r="AK332" s="237">
        <f t="shared" si="76"/>
        <v>0.90014846787660896</v>
      </c>
      <c r="AL332" s="237">
        <f t="shared" si="76"/>
        <v>2.9668538580366693E-2</v>
      </c>
      <c r="AM332" s="237">
        <f t="shared" si="71"/>
        <v>1</v>
      </c>
      <c r="AO332" s="237">
        <f t="shared" si="72"/>
        <v>0.73779965753424659</v>
      </c>
      <c r="AP332" s="237">
        <f t="shared" si="73"/>
        <v>0.26220034246575341</v>
      </c>
      <c r="AQ332" s="237">
        <f t="shared" si="74"/>
        <v>0</v>
      </c>
      <c r="AR332" s="237">
        <f t="shared" si="65"/>
        <v>0.96809206717629603</v>
      </c>
      <c r="AS332" s="237">
        <f t="shared" si="65"/>
        <v>3.1907932823703966E-2</v>
      </c>
      <c r="AU332" s="251">
        <f t="shared" si="68"/>
        <v>9890.8282547983254</v>
      </c>
      <c r="AV332" s="251">
        <f t="shared" si="68"/>
        <v>3001.6299066381653</v>
      </c>
      <c r="AW332" s="251">
        <f t="shared" si="68"/>
        <v>0</v>
      </c>
      <c r="AX332" s="251">
        <f t="shared" si="68"/>
        <v>138395.0582999927</v>
      </c>
      <c r="AY332" s="251">
        <f t="shared" si="68"/>
        <v>4531.2382982575682</v>
      </c>
      <c r="AZ332" s="251">
        <f t="shared" si="77"/>
        <v>155818.75475968677</v>
      </c>
      <c r="BA332" s="270">
        <f t="shared" si="75"/>
        <v>7.6517407044838306</v>
      </c>
      <c r="BB332" s="251">
        <f t="shared" si="66"/>
        <v>12892.458161436491</v>
      </c>
      <c r="BC332" s="251">
        <f t="shared" si="67"/>
        <v>142926.29659825028</v>
      </c>
    </row>
    <row r="333" spans="1:55">
      <c r="A333" s="11">
        <v>53783</v>
      </c>
      <c r="B333" s="251">
        <v>100</v>
      </c>
      <c r="C333" s="251">
        <v>295</v>
      </c>
      <c r="D333" s="251">
        <v>5</v>
      </c>
      <c r="E333" s="251">
        <v>220</v>
      </c>
      <c r="F333" s="251">
        <v>44</v>
      </c>
      <c r="G333" s="287">
        <v>0.33</v>
      </c>
      <c r="H333" s="287"/>
      <c r="N333" s="251">
        <f t="shared" si="69"/>
        <v>664.33</v>
      </c>
      <c r="O333" s="251">
        <f>'BBD Monthly Production'!AM24*12</f>
        <v>466.34416312919342</v>
      </c>
      <c r="P333" s="271">
        <f t="shared" si="70"/>
        <v>0.70197667293241817</v>
      </c>
      <c r="Y333" s="251">
        <f>SUM('RD Feedstock'!G320,'RD Feedstock'!I320)</f>
        <v>21.543749999999999</v>
      </c>
      <c r="Z333" s="251">
        <f>SUM('RD Feedstock'!G320,'RD Feedstock'!J320)</f>
        <v>7.65625</v>
      </c>
      <c r="AA333" s="251">
        <v>0</v>
      </c>
      <c r="AB333" s="251">
        <f>SUM('RD Feedstock'!B331,'RD Feedstock'!D331,'RD Feedstock'!H331)</f>
        <v>374.51145833333328</v>
      </c>
      <c r="AC333" s="251">
        <f>SUM('RD Feedstock'!C331,'RD Feedstock'!E331)</f>
        <v>12.34375</v>
      </c>
      <c r="AD333" s="251">
        <f t="shared" si="78"/>
        <v>416.05520833333327</v>
      </c>
      <c r="AH333" s="237">
        <f t="shared" si="76"/>
        <v>5.1780988600771641E-2</v>
      </c>
      <c r="AI333" s="237">
        <f t="shared" si="76"/>
        <v>1.8402004942252758E-2</v>
      </c>
      <c r="AJ333" s="237">
        <f t="shared" si="76"/>
        <v>0</v>
      </c>
      <c r="AK333" s="237">
        <f t="shared" si="76"/>
        <v>0.90014846787660896</v>
      </c>
      <c r="AL333" s="237">
        <f t="shared" si="76"/>
        <v>2.9668538580366693E-2</v>
      </c>
      <c r="AM333" s="237">
        <f t="shared" si="71"/>
        <v>1</v>
      </c>
      <c r="AO333" s="237">
        <f t="shared" si="72"/>
        <v>0.73779965753424659</v>
      </c>
      <c r="AP333" s="237">
        <f t="shared" si="73"/>
        <v>0.26220034246575341</v>
      </c>
      <c r="AQ333" s="237">
        <f t="shared" si="74"/>
        <v>0</v>
      </c>
      <c r="AR333" s="237">
        <f t="shared" si="65"/>
        <v>0.96809206717629603</v>
      </c>
      <c r="AS333" s="237">
        <f t="shared" si="65"/>
        <v>3.1907932823703966E-2</v>
      </c>
      <c r="AU333" s="251">
        <f t="shared" si="68"/>
        <v>8561.7854080114976</v>
      </c>
      <c r="AV333" s="251">
        <f t="shared" si="68"/>
        <v>2598.2971772296301</v>
      </c>
      <c r="AW333" s="251">
        <f t="shared" si="68"/>
        <v>0</v>
      </c>
      <c r="AX333" s="251">
        <f t="shared" si="68"/>
        <v>119798.74285239406</v>
      </c>
      <c r="AY333" s="251">
        <f t="shared" si="68"/>
        <v>3922.3701941668733</v>
      </c>
      <c r="AZ333" s="251">
        <f t="shared" si="77"/>
        <v>134881.19563180205</v>
      </c>
      <c r="BA333" s="270">
        <f t="shared" si="75"/>
        <v>7.6517407044838288</v>
      </c>
      <c r="BB333" s="251">
        <f t="shared" si="66"/>
        <v>11160.082585241127</v>
      </c>
      <c r="BC333" s="251">
        <f t="shared" si="67"/>
        <v>123721.11304656093</v>
      </c>
    </row>
    <row r="334" spans="1:55">
      <c r="A334" s="11">
        <v>53813</v>
      </c>
      <c r="B334" s="251">
        <v>100</v>
      </c>
      <c r="C334" s="251">
        <v>295</v>
      </c>
      <c r="D334" s="251">
        <v>5</v>
      </c>
      <c r="E334" s="251">
        <v>220</v>
      </c>
      <c r="F334" s="251">
        <v>44</v>
      </c>
      <c r="G334" s="287">
        <v>0.33</v>
      </c>
      <c r="H334" s="287"/>
      <c r="N334" s="251">
        <f t="shared" si="69"/>
        <v>664.33</v>
      </c>
      <c r="O334" s="251">
        <f>'BBD Monthly Production'!AM25*12</f>
        <v>502.12742469730301</v>
      </c>
      <c r="P334" s="271">
        <f t="shared" si="70"/>
        <v>0.75584035749898848</v>
      </c>
      <c r="Y334" s="251">
        <f>SUM('RD Feedstock'!G321,'RD Feedstock'!I321)</f>
        <v>21.543749999999999</v>
      </c>
      <c r="Z334" s="251">
        <f>SUM('RD Feedstock'!G321,'RD Feedstock'!J321)</f>
        <v>7.65625</v>
      </c>
      <c r="AA334" s="251">
        <v>0</v>
      </c>
      <c r="AB334" s="251">
        <f>SUM('RD Feedstock'!B332,'RD Feedstock'!D332,'RD Feedstock'!H332)</f>
        <v>374.51145833333328</v>
      </c>
      <c r="AC334" s="251">
        <f>SUM('RD Feedstock'!C332,'RD Feedstock'!E332)</f>
        <v>12.34375</v>
      </c>
      <c r="AD334" s="251">
        <f t="shared" si="78"/>
        <v>416.05520833333327</v>
      </c>
      <c r="AH334" s="237">
        <f t="shared" si="76"/>
        <v>5.1780988600771641E-2</v>
      </c>
      <c r="AI334" s="237">
        <f t="shared" si="76"/>
        <v>1.8402004942252758E-2</v>
      </c>
      <c r="AJ334" s="237">
        <f t="shared" si="76"/>
        <v>0</v>
      </c>
      <c r="AK334" s="237">
        <f t="shared" si="76"/>
        <v>0.90014846787660896</v>
      </c>
      <c r="AL334" s="237">
        <f t="shared" si="76"/>
        <v>2.9668538580366693E-2</v>
      </c>
      <c r="AM334" s="237">
        <f t="shared" si="71"/>
        <v>1</v>
      </c>
      <c r="AO334" s="237">
        <f t="shared" si="72"/>
        <v>0.73779965753424659</v>
      </c>
      <c r="AP334" s="237">
        <f t="shared" si="73"/>
        <v>0.26220034246575341</v>
      </c>
      <c r="AQ334" s="237">
        <f t="shared" si="74"/>
        <v>0</v>
      </c>
      <c r="AR334" s="237">
        <f t="shared" si="65"/>
        <v>0.96809206717629603</v>
      </c>
      <c r="AS334" s="237">
        <f t="shared" si="65"/>
        <v>3.1907932823703966E-2</v>
      </c>
      <c r="AU334" s="251">
        <f t="shared" si="68"/>
        <v>9218.7435753211321</v>
      </c>
      <c r="AV334" s="251">
        <f t="shared" si="68"/>
        <v>2797.6682745338571</v>
      </c>
      <c r="AW334" s="251">
        <f t="shared" si="68"/>
        <v>0</v>
      </c>
      <c r="AX334" s="251">
        <f t="shared" si="68"/>
        <v>128991.07351705458</v>
      </c>
      <c r="AY334" s="251">
        <f t="shared" si="68"/>
        <v>4223.3393275276067</v>
      </c>
      <c r="AZ334" s="251">
        <f t="shared" si="77"/>
        <v>145230.82469443718</v>
      </c>
      <c r="BA334" s="270">
        <f t="shared" si="75"/>
        <v>7.6517407044838324</v>
      </c>
      <c r="BB334" s="251">
        <f t="shared" si="66"/>
        <v>12016.411849854989</v>
      </c>
      <c r="BC334" s="251">
        <f t="shared" si="67"/>
        <v>133214.4128445822</v>
      </c>
    </row>
    <row r="335" spans="1:55">
      <c r="A335" s="11">
        <v>53844</v>
      </c>
      <c r="B335" s="251">
        <v>100</v>
      </c>
      <c r="C335" s="251">
        <v>295</v>
      </c>
      <c r="D335" s="251">
        <v>5</v>
      </c>
      <c r="E335" s="251">
        <v>220</v>
      </c>
      <c r="F335" s="251">
        <v>44</v>
      </c>
      <c r="G335" s="287">
        <v>0.33</v>
      </c>
      <c r="H335" s="287"/>
      <c r="N335" s="251">
        <f t="shared" si="69"/>
        <v>664.33</v>
      </c>
      <c r="O335" s="251">
        <f>'BBD Monthly Production'!AM26*12</f>
        <v>626.18243568505113</v>
      </c>
      <c r="P335" s="271">
        <f t="shared" si="70"/>
        <v>0.94257738726995788</v>
      </c>
      <c r="Y335" s="251">
        <f>SUM('RD Feedstock'!G322,'RD Feedstock'!I322)</f>
        <v>21.543749999999999</v>
      </c>
      <c r="Z335" s="251">
        <f>SUM('RD Feedstock'!G322,'RD Feedstock'!J322)</f>
        <v>7.65625</v>
      </c>
      <c r="AA335" s="251">
        <v>0</v>
      </c>
      <c r="AB335" s="251">
        <f>SUM('RD Feedstock'!B333,'RD Feedstock'!D333,'RD Feedstock'!H333)</f>
        <v>374.51145833333328</v>
      </c>
      <c r="AC335" s="251">
        <f>SUM('RD Feedstock'!C333,'RD Feedstock'!E333)</f>
        <v>12.34375</v>
      </c>
      <c r="AD335" s="251">
        <f t="shared" si="78"/>
        <v>416.05520833333327</v>
      </c>
      <c r="AH335" s="237">
        <f t="shared" si="76"/>
        <v>5.1780988600771641E-2</v>
      </c>
      <c r="AI335" s="237">
        <f t="shared" si="76"/>
        <v>1.8402004942252758E-2</v>
      </c>
      <c r="AJ335" s="237">
        <f t="shared" si="76"/>
        <v>0</v>
      </c>
      <c r="AK335" s="237">
        <f t="shared" si="76"/>
        <v>0.90014846787660896</v>
      </c>
      <c r="AL335" s="237">
        <f t="shared" si="76"/>
        <v>2.9668538580366693E-2</v>
      </c>
      <c r="AM335" s="237">
        <f t="shared" si="71"/>
        <v>1</v>
      </c>
      <c r="AO335" s="237">
        <f t="shared" si="72"/>
        <v>0.73779965753424659</v>
      </c>
      <c r="AP335" s="237">
        <f t="shared" si="73"/>
        <v>0.26220034246575341</v>
      </c>
      <c r="AQ335" s="237">
        <f t="shared" si="74"/>
        <v>0</v>
      </c>
      <c r="AR335" s="237">
        <f t="shared" si="65"/>
        <v>0.96809206717629603</v>
      </c>
      <c r="AS335" s="237">
        <f t="shared" si="65"/>
        <v>3.1907932823703966E-2</v>
      </c>
      <c r="AU335" s="251">
        <f t="shared" ref="AU335:AY398" si="79">(($O335/12)*(AH335*Y$5))/2204.622*1000000</f>
        <v>11496.31552076727</v>
      </c>
      <c r="AV335" s="251">
        <f t="shared" si="79"/>
        <v>3488.8569080696425</v>
      </c>
      <c r="AW335" s="251">
        <f t="shared" si="79"/>
        <v>0</v>
      </c>
      <c r="AX335" s="251">
        <f t="shared" si="79"/>
        <v>160859.45643225999</v>
      </c>
      <c r="AY335" s="251">
        <f t="shared" si="79"/>
        <v>5266.752574667541</v>
      </c>
      <c r="AZ335" s="251">
        <f t="shared" si="77"/>
        <v>181111.38143576443</v>
      </c>
      <c r="BA335" s="270">
        <f t="shared" si="75"/>
        <v>7.6517407044838306</v>
      </c>
      <c r="BB335" s="251">
        <f t="shared" si="66"/>
        <v>14985.172428836911</v>
      </c>
      <c r="BC335" s="251">
        <f t="shared" si="67"/>
        <v>166126.20900692753</v>
      </c>
    </row>
    <row r="336" spans="1:55">
      <c r="A336" s="11">
        <v>53874</v>
      </c>
      <c r="B336" s="251">
        <v>100</v>
      </c>
      <c r="C336" s="251">
        <v>295</v>
      </c>
      <c r="D336" s="251">
        <v>5</v>
      </c>
      <c r="E336" s="251">
        <v>220</v>
      </c>
      <c r="F336" s="251">
        <v>44</v>
      </c>
      <c r="G336" s="287">
        <v>0.33</v>
      </c>
      <c r="H336" s="287"/>
      <c r="N336" s="251">
        <f t="shared" si="69"/>
        <v>664.33</v>
      </c>
      <c r="O336" s="251">
        <f>'BBD Monthly Production'!AM27*12</f>
        <v>551.01388422578509</v>
      </c>
      <c r="P336" s="271">
        <f t="shared" si="70"/>
        <v>0.82942797137835877</v>
      </c>
      <c r="Y336" s="251">
        <f>SUM('RD Feedstock'!G323,'RD Feedstock'!I323)</f>
        <v>21.543749999999999</v>
      </c>
      <c r="Z336" s="251">
        <f>SUM('RD Feedstock'!G323,'RD Feedstock'!J323)</f>
        <v>7.65625</v>
      </c>
      <c r="AA336" s="251">
        <v>0</v>
      </c>
      <c r="AB336" s="251">
        <f>SUM('RD Feedstock'!B334,'RD Feedstock'!D334,'RD Feedstock'!H334)</f>
        <v>374.51145833333328</v>
      </c>
      <c r="AC336" s="251">
        <f>SUM('RD Feedstock'!C334,'RD Feedstock'!E334)</f>
        <v>12.34375</v>
      </c>
      <c r="AD336" s="251">
        <f t="shared" si="78"/>
        <v>416.05520833333327</v>
      </c>
      <c r="AH336" s="237">
        <f t="shared" si="76"/>
        <v>5.1780988600771641E-2</v>
      </c>
      <c r="AI336" s="237">
        <f t="shared" si="76"/>
        <v>1.8402004942252758E-2</v>
      </c>
      <c r="AJ336" s="237">
        <f t="shared" si="76"/>
        <v>0</v>
      </c>
      <c r="AK336" s="237">
        <f t="shared" si="76"/>
        <v>0.90014846787660896</v>
      </c>
      <c r="AL336" s="237">
        <f t="shared" si="76"/>
        <v>2.9668538580366693E-2</v>
      </c>
      <c r="AM336" s="237">
        <f t="shared" si="71"/>
        <v>1</v>
      </c>
      <c r="AO336" s="237">
        <f t="shared" si="72"/>
        <v>0.73779965753424659</v>
      </c>
      <c r="AP336" s="237">
        <f t="shared" si="73"/>
        <v>0.26220034246575341</v>
      </c>
      <c r="AQ336" s="237">
        <f t="shared" si="74"/>
        <v>0</v>
      </c>
      <c r="AR336" s="237">
        <f t="shared" si="65"/>
        <v>0.96809206717629603</v>
      </c>
      <c r="AS336" s="237">
        <f t="shared" si="65"/>
        <v>3.1907932823703966E-2</v>
      </c>
      <c r="AU336" s="251">
        <f t="shared" si="79"/>
        <v>10116.26821255852</v>
      </c>
      <c r="AV336" s="251">
        <f t="shared" si="79"/>
        <v>3070.0455440278815</v>
      </c>
      <c r="AW336" s="251">
        <f t="shared" si="79"/>
        <v>0</v>
      </c>
      <c r="AX336" s="251">
        <f t="shared" si="79"/>
        <v>141549.47320778712</v>
      </c>
      <c r="AY336" s="251">
        <f t="shared" si="79"/>
        <v>4634.5180382596245</v>
      </c>
      <c r="AZ336" s="251">
        <f t="shared" si="77"/>
        <v>159370.30500263313</v>
      </c>
      <c r="BA336" s="270">
        <f t="shared" si="75"/>
        <v>7.6517407044838306</v>
      </c>
      <c r="BB336" s="251">
        <f t="shared" si="66"/>
        <v>13186.313756586402</v>
      </c>
      <c r="BC336" s="251">
        <f t="shared" si="67"/>
        <v>146183.99124604673</v>
      </c>
    </row>
    <row r="337" spans="1:55">
      <c r="A337" s="11">
        <v>53905</v>
      </c>
      <c r="B337" s="251">
        <v>100</v>
      </c>
      <c r="C337" s="251">
        <v>295</v>
      </c>
      <c r="D337" s="251">
        <v>5</v>
      </c>
      <c r="E337" s="251">
        <v>220</v>
      </c>
      <c r="F337" s="251">
        <v>44</v>
      </c>
      <c r="G337" s="287">
        <v>0.33</v>
      </c>
      <c r="H337" s="287"/>
      <c r="N337" s="251">
        <f t="shared" si="69"/>
        <v>664.33</v>
      </c>
      <c r="O337" s="251">
        <f>'BBD Monthly Production'!AM28*12</f>
        <v>484.43077514670165</v>
      </c>
      <c r="P337" s="271">
        <f t="shared" si="70"/>
        <v>0.72920201578538013</v>
      </c>
      <c r="Y337" s="251">
        <f>SUM('RD Feedstock'!G324,'RD Feedstock'!I324)</f>
        <v>21.543749999999999</v>
      </c>
      <c r="Z337" s="251">
        <f>SUM('RD Feedstock'!G324,'RD Feedstock'!J324)</f>
        <v>7.65625</v>
      </c>
      <c r="AA337" s="251">
        <v>0</v>
      </c>
      <c r="AB337" s="251">
        <f>SUM('RD Feedstock'!B335,'RD Feedstock'!D335,'RD Feedstock'!H335)</f>
        <v>374.51145833333328</v>
      </c>
      <c r="AC337" s="251">
        <f>SUM('RD Feedstock'!C335,'RD Feedstock'!E335)</f>
        <v>12.34375</v>
      </c>
      <c r="AD337" s="251">
        <f t="shared" si="78"/>
        <v>416.05520833333327</v>
      </c>
      <c r="AH337" s="237">
        <f t="shared" si="76"/>
        <v>5.1780988600771641E-2</v>
      </c>
      <c r="AI337" s="237">
        <f t="shared" si="76"/>
        <v>1.8402004942252758E-2</v>
      </c>
      <c r="AJ337" s="237">
        <f t="shared" si="76"/>
        <v>0</v>
      </c>
      <c r="AK337" s="237">
        <f t="shared" si="76"/>
        <v>0.90014846787660896</v>
      </c>
      <c r="AL337" s="237">
        <f t="shared" si="76"/>
        <v>2.9668538580366693E-2</v>
      </c>
      <c r="AM337" s="237">
        <f t="shared" si="71"/>
        <v>1</v>
      </c>
      <c r="AO337" s="237">
        <f t="shared" si="72"/>
        <v>0.73779965753424659</v>
      </c>
      <c r="AP337" s="237">
        <f t="shared" si="73"/>
        <v>0.26220034246575341</v>
      </c>
      <c r="AQ337" s="237">
        <f t="shared" si="74"/>
        <v>0</v>
      </c>
      <c r="AR337" s="237">
        <f t="shared" si="65"/>
        <v>0.96809206717629603</v>
      </c>
      <c r="AS337" s="237">
        <f t="shared" si="65"/>
        <v>3.1907932823703966E-2</v>
      </c>
      <c r="AU337" s="251">
        <f t="shared" si="79"/>
        <v>8893.8442244289508</v>
      </c>
      <c r="AV337" s="251">
        <f t="shared" si="79"/>
        <v>2699.0690891913973</v>
      </c>
      <c r="AW337" s="251">
        <f t="shared" si="79"/>
        <v>0</v>
      </c>
      <c r="AX337" s="251">
        <f t="shared" si="79"/>
        <v>124444.99674269145</v>
      </c>
      <c r="AY337" s="251">
        <f t="shared" si="79"/>
        <v>4074.4947268615838</v>
      </c>
      <c r="AZ337" s="251">
        <f t="shared" si="77"/>
        <v>140112.40478317341</v>
      </c>
      <c r="BA337" s="270">
        <f t="shared" si="75"/>
        <v>7.6517407044838315</v>
      </c>
      <c r="BB337" s="251">
        <f t="shared" si="66"/>
        <v>11592.913313620349</v>
      </c>
      <c r="BC337" s="251">
        <f t="shared" si="67"/>
        <v>128519.49146955303</v>
      </c>
    </row>
    <row r="338" spans="1:55">
      <c r="A338" s="11">
        <v>53936</v>
      </c>
      <c r="B338" s="251">
        <v>100</v>
      </c>
      <c r="C338" s="251">
        <v>295</v>
      </c>
      <c r="D338" s="251">
        <v>5</v>
      </c>
      <c r="E338" s="251">
        <v>220</v>
      </c>
      <c r="F338" s="251">
        <v>44</v>
      </c>
      <c r="G338" s="287">
        <v>0.33</v>
      </c>
      <c r="H338" s="287"/>
      <c r="N338" s="251">
        <f t="shared" si="69"/>
        <v>664.33</v>
      </c>
      <c r="O338" s="251">
        <f>'BBD Monthly Production'!AM29*12</f>
        <v>529.00720917552371</v>
      </c>
      <c r="P338" s="271">
        <f t="shared" si="70"/>
        <v>0.79630185175368218</v>
      </c>
      <c r="Y338" s="251">
        <f>SUM('RD Feedstock'!G325,'RD Feedstock'!I325)</f>
        <v>21.543749999999999</v>
      </c>
      <c r="Z338" s="251">
        <f>SUM('RD Feedstock'!G325,'RD Feedstock'!J325)</f>
        <v>7.65625</v>
      </c>
      <c r="AA338" s="251">
        <v>0</v>
      </c>
      <c r="AB338" s="251">
        <f>SUM('RD Feedstock'!B336,'RD Feedstock'!D336,'RD Feedstock'!H336)</f>
        <v>374.51145833333328</v>
      </c>
      <c r="AC338" s="251">
        <f>SUM('RD Feedstock'!C336,'RD Feedstock'!E336)</f>
        <v>12.34375</v>
      </c>
      <c r="AD338" s="251">
        <f t="shared" si="78"/>
        <v>416.05520833333327</v>
      </c>
      <c r="AH338" s="237">
        <f t="shared" si="76"/>
        <v>5.1780988600771641E-2</v>
      </c>
      <c r="AI338" s="237">
        <f t="shared" si="76"/>
        <v>1.8402004942252758E-2</v>
      </c>
      <c r="AJ338" s="237">
        <f t="shared" si="76"/>
        <v>0</v>
      </c>
      <c r="AK338" s="237">
        <f t="shared" si="76"/>
        <v>0.90014846787660896</v>
      </c>
      <c r="AL338" s="237">
        <f t="shared" si="76"/>
        <v>2.9668538580366693E-2</v>
      </c>
      <c r="AM338" s="237">
        <f t="shared" si="71"/>
        <v>1</v>
      </c>
      <c r="AO338" s="237">
        <f t="shared" si="72"/>
        <v>0.73779965753424659</v>
      </c>
      <c r="AP338" s="237">
        <f t="shared" si="73"/>
        <v>0.26220034246575341</v>
      </c>
      <c r="AQ338" s="237">
        <f t="shared" si="74"/>
        <v>0</v>
      </c>
      <c r="AR338" s="237">
        <f t="shared" si="65"/>
        <v>0.96809206717629603</v>
      </c>
      <c r="AS338" s="237">
        <f t="shared" si="65"/>
        <v>3.1907932823703966E-2</v>
      </c>
      <c r="AU338" s="251">
        <f t="shared" si="79"/>
        <v>9712.2395053910623</v>
      </c>
      <c r="AV338" s="251">
        <f t="shared" si="79"/>
        <v>2947.4324908706935</v>
      </c>
      <c r="AW338" s="251">
        <f t="shared" si="79"/>
        <v>0</v>
      </c>
      <c r="AX338" s="251">
        <f t="shared" si="79"/>
        <v>135896.19776483468</v>
      </c>
      <c r="AY338" s="251">
        <f t="shared" si="79"/>
        <v>4449.4222804170458</v>
      </c>
      <c r="AZ338" s="251">
        <f t="shared" si="77"/>
        <v>153005.29204151349</v>
      </c>
      <c r="BA338" s="270">
        <f t="shared" si="75"/>
        <v>7.6517407044838288</v>
      </c>
      <c r="BB338" s="251">
        <f t="shared" si="66"/>
        <v>12659.671996261755</v>
      </c>
      <c r="BC338" s="251">
        <f t="shared" si="67"/>
        <v>140345.62004525174</v>
      </c>
    </row>
    <row r="339" spans="1:55">
      <c r="A339" s="11">
        <v>53966</v>
      </c>
      <c r="B339" s="251">
        <v>100</v>
      </c>
      <c r="C339" s="251">
        <v>295</v>
      </c>
      <c r="D339" s="251">
        <v>5</v>
      </c>
      <c r="E339" s="251">
        <v>220</v>
      </c>
      <c r="F339" s="251">
        <v>44</v>
      </c>
      <c r="G339" s="287">
        <v>0.33</v>
      </c>
      <c r="H339" s="287"/>
      <c r="N339" s="251">
        <f t="shared" si="69"/>
        <v>664.33</v>
      </c>
      <c r="O339" s="251">
        <f>'BBD Monthly Production'!AM30*12</f>
        <v>422.69672469569446</v>
      </c>
      <c r="P339" s="271">
        <f t="shared" si="70"/>
        <v>0.63627523173075795</v>
      </c>
      <c r="Y339" s="251">
        <f>SUM('RD Feedstock'!G326,'RD Feedstock'!I326)</f>
        <v>21.543749999999999</v>
      </c>
      <c r="Z339" s="251">
        <f>SUM('RD Feedstock'!G326,'RD Feedstock'!J326)</f>
        <v>7.65625</v>
      </c>
      <c r="AA339" s="251">
        <v>0</v>
      </c>
      <c r="AB339" s="251">
        <f>SUM('RD Feedstock'!B337,'RD Feedstock'!D337,'RD Feedstock'!H337)</f>
        <v>374.51145833333328</v>
      </c>
      <c r="AC339" s="251">
        <f>SUM('RD Feedstock'!C337,'RD Feedstock'!E337)</f>
        <v>12.34375</v>
      </c>
      <c r="AD339" s="251">
        <f t="shared" si="78"/>
        <v>416.05520833333327</v>
      </c>
      <c r="AH339" s="237">
        <f t="shared" si="76"/>
        <v>5.1780988600771641E-2</v>
      </c>
      <c r="AI339" s="237">
        <f t="shared" si="76"/>
        <v>1.8402004942252758E-2</v>
      </c>
      <c r="AJ339" s="237">
        <f t="shared" si="76"/>
        <v>0</v>
      </c>
      <c r="AK339" s="237">
        <f t="shared" si="76"/>
        <v>0.90014846787660896</v>
      </c>
      <c r="AL339" s="237">
        <f t="shared" si="76"/>
        <v>2.9668538580366693E-2</v>
      </c>
      <c r="AM339" s="237">
        <f t="shared" si="71"/>
        <v>1</v>
      </c>
      <c r="AO339" s="237">
        <f t="shared" si="72"/>
        <v>0.73779965753424659</v>
      </c>
      <c r="AP339" s="237">
        <f t="shared" si="73"/>
        <v>0.26220034246575341</v>
      </c>
      <c r="AQ339" s="237">
        <f t="shared" si="74"/>
        <v>0</v>
      </c>
      <c r="AR339" s="237">
        <f t="shared" si="65"/>
        <v>0.96809206717629603</v>
      </c>
      <c r="AS339" s="237">
        <f t="shared" si="65"/>
        <v>3.1907932823703966E-2</v>
      </c>
      <c r="AU339" s="251">
        <f t="shared" si="79"/>
        <v>7760.4459016489336</v>
      </c>
      <c r="AV339" s="251">
        <f t="shared" si="79"/>
        <v>2355.109795373955</v>
      </c>
      <c r="AW339" s="251">
        <f t="shared" si="79"/>
        <v>0</v>
      </c>
      <c r="AX339" s="251">
        <f t="shared" si="79"/>
        <v>108586.190693546</v>
      </c>
      <c r="AY339" s="251">
        <f t="shared" si="79"/>
        <v>3555.2563218402215</v>
      </c>
      <c r="AZ339" s="251">
        <f t="shared" si="77"/>
        <v>122257.00271240911</v>
      </c>
      <c r="BA339" s="270">
        <f t="shared" si="75"/>
        <v>7.6517407044838324</v>
      </c>
      <c r="BB339" s="251">
        <f t="shared" si="66"/>
        <v>10115.555697022888</v>
      </c>
      <c r="BC339" s="251">
        <f t="shared" si="67"/>
        <v>112141.44701538622</v>
      </c>
    </row>
    <row r="340" spans="1:55">
      <c r="A340" s="11">
        <v>53997</v>
      </c>
      <c r="B340" s="251">
        <v>100</v>
      </c>
      <c r="C340" s="251">
        <v>295</v>
      </c>
      <c r="D340" s="251">
        <v>5</v>
      </c>
      <c r="E340" s="251">
        <v>220</v>
      </c>
      <c r="F340" s="251">
        <v>44</v>
      </c>
      <c r="G340" s="287">
        <v>0.33</v>
      </c>
      <c r="H340" s="287"/>
      <c r="N340" s="251">
        <f t="shared" si="69"/>
        <v>664.33</v>
      </c>
      <c r="O340" s="251">
        <f>'BBD Monthly Production'!AM31*12</f>
        <v>544.28933302119685</v>
      </c>
      <c r="P340" s="271">
        <f t="shared" si="70"/>
        <v>0.81930566589074227</v>
      </c>
      <c r="Y340" s="251">
        <f>SUM('RD Feedstock'!G327,'RD Feedstock'!I327)</f>
        <v>21.543749999999999</v>
      </c>
      <c r="Z340" s="251">
        <f>SUM('RD Feedstock'!G327,'RD Feedstock'!J327)</f>
        <v>7.65625</v>
      </c>
      <c r="AA340" s="251">
        <v>0</v>
      </c>
      <c r="AB340" s="251">
        <f>SUM('RD Feedstock'!B338,'RD Feedstock'!D338,'RD Feedstock'!H338)</f>
        <v>374.51145833333328</v>
      </c>
      <c r="AC340" s="251">
        <f>SUM('RD Feedstock'!C338,'RD Feedstock'!E338)</f>
        <v>12.34375</v>
      </c>
      <c r="AD340" s="251">
        <f t="shared" si="78"/>
        <v>416.05520833333327</v>
      </c>
      <c r="AH340" s="237">
        <f t="shared" si="76"/>
        <v>5.1780988600771641E-2</v>
      </c>
      <c r="AI340" s="237">
        <f t="shared" si="76"/>
        <v>1.8402004942252758E-2</v>
      </c>
      <c r="AJ340" s="237">
        <f t="shared" si="76"/>
        <v>0</v>
      </c>
      <c r="AK340" s="237">
        <f t="shared" si="76"/>
        <v>0.90014846787660896</v>
      </c>
      <c r="AL340" s="237">
        <f t="shared" si="76"/>
        <v>2.9668538580366693E-2</v>
      </c>
      <c r="AM340" s="237">
        <f t="shared" si="71"/>
        <v>1</v>
      </c>
      <c r="AO340" s="237">
        <f t="shared" si="72"/>
        <v>0.73779965753424659</v>
      </c>
      <c r="AP340" s="237">
        <f t="shared" si="73"/>
        <v>0.26220034246575341</v>
      </c>
      <c r="AQ340" s="237">
        <f t="shared" si="74"/>
        <v>0</v>
      </c>
      <c r="AR340" s="237">
        <f t="shared" si="65"/>
        <v>0.96809206717629603</v>
      </c>
      <c r="AS340" s="237">
        <f t="shared" si="65"/>
        <v>3.1907932823703966E-2</v>
      </c>
      <c r="AU340" s="251">
        <f t="shared" si="79"/>
        <v>9992.8096835773831</v>
      </c>
      <c r="AV340" s="251">
        <f t="shared" si="79"/>
        <v>3032.5788321132791</v>
      </c>
      <c r="AW340" s="251">
        <f t="shared" si="79"/>
        <v>0</v>
      </c>
      <c r="AX340" s="251">
        <f t="shared" si="79"/>
        <v>139822.00914958888</v>
      </c>
      <c r="AY340" s="251">
        <f t="shared" si="79"/>
        <v>4577.9585671663426</v>
      </c>
      <c r="AZ340" s="251">
        <f t="shared" si="77"/>
        <v>157425.35623244589</v>
      </c>
      <c r="BA340" s="270">
        <f t="shared" si="75"/>
        <v>7.6517407044838315</v>
      </c>
      <c r="BB340" s="251">
        <f t="shared" si="66"/>
        <v>13025.388515690662</v>
      </c>
      <c r="BC340" s="251">
        <f t="shared" si="67"/>
        <v>144399.96771675523</v>
      </c>
    </row>
    <row r="341" spans="1:55">
      <c r="A341" s="11">
        <v>54027</v>
      </c>
      <c r="B341" s="251">
        <v>100</v>
      </c>
      <c r="C341" s="251">
        <v>295</v>
      </c>
      <c r="D341" s="251">
        <v>5</v>
      </c>
      <c r="E341" s="251">
        <v>220</v>
      </c>
      <c r="F341" s="251">
        <v>44</v>
      </c>
      <c r="G341" s="287">
        <v>0.33</v>
      </c>
      <c r="H341" s="287"/>
      <c r="N341" s="251">
        <f t="shared" si="69"/>
        <v>664.33</v>
      </c>
      <c r="O341" s="251">
        <f>'BBD Monthly Production'!AM32*12</f>
        <v>748.67261125732887</v>
      </c>
      <c r="P341" s="271">
        <f t="shared" si="70"/>
        <v>1.1269589078580355</v>
      </c>
      <c r="Y341" s="251">
        <f>SUM('RD Feedstock'!G328,'RD Feedstock'!I328)</f>
        <v>21.543749999999999</v>
      </c>
      <c r="Z341" s="251">
        <f>SUM('RD Feedstock'!G328,'RD Feedstock'!J328)</f>
        <v>7.65625</v>
      </c>
      <c r="AA341" s="251">
        <v>0</v>
      </c>
      <c r="AB341" s="251">
        <f>SUM('RD Feedstock'!B339,'RD Feedstock'!D339,'RD Feedstock'!H339)</f>
        <v>374.51145833333328</v>
      </c>
      <c r="AC341" s="251">
        <f>SUM('RD Feedstock'!C339,'RD Feedstock'!E339)</f>
        <v>12.34375</v>
      </c>
      <c r="AD341" s="251">
        <f t="shared" si="78"/>
        <v>416.05520833333327</v>
      </c>
      <c r="AH341" s="237">
        <f t="shared" si="76"/>
        <v>5.1780988600771641E-2</v>
      </c>
      <c r="AI341" s="237">
        <f t="shared" si="76"/>
        <v>1.8402004942252758E-2</v>
      </c>
      <c r="AJ341" s="237">
        <f t="shared" si="76"/>
        <v>0</v>
      </c>
      <c r="AK341" s="237">
        <f t="shared" si="76"/>
        <v>0.90014846787660896</v>
      </c>
      <c r="AL341" s="237">
        <f t="shared" si="76"/>
        <v>2.9668538580366693E-2</v>
      </c>
      <c r="AM341" s="237">
        <f t="shared" si="71"/>
        <v>1</v>
      </c>
      <c r="AO341" s="237">
        <f t="shared" si="72"/>
        <v>0.73779965753424659</v>
      </c>
      <c r="AP341" s="237">
        <f t="shared" si="73"/>
        <v>0.26220034246575341</v>
      </c>
      <c r="AQ341" s="237">
        <f t="shared" si="74"/>
        <v>0</v>
      </c>
      <c r="AR341" s="237">
        <f t="shared" si="65"/>
        <v>0.96809206717629603</v>
      </c>
      <c r="AS341" s="237">
        <f t="shared" si="65"/>
        <v>3.1907932823703966E-2</v>
      </c>
      <c r="AU341" s="251">
        <f t="shared" si="79"/>
        <v>13745.158072590864</v>
      </c>
      <c r="AV341" s="251">
        <f t="shared" si="79"/>
        <v>4171.3268574997601</v>
      </c>
      <c r="AW341" s="251">
        <f t="shared" si="79"/>
        <v>0</v>
      </c>
      <c r="AX341" s="251">
        <f t="shared" si="79"/>
        <v>192325.85015071777</v>
      </c>
      <c r="AY341" s="251">
        <f t="shared" si="79"/>
        <v>6297.0041607903586</v>
      </c>
      <c r="AZ341" s="251">
        <f t="shared" si="77"/>
        <v>216539.33924159876</v>
      </c>
      <c r="BA341" s="270">
        <f t="shared" si="75"/>
        <v>7.6517407044838315</v>
      </c>
      <c r="BB341" s="251">
        <f t="shared" si="66"/>
        <v>17916.484930090624</v>
      </c>
      <c r="BC341" s="251">
        <f t="shared" si="67"/>
        <v>198622.85431150813</v>
      </c>
    </row>
    <row r="342" spans="1:55">
      <c r="A342" s="11">
        <v>54058</v>
      </c>
      <c r="B342" s="251">
        <v>100</v>
      </c>
      <c r="C342" s="251">
        <v>295</v>
      </c>
      <c r="D342" s="251">
        <v>5</v>
      </c>
      <c r="E342" s="251">
        <v>220</v>
      </c>
      <c r="F342" s="251">
        <v>44</v>
      </c>
      <c r="G342" s="287">
        <v>0.33</v>
      </c>
      <c r="H342" s="287"/>
      <c r="N342" s="251">
        <f t="shared" si="69"/>
        <v>664.33</v>
      </c>
      <c r="O342" s="251">
        <f>'BBD Monthly Production'!AN21*12</f>
        <v>234.87991961479338</v>
      </c>
      <c r="P342" s="271">
        <f t="shared" si="70"/>
        <v>0.35355910408199742</v>
      </c>
      <c r="Y342" s="251">
        <f>SUM('RD Feedstock'!G329,'RD Feedstock'!I329)</f>
        <v>21.543749999999999</v>
      </c>
      <c r="Z342" s="251">
        <f>SUM('RD Feedstock'!G329,'RD Feedstock'!J329)</f>
        <v>7.65625</v>
      </c>
      <c r="AA342" s="251">
        <v>0</v>
      </c>
      <c r="AB342" s="251">
        <f>SUM('RD Feedstock'!B340,'RD Feedstock'!D340,'RD Feedstock'!H340)</f>
        <v>374.51145833333328</v>
      </c>
      <c r="AC342" s="251">
        <f>SUM('RD Feedstock'!C340,'RD Feedstock'!E340)</f>
        <v>12.34375</v>
      </c>
      <c r="AD342" s="251">
        <f t="shared" si="78"/>
        <v>416.05520833333327</v>
      </c>
      <c r="AH342" s="237">
        <f t="shared" si="76"/>
        <v>5.1780988600771641E-2</v>
      </c>
      <c r="AI342" s="237">
        <f t="shared" si="76"/>
        <v>1.8402004942252758E-2</v>
      </c>
      <c r="AJ342" s="237">
        <f t="shared" si="76"/>
        <v>0</v>
      </c>
      <c r="AK342" s="237">
        <f t="shared" si="76"/>
        <v>0.90014846787660896</v>
      </c>
      <c r="AL342" s="237">
        <f t="shared" si="76"/>
        <v>2.9668538580366693E-2</v>
      </c>
      <c r="AM342" s="237">
        <f t="shared" si="71"/>
        <v>1</v>
      </c>
      <c r="AO342" s="237">
        <f t="shared" si="72"/>
        <v>0.73779965753424659</v>
      </c>
      <c r="AP342" s="237">
        <f t="shared" si="73"/>
        <v>0.26220034246575341</v>
      </c>
      <c r="AQ342" s="237">
        <f t="shared" si="74"/>
        <v>0</v>
      </c>
      <c r="AR342" s="237">
        <f t="shared" si="65"/>
        <v>0.96809206717629603</v>
      </c>
      <c r="AS342" s="237">
        <f t="shared" si="65"/>
        <v>3.1907932823703966E-2</v>
      </c>
      <c r="AU342" s="251">
        <f t="shared" si="79"/>
        <v>4312.2475360235985</v>
      </c>
      <c r="AV342" s="251">
        <f t="shared" si="79"/>
        <v>1308.664030504804</v>
      </c>
      <c r="AW342" s="251">
        <f t="shared" si="79"/>
        <v>0</v>
      </c>
      <c r="AX342" s="251">
        <f t="shared" si="79"/>
        <v>60338.096444295661</v>
      </c>
      <c r="AY342" s="251">
        <f t="shared" si="79"/>
        <v>1975.5495377566219</v>
      </c>
      <c r="AZ342" s="251">
        <f t="shared" si="77"/>
        <v>67934.557548580691</v>
      </c>
      <c r="BA342" s="270">
        <f t="shared" si="75"/>
        <v>7.6517407044838306</v>
      </c>
      <c r="BB342" s="251">
        <f t="shared" si="66"/>
        <v>5620.9115665284025</v>
      </c>
      <c r="BC342" s="251">
        <f t="shared" si="67"/>
        <v>62313.64598205228</v>
      </c>
    </row>
    <row r="343" spans="1:55">
      <c r="A343" s="11">
        <v>54089</v>
      </c>
      <c r="B343" s="251">
        <v>100</v>
      </c>
      <c r="C343" s="251">
        <v>295</v>
      </c>
      <c r="D343" s="251">
        <v>5</v>
      </c>
      <c r="E343" s="251">
        <v>220</v>
      </c>
      <c r="F343" s="251">
        <v>44</v>
      </c>
      <c r="G343" s="287">
        <v>0.33</v>
      </c>
      <c r="H343" s="287"/>
      <c r="N343" s="251">
        <f t="shared" si="69"/>
        <v>664.33</v>
      </c>
      <c r="O343" s="251">
        <f>'BBD Monthly Production'!AN22*12</f>
        <v>275.73652804543178</v>
      </c>
      <c r="P343" s="271">
        <f t="shared" si="70"/>
        <v>0.41505957588161269</v>
      </c>
      <c r="Y343" s="251">
        <f>SUM('RD Feedstock'!G330,'RD Feedstock'!I330)</f>
        <v>21.543749999999999</v>
      </c>
      <c r="Z343" s="251">
        <f>SUM('RD Feedstock'!G330,'RD Feedstock'!J330)</f>
        <v>7.65625</v>
      </c>
      <c r="AA343" s="251">
        <v>0</v>
      </c>
      <c r="AB343" s="251">
        <f>SUM('RD Feedstock'!B341,'RD Feedstock'!D341,'RD Feedstock'!H341)</f>
        <v>374.51145833333328</v>
      </c>
      <c r="AC343" s="251">
        <f>SUM('RD Feedstock'!C341,'RD Feedstock'!E341)</f>
        <v>12.34375</v>
      </c>
      <c r="AD343" s="251">
        <f t="shared" si="78"/>
        <v>416.05520833333327</v>
      </c>
      <c r="AH343" s="237">
        <f t="shared" si="76"/>
        <v>5.1780988600771641E-2</v>
      </c>
      <c r="AI343" s="237">
        <f t="shared" si="76"/>
        <v>1.8402004942252758E-2</v>
      </c>
      <c r="AJ343" s="237">
        <f t="shared" si="76"/>
        <v>0</v>
      </c>
      <c r="AK343" s="237">
        <f t="shared" si="76"/>
        <v>0.90014846787660896</v>
      </c>
      <c r="AL343" s="237">
        <f t="shared" si="76"/>
        <v>2.9668538580366693E-2</v>
      </c>
      <c r="AM343" s="237">
        <f t="shared" si="71"/>
        <v>1</v>
      </c>
      <c r="AO343" s="237">
        <f t="shared" si="72"/>
        <v>0.73779965753424659</v>
      </c>
      <c r="AP343" s="237">
        <f t="shared" si="73"/>
        <v>0.26220034246575341</v>
      </c>
      <c r="AQ343" s="237">
        <f t="shared" si="74"/>
        <v>0</v>
      </c>
      <c r="AR343" s="237">
        <f t="shared" si="65"/>
        <v>0.96809206717629603</v>
      </c>
      <c r="AS343" s="237">
        <f t="shared" si="65"/>
        <v>3.1907932823703966E-2</v>
      </c>
      <c r="AU343" s="251">
        <f t="shared" si="79"/>
        <v>5062.3491595435898</v>
      </c>
      <c r="AV343" s="251">
        <f t="shared" si="79"/>
        <v>1536.3019399066952</v>
      </c>
      <c r="AW343" s="251">
        <f t="shared" si="79"/>
        <v>0</v>
      </c>
      <c r="AX343" s="251">
        <f t="shared" si="79"/>
        <v>70833.71473264345</v>
      </c>
      <c r="AY343" s="251">
        <f t="shared" si="79"/>
        <v>2319.19004151626</v>
      </c>
      <c r="AZ343" s="251">
        <f t="shared" si="77"/>
        <v>79751.555873609992</v>
      </c>
      <c r="BA343" s="270">
        <f t="shared" si="75"/>
        <v>7.6517407044838306</v>
      </c>
      <c r="BB343" s="251">
        <f t="shared" si="66"/>
        <v>6598.6510994502851</v>
      </c>
      <c r="BC343" s="251">
        <f t="shared" si="67"/>
        <v>73152.904774159717</v>
      </c>
    </row>
    <row r="344" spans="1:55">
      <c r="A344" s="11">
        <v>54118</v>
      </c>
      <c r="B344" s="251">
        <v>100</v>
      </c>
      <c r="C344" s="251">
        <v>295</v>
      </c>
      <c r="D344" s="251">
        <v>5</v>
      </c>
      <c r="E344" s="251">
        <v>220</v>
      </c>
      <c r="F344" s="251">
        <v>44</v>
      </c>
      <c r="G344" s="287">
        <v>0.33</v>
      </c>
      <c r="H344" s="287"/>
      <c r="N344" s="251">
        <f t="shared" si="69"/>
        <v>664.33</v>
      </c>
      <c r="O344" s="251">
        <f>'BBD Monthly Production'!AN23*12</f>
        <v>538.73443507421791</v>
      </c>
      <c r="P344" s="271">
        <f t="shared" si="70"/>
        <v>0.81094401137118277</v>
      </c>
      <c r="Y344" s="251">
        <f>SUM('RD Feedstock'!G331,'RD Feedstock'!I331)</f>
        <v>21.543749999999999</v>
      </c>
      <c r="Z344" s="251">
        <f>SUM('RD Feedstock'!G331,'RD Feedstock'!J331)</f>
        <v>7.65625</v>
      </c>
      <c r="AA344" s="251">
        <v>0</v>
      </c>
      <c r="AB344" s="251">
        <f>SUM('RD Feedstock'!B342,'RD Feedstock'!D342,'RD Feedstock'!H342)</f>
        <v>374.51145833333328</v>
      </c>
      <c r="AC344" s="251">
        <f>SUM('RD Feedstock'!C342,'RD Feedstock'!E342)</f>
        <v>12.34375</v>
      </c>
      <c r="AD344" s="251">
        <f t="shared" si="78"/>
        <v>416.05520833333327</v>
      </c>
      <c r="AH344" s="237">
        <f t="shared" si="76"/>
        <v>5.1780988600771641E-2</v>
      </c>
      <c r="AI344" s="237">
        <f t="shared" si="76"/>
        <v>1.8402004942252758E-2</v>
      </c>
      <c r="AJ344" s="237">
        <f t="shared" si="76"/>
        <v>0</v>
      </c>
      <c r="AK344" s="237">
        <f t="shared" si="76"/>
        <v>0.90014846787660896</v>
      </c>
      <c r="AL344" s="237">
        <f t="shared" si="76"/>
        <v>2.9668538580366693E-2</v>
      </c>
      <c r="AM344" s="237">
        <f t="shared" si="71"/>
        <v>1</v>
      </c>
      <c r="AO344" s="237">
        <f t="shared" si="72"/>
        <v>0.73779965753424659</v>
      </c>
      <c r="AP344" s="237">
        <f t="shared" si="73"/>
        <v>0.26220034246575341</v>
      </c>
      <c r="AQ344" s="237">
        <f t="shared" si="74"/>
        <v>0</v>
      </c>
      <c r="AR344" s="237">
        <f t="shared" si="65"/>
        <v>0.96809206717629603</v>
      </c>
      <c r="AS344" s="237">
        <f t="shared" si="65"/>
        <v>3.1907932823703966E-2</v>
      </c>
      <c r="AU344" s="251">
        <f t="shared" si="79"/>
        <v>9890.8252524518648</v>
      </c>
      <c r="AV344" s="251">
        <f t="shared" si="79"/>
        <v>3001.6289954977933</v>
      </c>
      <c r="AW344" s="251">
        <f t="shared" si="79"/>
        <v>0</v>
      </c>
      <c r="AX344" s="251">
        <f t="shared" si="79"/>
        <v>138395.016290375</v>
      </c>
      <c r="AY344" s="251">
        <f t="shared" si="79"/>
        <v>4531.2369228068046</v>
      </c>
      <c r="AZ344" s="251">
        <f t="shared" si="77"/>
        <v>155818.70746113145</v>
      </c>
      <c r="BA344" s="270">
        <f t="shared" si="75"/>
        <v>7.6517407044838288</v>
      </c>
      <c r="BB344" s="251">
        <f t="shared" si="66"/>
        <v>12892.454247949658</v>
      </c>
      <c r="BC344" s="251">
        <f t="shared" si="67"/>
        <v>142926.2532131818</v>
      </c>
    </row>
    <row r="345" spans="1:55">
      <c r="A345" s="11">
        <v>54149</v>
      </c>
      <c r="B345" s="251">
        <v>100</v>
      </c>
      <c r="C345" s="251">
        <v>295</v>
      </c>
      <c r="D345" s="251">
        <v>5</v>
      </c>
      <c r="E345" s="251">
        <v>220</v>
      </c>
      <c r="F345" s="251">
        <v>44</v>
      </c>
      <c r="G345" s="287">
        <v>0.33</v>
      </c>
      <c r="H345" s="287"/>
      <c r="N345" s="251">
        <f t="shared" si="69"/>
        <v>664.33</v>
      </c>
      <c r="O345" s="251">
        <f>'BBD Monthly Production'!AN24*12</f>
        <v>466.34410133355652</v>
      </c>
      <c r="P345" s="271">
        <f t="shared" si="70"/>
        <v>0.70197657991292961</v>
      </c>
      <c r="Y345" s="251">
        <f>SUM('RD Feedstock'!G332,'RD Feedstock'!I332)</f>
        <v>21.543749999999999</v>
      </c>
      <c r="Z345" s="251">
        <f>SUM('RD Feedstock'!G332,'RD Feedstock'!J332)</f>
        <v>7.65625</v>
      </c>
      <c r="AA345" s="251">
        <v>0</v>
      </c>
      <c r="AB345" s="251">
        <f>SUM('RD Feedstock'!B343,'RD Feedstock'!D343,'RD Feedstock'!H343)</f>
        <v>374.51145833333328</v>
      </c>
      <c r="AC345" s="251">
        <f>SUM('RD Feedstock'!C343,'RD Feedstock'!E343)</f>
        <v>12.34375</v>
      </c>
      <c r="AD345" s="251">
        <f t="shared" si="78"/>
        <v>416.05520833333327</v>
      </c>
      <c r="AH345" s="237">
        <f t="shared" si="76"/>
        <v>5.1780988600771641E-2</v>
      </c>
      <c r="AI345" s="237">
        <f t="shared" si="76"/>
        <v>1.8402004942252758E-2</v>
      </c>
      <c r="AJ345" s="237">
        <f t="shared" si="76"/>
        <v>0</v>
      </c>
      <c r="AK345" s="237">
        <f t="shared" si="76"/>
        <v>0.90014846787660896</v>
      </c>
      <c r="AL345" s="237">
        <f t="shared" si="76"/>
        <v>2.9668538580366693E-2</v>
      </c>
      <c r="AM345" s="237">
        <f t="shared" si="71"/>
        <v>1</v>
      </c>
      <c r="AO345" s="237">
        <f t="shared" si="72"/>
        <v>0.73779965753424659</v>
      </c>
      <c r="AP345" s="237">
        <f t="shared" si="73"/>
        <v>0.26220034246575341</v>
      </c>
      <c r="AQ345" s="237">
        <f t="shared" si="74"/>
        <v>0</v>
      </c>
      <c r="AR345" s="237">
        <f t="shared" si="65"/>
        <v>0.96809206717629603</v>
      </c>
      <c r="AS345" s="237">
        <f t="shared" si="65"/>
        <v>3.1907932823703966E-2</v>
      </c>
      <c r="AU345" s="251">
        <f t="shared" si="79"/>
        <v>8561.7842734824881</v>
      </c>
      <c r="AV345" s="251">
        <f t="shared" si="79"/>
        <v>2598.2968329271994</v>
      </c>
      <c r="AW345" s="251">
        <f t="shared" si="79"/>
        <v>0</v>
      </c>
      <c r="AX345" s="251">
        <f t="shared" si="79"/>
        <v>119798.72697776713</v>
      </c>
      <c r="AY345" s="251">
        <f t="shared" si="79"/>
        <v>3922.3696744104705</v>
      </c>
      <c r="AZ345" s="251">
        <f t="shared" si="77"/>
        <v>134881.17775858729</v>
      </c>
      <c r="BA345" s="270">
        <f t="shared" si="75"/>
        <v>7.6517407044838297</v>
      </c>
      <c r="BB345" s="251">
        <f t="shared" si="66"/>
        <v>11160.081106409687</v>
      </c>
      <c r="BC345" s="251">
        <f t="shared" si="67"/>
        <v>123721.0966521776</v>
      </c>
    </row>
    <row r="346" spans="1:55">
      <c r="A346" s="11">
        <v>54179</v>
      </c>
      <c r="B346" s="251">
        <v>100</v>
      </c>
      <c r="C346" s="251">
        <v>295</v>
      </c>
      <c r="D346" s="251">
        <v>5</v>
      </c>
      <c r="E346" s="251">
        <v>220</v>
      </c>
      <c r="F346" s="251">
        <v>44</v>
      </c>
      <c r="G346" s="287">
        <v>0.33</v>
      </c>
      <c r="H346" s="287"/>
      <c r="N346" s="251">
        <f t="shared" si="69"/>
        <v>664.33</v>
      </c>
      <c r="O346" s="251">
        <f>'BBD Monthly Production'!AN25*12</f>
        <v>502.12734865628539</v>
      </c>
      <c r="P346" s="271">
        <f t="shared" si="70"/>
        <v>0.75584024303627018</v>
      </c>
      <c r="Y346" s="251">
        <f>SUM('RD Feedstock'!G333,'RD Feedstock'!I333)</f>
        <v>21.543749999999999</v>
      </c>
      <c r="Z346" s="251">
        <f>SUM('RD Feedstock'!G333,'RD Feedstock'!J333)</f>
        <v>7.65625</v>
      </c>
      <c r="AA346" s="251">
        <v>0</v>
      </c>
      <c r="AB346" s="251">
        <f>SUM('RD Feedstock'!B344,'RD Feedstock'!D344,'RD Feedstock'!H344)</f>
        <v>374.51145833333328</v>
      </c>
      <c r="AC346" s="251">
        <f>SUM('RD Feedstock'!C344,'RD Feedstock'!E344)</f>
        <v>12.34375</v>
      </c>
      <c r="AD346" s="251">
        <f t="shared" si="78"/>
        <v>416.05520833333327</v>
      </c>
      <c r="AH346" s="237">
        <f t="shared" si="76"/>
        <v>5.1780988600771641E-2</v>
      </c>
      <c r="AI346" s="237">
        <f t="shared" si="76"/>
        <v>1.8402004942252758E-2</v>
      </c>
      <c r="AJ346" s="237">
        <f t="shared" si="76"/>
        <v>0</v>
      </c>
      <c r="AK346" s="237">
        <f t="shared" si="76"/>
        <v>0.90014846787660896</v>
      </c>
      <c r="AL346" s="237">
        <f t="shared" si="76"/>
        <v>2.9668538580366693E-2</v>
      </c>
      <c r="AM346" s="237">
        <f t="shared" si="71"/>
        <v>1</v>
      </c>
      <c r="AO346" s="237">
        <f t="shared" si="72"/>
        <v>0.73779965753424659</v>
      </c>
      <c r="AP346" s="237">
        <f t="shared" si="73"/>
        <v>0.26220034246575341</v>
      </c>
      <c r="AQ346" s="237">
        <f t="shared" si="74"/>
        <v>0</v>
      </c>
      <c r="AR346" s="237">
        <f t="shared" ref="AR346:AS377" si="80">AB346/SUM($AB346:$AC346)</f>
        <v>0.96809206717629603</v>
      </c>
      <c r="AS346" s="237">
        <f t="shared" si="80"/>
        <v>3.1907932823703966E-2</v>
      </c>
      <c r="AU346" s="251">
        <f t="shared" si="79"/>
        <v>9218.7421792558926</v>
      </c>
      <c r="AV346" s="251">
        <f t="shared" si="79"/>
        <v>2797.6678508614341</v>
      </c>
      <c r="AW346" s="251">
        <f t="shared" si="79"/>
        <v>0</v>
      </c>
      <c r="AX346" s="251">
        <f t="shared" si="79"/>
        <v>128991.05398294427</v>
      </c>
      <c r="AY346" s="251">
        <f t="shared" si="79"/>
        <v>4223.3386879548516</v>
      </c>
      <c r="AZ346" s="251">
        <f t="shared" si="77"/>
        <v>145230.80270101645</v>
      </c>
      <c r="BA346" s="270">
        <f t="shared" si="75"/>
        <v>7.6517407044838306</v>
      </c>
      <c r="BB346" s="251">
        <f t="shared" ref="BB346:BB377" si="81">SUM(AU346:AW346)</f>
        <v>12016.410030117328</v>
      </c>
      <c r="BC346" s="251">
        <f t="shared" ref="BC346:BC377" si="82">SUM(AX346:AY346)</f>
        <v>133214.39267089913</v>
      </c>
    </row>
    <row r="347" spans="1:55">
      <c r="A347" s="11">
        <v>54210</v>
      </c>
      <c r="B347" s="251">
        <v>100</v>
      </c>
      <c r="C347" s="251">
        <v>295</v>
      </c>
      <c r="D347" s="251">
        <v>5</v>
      </c>
      <c r="E347" s="251">
        <v>220</v>
      </c>
      <c r="F347" s="251">
        <v>44</v>
      </c>
      <c r="G347" s="287">
        <v>0.33</v>
      </c>
      <c r="H347" s="287"/>
      <c r="N347" s="251">
        <f t="shared" si="69"/>
        <v>664.33</v>
      </c>
      <c r="O347" s="251">
        <f>'BBD Monthly Production'!AN26*12</f>
        <v>626.18218932713023</v>
      </c>
      <c r="P347" s="271">
        <f t="shared" si="70"/>
        <v>0.94257701643329395</v>
      </c>
      <c r="Y347" s="251">
        <f>SUM('RD Feedstock'!G334,'RD Feedstock'!I334)</f>
        <v>21.543749999999999</v>
      </c>
      <c r="Z347" s="251">
        <f>SUM('RD Feedstock'!G334,'RD Feedstock'!J334)</f>
        <v>7.65625</v>
      </c>
      <c r="AA347" s="251">
        <v>0</v>
      </c>
      <c r="AB347" s="251">
        <f>SUM('RD Feedstock'!B345,'RD Feedstock'!D345,'RD Feedstock'!H345)</f>
        <v>374.51145833333328</v>
      </c>
      <c r="AC347" s="251">
        <f>SUM('RD Feedstock'!C345,'RD Feedstock'!E345)</f>
        <v>12.34375</v>
      </c>
      <c r="AD347" s="251">
        <f t="shared" si="78"/>
        <v>416.05520833333327</v>
      </c>
      <c r="AH347" s="237">
        <f t="shared" si="76"/>
        <v>5.1780988600771641E-2</v>
      </c>
      <c r="AI347" s="237">
        <f t="shared" si="76"/>
        <v>1.8402004942252758E-2</v>
      </c>
      <c r="AJ347" s="237">
        <f t="shared" si="76"/>
        <v>0</v>
      </c>
      <c r="AK347" s="237">
        <f t="shared" si="76"/>
        <v>0.90014846787660896</v>
      </c>
      <c r="AL347" s="237">
        <f t="shared" si="76"/>
        <v>2.9668538580366693E-2</v>
      </c>
      <c r="AM347" s="237">
        <f t="shared" si="71"/>
        <v>1</v>
      </c>
      <c r="AO347" s="237">
        <f t="shared" si="72"/>
        <v>0.73779965753424659</v>
      </c>
      <c r="AP347" s="237">
        <f t="shared" si="73"/>
        <v>0.26220034246575341</v>
      </c>
      <c r="AQ347" s="237">
        <f t="shared" si="74"/>
        <v>0</v>
      </c>
      <c r="AR347" s="237">
        <f t="shared" si="80"/>
        <v>0.96809206717629603</v>
      </c>
      <c r="AS347" s="237">
        <f t="shared" si="80"/>
        <v>3.1907932823703966E-2</v>
      </c>
      <c r="AU347" s="251">
        <f t="shared" si="79"/>
        <v>11496.310997790852</v>
      </c>
      <c r="AV347" s="251">
        <f t="shared" si="79"/>
        <v>3488.8555354544342</v>
      </c>
      <c r="AW347" s="251">
        <f t="shared" si="79"/>
        <v>0</v>
      </c>
      <c r="AX347" s="251">
        <f t="shared" si="79"/>
        <v>160859.39314558986</v>
      </c>
      <c r="AY347" s="251">
        <f t="shared" si="79"/>
        <v>5266.7505025777791</v>
      </c>
      <c r="AZ347" s="251">
        <f t="shared" si="77"/>
        <v>181111.31018141293</v>
      </c>
      <c r="BA347" s="270">
        <f t="shared" si="75"/>
        <v>7.6517407044838297</v>
      </c>
      <c r="BB347" s="251">
        <f t="shared" si="81"/>
        <v>14985.166533245287</v>
      </c>
      <c r="BC347" s="251">
        <f t="shared" si="82"/>
        <v>166126.14364816764</v>
      </c>
    </row>
    <row r="348" spans="1:55">
      <c r="A348" s="11">
        <v>54240</v>
      </c>
      <c r="B348" s="251">
        <v>100</v>
      </c>
      <c r="C348" s="251">
        <v>295</v>
      </c>
      <c r="D348" s="251">
        <v>5</v>
      </c>
      <c r="E348" s="251">
        <v>220</v>
      </c>
      <c r="F348" s="251">
        <v>44</v>
      </c>
      <c r="G348" s="287">
        <v>0.33</v>
      </c>
      <c r="H348" s="287"/>
      <c r="N348" s="251">
        <f t="shared" si="69"/>
        <v>664.33</v>
      </c>
      <c r="O348" s="251">
        <f>'BBD Monthly Production'!AN27*12</f>
        <v>551.01383322370384</v>
      </c>
      <c r="P348" s="271">
        <f t="shared" si="70"/>
        <v>0.8294278946061503</v>
      </c>
      <c r="Y348" s="251">
        <f>SUM('RD Feedstock'!G335,'RD Feedstock'!I335)</f>
        <v>21.543749999999999</v>
      </c>
      <c r="Z348" s="251">
        <f>SUM('RD Feedstock'!G335,'RD Feedstock'!J335)</f>
        <v>7.65625</v>
      </c>
      <c r="AA348" s="251">
        <v>0</v>
      </c>
      <c r="AB348" s="251">
        <f>SUM('RD Feedstock'!B346,'RD Feedstock'!D346,'RD Feedstock'!H346)</f>
        <v>374.51145833333328</v>
      </c>
      <c r="AC348" s="251">
        <f>SUM('RD Feedstock'!C346,'RD Feedstock'!E346)</f>
        <v>12.34375</v>
      </c>
      <c r="AD348" s="251">
        <f t="shared" si="78"/>
        <v>416.05520833333327</v>
      </c>
      <c r="AH348" s="237">
        <f t="shared" si="76"/>
        <v>5.1780988600771641E-2</v>
      </c>
      <c r="AI348" s="237">
        <f t="shared" si="76"/>
        <v>1.8402004942252758E-2</v>
      </c>
      <c r="AJ348" s="237">
        <f t="shared" si="76"/>
        <v>0</v>
      </c>
      <c r="AK348" s="237">
        <f t="shared" si="76"/>
        <v>0.90014846787660896</v>
      </c>
      <c r="AL348" s="237">
        <f t="shared" si="76"/>
        <v>2.9668538580366693E-2</v>
      </c>
      <c r="AM348" s="237">
        <f t="shared" si="71"/>
        <v>1</v>
      </c>
      <c r="AO348" s="237">
        <f t="shared" si="72"/>
        <v>0.73779965753424659</v>
      </c>
      <c r="AP348" s="237">
        <f t="shared" si="73"/>
        <v>0.26220034246575341</v>
      </c>
      <c r="AQ348" s="237">
        <f t="shared" si="74"/>
        <v>0</v>
      </c>
      <c r="AR348" s="237">
        <f t="shared" si="80"/>
        <v>0.96809206717629603</v>
      </c>
      <c r="AS348" s="237">
        <f t="shared" si="80"/>
        <v>3.1907932823703966E-2</v>
      </c>
      <c r="AU348" s="251">
        <f t="shared" si="79"/>
        <v>10116.267276192397</v>
      </c>
      <c r="AV348" s="251">
        <f t="shared" si="79"/>
        <v>3070.04525986315</v>
      </c>
      <c r="AW348" s="251">
        <f t="shared" si="79"/>
        <v>0</v>
      </c>
      <c r="AX348" s="251">
        <f t="shared" si="79"/>
        <v>141549.4601059072</v>
      </c>
      <c r="AY348" s="251">
        <f t="shared" si="79"/>
        <v>4634.5176092866486</v>
      </c>
      <c r="AZ348" s="251">
        <f t="shared" si="77"/>
        <v>159370.29025124939</v>
      </c>
      <c r="BA348" s="270">
        <f t="shared" si="75"/>
        <v>7.6517407044838288</v>
      </c>
      <c r="BB348" s="251">
        <f t="shared" si="81"/>
        <v>13186.312536055546</v>
      </c>
      <c r="BC348" s="251">
        <f t="shared" si="82"/>
        <v>146183.97771519385</v>
      </c>
    </row>
    <row r="349" spans="1:55">
      <c r="A349" s="11">
        <v>54271</v>
      </c>
      <c r="B349" s="251">
        <v>100</v>
      </c>
      <c r="C349" s="251">
        <v>295</v>
      </c>
      <c r="D349" s="251">
        <v>5</v>
      </c>
      <c r="E349" s="251">
        <v>220</v>
      </c>
      <c r="F349" s="251">
        <v>44</v>
      </c>
      <c r="G349" s="287">
        <v>0.33</v>
      </c>
      <c r="H349" s="287"/>
      <c r="N349" s="251">
        <f t="shared" si="69"/>
        <v>664.33</v>
      </c>
      <c r="O349" s="251">
        <f>'BBD Monthly Production'!AN28*12</f>
        <v>484.43077704134328</v>
      </c>
      <c r="P349" s="271">
        <f t="shared" si="70"/>
        <v>0.72920201863733869</v>
      </c>
      <c r="Y349" s="251">
        <f>SUM('RD Feedstock'!G336,'RD Feedstock'!I336)</f>
        <v>21.543749999999999</v>
      </c>
      <c r="Z349" s="251">
        <f>SUM('RD Feedstock'!G336,'RD Feedstock'!J336)</f>
        <v>7.65625</v>
      </c>
      <c r="AA349" s="251">
        <v>0</v>
      </c>
      <c r="AB349" s="251">
        <f>SUM('RD Feedstock'!B347,'RD Feedstock'!D347,'RD Feedstock'!H347)</f>
        <v>374.51145833333328</v>
      </c>
      <c r="AC349" s="251">
        <f>SUM('RD Feedstock'!C347,'RD Feedstock'!E347)</f>
        <v>12.34375</v>
      </c>
      <c r="AD349" s="251">
        <f t="shared" si="78"/>
        <v>416.05520833333327</v>
      </c>
      <c r="AH349" s="237">
        <f t="shared" si="76"/>
        <v>5.1780988600771641E-2</v>
      </c>
      <c r="AI349" s="237">
        <f t="shared" si="76"/>
        <v>1.8402004942252758E-2</v>
      </c>
      <c r="AJ349" s="237">
        <f t="shared" si="76"/>
        <v>0</v>
      </c>
      <c r="AK349" s="237">
        <f t="shared" si="76"/>
        <v>0.90014846787660896</v>
      </c>
      <c r="AL349" s="237">
        <f t="shared" si="76"/>
        <v>2.9668538580366693E-2</v>
      </c>
      <c r="AM349" s="237">
        <f t="shared" si="71"/>
        <v>1</v>
      </c>
      <c r="AO349" s="237">
        <f t="shared" si="72"/>
        <v>0.73779965753424659</v>
      </c>
      <c r="AP349" s="237">
        <f t="shared" si="73"/>
        <v>0.26220034246575341</v>
      </c>
      <c r="AQ349" s="237">
        <f t="shared" si="74"/>
        <v>0</v>
      </c>
      <c r="AR349" s="237">
        <f t="shared" si="80"/>
        <v>0.96809206717629603</v>
      </c>
      <c r="AS349" s="237">
        <f t="shared" si="80"/>
        <v>3.1907932823703966E-2</v>
      </c>
      <c r="AU349" s="251">
        <f t="shared" si="79"/>
        <v>8893.8442592133779</v>
      </c>
      <c r="AV349" s="251">
        <f t="shared" si="79"/>
        <v>2699.0690997476395</v>
      </c>
      <c r="AW349" s="251">
        <f t="shared" si="79"/>
        <v>0</v>
      </c>
      <c r="AX349" s="251">
        <f t="shared" si="79"/>
        <v>124444.99722940428</v>
      </c>
      <c r="AY349" s="251">
        <f t="shared" si="79"/>
        <v>4074.4947427972088</v>
      </c>
      <c r="AZ349" s="251">
        <f t="shared" si="77"/>
        <v>140112.40533116253</v>
      </c>
      <c r="BA349" s="270">
        <f t="shared" si="75"/>
        <v>7.6517407044838324</v>
      </c>
      <c r="BB349" s="251">
        <f t="shared" si="81"/>
        <v>11592.913358961017</v>
      </c>
      <c r="BC349" s="251">
        <f t="shared" si="82"/>
        <v>128519.49197220149</v>
      </c>
    </row>
    <row r="350" spans="1:55">
      <c r="A350" s="11">
        <v>54302</v>
      </c>
      <c r="B350" s="251">
        <v>100</v>
      </c>
      <c r="C350" s="251">
        <v>295</v>
      </c>
      <c r="D350" s="251">
        <v>5</v>
      </c>
      <c r="E350" s="251">
        <v>220</v>
      </c>
      <c r="F350" s="251">
        <v>44</v>
      </c>
      <c r="G350" s="287">
        <v>0.33</v>
      </c>
      <c r="H350" s="287"/>
      <c r="N350" s="251">
        <f t="shared" si="69"/>
        <v>664.33</v>
      </c>
      <c r="O350" s="251">
        <f>'BBD Monthly Production'!AN29*12</f>
        <v>529.00712021854213</v>
      </c>
      <c r="P350" s="271">
        <f t="shared" si="70"/>
        <v>0.79630171784887349</v>
      </c>
      <c r="Y350" s="251">
        <f>SUM('RD Feedstock'!G337,'RD Feedstock'!I337)</f>
        <v>21.543749999999999</v>
      </c>
      <c r="Z350" s="251">
        <f>SUM('RD Feedstock'!G337,'RD Feedstock'!J337)</f>
        <v>7.65625</v>
      </c>
      <c r="AA350" s="251">
        <v>0</v>
      </c>
      <c r="AB350" s="251">
        <f>SUM('RD Feedstock'!B348,'RD Feedstock'!D348,'RD Feedstock'!H348)</f>
        <v>374.51145833333328</v>
      </c>
      <c r="AC350" s="251">
        <f>SUM('RD Feedstock'!C348,'RD Feedstock'!E348)</f>
        <v>12.34375</v>
      </c>
      <c r="AD350" s="251">
        <f t="shared" si="78"/>
        <v>416.05520833333327</v>
      </c>
      <c r="AH350" s="237">
        <f t="shared" si="76"/>
        <v>5.1780988600771641E-2</v>
      </c>
      <c r="AI350" s="237">
        <f t="shared" si="76"/>
        <v>1.8402004942252758E-2</v>
      </c>
      <c r="AJ350" s="237">
        <f t="shared" si="76"/>
        <v>0</v>
      </c>
      <c r="AK350" s="237">
        <f t="shared" si="76"/>
        <v>0.90014846787660896</v>
      </c>
      <c r="AL350" s="237">
        <f t="shared" si="76"/>
        <v>2.9668538580366693E-2</v>
      </c>
      <c r="AM350" s="237">
        <f t="shared" si="71"/>
        <v>1</v>
      </c>
      <c r="AO350" s="237">
        <f t="shared" si="72"/>
        <v>0.73779965753424659</v>
      </c>
      <c r="AP350" s="237">
        <f t="shared" si="73"/>
        <v>0.26220034246575341</v>
      </c>
      <c r="AQ350" s="237">
        <f t="shared" si="74"/>
        <v>0</v>
      </c>
      <c r="AR350" s="237">
        <f t="shared" si="80"/>
        <v>0.96809206717629603</v>
      </c>
      <c r="AS350" s="237">
        <f t="shared" si="80"/>
        <v>3.1907932823703966E-2</v>
      </c>
      <c r="AU350" s="251">
        <f t="shared" si="79"/>
        <v>9712.2378721968507</v>
      </c>
      <c r="AV350" s="251">
        <f t="shared" si="79"/>
        <v>2947.4319952352971</v>
      </c>
      <c r="AW350" s="251">
        <f t="shared" si="79"/>
        <v>0</v>
      </c>
      <c r="AX350" s="251">
        <f t="shared" si="79"/>
        <v>135896.17491275381</v>
      </c>
      <c r="AY350" s="251">
        <f t="shared" si="79"/>
        <v>4449.4215322095188</v>
      </c>
      <c r="AZ350" s="251">
        <f t="shared" si="77"/>
        <v>153005.26631239548</v>
      </c>
      <c r="BA350" s="270">
        <f t="shared" si="75"/>
        <v>7.6517407044838324</v>
      </c>
      <c r="BB350" s="251">
        <f t="shared" si="81"/>
        <v>12659.669867432149</v>
      </c>
      <c r="BC350" s="251">
        <f t="shared" si="82"/>
        <v>140345.59644496333</v>
      </c>
    </row>
    <row r="351" spans="1:55">
      <c r="A351" s="11">
        <v>54332</v>
      </c>
      <c r="B351" s="251">
        <v>100</v>
      </c>
      <c r="C351" s="251">
        <v>295</v>
      </c>
      <c r="D351" s="251">
        <v>5</v>
      </c>
      <c r="E351" s="251">
        <v>220</v>
      </c>
      <c r="F351" s="251">
        <v>44</v>
      </c>
      <c r="G351" s="287">
        <v>0.33</v>
      </c>
      <c r="H351" s="287"/>
      <c r="N351" s="251">
        <f t="shared" si="69"/>
        <v>664.33</v>
      </c>
      <c r="O351" s="251">
        <f>'BBD Monthly Production'!AN30*12</f>
        <v>422.69694248834764</v>
      </c>
      <c r="P351" s="271">
        <f t="shared" si="70"/>
        <v>0.6362755595688101</v>
      </c>
      <c r="Y351" s="251">
        <f>SUM('RD Feedstock'!G338,'RD Feedstock'!I338)</f>
        <v>21.543749999999999</v>
      </c>
      <c r="Z351" s="251">
        <f>SUM('RD Feedstock'!G338,'RD Feedstock'!J338)</f>
        <v>7.65625</v>
      </c>
      <c r="AA351" s="251">
        <v>0</v>
      </c>
      <c r="AB351" s="251">
        <f>SUM('RD Feedstock'!B349,'RD Feedstock'!D349,'RD Feedstock'!H349)</f>
        <v>374.51145833333328</v>
      </c>
      <c r="AC351" s="251">
        <f>SUM('RD Feedstock'!C349,'RD Feedstock'!E349)</f>
        <v>12.34375</v>
      </c>
      <c r="AD351" s="251">
        <f t="shared" si="78"/>
        <v>416.05520833333327</v>
      </c>
      <c r="AH351" s="237">
        <f t="shared" si="76"/>
        <v>5.1780988600771641E-2</v>
      </c>
      <c r="AI351" s="237">
        <f t="shared" si="76"/>
        <v>1.8402004942252758E-2</v>
      </c>
      <c r="AJ351" s="237">
        <f t="shared" si="76"/>
        <v>0</v>
      </c>
      <c r="AK351" s="237">
        <f t="shared" si="76"/>
        <v>0.90014846787660896</v>
      </c>
      <c r="AL351" s="237">
        <f t="shared" si="76"/>
        <v>2.9668538580366693E-2</v>
      </c>
      <c r="AM351" s="237">
        <f t="shared" si="71"/>
        <v>1</v>
      </c>
      <c r="AO351" s="237">
        <f t="shared" si="72"/>
        <v>0.73779965753424659</v>
      </c>
      <c r="AP351" s="237">
        <f t="shared" si="73"/>
        <v>0.26220034246575341</v>
      </c>
      <c r="AQ351" s="237">
        <f t="shared" si="74"/>
        <v>0</v>
      </c>
      <c r="AR351" s="237">
        <f t="shared" si="80"/>
        <v>0.96809206717629603</v>
      </c>
      <c r="AS351" s="237">
        <f t="shared" si="80"/>
        <v>3.1907932823703966E-2</v>
      </c>
      <c r="AU351" s="251">
        <f t="shared" si="79"/>
        <v>7760.449900185009</v>
      </c>
      <c r="AV351" s="251">
        <f t="shared" si="79"/>
        <v>2355.111008834057</v>
      </c>
      <c r="AW351" s="251">
        <f t="shared" si="79"/>
        <v>0</v>
      </c>
      <c r="AX351" s="251">
        <f t="shared" si="79"/>
        <v>108586.24664210955</v>
      </c>
      <c r="AY351" s="251">
        <f t="shared" si="79"/>
        <v>3555.2581536706139</v>
      </c>
      <c r="AZ351" s="251">
        <f t="shared" si="77"/>
        <v>122257.06570479923</v>
      </c>
      <c r="BA351" s="270">
        <f t="shared" si="75"/>
        <v>7.6517407044838306</v>
      </c>
      <c r="BB351" s="251">
        <f t="shared" si="81"/>
        <v>10115.560909019066</v>
      </c>
      <c r="BC351" s="251">
        <f t="shared" si="82"/>
        <v>112141.50479578016</v>
      </c>
    </row>
    <row r="352" spans="1:55">
      <c r="A352" s="11">
        <v>54363</v>
      </c>
      <c r="B352" s="251">
        <v>100</v>
      </c>
      <c r="C352" s="251">
        <v>295</v>
      </c>
      <c r="D352" s="251">
        <v>5</v>
      </c>
      <c r="E352" s="251">
        <v>220</v>
      </c>
      <c r="F352" s="251">
        <v>44</v>
      </c>
      <c r="G352" s="287">
        <v>0.33</v>
      </c>
      <c r="H352" s="287"/>
      <c r="N352" s="251">
        <f t="shared" si="69"/>
        <v>664.33</v>
      </c>
      <c r="O352" s="251">
        <f>'BBD Monthly Production'!AN31*12</f>
        <v>544.28948304661412</v>
      </c>
      <c r="P352" s="271">
        <f t="shared" si="70"/>
        <v>0.81930589172040114</v>
      </c>
      <c r="Y352" s="251">
        <f>SUM('RD Feedstock'!G339,'RD Feedstock'!I339)</f>
        <v>21.543749999999999</v>
      </c>
      <c r="Z352" s="251">
        <f>SUM('RD Feedstock'!G339,'RD Feedstock'!J339)</f>
        <v>7.65625</v>
      </c>
      <c r="AA352" s="251">
        <v>0</v>
      </c>
      <c r="AB352" s="251">
        <f>SUM('RD Feedstock'!B350,'RD Feedstock'!D350,'RD Feedstock'!H350)</f>
        <v>374.51145833333328</v>
      </c>
      <c r="AC352" s="251">
        <f>SUM('RD Feedstock'!C350,'RD Feedstock'!E350)</f>
        <v>12.34375</v>
      </c>
      <c r="AD352" s="251">
        <f t="shared" si="78"/>
        <v>416.05520833333327</v>
      </c>
      <c r="AH352" s="237">
        <f t="shared" si="76"/>
        <v>5.1780988600771641E-2</v>
      </c>
      <c r="AI352" s="237">
        <f t="shared" si="76"/>
        <v>1.8402004942252758E-2</v>
      </c>
      <c r="AJ352" s="237">
        <f t="shared" si="76"/>
        <v>0</v>
      </c>
      <c r="AK352" s="237">
        <f t="shared" si="76"/>
        <v>0.90014846787660896</v>
      </c>
      <c r="AL352" s="237">
        <f t="shared" si="76"/>
        <v>2.9668538580366693E-2</v>
      </c>
      <c r="AM352" s="237">
        <f t="shared" si="71"/>
        <v>1</v>
      </c>
      <c r="AO352" s="237">
        <f t="shared" si="72"/>
        <v>0.73779965753424659</v>
      </c>
      <c r="AP352" s="237">
        <f t="shared" si="73"/>
        <v>0.26220034246575341</v>
      </c>
      <c r="AQ352" s="237">
        <f t="shared" si="74"/>
        <v>0</v>
      </c>
      <c r="AR352" s="237">
        <f t="shared" si="80"/>
        <v>0.96809206717629603</v>
      </c>
      <c r="AS352" s="237">
        <f t="shared" si="80"/>
        <v>3.1907932823703966E-2</v>
      </c>
      <c r="AU352" s="251">
        <f t="shared" si="79"/>
        <v>9992.8124379496476</v>
      </c>
      <c r="AV352" s="251">
        <f t="shared" si="79"/>
        <v>3032.5796679994096</v>
      </c>
      <c r="AW352" s="251">
        <f t="shared" si="79"/>
        <v>0</v>
      </c>
      <c r="AX352" s="251">
        <f t="shared" si="79"/>
        <v>139822.04768948667</v>
      </c>
      <c r="AY352" s="251">
        <f t="shared" si="79"/>
        <v>4577.959829013862</v>
      </c>
      <c r="AZ352" s="251">
        <f t="shared" si="77"/>
        <v>157425.39962444958</v>
      </c>
      <c r="BA352" s="270">
        <f t="shared" si="75"/>
        <v>7.6517407044838306</v>
      </c>
      <c r="BB352" s="251">
        <f t="shared" si="81"/>
        <v>13025.392105949057</v>
      </c>
      <c r="BC352" s="251">
        <f t="shared" si="82"/>
        <v>144400.00751850053</v>
      </c>
    </row>
    <row r="353" spans="1:55">
      <c r="A353" s="11">
        <v>54393</v>
      </c>
      <c r="B353" s="251">
        <v>100</v>
      </c>
      <c r="C353" s="251">
        <v>295</v>
      </c>
      <c r="D353" s="251">
        <v>5</v>
      </c>
      <c r="E353" s="251">
        <v>220</v>
      </c>
      <c r="F353" s="251">
        <v>44</v>
      </c>
      <c r="G353" s="287">
        <v>0.33</v>
      </c>
      <c r="H353" s="287"/>
      <c r="N353" s="251">
        <f t="shared" si="69"/>
        <v>664.33</v>
      </c>
      <c r="O353" s="251">
        <f>'BBD Monthly Production'!AN32*12</f>
        <v>748.67330752123962</v>
      </c>
      <c r="P353" s="271">
        <f t="shared" si="70"/>
        <v>1.1269599559273848</v>
      </c>
      <c r="Y353" s="251">
        <f>SUM('RD Feedstock'!G340,'RD Feedstock'!I340)</f>
        <v>21.543749999999999</v>
      </c>
      <c r="Z353" s="251">
        <f>SUM('RD Feedstock'!G340,'RD Feedstock'!J340)</f>
        <v>7.65625</v>
      </c>
      <c r="AA353" s="251">
        <v>0</v>
      </c>
      <c r="AB353" s="251">
        <f>SUM('RD Feedstock'!B351,'RD Feedstock'!D351,'RD Feedstock'!H351)</f>
        <v>374.51145833333328</v>
      </c>
      <c r="AC353" s="251">
        <f>SUM('RD Feedstock'!C351,'RD Feedstock'!E351)</f>
        <v>12.34375</v>
      </c>
      <c r="AD353" s="251">
        <f t="shared" si="78"/>
        <v>416.05520833333327</v>
      </c>
      <c r="AH353" s="237">
        <f t="shared" si="76"/>
        <v>5.1780988600771641E-2</v>
      </c>
      <c r="AI353" s="237">
        <f t="shared" si="76"/>
        <v>1.8402004942252758E-2</v>
      </c>
      <c r="AJ353" s="237">
        <f t="shared" si="76"/>
        <v>0</v>
      </c>
      <c r="AK353" s="237">
        <f t="shared" si="76"/>
        <v>0.90014846787660896</v>
      </c>
      <c r="AL353" s="237">
        <f t="shared" si="76"/>
        <v>2.9668538580366693E-2</v>
      </c>
      <c r="AM353" s="237">
        <f t="shared" si="71"/>
        <v>1</v>
      </c>
      <c r="AO353" s="237">
        <f t="shared" si="72"/>
        <v>0.73779965753424659</v>
      </c>
      <c r="AP353" s="237">
        <f t="shared" si="73"/>
        <v>0.26220034246575341</v>
      </c>
      <c r="AQ353" s="237">
        <f t="shared" si="74"/>
        <v>0</v>
      </c>
      <c r="AR353" s="237">
        <f t="shared" si="80"/>
        <v>0.96809206717629603</v>
      </c>
      <c r="AS353" s="237">
        <f t="shared" si="80"/>
        <v>3.1907932823703966E-2</v>
      </c>
      <c r="AU353" s="251">
        <f t="shared" si="79"/>
        <v>13745.17085555817</v>
      </c>
      <c r="AV353" s="251">
        <f t="shared" si="79"/>
        <v>4171.3307368247233</v>
      </c>
      <c r="AW353" s="251">
        <f t="shared" si="79"/>
        <v>0</v>
      </c>
      <c r="AX353" s="251">
        <f t="shared" si="79"/>
        <v>192326.02901334284</v>
      </c>
      <c r="AY353" s="251">
        <f t="shared" si="79"/>
        <v>6297.0100169906218</v>
      </c>
      <c r="AZ353" s="251">
        <f t="shared" si="77"/>
        <v>216539.54062271636</v>
      </c>
      <c r="BA353" s="270">
        <f t="shared" si="75"/>
        <v>7.6517407044838306</v>
      </c>
      <c r="BB353" s="251">
        <f t="shared" si="81"/>
        <v>17916.501592382894</v>
      </c>
      <c r="BC353" s="251">
        <f t="shared" si="82"/>
        <v>198623.03903033346</v>
      </c>
    </row>
    <row r="354" spans="1:55">
      <c r="A354" s="11">
        <v>54424</v>
      </c>
      <c r="B354" s="251">
        <v>100</v>
      </c>
      <c r="C354" s="251">
        <v>295</v>
      </c>
      <c r="D354" s="251">
        <v>5</v>
      </c>
      <c r="E354" s="251">
        <v>220</v>
      </c>
      <c r="F354" s="251">
        <v>44</v>
      </c>
      <c r="G354" s="287">
        <v>0.33</v>
      </c>
      <c r="H354" s="287"/>
      <c r="N354" s="251">
        <f t="shared" si="69"/>
        <v>664.33</v>
      </c>
      <c r="O354" s="251">
        <f>'BBD Monthly Production'!AO21*12</f>
        <v>234.88004192113695</v>
      </c>
      <c r="P354" s="271">
        <f t="shared" si="70"/>
        <v>0.35355928818680016</v>
      </c>
      <c r="Y354" s="251">
        <f>SUM('RD Feedstock'!G341,'RD Feedstock'!I341)</f>
        <v>21.543749999999999</v>
      </c>
      <c r="Z354" s="251">
        <f>SUM('RD Feedstock'!G341,'RD Feedstock'!J341)</f>
        <v>7.65625</v>
      </c>
      <c r="AA354" s="251">
        <v>0</v>
      </c>
      <c r="AB354" s="251">
        <f>SUM('RD Feedstock'!B352,'RD Feedstock'!D352,'RD Feedstock'!H352)</f>
        <v>374.51145833333328</v>
      </c>
      <c r="AC354" s="251">
        <f>SUM('RD Feedstock'!C352,'RD Feedstock'!E352)</f>
        <v>12.34375</v>
      </c>
      <c r="AD354" s="251">
        <f t="shared" si="78"/>
        <v>416.05520833333327</v>
      </c>
      <c r="AH354" s="237">
        <f t="shared" si="76"/>
        <v>5.1780988600771641E-2</v>
      </c>
      <c r="AI354" s="237">
        <f t="shared" si="76"/>
        <v>1.8402004942252758E-2</v>
      </c>
      <c r="AJ354" s="237">
        <f t="shared" si="76"/>
        <v>0</v>
      </c>
      <c r="AK354" s="237">
        <f t="shared" si="76"/>
        <v>0.90014846787660896</v>
      </c>
      <c r="AL354" s="237">
        <f t="shared" si="76"/>
        <v>2.9668538580366693E-2</v>
      </c>
      <c r="AM354" s="237">
        <f t="shared" si="71"/>
        <v>1</v>
      </c>
      <c r="AO354" s="237">
        <f t="shared" si="72"/>
        <v>0.73779965753424659</v>
      </c>
      <c r="AP354" s="237">
        <f t="shared" si="73"/>
        <v>0.26220034246575341</v>
      </c>
      <c r="AQ354" s="237">
        <f t="shared" si="74"/>
        <v>0</v>
      </c>
      <c r="AR354" s="237">
        <f t="shared" si="80"/>
        <v>0.96809206717629603</v>
      </c>
      <c r="AS354" s="237">
        <f t="shared" si="80"/>
        <v>3.1907932823703966E-2</v>
      </c>
      <c r="AU354" s="251">
        <f t="shared" si="79"/>
        <v>4312.2497814911112</v>
      </c>
      <c r="AV354" s="251">
        <f t="shared" si="79"/>
        <v>1308.6647119505094</v>
      </c>
      <c r="AW354" s="251">
        <f t="shared" si="79"/>
        <v>0</v>
      </c>
      <c r="AX354" s="251">
        <f t="shared" si="79"/>
        <v>60338.127863464942</v>
      </c>
      <c r="AY354" s="251">
        <f t="shared" si="79"/>
        <v>1975.5505664620166</v>
      </c>
      <c r="AZ354" s="251">
        <f t="shared" si="77"/>
        <v>67934.592923368575</v>
      </c>
      <c r="BA354" s="270">
        <f t="shared" si="75"/>
        <v>7.6517407044838306</v>
      </c>
      <c r="BB354" s="251">
        <f t="shared" si="81"/>
        <v>5620.9144934416208</v>
      </c>
      <c r="BC354" s="251">
        <f t="shared" si="82"/>
        <v>62313.678429926957</v>
      </c>
    </row>
    <row r="355" spans="1:55">
      <c r="A355" s="11">
        <v>54455</v>
      </c>
      <c r="B355" s="251">
        <v>100</v>
      </c>
      <c r="C355" s="251">
        <v>295</v>
      </c>
      <c r="D355" s="251">
        <v>5</v>
      </c>
      <c r="E355" s="251">
        <v>220</v>
      </c>
      <c r="F355" s="251">
        <v>44</v>
      </c>
      <c r="G355" s="287">
        <v>0.33</v>
      </c>
      <c r="H355" s="287"/>
      <c r="N355" s="251">
        <f t="shared" si="69"/>
        <v>664.33</v>
      </c>
      <c r="O355" s="251">
        <f>'BBD Monthly Production'!AO22*12</f>
        <v>275.73674284606375</v>
      </c>
      <c r="P355" s="271">
        <f t="shared" si="70"/>
        <v>0.41505989921584713</v>
      </c>
      <c r="Y355" s="251">
        <f>SUM('RD Feedstock'!G342,'RD Feedstock'!I342)</f>
        <v>21.543749999999999</v>
      </c>
      <c r="Z355" s="251">
        <f>SUM('RD Feedstock'!G342,'RD Feedstock'!J342)</f>
        <v>7.65625</v>
      </c>
      <c r="AA355" s="251">
        <v>0</v>
      </c>
      <c r="AB355" s="251">
        <f>SUM('RD Feedstock'!B353,'RD Feedstock'!D353,'RD Feedstock'!H353)</f>
        <v>374.51145833333328</v>
      </c>
      <c r="AC355" s="251">
        <f>SUM('RD Feedstock'!C353,'RD Feedstock'!E353)</f>
        <v>12.34375</v>
      </c>
      <c r="AD355" s="251">
        <f t="shared" si="78"/>
        <v>416.05520833333327</v>
      </c>
      <c r="AH355" s="237">
        <f t="shared" si="76"/>
        <v>5.1780988600771641E-2</v>
      </c>
      <c r="AI355" s="237">
        <f t="shared" si="76"/>
        <v>1.8402004942252758E-2</v>
      </c>
      <c r="AJ355" s="237">
        <f t="shared" si="76"/>
        <v>0</v>
      </c>
      <c r="AK355" s="237">
        <f t="shared" si="76"/>
        <v>0.90014846787660896</v>
      </c>
      <c r="AL355" s="237">
        <f t="shared" si="76"/>
        <v>2.9668538580366693E-2</v>
      </c>
      <c r="AM355" s="237">
        <f t="shared" si="71"/>
        <v>1</v>
      </c>
      <c r="AO355" s="237">
        <f t="shared" si="72"/>
        <v>0.73779965753424659</v>
      </c>
      <c r="AP355" s="237">
        <f t="shared" si="73"/>
        <v>0.26220034246575341</v>
      </c>
      <c r="AQ355" s="237">
        <f t="shared" si="74"/>
        <v>0</v>
      </c>
      <c r="AR355" s="237">
        <f t="shared" si="80"/>
        <v>0.96809206717629603</v>
      </c>
      <c r="AS355" s="237">
        <f t="shared" si="80"/>
        <v>3.1907932823703966E-2</v>
      </c>
      <c r="AU355" s="251">
        <f t="shared" si="79"/>
        <v>5062.3531031480388</v>
      </c>
      <c r="AV355" s="251">
        <f t="shared" si="79"/>
        <v>1536.3031366963623</v>
      </c>
      <c r="AW355" s="251">
        <f t="shared" si="79"/>
        <v>0</v>
      </c>
      <c r="AX355" s="251">
        <f t="shared" si="79"/>
        <v>70833.769912589312</v>
      </c>
      <c r="AY355" s="251">
        <f t="shared" si="79"/>
        <v>2319.1918481810867</v>
      </c>
      <c r="AZ355" s="251">
        <f t="shared" si="77"/>
        <v>79751.618000614806</v>
      </c>
      <c r="BA355" s="270">
        <f t="shared" si="75"/>
        <v>7.6517407044838306</v>
      </c>
      <c r="BB355" s="251">
        <f t="shared" si="81"/>
        <v>6598.6562398444012</v>
      </c>
      <c r="BC355" s="251">
        <f t="shared" si="82"/>
        <v>73152.961760770399</v>
      </c>
    </row>
    <row r="356" spans="1:55">
      <c r="A356" s="11">
        <v>54483</v>
      </c>
      <c r="B356" s="251">
        <v>100</v>
      </c>
      <c r="C356" s="251">
        <v>295</v>
      </c>
      <c r="D356" s="251">
        <v>5</v>
      </c>
      <c r="E356" s="251">
        <v>220</v>
      </c>
      <c r="F356" s="251">
        <v>44</v>
      </c>
      <c r="G356" s="287">
        <v>0.33</v>
      </c>
      <c r="H356" s="287"/>
      <c r="N356" s="251">
        <f t="shared" si="69"/>
        <v>664.33</v>
      </c>
      <c r="O356" s="251">
        <f>'BBD Monthly Production'!AO23*12</f>
        <v>538.73449512087245</v>
      </c>
      <c r="P356" s="271">
        <f t="shared" si="70"/>
        <v>0.81094410175797027</v>
      </c>
      <c r="Y356" s="251">
        <f>SUM('RD Feedstock'!G343,'RD Feedstock'!I343)</f>
        <v>21.543749999999999</v>
      </c>
      <c r="Z356" s="251">
        <f>SUM('RD Feedstock'!G343,'RD Feedstock'!J343)</f>
        <v>7.65625</v>
      </c>
      <c r="AA356" s="251">
        <v>0</v>
      </c>
      <c r="AB356" s="251">
        <f>SUM('RD Feedstock'!B354,'RD Feedstock'!D354,'RD Feedstock'!H354)</f>
        <v>374.51145833333328</v>
      </c>
      <c r="AC356" s="251">
        <f>SUM('RD Feedstock'!C354,'RD Feedstock'!E354)</f>
        <v>12.34375</v>
      </c>
      <c r="AD356" s="251">
        <f t="shared" si="78"/>
        <v>416.05520833333327</v>
      </c>
      <c r="AH356" s="237">
        <f t="shared" si="76"/>
        <v>5.1780988600771641E-2</v>
      </c>
      <c r="AI356" s="237">
        <f t="shared" si="76"/>
        <v>1.8402004942252758E-2</v>
      </c>
      <c r="AJ356" s="237">
        <f t="shared" si="76"/>
        <v>0</v>
      </c>
      <c r="AK356" s="237">
        <f t="shared" si="76"/>
        <v>0.90014846787660896</v>
      </c>
      <c r="AL356" s="237">
        <f t="shared" si="76"/>
        <v>2.9668538580366693E-2</v>
      </c>
      <c r="AM356" s="237">
        <f t="shared" si="71"/>
        <v>1</v>
      </c>
      <c r="AO356" s="237">
        <f t="shared" si="72"/>
        <v>0.73779965753424659</v>
      </c>
      <c r="AP356" s="237">
        <f t="shared" si="73"/>
        <v>0.26220034246575341</v>
      </c>
      <c r="AQ356" s="237">
        <f t="shared" si="74"/>
        <v>0</v>
      </c>
      <c r="AR356" s="237">
        <f t="shared" si="80"/>
        <v>0.96809206717629603</v>
      </c>
      <c r="AS356" s="237">
        <f t="shared" si="80"/>
        <v>3.1907932823703966E-2</v>
      </c>
      <c r="AU356" s="251">
        <f t="shared" si="79"/>
        <v>9890.8263548706582</v>
      </c>
      <c r="AV356" s="251">
        <f t="shared" si="79"/>
        <v>3001.6293300555412</v>
      </c>
      <c r="AW356" s="251">
        <f t="shared" si="79"/>
        <v>0</v>
      </c>
      <c r="AX356" s="251">
        <f t="shared" si="79"/>
        <v>138395.03171570742</v>
      </c>
      <c r="AY356" s="251">
        <f t="shared" si="79"/>
        <v>4531.2374278527059</v>
      </c>
      <c r="AZ356" s="251">
        <f t="shared" si="77"/>
        <v>155818.7248284863</v>
      </c>
      <c r="BA356" s="270">
        <f t="shared" si="75"/>
        <v>7.6517407044838297</v>
      </c>
      <c r="BB356" s="251">
        <f t="shared" si="81"/>
        <v>12892.455684926199</v>
      </c>
      <c r="BC356" s="251">
        <f t="shared" si="82"/>
        <v>142926.26914356012</v>
      </c>
    </row>
    <row r="357" spans="1:55">
      <c r="A357" s="11">
        <v>54514</v>
      </c>
      <c r="B357" s="251">
        <v>100</v>
      </c>
      <c r="C357" s="251">
        <v>295</v>
      </c>
      <c r="D357" s="251">
        <v>5</v>
      </c>
      <c r="E357" s="251">
        <v>220</v>
      </c>
      <c r="F357" s="251">
        <v>44</v>
      </c>
      <c r="G357" s="287">
        <v>0.33</v>
      </c>
      <c r="H357" s="287"/>
      <c r="N357" s="251">
        <f t="shared" si="69"/>
        <v>664.33</v>
      </c>
      <c r="O357" s="251">
        <f>'BBD Monthly Production'!AO24*12</f>
        <v>466.34410194421321</v>
      </c>
      <c r="P357" s="271">
        <f t="shared" si="70"/>
        <v>0.70197658083213643</v>
      </c>
      <c r="Y357" s="251">
        <f>SUM('RD Feedstock'!G344,'RD Feedstock'!I344)</f>
        <v>21.543749999999999</v>
      </c>
      <c r="Z357" s="251">
        <f>SUM('RD Feedstock'!G344,'RD Feedstock'!J344)</f>
        <v>7.65625</v>
      </c>
      <c r="AA357" s="251">
        <v>0</v>
      </c>
      <c r="AB357" s="251">
        <f>SUM('RD Feedstock'!B355,'RD Feedstock'!D355,'RD Feedstock'!H355)</f>
        <v>374.51145833333328</v>
      </c>
      <c r="AC357" s="251">
        <f>SUM('RD Feedstock'!C355,'RD Feedstock'!E355)</f>
        <v>12.34375</v>
      </c>
      <c r="AD357" s="251">
        <f t="shared" si="78"/>
        <v>416.05520833333327</v>
      </c>
      <c r="AH357" s="237">
        <f t="shared" si="76"/>
        <v>5.1780988600771641E-2</v>
      </c>
      <c r="AI357" s="237">
        <f t="shared" si="76"/>
        <v>1.8402004942252758E-2</v>
      </c>
      <c r="AJ357" s="237">
        <f t="shared" si="76"/>
        <v>0</v>
      </c>
      <c r="AK357" s="237">
        <f t="shared" si="76"/>
        <v>0.90014846787660896</v>
      </c>
      <c r="AL357" s="237">
        <f t="shared" si="76"/>
        <v>2.9668538580366693E-2</v>
      </c>
      <c r="AM357" s="237">
        <f t="shared" si="71"/>
        <v>1</v>
      </c>
      <c r="AO357" s="237">
        <f t="shared" si="72"/>
        <v>0.73779965753424659</v>
      </c>
      <c r="AP357" s="237">
        <f t="shared" si="73"/>
        <v>0.26220034246575341</v>
      </c>
      <c r="AQ357" s="237">
        <f t="shared" si="74"/>
        <v>0</v>
      </c>
      <c r="AR357" s="237">
        <f t="shared" si="80"/>
        <v>0.96809206717629603</v>
      </c>
      <c r="AS357" s="237">
        <f t="shared" si="80"/>
        <v>3.1907932823703966E-2</v>
      </c>
      <c r="AU357" s="251">
        <f t="shared" si="79"/>
        <v>8561.7842846937601</v>
      </c>
      <c r="AV357" s="251">
        <f t="shared" si="79"/>
        <v>2598.2968363295522</v>
      </c>
      <c r="AW357" s="251">
        <f t="shared" si="79"/>
        <v>0</v>
      </c>
      <c r="AX357" s="251">
        <f t="shared" si="79"/>
        <v>119798.72713463819</v>
      </c>
      <c r="AY357" s="251">
        <f t="shared" si="79"/>
        <v>3922.3696795466381</v>
      </c>
      <c r="AZ357" s="251">
        <f t="shared" si="77"/>
        <v>134881.17793520814</v>
      </c>
      <c r="BA357" s="270">
        <f t="shared" si="75"/>
        <v>7.6517407044838315</v>
      </c>
      <c r="BB357" s="251">
        <f t="shared" si="81"/>
        <v>11160.081121023311</v>
      </c>
      <c r="BC357" s="251">
        <f t="shared" si="82"/>
        <v>123721.09681418483</v>
      </c>
    </row>
    <row r="358" spans="1:55">
      <c r="A358" s="11">
        <v>54544</v>
      </c>
      <c r="B358" s="251">
        <v>100</v>
      </c>
      <c r="C358" s="251">
        <v>295</v>
      </c>
      <c r="D358" s="251">
        <v>5</v>
      </c>
      <c r="E358" s="251">
        <v>220</v>
      </c>
      <c r="F358" s="251">
        <v>44</v>
      </c>
      <c r="G358" s="287">
        <v>0.33</v>
      </c>
      <c r="H358" s="287"/>
      <c r="N358" s="251">
        <f t="shared" ref="N358:N389" si="83">SUM(B358:L358)</f>
        <v>664.33</v>
      </c>
      <c r="O358" s="251">
        <f>'BBD Monthly Production'!AO25*12</f>
        <v>502.12738192244279</v>
      </c>
      <c r="P358" s="271">
        <f t="shared" si="70"/>
        <v>0.7558402931110183</v>
      </c>
      <c r="Y358" s="251">
        <f>SUM('RD Feedstock'!G345,'RD Feedstock'!I345)</f>
        <v>21.543749999999999</v>
      </c>
      <c r="Z358" s="251">
        <f>SUM('RD Feedstock'!G345,'RD Feedstock'!J345)</f>
        <v>7.65625</v>
      </c>
      <c r="AA358" s="251">
        <v>0</v>
      </c>
      <c r="AB358" s="251">
        <f>SUM('RD Feedstock'!B356,'RD Feedstock'!D356,'RD Feedstock'!H356)</f>
        <v>374.51145833333328</v>
      </c>
      <c r="AC358" s="251">
        <f>SUM('RD Feedstock'!C356,'RD Feedstock'!E356)</f>
        <v>12.34375</v>
      </c>
      <c r="AD358" s="251">
        <f t="shared" si="78"/>
        <v>416.05520833333327</v>
      </c>
      <c r="AH358" s="237">
        <f t="shared" si="76"/>
        <v>5.1780988600771641E-2</v>
      </c>
      <c r="AI358" s="237">
        <f t="shared" si="76"/>
        <v>1.8402004942252758E-2</v>
      </c>
      <c r="AJ358" s="237">
        <f t="shared" si="76"/>
        <v>0</v>
      </c>
      <c r="AK358" s="237">
        <f t="shared" si="76"/>
        <v>0.90014846787660896</v>
      </c>
      <c r="AL358" s="237">
        <f t="shared" si="76"/>
        <v>2.9668538580366693E-2</v>
      </c>
      <c r="AM358" s="237">
        <f t="shared" si="71"/>
        <v>1</v>
      </c>
      <c r="AO358" s="237">
        <f t="shared" si="72"/>
        <v>0.73779965753424659</v>
      </c>
      <c r="AP358" s="237">
        <f t="shared" si="73"/>
        <v>0.26220034246575341</v>
      </c>
      <c r="AQ358" s="237">
        <f t="shared" si="74"/>
        <v>0</v>
      </c>
      <c r="AR358" s="237">
        <f t="shared" si="80"/>
        <v>0.96809206717629603</v>
      </c>
      <c r="AS358" s="237">
        <f t="shared" si="80"/>
        <v>3.1907932823703966E-2</v>
      </c>
      <c r="AU358" s="251">
        <f t="shared" si="79"/>
        <v>9218.7427900016119</v>
      </c>
      <c r="AV358" s="251">
        <f t="shared" si="79"/>
        <v>2797.6680362081579</v>
      </c>
      <c r="AW358" s="251">
        <f t="shared" si="79"/>
        <v>0</v>
      </c>
      <c r="AX358" s="251">
        <f t="shared" si="79"/>
        <v>128991.06252865828</v>
      </c>
      <c r="AY358" s="251">
        <f t="shared" si="79"/>
        <v>4223.3389677528949</v>
      </c>
      <c r="AZ358" s="251">
        <f t="shared" si="77"/>
        <v>145230.81232262094</v>
      </c>
      <c r="BA358" s="270">
        <f t="shared" si="75"/>
        <v>7.6517407044838315</v>
      </c>
      <c r="BB358" s="251">
        <f t="shared" si="81"/>
        <v>12016.410826209769</v>
      </c>
      <c r="BC358" s="251">
        <f t="shared" si="82"/>
        <v>133214.40149641118</v>
      </c>
    </row>
    <row r="359" spans="1:55">
      <c r="A359" s="11">
        <v>54575</v>
      </c>
      <c r="B359" s="251">
        <v>100</v>
      </c>
      <c r="C359" s="251">
        <v>295</v>
      </c>
      <c r="D359" s="251">
        <v>5</v>
      </c>
      <c r="E359" s="251">
        <v>220</v>
      </c>
      <c r="F359" s="251">
        <v>44</v>
      </c>
      <c r="G359" s="287">
        <v>0.33</v>
      </c>
      <c r="H359" s="287"/>
      <c r="N359" s="251">
        <f t="shared" si="83"/>
        <v>664.33</v>
      </c>
      <c r="O359" s="251">
        <f>'BBD Monthly Production'!AO26*12</f>
        <v>626.18227454681551</v>
      </c>
      <c r="P359" s="271">
        <f t="shared" si="70"/>
        <v>0.94257714471244025</v>
      </c>
      <c r="Y359" s="251">
        <f>SUM('RD Feedstock'!G346,'RD Feedstock'!I346)</f>
        <v>21.543749999999999</v>
      </c>
      <c r="Z359" s="251">
        <f>SUM('RD Feedstock'!G346,'RD Feedstock'!J346)</f>
        <v>7.65625</v>
      </c>
      <c r="AA359" s="251">
        <v>0</v>
      </c>
      <c r="AB359" s="251">
        <f>SUM('RD Feedstock'!B357,'RD Feedstock'!D357,'RD Feedstock'!H357)</f>
        <v>374.51145833333328</v>
      </c>
      <c r="AC359" s="251">
        <f>SUM('RD Feedstock'!C357,'RD Feedstock'!E357)</f>
        <v>12.34375</v>
      </c>
      <c r="AD359" s="251">
        <f t="shared" si="78"/>
        <v>416.05520833333327</v>
      </c>
      <c r="AH359" s="237">
        <f t="shared" ref="AH359:AL390" si="84">Y359/$AD359</f>
        <v>5.1780988600771641E-2</v>
      </c>
      <c r="AI359" s="237">
        <f t="shared" si="84"/>
        <v>1.8402004942252758E-2</v>
      </c>
      <c r="AJ359" s="237">
        <f t="shared" si="84"/>
        <v>0</v>
      </c>
      <c r="AK359" s="237">
        <f t="shared" si="84"/>
        <v>0.90014846787660896</v>
      </c>
      <c r="AL359" s="237">
        <f t="shared" si="84"/>
        <v>2.9668538580366693E-2</v>
      </c>
      <c r="AM359" s="237">
        <f t="shared" si="71"/>
        <v>1</v>
      </c>
      <c r="AO359" s="237">
        <f t="shared" si="72"/>
        <v>0.73779965753424659</v>
      </c>
      <c r="AP359" s="237">
        <f t="shared" si="73"/>
        <v>0.26220034246575341</v>
      </c>
      <c r="AQ359" s="237">
        <f t="shared" si="74"/>
        <v>0</v>
      </c>
      <c r="AR359" s="237">
        <f t="shared" si="80"/>
        <v>0.96809206717629603</v>
      </c>
      <c r="AS359" s="237">
        <f t="shared" si="80"/>
        <v>3.1907932823703966E-2</v>
      </c>
      <c r="AU359" s="251">
        <f t="shared" si="79"/>
        <v>11496.312562370653</v>
      </c>
      <c r="AV359" s="251">
        <f t="shared" si="79"/>
        <v>3488.8560102669985</v>
      </c>
      <c r="AW359" s="251">
        <f t="shared" si="79"/>
        <v>0</v>
      </c>
      <c r="AX359" s="251">
        <f t="shared" si="79"/>
        <v>160859.41503760003</v>
      </c>
      <c r="AY359" s="251">
        <f t="shared" si="79"/>
        <v>5266.751219351313</v>
      </c>
      <c r="AZ359" s="251">
        <f t="shared" si="77"/>
        <v>181111.334829589</v>
      </c>
      <c r="BA359" s="270">
        <f t="shared" si="75"/>
        <v>7.6517407044838297</v>
      </c>
      <c r="BB359" s="251">
        <f t="shared" si="81"/>
        <v>14985.168572637651</v>
      </c>
      <c r="BC359" s="251">
        <f t="shared" si="82"/>
        <v>166126.16625695134</v>
      </c>
    </row>
    <row r="360" spans="1:55">
      <c r="A360" s="11">
        <v>54605</v>
      </c>
      <c r="B360" s="251">
        <v>100</v>
      </c>
      <c r="C360" s="251">
        <v>295</v>
      </c>
      <c r="D360" s="251">
        <v>5</v>
      </c>
      <c r="E360" s="251">
        <v>220</v>
      </c>
      <c r="F360" s="251">
        <v>44</v>
      </c>
      <c r="G360" s="287">
        <v>0.33</v>
      </c>
      <c r="H360" s="287"/>
      <c r="N360" s="251">
        <f t="shared" si="83"/>
        <v>664.33</v>
      </c>
      <c r="O360" s="251">
        <f>'BBD Monthly Production'!AO27*12</f>
        <v>551.01385167125261</v>
      </c>
      <c r="P360" s="271">
        <f t="shared" si="70"/>
        <v>0.82942792237480256</v>
      </c>
      <c r="Y360" s="251">
        <f>SUM('RD Feedstock'!G347,'RD Feedstock'!I347)</f>
        <v>21.543749999999999</v>
      </c>
      <c r="Z360" s="251">
        <f>SUM('RD Feedstock'!G347,'RD Feedstock'!J347)</f>
        <v>7.65625</v>
      </c>
      <c r="AA360" s="251">
        <v>0</v>
      </c>
      <c r="AB360" s="251">
        <f>SUM('RD Feedstock'!B358,'RD Feedstock'!D358,'RD Feedstock'!H358)</f>
        <v>374.51145833333328</v>
      </c>
      <c r="AC360" s="251">
        <f>SUM('RD Feedstock'!C358,'RD Feedstock'!E358)</f>
        <v>12.34375</v>
      </c>
      <c r="AD360" s="251">
        <f t="shared" si="78"/>
        <v>416.05520833333327</v>
      </c>
      <c r="AH360" s="237">
        <f t="shared" si="84"/>
        <v>5.1780988600771641E-2</v>
      </c>
      <c r="AI360" s="237">
        <f t="shared" si="84"/>
        <v>1.8402004942252758E-2</v>
      </c>
      <c r="AJ360" s="237">
        <f t="shared" si="84"/>
        <v>0</v>
      </c>
      <c r="AK360" s="237">
        <f t="shared" si="84"/>
        <v>0.90014846787660896</v>
      </c>
      <c r="AL360" s="237">
        <f t="shared" si="84"/>
        <v>2.9668538580366693E-2</v>
      </c>
      <c r="AM360" s="237">
        <f t="shared" si="71"/>
        <v>1</v>
      </c>
      <c r="AO360" s="237">
        <f t="shared" si="72"/>
        <v>0.73779965753424659</v>
      </c>
      <c r="AP360" s="237">
        <f t="shared" si="73"/>
        <v>0.26220034246575341</v>
      </c>
      <c r="AQ360" s="237">
        <f t="shared" si="74"/>
        <v>0</v>
      </c>
      <c r="AR360" s="237">
        <f t="shared" si="80"/>
        <v>0.96809206717629603</v>
      </c>
      <c r="AS360" s="237">
        <f t="shared" si="80"/>
        <v>3.1907932823703966E-2</v>
      </c>
      <c r="AU360" s="251">
        <f t="shared" si="79"/>
        <v>10116.267614877786</v>
      </c>
      <c r="AV360" s="251">
        <f t="shared" si="79"/>
        <v>3070.045362646068</v>
      </c>
      <c r="AW360" s="251">
        <f t="shared" si="79"/>
        <v>0</v>
      </c>
      <c r="AX360" s="251">
        <f t="shared" si="79"/>
        <v>141549.46484488185</v>
      </c>
      <c r="AY360" s="251">
        <f t="shared" si="79"/>
        <v>4634.5177644469804</v>
      </c>
      <c r="AZ360" s="251">
        <f t="shared" si="77"/>
        <v>159370.29558685271</v>
      </c>
      <c r="BA360" s="270">
        <f t="shared" si="75"/>
        <v>7.6517407044838315</v>
      </c>
      <c r="BB360" s="251">
        <f t="shared" si="81"/>
        <v>13186.312977523854</v>
      </c>
      <c r="BC360" s="251">
        <f t="shared" si="82"/>
        <v>146183.98260932881</v>
      </c>
    </row>
    <row r="361" spans="1:55">
      <c r="A361" s="11">
        <v>54636</v>
      </c>
      <c r="B361" s="251">
        <v>100</v>
      </c>
      <c r="C361" s="251">
        <v>295</v>
      </c>
      <c r="D361" s="251">
        <v>5</v>
      </c>
      <c r="E361" s="251">
        <v>220</v>
      </c>
      <c r="F361" s="251">
        <v>44</v>
      </c>
      <c r="G361" s="287">
        <v>0.33</v>
      </c>
      <c r="H361" s="287"/>
      <c r="N361" s="251">
        <f t="shared" si="83"/>
        <v>664.33</v>
      </c>
      <c r="O361" s="251">
        <f>'BBD Monthly Production'!AO28*12</f>
        <v>484.43077639128165</v>
      </c>
      <c r="P361" s="271">
        <f t="shared" si="70"/>
        <v>0.72920201765881654</v>
      </c>
      <c r="Y361" s="251">
        <f>SUM('RD Feedstock'!G348,'RD Feedstock'!I348)</f>
        <v>21.543749999999999</v>
      </c>
      <c r="Z361" s="251">
        <f>SUM('RD Feedstock'!G348,'RD Feedstock'!J348)</f>
        <v>7.65625</v>
      </c>
      <c r="AA361" s="251">
        <v>0</v>
      </c>
      <c r="AB361" s="251">
        <f>SUM('RD Feedstock'!B359,'RD Feedstock'!D359,'RD Feedstock'!H359)</f>
        <v>374.51145833333328</v>
      </c>
      <c r="AC361" s="251">
        <f>SUM('RD Feedstock'!C359,'RD Feedstock'!E359)</f>
        <v>12.34375</v>
      </c>
      <c r="AD361" s="251">
        <f t="shared" si="78"/>
        <v>416.05520833333327</v>
      </c>
      <c r="AH361" s="237">
        <f t="shared" si="84"/>
        <v>5.1780988600771641E-2</v>
      </c>
      <c r="AI361" s="237">
        <f t="shared" si="84"/>
        <v>1.8402004942252758E-2</v>
      </c>
      <c r="AJ361" s="237">
        <f t="shared" si="84"/>
        <v>0</v>
      </c>
      <c r="AK361" s="237">
        <f t="shared" si="84"/>
        <v>0.90014846787660896</v>
      </c>
      <c r="AL361" s="237">
        <f t="shared" si="84"/>
        <v>2.9668538580366693E-2</v>
      </c>
      <c r="AM361" s="237">
        <f t="shared" si="71"/>
        <v>1</v>
      </c>
      <c r="AO361" s="237">
        <f t="shared" si="72"/>
        <v>0.73779965753424659</v>
      </c>
      <c r="AP361" s="237">
        <f t="shared" si="73"/>
        <v>0.26220034246575341</v>
      </c>
      <c r="AQ361" s="237">
        <f t="shared" si="74"/>
        <v>0</v>
      </c>
      <c r="AR361" s="237">
        <f t="shared" si="80"/>
        <v>0.96809206717629603</v>
      </c>
      <c r="AS361" s="237">
        <f t="shared" si="80"/>
        <v>3.1907932823703966E-2</v>
      </c>
      <c r="AU361" s="251">
        <f t="shared" si="79"/>
        <v>8893.8442472786573</v>
      </c>
      <c r="AV361" s="251">
        <f t="shared" si="79"/>
        <v>2699.0690961257369</v>
      </c>
      <c r="AW361" s="251">
        <f t="shared" si="79"/>
        <v>0</v>
      </c>
      <c r="AX361" s="251">
        <f t="shared" si="79"/>
        <v>124444.99706241052</v>
      </c>
      <c r="AY361" s="251">
        <f t="shared" si="79"/>
        <v>4074.4947373296118</v>
      </c>
      <c r="AZ361" s="251">
        <f t="shared" si="77"/>
        <v>140112.40514314451</v>
      </c>
      <c r="BA361" s="270">
        <f t="shared" si="75"/>
        <v>7.6517407044838306</v>
      </c>
      <c r="BB361" s="251">
        <f t="shared" si="81"/>
        <v>11592.913343404394</v>
      </c>
      <c r="BC361" s="251">
        <f t="shared" si="82"/>
        <v>128519.49179974014</v>
      </c>
    </row>
    <row r="362" spans="1:55">
      <c r="A362" s="11">
        <v>54667</v>
      </c>
      <c r="B362" s="251">
        <v>100</v>
      </c>
      <c r="C362" s="251">
        <v>295</v>
      </c>
      <c r="D362" s="251">
        <v>5</v>
      </c>
      <c r="E362" s="251">
        <v>220</v>
      </c>
      <c r="F362" s="251">
        <v>44</v>
      </c>
      <c r="G362" s="287">
        <v>0.33</v>
      </c>
      <c r="H362" s="287"/>
      <c r="N362" s="251">
        <f t="shared" si="83"/>
        <v>664.33</v>
      </c>
      <c r="O362" s="251">
        <f>'BBD Monthly Production'!AO29*12</f>
        <v>529.0071253433855</v>
      </c>
      <c r="P362" s="271">
        <f t="shared" si="70"/>
        <v>0.79630172556317713</v>
      </c>
      <c r="Y362" s="251">
        <f>SUM('RD Feedstock'!G349,'RD Feedstock'!I349)</f>
        <v>21.543749999999999</v>
      </c>
      <c r="Z362" s="251">
        <f>SUM('RD Feedstock'!G349,'RD Feedstock'!J349)</f>
        <v>7.65625</v>
      </c>
      <c r="AA362" s="251">
        <v>0</v>
      </c>
      <c r="AB362" s="251">
        <f>SUM('RD Feedstock'!B360,'RD Feedstock'!D360,'RD Feedstock'!H360)</f>
        <v>374.51145833333328</v>
      </c>
      <c r="AC362" s="251">
        <f>SUM('RD Feedstock'!C360,'RD Feedstock'!E360)</f>
        <v>12.34375</v>
      </c>
      <c r="AD362" s="251">
        <f t="shared" si="78"/>
        <v>416.05520833333327</v>
      </c>
      <c r="AH362" s="237">
        <f t="shared" si="84"/>
        <v>5.1780988600771641E-2</v>
      </c>
      <c r="AI362" s="237">
        <f t="shared" si="84"/>
        <v>1.8402004942252758E-2</v>
      </c>
      <c r="AJ362" s="237">
        <f t="shared" si="84"/>
        <v>0</v>
      </c>
      <c r="AK362" s="237">
        <f t="shared" si="84"/>
        <v>0.90014846787660896</v>
      </c>
      <c r="AL362" s="237">
        <f t="shared" si="84"/>
        <v>2.9668538580366693E-2</v>
      </c>
      <c r="AM362" s="237">
        <f t="shared" si="71"/>
        <v>1</v>
      </c>
      <c r="AO362" s="237">
        <f t="shared" si="72"/>
        <v>0.73779965753424659</v>
      </c>
      <c r="AP362" s="237">
        <f t="shared" si="73"/>
        <v>0.26220034246575341</v>
      </c>
      <c r="AQ362" s="237">
        <f t="shared" si="74"/>
        <v>0</v>
      </c>
      <c r="AR362" s="237">
        <f t="shared" si="80"/>
        <v>0.96809206717629603</v>
      </c>
      <c r="AS362" s="237">
        <f t="shared" si="80"/>
        <v>3.1907932823703966E-2</v>
      </c>
      <c r="AU362" s="251">
        <f t="shared" si="79"/>
        <v>9712.2379662857493</v>
      </c>
      <c r="AV362" s="251">
        <f t="shared" si="79"/>
        <v>2947.4320237890292</v>
      </c>
      <c r="AW362" s="251">
        <f t="shared" si="79"/>
        <v>0</v>
      </c>
      <c r="AX362" s="251">
        <f t="shared" si="79"/>
        <v>135896.17622927026</v>
      </c>
      <c r="AY362" s="251">
        <f t="shared" si="79"/>
        <v>4449.4215753140206</v>
      </c>
      <c r="AZ362" s="251">
        <f t="shared" si="77"/>
        <v>153005.26779465907</v>
      </c>
      <c r="BA362" s="270">
        <f t="shared" si="75"/>
        <v>7.6517407044838297</v>
      </c>
      <c r="BB362" s="251">
        <f t="shared" si="81"/>
        <v>12659.669990074779</v>
      </c>
      <c r="BC362" s="251">
        <f t="shared" si="82"/>
        <v>140345.59780458428</v>
      </c>
    </row>
    <row r="363" spans="1:55">
      <c r="A363" s="11">
        <v>54697</v>
      </c>
      <c r="B363" s="251">
        <v>100</v>
      </c>
      <c r="C363" s="251">
        <v>295</v>
      </c>
      <c r="D363" s="251">
        <v>5</v>
      </c>
      <c r="E363" s="251">
        <v>220</v>
      </c>
      <c r="F363" s="251">
        <v>44</v>
      </c>
      <c r="G363" s="287">
        <v>0.33</v>
      </c>
      <c r="H363" s="287"/>
      <c r="N363" s="251">
        <f t="shared" si="83"/>
        <v>664.33</v>
      </c>
      <c r="O363" s="251">
        <f>'BBD Monthly Production'!AO30*12</f>
        <v>422.69686243505771</v>
      </c>
      <c r="P363" s="271">
        <f t="shared" si="70"/>
        <v>0.63627543906651463</v>
      </c>
      <c r="Y363" s="251">
        <f>SUM('RD Feedstock'!G350,'RD Feedstock'!I350)</f>
        <v>21.543749999999999</v>
      </c>
      <c r="Z363" s="251">
        <f>SUM('RD Feedstock'!G350,'RD Feedstock'!J350)</f>
        <v>7.65625</v>
      </c>
      <c r="AA363" s="251">
        <v>0</v>
      </c>
      <c r="AB363" s="251">
        <f>SUM('RD Feedstock'!B361,'RD Feedstock'!D361,'RD Feedstock'!H361)</f>
        <v>374.51145833333328</v>
      </c>
      <c r="AC363" s="251">
        <f>SUM('RD Feedstock'!C361,'RD Feedstock'!E361)</f>
        <v>12.34375</v>
      </c>
      <c r="AD363" s="251">
        <f t="shared" si="78"/>
        <v>416.05520833333327</v>
      </c>
      <c r="AH363" s="237">
        <f t="shared" si="84"/>
        <v>5.1780988600771641E-2</v>
      </c>
      <c r="AI363" s="237">
        <f t="shared" si="84"/>
        <v>1.8402004942252758E-2</v>
      </c>
      <c r="AJ363" s="237">
        <f t="shared" si="84"/>
        <v>0</v>
      </c>
      <c r="AK363" s="237">
        <f t="shared" si="84"/>
        <v>0.90014846787660896</v>
      </c>
      <c r="AL363" s="237">
        <f t="shared" si="84"/>
        <v>2.9668538580366693E-2</v>
      </c>
      <c r="AM363" s="237">
        <f t="shared" si="71"/>
        <v>1</v>
      </c>
      <c r="AO363" s="237">
        <f t="shared" si="72"/>
        <v>0.73779965753424659</v>
      </c>
      <c r="AP363" s="237">
        <f t="shared" si="73"/>
        <v>0.26220034246575341</v>
      </c>
      <c r="AQ363" s="237">
        <f t="shared" si="74"/>
        <v>0</v>
      </c>
      <c r="AR363" s="237">
        <f t="shared" si="80"/>
        <v>0.96809206717629603</v>
      </c>
      <c r="AS363" s="237">
        <f t="shared" si="80"/>
        <v>3.1907932823703966E-2</v>
      </c>
      <c r="AU363" s="251">
        <f t="shared" si="79"/>
        <v>7760.448430456976</v>
      </c>
      <c r="AV363" s="251">
        <f t="shared" si="79"/>
        <v>2355.110562806738</v>
      </c>
      <c r="AW363" s="251">
        <f t="shared" si="79"/>
        <v>0</v>
      </c>
      <c r="AX363" s="251">
        <f t="shared" si="79"/>
        <v>108586.22607729015</v>
      </c>
      <c r="AY363" s="251">
        <f t="shared" si="79"/>
        <v>3555.257480351072</v>
      </c>
      <c r="AZ363" s="251">
        <f t="shared" si="77"/>
        <v>122257.04255090492</v>
      </c>
      <c r="BA363" s="270">
        <f t="shared" si="75"/>
        <v>7.6517407044838297</v>
      </c>
      <c r="BB363" s="251">
        <f t="shared" si="81"/>
        <v>10115.558993263714</v>
      </c>
      <c r="BC363" s="251">
        <f t="shared" si="82"/>
        <v>112141.48355764122</v>
      </c>
    </row>
    <row r="364" spans="1:55">
      <c r="A364" s="11">
        <v>54728</v>
      </c>
      <c r="B364" s="251">
        <v>100</v>
      </c>
      <c r="C364" s="251">
        <v>295</v>
      </c>
      <c r="D364" s="251">
        <v>5</v>
      </c>
      <c r="E364" s="251">
        <v>220</v>
      </c>
      <c r="F364" s="251">
        <v>44</v>
      </c>
      <c r="G364" s="287">
        <v>0.33</v>
      </c>
      <c r="H364" s="287"/>
      <c r="N364" s="251">
        <f t="shared" si="83"/>
        <v>664.33</v>
      </c>
      <c r="O364" s="251">
        <f>'BBD Monthly Production'!AO31*12</f>
        <v>544.28944688905472</v>
      </c>
      <c r="P364" s="271">
        <f t="shared" si="70"/>
        <v>0.81930583729329498</v>
      </c>
      <c r="Y364" s="251">
        <f>SUM('RD Feedstock'!G351,'RD Feedstock'!I351)</f>
        <v>21.543749999999999</v>
      </c>
      <c r="Z364" s="251">
        <f>SUM('RD Feedstock'!G351,'RD Feedstock'!J351)</f>
        <v>7.65625</v>
      </c>
      <c r="AA364" s="251">
        <v>0</v>
      </c>
      <c r="AB364" s="251">
        <f>SUM('RD Feedstock'!B362,'RD Feedstock'!D362,'RD Feedstock'!H362)</f>
        <v>374.51145833333328</v>
      </c>
      <c r="AC364" s="251">
        <f>SUM('RD Feedstock'!C362,'RD Feedstock'!E362)</f>
        <v>12.34375</v>
      </c>
      <c r="AD364" s="251">
        <f t="shared" si="78"/>
        <v>416.05520833333327</v>
      </c>
      <c r="AH364" s="237">
        <f t="shared" si="84"/>
        <v>5.1780988600771641E-2</v>
      </c>
      <c r="AI364" s="237">
        <f t="shared" si="84"/>
        <v>1.8402004942252758E-2</v>
      </c>
      <c r="AJ364" s="237">
        <f t="shared" si="84"/>
        <v>0</v>
      </c>
      <c r="AK364" s="237">
        <f t="shared" si="84"/>
        <v>0.90014846787660896</v>
      </c>
      <c r="AL364" s="237">
        <f t="shared" si="84"/>
        <v>2.9668538580366693E-2</v>
      </c>
      <c r="AM364" s="237">
        <f t="shared" si="71"/>
        <v>1</v>
      </c>
      <c r="AO364" s="237">
        <f t="shared" si="72"/>
        <v>0.73779965753424659</v>
      </c>
      <c r="AP364" s="237">
        <f t="shared" si="73"/>
        <v>0.26220034246575341</v>
      </c>
      <c r="AQ364" s="237">
        <f t="shared" si="74"/>
        <v>0</v>
      </c>
      <c r="AR364" s="237">
        <f t="shared" si="80"/>
        <v>0.96809206717629603</v>
      </c>
      <c r="AS364" s="237">
        <f t="shared" si="80"/>
        <v>3.1907932823703966E-2</v>
      </c>
      <c r="AU364" s="251">
        <f t="shared" si="79"/>
        <v>9992.8117741196056</v>
      </c>
      <c r="AV364" s="251">
        <f t="shared" si="79"/>
        <v>3032.5794665428634</v>
      </c>
      <c r="AW364" s="251">
        <f t="shared" si="79"/>
        <v>0</v>
      </c>
      <c r="AX364" s="251">
        <f t="shared" si="79"/>
        <v>139822.03840100294</v>
      </c>
      <c r="AY364" s="251">
        <f t="shared" si="79"/>
        <v>4577.9595248965497</v>
      </c>
      <c r="AZ364" s="251">
        <f t="shared" si="77"/>
        <v>157425.38916656194</v>
      </c>
      <c r="BA364" s="270">
        <f t="shared" si="75"/>
        <v>7.6517407044838297</v>
      </c>
      <c r="BB364" s="251">
        <f t="shared" si="81"/>
        <v>13025.391240662469</v>
      </c>
      <c r="BC364" s="251">
        <f t="shared" si="82"/>
        <v>144399.99792589949</v>
      </c>
    </row>
    <row r="365" spans="1:55">
      <c r="A365" s="11">
        <v>54758</v>
      </c>
      <c r="B365" s="251">
        <v>100</v>
      </c>
      <c r="C365" s="251">
        <v>295</v>
      </c>
      <c r="D365" s="251">
        <v>5</v>
      </c>
      <c r="E365" s="251">
        <v>220</v>
      </c>
      <c r="F365" s="251">
        <v>44</v>
      </c>
      <c r="G365" s="287">
        <v>0.33</v>
      </c>
      <c r="H365" s="287"/>
      <c r="N365" s="251">
        <f t="shared" si="83"/>
        <v>664.33</v>
      </c>
      <c r="O365" s="251">
        <f>'BBD Monthly Production'!AO32*12</f>
        <v>748.67288455962898</v>
      </c>
      <c r="P365" s="271">
        <f t="shared" si="70"/>
        <v>1.1269593192534266</v>
      </c>
      <c r="Y365" s="251">
        <f>SUM('RD Feedstock'!G352,'RD Feedstock'!I352)</f>
        <v>21.543749999999999</v>
      </c>
      <c r="Z365" s="251">
        <f>SUM('RD Feedstock'!G352,'RD Feedstock'!J352)</f>
        <v>7.65625</v>
      </c>
      <c r="AA365" s="251">
        <v>0</v>
      </c>
      <c r="AB365" s="251">
        <f>SUM('RD Feedstock'!B363,'RD Feedstock'!D363,'RD Feedstock'!H363)</f>
        <v>374.51145833333328</v>
      </c>
      <c r="AC365" s="251">
        <f>SUM('RD Feedstock'!C363,'RD Feedstock'!E363)</f>
        <v>12.34375</v>
      </c>
      <c r="AD365" s="251">
        <f t="shared" si="78"/>
        <v>416.05520833333327</v>
      </c>
      <c r="AH365" s="237">
        <f t="shared" si="84"/>
        <v>5.1780988600771641E-2</v>
      </c>
      <c r="AI365" s="237">
        <f t="shared" si="84"/>
        <v>1.8402004942252758E-2</v>
      </c>
      <c r="AJ365" s="237">
        <f t="shared" si="84"/>
        <v>0</v>
      </c>
      <c r="AK365" s="237">
        <f t="shared" si="84"/>
        <v>0.90014846787660896</v>
      </c>
      <c r="AL365" s="237">
        <f t="shared" si="84"/>
        <v>2.9668538580366693E-2</v>
      </c>
      <c r="AM365" s="237">
        <f t="shared" si="71"/>
        <v>1</v>
      </c>
      <c r="AO365" s="237">
        <f t="shared" si="72"/>
        <v>0.73779965753424659</v>
      </c>
      <c r="AP365" s="237">
        <f t="shared" si="73"/>
        <v>0.26220034246575341</v>
      </c>
      <c r="AQ365" s="237">
        <f t="shared" si="74"/>
        <v>0</v>
      </c>
      <c r="AR365" s="237">
        <f t="shared" si="80"/>
        <v>0.96809206717629603</v>
      </c>
      <c r="AS365" s="237">
        <f t="shared" si="80"/>
        <v>3.1907932823703966E-2</v>
      </c>
      <c r="AU365" s="251">
        <f t="shared" si="79"/>
        <v>13745.163090249129</v>
      </c>
      <c r="AV365" s="251">
        <f t="shared" si="79"/>
        <v>4171.3283802390815</v>
      </c>
      <c r="AW365" s="251">
        <f t="shared" si="79"/>
        <v>0</v>
      </c>
      <c r="AX365" s="251">
        <f t="shared" si="79"/>
        <v>192325.9203591058</v>
      </c>
      <c r="AY365" s="251">
        <f t="shared" si="79"/>
        <v>6297.0064595063732</v>
      </c>
      <c r="AZ365" s="251">
        <f t="shared" si="77"/>
        <v>216539.41828910037</v>
      </c>
      <c r="BA365" s="270">
        <f t="shared" si="75"/>
        <v>7.6517407044838297</v>
      </c>
      <c r="BB365" s="251">
        <f t="shared" si="81"/>
        <v>17916.49147048821</v>
      </c>
      <c r="BC365" s="251">
        <f t="shared" si="82"/>
        <v>198622.92681861218</v>
      </c>
    </row>
    <row r="366" spans="1:55">
      <c r="A366" s="11">
        <v>54789</v>
      </c>
      <c r="B366" s="251">
        <v>100</v>
      </c>
      <c r="C366" s="251">
        <v>295</v>
      </c>
      <c r="D366" s="251">
        <v>5</v>
      </c>
      <c r="E366" s="251">
        <v>220</v>
      </c>
      <c r="F366" s="251">
        <v>44</v>
      </c>
      <c r="G366" s="287">
        <v>0.33</v>
      </c>
      <c r="H366" s="287"/>
      <c r="N366" s="251">
        <f t="shared" si="83"/>
        <v>664.33</v>
      </c>
      <c r="O366" s="251">
        <f>'BBD Monthly Production'!AP21*12</f>
        <v>234.87998550578644</v>
      </c>
      <c r="P366" s="271">
        <f t="shared" ref="P366:P397" si="85">O366/N366</f>
        <v>0.35355920326612739</v>
      </c>
      <c r="Y366" s="251">
        <f>SUM('RD Feedstock'!G353,'RD Feedstock'!I353)</f>
        <v>21.543749999999999</v>
      </c>
      <c r="Z366" s="251">
        <f>SUM('RD Feedstock'!G353,'RD Feedstock'!J353)</f>
        <v>7.65625</v>
      </c>
      <c r="AA366" s="251">
        <v>0</v>
      </c>
      <c r="AB366" s="251">
        <f>SUM('RD Feedstock'!B364,'RD Feedstock'!D364,'RD Feedstock'!H364)</f>
        <v>374.51145833333328</v>
      </c>
      <c r="AC366" s="251">
        <f>SUM('RD Feedstock'!C364,'RD Feedstock'!E364)</f>
        <v>12.34375</v>
      </c>
      <c r="AD366" s="251">
        <f t="shared" si="78"/>
        <v>416.05520833333327</v>
      </c>
      <c r="AH366" s="237">
        <f t="shared" si="84"/>
        <v>5.1780988600771641E-2</v>
      </c>
      <c r="AI366" s="237">
        <f t="shared" si="84"/>
        <v>1.8402004942252758E-2</v>
      </c>
      <c r="AJ366" s="237">
        <f t="shared" si="84"/>
        <v>0</v>
      </c>
      <c r="AK366" s="237">
        <f t="shared" si="84"/>
        <v>0.90014846787660896</v>
      </c>
      <c r="AL366" s="237">
        <f t="shared" si="84"/>
        <v>2.9668538580366693E-2</v>
      </c>
      <c r="AM366" s="237">
        <f t="shared" si="71"/>
        <v>1</v>
      </c>
      <c r="AO366" s="237">
        <f t="shared" si="72"/>
        <v>0.73779965753424659</v>
      </c>
      <c r="AP366" s="237">
        <f t="shared" si="73"/>
        <v>0.26220034246575341</v>
      </c>
      <c r="AQ366" s="237">
        <f t="shared" si="74"/>
        <v>0</v>
      </c>
      <c r="AR366" s="237">
        <f t="shared" si="80"/>
        <v>0.96809206717629603</v>
      </c>
      <c r="AS366" s="237">
        <f t="shared" si="80"/>
        <v>3.1907932823703966E-2</v>
      </c>
      <c r="AU366" s="251">
        <f t="shared" si="79"/>
        <v>4312.2487457407724</v>
      </c>
      <c r="AV366" s="251">
        <f t="shared" si="79"/>
        <v>1308.6643976250441</v>
      </c>
      <c r="AW366" s="251">
        <f t="shared" si="79"/>
        <v>0</v>
      </c>
      <c r="AX366" s="251">
        <f t="shared" si="79"/>
        <v>60338.113370975057</v>
      </c>
      <c r="AY366" s="251">
        <f t="shared" si="79"/>
        <v>1975.5500919586204</v>
      </c>
      <c r="AZ366" s="251">
        <f t="shared" si="77"/>
        <v>67934.576606299495</v>
      </c>
      <c r="BA366" s="270">
        <f t="shared" si="75"/>
        <v>7.6517407044838306</v>
      </c>
      <c r="BB366" s="251">
        <f t="shared" si="81"/>
        <v>5620.9131433658167</v>
      </c>
      <c r="BC366" s="251">
        <f t="shared" si="82"/>
        <v>62313.663462933677</v>
      </c>
    </row>
    <row r="367" spans="1:55">
      <c r="A367" s="11">
        <v>54820</v>
      </c>
      <c r="B367" s="251">
        <v>100</v>
      </c>
      <c r="C367" s="251">
        <v>295</v>
      </c>
      <c r="D367" s="251">
        <v>5</v>
      </c>
      <c r="E367" s="251">
        <v>220</v>
      </c>
      <c r="F367" s="251">
        <v>44</v>
      </c>
      <c r="G367" s="287">
        <v>0.33</v>
      </c>
      <c r="H367" s="287"/>
      <c r="N367" s="251">
        <f t="shared" si="83"/>
        <v>664.33</v>
      </c>
      <c r="O367" s="251">
        <f>'BBD Monthly Production'!AP22*12</f>
        <v>275.73670062039218</v>
      </c>
      <c r="P367" s="271">
        <f t="shared" si="85"/>
        <v>0.41505983565455745</v>
      </c>
      <c r="Y367" s="251">
        <f>SUM('RD Feedstock'!G354,'RD Feedstock'!I354)</f>
        <v>21.543749999999999</v>
      </c>
      <c r="Z367" s="251">
        <f>SUM('RD Feedstock'!G354,'RD Feedstock'!J354)</f>
        <v>7.65625</v>
      </c>
      <c r="AA367" s="251">
        <v>0</v>
      </c>
      <c r="AB367" s="251">
        <f>SUM('RD Feedstock'!B365,'RD Feedstock'!D365,'RD Feedstock'!H365)</f>
        <v>374.51145833333328</v>
      </c>
      <c r="AC367" s="251">
        <f>SUM('RD Feedstock'!C365,'RD Feedstock'!E365)</f>
        <v>12.34375</v>
      </c>
      <c r="AD367" s="251">
        <f t="shared" si="78"/>
        <v>416.05520833333327</v>
      </c>
      <c r="AH367" s="237">
        <f t="shared" si="84"/>
        <v>5.1780988600771641E-2</v>
      </c>
      <c r="AI367" s="237">
        <f t="shared" si="84"/>
        <v>1.8402004942252758E-2</v>
      </c>
      <c r="AJ367" s="237">
        <f t="shared" si="84"/>
        <v>0</v>
      </c>
      <c r="AK367" s="237">
        <f t="shared" si="84"/>
        <v>0.90014846787660896</v>
      </c>
      <c r="AL367" s="237">
        <f t="shared" si="84"/>
        <v>2.9668538580366693E-2</v>
      </c>
      <c r="AM367" s="237">
        <f t="shared" ref="AM367:AM398" si="86">SUM(AH367:AL367)</f>
        <v>1</v>
      </c>
      <c r="AO367" s="237">
        <f t="shared" ref="AO367:AO398" si="87">Y367/SUM($Y367:$AA367)</f>
        <v>0.73779965753424659</v>
      </c>
      <c r="AP367" s="237">
        <f t="shared" ref="AP367:AP398" si="88">Z367/SUM($Y367:$AA367)</f>
        <v>0.26220034246575341</v>
      </c>
      <c r="AQ367" s="237">
        <f t="shared" ref="AQ367:AQ398" si="89">AA367/SUM($Y367:$AA367)</f>
        <v>0</v>
      </c>
      <c r="AR367" s="237">
        <f t="shared" si="80"/>
        <v>0.96809206717629603</v>
      </c>
      <c r="AS367" s="237">
        <f t="shared" si="80"/>
        <v>3.1907932823703966E-2</v>
      </c>
      <c r="AU367" s="251">
        <f t="shared" si="79"/>
        <v>5062.3523279112778</v>
      </c>
      <c r="AV367" s="251">
        <f t="shared" si="79"/>
        <v>1536.3029014305391</v>
      </c>
      <c r="AW367" s="251">
        <f t="shared" si="79"/>
        <v>0</v>
      </c>
      <c r="AX367" s="251">
        <f t="shared" si="79"/>
        <v>70833.759065273596</v>
      </c>
      <c r="AY367" s="251">
        <f t="shared" si="79"/>
        <v>2319.1914930255411</v>
      </c>
      <c r="AZ367" s="251">
        <f t="shared" si="77"/>
        <v>79751.605787640961</v>
      </c>
      <c r="BA367" s="270">
        <f t="shared" ref="BA367:BA398" si="90">(AZ367*2204.622/1000000)/(O367/12)</f>
        <v>7.6517407044838306</v>
      </c>
      <c r="BB367" s="251">
        <f t="shared" si="81"/>
        <v>6598.6552293418172</v>
      </c>
      <c r="BC367" s="251">
        <f t="shared" si="82"/>
        <v>73152.950558299141</v>
      </c>
    </row>
    <row r="368" spans="1:55">
      <c r="A368" s="11">
        <v>54848</v>
      </c>
      <c r="B368" s="251">
        <v>100</v>
      </c>
      <c r="C368" s="251">
        <v>295</v>
      </c>
      <c r="D368" s="251">
        <v>5</v>
      </c>
      <c r="E368" s="251">
        <v>220</v>
      </c>
      <c r="F368" s="251">
        <v>44</v>
      </c>
      <c r="G368" s="287">
        <v>0.33</v>
      </c>
      <c r="H368" s="287"/>
      <c r="N368" s="251">
        <f t="shared" si="83"/>
        <v>664.33</v>
      </c>
      <c r="O368" s="251">
        <f>'BBD Monthly Production'!AP23*12</f>
        <v>538.73450960046944</v>
      </c>
      <c r="P368" s="271">
        <f t="shared" si="85"/>
        <v>0.81094412355376</v>
      </c>
      <c r="Y368" s="251">
        <f>SUM('RD Feedstock'!G355,'RD Feedstock'!I355)</f>
        <v>21.543749999999999</v>
      </c>
      <c r="Z368" s="251">
        <f>SUM('RD Feedstock'!G355,'RD Feedstock'!J355)</f>
        <v>7.65625</v>
      </c>
      <c r="AA368" s="251">
        <v>0</v>
      </c>
      <c r="AB368" s="251">
        <f>SUM('RD Feedstock'!B366,'RD Feedstock'!D366,'RD Feedstock'!H366)</f>
        <v>374.51145833333328</v>
      </c>
      <c r="AC368" s="251">
        <f>SUM('RD Feedstock'!C366,'RD Feedstock'!E366)</f>
        <v>12.34375</v>
      </c>
      <c r="AD368" s="251">
        <f t="shared" si="78"/>
        <v>416.05520833333327</v>
      </c>
      <c r="AH368" s="237">
        <f t="shared" si="84"/>
        <v>5.1780988600771641E-2</v>
      </c>
      <c r="AI368" s="237">
        <f t="shared" si="84"/>
        <v>1.8402004942252758E-2</v>
      </c>
      <c r="AJ368" s="237">
        <f t="shared" si="84"/>
        <v>0</v>
      </c>
      <c r="AK368" s="237">
        <f t="shared" si="84"/>
        <v>0.90014846787660896</v>
      </c>
      <c r="AL368" s="237">
        <f t="shared" si="84"/>
        <v>2.9668538580366693E-2</v>
      </c>
      <c r="AM368" s="237">
        <f t="shared" si="86"/>
        <v>1</v>
      </c>
      <c r="AO368" s="237">
        <f t="shared" si="87"/>
        <v>0.73779965753424659</v>
      </c>
      <c r="AP368" s="237">
        <f t="shared" si="88"/>
        <v>0.26220034246575341</v>
      </c>
      <c r="AQ368" s="237">
        <f t="shared" si="89"/>
        <v>0</v>
      </c>
      <c r="AR368" s="237">
        <f t="shared" si="80"/>
        <v>0.96809206717629603</v>
      </c>
      <c r="AS368" s="237">
        <f t="shared" si="80"/>
        <v>3.1907932823703966E-2</v>
      </c>
      <c r="AU368" s="251">
        <f t="shared" si="79"/>
        <v>9890.8266207069482</v>
      </c>
      <c r="AV368" s="251">
        <f t="shared" si="79"/>
        <v>3001.6294107304993</v>
      </c>
      <c r="AW368" s="251">
        <f t="shared" si="79"/>
        <v>0</v>
      </c>
      <c r="AX368" s="251">
        <f t="shared" si="79"/>
        <v>138395.03543535835</v>
      </c>
      <c r="AY368" s="251">
        <f t="shared" si="79"/>
        <v>4531.2375496390259</v>
      </c>
      <c r="AZ368" s="251">
        <f t="shared" si="77"/>
        <v>155818.72901643481</v>
      </c>
      <c r="BA368" s="270">
        <f t="shared" si="90"/>
        <v>7.6517407044838297</v>
      </c>
      <c r="BB368" s="251">
        <f t="shared" si="81"/>
        <v>12892.456031437447</v>
      </c>
      <c r="BC368" s="251">
        <f t="shared" si="82"/>
        <v>142926.27298499737</v>
      </c>
    </row>
    <row r="369" spans="1:55">
      <c r="A369" s="11">
        <v>54879</v>
      </c>
      <c r="B369" s="251">
        <v>100</v>
      </c>
      <c r="C369" s="251">
        <v>295</v>
      </c>
      <c r="D369" s="251">
        <v>5</v>
      </c>
      <c r="E369" s="251">
        <v>220</v>
      </c>
      <c r="F369" s="251">
        <v>44</v>
      </c>
      <c r="G369" s="287">
        <v>0.33</v>
      </c>
      <c r="H369" s="287"/>
      <c r="N369" s="251">
        <f t="shared" si="83"/>
        <v>664.33</v>
      </c>
      <c r="O369" s="251">
        <f>'BBD Monthly Production'!AP24*12</f>
        <v>466.3441221356544</v>
      </c>
      <c r="P369" s="271">
        <f t="shared" si="85"/>
        <v>0.70197661122582811</v>
      </c>
      <c r="Y369" s="251">
        <f>SUM('RD Feedstock'!G356,'RD Feedstock'!I356)</f>
        <v>21.543749999999999</v>
      </c>
      <c r="Z369" s="251">
        <f>SUM('RD Feedstock'!G356,'RD Feedstock'!J356)</f>
        <v>7.65625</v>
      </c>
      <c r="AA369" s="251">
        <v>0</v>
      </c>
      <c r="AB369" s="251">
        <f>SUM('RD Feedstock'!B367,'RD Feedstock'!D367,'RD Feedstock'!H367)</f>
        <v>374.51145833333328</v>
      </c>
      <c r="AC369" s="251">
        <f>SUM('RD Feedstock'!C367,'RD Feedstock'!E367)</f>
        <v>12.34375</v>
      </c>
      <c r="AD369" s="251">
        <f t="shared" si="78"/>
        <v>416.05520833333327</v>
      </c>
      <c r="AH369" s="237">
        <f t="shared" si="84"/>
        <v>5.1780988600771641E-2</v>
      </c>
      <c r="AI369" s="237">
        <f t="shared" si="84"/>
        <v>1.8402004942252758E-2</v>
      </c>
      <c r="AJ369" s="237">
        <f t="shared" si="84"/>
        <v>0</v>
      </c>
      <c r="AK369" s="237">
        <f t="shared" si="84"/>
        <v>0.90014846787660896</v>
      </c>
      <c r="AL369" s="237">
        <f t="shared" si="84"/>
        <v>2.9668538580366693E-2</v>
      </c>
      <c r="AM369" s="237">
        <f t="shared" si="86"/>
        <v>1</v>
      </c>
      <c r="AO369" s="237">
        <f t="shared" si="87"/>
        <v>0.73779965753424659</v>
      </c>
      <c r="AP369" s="237">
        <f t="shared" si="88"/>
        <v>0.26220034246575341</v>
      </c>
      <c r="AQ369" s="237">
        <f t="shared" si="89"/>
        <v>0</v>
      </c>
      <c r="AR369" s="237">
        <f t="shared" si="80"/>
        <v>0.96809206717629603</v>
      </c>
      <c r="AS369" s="237">
        <f t="shared" si="80"/>
        <v>3.1907932823703966E-2</v>
      </c>
      <c r="AU369" s="251">
        <f t="shared" si="79"/>
        <v>8561.7846553959153</v>
      </c>
      <c r="AV369" s="251">
        <f t="shared" si="79"/>
        <v>2598.296948828794</v>
      </c>
      <c r="AW369" s="251">
        <f t="shared" si="79"/>
        <v>0</v>
      </c>
      <c r="AX369" s="251">
        <f t="shared" si="79"/>
        <v>119798.7323215998</v>
      </c>
      <c r="AY369" s="251">
        <f t="shared" si="79"/>
        <v>3922.369849374661</v>
      </c>
      <c r="AZ369" s="251">
        <f t="shared" si="77"/>
        <v>134881.18377519917</v>
      </c>
      <c r="BA369" s="270">
        <f t="shared" si="90"/>
        <v>7.6517407044838306</v>
      </c>
      <c r="BB369" s="251">
        <f t="shared" si="81"/>
        <v>11160.08160422471</v>
      </c>
      <c r="BC369" s="251">
        <f t="shared" si="82"/>
        <v>123721.10217097447</v>
      </c>
    </row>
    <row r="370" spans="1:55">
      <c r="A370" s="11">
        <v>54909</v>
      </c>
      <c r="B370" s="251">
        <v>100</v>
      </c>
      <c r="C370" s="251">
        <v>295</v>
      </c>
      <c r="D370" s="251">
        <v>5</v>
      </c>
      <c r="E370" s="251">
        <v>220</v>
      </c>
      <c r="F370" s="251">
        <v>44</v>
      </c>
      <c r="G370" s="287">
        <v>0.33</v>
      </c>
      <c r="H370" s="287"/>
      <c r="N370" s="251">
        <f t="shared" si="83"/>
        <v>664.33</v>
      </c>
      <c r="O370" s="251">
        <f>'BBD Monthly Production'!AP25*12</f>
        <v>502.1273850920104</v>
      </c>
      <c r="P370" s="271">
        <f t="shared" si="85"/>
        <v>0.75584029788209228</v>
      </c>
      <c r="Y370" s="251">
        <f>SUM('RD Feedstock'!G357,'RD Feedstock'!I357)</f>
        <v>21.543749999999999</v>
      </c>
      <c r="Z370" s="251">
        <f>SUM('RD Feedstock'!G357,'RD Feedstock'!J357)</f>
        <v>7.65625</v>
      </c>
      <c r="AA370" s="251">
        <v>0</v>
      </c>
      <c r="AB370" s="251">
        <f>SUM('RD Feedstock'!B368,'RD Feedstock'!D368,'RD Feedstock'!H368)</f>
        <v>374.51145833333328</v>
      </c>
      <c r="AC370" s="251">
        <f>SUM('RD Feedstock'!C368,'RD Feedstock'!E368)</f>
        <v>12.34375</v>
      </c>
      <c r="AD370" s="251">
        <f t="shared" si="78"/>
        <v>416.05520833333327</v>
      </c>
      <c r="AH370" s="237">
        <f t="shared" si="84"/>
        <v>5.1780988600771641E-2</v>
      </c>
      <c r="AI370" s="237">
        <f t="shared" si="84"/>
        <v>1.8402004942252758E-2</v>
      </c>
      <c r="AJ370" s="237">
        <f t="shared" si="84"/>
        <v>0</v>
      </c>
      <c r="AK370" s="237">
        <f t="shared" si="84"/>
        <v>0.90014846787660896</v>
      </c>
      <c r="AL370" s="237">
        <f t="shared" si="84"/>
        <v>2.9668538580366693E-2</v>
      </c>
      <c r="AM370" s="237">
        <f t="shared" si="86"/>
        <v>1</v>
      </c>
      <c r="AO370" s="237">
        <f t="shared" si="87"/>
        <v>0.73779965753424659</v>
      </c>
      <c r="AP370" s="237">
        <f t="shared" si="88"/>
        <v>0.26220034246575341</v>
      </c>
      <c r="AQ370" s="237">
        <f t="shared" si="89"/>
        <v>0</v>
      </c>
      <c r="AR370" s="237">
        <f t="shared" si="80"/>
        <v>0.96809206717629603</v>
      </c>
      <c r="AS370" s="237">
        <f t="shared" si="80"/>
        <v>3.1907932823703966E-2</v>
      </c>
      <c r="AU370" s="251">
        <f t="shared" si="79"/>
        <v>9218.7428481928782</v>
      </c>
      <c r="AV370" s="251">
        <f t="shared" si="79"/>
        <v>2797.6680538678165</v>
      </c>
      <c r="AW370" s="251">
        <f t="shared" si="79"/>
        <v>0</v>
      </c>
      <c r="AX370" s="251">
        <f t="shared" si="79"/>
        <v>128991.06334288571</v>
      </c>
      <c r="AY370" s="251">
        <f t="shared" si="79"/>
        <v>4223.3389944117844</v>
      </c>
      <c r="AZ370" s="251">
        <f t="shared" si="77"/>
        <v>145230.81323935819</v>
      </c>
      <c r="BA370" s="270">
        <f t="shared" si="90"/>
        <v>7.6517407044838315</v>
      </c>
      <c r="BB370" s="251">
        <f t="shared" si="81"/>
        <v>12016.410902060696</v>
      </c>
      <c r="BC370" s="251">
        <f t="shared" si="82"/>
        <v>133214.40233729751</v>
      </c>
    </row>
    <row r="371" spans="1:55">
      <c r="A371" s="11">
        <v>54940</v>
      </c>
      <c r="B371" s="251">
        <v>100</v>
      </c>
      <c r="C371" s="251">
        <v>295</v>
      </c>
      <c r="D371" s="251">
        <v>5</v>
      </c>
      <c r="E371" s="251">
        <v>220</v>
      </c>
      <c r="F371" s="251">
        <v>44</v>
      </c>
      <c r="G371" s="287">
        <v>0.33</v>
      </c>
      <c r="H371" s="287"/>
      <c r="N371" s="251">
        <f t="shared" si="83"/>
        <v>664.33</v>
      </c>
      <c r="O371" s="251">
        <f>'BBD Monthly Production'!AP26*12</f>
        <v>626.18229985299899</v>
      </c>
      <c r="P371" s="271">
        <f t="shared" si="85"/>
        <v>0.94257718280523073</v>
      </c>
      <c r="Y371" s="251">
        <f>SUM('RD Feedstock'!G358,'RD Feedstock'!I358)</f>
        <v>21.543749999999999</v>
      </c>
      <c r="Z371" s="251">
        <f>SUM('RD Feedstock'!G358,'RD Feedstock'!J358)</f>
        <v>7.65625</v>
      </c>
      <c r="AA371" s="251">
        <v>0</v>
      </c>
      <c r="AB371" s="251">
        <f>SUM('RD Feedstock'!B369,'RD Feedstock'!D369,'RD Feedstock'!H369)</f>
        <v>374.51145833333328</v>
      </c>
      <c r="AC371" s="251">
        <f>SUM('RD Feedstock'!C369,'RD Feedstock'!E369)</f>
        <v>12.34375</v>
      </c>
      <c r="AD371" s="251">
        <f t="shared" si="78"/>
        <v>416.05520833333327</v>
      </c>
      <c r="AH371" s="237">
        <f t="shared" si="84"/>
        <v>5.1780988600771641E-2</v>
      </c>
      <c r="AI371" s="237">
        <f t="shared" si="84"/>
        <v>1.8402004942252758E-2</v>
      </c>
      <c r="AJ371" s="237">
        <f t="shared" si="84"/>
        <v>0</v>
      </c>
      <c r="AK371" s="237">
        <f t="shared" si="84"/>
        <v>0.90014846787660896</v>
      </c>
      <c r="AL371" s="237">
        <f t="shared" si="84"/>
        <v>2.9668538580366693E-2</v>
      </c>
      <c r="AM371" s="237">
        <f t="shared" si="86"/>
        <v>1</v>
      </c>
      <c r="AO371" s="237">
        <f t="shared" si="87"/>
        <v>0.73779965753424659</v>
      </c>
      <c r="AP371" s="237">
        <f t="shared" si="88"/>
        <v>0.26220034246575341</v>
      </c>
      <c r="AQ371" s="237">
        <f t="shared" si="89"/>
        <v>0</v>
      </c>
      <c r="AR371" s="237">
        <f t="shared" si="80"/>
        <v>0.96809206717629603</v>
      </c>
      <c r="AS371" s="237">
        <f t="shared" si="80"/>
        <v>3.1907932823703966E-2</v>
      </c>
      <c r="AU371" s="251">
        <f t="shared" si="79"/>
        <v>11496.313026976259</v>
      </c>
      <c r="AV371" s="251">
        <f t="shared" si="79"/>
        <v>3488.856151263692</v>
      </c>
      <c r="AW371" s="251">
        <f t="shared" si="79"/>
        <v>0</v>
      </c>
      <c r="AX371" s="251">
        <f t="shared" si="79"/>
        <v>160859.42153848329</v>
      </c>
      <c r="AY371" s="251">
        <f t="shared" si="79"/>
        <v>5266.7514321988774</v>
      </c>
      <c r="AZ371" s="251">
        <f t="shared" si="77"/>
        <v>181111.34214892212</v>
      </c>
      <c r="BA371" s="270">
        <f t="shared" si="90"/>
        <v>7.6517407044838297</v>
      </c>
      <c r="BB371" s="251">
        <f t="shared" si="81"/>
        <v>14985.16917823995</v>
      </c>
      <c r="BC371" s="251">
        <f t="shared" si="82"/>
        <v>166126.17297068218</v>
      </c>
    </row>
    <row r="372" spans="1:55">
      <c r="A372" s="11">
        <v>54970</v>
      </c>
      <c r="B372" s="251">
        <v>100</v>
      </c>
      <c r="C372" s="251">
        <v>295</v>
      </c>
      <c r="D372" s="251">
        <v>5</v>
      </c>
      <c r="E372" s="251">
        <v>220</v>
      </c>
      <c r="F372" s="251">
        <v>44</v>
      </c>
      <c r="G372" s="287">
        <v>0.33</v>
      </c>
      <c r="H372" s="287"/>
      <c r="N372" s="251">
        <f t="shared" si="83"/>
        <v>664.33</v>
      </c>
      <c r="O372" s="251">
        <f>'BBD Monthly Production'!AP27*12</f>
        <v>551.01385637358044</v>
      </c>
      <c r="P372" s="271">
        <f t="shared" si="85"/>
        <v>0.82942792945310373</v>
      </c>
      <c r="Y372" s="251">
        <f>SUM('RD Feedstock'!G359,'RD Feedstock'!I359)</f>
        <v>21.543749999999999</v>
      </c>
      <c r="Z372" s="251">
        <f>SUM('RD Feedstock'!G359,'RD Feedstock'!J359)</f>
        <v>7.65625</v>
      </c>
      <c r="AA372" s="251">
        <v>0</v>
      </c>
      <c r="AB372" s="251">
        <f>SUM('RD Feedstock'!B370,'RD Feedstock'!D370,'RD Feedstock'!H370)</f>
        <v>374.51145833333328</v>
      </c>
      <c r="AC372" s="251">
        <f>SUM('RD Feedstock'!C370,'RD Feedstock'!E370)</f>
        <v>12.34375</v>
      </c>
      <c r="AD372" s="251">
        <f t="shared" si="78"/>
        <v>416.05520833333327</v>
      </c>
      <c r="AH372" s="237">
        <f t="shared" si="84"/>
        <v>5.1780988600771641E-2</v>
      </c>
      <c r="AI372" s="237">
        <f t="shared" si="84"/>
        <v>1.8402004942252758E-2</v>
      </c>
      <c r="AJ372" s="237">
        <f t="shared" si="84"/>
        <v>0</v>
      </c>
      <c r="AK372" s="237">
        <f t="shared" si="84"/>
        <v>0.90014846787660896</v>
      </c>
      <c r="AL372" s="237">
        <f t="shared" si="84"/>
        <v>2.9668538580366693E-2</v>
      </c>
      <c r="AM372" s="237">
        <f t="shared" si="86"/>
        <v>1</v>
      </c>
      <c r="AO372" s="237">
        <f t="shared" si="87"/>
        <v>0.73779965753424659</v>
      </c>
      <c r="AP372" s="237">
        <f t="shared" si="88"/>
        <v>0.26220034246575341</v>
      </c>
      <c r="AQ372" s="237">
        <f t="shared" si="89"/>
        <v>0</v>
      </c>
      <c r="AR372" s="237">
        <f t="shared" si="80"/>
        <v>0.96809206717629603</v>
      </c>
      <c r="AS372" s="237">
        <f t="shared" si="80"/>
        <v>3.1907932823703966E-2</v>
      </c>
      <c r="AU372" s="251">
        <f t="shared" si="79"/>
        <v>10116.267701209566</v>
      </c>
      <c r="AV372" s="251">
        <f t="shared" si="79"/>
        <v>3070.0453888456991</v>
      </c>
      <c r="AW372" s="251">
        <f t="shared" si="79"/>
        <v>0</v>
      </c>
      <c r="AX372" s="251">
        <f t="shared" si="79"/>
        <v>141549.46605285871</v>
      </c>
      <c r="AY372" s="251">
        <f t="shared" si="79"/>
        <v>4634.51780399775</v>
      </c>
      <c r="AZ372" s="251">
        <f t="shared" si="77"/>
        <v>159370.29694691175</v>
      </c>
      <c r="BA372" s="270">
        <f t="shared" si="90"/>
        <v>7.6517407044838333</v>
      </c>
      <c r="BB372" s="251">
        <f t="shared" si="81"/>
        <v>13186.313090055266</v>
      </c>
      <c r="BC372" s="251">
        <f t="shared" si="82"/>
        <v>146183.98385685647</v>
      </c>
    </row>
    <row r="373" spans="1:55">
      <c r="A373" s="11">
        <v>55001</v>
      </c>
      <c r="B373" s="251">
        <v>100</v>
      </c>
      <c r="C373" s="251">
        <v>295</v>
      </c>
      <c r="D373" s="251">
        <v>5</v>
      </c>
      <c r="E373" s="251">
        <v>220</v>
      </c>
      <c r="F373" s="251">
        <v>44</v>
      </c>
      <c r="G373" s="287">
        <v>0.33</v>
      </c>
      <c r="H373" s="287"/>
      <c r="N373" s="251">
        <f t="shared" si="83"/>
        <v>664.33</v>
      </c>
      <c r="O373" s="251">
        <f>'BBD Monthly Production'!AP28*12</f>
        <v>484.43077619310884</v>
      </c>
      <c r="P373" s="271">
        <f t="shared" si="85"/>
        <v>0.72920201736051182</v>
      </c>
      <c r="Y373" s="251">
        <f>SUM('RD Feedstock'!G360,'RD Feedstock'!I360)</f>
        <v>21.543749999999999</v>
      </c>
      <c r="Z373" s="251">
        <f>SUM('RD Feedstock'!G360,'RD Feedstock'!J360)</f>
        <v>7.65625</v>
      </c>
      <c r="AA373" s="251">
        <v>0</v>
      </c>
      <c r="AB373" s="251">
        <f>SUM('RD Feedstock'!B371,'RD Feedstock'!D371,'RD Feedstock'!H371)</f>
        <v>374.51145833333328</v>
      </c>
      <c r="AC373" s="251">
        <f>SUM('RD Feedstock'!C371,'RD Feedstock'!E371)</f>
        <v>12.34375</v>
      </c>
      <c r="AD373" s="251">
        <f t="shared" si="78"/>
        <v>416.05520833333327</v>
      </c>
      <c r="AH373" s="237">
        <f t="shared" si="84"/>
        <v>5.1780988600771641E-2</v>
      </c>
      <c r="AI373" s="237">
        <f t="shared" si="84"/>
        <v>1.8402004942252758E-2</v>
      </c>
      <c r="AJ373" s="237">
        <f t="shared" si="84"/>
        <v>0</v>
      </c>
      <c r="AK373" s="237">
        <f t="shared" si="84"/>
        <v>0.90014846787660896</v>
      </c>
      <c r="AL373" s="237">
        <f t="shared" si="84"/>
        <v>2.9668538580366693E-2</v>
      </c>
      <c r="AM373" s="237">
        <f t="shared" si="86"/>
        <v>1</v>
      </c>
      <c r="AO373" s="237">
        <f t="shared" si="87"/>
        <v>0.73779965753424659</v>
      </c>
      <c r="AP373" s="237">
        <f t="shared" si="88"/>
        <v>0.26220034246575341</v>
      </c>
      <c r="AQ373" s="237">
        <f t="shared" si="89"/>
        <v>0</v>
      </c>
      <c r="AR373" s="237">
        <f t="shared" si="80"/>
        <v>0.96809206717629603</v>
      </c>
      <c r="AS373" s="237">
        <f t="shared" si="80"/>
        <v>3.1907932823703966E-2</v>
      </c>
      <c r="AU373" s="251">
        <f t="shared" si="79"/>
        <v>8893.8442436403293</v>
      </c>
      <c r="AV373" s="251">
        <f t="shared" si="79"/>
        <v>2699.0690950215908</v>
      </c>
      <c r="AW373" s="251">
        <f t="shared" si="79"/>
        <v>0</v>
      </c>
      <c r="AX373" s="251">
        <f t="shared" si="79"/>
        <v>124444.99701150208</v>
      </c>
      <c r="AY373" s="251">
        <f t="shared" si="79"/>
        <v>4074.4947356628022</v>
      </c>
      <c r="AZ373" s="251">
        <f t="shared" si="77"/>
        <v>140112.40508582679</v>
      </c>
      <c r="BA373" s="270">
        <f t="shared" si="90"/>
        <v>7.6517407044838297</v>
      </c>
      <c r="BB373" s="251">
        <f t="shared" si="81"/>
        <v>11592.91333866192</v>
      </c>
      <c r="BC373" s="251">
        <f t="shared" si="82"/>
        <v>128519.49174716488</v>
      </c>
    </row>
    <row r="374" spans="1:55">
      <c r="A374" s="11">
        <v>55032</v>
      </c>
      <c r="B374" s="251">
        <v>100</v>
      </c>
      <c r="C374" s="251">
        <v>295</v>
      </c>
      <c r="D374" s="251">
        <v>5</v>
      </c>
      <c r="E374" s="251">
        <v>220</v>
      </c>
      <c r="F374" s="251">
        <v>44</v>
      </c>
      <c r="G374" s="287">
        <v>0.33</v>
      </c>
      <c r="H374" s="287"/>
      <c r="N374" s="251">
        <f t="shared" si="83"/>
        <v>664.33</v>
      </c>
      <c r="O374" s="251">
        <f>'BBD Monthly Production'!AP29*12</f>
        <v>529.00715157915045</v>
      </c>
      <c r="P374" s="271">
        <f t="shared" si="85"/>
        <v>0.7963017650552443</v>
      </c>
      <c r="Y374" s="251">
        <f>SUM('RD Feedstock'!G361,'RD Feedstock'!I361)</f>
        <v>21.543749999999999</v>
      </c>
      <c r="Z374" s="251">
        <f>SUM('RD Feedstock'!G361,'RD Feedstock'!J361)</f>
        <v>7.65625</v>
      </c>
      <c r="AA374" s="251">
        <v>0</v>
      </c>
      <c r="AB374" s="251">
        <f>SUM('RD Feedstock'!B372,'RD Feedstock'!D372,'RD Feedstock'!H372)</f>
        <v>374.51145833333328</v>
      </c>
      <c r="AC374" s="251">
        <f>SUM('RD Feedstock'!C372,'RD Feedstock'!E372)</f>
        <v>12.34375</v>
      </c>
      <c r="AD374" s="251">
        <f t="shared" si="78"/>
        <v>416.05520833333327</v>
      </c>
      <c r="AH374" s="237">
        <f t="shared" si="84"/>
        <v>5.1780988600771641E-2</v>
      </c>
      <c r="AI374" s="237">
        <f t="shared" si="84"/>
        <v>1.8402004942252758E-2</v>
      </c>
      <c r="AJ374" s="237">
        <f t="shared" si="84"/>
        <v>0</v>
      </c>
      <c r="AK374" s="237">
        <f t="shared" si="84"/>
        <v>0.90014846787660896</v>
      </c>
      <c r="AL374" s="237">
        <f t="shared" si="84"/>
        <v>2.9668538580366693E-2</v>
      </c>
      <c r="AM374" s="237">
        <f t="shared" si="86"/>
        <v>1</v>
      </c>
      <c r="AO374" s="237">
        <f t="shared" si="87"/>
        <v>0.73779965753424659</v>
      </c>
      <c r="AP374" s="237">
        <f t="shared" si="88"/>
        <v>0.26220034246575341</v>
      </c>
      <c r="AQ374" s="237">
        <f t="shared" si="89"/>
        <v>0</v>
      </c>
      <c r="AR374" s="237">
        <f t="shared" si="80"/>
        <v>0.96809206717629603</v>
      </c>
      <c r="AS374" s="237">
        <f t="shared" si="80"/>
        <v>3.1907932823703966E-2</v>
      </c>
      <c r="AU374" s="251">
        <f t="shared" si="79"/>
        <v>9712.2384479578868</v>
      </c>
      <c r="AV374" s="251">
        <f t="shared" si="79"/>
        <v>2947.4321699650068</v>
      </c>
      <c r="AW374" s="251">
        <f t="shared" si="79"/>
        <v>0</v>
      </c>
      <c r="AX374" s="251">
        <f t="shared" si="79"/>
        <v>135896.18296895293</v>
      </c>
      <c r="AY374" s="251">
        <f t="shared" si="79"/>
        <v>4449.4217959801945</v>
      </c>
      <c r="AZ374" s="251">
        <f t="shared" si="77"/>
        <v>153005.27538285602</v>
      </c>
      <c r="BA374" s="270">
        <f t="shared" si="90"/>
        <v>7.6517407044838306</v>
      </c>
      <c r="BB374" s="251">
        <f t="shared" si="81"/>
        <v>12659.670617922893</v>
      </c>
      <c r="BC374" s="251">
        <f t="shared" si="82"/>
        <v>140345.60476493312</v>
      </c>
    </row>
    <row r="375" spans="1:55">
      <c r="A375" s="11">
        <v>55062</v>
      </c>
      <c r="B375" s="251">
        <v>100</v>
      </c>
      <c r="C375" s="251">
        <v>295</v>
      </c>
      <c r="D375" s="251">
        <v>5</v>
      </c>
      <c r="E375" s="251">
        <v>220</v>
      </c>
      <c r="F375" s="251">
        <v>44</v>
      </c>
      <c r="G375" s="287">
        <v>0.33</v>
      </c>
      <c r="H375" s="287"/>
      <c r="N375" s="251">
        <f t="shared" si="83"/>
        <v>664.33</v>
      </c>
      <c r="O375" s="251">
        <f>'BBD Monthly Production'!AP30*12</f>
        <v>422.69684320636657</v>
      </c>
      <c r="P375" s="271">
        <f t="shared" si="85"/>
        <v>0.63627541012202748</v>
      </c>
      <c r="Y375" s="251">
        <f>SUM('RD Feedstock'!G362,'RD Feedstock'!I362)</f>
        <v>21.543749999999999</v>
      </c>
      <c r="Z375" s="251">
        <f>SUM('RD Feedstock'!G362,'RD Feedstock'!J362)</f>
        <v>7.65625</v>
      </c>
      <c r="AA375" s="251">
        <v>0</v>
      </c>
      <c r="AB375" s="251">
        <f>SUM('RD Feedstock'!B373,'RD Feedstock'!D373,'RD Feedstock'!H373)</f>
        <v>374.51145833333328</v>
      </c>
      <c r="AC375" s="251">
        <f>SUM('RD Feedstock'!C373,'RD Feedstock'!E373)</f>
        <v>12.34375</v>
      </c>
      <c r="AD375" s="251">
        <f t="shared" si="78"/>
        <v>416.05520833333327</v>
      </c>
      <c r="AH375" s="237">
        <f t="shared" si="84"/>
        <v>5.1780988600771641E-2</v>
      </c>
      <c r="AI375" s="237">
        <f t="shared" si="84"/>
        <v>1.8402004942252758E-2</v>
      </c>
      <c r="AJ375" s="237">
        <f t="shared" si="84"/>
        <v>0</v>
      </c>
      <c r="AK375" s="237">
        <f t="shared" si="84"/>
        <v>0.90014846787660896</v>
      </c>
      <c r="AL375" s="237">
        <f t="shared" si="84"/>
        <v>2.9668538580366693E-2</v>
      </c>
      <c r="AM375" s="237">
        <f t="shared" si="86"/>
        <v>1</v>
      </c>
      <c r="AO375" s="237">
        <f t="shared" si="87"/>
        <v>0.73779965753424659</v>
      </c>
      <c r="AP375" s="237">
        <f t="shared" si="88"/>
        <v>0.26220034246575341</v>
      </c>
      <c r="AQ375" s="237">
        <f t="shared" si="89"/>
        <v>0</v>
      </c>
      <c r="AR375" s="237">
        <f t="shared" si="80"/>
        <v>0.96809206717629603</v>
      </c>
      <c r="AS375" s="237">
        <f t="shared" si="80"/>
        <v>3.1907932823703966E-2</v>
      </c>
      <c r="AU375" s="251">
        <f t="shared" si="79"/>
        <v>7760.4480774303047</v>
      </c>
      <c r="AV375" s="251">
        <f t="shared" si="79"/>
        <v>2355.1104556715832</v>
      </c>
      <c r="AW375" s="251">
        <f t="shared" si="79"/>
        <v>0</v>
      </c>
      <c r="AX375" s="251">
        <f t="shared" si="79"/>
        <v>108586.22113764855</v>
      </c>
      <c r="AY375" s="251">
        <f t="shared" si="79"/>
        <v>3555.2573186206355</v>
      </c>
      <c r="AZ375" s="251">
        <f t="shared" si="77"/>
        <v>122257.03698937106</v>
      </c>
      <c r="BA375" s="270">
        <f t="shared" si="90"/>
        <v>7.6517407044838297</v>
      </c>
      <c r="BB375" s="251">
        <f t="shared" si="81"/>
        <v>10115.558533101888</v>
      </c>
      <c r="BC375" s="251">
        <f t="shared" si="82"/>
        <v>112141.47845626919</v>
      </c>
    </row>
    <row r="376" spans="1:55">
      <c r="A376" s="11">
        <v>55093</v>
      </c>
      <c r="B376" s="251">
        <v>100</v>
      </c>
      <c r="C376" s="251">
        <v>295</v>
      </c>
      <c r="D376" s="251">
        <v>5</v>
      </c>
      <c r="E376" s="251">
        <v>220</v>
      </c>
      <c r="F376" s="251">
        <v>44</v>
      </c>
      <c r="G376" s="287">
        <v>0.33</v>
      </c>
      <c r="H376" s="287"/>
      <c r="N376" s="251">
        <f t="shared" si="83"/>
        <v>664.33</v>
      </c>
      <c r="O376" s="251">
        <f>'BBD Monthly Production'!AP31*12</f>
        <v>544.28942098562197</v>
      </c>
      <c r="P376" s="271">
        <f t="shared" si="85"/>
        <v>0.81930579830147965</v>
      </c>
      <c r="Y376" s="251">
        <f>SUM('RD Feedstock'!G363,'RD Feedstock'!I363)</f>
        <v>21.543749999999999</v>
      </c>
      <c r="Z376" s="251">
        <f>SUM('RD Feedstock'!G363,'RD Feedstock'!J363)</f>
        <v>7.65625</v>
      </c>
      <c r="AA376" s="251">
        <v>0</v>
      </c>
      <c r="AB376" s="251">
        <f>SUM('RD Feedstock'!B374,'RD Feedstock'!D374,'RD Feedstock'!H374)</f>
        <v>374.51145833333328</v>
      </c>
      <c r="AC376" s="251">
        <f>SUM('RD Feedstock'!C374,'RD Feedstock'!E374)</f>
        <v>12.34375</v>
      </c>
      <c r="AD376" s="251">
        <f t="shared" si="78"/>
        <v>416.05520833333327</v>
      </c>
      <c r="AH376" s="237">
        <f t="shared" si="84"/>
        <v>5.1780988600771641E-2</v>
      </c>
      <c r="AI376" s="237">
        <f t="shared" si="84"/>
        <v>1.8402004942252758E-2</v>
      </c>
      <c r="AJ376" s="237">
        <f t="shared" si="84"/>
        <v>0</v>
      </c>
      <c r="AK376" s="237">
        <f t="shared" si="84"/>
        <v>0.90014846787660896</v>
      </c>
      <c r="AL376" s="237">
        <f t="shared" si="84"/>
        <v>2.9668538580366693E-2</v>
      </c>
      <c r="AM376" s="237">
        <f t="shared" si="86"/>
        <v>1</v>
      </c>
      <c r="AO376" s="237">
        <f t="shared" si="87"/>
        <v>0.73779965753424659</v>
      </c>
      <c r="AP376" s="237">
        <f t="shared" si="88"/>
        <v>0.26220034246575341</v>
      </c>
      <c r="AQ376" s="237">
        <f t="shared" si="89"/>
        <v>0</v>
      </c>
      <c r="AR376" s="237">
        <f t="shared" si="80"/>
        <v>0.96809206717629603</v>
      </c>
      <c r="AS376" s="237">
        <f t="shared" si="80"/>
        <v>3.1907932823703966E-2</v>
      </c>
      <c r="AU376" s="251">
        <f t="shared" si="79"/>
        <v>9992.8112985488788</v>
      </c>
      <c r="AV376" s="251">
        <f t="shared" si="79"/>
        <v>3032.5793222185175</v>
      </c>
      <c r="AW376" s="251">
        <f t="shared" si="79"/>
        <v>0</v>
      </c>
      <c r="AX376" s="251">
        <f t="shared" si="79"/>
        <v>139822.03174669284</v>
      </c>
      <c r="AY376" s="251">
        <f t="shared" si="79"/>
        <v>4577.959307025586</v>
      </c>
      <c r="AZ376" s="251">
        <f t="shared" si="77"/>
        <v>157425.38167448583</v>
      </c>
      <c r="BA376" s="270">
        <f t="shared" si="90"/>
        <v>7.6517407044838306</v>
      </c>
      <c r="BB376" s="251">
        <f t="shared" si="81"/>
        <v>13025.390620767397</v>
      </c>
      <c r="BC376" s="251">
        <f t="shared" si="82"/>
        <v>144399.99105371843</v>
      </c>
    </row>
    <row r="377" spans="1:55">
      <c r="A377" s="11">
        <v>55123</v>
      </c>
      <c r="B377" s="251">
        <v>100</v>
      </c>
      <c r="C377" s="251">
        <v>295</v>
      </c>
      <c r="D377" s="251">
        <v>5</v>
      </c>
      <c r="E377" s="251">
        <v>220</v>
      </c>
      <c r="F377" s="251">
        <v>44</v>
      </c>
      <c r="G377" s="287">
        <v>0.33</v>
      </c>
      <c r="H377" s="287"/>
      <c r="N377" s="251">
        <f t="shared" si="83"/>
        <v>664.33</v>
      </c>
      <c r="O377" s="251">
        <f>'BBD Monthly Production'!AP32*12</f>
        <v>748.67293444606571</v>
      </c>
      <c r="P377" s="271">
        <f t="shared" si="85"/>
        <v>1.1269593943462821</v>
      </c>
      <c r="Y377" s="251">
        <f>SUM('RD Feedstock'!G364,'RD Feedstock'!I364)</f>
        <v>21.543749999999999</v>
      </c>
      <c r="Z377" s="251">
        <f>SUM('RD Feedstock'!G364,'RD Feedstock'!J364)</f>
        <v>7.65625</v>
      </c>
      <c r="AA377" s="251">
        <v>0</v>
      </c>
      <c r="AB377" s="251">
        <f>SUM('RD Feedstock'!B375,'RD Feedstock'!D375,'RD Feedstock'!H375)</f>
        <v>374.51145833333328</v>
      </c>
      <c r="AC377" s="251">
        <f>SUM('RD Feedstock'!C375,'RD Feedstock'!E375)</f>
        <v>12.34375</v>
      </c>
      <c r="AD377" s="251">
        <f t="shared" si="78"/>
        <v>416.05520833333327</v>
      </c>
      <c r="AH377" s="237">
        <f t="shared" si="84"/>
        <v>5.1780988600771641E-2</v>
      </c>
      <c r="AI377" s="237">
        <f t="shared" si="84"/>
        <v>1.8402004942252758E-2</v>
      </c>
      <c r="AJ377" s="237">
        <f t="shared" si="84"/>
        <v>0</v>
      </c>
      <c r="AK377" s="237">
        <f t="shared" si="84"/>
        <v>0.90014846787660896</v>
      </c>
      <c r="AL377" s="237">
        <f t="shared" si="84"/>
        <v>2.9668538580366693E-2</v>
      </c>
      <c r="AM377" s="237">
        <f t="shared" si="86"/>
        <v>1</v>
      </c>
      <c r="AO377" s="237">
        <f t="shared" si="87"/>
        <v>0.73779965753424659</v>
      </c>
      <c r="AP377" s="237">
        <f t="shared" si="88"/>
        <v>0.26220034246575341</v>
      </c>
      <c r="AQ377" s="237">
        <f t="shared" si="89"/>
        <v>0</v>
      </c>
      <c r="AR377" s="237">
        <f t="shared" si="80"/>
        <v>0.96809206717629603</v>
      </c>
      <c r="AS377" s="237">
        <f t="shared" si="80"/>
        <v>3.1907932823703966E-2</v>
      </c>
      <c r="AU377" s="251">
        <f t="shared" si="79"/>
        <v>13745.16400613272</v>
      </c>
      <c r="AV377" s="251">
        <f t="shared" si="79"/>
        <v>4171.3286581878547</v>
      </c>
      <c r="AW377" s="251">
        <f t="shared" si="79"/>
        <v>0</v>
      </c>
      <c r="AX377" s="251">
        <f t="shared" si="79"/>
        <v>192325.9331743888</v>
      </c>
      <c r="AY377" s="251">
        <f t="shared" si="79"/>
        <v>6297.0068790957839</v>
      </c>
      <c r="AZ377" s="251">
        <f t="shared" si="77"/>
        <v>216539.43271780515</v>
      </c>
      <c r="BA377" s="270">
        <f t="shared" si="90"/>
        <v>7.6517407044838306</v>
      </c>
      <c r="BB377" s="251">
        <f t="shared" si="81"/>
        <v>17916.492664320576</v>
      </c>
      <c r="BC377" s="251">
        <f t="shared" si="82"/>
        <v>198622.94005348458</v>
      </c>
    </row>
  </sheetData>
  <mergeCells count="8">
    <mergeCell ref="Y1:AD1"/>
    <mergeCell ref="AH1:AM1"/>
    <mergeCell ref="AO1:AS1"/>
    <mergeCell ref="AU1:BC1"/>
    <mergeCell ref="BD1:BE1"/>
    <mergeCell ref="BG1:BH2"/>
    <mergeCell ref="AO2:AQ2"/>
    <mergeCell ref="AR2:AS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C5FD-1092-4F70-A6BA-45412DF30D29}">
  <dimension ref="A1:U507"/>
  <sheetViews>
    <sheetView zoomScale="70" zoomScaleNormal="70" workbookViewId="0">
      <pane xSplit="1" ySplit="3" topLeftCell="F256" activePane="bottomRight" state="frozen"/>
      <selection activeCell="A7" sqref="A7"/>
      <selection pane="topRight" activeCell="A7" sqref="A7"/>
      <selection pane="bottomLeft" activeCell="A7" sqref="A7"/>
      <selection pane="bottomRight" activeCell="A7" sqref="A7"/>
    </sheetView>
  </sheetViews>
  <sheetFormatPr defaultRowHeight="12.75"/>
  <cols>
    <col min="1" max="1" width="11.83203125" bestFit="1" customWidth="1"/>
    <col min="2" max="21" width="25" customWidth="1"/>
  </cols>
  <sheetData>
    <row r="1" spans="1:21" ht="54">
      <c r="B1" s="289" t="s">
        <v>293</v>
      </c>
      <c r="C1" s="290" t="s">
        <v>294</v>
      </c>
      <c r="D1" s="290"/>
      <c r="E1" s="290" t="s">
        <v>295</v>
      </c>
      <c r="F1" s="290"/>
      <c r="G1" s="290" t="s">
        <v>296</v>
      </c>
      <c r="H1" s="290"/>
      <c r="I1" s="289" t="s">
        <v>297</v>
      </c>
      <c r="J1" s="289" t="s">
        <v>298</v>
      </c>
      <c r="K1" s="290" t="s">
        <v>299</v>
      </c>
      <c r="L1" s="290"/>
      <c r="M1" s="289" t="s">
        <v>300</v>
      </c>
      <c r="N1" s="289" t="s">
        <v>300</v>
      </c>
      <c r="O1" s="289" t="s">
        <v>301</v>
      </c>
      <c r="P1" s="289" t="s">
        <v>302</v>
      </c>
      <c r="Q1" s="289" t="s">
        <v>303</v>
      </c>
      <c r="R1" s="290" t="s">
        <v>304</v>
      </c>
      <c r="S1" s="290"/>
      <c r="T1" s="290" t="s">
        <v>305</v>
      </c>
      <c r="U1" s="290"/>
    </row>
    <row r="2" spans="1:21" ht="18">
      <c r="B2" s="291" t="s">
        <v>337</v>
      </c>
      <c r="C2" s="291" t="s">
        <v>334</v>
      </c>
      <c r="D2" s="291" t="s">
        <v>335</v>
      </c>
      <c r="E2" s="291" t="s">
        <v>334</v>
      </c>
      <c r="F2" s="291" t="s">
        <v>335</v>
      </c>
      <c r="G2" s="291" t="s">
        <v>334</v>
      </c>
      <c r="H2" s="291" t="s">
        <v>335</v>
      </c>
      <c r="I2" s="291" t="s">
        <v>335</v>
      </c>
      <c r="J2" s="291" t="s">
        <v>336</v>
      </c>
      <c r="K2" s="291" t="s">
        <v>334</v>
      </c>
      <c r="L2" s="291" t="s">
        <v>335</v>
      </c>
      <c r="M2" s="291" t="s">
        <v>335</v>
      </c>
      <c r="N2" s="291" t="s">
        <v>335</v>
      </c>
      <c r="O2" s="291" t="s">
        <v>335</v>
      </c>
      <c r="P2" s="291" t="s">
        <v>337</v>
      </c>
      <c r="Q2" s="291" t="s">
        <v>337</v>
      </c>
      <c r="R2" s="291" t="s">
        <v>337</v>
      </c>
      <c r="S2" s="291" t="s">
        <v>338</v>
      </c>
      <c r="T2" s="291" t="s">
        <v>334</v>
      </c>
      <c r="U2" s="291" t="s">
        <v>335</v>
      </c>
    </row>
    <row r="3" spans="1:21" ht="18">
      <c r="B3" s="292">
        <v>1</v>
      </c>
      <c r="C3" s="292">
        <v>0.75</v>
      </c>
      <c r="D3" s="292">
        <v>0.25</v>
      </c>
      <c r="E3" s="292">
        <v>0.75</v>
      </c>
      <c r="F3" s="292">
        <v>0.25</v>
      </c>
      <c r="G3" s="292">
        <v>0.75</v>
      </c>
      <c r="H3" s="292">
        <v>0.25</v>
      </c>
      <c r="I3" s="292">
        <v>1</v>
      </c>
      <c r="J3" s="292">
        <v>1</v>
      </c>
      <c r="K3" s="292">
        <v>0.75</v>
      </c>
      <c r="L3" s="292">
        <v>0.25</v>
      </c>
      <c r="M3" s="292">
        <v>1</v>
      </c>
      <c r="N3" s="292">
        <v>1</v>
      </c>
      <c r="O3" s="292">
        <v>1</v>
      </c>
      <c r="P3" s="292">
        <v>1</v>
      </c>
      <c r="Q3" s="292">
        <v>1</v>
      </c>
      <c r="R3" s="292">
        <v>0.95</v>
      </c>
      <c r="S3" s="292">
        <v>0.05</v>
      </c>
      <c r="T3" s="292">
        <v>0.75</v>
      </c>
      <c r="U3" s="292">
        <v>0.25</v>
      </c>
    </row>
    <row r="4" spans="1:21" ht="18">
      <c r="A4" s="293">
        <v>39814</v>
      </c>
      <c r="B4" s="294"/>
      <c r="C4" s="294"/>
      <c r="D4" s="294"/>
      <c r="E4" s="294"/>
      <c r="F4" s="294"/>
      <c r="G4" s="294"/>
      <c r="H4" s="153"/>
      <c r="I4" s="295">
        <f>'BD Plant List'!F6/12*'BD Feedstock'!I$3*'BD Plant List'!AC$5</f>
        <v>0.13716666666666666</v>
      </c>
      <c r="J4" s="153"/>
      <c r="K4" s="295">
        <f>'BD Plant List'!$H6/12*'BD Feedstock'!K$3*'BD Plant List'!AB$5</f>
        <v>5.8125</v>
      </c>
      <c r="L4" s="295">
        <f>'BD Plant List'!$H6/12*'BD Feedstock'!L$3*'BD Plant List'!AC$5</f>
        <v>2.0575000000000001</v>
      </c>
      <c r="M4" s="153"/>
      <c r="N4" s="153"/>
      <c r="O4" s="153"/>
      <c r="P4" s="153"/>
      <c r="Q4" s="153"/>
      <c r="R4" s="153"/>
      <c r="S4" s="153"/>
      <c r="T4" s="295">
        <f>'BD Plant List'!$O6/12*'BD Feedstock'!T$3*'BD Plant List'!AB$5</f>
        <v>8.5732126770944213</v>
      </c>
      <c r="U4" s="295">
        <f>'BD Plant List'!$O6/12*'BD Feedstock'!U$3*'BD Plant List'!AC$5</f>
        <v>3.0347329175263269</v>
      </c>
    </row>
    <row r="5" spans="1:21" ht="18">
      <c r="A5" s="293">
        <v>39845</v>
      </c>
      <c r="B5" s="294"/>
      <c r="C5" s="294"/>
      <c r="D5" s="294"/>
      <c r="E5" s="294"/>
      <c r="F5" s="294"/>
      <c r="G5" s="294"/>
      <c r="H5" s="153"/>
      <c r="I5" s="295">
        <f>'BD Plant List'!F7/12*'BD Feedstock'!I$3*'BD Plant List'!AC$5</f>
        <v>0.13716666666666666</v>
      </c>
      <c r="J5" s="153"/>
      <c r="K5" s="295">
        <f>'BD Plant List'!$H7/12*'BD Feedstock'!K$3*'BD Plant List'!AB$5</f>
        <v>5.8125</v>
      </c>
      <c r="L5" s="295">
        <f>'BD Plant List'!$H7/12*'BD Feedstock'!L$3*'BD Plant List'!AC$5</f>
        <v>2.0575000000000001</v>
      </c>
      <c r="M5" s="153"/>
      <c r="N5" s="153"/>
      <c r="O5" s="153"/>
      <c r="P5" s="153"/>
      <c r="Q5" s="153"/>
      <c r="R5" s="153"/>
      <c r="S5" s="153"/>
      <c r="T5" s="295">
        <f>'BD Plant List'!$O7/12*'BD Feedstock'!T$3*'BD Plant List'!AB$5</f>
        <v>8.5732126770944213</v>
      </c>
      <c r="U5" s="295">
        <f>'BD Plant List'!$O7/12*'BD Feedstock'!U$3*'BD Plant List'!AC$5</f>
        <v>3.0347329175263269</v>
      </c>
    </row>
    <row r="6" spans="1:21" ht="18">
      <c r="A6" s="293">
        <v>39873</v>
      </c>
      <c r="B6" s="294"/>
      <c r="C6" s="165"/>
      <c r="D6" s="165"/>
      <c r="E6" s="294"/>
      <c r="F6" s="294"/>
      <c r="G6" s="295">
        <f>'BD Plant List'!$E8/12*'BD Feedstock'!G$3*'BD Plant List'!AB$5</f>
        <v>0.484375</v>
      </c>
      <c r="H6" s="295">
        <f>'BD Plant List'!$E8/12*'BD Feedstock'!H$3*'BD Plant List'!AC$5</f>
        <v>0.17145833333333332</v>
      </c>
      <c r="I6" s="295">
        <f>'BD Plant List'!F8/12*'BD Feedstock'!I$3*'BD Plant List'!AC$5</f>
        <v>0.13716666666666666</v>
      </c>
      <c r="J6" s="153"/>
      <c r="K6" s="295">
        <f>'BD Plant List'!$H8/12*'BD Feedstock'!K$3*'BD Plant List'!AB$5</f>
        <v>5.8125</v>
      </c>
      <c r="L6" s="295">
        <f>'BD Plant List'!$H8/12*'BD Feedstock'!L$3*'BD Plant List'!AC$5</f>
        <v>2.0575000000000001</v>
      </c>
      <c r="M6" s="153"/>
      <c r="N6" s="153"/>
      <c r="O6" s="153"/>
      <c r="P6" s="153"/>
      <c r="Q6" s="153"/>
      <c r="R6" s="153"/>
      <c r="S6" s="153"/>
      <c r="T6" s="295">
        <f>'BD Plant List'!$O8/12*'BD Feedstock'!T$3*'BD Plant List'!AB$5</f>
        <v>8.5732126770944213</v>
      </c>
      <c r="U6" s="295">
        <f>'BD Plant List'!$O8/12*'BD Feedstock'!U$3*'BD Plant List'!AC$5</f>
        <v>3.0347329175263269</v>
      </c>
    </row>
    <row r="7" spans="1:21" ht="18">
      <c r="A7" s="293">
        <v>39904</v>
      </c>
      <c r="B7" s="294"/>
      <c r="C7" s="165"/>
      <c r="D7" s="165"/>
      <c r="E7" s="294"/>
      <c r="F7" s="294"/>
      <c r="G7" s="295">
        <f>'BD Plant List'!$E9/12*'BD Feedstock'!G$3*'BD Plant List'!AB$5</f>
        <v>0.96875</v>
      </c>
      <c r="H7" s="295">
        <f>'BD Plant List'!$E9/12*'BD Feedstock'!H$3*'BD Plant List'!AC$5</f>
        <v>0.34291666666666665</v>
      </c>
      <c r="I7" s="295">
        <f>'BD Plant List'!F9/12*'BD Feedstock'!I$3*'BD Plant List'!AC$5</f>
        <v>0.13716666666666666</v>
      </c>
      <c r="J7" s="153"/>
      <c r="K7" s="295">
        <f>'BD Plant List'!$H9/12*'BD Feedstock'!K$3*'BD Plant List'!AB$5</f>
        <v>5.8125</v>
      </c>
      <c r="L7" s="295">
        <f>'BD Plant List'!$H9/12*'BD Feedstock'!L$3*'BD Plant List'!AC$5</f>
        <v>2.0575000000000001</v>
      </c>
      <c r="M7" s="153"/>
      <c r="N7" s="153"/>
      <c r="O7" s="153"/>
      <c r="P7" s="153"/>
      <c r="Q7" s="153"/>
      <c r="R7" s="153"/>
      <c r="S7" s="153"/>
      <c r="T7" s="295">
        <f>'BD Plant List'!$O9/12*'BD Feedstock'!T$3*'BD Plant List'!AB$5</f>
        <v>8.5732126770944213</v>
      </c>
      <c r="U7" s="295">
        <f>'BD Plant List'!$O9/12*'BD Feedstock'!U$3*'BD Plant List'!AC$5</f>
        <v>3.0347329175263269</v>
      </c>
    </row>
    <row r="8" spans="1:21" ht="18">
      <c r="A8" s="293">
        <v>39934</v>
      </c>
      <c r="B8" s="294"/>
      <c r="C8" s="294"/>
      <c r="D8" s="294"/>
      <c r="E8" s="294"/>
      <c r="F8" s="294"/>
      <c r="G8" s="295">
        <f>'BD Plant List'!$E10/12*'BD Feedstock'!G$3*'BD Plant List'!AB$5</f>
        <v>1.453125</v>
      </c>
      <c r="H8" s="295">
        <f>'BD Plant List'!$E10/12*'BD Feedstock'!H$3*'BD Plant List'!AC$5</f>
        <v>0.51437500000000003</v>
      </c>
      <c r="I8" s="295">
        <f>'BD Plant List'!F10/12*'BD Feedstock'!I$3*'BD Plant List'!AC$5</f>
        <v>0.13716666666666666</v>
      </c>
      <c r="J8" s="153"/>
      <c r="K8" s="295">
        <f>'BD Plant List'!$H10/12*'BD Feedstock'!K$3*'BD Plant List'!AB$5</f>
        <v>5.8125</v>
      </c>
      <c r="L8" s="295">
        <f>'BD Plant List'!$H10/12*'BD Feedstock'!L$3*'BD Plant List'!AC$5</f>
        <v>2.0575000000000001</v>
      </c>
      <c r="M8" s="153"/>
      <c r="N8" s="153"/>
      <c r="O8" s="153"/>
      <c r="P8" s="153"/>
      <c r="Q8" s="153"/>
      <c r="R8" s="153"/>
      <c r="S8" s="153"/>
      <c r="T8" s="295">
        <f>'BD Plant List'!$O10/12*'BD Feedstock'!T$3*'BD Plant List'!AB$5</f>
        <v>8.5732126770944213</v>
      </c>
      <c r="U8" s="295">
        <f>'BD Plant List'!$O10/12*'BD Feedstock'!U$3*'BD Plant List'!AC$5</f>
        <v>3.0347329175263269</v>
      </c>
    </row>
    <row r="9" spans="1:21" ht="18">
      <c r="A9" s="293">
        <v>39965</v>
      </c>
      <c r="B9" s="294"/>
      <c r="C9" s="294"/>
      <c r="D9" s="294"/>
      <c r="E9" s="294"/>
      <c r="F9" s="294"/>
      <c r="G9" s="295">
        <f>'BD Plant List'!$E11/12*'BD Feedstock'!G$3*'BD Plant List'!AB$5</f>
        <v>1.453125</v>
      </c>
      <c r="H9" s="295">
        <f>'BD Plant List'!$E11/12*'BD Feedstock'!H$3*'BD Plant List'!AC$5</f>
        <v>0.51437500000000003</v>
      </c>
      <c r="I9" s="295">
        <f>'BD Plant List'!F11/12*'BD Feedstock'!I$3*'BD Plant List'!AC$5</f>
        <v>0.13716666666666666</v>
      </c>
      <c r="J9" s="153"/>
      <c r="K9" s="295">
        <f>'BD Plant List'!$H11/12*'BD Feedstock'!K$3*'BD Plant List'!AB$5</f>
        <v>5.8125</v>
      </c>
      <c r="L9" s="295">
        <f>'BD Plant List'!$H11/12*'BD Feedstock'!L$3*'BD Plant List'!AC$5</f>
        <v>2.0575000000000001</v>
      </c>
      <c r="M9" s="153"/>
      <c r="N9" s="153"/>
      <c r="O9" s="153"/>
      <c r="P9" s="153"/>
      <c r="Q9" s="153"/>
      <c r="R9" s="153"/>
      <c r="S9" s="153"/>
      <c r="T9" s="295">
        <f>'BD Plant List'!$O11/12*'BD Feedstock'!T$3*'BD Plant List'!AB$5</f>
        <v>8.5732126770944213</v>
      </c>
      <c r="U9" s="295">
        <f>'BD Plant List'!$O11/12*'BD Feedstock'!U$3*'BD Plant List'!AC$5</f>
        <v>3.0347329175263269</v>
      </c>
    </row>
    <row r="10" spans="1:21" ht="18">
      <c r="A10" s="293">
        <v>39995</v>
      </c>
      <c r="B10" s="294"/>
      <c r="C10" s="294"/>
      <c r="D10" s="294"/>
      <c r="E10" s="294"/>
      <c r="F10" s="294"/>
      <c r="G10" s="295">
        <f>'BD Plant List'!$E12/12*'BD Feedstock'!G$3*'BD Plant List'!AB$5</f>
        <v>1.453125</v>
      </c>
      <c r="H10" s="295">
        <f>'BD Plant List'!$E12/12*'BD Feedstock'!H$3*'BD Plant List'!AC$5</f>
        <v>0.51437500000000003</v>
      </c>
      <c r="I10" s="295">
        <f>'BD Plant List'!F12/12*'BD Feedstock'!I$3*'BD Plant List'!AC$5</f>
        <v>0.13716666666666666</v>
      </c>
      <c r="J10" s="153"/>
      <c r="K10" s="295">
        <f>'BD Plant List'!$H12/12*'BD Feedstock'!K$3*'BD Plant List'!AB$5</f>
        <v>5.8125</v>
      </c>
      <c r="L10" s="295">
        <f>'BD Plant List'!$H12/12*'BD Feedstock'!L$3*'BD Plant List'!AC$5</f>
        <v>2.0575000000000001</v>
      </c>
      <c r="M10" s="153"/>
      <c r="N10" s="153"/>
      <c r="O10" s="153"/>
      <c r="P10" s="153"/>
      <c r="Q10" s="153"/>
      <c r="R10" s="153"/>
      <c r="S10" s="153"/>
      <c r="T10" s="295">
        <f>'BD Plant List'!$O12/12*'BD Feedstock'!T$3*'BD Plant List'!AB$5</f>
        <v>8.5732126770944213</v>
      </c>
      <c r="U10" s="295">
        <f>'BD Plant List'!$O12/12*'BD Feedstock'!U$3*'BD Plant List'!AC$5</f>
        <v>3.0347329175263269</v>
      </c>
    </row>
    <row r="11" spans="1:21" ht="18">
      <c r="A11" s="293">
        <v>40026</v>
      </c>
      <c r="B11" s="294"/>
      <c r="C11" s="294"/>
      <c r="D11" s="294"/>
      <c r="E11" s="294"/>
      <c r="F11" s="294"/>
      <c r="G11" s="295">
        <f>'BD Plant List'!$E13/12*'BD Feedstock'!G$3*'BD Plant List'!AB$5</f>
        <v>1.453125</v>
      </c>
      <c r="H11" s="295">
        <f>'BD Plant List'!$E13/12*'BD Feedstock'!H$3*'BD Plant List'!AC$5</f>
        <v>0.51437500000000003</v>
      </c>
      <c r="I11" s="295">
        <f>'BD Plant List'!F13/12*'BD Feedstock'!I$3*'BD Plant List'!AC$5</f>
        <v>0.13716666666666666</v>
      </c>
      <c r="J11" s="153"/>
      <c r="K11" s="295">
        <f>'BD Plant List'!$H13/12*'BD Feedstock'!K$3*'BD Plant List'!AB$5</f>
        <v>5.8125</v>
      </c>
      <c r="L11" s="295">
        <f>'BD Plant List'!$H13/12*'BD Feedstock'!L$3*'BD Plant List'!AC$5</f>
        <v>2.0575000000000001</v>
      </c>
      <c r="M11" s="153"/>
      <c r="N11" s="153"/>
      <c r="O11" s="153"/>
      <c r="P11" s="295">
        <f>'BD Plant List'!$L13/12*'BD Feedstock'!P$3*'BD Plant List'!AE$5</f>
        <v>1.6400689313266814</v>
      </c>
      <c r="Q11" s="153"/>
      <c r="R11" s="153"/>
      <c r="S11" s="153"/>
      <c r="T11" s="295">
        <f>'BD Plant List'!$O13/12*'BD Feedstock'!T$3*'BD Plant List'!AB$5</f>
        <v>8.5732126770944213</v>
      </c>
      <c r="U11" s="295">
        <f>'BD Plant List'!$O13/12*'BD Feedstock'!U$3*'BD Plant List'!AC$5</f>
        <v>3.0347329175263269</v>
      </c>
    </row>
    <row r="12" spans="1:21" ht="18">
      <c r="A12" s="293">
        <v>40057</v>
      </c>
      <c r="B12" s="294"/>
      <c r="C12" s="294"/>
      <c r="D12" s="294"/>
      <c r="E12" s="294"/>
      <c r="F12" s="294"/>
      <c r="G12" s="295">
        <f>'BD Plant List'!$E14/12*'BD Feedstock'!G$3*'BD Plant List'!AB$5</f>
        <v>1.453125</v>
      </c>
      <c r="H12" s="295">
        <f>'BD Plant List'!$E14/12*'BD Feedstock'!H$3*'BD Plant List'!AC$5</f>
        <v>0.51437500000000003</v>
      </c>
      <c r="I12" s="295">
        <f>'BD Plant List'!F14/12*'BD Feedstock'!I$3*'BD Plant List'!AC$5</f>
        <v>0.13716666666666666</v>
      </c>
      <c r="J12" s="153"/>
      <c r="K12" s="295">
        <f>'BD Plant List'!$H14/12*'BD Feedstock'!K$3*'BD Plant List'!AB$5</f>
        <v>5.8125</v>
      </c>
      <c r="L12" s="295">
        <f>'BD Plant List'!$H14/12*'BD Feedstock'!L$3*'BD Plant List'!AC$5</f>
        <v>2.0575000000000001</v>
      </c>
      <c r="M12" s="153"/>
      <c r="N12" s="153"/>
      <c r="O12" s="153"/>
      <c r="P12" s="295">
        <f>'BD Plant List'!$L14/12*'BD Feedstock'!P$3*'BD Plant List'!AE$5</f>
        <v>1.6400689313266814</v>
      </c>
      <c r="Q12" s="153"/>
      <c r="R12" s="153"/>
      <c r="S12" s="153"/>
      <c r="T12" s="295">
        <f>'BD Plant List'!$O14/12*'BD Feedstock'!T$3*'BD Plant List'!AB$5</f>
        <v>8.5732126770944213</v>
      </c>
      <c r="U12" s="295">
        <f>'BD Plant List'!$O14/12*'BD Feedstock'!U$3*'BD Plant List'!AC$5</f>
        <v>3.0347329175263269</v>
      </c>
    </row>
    <row r="13" spans="1:21" ht="18">
      <c r="A13" s="293">
        <v>40087</v>
      </c>
      <c r="B13" s="294"/>
      <c r="C13" s="294"/>
      <c r="D13" s="294"/>
      <c r="E13" s="294"/>
      <c r="F13" s="294"/>
      <c r="G13" s="295">
        <f>'BD Plant List'!$E15/12*'BD Feedstock'!G$3*'BD Plant List'!AB$5</f>
        <v>1.453125</v>
      </c>
      <c r="H13" s="295">
        <f>'BD Plant List'!$E15/12*'BD Feedstock'!H$3*'BD Plant List'!AC$5</f>
        <v>0.51437500000000003</v>
      </c>
      <c r="I13" s="295">
        <f>'BD Plant List'!F15/12*'BD Feedstock'!I$3*'BD Plant List'!AC$5</f>
        <v>0.13716666666666666</v>
      </c>
      <c r="J13" s="153"/>
      <c r="K13" s="295">
        <f>'BD Plant List'!$H15/12*'BD Feedstock'!K$3*'BD Plant List'!AB$5</f>
        <v>5.8125</v>
      </c>
      <c r="L13" s="295">
        <f>'BD Plant List'!$H15/12*'BD Feedstock'!L$3*'BD Plant List'!AC$5</f>
        <v>2.0575000000000001</v>
      </c>
      <c r="M13" s="153"/>
      <c r="N13" s="153"/>
      <c r="O13" s="153"/>
      <c r="P13" s="295">
        <f>'BD Plant List'!$L15/12*'BD Feedstock'!P$3*'BD Plant List'!AE$5</f>
        <v>1.6400689313266814</v>
      </c>
      <c r="Q13" s="153"/>
      <c r="R13" s="153"/>
      <c r="S13" s="153"/>
      <c r="T13" s="295">
        <f>'BD Plant List'!$O15/12*'BD Feedstock'!T$3*'BD Plant List'!AB$5</f>
        <v>8.5732126770944213</v>
      </c>
      <c r="U13" s="295">
        <f>'BD Plant List'!$O15/12*'BD Feedstock'!U$3*'BD Plant List'!AC$5</f>
        <v>3.0347329175263269</v>
      </c>
    </row>
    <row r="14" spans="1:21" ht="18">
      <c r="A14" s="293">
        <v>40118</v>
      </c>
      <c r="B14" s="294"/>
      <c r="C14" s="294"/>
      <c r="D14" s="294"/>
      <c r="E14" s="294"/>
      <c r="F14" s="294"/>
      <c r="G14" s="295">
        <f>'BD Plant List'!$E16/12*'BD Feedstock'!G$3*'BD Plant List'!AB$5</f>
        <v>1.453125</v>
      </c>
      <c r="H14" s="295">
        <f>'BD Plant List'!$E16/12*'BD Feedstock'!H$3*'BD Plant List'!AC$5</f>
        <v>0.51437500000000003</v>
      </c>
      <c r="I14" s="295">
        <f>'BD Plant List'!F16/12*'BD Feedstock'!I$3*'BD Plant List'!AC$5</f>
        <v>0.13716666666666666</v>
      </c>
      <c r="J14" s="153"/>
      <c r="K14" s="295">
        <f>'BD Plant List'!$H16/12*'BD Feedstock'!K$3*'BD Plant List'!AB$5</f>
        <v>5.8125</v>
      </c>
      <c r="L14" s="295">
        <f>'BD Plant List'!$H16/12*'BD Feedstock'!L$3*'BD Plant List'!AC$5</f>
        <v>2.0575000000000001</v>
      </c>
      <c r="M14" s="153"/>
      <c r="N14" s="153"/>
      <c r="O14" s="153"/>
      <c r="P14" s="295">
        <f>'BD Plant List'!$L16/12*'BD Feedstock'!P$3*'BD Plant List'!AE$5</f>
        <v>1.6400689313266814</v>
      </c>
      <c r="Q14" s="153"/>
      <c r="R14" s="153"/>
      <c r="S14" s="153"/>
      <c r="T14" s="295">
        <f>'BD Plant List'!$O16/12*'BD Feedstock'!T$3*'BD Plant List'!AB$5</f>
        <v>8.5732126770944213</v>
      </c>
      <c r="U14" s="295">
        <f>'BD Plant List'!$O16/12*'BD Feedstock'!U$3*'BD Plant List'!AC$5</f>
        <v>3.0347329175263269</v>
      </c>
    </row>
    <row r="15" spans="1:21" ht="18">
      <c r="A15" s="293">
        <v>40148</v>
      </c>
      <c r="B15" s="294"/>
      <c r="C15" s="294"/>
      <c r="D15" s="294"/>
      <c r="E15" s="294"/>
      <c r="F15" s="294"/>
      <c r="G15" s="295">
        <f>'BD Plant List'!$E17/12*'BD Feedstock'!G$3*'BD Plant List'!AB$5</f>
        <v>1.453125</v>
      </c>
      <c r="H15" s="295">
        <f>'BD Plant List'!$E17/12*'BD Feedstock'!H$3*'BD Plant List'!AC$5</f>
        <v>0.51437500000000003</v>
      </c>
      <c r="I15" s="295">
        <f>'BD Plant List'!F17/12*'BD Feedstock'!I$3*'BD Plant List'!AC$5</f>
        <v>0.13716666666666666</v>
      </c>
      <c r="J15" s="153"/>
      <c r="K15" s="295">
        <f>'BD Plant List'!$H17/12*'BD Feedstock'!K$3*'BD Plant List'!AB$5</f>
        <v>5.8125</v>
      </c>
      <c r="L15" s="295">
        <f>'BD Plant List'!$H17/12*'BD Feedstock'!L$3*'BD Plant List'!AC$5</f>
        <v>2.0575000000000001</v>
      </c>
      <c r="M15" s="153"/>
      <c r="N15" s="153"/>
      <c r="O15" s="153"/>
      <c r="P15" s="295">
        <f>'BD Plant List'!$L17/12*'BD Feedstock'!P$3*'BD Plant List'!AE$5</f>
        <v>1.6400689313266814</v>
      </c>
      <c r="Q15" s="153"/>
      <c r="R15" s="153"/>
      <c r="S15" s="153"/>
      <c r="T15" s="295">
        <f>'BD Plant List'!$O17/12*'BD Feedstock'!T$3*'BD Plant List'!AB$5</f>
        <v>8.5732126770944213</v>
      </c>
      <c r="U15" s="295">
        <f>'BD Plant List'!$O17/12*'BD Feedstock'!U$3*'BD Plant List'!AC$5</f>
        <v>3.0347329175263269</v>
      </c>
    </row>
    <row r="16" spans="1:21" ht="18">
      <c r="A16" s="293">
        <v>40179</v>
      </c>
      <c r="B16" s="294"/>
      <c r="C16" s="294"/>
      <c r="D16" s="294"/>
      <c r="E16" s="294"/>
      <c r="F16" s="294"/>
      <c r="G16" s="295">
        <f>'BD Plant List'!$E18/12*'BD Feedstock'!G$3*'BD Plant List'!AB$5</f>
        <v>1.453125</v>
      </c>
      <c r="H16" s="295">
        <f>'BD Plant List'!$E18/12*'BD Feedstock'!H$3*'BD Plant List'!AC$5</f>
        <v>0.51437500000000003</v>
      </c>
      <c r="I16" s="295">
        <f>'BD Plant List'!F18/12*'BD Feedstock'!I$3*'BD Plant List'!AC$5</f>
        <v>0.13716666666666666</v>
      </c>
      <c r="J16" s="153"/>
      <c r="K16" s="295">
        <f>'BD Plant List'!$H18/12*'BD Feedstock'!K$3*'BD Plant List'!AB$5</f>
        <v>5.8125</v>
      </c>
      <c r="L16" s="295">
        <f>'BD Plant List'!$H18/12*'BD Feedstock'!L$3*'BD Plant List'!AC$5</f>
        <v>2.0575000000000001</v>
      </c>
      <c r="M16" s="153"/>
      <c r="N16" s="153"/>
      <c r="O16" s="153"/>
      <c r="P16" s="295">
        <f>'BD Plant List'!$L18/12*'BD Feedstock'!P$3*'BD Plant List'!AE$5</f>
        <v>1.6400689313266814</v>
      </c>
      <c r="Q16" s="153"/>
      <c r="R16" s="153"/>
      <c r="S16" s="153"/>
      <c r="T16" s="295">
        <f>'BD Plant List'!$O18/12*'BD Feedstock'!T$3*'BD Plant List'!AB$5</f>
        <v>8.5732126770944213</v>
      </c>
      <c r="U16" s="295">
        <f>'BD Plant List'!$O18/12*'BD Feedstock'!U$3*'BD Plant List'!AC$5</f>
        <v>3.0347329175263269</v>
      </c>
    </row>
    <row r="17" spans="1:21" ht="18">
      <c r="A17" s="293">
        <v>40210</v>
      </c>
      <c r="B17" s="294"/>
      <c r="C17" s="294"/>
      <c r="D17" s="294"/>
      <c r="E17" s="294"/>
      <c r="F17" s="294"/>
      <c r="G17" s="295">
        <f>'BD Plant List'!$E19/12*'BD Feedstock'!G$3*'BD Plant List'!AB$5</f>
        <v>1.453125</v>
      </c>
      <c r="H17" s="295">
        <f>'BD Plant List'!$E19/12*'BD Feedstock'!H$3*'BD Plant List'!AC$5</f>
        <v>0.51437500000000003</v>
      </c>
      <c r="I17" s="295">
        <f>'BD Plant List'!F19/12*'BD Feedstock'!I$3*'BD Plant List'!AC$5</f>
        <v>0.13716666666666666</v>
      </c>
      <c r="J17" s="153"/>
      <c r="K17" s="295">
        <f>'BD Plant List'!$H19/12*'BD Feedstock'!K$3*'BD Plant List'!AB$5</f>
        <v>5.8125</v>
      </c>
      <c r="L17" s="295">
        <f>'BD Plant List'!$H19/12*'BD Feedstock'!L$3*'BD Plant List'!AC$5</f>
        <v>2.0575000000000001</v>
      </c>
      <c r="M17" s="153"/>
      <c r="N17" s="153"/>
      <c r="O17" s="153"/>
      <c r="P17" s="295">
        <f>'BD Plant List'!$L19/12*'BD Feedstock'!P$3*'BD Plant List'!AE$5</f>
        <v>1.6400689313266814</v>
      </c>
      <c r="Q17" s="153"/>
      <c r="R17" s="153"/>
      <c r="S17" s="153"/>
      <c r="T17" s="295">
        <f>'BD Plant List'!$O19/12*'BD Feedstock'!T$3*'BD Plant List'!AB$5</f>
        <v>8.5732126770944213</v>
      </c>
      <c r="U17" s="295">
        <f>'BD Plant List'!$O19/12*'BD Feedstock'!U$3*'BD Plant List'!AC$5</f>
        <v>3.0347329175263269</v>
      </c>
    </row>
    <row r="18" spans="1:21" ht="18">
      <c r="A18" s="293">
        <v>40238</v>
      </c>
      <c r="B18" s="294"/>
      <c r="C18" s="294"/>
      <c r="D18" s="294"/>
      <c r="E18" s="294"/>
      <c r="F18" s="294"/>
      <c r="G18" s="295">
        <f>'BD Plant List'!$E20/12*'BD Feedstock'!G$3*'BD Plant List'!AB$5</f>
        <v>1.453125</v>
      </c>
      <c r="H18" s="295">
        <f>'BD Plant List'!$E20/12*'BD Feedstock'!H$3*'BD Plant List'!AC$5</f>
        <v>0.51437500000000003</v>
      </c>
      <c r="I18" s="295">
        <f>'BD Plant List'!F20/12*'BD Feedstock'!I$3*'BD Plant List'!AC$5</f>
        <v>0.13716666666666666</v>
      </c>
      <c r="J18" s="153"/>
      <c r="K18" s="295">
        <f>'BD Plant List'!$H20/12*'BD Feedstock'!K$3*'BD Plant List'!AB$5</f>
        <v>5.8125</v>
      </c>
      <c r="L18" s="295">
        <f>'BD Plant List'!$H20/12*'BD Feedstock'!L$3*'BD Plant List'!AC$5</f>
        <v>2.0575000000000001</v>
      </c>
      <c r="M18" s="153"/>
      <c r="N18" s="153"/>
      <c r="O18" s="153"/>
      <c r="P18" s="295">
        <f>'BD Plant List'!$L20/12*'BD Feedstock'!P$3*'BD Plant List'!AE$5</f>
        <v>1.6400689313266814</v>
      </c>
      <c r="Q18" s="153"/>
      <c r="R18" s="153"/>
      <c r="S18" s="153"/>
      <c r="T18" s="295">
        <f>'BD Plant List'!$O20/12*'BD Feedstock'!T$3*'BD Plant List'!AB$5</f>
        <v>8.5732126770944213</v>
      </c>
      <c r="U18" s="295">
        <f>'BD Plant List'!$O20/12*'BD Feedstock'!U$3*'BD Plant List'!AC$5</f>
        <v>3.0347329175263269</v>
      </c>
    </row>
    <row r="19" spans="1:21" ht="18">
      <c r="A19" s="293">
        <v>40269</v>
      </c>
      <c r="B19" s="294"/>
      <c r="C19" s="294"/>
      <c r="D19" s="294"/>
      <c r="E19" s="294"/>
      <c r="F19" s="294"/>
      <c r="G19" s="295">
        <f>'BD Plant List'!$E21/12*'BD Feedstock'!G$3*'BD Plant List'!AB$5</f>
        <v>1.453125</v>
      </c>
      <c r="H19" s="295">
        <f>'BD Plant List'!$E21/12*'BD Feedstock'!H$3*'BD Plant List'!AC$5</f>
        <v>0.51437500000000003</v>
      </c>
      <c r="I19" s="295">
        <f>'BD Plant List'!F21/12*'BD Feedstock'!I$3*'BD Plant List'!AC$5</f>
        <v>0.13716666666666666</v>
      </c>
      <c r="J19" s="153"/>
      <c r="K19" s="295">
        <f>'BD Plant List'!$H21/12*'BD Feedstock'!K$3*'BD Plant List'!AB$5</f>
        <v>5.8125</v>
      </c>
      <c r="L19" s="295">
        <f>'BD Plant List'!$H21/12*'BD Feedstock'!L$3*'BD Plant List'!AC$5</f>
        <v>2.0575000000000001</v>
      </c>
      <c r="M19" s="153"/>
      <c r="N19" s="153"/>
      <c r="O19" s="153"/>
      <c r="P19" s="295">
        <f>'BD Plant List'!$L21/12*'BD Feedstock'!P$3*'BD Plant List'!AE$5</f>
        <v>1.6400689313266814</v>
      </c>
      <c r="Q19" s="153"/>
      <c r="R19" s="153"/>
      <c r="S19" s="153"/>
      <c r="T19" s="295">
        <f>'BD Plant List'!$O21/12*'BD Feedstock'!T$3*'BD Plant List'!AB$5</f>
        <v>8.5732126770944213</v>
      </c>
      <c r="U19" s="295">
        <f>'BD Plant List'!$O21/12*'BD Feedstock'!U$3*'BD Plant List'!AC$5</f>
        <v>3.0347329175263269</v>
      </c>
    </row>
    <row r="20" spans="1:21" ht="18">
      <c r="A20" s="293">
        <v>40299</v>
      </c>
      <c r="B20" s="294"/>
      <c r="C20" s="294"/>
      <c r="D20" s="294"/>
      <c r="E20" s="294"/>
      <c r="F20" s="294"/>
      <c r="G20" s="295">
        <f>'BD Plant List'!$E22/12*'BD Feedstock'!G$3*'BD Plant List'!AB$5</f>
        <v>1.453125</v>
      </c>
      <c r="H20" s="295">
        <f>'BD Plant List'!$E22/12*'BD Feedstock'!H$3*'BD Plant List'!AC$5</f>
        <v>0.51437500000000003</v>
      </c>
      <c r="I20" s="295">
        <f>'BD Plant List'!F22/12*'BD Feedstock'!I$3*'BD Plant List'!AC$5</f>
        <v>0.13716666666666666</v>
      </c>
      <c r="J20" s="153"/>
      <c r="K20" s="295">
        <f>'BD Plant List'!$H22/12*'BD Feedstock'!K$3*'BD Plant List'!AB$5</f>
        <v>5.8125</v>
      </c>
      <c r="L20" s="295">
        <f>'BD Plant List'!$H22/12*'BD Feedstock'!L$3*'BD Plant List'!AC$5</f>
        <v>2.0575000000000001</v>
      </c>
      <c r="M20" s="153"/>
      <c r="N20" s="153"/>
      <c r="O20" s="153"/>
      <c r="P20" s="295">
        <f>'BD Plant List'!$L22/12*'BD Feedstock'!P$3*'BD Plant List'!AE$5</f>
        <v>1.6400689313266814</v>
      </c>
      <c r="Q20" s="295">
        <f>'BD Plant List'!$M22/12*'BD Feedstock'!Q$3*'BD Plant List'!AE$5</f>
        <v>0.93125000000000002</v>
      </c>
      <c r="R20" s="153"/>
      <c r="S20" s="153"/>
      <c r="T20" s="295">
        <f>'BD Plant List'!$O22/12*'BD Feedstock'!T$3*'BD Plant List'!AB$5</f>
        <v>8.5732126770944213</v>
      </c>
      <c r="U20" s="295">
        <f>'BD Plant List'!$O22/12*'BD Feedstock'!U$3*'BD Plant List'!AC$5</f>
        <v>3.0347329175263269</v>
      </c>
    </row>
    <row r="21" spans="1:21" ht="18">
      <c r="A21" s="293">
        <v>40330</v>
      </c>
      <c r="B21" s="294"/>
      <c r="C21" s="294"/>
      <c r="D21" s="294"/>
      <c r="E21" s="294"/>
      <c r="F21" s="294"/>
      <c r="G21" s="295">
        <f>'BD Plant List'!$E23/12*'BD Feedstock'!G$3*'BD Plant List'!AB$5</f>
        <v>1.453125</v>
      </c>
      <c r="H21" s="295">
        <f>'BD Plant List'!$E23/12*'BD Feedstock'!H$3*'BD Plant List'!AC$5</f>
        <v>0.51437500000000003</v>
      </c>
      <c r="I21" s="295">
        <f>'BD Plant List'!F23/12*'BD Feedstock'!I$3*'BD Plant List'!AC$5</f>
        <v>0.13716666666666666</v>
      </c>
      <c r="J21" s="153"/>
      <c r="K21" s="295">
        <f>'BD Plant List'!$H23/12*'BD Feedstock'!K$3*'BD Plant List'!AB$5</f>
        <v>5.8125</v>
      </c>
      <c r="L21" s="295">
        <f>'BD Plant List'!$H23/12*'BD Feedstock'!L$3*'BD Plant List'!AC$5</f>
        <v>2.0575000000000001</v>
      </c>
      <c r="M21" s="153"/>
      <c r="N21" s="153"/>
      <c r="O21" s="153"/>
      <c r="P21" s="295">
        <f>'BD Plant List'!$L23/12*'BD Feedstock'!P$3*'BD Plant List'!AE$5</f>
        <v>1.6400689313266814</v>
      </c>
      <c r="Q21" s="295">
        <f>'BD Plant List'!$M23/12*'BD Feedstock'!Q$3*'BD Plant List'!AE$5</f>
        <v>0.93125000000000002</v>
      </c>
      <c r="R21" s="153"/>
      <c r="S21" s="153"/>
      <c r="T21" s="295">
        <f>'BD Plant List'!$O23/12*'BD Feedstock'!T$3*'BD Plant List'!AB$5</f>
        <v>8.5732126770944213</v>
      </c>
      <c r="U21" s="295">
        <f>'BD Plant List'!$O23/12*'BD Feedstock'!U$3*'BD Plant List'!AC$5</f>
        <v>3.0347329175263269</v>
      </c>
    </row>
    <row r="22" spans="1:21" ht="18">
      <c r="A22" s="293">
        <v>40360</v>
      </c>
      <c r="B22" s="294"/>
      <c r="C22" s="294"/>
      <c r="D22" s="294"/>
      <c r="E22" s="294"/>
      <c r="F22" s="294"/>
      <c r="G22" s="295">
        <f>'BD Plant List'!$E24/12*'BD Feedstock'!G$3*'BD Plant List'!AB$5</f>
        <v>1.453125</v>
      </c>
      <c r="H22" s="295">
        <f>'BD Plant List'!$E24/12*'BD Feedstock'!H$3*'BD Plant List'!AC$5</f>
        <v>0.51437500000000003</v>
      </c>
      <c r="I22" s="295">
        <f>'BD Plant List'!F24/12*'BD Feedstock'!I$3*'BD Plant List'!AC$5</f>
        <v>0.13716666666666666</v>
      </c>
      <c r="J22" s="153"/>
      <c r="K22" s="295">
        <f>'BD Plant List'!$H24/12*'BD Feedstock'!K$3*'BD Plant List'!AB$5</f>
        <v>5.8125</v>
      </c>
      <c r="L22" s="295">
        <f>'BD Plant List'!$H24/12*'BD Feedstock'!L$3*'BD Plant List'!AC$5</f>
        <v>2.0575000000000001</v>
      </c>
      <c r="M22" s="153"/>
      <c r="N22" s="153"/>
      <c r="O22" s="153"/>
      <c r="P22" s="295">
        <f>'BD Plant List'!$L24/12*'BD Feedstock'!P$3*'BD Plant List'!AE$5</f>
        <v>1.6400689313266814</v>
      </c>
      <c r="Q22" s="295">
        <f>'BD Plant List'!$M24/12*'BD Feedstock'!Q$3*'BD Plant List'!AE$5</f>
        <v>0.93125000000000002</v>
      </c>
      <c r="R22" s="153"/>
      <c r="S22" s="153"/>
      <c r="T22" s="295">
        <f>'BD Plant List'!$O24/12*'BD Feedstock'!T$3*'BD Plant List'!AB$5</f>
        <v>8.5732126770944213</v>
      </c>
      <c r="U22" s="295">
        <f>'BD Plant List'!$O24/12*'BD Feedstock'!U$3*'BD Plant List'!AC$5</f>
        <v>3.0347329175263269</v>
      </c>
    </row>
    <row r="23" spans="1:21" ht="18">
      <c r="A23" s="293">
        <v>40391</v>
      </c>
      <c r="B23" s="294"/>
      <c r="C23" s="294"/>
      <c r="D23" s="294"/>
      <c r="E23" s="294"/>
      <c r="F23" s="294"/>
      <c r="G23" s="295">
        <f>'BD Plant List'!$E25/12*'BD Feedstock'!G$3*'BD Plant List'!AB$5</f>
        <v>1.453125</v>
      </c>
      <c r="H23" s="295">
        <f>'BD Plant List'!$E25/12*'BD Feedstock'!H$3*'BD Plant List'!AC$5</f>
        <v>0.51437500000000003</v>
      </c>
      <c r="I23" s="295">
        <f>'BD Plant List'!F25/12*'BD Feedstock'!I$3*'BD Plant List'!AC$5</f>
        <v>0.13716666666666666</v>
      </c>
      <c r="J23" s="153"/>
      <c r="K23" s="295">
        <f>'BD Plant List'!$H25/12*'BD Feedstock'!K$3*'BD Plant List'!AB$5</f>
        <v>5.8125</v>
      </c>
      <c r="L23" s="295">
        <f>'BD Plant List'!$H25/12*'BD Feedstock'!L$3*'BD Plant List'!AC$5</f>
        <v>2.0575000000000001</v>
      </c>
      <c r="M23" s="153"/>
      <c r="N23" s="153"/>
      <c r="O23" s="153"/>
      <c r="P23" s="295">
        <f>'BD Plant List'!$L25/12*'BD Feedstock'!P$3*'BD Plant List'!AE$5</f>
        <v>1.6400689313266814</v>
      </c>
      <c r="Q23" s="295">
        <f>'BD Plant List'!$M25/12*'BD Feedstock'!Q$3*'BD Plant List'!AE$5</f>
        <v>0.93125000000000002</v>
      </c>
      <c r="R23" s="153"/>
      <c r="S23" s="153"/>
      <c r="T23" s="295">
        <f>'BD Plant List'!$O25/12*'BD Feedstock'!T$3*'BD Plant List'!AB$5</f>
        <v>8.5732126770944213</v>
      </c>
      <c r="U23" s="295">
        <f>'BD Plant List'!$O25/12*'BD Feedstock'!U$3*'BD Plant List'!AC$5</f>
        <v>3.0347329175263269</v>
      </c>
    </row>
    <row r="24" spans="1:21" ht="18">
      <c r="A24" s="293">
        <v>40422</v>
      </c>
      <c r="B24" s="294"/>
      <c r="C24" s="294"/>
      <c r="D24" s="294"/>
      <c r="E24" s="294"/>
      <c r="F24" s="294"/>
      <c r="G24" s="295">
        <f>'BD Plant List'!$E26/12*'BD Feedstock'!G$3*'BD Plant List'!AB$5</f>
        <v>1.453125</v>
      </c>
      <c r="H24" s="295">
        <f>'BD Plant List'!$E26/12*'BD Feedstock'!H$3*'BD Plant List'!AC$5</f>
        <v>0.51437500000000003</v>
      </c>
      <c r="I24" s="295">
        <f>'BD Plant List'!F26/12*'BD Feedstock'!I$3*'BD Plant List'!AC$5</f>
        <v>0.13716666666666666</v>
      </c>
      <c r="J24" s="153"/>
      <c r="K24" s="295">
        <f>'BD Plant List'!$H26/12*'BD Feedstock'!K$3*'BD Plant List'!AB$5</f>
        <v>5.8125</v>
      </c>
      <c r="L24" s="295">
        <f>'BD Plant List'!$H26/12*'BD Feedstock'!L$3*'BD Plant List'!AC$5</f>
        <v>2.0575000000000001</v>
      </c>
      <c r="M24" s="153"/>
      <c r="N24" s="153"/>
      <c r="O24" s="153"/>
      <c r="P24" s="295">
        <f>'BD Plant List'!$L26/12*'BD Feedstock'!P$3*'BD Plant List'!AE$5</f>
        <v>1.6400689313266814</v>
      </c>
      <c r="Q24" s="295">
        <f>'BD Plant List'!$M26/12*'BD Feedstock'!Q$3*'BD Plant List'!AE$5</f>
        <v>0.93125000000000002</v>
      </c>
      <c r="R24" s="153"/>
      <c r="S24" s="153"/>
      <c r="T24" s="295">
        <f>'BD Plant List'!$O26/12*'BD Feedstock'!T$3*'BD Plant List'!AB$5</f>
        <v>8.5732126770944213</v>
      </c>
      <c r="U24" s="295">
        <f>'BD Plant List'!$O26/12*'BD Feedstock'!U$3*'BD Plant List'!AC$5</f>
        <v>3.0347329175263269</v>
      </c>
    </row>
    <row r="25" spans="1:21" ht="18">
      <c r="A25" s="293">
        <v>40452</v>
      </c>
      <c r="B25" s="294"/>
      <c r="C25" s="294"/>
      <c r="D25" s="294"/>
      <c r="E25" s="294"/>
      <c r="F25" s="294"/>
      <c r="G25" s="295">
        <f>'BD Plant List'!$E27/12*'BD Feedstock'!G$3*'BD Plant List'!AB$5</f>
        <v>1.453125</v>
      </c>
      <c r="H25" s="295">
        <f>'BD Plant List'!$E27/12*'BD Feedstock'!H$3*'BD Plant List'!AC$5</f>
        <v>0.51437500000000003</v>
      </c>
      <c r="I25" s="295">
        <f>'BD Plant List'!F27/12*'BD Feedstock'!I$3*'BD Plant List'!AC$5</f>
        <v>0.13716666666666666</v>
      </c>
      <c r="J25" s="153"/>
      <c r="K25" s="295">
        <f>'BD Plant List'!$H27/12*'BD Feedstock'!K$3*'BD Plant List'!AB$5</f>
        <v>5.8125</v>
      </c>
      <c r="L25" s="295">
        <f>'BD Plant List'!$H27/12*'BD Feedstock'!L$3*'BD Plant List'!AC$5</f>
        <v>2.0575000000000001</v>
      </c>
      <c r="M25" s="153"/>
      <c r="N25" s="153"/>
      <c r="O25" s="153"/>
      <c r="P25" s="295">
        <f>'BD Plant List'!$L27/12*'BD Feedstock'!P$3*'BD Plant List'!AE$5</f>
        <v>1.6400689313266814</v>
      </c>
      <c r="Q25" s="295">
        <f>'BD Plant List'!$M27/12*'BD Feedstock'!Q$3*'BD Plant List'!AE$5</f>
        <v>0.93125000000000002</v>
      </c>
      <c r="R25" s="153"/>
      <c r="S25" s="153"/>
      <c r="T25" s="295">
        <f>'BD Plant List'!$O27/12*'BD Feedstock'!T$3*'BD Plant List'!AB$5</f>
        <v>8.5732126770944213</v>
      </c>
      <c r="U25" s="295">
        <f>'BD Plant List'!$O27/12*'BD Feedstock'!U$3*'BD Plant List'!AC$5</f>
        <v>3.0347329175263269</v>
      </c>
    </row>
    <row r="26" spans="1:21" ht="18">
      <c r="A26" s="293">
        <v>40483</v>
      </c>
      <c r="B26" s="294"/>
      <c r="C26" s="294"/>
      <c r="D26" s="294"/>
      <c r="E26" s="294"/>
      <c r="F26" s="294"/>
      <c r="G26" s="295">
        <f>'BD Plant List'!$E28/12*'BD Feedstock'!G$3*'BD Plant List'!AB$5</f>
        <v>1.453125</v>
      </c>
      <c r="H26" s="295">
        <f>'BD Plant List'!$E28/12*'BD Feedstock'!H$3*'BD Plant List'!AC$5</f>
        <v>0.51437500000000003</v>
      </c>
      <c r="I26" s="295">
        <f>'BD Plant List'!F28/12*'BD Feedstock'!I$3*'BD Plant List'!AC$5</f>
        <v>0.13716666666666666</v>
      </c>
      <c r="J26" s="153"/>
      <c r="K26" s="295">
        <f>'BD Plant List'!$H28/12*'BD Feedstock'!K$3*'BD Plant List'!AB$5</f>
        <v>5.8125</v>
      </c>
      <c r="L26" s="295">
        <f>'BD Plant List'!$H28/12*'BD Feedstock'!L$3*'BD Plant List'!AC$5</f>
        <v>2.0575000000000001</v>
      </c>
      <c r="M26" s="153"/>
      <c r="N26" s="153"/>
      <c r="O26" s="153"/>
      <c r="P26" s="295">
        <f>'BD Plant List'!$L28/12*'BD Feedstock'!P$3*'BD Plant List'!AE$5</f>
        <v>1.6400689313266814</v>
      </c>
      <c r="Q26" s="295">
        <f>'BD Plant List'!$M28/12*'BD Feedstock'!Q$3*'BD Plant List'!AE$5</f>
        <v>0.93125000000000002</v>
      </c>
      <c r="R26" s="153"/>
      <c r="S26" s="153"/>
      <c r="T26" s="295">
        <f>'BD Plant List'!$O28/12*'BD Feedstock'!T$3*'BD Plant List'!AB$5</f>
        <v>8.5732126770944213</v>
      </c>
      <c r="U26" s="295">
        <f>'BD Plant List'!$O28/12*'BD Feedstock'!U$3*'BD Plant List'!AC$5</f>
        <v>3.0347329175263269</v>
      </c>
    </row>
    <row r="27" spans="1:21" ht="18">
      <c r="A27" s="293">
        <v>40513</v>
      </c>
      <c r="B27" s="294"/>
      <c r="C27" s="294"/>
      <c r="D27" s="294"/>
      <c r="E27" s="294"/>
      <c r="F27" s="294"/>
      <c r="G27" s="295">
        <f>'BD Plant List'!$E29/12*'BD Feedstock'!G$3*'BD Plant List'!AB$5</f>
        <v>1.453125</v>
      </c>
      <c r="H27" s="295">
        <f>'BD Plant List'!$E29/12*'BD Feedstock'!H$3*'BD Plant List'!AC$5</f>
        <v>0.51437500000000003</v>
      </c>
      <c r="I27" s="295">
        <f>'BD Plant List'!F29/12*'BD Feedstock'!I$3*'BD Plant List'!AC$5</f>
        <v>0.13716666666666666</v>
      </c>
      <c r="J27" s="153"/>
      <c r="K27" s="295">
        <f>'BD Plant List'!$H29/12*'BD Feedstock'!K$3*'BD Plant List'!AB$5</f>
        <v>5.8125</v>
      </c>
      <c r="L27" s="295">
        <f>'BD Plant List'!$H29/12*'BD Feedstock'!L$3*'BD Plant List'!AC$5</f>
        <v>2.0575000000000001</v>
      </c>
      <c r="M27" s="153"/>
      <c r="N27" s="153"/>
      <c r="O27" s="153"/>
      <c r="P27" s="295">
        <f>'BD Plant List'!$L29/12*'BD Feedstock'!P$3*'BD Plant List'!AE$5</f>
        <v>1.6400689313266814</v>
      </c>
      <c r="Q27" s="295">
        <f>'BD Plant List'!$M29/12*'BD Feedstock'!Q$3*'BD Plant List'!AE$5</f>
        <v>0.93125000000000002</v>
      </c>
      <c r="R27" s="153"/>
      <c r="S27" s="153"/>
      <c r="T27" s="295">
        <f>'BD Plant List'!$O29/12*'BD Feedstock'!T$3*'BD Plant List'!AB$5</f>
        <v>8.5732126770944213</v>
      </c>
      <c r="U27" s="295">
        <f>'BD Plant List'!$O29/12*'BD Feedstock'!U$3*'BD Plant List'!AC$5</f>
        <v>3.0347329175263269</v>
      </c>
    </row>
    <row r="28" spans="1:21" ht="18">
      <c r="A28" s="293">
        <v>40544</v>
      </c>
      <c r="B28" s="294"/>
      <c r="C28" s="294"/>
      <c r="D28" s="294"/>
      <c r="E28" s="294"/>
      <c r="F28" s="294"/>
      <c r="G28" s="295">
        <f>'BD Plant List'!$E30/12*'BD Feedstock'!G$3*'BD Plant List'!AB$5</f>
        <v>1.453125</v>
      </c>
      <c r="H28" s="295">
        <f>'BD Plant List'!$E30/12*'BD Feedstock'!H$3*'BD Plant List'!AC$5</f>
        <v>0.51437500000000003</v>
      </c>
      <c r="I28" s="295">
        <f>'BD Plant List'!F30/12*'BD Feedstock'!I$3*'BD Plant List'!AC$5</f>
        <v>0.13716666666666666</v>
      </c>
      <c r="J28" s="153"/>
      <c r="K28" s="295">
        <f>'BD Plant List'!$H30/12*'BD Feedstock'!K$3*'BD Plant List'!AB$5</f>
        <v>5.8125</v>
      </c>
      <c r="L28" s="295">
        <f>'BD Plant List'!$H30/12*'BD Feedstock'!L$3*'BD Plant List'!AC$5</f>
        <v>2.0575000000000001</v>
      </c>
      <c r="M28" s="153"/>
      <c r="N28" s="153"/>
      <c r="O28" s="153"/>
      <c r="P28" s="295">
        <f>'BD Plant List'!$L30/12*'BD Feedstock'!P$3*'BD Plant List'!AE$5</f>
        <v>1.6400689313266814</v>
      </c>
      <c r="Q28" s="295">
        <f>'BD Plant List'!$M30/12*'BD Feedstock'!Q$3*'BD Plant List'!AE$5</f>
        <v>0.93125000000000002</v>
      </c>
      <c r="R28" s="153"/>
      <c r="S28" s="153"/>
      <c r="T28" s="295">
        <f>'BD Plant List'!$O30/12*'BD Feedstock'!T$3*'BD Plant List'!AB$5</f>
        <v>8.5732126770944213</v>
      </c>
      <c r="U28" s="295">
        <f>'BD Plant List'!$O30/12*'BD Feedstock'!U$3*'BD Plant List'!AC$5</f>
        <v>3.0347329175263269</v>
      </c>
    </row>
    <row r="29" spans="1:21" ht="18">
      <c r="A29" s="293">
        <v>40575</v>
      </c>
      <c r="B29" s="294"/>
      <c r="C29" s="294"/>
      <c r="D29" s="294"/>
      <c r="E29" s="294"/>
      <c r="F29" s="294"/>
      <c r="G29" s="295">
        <f>'BD Plant List'!$E31/12*'BD Feedstock'!G$3*'BD Plant List'!AB$5</f>
        <v>1.453125</v>
      </c>
      <c r="H29" s="295">
        <f>'BD Plant List'!$E31/12*'BD Feedstock'!H$3*'BD Plant List'!AC$5</f>
        <v>0.51437500000000003</v>
      </c>
      <c r="I29" s="295">
        <f>'BD Plant List'!F31/12*'BD Feedstock'!I$3*'BD Plant List'!AC$5</f>
        <v>0.13716666666666666</v>
      </c>
      <c r="J29" s="153"/>
      <c r="K29" s="295">
        <f>'BD Plant List'!$H31/12*'BD Feedstock'!K$3*'BD Plant List'!AB$5</f>
        <v>5.8125</v>
      </c>
      <c r="L29" s="295">
        <f>'BD Plant List'!$H31/12*'BD Feedstock'!L$3*'BD Plant List'!AC$5</f>
        <v>2.0575000000000001</v>
      </c>
      <c r="M29" s="153"/>
      <c r="N29" s="153"/>
      <c r="O29" s="153"/>
      <c r="P29" s="295">
        <f>'BD Plant List'!$L31/12*'BD Feedstock'!P$3*'BD Plant List'!AE$5</f>
        <v>1.6400689313266814</v>
      </c>
      <c r="Q29" s="295">
        <f>'BD Plant List'!$M31/12*'BD Feedstock'!Q$3*'BD Plant List'!AE$5</f>
        <v>0.93125000000000002</v>
      </c>
      <c r="R29" s="153"/>
      <c r="S29" s="153"/>
      <c r="T29" s="295">
        <f>'BD Plant List'!$O31/12*'BD Feedstock'!T$3*'BD Plant List'!AB$5</f>
        <v>8.5732126770944213</v>
      </c>
      <c r="U29" s="295">
        <f>'BD Plant List'!$O31/12*'BD Feedstock'!U$3*'BD Plant List'!AC$5</f>
        <v>3.0347329175263269</v>
      </c>
    </row>
    <row r="30" spans="1:21" ht="18">
      <c r="A30" s="293">
        <v>40603</v>
      </c>
      <c r="B30" s="294"/>
      <c r="C30" s="294"/>
      <c r="D30" s="294"/>
      <c r="E30" s="294"/>
      <c r="F30" s="294"/>
      <c r="G30" s="295">
        <f>'BD Plant List'!$E32/12*'BD Feedstock'!G$3*'BD Plant List'!AB$5</f>
        <v>1.453125</v>
      </c>
      <c r="H30" s="295">
        <f>'BD Plant List'!$E32/12*'BD Feedstock'!H$3*'BD Plant List'!AC$5</f>
        <v>0.51437500000000003</v>
      </c>
      <c r="I30" s="295">
        <f>'BD Plant List'!F32/12*'BD Feedstock'!I$3*'BD Plant List'!AC$5</f>
        <v>0.13716666666666666</v>
      </c>
      <c r="J30" s="153"/>
      <c r="K30" s="295">
        <f>'BD Plant List'!$H32/12*'BD Feedstock'!K$3*'BD Plant List'!AB$5</f>
        <v>5.8125</v>
      </c>
      <c r="L30" s="295">
        <f>'BD Plant List'!$H32/12*'BD Feedstock'!L$3*'BD Plant List'!AC$5</f>
        <v>2.0575000000000001</v>
      </c>
      <c r="M30" s="153"/>
      <c r="N30" s="153"/>
      <c r="O30" s="153"/>
      <c r="P30" s="295">
        <f>'BD Plant List'!$L32/12*'BD Feedstock'!P$3*'BD Plant List'!AE$5</f>
        <v>1.6400689313266814</v>
      </c>
      <c r="Q30" s="295">
        <f>'BD Plant List'!$M32/12*'BD Feedstock'!Q$3*'BD Plant List'!AE$5</f>
        <v>0.93125000000000002</v>
      </c>
      <c r="R30" s="153"/>
      <c r="S30" s="153"/>
      <c r="T30" s="295">
        <f>'BD Plant List'!$O32/12*'BD Feedstock'!T$3*'BD Plant List'!AB$5</f>
        <v>8.5732126770944213</v>
      </c>
      <c r="U30" s="295">
        <f>'BD Plant List'!$O32/12*'BD Feedstock'!U$3*'BD Plant List'!AC$5</f>
        <v>3.0347329175263269</v>
      </c>
    </row>
    <row r="31" spans="1:21" ht="18">
      <c r="A31" s="293">
        <v>40634</v>
      </c>
      <c r="B31" s="294"/>
      <c r="C31" s="294"/>
      <c r="D31" s="294"/>
      <c r="E31" s="294"/>
      <c r="F31" s="294"/>
      <c r="G31" s="295">
        <f>'BD Plant List'!$E33/12*'BD Feedstock'!G$3*'BD Plant List'!AB$5</f>
        <v>1.453125</v>
      </c>
      <c r="H31" s="295">
        <f>'BD Plant List'!$E33/12*'BD Feedstock'!H$3*'BD Plant List'!AC$5</f>
        <v>0.51437500000000003</v>
      </c>
      <c r="I31" s="295">
        <f>'BD Plant List'!F33/12*'BD Feedstock'!I$3*'BD Plant List'!AC$5</f>
        <v>0.13716666666666666</v>
      </c>
      <c r="J31" s="153"/>
      <c r="K31" s="295">
        <f>'BD Plant List'!$H33/12*'BD Feedstock'!K$3*'BD Plant List'!AB$5</f>
        <v>5.8125</v>
      </c>
      <c r="L31" s="295">
        <f>'BD Plant List'!$H33/12*'BD Feedstock'!L$3*'BD Plant List'!AC$5</f>
        <v>2.0575000000000001</v>
      </c>
      <c r="M31" s="153"/>
      <c r="N31" s="153"/>
      <c r="O31" s="153"/>
      <c r="P31" s="295">
        <f>'BD Plant List'!$L33/12*'BD Feedstock'!P$3*'BD Plant List'!AE$5</f>
        <v>1.6400689313266814</v>
      </c>
      <c r="Q31" s="295">
        <f>'BD Plant List'!$M33/12*'BD Feedstock'!Q$3*'BD Plant List'!AE$5</f>
        <v>0.93125000000000002</v>
      </c>
      <c r="R31" s="153"/>
      <c r="S31" s="153"/>
      <c r="T31" s="295">
        <f>'BD Plant List'!$O33/12*'BD Feedstock'!T$3*'BD Plant List'!AB$5</f>
        <v>8.5732126770944213</v>
      </c>
      <c r="U31" s="295">
        <f>'BD Plant List'!$O33/12*'BD Feedstock'!U$3*'BD Plant List'!AC$5</f>
        <v>3.0347329175263269</v>
      </c>
    </row>
    <row r="32" spans="1:21" ht="18">
      <c r="A32" s="293">
        <v>40664</v>
      </c>
      <c r="B32" s="294"/>
      <c r="C32" s="294"/>
      <c r="D32" s="294"/>
      <c r="E32" s="294"/>
      <c r="F32" s="294"/>
      <c r="G32" s="295">
        <f>'BD Plant List'!$E34/12*'BD Feedstock'!G$3*'BD Plant List'!AB$5</f>
        <v>1.453125</v>
      </c>
      <c r="H32" s="295">
        <f>'BD Plant List'!$E34/12*'BD Feedstock'!H$3*'BD Plant List'!AC$5</f>
        <v>0.51437500000000003</v>
      </c>
      <c r="I32" s="295">
        <f>'BD Plant List'!F34/12*'BD Feedstock'!I$3*'BD Plant List'!AC$5</f>
        <v>0.13716666666666666</v>
      </c>
      <c r="J32" s="153"/>
      <c r="K32" s="295">
        <f>'BD Plant List'!$H34/12*'BD Feedstock'!K$3*'BD Plant List'!AB$5</f>
        <v>5.8125</v>
      </c>
      <c r="L32" s="295">
        <f>'BD Plant List'!$H34/12*'BD Feedstock'!L$3*'BD Plant List'!AC$5</f>
        <v>2.0575000000000001</v>
      </c>
      <c r="M32" s="153"/>
      <c r="N32" s="153"/>
      <c r="O32" s="153"/>
      <c r="P32" s="295">
        <f>'BD Plant List'!$L34/12*'BD Feedstock'!P$3*'BD Plant List'!AE$5</f>
        <v>1.6400689313266814</v>
      </c>
      <c r="Q32" s="295">
        <f>'BD Plant List'!$M34/12*'BD Feedstock'!Q$3*'BD Plant List'!AE$5</f>
        <v>0.93125000000000002</v>
      </c>
      <c r="R32" s="153"/>
      <c r="S32" s="153"/>
      <c r="T32" s="295">
        <f>'BD Plant List'!$O34/12*'BD Feedstock'!T$3*'BD Plant List'!AB$5</f>
        <v>8.5732126770944213</v>
      </c>
      <c r="U32" s="295">
        <f>'BD Plant List'!$O34/12*'BD Feedstock'!U$3*'BD Plant List'!AC$5</f>
        <v>3.0347329175263269</v>
      </c>
    </row>
    <row r="33" spans="1:21" ht="18">
      <c r="A33" s="293">
        <v>40695</v>
      </c>
      <c r="B33" s="294"/>
      <c r="C33" s="294"/>
      <c r="D33" s="294"/>
      <c r="E33" s="294"/>
      <c r="F33" s="294"/>
      <c r="G33" s="295">
        <f>'BD Plant List'!$E35/12*'BD Feedstock'!G$3*'BD Plant List'!AB$5</f>
        <v>1.453125</v>
      </c>
      <c r="H33" s="295">
        <f>'BD Plant List'!$E35/12*'BD Feedstock'!H$3*'BD Plant List'!AC$5</f>
        <v>0.51437500000000003</v>
      </c>
      <c r="I33" s="295">
        <f>'BD Plant List'!F35/12*'BD Feedstock'!I$3*'BD Plant List'!AC$5</f>
        <v>0.13716666666666666</v>
      </c>
      <c r="J33" s="153"/>
      <c r="K33" s="295">
        <f>'BD Plant List'!$H35/12*'BD Feedstock'!K$3*'BD Plant List'!AB$5</f>
        <v>5.8125</v>
      </c>
      <c r="L33" s="295">
        <f>'BD Plant List'!$H35/12*'BD Feedstock'!L$3*'BD Plant List'!AC$5</f>
        <v>2.0575000000000001</v>
      </c>
      <c r="M33" s="153"/>
      <c r="N33" s="153"/>
      <c r="O33" s="153"/>
      <c r="P33" s="295">
        <f>'BD Plant List'!$L35/12*'BD Feedstock'!P$3*'BD Plant List'!AE$5</f>
        <v>1.6400689313266814</v>
      </c>
      <c r="Q33" s="295">
        <f>'BD Plant List'!$M35/12*'BD Feedstock'!Q$3*'BD Plant List'!AE$5</f>
        <v>0.93125000000000002</v>
      </c>
      <c r="R33" s="153"/>
      <c r="S33" s="153"/>
      <c r="T33" s="295">
        <f>'BD Plant List'!$O35/12*'BD Feedstock'!T$3*'BD Plant List'!AB$5</f>
        <v>8.5732126770944213</v>
      </c>
      <c r="U33" s="295">
        <f>'BD Plant List'!$O35/12*'BD Feedstock'!U$3*'BD Plant List'!AC$5</f>
        <v>3.0347329175263269</v>
      </c>
    </row>
    <row r="34" spans="1:21" ht="18">
      <c r="A34" s="293">
        <v>40725</v>
      </c>
      <c r="B34" s="294"/>
      <c r="C34" s="294"/>
      <c r="D34" s="294"/>
      <c r="E34" s="294"/>
      <c r="F34" s="294"/>
      <c r="G34" s="295">
        <f>'BD Plant List'!$E36/12*'BD Feedstock'!G$3*'BD Plant List'!AB$5</f>
        <v>1.453125</v>
      </c>
      <c r="H34" s="295">
        <f>'BD Plant List'!$E36/12*'BD Feedstock'!H$3*'BD Plant List'!AC$5</f>
        <v>0.51437500000000003</v>
      </c>
      <c r="I34" s="295">
        <f>'BD Plant List'!F36/12*'BD Feedstock'!I$3*'BD Plant List'!AC$5</f>
        <v>0.13716666666666666</v>
      </c>
      <c r="J34" s="153"/>
      <c r="K34" s="295">
        <f>'BD Plant List'!$H36/12*'BD Feedstock'!K$3*'BD Plant List'!AB$5</f>
        <v>5.8125</v>
      </c>
      <c r="L34" s="295">
        <f>'BD Plant List'!$H36/12*'BD Feedstock'!L$3*'BD Plant List'!AC$5</f>
        <v>2.0575000000000001</v>
      </c>
      <c r="M34" s="153"/>
      <c r="N34" s="153"/>
      <c r="O34" s="153"/>
      <c r="P34" s="295">
        <f>'BD Plant List'!$L36/12*'BD Feedstock'!P$3*'BD Plant List'!AE$5</f>
        <v>1.6400689313266814</v>
      </c>
      <c r="Q34" s="295">
        <f>'BD Plant List'!$M36/12*'BD Feedstock'!Q$3*'BD Plant List'!AE$5</f>
        <v>0.93125000000000002</v>
      </c>
      <c r="R34" s="153"/>
      <c r="S34" s="153"/>
      <c r="T34" s="295">
        <f>'BD Plant List'!$O36/12*'BD Feedstock'!T$3*'BD Plant List'!AB$5</f>
        <v>8.5732126770944213</v>
      </c>
      <c r="U34" s="295">
        <f>'BD Plant List'!$O36/12*'BD Feedstock'!U$3*'BD Plant List'!AC$5</f>
        <v>3.0347329175263269</v>
      </c>
    </row>
    <row r="35" spans="1:21" ht="18">
      <c r="A35" s="293">
        <v>40756</v>
      </c>
      <c r="B35" s="294"/>
      <c r="C35" s="294"/>
      <c r="D35" s="294"/>
      <c r="E35" s="294"/>
      <c r="F35" s="294"/>
      <c r="G35" s="295">
        <f>'BD Plant List'!$E37/12*'BD Feedstock'!G$3*'BD Plant List'!AB$5</f>
        <v>1.453125</v>
      </c>
      <c r="H35" s="295">
        <f>'BD Plant List'!$E37/12*'BD Feedstock'!H$3*'BD Plant List'!AC$5</f>
        <v>0.51437500000000003</v>
      </c>
      <c r="I35" s="295">
        <f>'BD Plant List'!F37/12*'BD Feedstock'!I$3*'BD Plant List'!AC$5</f>
        <v>0.13716666666666666</v>
      </c>
      <c r="J35" s="153"/>
      <c r="K35" s="295">
        <f>'BD Plant List'!$H37/12*'BD Feedstock'!K$3*'BD Plant List'!AB$5</f>
        <v>5.8125</v>
      </c>
      <c r="L35" s="295">
        <f>'BD Plant List'!$H37/12*'BD Feedstock'!L$3*'BD Plant List'!AC$5</f>
        <v>2.0575000000000001</v>
      </c>
      <c r="M35" s="153"/>
      <c r="N35" s="153"/>
      <c r="O35" s="153"/>
      <c r="P35" s="295">
        <f>'BD Plant List'!$L37/12*'BD Feedstock'!P$3*'BD Plant List'!AE$5</f>
        <v>1.6400689313266814</v>
      </c>
      <c r="Q35" s="295">
        <f>'BD Plant List'!$M37/12*'BD Feedstock'!Q$3*'BD Plant List'!AE$5</f>
        <v>0.93125000000000002</v>
      </c>
      <c r="R35" s="153"/>
      <c r="S35" s="153"/>
      <c r="T35" s="295">
        <f>'BD Plant List'!$O37/12*'BD Feedstock'!T$3*'BD Plant List'!AB$5</f>
        <v>8.5732126770944213</v>
      </c>
      <c r="U35" s="295">
        <f>'BD Plant List'!$O37/12*'BD Feedstock'!U$3*'BD Plant List'!AC$5</f>
        <v>3.0347329175263269</v>
      </c>
    </row>
    <row r="36" spans="1:21" ht="18">
      <c r="A36" s="293">
        <v>40787</v>
      </c>
      <c r="B36" s="294"/>
      <c r="C36" s="294"/>
      <c r="D36" s="294"/>
      <c r="E36" s="294"/>
      <c r="F36" s="294"/>
      <c r="G36" s="295">
        <f>'BD Plant List'!$E38/12*'BD Feedstock'!G$3*'BD Plant List'!AB$5</f>
        <v>1.453125</v>
      </c>
      <c r="H36" s="295">
        <f>'BD Plant List'!$E38/12*'BD Feedstock'!H$3*'BD Plant List'!AC$5</f>
        <v>0.51437500000000003</v>
      </c>
      <c r="I36" s="295">
        <f>'BD Plant List'!F38/12*'BD Feedstock'!I$3*'BD Plant List'!AC$5</f>
        <v>0.13716666666666666</v>
      </c>
      <c r="J36" s="153"/>
      <c r="K36" s="295">
        <f>'BD Plant List'!$H38/12*'BD Feedstock'!K$3*'BD Plant List'!AB$5</f>
        <v>5.8125</v>
      </c>
      <c r="L36" s="295">
        <f>'BD Plant List'!$H38/12*'BD Feedstock'!L$3*'BD Plant List'!AC$5</f>
        <v>2.0575000000000001</v>
      </c>
      <c r="M36" s="153"/>
      <c r="N36" s="153"/>
      <c r="O36" s="153"/>
      <c r="P36" s="295">
        <f>'BD Plant List'!$L38/12*'BD Feedstock'!P$3*'BD Plant List'!AE$5</f>
        <v>3.2801378626533628</v>
      </c>
      <c r="Q36" s="295">
        <f>'BD Plant List'!$M38/12*'BD Feedstock'!Q$3*'BD Plant List'!AE$5</f>
        <v>0.93125000000000002</v>
      </c>
      <c r="R36" s="153"/>
      <c r="S36" s="153"/>
      <c r="T36" s="295">
        <f>'BD Plant List'!$O38/12*'BD Feedstock'!T$3*'BD Plant List'!AB$5</f>
        <v>8.5732126770944213</v>
      </c>
      <c r="U36" s="295">
        <f>'BD Plant List'!$O38/12*'BD Feedstock'!U$3*'BD Plant List'!AC$5</f>
        <v>3.0347329175263269</v>
      </c>
    </row>
    <row r="37" spans="1:21" ht="18">
      <c r="A37" s="293">
        <v>40817</v>
      </c>
      <c r="B37" s="294"/>
      <c r="C37" s="294"/>
      <c r="D37" s="294"/>
      <c r="E37" s="294"/>
      <c r="F37" s="294"/>
      <c r="G37" s="295">
        <f>'BD Plant List'!$E39/12*'BD Feedstock'!G$3*'BD Plant List'!AB$5</f>
        <v>1.453125</v>
      </c>
      <c r="H37" s="295">
        <f>'BD Plant List'!$E39/12*'BD Feedstock'!H$3*'BD Plant List'!AC$5</f>
        <v>0.51437500000000003</v>
      </c>
      <c r="I37" s="295">
        <f>'BD Plant List'!F39/12*'BD Feedstock'!I$3*'BD Plant List'!AC$5</f>
        <v>0.13716666666666666</v>
      </c>
      <c r="J37" s="153"/>
      <c r="K37" s="295">
        <f>'BD Plant List'!$H39/12*'BD Feedstock'!K$3*'BD Plant List'!AB$5</f>
        <v>5.8125</v>
      </c>
      <c r="L37" s="295">
        <f>'BD Plant List'!$H39/12*'BD Feedstock'!L$3*'BD Plant List'!AC$5</f>
        <v>2.0575000000000001</v>
      </c>
      <c r="M37" s="153"/>
      <c r="N37" s="153"/>
      <c r="O37" s="153"/>
      <c r="P37" s="295">
        <f>'BD Plant List'!$L39/12*'BD Feedstock'!P$3*'BD Plant List'!AE$5</f>
        <v>3.2801378626533628</v>
      </c>
      <c r="Q37" s="295">
        <f>'BD Plant List'!$M39/12*'BD Feedstock'!Q$3*'BD Plant List'!AE$5</f>
        <v>0.93125000000000002</v>
      </c>
      <c r="R37" s="153"/>
      <c r="S37" s="153"/>
      <c r="T37" s="295">
        <f>'BD Plant List'!$O39/12*'BD Feedstock'!T$3*'BD Plant List'!AB$5</f>
        <v>8.5732126770944213</v>
      </c>
      <c r="U37" s="295">
        <f>'BD Plant List'!$O39/12*'BD Feedstock'!U$3*'BD Plant List'!AC$5</f>
        <v>3.0347329175263269</v>
      </c>
    </row>
    <row r="38" spans="1:21" ht="18">
      <c r="A38" s="293">
        <v>40848</v>
      </c>
      <c r="B38" s="294"/>
      <c r="C38" s="294"/>
      <c r="D38" s="294"/>
      <c r="E38" s="294"/>
      <c r="F38" s="294"/>
      <c r="G38" s="295">
        <f>'BD Plant List'!$E40/12*'BD Feedstock'!G$3*'BD Plant List'!AB$5</f>
        <v>1.453125</v>
      </c>
      <c r="H38" s="295">
        <f>'BD Plant List'!$E40/12*'BD Feedstock'!H$3*'BD Plant List'!AC$5</f>
        <v>0.51437500000000003</v>
      </c>
      <c r="I38" s="295">
        <f>'BD Plant List'!F40/12*'BD Feedstock'!I$3*'BD Plant List'!AC$5</f>
        <v>0.13716666666666666</v>
      </c>
      <c r="J38" s="153"/>
      <c r="K38" s="295">
        <f>'BD Plant List'!$H40/12*'BD Feedstock'!K$3*'BD Plant List'!AB$5</f>
        <v>5.8125</v>
      </c>
      <c r="L38" s="295">
        <f>'BD Plant List'!$H40/12*'BD Feedstock'!L$3*'BD Plant List'!AC$5</f>
        <v>2.0575000000000001</v>
      </c>
      <c r="M38" s="153"/>
      <c r="N38" s="153"/>
      <c r="O38" s="153"/>
      <c r="P38" s="295">
        <f>'BD Plant List'!$L40/12*'BD Feedstock'!P$3*'BD Plant List'!AE$5</f>
        <v>3.2801378626533628</v>
      </c>
      <c r="Q38" s="295">
        <f>'BD Plant List'!$M40/12*'BD Feedstock'!Q$3*'BD Plant List'!AE$5</f>
        <v>0.93125000000000002</v>
      </c>
      <c r="R38" s="153"/>
      <c r="S38" s="153"/>
      <c r="T38" s="295">
        <f>'BD Plant List'!$O40/12*'BD Feedstock'!T$3*'BD Plant List'!AB$5</f>
        <v>8.5732126770944213</v>
      </c>
      <c r="U38" s="295">
        <f>'BD Plant List'!$O40/12*'BD Feedstock'!U$3*'BD Plant List'!AC$5</f>
        <v>3.0347329175263269</v>
      </c>
    </row>
    <row r="39" spans="1:21" ht="18">
      <c r="A39" s="293">
        <v>40878</v>
      </c>
      <c r="B39" s="294"/>
      <c r="C39" s="294"/>
      <c r="D39" s="294"/>
      <c r="E39" s="294"/>
      <c r="F39" s="294"/>
      <c r="G39" s="295">
        <f>'BD Plant List'!$E41/12*'BD Feedstock'!G$3*'BD Plant List'!AB$5</f>
        <v>1.453125</v>
      </c>
      <c r="H39" s="295">
        <f>'BD Plant List'!$E41/12*'BD Feedstock'!H$3*'BD Plant List'!AC$5</f>
        <v>0.51437500000000003</v>
      </c>
      <c r="I39" s="295">
        <f>'BD Plant List'!F41/12*'BD Feedstock'!I$3*'BD Plant List'!AC$5</f>
        <v>0.13716666666666666</v>
      </c>
      <c r="J39" s="153"/>
      <c r="K39" s="295">
        <f>'BD Plant List'!$H41/12*'BD Feedstock'!K$3*'BD Plant List'!AB$5</f>
        <v>5.8125</v>
      </c>
      <c r="L39" s="295">
        <f>'BD Plant List'!$H41/12*'BD Feedstock'!L$3*'BD Plant List'!AC$5</f>
        <v>2.0575000000000001</v>
      </c>
      <c r="M39" s="153"/>
      <c r="N39" s="153"/>
      <c r="O39" s="153"/>
      <c r="P39" s="295">
        <f>'BD Plant List'!$L41/12*'BD Feedstock'!P$3*'BD Plant List'!AE$5</f>
        <v>3.2801378626533628</v>
      </c>
      <c r="Q39" s="295">
        <f>'BD Plant List'!$M41/12*'BD Feedstock'!Q$3*'BD Plant List'!AE$5</f>
        <v>0.93125000000000002</v>
      </c>
      <c r="R39" s="153"/>
      <c r="S39" s="153"/>
      <c r="T39" s="295">
        <f>'BD Plant List'!$O41/12*'BD Feedstock'!T$3*'BD Plant List'!AB$5</f>
        <v>8.5732126770944213</v>
      </c>
      <c r="U39" s="295">
        <f>'BD Plant List'!$O41/12*'BD Feedstock'!U$3*'BD Plant List'!AC$5</f>
        <v>3.0347329175263269</v>
      </c>
    </row>
    <row r="40" spans="1:21" ht="18">
      <c r="A40" s="293">
        <v>40909</v>
      </c>
      <c r="B40" s="294"/>
      <c r="C40" s="294"/>
      <c r="D40" s="294"/>
      <c r="E40" s="294"/>
      <c r="F40" s="294"/>
      <c r="G40" s="295">
        <f>'BD Plant List'!$E42/12*'BD Feedstock'!G$3*'BD Plant List'!AB$5</f>
        <v>1.453125</v>
      </c>
      <c r="H40" s="295">
        <f>'BD Plant List'!$E42/12*'BD Feedstock'!H$3*'BD Plant List'!AC$5</f>
        <v>0.51437500000000003</v>
      </c>
      <c r="I40" s="295">
        <f>'BD Plant List'!F42/12*'BD Feedstock'!I$3*'BD Plant List'!AC$5</f>
        <v>0.13716666666666666</v>
      </c>
      <c r="J40" s="153"/>
      <c r="K40" s="295">
        <f>'BD Plant List'!$H42/12*'BD Feedstock'!K$3*'BD Plant List'!AB$5</f>
        <v>5.8125</v>
      </c>
      <c r="L40" s="295">
        <f>'BD Plant List'!$H42/12*'BD Feedstock'!L$3*'BD Plant List'!AC$5</f>
        <v>2.0575000000000001</v>
      </c>
      <c r="M40" s="153"/>
      <c r="N40" s="153"/>
      <c r="O40" s="153"/>
      <c r="P40" s="295">
        <f>'BD Plant List'!$L42/12*'BD Feedstock'!P$3*'BD Plant List'!AE$5</f>
        <v>3.2801378626533628</v>
      </c>
      <c r="Q40" s="295">
        <f>'BD Plant List'!$M42/12*'BD Feedstock'!Q$3*'BD Plant List'!AE$5</f>
        <v>0.93125000000000002</v>
      </c>
      <c r="R40" s="153"/>
      <c r="S40" s="153"/>
      <c r="T40" s="295">
        <f>'BD Plant List'!$O42/12*'BD Feedstock'!T$3*'BD Plant List'!AB$5</f>
        <v>8.5732126770944213</v>
      </c>
      <c r="U40" s="295">
        <f>'BD Plant List'!$O42/12*'BD Feedstock'!U$3*'BD Plant List'!AC$5</f>
        <v>3.0347329175263269</v>
      </c>
    </row>
    <row r="41" spans="1:21" ht="18">
      <c r="A41" s="293">
        <v>40940</v>
      </c>
      <c r="B41" s="294"/>
      <c r="C41" s="294"/>
      <c r="D41" s="294"/>
      <c r="E41" s="294"/>
      <c r="F41" s="294"/>
      <c r="G41" s="295">
        <f>'BD Plant List'!$E43/12*'BD Feedstock'!G$3*'BD Plant List'!AB$5</f>
        <v>1.453125</v>
      </c>
      <c r="H41" s="295">
        <f>'BD Plant List'!$E43/12*'BD Feedstock'!H$3*'BD Plant List'!AC$5</f>
        <v>0.51437500000000003</v>
      </c>
      <c r="I41" s="295">
        <f>'BD Plant List'!F43/12*'BD Feedstock'!I$3*'BD Plant List'!AC$5</f>
        <v>0.13716666666666666</v>
      </c>
      <c r="J41" s="153"/>
      <c r="K41" s="295">
        <f>'BD Plant List'!$H43/12*'BD Feedstock'!K$3*'BD Plant List'!AB$5</f>
        <v>5.8125</v>
      </c>
      <c r="L41" s="295">
        <f>'BD Plant List'!$H43/12*'BD Feedstock'!L$3*'BD Plant List'!AC$5</f>
        <v>2.0575000000000001</v>
      </c>
      <c r="M41" s="153"/>
      <c r="N41" s="153"/>
      <c r="O41" s="153"/>
      <c r="P41" s="295">
        <f>'BD Plant List'!$L43/12*'BD Feedstock'!P$3*'BD Plant List'!AE$5</f>
        <v>3.2801378626533628</v>
      </c>
      <c r="Q41" s="295">
        <f>'BD Plant List'!$M43/12*'BD Feedstock'!Q$3*'BD Plant List'!AE$5</f>
        <v>0.93125000000000002</v>
      </c>
      <c r="R41" s="153"/>
      <c r="S41" s="153"/>
      <c r="T41" s="295">
        <f>'BD Plant List'!$O43/12*'BD Feedstock'!T$3*'BD Plant List'!AB$5</f>
        <v>8.5732126770944213</v>
      </c>
      <c r="U41" s="295">
        <f>'BD Plant List'!$O43/12*'BD Feedstock'!U$3*'BD Plant List'!AC$5</f>
        <v>3.0347329175263269</v>
      </c>
    </row>
    <row r="42" spans="1:21" ht="18">
      <c r="A42" s="293">
        <v>40969</v>
      </c>
      <c r="B42" s="294"/>
      <c r="C42" s="294"/>
      <c r="D42" s="294"/>
      <c r="E42" s="294"/>
      <c r="F42" s="294"/>
      <c r="G42" s="295">
        <f>'BD Plant List'!$E44/12*'BD Feedstock'!G$3*'BD Plant List'!AB$5</f>
        <v>1.453125</v>
      </c>
      <c r="H42" s="295">
        <f>'BD Plant List'!$E44/12*'BD Feedstock'!H$3*'BD Plant List'!AC$5</f>
        <v>0.51437500000000003</v>
      </c>
      <c r="I42" s="295">
        <f>'BD Plant List'!F44/12*'BD Feedstock'!I$3*'BD Plant List'!AC$5</f>
        <v>0.13716666666666666</v>
      </c>
      <c r="J42" s="153"/>
      <c r="K42" s="295">
        <f>'BD Plant List'!$H44/12*'BD Feedstock'!K$3*'BD Plant List'!AB$5</f>
        <v>5.8125</v>
      </c>
      <c r="L42" s="295">
        <f>'BD Plant List'!$H44/12*'BD Feedstock'!L$3*'BD Plant List'!AC$5</f>
        <v>2.0575000000000001</v>
      </c>
      <c r="M42" s="153"/>
      <c r="N42" s="153"/>
      <c r="O42" s="153"/>
      <c r="P42" s="295">
        <f>'BD Plant List'!$L44/12*'BD Feedstock'!P$3*'BD Plant List'!AE$5</f>
        <v>3.2801378626533628</v>
      </c>
      <c r="Q42" s="295">
        <f>'BD Plant List'!$M44/12*'BD Feedstock'!Q$3*'BD Plant List'!AE$5</f>
        <v>0.93125000000000002</v>
      </c>
      <c r="R42" s="153"/>
      <c r="S42" s="153"/>
      <c r="T42" s="295">
        <f>'BD Plant List'!$O44/12*'BD Feedstock'!T$3*'BD Plant List'!AB$5</f>
        <v>8.5732126770944213</v>
      </c>
      <c r="U42" s="295">
        <f>'BD Plant List'!$O44/12*'BD Feedstock'!U$3*'BD Plant List'!AC$5</f>
        <v>3.0347329175263269</v>
      </c>
    </row>
    <row r="43" spans="1:21" ht="18">
      <c r="A43" s="293">
        <v>41000</v>
      </c>
      <c r="B43" s="294"/>
      <c r="C43" s="294"/>
      <c r="D43" s="294"/>
      <c r="E43" s="294"/>
      <c r="F43" s="294"/>
      <c r="G43" s="295">
        <f>'BD Plant List'!$E45/12*'BD Feedstock'!G$3*'BD Plant List'!AB$5</f>
        <v>1.453125</v>
      </c>
      <c r="H43" s="295">
        <f>'BD Plant List'!$E45/12*'BD Feedstock'!H$3*'BD Plant List'!AC$5</f>
        <v>0.51437500000000003</v>
      </c>
      <c r="I43" s="295">
        <f>'BD Plant List'!F45/12*'BD Feedstock'!I$3*'BD Plant List'!AC$5</f>
        <v>0.13716666666666666</v>
      </c>
      <c r="J43" s="153"/>
      <c r="K43" s="295">
        <f>'BD Plant List'!$H45/12*'BD Feedstock'!K$3*'BD Plant List'!AB$5</f>
        <v>5.8125</v>
      </c>
      <c r="L43" s="295">
        <f>'BD Plant List'!$H45/12*'BD Feedstock'!L$3*'BD Plant List'!AC$5</f>
        <v>2.0575000000000001</v>
      </c>
      <c r="M43" s="153"/>
      <c r="N43" s="153"/>
      <c r="O43" s="153"/>
      <c r="P43" s="295">
        <f>'BD Plant List'!$L45/12*'BD Feedstock'!P$3*'BD Plant List'!AE$5</f>
        <v>3.2801378626533628</v>
      </c>
      <c r="Q43" s="295">
        <f>'BD Plant List'!$M45/12*'BD Feedstock'!Q$3*'BD Plant List'!AE$5</f>
        <v>0.93125000000000002</v>
      </c>
      <c r="R43" s="153"/>
      <c r="S43" s="153"/>
      <c r="T43" s="295">
        <f>'BD Plant List'!$O45/12*'BD Feedstock'!T$3*'BD Plant List'!AB$5</f>
        <v>8.5732126770944213</v>
      </c>
      <c r="U43" s="295">
        <f>'BD Plant List'!$O45/12*'BD Feedstock'!U$3*'BD Plant List'!AC$5</f>
        <v>3.0347329175263269</v>
      </c>
    </row>
    <row r="44" spans="1:21" ht="18">
      <c r="A44" s="293">
        <v>41030</v>
      </c>
      <c r="B44" s="294"/>
      <c r="C44" s="294"/>
      <c r="D44" s="294"/>
      <c r="E44" s="294"/>
      <c r="F44" s="294"/>
      <c r="G44" s="295">
        <f>'BD Plant List'!$E46/12*'BD Feedstock'!G$3*'BD Plant List'!AB$5</f>
        <v>1.453125</v>
      </c>
      <c r="H44" s="295">
        <f>'BD Plant List'!$E46/12*'BD Feedstock'!H$3*'BD Plant List'!AC$5</f>
        <v>0.51437500000000003</v>
      </c>
      <c r="I44" s="295">
        <f>'BD Plant List'!F46/12*'BD Feedstock'!I$3*'BD Plant List'!AC$5</f>
        <v>0.13716666666666666</v>
      </c>
      <c r="J44" s="153"/>
      <c r="K44" s="295">
        <f>'BD Plant List'!$H46/12*'BD Feedstock'!K$3*'BD Plant List'!AB$5</f>
        <v>5.8125</v>
      </c>
      <c r="L44" s="295">
        <f>'BD Plant List'!$H46/12*'BD Feedstock'!L$3*'BD Plant List'!AC$5</f>
        <v>2.0575000000000001</v>
      </c>
      <c r="M44" s="153"/>
      <c r="N44" s="153"/>
      <c r="O44" s="153"/>
      <c r="P44" s="295">
        <f>'BD Plant List'!$L46/12*'BD Feedstock'!P$3*'BD Plant List'!AE$5</f>
        <v>3.2801378626533628</v>
      </c>
      <c r="Q44" s="295">
        <f>'BD Plant List'!$M46/12*'BD Feedstock'!Q$3*'BD Plant List'!AE$5</f>
        <v>0.93125000000000002</v>
      </c>
      <c r="R44" s="153"/>
      <c r="S44" s="153"/>
      <c r="T44" s="295">
        <f>'BD Plant List'!$O46/12*'BD Feedstock'!T$3*'BD Plant List'!AB$5</f>
        <v>8.5732126770944213</v>
      </c>
      <c r="U44" s="295">
        <f>'BD Plant List'!$O46/12*'BD Feedstock'!U$3*'BD Plant List'!AC$5</f>
        <v>3.0347329175263269</v>
      </c>
    </row>
    <row r="45" spans="1:21" ht="18">
      <c r="A45" s="293">
        <v>41061</v>
      </c>
      <c r="B45" s="294"/>
      <c r="D45" s="165"/>
      <c r="E45" s="294"/>
      <c r="F45" s="294"/>
      <c r="G45" s="295">
        <f>'BD Plant List'!$E47/12*'BD Feedstock'!G$3*'BD Plant List'!AB$5</f>
        <v>1.453125</v>
      </c>
      <c r="H45" s="295">
        <f>'BD Plant List'!$E47/12*'BD Feedstock'!H$3*'BD Plant List'!AC$5</f>
        <v>0.51437500000000003</v>
      </c>
      <c r="I45" s="295">
        <f>'BD Plant List'!F47/12*'BD Feedstock'!I$3*'BD Plant List'!AC$5</f>
        <v>0.13716666666666666</v>
      </c>
      <c r="J45" s="153"/>
      <c r="K45" s="295">
        <f>'BD Plant List'!$H47/12*'BD Feedstock'!K$3*'BD Plant List'!AB$5</f>
        <v>5.8125</v>
      </c>
      <c r="L45" s="295">
        <f>'BD Plant List'!$H47/12*'BD Feedstock'!L$3*'BD Plant List'!AC$5</f>
        <v>2.0575000000000001</v>
      </c>
      <c r="M45" s="153"/>
      <c r="N45" s="153"/>
      <c r="O45" s="153"/>
      <c r="P45" s="295">
        <f>'BD Plant List'!$L47/12*'BD Feedstock'!P$3*'BD Plant List'!AE$5</f>
        <v>3.2801378626533628</v>
      </c>
      <c r="Q45" s="295">
        <f>'BD Plant List'!$M47/12*'BD Feedstock'!Q$3*'BD Plant List'!AE$5</f>
        <v>0.93125000000000002</v>
      </c>
      <c r="R45" s="153"/>
      <c r="S45" s="153"/>
      <c r="T45" s="295">
        <f>'BD Plant List'!$O47/12*'BD Feedstock'!T$3*'BD Plant List'!AB$5</f>
        <v>8.5732126770944213</v>
      </c>
      <c r="U45" s="295">
        <f>'BD Plant List'!$O47/12*'BD Feedstock'!U$3*'BD Plant List'!AC$5</f>
        <v>3.0347329175263269</v>
      </c>
    </row>
    <row r="46" spans="1:21" ht="18">
      <c r="A46" s="293">
        <v>41091</v>
      </c>
      <c r="B46" s="294"/>
      <c r="C46" s="295">
        <f>'BD Plant List'!$C48/12*'BD Plant List'!$AB$5*'BD Feedstock'!$D$3</f>
        <v>0.96875</v>
      </c>
      <c r="D46" s="295">
        <f>'BD Plant List'!$C48/12*'BD Plant List'!$AC$5*'BD Feedstock'!$D$3</f>
        <v>1.0287500000000001</v>
      </c>
      <c r="E46" s="294"/>
      <c r="F46" s="294"/>
      <c r="G46" s="295">
        <f>'BD Plant List'!$E48/12*'BD Feedstock'!G$3*'BD Plant List'!AB$5</f>
        <v>1.453125</v>
      </c>
      <c r="H46" s="295">
        <f>'BD Plant List'!$E48/12*'BD Feedstock'!H$3*'BD Plant List'!AC$5</f>
        <v>0.51437500000000003</v>
      </c>
      <c r="I46" s="295">
        <f>'BD Plant List'!F48/12*'BD Feedstock'!I$3*'BD Plant List'!AC$5</f>
        <v>0.13716666666666666</v>
      </c>
      <c r="J46" s="153"/>
      <c r="K46" s="295">
        <f>'BD Plant List'!$H48/12*'BD Feedstock'!K$3*'BD Plant List'!AB$5</f>
        <v>5.8125</v>
      </c>
      <c r="L46" s="295">
        <f>'BD Plant List'!$H48/12*'BD Feedstock'!L$3*'BD Plant List'!AC$5</f>
        <v>2.0575000000000001</v>
      </c>
      <c r="M46" s="153"/>
      <c r="N46" s="153"/>
      <c r="O46" s="153"/>
      <c r="P46" s="295">
        <f>'BD Plant List'!$L48/12*'BD Feedstock'!P$3*'BD Plant List'!AE$5</f>
        <v>3.2801378626533628</v>
      </c>
      <c r="Q46" s="295">
        <f>'BD Plant List'!$M48/12*'BD Feedstock'!Q$3*'BD Plant List'!AE$5</f>
        <v>0.93125000000000002</v>
      </c>
      <c r="R46" s="153"/>
      <c r="S46" s="153"/>
      <c r="T46" s="295">
        <f>'BD Plant List'!$O48/12*'BD Feedstock'!T$3*'BD Plant List'!AB$5</f>
        <v>8.5732126770944213</v>
      </c>
      <c r="U46" s="295">
        <f>'BD Plant List'!$O48/12*'BD Feedstock'!U$3*'BD Plant List'!AC$5</f>
        <v>3.0347329175263269</v>
      </c>
    </row>
    <row r="47" spans="1:21" ht="18">
      <c r="A47" s="293">
        <v>41122</v>
      </c>
      <c r="B47" s="294"/>
      <c r="C47" s="295">
        <f>'BD Plant List'!$C49/12*'BD Plant List'!$AB$5*'BD Feedstock'!$D$3</f>
        <v>0.96875</v>
      </c>
      <c r="D47" s="295">
        <f>'BD Plant List'!$C49/12*'BD Plant List'!$AC$5*'BD Feedstock'!$D$3</f>
        <v>1.0287500000000001</v>
      </c>
      <c r="E47" s="294"/>
      <c r="F47" s="294"/>
      <c r="G47" s="295">
        <f>'BD Plant List'!$E49/12*'BD Feedstock'!G$3*'BD Plant List'!AB$5</f>
        <v>1.453125</v>
      </c>
      <c r="H47" s="295">
        <f>'BD Plant List'!$E49/12*'BD Feedstock'!H$3*'BD Plant List'!AC$5</f>
        <v>0.51437500000000003</v>
      </c>
      <c r="I47" s="295">
        <f>'BD Plant List'!F49/12*'BD Feedstock'!I$3*'BD Plant List'!AC$5</f>
        <v>0.13716666666666666</v>
      </c>
      <c r="J47" s="153"/>
      <c r="K47" s="295">
        <f>'BD Plant List'!$H49/12*'BD Feedstock'!K$3*'BD Plant List'!AB$5</f>
        <v>5.8125</v>
      </c>
      <c r="L47" s="295">
        <f>'BD Plant List'!$H49/12*'BD Feedstock'!L$3*'BD Plant List'!AC$5</f>
        <v>2.0575000000000001</v>
      </c>
      <c r="M47" s="153"/>
      <c r="N47" s="153"/>
      <c r="O47" s="153"/>
      <c r="P47" s="295">
        <f>'BD Plant List'!$L49/12*'BD Feedstock'!P$3*'BD Plant List'!AE$5</f>
        <v>3.2801378626533628</v>
      </c>
      <c r="Q47" s="295">
        <f>'BD Plant List'!$M49/12*'BD Feedstock'!Q$3*'BD Plant List'!AE$5</f>
        <v>0.93125000000000002</v>
      </c>
      <c r="R47" s="153"/>
      <c r="S47" s="153"/>
      <c r="T47" s="295">
        <f>'BD Plant List'!$O49/12*'BD Feedstock'!T$3*'BD Plant List'!AB$5</f>
        <v>8.5732126770944213</v>
      </c>
      <c r="U47" s="295">
        <f>'BD Plant List'!$O49/12*'BD Feedstock'!U$3*'BD Plant List'!AC$5</f>
        <v>3.0347329175263269</v>
      </c>
    </row>
    <row r="48" spans="1:21" ht="18">
      <c r="A48" s="293">
        <v>41153</v>
      </c>
      <c r="B48" s="294"/>
      <c r="C48" s="295">
        <f>'BD Plant List'!$C50/12*'BD Plant List'!$AB$5*'BD Feedstock'!$D$3</f>
        <v>0.96875</v>
      </c>
      <c r="D48" s="295">
        <f>'BD Plant List'!$C50/12*'BD Plant List'!$AC$5*'BD Feedstock'!$D$3</f>
        <v>1.0287500000000001</v>
      </c>
      <c r="E48" s="294"/>
      <c r="F48" s="294"/>
      <c r="G48" s="295">
        <f>'BD Plant List'!$E50/12*'BD Feedstock'!G$3*'BD Plant List'!AB$5</f>
        <v>1.453125</v>
      </c>
      <c r="H48" s="295">
        <f>'BD Plant List'!$E50/12*'BD Feedstock'!H$3*'BD Plant List'!AC$5</f>
        <v>0.51437500000000003</v>
      </c>
      <c r="I48" s="295">
        <f>'BD Plant List'!F50/12*'BD Feedstock'!I$3*'BD Plant List'!AC$5</f>
        <v>0.13716666666666666</v>
      </c>
      <c r="J48" s="153"/>
      <c r="K48" s="295">
        <f>'BD Plant List'!$H50/12*'BD Feedstock'!K$3*'BD Plant List'!AB$5</f>
        <v>5.8125</v>
      </c>
      <c r="L48" s="295">
        <f>'BD Plant List'!$H50/12*'BD Feedstock'!L$3*'BD Plant List'!AC$5</f>
        <v>2.0575000000000001</v>
      </c>
      <c r="M48" s="153"/>
      <c r="N48" s="153"/>
      <c r="O48" s="153"/>
      <c r="P48" s="295">
        <f>'BD Plant List'!$L50/12*'BD Feedstock'!P$3*'BD Plant List'!AE$5</f>
        <v>3.2801378626533628</v>
      </c>
      <c r="Q48" s="295">
        <f>'BD Plant List'!$M50/12*'BD Feedstock'!Q$3*'BD Plant List'!AE$5</f>
        <v>0.93125000000000002</v>
      </c>
      <c r="R48" s="153"/>
      <c r="S48" s="153"/>
      <c r="T48" s="295">
        <f>'BD Plant List'!$O50/12*'BD Feedstock'!T$3*'BD Plant List'!AB$5</f>
        <v>8.5732126770944213</v>
      </c>
      <c r="U48" s="295">
        <f>'BD Plant List'!$O50/12*'BD Feedstock'!U$3*'BD Plant List'!AC$5</f>
        <v>3.0347329175263269</v>
      </c>
    </row>
    <row r="49" spans="1:21" ht="18">
      <c r="A49" s="293">
        <v>41183</v>
      </c>
      <c r="B49" s="294"/>
      <c r="C49" s="295">
        <f>'BD Plant List'!$C51/12*'BD Plant List'!$AB$5*'BD Feedstock'!$D$3</f>
        <v>0.96875</v>
      </c>
      <c r="D49" s="295">
        <f>'BD Plant List'!$C51/12*'BD Plant List'!$AC$5*'BD Feedstock'!$D$3</f>
        <v>1.0287500000000001</v>
      </c>
      <c r="E49" s="294"/>
      <c r="F49" s="294"/>
      <c r="G49" s="295">
        <f>'BD Plant List'!$E51/12*'BD Feedstock'!G$3*'BD Plant List'!AB$5</f>
        <v>1.453125</v>
      </c>
      <c r="H49" s="295">
        <f>'BD Plant List'!$E51/12*'BD Feedstock'!H$3*'BD Plant List'!AC$5</f>
        <v>0.51437500000000003</v>
      </c>
      <c r="I49" s="295">
        <f>'BD Plant List'!F51/12*'BD Feedstock'!I$3*'BD Plant List'!AC$5</f>
        <v>0.13716666666666666</v>
      </c>
      <c r="J49" s="153"/>
      <c r="K49" s="295">
        <f>'BD Plant List'!$H51/12*'BD Feedstock'!K$3*'BD Plant List'!AB$5</f>
        <v>5.8125</v>
      </c>
      <c r="L49" s="295">
        <f>'BD Plant List'!$H51/12*'BD Feedstock'!L$3*'BD Plant List'!AC$5</f>
        <v>2.0575000000000001</v>
      </c>
      <c r="M49" s="153"/>
      <c r="N49" s="295"/>
      <c r="O49" s="295">
        <f>'BD Plant List'!$K51/12*'BD Feedstock'!O$3*'BD Plant List'!AC$5</f>
        <v>0.9053000000000001</v>
      </c>
      <c r="P49" s="295">
        <f>'BD Plant List'!$L51/12*'BD Feedstock'!P$3*'BD Plant List'!AE$5</f>
        <v>3.2801378626533628</v>
      </c>
      <c r="Q49" s="295">
        <f>'BD Plant List'!$M51/12*'BD Feedstock'!Q$3*'BD Plant List'!AE$5</f>
        <v>0.93125000000000002</v>
      </c>
      <c r="R49" s="153"/>
      <c r="S49" s="153"/>
      <c r="T49" s="295">
        <f>'BD Plant List'!$O51/12*'BD Feedstock'!T$3*'BD Plant List'!AB$5</f>
        <v>0</v>
      </c>
      <c r="U49" s="295">
        <f>'BD Plant List'!$O51/12*'BD Feedstock'!U$3*'BD Plant List'!AC$5</f>
        <v>0</v>
      </c>
    </row>
    <row r="50" spans="1:21" ht="18">
      <c r="A50" s="293">
        <v>41214</v>
      </c>
      <c r="B50" s="294"/>
      <c r="C50" s="295">
        <f>'BD Plant List'!$C52/12*'BD Plant List'!$AB$5*'BD Feedstock'!$D$3</f>
        <v>0.96875</v>
      </c>
      <c r="D50" s="295">
        <f>'BD Plant List'!$C52/12*'BD Plant List'!$AC$5*'BD Feedstock'!$D$3</f>
        <v>1.0287500000000001</v>
      </c>
      <c r="E50" s="294"/>
      <c r="F50" s="294"/>
      <c r="G50" s="295">
        <f>'BD Plant List'!$E52/12*'BD Feedstock'!G$3*'BD Plant List'!AB$5</f>
        <v>1.453125</v>
      </c>
      <c r="H50" s="295">
        <f>'BD Plant List'!$E52/12*'BD Feedstock'!H$3*'BD Plant List'!AC$5</f>
        <v>0.51437500000000003</v>
      </c>
      <c r="I50" s="295">
        <f>'BD Plant List'!F52/12*'BD Feedstock'!I$3*'BD Plant List'!AC$5</f>
        <v>0.13716666666666666</v>
      </c>
      <c r="J50" s="153"/>
      <c r="K50" s="295">
        <f>'BD Plant List'!$H52/12*'BD Feedstock'!K$3*'BD Plant List'!AB$5</f>
        <v>5.8125</v>
      </c>
      <c r="L50" s="295">
        <f>'BD Plant List'!$H52/12*'BD Feedstock'!L$3*'BD Plant List'!AC$5</f>
        <v>2.0575000000000001</v>
      </c>
      <c r="M50" s="153"/>
      <c r="N50" s="295"/>
      <c r="O50" s="295">
        <f>'BD Plant List'!$K52/12*'BD Feedstock'!O$3*'BD Plant List'!AC$5</f>
        <v>0.9053000000000001</v>
      </c>
      <c r="P50" s="295">
        <f>'BD Plant List'!$L52/12*'BD Feedstock'!P$3*'BD Plant List'!AE$5</f>
        <v>3.2801378626533628</v>
      </c>
      <c r="Q50" s="295">
        <f>'BD Plant List'!$M52/12*'BD Feedstock'!Q$3*'BD Plant List'!AE$5</f>
        <v>0.93125000000000002</v>
      </c>
      <c r="R50" s="153"/>
      <c r="S50" s="153"/>
      <c r="T50" s="295">
        <f>'BD Plant List'!$O52/12*'BD Feedstock'!T$3*'BD Plant List'!AB$5</f>
        <v>0</v>
      </c>
      <c r="U50" s="295">
        <f>'BD Plant List'!$O52/12*'BD Feedstock'!U$3*'BD Plant List'!AC$5</f>
        <v>0</v>
      </c>
    </row>
    <row r="51" spans="1:21" ht="18">
      <c r="A51" s="293">
        <v>41244</v>
      </c>
      <c r="B51" s="294"/>
      <c r="C51" s="295">
        <f>'BD Plant List'!$C53/12*'BD Plant List'!$AB$5*'BD Feedstock'!$D$3</f>
        <v>0.96875</v>
      </c>
      <c r="D51" s="295">
        <f>'BD Plant List'!$C53/12*'BD Plant List'!$AC$5*'BD Feedstock'!$D$3</f>
        <v>1.0287500000000001</v>
      </c>
      <c r="E51" s="294"/>
      <c r="F51" s="294"/>
      <c r="G51" s="295">
        <f>'BD Plant List'!$E53/12*'BD Feedstock'!G$3*'BD Plant List'!AB$5</f>
        <v>1.453125</v>
      </c>
      <c r="H51" s="295">
        <f>'BD Plant List'!$E53/12*'BD Feedstock'!H$3*'BD Plant List'!AC$5</f>
        <v>0.51437500000000003</v>
      </c>
      <c r="I51" s="295">
        <f>'BD Plant List'!F53/12*'BD Feedstock'!I$3*'BD Plant List'!AC$5</f>
        <v>0.13716666666666666</v>
      </c>
      <c r="J51" s="153"/>
      <c r="K51" s="295">
        <f>'BD Plant List'!$H53/12*'BD Feedstock'!K$3*'BD Plant List'!AB$5</f>
        <v>5.8125</v>
      </c>
      <c r="L51" s="295">
        <f>'BD Plant List'!$H53/12*'BD Feedstock'!L$3*'BD Plant List'!AC$5</f>
        <v>2.0575000000000001</v>
      </c>
      <c r="M51" s="153"/>
      <c r="N51" s="295"/>
      <c r="O51" s="295">
        <f>'BD Plant List'!$K53/12*'BD Feedstock'!O$3*'BD Plant List'!AC$5</f>
        <v>0.9053000000000001</v>
      </c>
      <c r="P51" s="295">
        <f>'BD Plant List'!$L53/12*'BD Feedstock'!P$3*'BD Plant List'!AE$5</f>
        <v>3.2801378626533628</v>
      </c>
      <c r="Q51" s="295">
        <f>'BD Plant List'!$M53/12*'BD Feedstock'!Q$3*'BD Plant List'!AE$5</f>
        <v>0.93125000000000002</v>
      </c>
      <c r="R51" s="153"/>
      <c r="S51" s="153"/>
      <c r="T51" s="295">
        <f>'BD Plant List'!$O53/12*'BD Feedstock'!T$3*'BD Plant List'!AB$5</f>
        <v>0</v>
      </c>
      <c r="U51" s="295">
        <f>'BD Plant List'!$O53/12*'BD Feedstock'!U$3*'BD Plant List'!AC$5</f>
        <v>0</v>
      </c>
    </row>
    <row r="52" spans="1:21" ht="18">
      <c r="A52" s="293">
        <v>41275</v>
      </c>
      <c r="B52" s="294"/>
      <c r="C52" s="295">
        <f>'BD Plant List'!$C54/12*'BD Plant List'!$AB$5*'BD Feedstock'!$D$3</f>
        <v>0.96875</v>
      </c>
      <c r="D52" s="295">
        <f>'BD Plant List'!$C54/12*'BD Plant List'!$AC$5*'BD Feedstock'!$D$3</f>
        <v>1.0287500000000001</v>
      </c>
      <c r="E52" s="294"/>
      <c r="F52" s="294"/>
      <c r="G52" s="295">
        <f>'BD Plant List'!$E54/12*'BD Feedstock'!G$3*'BD Plant List'!AB$5</f>
        <v>1.453125</v>
      </c>
      <c r="H52" s="295">
        <f>'BD Plant List'!$E54/12*'BD Feedstock'!H$3*'BD Plant List'!AC$5</f>
        <v>0.51437500000000003</v>
      </c>
      <c r="I52" s="295">
        <f>'BD Plant List'!F54/12*'BD Feedstock'!I$3*'BD Plant List'!AC$5</f>
        <v>0.13716666666666666</v>
      </c>
      <c r="J52" s="153"/>
      <c r="K52" s="295">
        <f>'BD Plant List'!$H54/12*'BD Feedstock'!K$3*'BD Plant List'!AB$5</f>
        <v>5.8125</v>
      </c>
      <c r="L52" s="295">
        <f>'BD Plant List'!$H54/12*'BD Feedstock'!L$3*'BD Plant List'!AC$5</f>
        <v>2.0575000000000001</v>
      </c>
      <c r="M52" s="153"/>
      <c r="N52" s="295"/>
      <c r="O52" s="295">
        <f>'BD Plant List'!$K54/12*'BD Feedstock'!O$3*'BD Plant List'!AC$5</f>
        <v>0.9053000000000001</v>
      </c>
      <c r="P52" s="295">
        <f>'BD Plant List'!$L54/12*'BD Feedstock'!P$3*'BD Plant List'!AE$5</f>
        <v>3.2801378626533628</v>
      </c>
      <c r="Q52" s="295">
        <f>'BD Plant List'!$M54/12*'BD Feedstock'!Q$3*'BD Plant List'!AE$5</f>
        <v>0.93125000000000002</v>
      </c>
      <c r="R52" s="153"/>
      <c r="S52" s="153"/>
      <c r="T52" s="295">
        <f>'BD Plant List'!$O54/12*'BD Feedstock'!T$3*'BD Plant List'!AB$5</f>
        <v>0</v>
      </c>
      <c r="U52" s="295">
        <f>'BD Plant List'!$O54/12*'BD Feedstock'!U$3*'BD Plant List'!AC$5</f>
        <v>0</v>
      </c>
    </row>
    <row r="53" spans="1:21" ht="18">
      <c r="A53" s="293">
        <v>41306</v>
      </c>
      <c r="B53" s="294"/>
      <c r="C53" s="295">
        <f>'BD Plant List'!$C55/12*'BD Plant List'!$AB$5*'BD Feedstock'!$D$3</f>
        <v>0.96875</v>
      </c>
      <c r="D53" s="295">
        <f>'BD Plant List'!$C55/12*'BD Plant List'!$AC$5*'BD Feedstock'!$D$3</f>
        <v>1.0287500000000001</v>
      </c>
      <c r="E53" s="294"/>
      <c r="F53" s="294"/>
      <c r="G53" s="295">
        <f>'BD Plant List'!$E55/12*'BD Feedstock'!G$3*'BD Plant List'!AB$5</f>
        <v>1.453125</v>
      </c>
      <c r="H53" s="295">
        <f>'BD Plant List'!$E55/12*'BD Feedstock'!H$3*'BD Plant List'!AC$5</f>
        <v>0.51437500000000003</v>
      </c>
      <c r="I53" s="295">
        <f>'BD Plant List'!F55/12*'BD Feedstock'!I$3*'BD Plant List'!AC$5</f>
        <v>0.13716666666666666</v>
      </c>
      <c r="J53" s="153"/>
      <c r="K53" s="295">
        <f>'BD Plant List'!$H55/12*'BD Feedstock'!K$3*'BD Plant List'!AB$5</f>
        <v>5.8125</v>
      </c>
      <c r="L53" s="295">
        <f>'BD Plant List'!$H55/12*'BD Feedstock'!L$3*'BD Plant List'!AC$5</f>
        <v>2.0575000000000001</v>
      </c>
      <c r="M53" s="153"/>
      <c r="N53" s="295"/>
      <c r="O53" s="295">
        <f>'BD Plant List'!$K55/12*'BD Feedstock'!O$3*'BD Plant List'!AC$5</f>
        <v>0.9053000000000001</v>
      </c>
      <c r="P53" s="295">
        <f>'BD Plant List'!$L55/12*'BD Feedstock'!P$3*'BD Plant List'!AE$5</f>
        <v>3.2801378626533628</v>
      </c>
      <c r="Q53" s="295">
        <f>'BD Plant List'!$M55/12*'BD Feedstock'!Q$3*'BD Plant List'!AE$5</f>
        <v>0.93125000000000002</v>
      </c>
      <c r="R53" s="153"/>
      <c r="S53" s="153"/>
      <c r="T53" s="295">
        <f>'BD Plant List'!$O55/12*'BD Feedstock'!T$3*'BD Plant List'!AB$5</f>
        <v>8.5732126770944213</v>
      </c>
      <c r="U53" s="295">
        <f>'BD Plant List'!$O55/12*'BD Feedstock'!U$3*'BD Plant List'!AC$5</f>
        <v>3.0347329175263269</v>
      </c>
    </row>
    <row r="54" spans="1:21" ht="18">
      <c r="A54" s="293">
        <v>41334</v>
      </c>
      <c r="B54" s="294"/>
      <c r="C54" s="295">
        <f>'BD Plant List'!$C56/12*'BD Plant List'!$AB$5*'BD Feedstock'!$D$3</f>
        <v>0.96875</v>
      </c>
      <c r="D54" s="295">
        <f>'BD Plant List'!$C56/12*'BD Plant List'!$AC$5*'BD Feedstock'!$D$3</f>
        <v>1.0287500000000001</v>
      </c>
      <c r="E54" s="294"/>
      <c r="F54" s="294"/>
      <c r="G54" s="295">
        <f>'BD Plant List'!$E56/12*'BD Feedstock'!G$3*'BD Plant List'!AB$5</f>
        <v>1.453125</v>
      </c>
      <c r="H54" s="295">
        <f>'BD Plant List'!$E56/12*'BD Feedstock'!H$3*'BD Plant List'!AC$5</f>
        <v>0.51437500000000003</v>
      </c>
      <c r="I54" s="295">
        <f>'BD Plant List'!F56/12*'BD Feedstock'!I$3*'BD Plant List'!AC$5</f>
        <v>0.13716666666666666</v>
      </c>
      <c r="J54" s="153"/>
      <c r="K54" s="295">
        <f>'BD Plant List'!$H56/12*'BD Feedstock'!K$3*'BD Plant List'!AB$5</f>
        <v>5.8125</v>
      </c>
      <c r="L54" s="295">
        <f>'BD Plant List'!$H56/12*'BD Feedstock'!L$3*'BD Plant List'!AC$5</f>
        <v>2.0575000000000001</v>
      </c>
      <c r="M54" s="153"/>
      <c r="N54" s="295"/>
      <c r="O54" s="295">
        <f>'BD Plant List'!$K56/12*'BD Feedstock'!O$3*'BD Plant List'!AC$5</f>
        <v>0.9053000000000001</v>
      </c>
      <c r="P54" s="295">
        <f>'BD Plant List'!$L56/12*'BD Feedstock'!P$3*'BD Plant List'!AE$5</f>
        <v>3.2801378626533628</v>
      </c>
      <c r="Q54" s="295">
        <f>'BD Plant List'!$M56/12*'BD Feedstock'!Q$3*'BD Plant List'!AE$5</f>
        <v>0.93125000000000002</v>
      </c>
      <c r="R54" s="153"/>
      <c r="S54" s="153"/>
      <c r="T54" s="295">
        <f>'BD Plant List'!$O56/12*'BD Feedstock'!T$3*'BD Plant List'!AB$5</f>
        <v>8.5732126770944213</v>
      </c>
      <c r="U54" s="295">
        <f>'BD Plant List'!$O56/12*'BD Feedstock'!U$3*'BD Plant List'!AC$5</f>
        <v>3.0347329175263269</v>
      </c>
    </row>
    <row r="55" spans="1:21" ht="18">
      <c r="A55" s="293">
        <v>41365</v>
      </c>
      <c r="B55" s="294"/>
      <c r="C55" s="295">
        <f>'BD Plant List'!$C57/12*'BD Plant List'!$AB$5*'BD Feedstock'!$D$3</f>
        <v>0.96875</v>
      </c>
      <c r="D55" s="295">
        <f>'BD Plant List'!$C57/12*'BD Plant List'!$AC$5*'BD Feedstock'!$D$3</f>
        <v>1.0287500000000001</v>
      </c>
      <c r="E55" s="294"/>
      <c r="F55" s="294"/>
      <c r="G55" s="295">
        <f>'BD Plant List'!$E57/12*'BD Feedstock'!G$3*'BD Plant List'!AB$5</f>
        <v>1.453125</v>
      </c>
      <c r="H55" s="295">
        <f>'BD Plant List'!$E57/12*'BD Feedstock'!H$3*'BD Plant List'!AC$5</f>
        <v>0.51437500000000003</v>
      </c>
      <c r="I55" s="295">
        <f>'BD Plant List'!F57/12*'BD Feedstock'!I$3*'BD Plant List'!AC$5</f>
        <v>0.13716666666666666</v>
      </c>
      <c r="J55" s="153"/>
      <c r="K55" s="295">
        <f>'BD Plant List'!$H57/12*'BD Feedstock'!K$3*'BD Plant List'!AB$5</f>
        <v>5.8125</v>
      </c>
      <c r="L55" s="295">
        <f>'BD Plant List'!$H57/12*'BD Feedstock'!L$3*'BD Plant List'!AC$5</f>
        <v>2.0575000000000001</v>
      </c>
      <c r="M55" s="153"/>
      <c r="N55" s="295"/>
      <c r="O55" s="295">
        <f>'BD Plant List'!$K57/12*'BD Feedstock'!O$3*'BD Plant List'!AC$5</f>
        <v>0.9053000000000001</v>
      </c>
      <c r="P55" s="295">
        <f>'BD Plant List'!$L57/12*'BD Feedstock'!P$3*'BD Plant List'!AE$5</f>
        <v>3.2801378626533628</v>
      </c>
      <c r="Q55" s="295">
        <f>'BD Plant List'!$M57/12*'BD Feedstock'!Q$3*'BD Plant List'!AE$5</f>
        <v>0.93125000000000002</v>
      </c>
      <c r="R55" s="153"/>
      <c r="S55" s="153"/>
      <c r="T55" s="295">
        <f>'BD Plant List'!$O57/12*'BD Feedstock'!T$3*'BD Plant List'!AB$5</f>
        <v>8.5732126770944213</v>
      </c>
      <c r="U55" s="295">
        <f>'BD Plant List'!$O57/12*'BD Feedstock'!U$3*'BD Plant List'!AC$5</f>
        <v>3.0347329175263269</v>
      </c>
    </row>
    <row r="56" spans="1:21" ht="18">
      <c r="A56" s="293">
        <v>41395</v>
      </c>
      <c r="B56" s="294"/>
      <c r="C56" s="295">
        <f>'BD Plant List'!$C58/12*'BD Plant List'!$AB$5*'BD Feedstock'!$D$3</f>
        <v>0.96875</v>
      </c>
      <c r="D56" s="295">
        <f>'BD Plant List'!$C58/12*'BD Plant List'!$AC$5*'BD Feedstock'!$D$3</f>
        <v>1.0287500000000001</v>
      </c>
      <c r="E56" s="294"/>
      <c r="F56" s="294"/>
      <c r="G56" s="295">
        <f>'BD Plant List'!$E58/12*'BD Feedstock'!G$3*'BD Plant List'!AB$5</f>
        <v>1.453125</v>
      </c>
      <c r="H56" s="295">
        <f>'BD Plant List'!$E58/12*'BD Feedstock'!H$3*'BD Plant List'!AC$5</f>
        <v>0.51437500000000003</v>
      </c>
      <c r="I56" s="295">
        <f>'BD Plant List'!F58/12*'BD Feedstock'!I$3*'BD Plant List'!AC$5</f>
        <v>0.13716666666666666</v>
      </c>
      <c r="J56" s="153"/>
      <c r="K56" s="295">
        <f>'BD Plant List'!$H58/12*'BD Feedstock'!K$3*'BD Plant List'!AB$5</f>
        <v>5.8125</v>
      </c>
      <c r="L56" s="295">
        <f>'BD Plant List'!$H58/12*'BD Feedstock'!L$3*'BD Plant List'!AC$5</f>
        <v>2.0575000000000001</v>
      </c>
      <c r="M56" s="153"/>
      <c r="N56" s="295"/>
      <c r="O56" s="295">
        <f>'BD Plant List'!$K58/12*'BD Feedstock'!O$3*'BD Plant List'!AC$5</f>
        <v>0.9053000000000001</v>
      </c>
      <c r="P56" s="295">
        <f>'BD Plant List'!$L58/12*'BD Feedstock'!P$3*'BD Plant List'!AE$5</f>
        <v>3.2801378626533628</v>
      </c>
      <c r="Q56" s="295">
        <f>'BD Plant List'!$M58/12*'BD Feedstock'!Q$3*'BD Plant List'!AE$5</f>
        <v>0.93125000000000002</v>
      </c>
      <c r="R56" s="153"/>
      <c r="S56" s="153"/>
      <c r="T56" s="295">
        <f>'BD Plant List'!$O58/12*'BD Feedstock'!T$3*'BD Plant List'!AB$5</f>
        <v>8.5732126770944213</v>
      </c>
      <c r="U56" s="295">
        <f>'BD Plant List'!$O58/12*'BD Feedstock'!U$3*'BD Plant List'!AC$5</f>
        <v>3.0347329175263269</v>
      </c>
    </row>
    <row r="57" spans="1:21" ht="18">
      <c r="A57" s="293">
        <v>41426</v>
      </c>
      <c r="B57" s="294"/>
      <c r="C57" s="295">
        <f>'BD Plant List'!$C59/12*'BD Plant List'!$AB$5*'BD Feedstock'!$D$3</f>
        <v>0.96875</v>
      </c>
      <c r="D57" s="295">
        <f>'BD Plant List'!$C59/12*'BD Plant List'!$AC$5*'BD Feedstock'!$D$3</f>
        <v>1.0287500000000001</v>
      </c>
      <c r="E57" s="294"/>
      <c r="F57" s="294"/>
      <c r="G57" s="295">
        <f>'BD Plant List'!$E59/12*'BD Feedstock'!G$3*'BD Plant List'!AB$5</f>
        <v>1.453125</v>
      </c>
      <c r="H57" s="295">
        <f>'BD Plant List'!$E59/12*'BD Feedstock'!H$3*'BD Plant List'!AC$5</f>
        <v>0.51437500000000003</v>
      </c>
      <c r="I57" s="295">
        <f>'BD Plant List'!F59/12*'BD Feedstock'!I$3*'BD Plant List'!AC$5</f>
        <v>0.13716666666666666</v>
      </c>
      <c r="J57" s="153"/>
      <c r="K57" s="295">
        <f>'BD Plant List'!$H59/12*'BD Feedstock'!K$3*'BD Plant List'!AB$5</f>
        <v>5.8125</v>
      </c>
      <c r="L57" s="295">
        <f>'BD Plant List'!$H59/12*'BD Feedstock'!L$3*'BD Plant List'!AC$5</f>
        <v>2.0575000000000001</v>
      </c>
      <c r="M57" s="153"/>
      <c r="N57" s="295"/>
      <c r="O57" s="295">
        <f>'BD Plant List'!$K59/12*'BD Feedstock'!O$3*'BD Plant List'!AC$5</f>
        <v>0.9053000000000001</v>
      </c>
      <c r="P57" s="295">
        <f>'BD Plant List'!$L59/12*'BD Feedstock'!P$3*'BD Plant List'!AE$5</f>
        <v>3.2801378626533628</v>
      </c>
      <c r="Q57" s="295">
        <f>'BD Plant List'!$M59/12*'BD Feedstock'!Q$3*'BD Plant List'!AE$5</f>
        <v>0.93125000000000002</v>
      </c>
      <c r="R57" s="153"/>
      <c r="S57" s="153"/>
      <c r="T57" s="295">
        <f>'BD Plant List'!$O59/12*'BD Feedstock'!T$3*'BD Plant List'!AB$5</f>
        <v>8.5732126770944213</v>
      </c>
      <c r="U57" s="295">
        <f>'BD Plant List'!$O59/12*'BD Feedstock'!U$3*'BD Plant List'!AC$5</f>
        <v>3.0347329175263269</v>
      </c>
    </row>
    <row r="58" spans="1:21" ht="18">
      <c r="A58" s="293">
        <v>41456</v>
      </c>
      <c r="B58" s="294"/>
      <c r="C58" s="295">
        <f>'BD Plant List'!$C60/12*'BD Plant List'!$AB$5*'BD Feedstock'!$D$3</f>
        <v>1.1302083333333335</v>
      </c>
      <c r="D58" s="295">
        <f>'BD Plant List'!$C60/12*'BD Plant List'!$AC$5*'BD Feedstock'!$D$3</f>
        <v>1.2002083333333335</v>
      </c>
      <c r="E58" s="294"/>
      <c r="F58" s="294"/>
      <c r="G58" s="295">
        <f>'BD Plant List'!$E60/12*'BD Feedstock'!G$3*'BD Plant List'!AB$5</f>
        <v>1.453125</v>
      </c>
      <c r="H58" s="295">
        <f>'BD Plant List'!$E60/12*'BD Feedstock'!H$3*'BD Plant List'!AC$5</f>
        <v>0.51437500000000003</v>
      </c>
      <c r="I58" s="295">
        <f>'BD Plant List'!F60/12*'BD Feedstock'!I$3*'BD Plant List'!AC$5</f>
        <v>0.13716666666666666</v>
      </c>
      <c r="J58" s="153"/>
      <c r="K58" s="295">
        <f>'BD Plant List'!$H60/12*'BD Feedstock'!K$3*'BD Plant List'!AB$5</f>
        <v>5.8125</v>
      </c>
      <c r="L58" s="295">
        <f>'BD Plant List'!$H60/12*'BD Feedstock'!L$3*'BD Plant List'!AC$5</f>
        <v>2.0575000000000001</v>
      </c>
      <c r="M58" s="153"/>
      <c r="N58" s="295"/>
      <c r="O58" s="295">
        <f>'BD Plant List'!$K60/12*'BD Feedstock'!O$3*'BD Plant List'!AC$5</f>
        <v>0.9053000000000001</v>
      </c>
      <c r="P58" s="295">
        <f>'BD Plant List'!$L60/12*'BD Feedstock'!P$3*'BD Plant List'!AE$5</f>
        <v>3.2801378626533628</v>
      </c>
      <c r="Q58" s="295">
        <f>'BD Plant List'!$M60/12*'BD Feedstock'!Q$3*'BD Plant List'!AE$5</f>
        <v>0.93125000000000002</v>
      </c>
      <c r="R58" s="153"/>
      <c r="S58" s="153"/>
      <c r="T58" s="295">
        <f>'BD Plant List'!$O60/12*'BD Feedstock'!T$3*'BD Plant List'!AB$5</f>
        <v>8.5732126770944213</v>
      </c>
      <c r="U58" s="295">
        <f>'BD Plant List'!$O60/12*'BD Feedstock'!U$3*'BD Plant List'!AC$5</f>
        <v>3.0347329175263269</v>
      </c>
    </row>
    <row r="59" spans="1:21" ht="18">
      <c r="A59" s="293">
        <v>41487</v>
      </c>
      <c r="B59" s="295">
        <f>'BD Plant List'!B61/12*'BD Plant List'!$AE$5*$B$3</f>
        <v>6.2083333333333339</v>
      </c>
      <c r="C59" s="295">
        <f>'BD Plant List'!$C61/12*'BD Plant List'!$AB$5*'BD Feedstock'!$D$3</f>
        <v>1.2916666666666665</v>
      </c>
      <c r="D59" s="295">
        <f>'BD Plant List'!$C61/12*'BD Plant List'!$AC$5*'BD Feedstock'!$D$3</f>
        <v>1.3716666666666666</v>
      </c>
      <c r="E59" s="294"/>
      <c r="F59" s="294"/>
      <c r="G59" s="295">
        <f>'BD Plant List'!$E61/12*'BD Feedstock'!G$3*'BD Plant List'!AB$5</f>
        <v>1.453125</v>
      </c>
      <c r="H59" s="295">
        <f>'BD Plant List'!$E61/12*'BD Feedstock'!H$3*'BD Plant List'!AC$5</f>
        <v>0.51437500000000003</v>
      </c>
      <c r="I59" s="295">
        <f>'BD Plant List'!F61/12*'BD Feedstock'!I$3*'BD Plant List'!AC$5</f>
        <v>0.13716666666666666</v>
      </c>
      <c r="J59" s="153"/>
      <c r="K59" s="295">
        <f>'BD Plant List'!$H61/12*'BD Feedstock'!K$3*'BD Plant List'!AB$5</f>
        <v>5.8125</v>
      </c>
      <c r="L59" s="295">
        <f>'BD Plant List'!$H61/12*'BD Feedstock'!L$3*'BD Plant List'!AC$5</f>
        <v>2.0575000000000001</v>
      </c>
      <c r="M59" s="153"/>
      <c r="N59" s="295"/>
      <c r="O59" s="295">
        <f>'BD Plant List'!$K61/12*'BD Feedstock'!O$3*'BD Plant List'!AC$5</f>
        <v>0.9053000000000001</v>
      </c>
      <c r="P59" s="295">
        <f>'BD Plant List'!$L61/12*'BD Feedstock'!P$3*'BD Plant List'!AE$5</f>
        <v>3.2801378626533628</v>
      </c>
      <c r="Q59" s="295">
        <f>'BD Plant List'!$M61/12*'BD Feedstock'!Q$3*'BD Plant List'!AE$5</f>
        <v>0.93125000000000002</v>
      </c>
      <c r="R59" s="153"/>
      <c r="S59" s="153"/>
      <c r="T59" s="295">
        <f>'BD Plant List'!$O61/12*'BD Feedstock'!T$3*'BD Plant List'!AB$5</f>
        <v>8.5732126770944213</v>
      </c>
      <c r="U59" s="295">
        <f>'BD Plant List'!$O61/12*'BD Feedstock'!U$3*'BD Plant List'!AC$5</f>
        <v>3.0347329175263269</v>
      </c>
    </row>
    <row r="60" spans="1:21" ht="18">
      <c r="A60" s="293">
        <v>41518</v>
      </c>
      <c r="B60" s="295">
        <f>'BD Plant List'!B62/12*'BD Plant List'!$AE$5*$B$3</f>
        <v>24.833333333333336</v>
      </c>
      <c r="C60" s="295">
        <f>'BD Plant List'!$C62/12*'BD Plant List'!$AB$5*'BD Feedstock'!$D$3</f>
        <v>1.453125</v>
      </c>
      <c r="D60" s="295">
        <f>'BD Plant List'!$C62/12*'BD Plant List'!$AC$5*'BD Feedstock'!$D$3</f>
        <v>1.5431250000000001</v>
      </c>
      <c r="E60" s="294"/>
      <c r="F60" s="294"/>
      <c r="G60" s="295">
        <f>'BD Plant List'!$E62/12*'BD Feedstock'!G$3*'BD Plant List'!AB$5</f>
        <v>1.453125</v>
      </c>
      <c r="H60" s="295">
        <f>'BD Plant List'!$E62/12*'BD Feedstock'!H$3*'BD Plant List'!AC$5</f>
        <v>0.51437500000000003</v>
      </c>
      <c r="I60" s="295">
        <f>'BD Plant List'!F62/12*'BD Feedstock'!I$3*'BD Plant List'!AC$5</f>
        <v>0.13716666666666666</v>
      </c>
      <c r="J60" s="153"/>
      <c r="K60" s="295">
        <f>'BD Plant List'!$H62/12*'BD Feedstock'!K$3*'BD Plant List'!AB$5</f>
        <v>5.8125</v>
      </c>
      <c r="L60" s="295">
        <f>'BD Plant List'!$H62/12*'BD Feedstock'!L$3*'BD Plant List'!AC$5</f>
        <v>2.0575000000000001</v>
      </c>
      <c r="M60" s="153"/>
      <c r="N60" s="295"/>
      <c r="O60" s="295">
        <f>'BD Plant List'!$K62/12*'BD Feedstock'!O$3*'BD Plant List'!AC$5</f>
        <v>0.9053000000000001</v>
      </c>
      <c r="P60" s="295">
        <f>'BD Plant List'!$L62/12*'BD Feedstock'!P$3*'BD Plant List'!AE$5</f>
        <v>3.2801378626533628</v>
      </c>
      <c r="Q60" s="295">
        <f>'BD Plant List'!$M62/12*'BD Feedstock'!Q$3*'BD Plant List'!AE$5</f>
        <v>0.93125000000000002</v>
      </c>
      <c r="R60" s="153"/>
      <c r="S60" s="153"/>
      <c r="T60" s="295">
        <f>'BD Plant List'!$O62/12*'BD Feedstock'!T$3*'BD Plant List'!AB$5</f>
        <v>8.5732126770944213</v>
      </c>
      <c r="U60" s="295">
        <f>'BD Plant List'!$O62/12*'BD Feedstock'!U$3*'BD Plant List'!AC$5</f>
        <v>3.0347329175263269</v>
      </c>
    </row>
    <row r="61" spans="1:21" ht="18">
      <c r="A61" s="293">
        <v>41548</v>
      </c>
      <c r="B61" s="295">
        <f>'BD Plant List'!B63/12*'BD Plant List'!$AE$5*$B$3</f>
        <v>43.458333333333336</v>
      </c>
      <c r="C61" s="295">
        <f>'BD Plant List'!$C63/12*'BD Plant List'!$AB$5*'BD Feedstock'!$D$3</f>
        <v>1.6145833333333335</v>
      </c>
      <c r="D61" s="295">
        <f>'BD Plant List'!$C63/12*'BD Plant List'!$AC$5*'BD Feedstock'!$D$3</f>
        <v>1.7145833333333336</v>
      </c>
      <c r="E61" s="294"/>
      <c r="F61" s="294"/>
      <c r="G61" s="295">
        <f>'BD Plant List'!$E63/12*'BD Feedstock'!G$3*'BD Plant List'!AB$5</f>
        <v>1.453125</v>
      </c>
      <c r="H61" s="295">
        <f>'BD Plant List'!$E63/12*'BD Feedstock'!H$3*'BD Plant List'!AC$5</f>
        <v>0.51437500000000003</v>
      </c>
      <c r="I61" s="295">
        <f>'BD Plant List'!F63/12*'BD Feedstock'!I$3*'BD Plant List'!AC$5</f>
        <v>0.13716666666666666</v>
      </c>
      <c r="J61" s="153"/>
      <c r="K61" s="295">
        <f>'BD Plant List'!$H63/12*'BD Feedstock'!K$3*'BD Plant List'!AB$5</f>
        <v>5.8125</v>
      </c>
      <c r="L61" s="295">
        <f>'BD Plant List'!$H63/12*'BD Feedstock'!L$3*'BD Plant List'!AC$5</f>
        <v>2.0575000000000001</v>
      </c>
      <c r="M61" s="153"/>
      <c r="N61" s="295"/>
      <c r="O61" s="295">
        <f>'BD Plant List'!$K63/12*'BD Feedstock'!O$3*'BD Plant List'!AC$5</f>
        <v>0.9053000000000001</v>
      </c>
      <c r="P61" s="295">
        <f>'BD Plant List'!$L63/12*'BD Feedstock'!P$3*'BD Plant List'!AE$5</f>
        <v>3.2801378626533628</v>
      </c>
      <c r="Q61" s="295">
        <f>'BD Plant List'!$M63/12*'BD Feedstock'!Q$3*'BD Plant List'!AE$5</f>
        <v>0.93125000000000002</v>
      </c>
      <c r="R61" s="153"/>
      <c r="S61" s="153"/>
      <c r="T61" s="295">
        <f>'BD Plant List'!$O63/12*'BD Feedstock'!T$3*'BD Plant List'!AB$5</f>
        <v>8.5732126770944213</v>
      </c>
      <c r="U61" s="295">
        <f>'BD Plant List'!$O63/12*'BD Feedstock'!U$3*'BD Plant List'!AC$5</f>
        <v>3.0347329175263269</v>
      </c>
    </row>
    <row r="62" spans="1:21" ht="18">
      <c r="A62" s="293">
        <v>41579</v>
      </c>
      <c r="B62" s="295">
        <f>'BD Plant List'!B64/12*'BD Plant List'!$AE$5*$B$3</f>
        <v>43.458333333333336</v>
      </c>
      <c r="C62" s="295">
        <f>'BD Plant List'!$C64/12*'BD Plant List'!$AB$5*'BD Feedstock'!$D$3</f>
        <v>1.6145833333333335</v>
      </c>
      <c r="D62" s="295">
        <f>'BD Plant List'!$C64/12*'BD Plant List'!$AC$5*'BD Feedstock'!$D$3</f>
        <v>1.7145833333333336</v>
      </c>
      <c r="E62" s="294"/>
      <c r="F62" s="294"/>
      <c r="G62" s="295">
        <f>'BD Plant List'!$E64/12*'BD Feedstock'!G$3*'BD Plant List'!AB$5</f>
        <v>1.453125</v>
      </c>
      <c r="H62" s="295">
        <f>'BD Plant List'!$E64/12*'BD Feedstock'!H$3*'BD Plant List'!AC$5</f>
        <v>0.51437500000000003</v>
      </c>
      <c r="I62" s="295">
        <f>'BD Plant List'!F64/12*'BD Feedstock'!I$3*'BD Plant List'!AC$5</f>
        <v>0.13716666666666666</v>
      </c>
      <c r="J62" s="153"/>
      <c r="K62" s="295">
        <f>'BD Plant List'!$H64/12*'BD Feedstock'!K$3*'BD Plant List'!AB$5</f>
        <v>5.8125</v>
      </c>
      <c r="L62" s="295">
        <f>'BD Plant List'!$H64/12*'BD Feedstock'!L$3*'BD Plant List'!AC$5</f>
        <v>2.0575000000000001</v>
      </c>
      <c r="M62" s="153"/>
      <c r="N62" s="295"/>
      <c r="O62" s="295">
        <f>'BD Plant List'!$K64/12*'BD Feedstock'!O$3*'BD Plant List'!AC$5</f>
        <v>0.9053000000000001</v>
      </c>
      <c r="P62" s="295">
        <f>'BD Plant List'!$L64/12*'BD Feedstock'!P$3*'BD Plant List'!AE$5</f>
        <v>3.2801378626533628</v>
      </c>
      <c r="Q62" s="295">
        <f>'BD Plant List'!$M64/12*'BD Feedstock'!Q$3*'BD Plant List'!AE$5</f>
        <v>0.93125000000000002</v>
      </c>
      <c r="R62" s="295">
        <f>'BD Plant List'!$N64/12*'BD Feedstock'!R$3*'BD Plant List'!AE$5</f>
        <v>5.8979166666666663</v>
      </c>
      <c r="S62" s="295">
        <f>'BD Plant List'!$N64/12*'BD Feedstock'!S$3*'BD Plant List'!AF$5</f>
        <v>0.31250000000000006</v>
      </c>
      <c r="T62" s="295">
        <f>'BD Plant List'!$O64/12*'BD Feedstock'!T$3*'BD Plant List'!AB$5</f>
        <v>8.5732126770944213</v>
      </c>
      <c r="U62" s="295">
        <f>'BD Plant List'!$O64/12*'BD Feedstock'!U$3*'BD Plant List'!AC$5</f>
        <v>3.0347329175263269</v>
      </c>
    </row>
    <row r="63" spans="1:21" ht="18">
      <c r="A63" s="293">
        <v>41609</v>
      </c>
      <c r="B63" s="295">
        <f>'BD Plant List'!B65/12*'BD Plant List'!$AE$5*$B$3</f>
        <v>43.458333333333336</v>
      </c>
      <c r="C63" s="295">
        <f>'BD Plant List'!$C65/12*'BD Plant List'!$AB$5*'BD Feedstock'!$D$3</f>
        <v>1.6145833333333335</v>
      </c>
      <c r="D63" s="295">
        <f>'BD Plant List'!$C65/12*'BD Plant List'!$AC$5*'BD Feedstock'!$D$3</f>
        <v>1.7145833333333336</v>
      </c>
      <c r="E63" s="294"/>
      <c r="F63" s="294"/>
      <c r="G63" s="295">
        <f>'BD Plant List'!$E65/12*'BD Feedstock'!G$3*'BD Plant List'!AB$5</f>
        <v>1.453125</v>
      </c>
      <c r="H63" s="295">
        <f>'BD Plant List'!$E65/12*'BD Feedstock'!H$3*'BD Plant List'!AC$5</f>
        <v>0.51437500000000003</v>
      </c>
      <c r="I63" s="295">
        <f>'BD Plant List'!F65/12*'BD Feedstock'!I$3*'BD Plant List'!AC$5</f>
        <v>0.13716666666666666</v>
      </c>
      <c r="J63" s="153"/>
      <c r="K63" s="295">
        <f>'BD Plant List'!$H65/12*'BD Feedstock'!K$3*'BD Plant List'!AB$5</f>
        <v>5.8125</v>
      </c>
      <c r="L63" s="295">
        <f>'BD Plant List'!$H65/12*'BD Feedstock'!L$3*'BD Plant List'!AC$5</f>
        <v>2.0575000000000001</v>
      </c>
      <c r="M63" s="153"/>
      <c r="N63" s="295"/>
      <c r="O63" s="295">
        <f>'BD Plant List'!$K65/12*'BD Feedstock'!O$3*'BD Plant List'!AC$5</f>
        <v>0.9053000000000001</v>
      </c>
      <c r="P63" s="295">
        <f>'BD Plant List'!$L65/12*'BD Feedstock'!P$3*'BD Plant List'!AE$5</f>
        <v>3.2801378626533628</v>
      </c>
      <c r="Q63" s="295">
        <f>'BD Plant List'!$M65/12*'BD Feedstock'!Q$3*'BD Plant List'!AE$5</f>
        <v>0.93125000000000002</v>
      </c>
      <c r="R63" s="295">
        <f>'BD Plant List'!$N65/12*'BD Feedstock'!R$3*'BD Plant List'!AE$5</f>
        <v>17.693750000000001</v>
      </c>
      <c r="S63" s="295">
        <f>'BD Plant List'!$N65/12*'BD Feedstock'!S$3*'BD Plant List'!AF$5</f>
        <v>0.9375</v>
      </c>
      <c r="T63" s="295">
        <f>'BD Plant List'!$O65/12*'BD Feedstock'!T$3*'BD Plant List'!AB$5</f>
        <v>8.5732126770944213</v>
      </c>
      <c r="U63" s="295">
        <f>'BD Plant List'!$O65/12*'BD Feedstock'!U$3*'BD Plant List'!AC$5</f>
        <v>3.0347329175263269</v>
      </c>
    </row>
    <row r="64" spans="1:21" ht="18">
      <c r="A64" s="293">
        <v>41640</v>
      </c>
      <c r="B64" s="295">
        <f>'BD Plant List'!B66/12*'BD Plant List'!$AE$5*$B$3</f>
        <v>43.458333333333336</v>
      </c>
      <c r="C64" s="295">
        <f>'BD Plant List'!$C66/12*'BD Plant List'!$AB$5*'BD Feedstock'!$D$3</f>
        <v>1.453125</v>
      </c>
      <c r="D64" s="295">
        <f>'BD Plant List'!$C66/12*'BD Plant List'!$AC$5*'BD Feedstock'!$D$3</f>
        <v>1.5431250000000001</v>
      </c>
      <c r="E64" s="294"/>
      <c r="F64" s="294"/>
      <c r="G64" s="295">
        <f>'BD Plant List'!$E66/12*'BD Feedstock'!G$3*'BD Plant List'!AB$5</f>
        <v>1.453125</v>
      </c>
      <c r="H64" s="295">
        <f>'BD Plant List'!$E66/12*'BD Feedstock'!H$3*'BD Plant List'!AC$5</f>
        <v>0.51437500000000003</v>
      </c>
      <c r="I64" s="295">
        <f>'BD Plant List'!F66/12*'BD Feedstock'!I$3*'BD Plant List'!AC$5</f>
        <v>0.13716666666666666</v>
      </c>
      <c r="J64" s="153"/>
      <c r="K64" s="295">
        <f>'BD Plant List'!$H66/12*'BD Feedstock'!K$3*'BD Plant List'!AB$5</f>
        <v>5.8125</v>
      </c>
      <c r="L64" s="295">
        <f>'BD Plant List'!$H66/12*'BD Feedstock'!L$3*'BD Plant List'!AC$5</f>
        <v>2.0575000000000001</v>
      </c>
      <c r="M64" s="153"/>
      <c r="N64" s="295"/>
      <c r="O64" s="295">
        <f>'BD Plant List'!$K66/12*'BD Feedstock'!O$3*'BD Plant List'!AC$5</f>
        <v>0.9053000000000001</v>
      </c>
      <c r="P64" s="295">
        <f>'BD Plant List'!$L66/12*'BD Feedstock'!P$3*'BD Plant List'!AE$5</f>
        <v>3.2801378626533628</v>
      </c>
      <c r="Q64" s="295">
        <f>'BD Plant List'!$M66/12*'BD Feedstock'!Q$3*'BD Plant List'!AE$5</f>
        <v>0.93125000000000002</v>
      </c>
      <c r="R64" s="295">
        <f>'BD Plant List'!$N66/12*'BD Feedstock'!R$3*'BD Plant List'!AE$5</f>
        <v>26.540625000000002</v>
      </c>
      <c r="S64" s="295">
        <f>'BD Plant List'!$N66/12*'BD Feedstock'!S$3*'BD Plant List'!AF$5</f>
        <v>1.40625</v>
      </c>
      <c r="T64" s="295">
        <f>'BD Plant List'!$O66/12*'BD Feedstock'!T$3*'BD Plant List'!AB$5</f>
        <v>8.5732126770944213</v>
      </c>
      <c r="U64" s="295">
        <f>'BD Plant List'!$O66/12*'BD Feedstock'!U$3*'BD Plant List'!AC$5</f>
        <v>3.0347329175263269</v>
      </c>
    </row>
    <row r="65" spans="1:21" ht="18">
      <c r="A65" s="293">
        <v>41671</v>
      </c>
      <c r="B65" s="295">
        <f>'BD Plant List'!B67/12*'BD Plant List'!$AE$5*$B$3</f>
        <v>43.458333333333336</v>
      </c>
      <c r="C65" s="295">
        <f>'BD Plant List'!$C67/12*'BD Plant List'!$AB$5*'BD Feedstock'!$D$3</f>
        <v>1.2916666666666665</v>
      </c>
      <c r="D65" s="295">
        <f>'BD Plant List'!$C67/12*'BD Plant List'!$AC$5*'BD Feedstock'!$D$3</f>
        <v>1.3716666666666666</v>
      </c>
      <c r="E65" s="294"/>
      <c r="F65" s="294"/>
      <c r="G65" s="295">
        <f>'BD Plant List'!$E67/12*'BD Feedstock'!G$3*'BD Plant List'!AB$5</f>
        <v>1.453125</v>
      </c>
      <c r="H65" s="295">
        <f>'BD Plant List'!$E67/12*'BD Feedstock'!H$3*'BD Plant List'!AC$5</f>
        <v>0.51437500000000003</v>
      </c>
      <c r="I65" s="295">
        <f>'BD Plant List'!F67/12*'BD Feedstock'!I$3*'BD Plant List'!AC$5</f>
        <v>0.13716666666666666</v>
      </c>
      <c r="J65" s="153"/>
      <c r="K65" s="295">
        <f>'BD Plant List'!$H67/12*'BD Feedstock'!K$3*'BD Plant List'!AB$5</f>
        <v>5.8125</v>
      </c>
      <c r="L65" s="295">
        <f>'BD Plant List'!$H67/12*'BD Feedstock'!L$3*'BD Plant List'!AC$5</f>
        <v>2.0575000000000001</v>
      </c>
      <c r="M65" s="153"/>
      <c r="N65" s="295"/>
      <c r="O65" s="295">
        <f>'BD Plant List'!$K67/12*'BD Feedstock'!O$3*'BD Plant List'!AC$5</f>
        <v>0.9053000000000001</v>
      </c>
      <c r="P65" s="295">
        <f>'BD Plant List'!$L67/12*'BD Feedstock'!P$3*'BD Plant List'!AE$5</f>
        <v>3.2801378626533628</v>
      </c>
      <c r="Q65" s="295">
        <f>'BD Plant List'!$M67/12*'BD Feedstock'!Q$3*'BD Plant List'!AE$5</f>
        <v>0.93125000000000002</v>
      </c>
      <c r="R65" s="295">
        <f>'BD Plant List'!$N67/12*'BD Feedstock'!R$3*'BD Plant List'!AE$5</f>
        <v>26.540625000000002</v>
      </c>
      <c r="S65" s="295">
        <f>'BD Plant List'!$N67/12*'BD Feedstock'!S$3*'BD Plant List'!AF$5</f>
        <v>1.40625</v>
      </c>
      <c r="T65" s="295">
        <f>'BD Plant List'!$O67/12*'BD Feedstock'!T$3*'BD Plant List'!AB$5</f>
        <v>8.5732126770944213</v>
      </c>
      <c r="U65" s="295">
        <f>'BD Plant List'!$O67/12*'BD Feedstock'!U$3*'BD Plant List'!AC$5</f>
        <v>3.0347329175263269</v>
      </c>
    </row>
    <row r="66" spans="1:21" ht="18">
      <c r="A66" s="293">
        <v>41699</v>
      </c>
      <c r="B66" s="295">
        <f>'BD Plant List'!B68/12*'BD Plant List'!$AE$5*$B$3</f>
        <v>43.458333333333336</v>
      </c>
      <c r="C66" s="295">
        <f>'BD Plant List'!$C68/12*'BD Plant List'!$AB$5*'BD Feedstock'!$D$3</f>
        <v>1.1302083333333335</v>
      </c>
      <c r="D66" s="295">
        <f>'BD Plant List'!$C68/12*'BD Plant List'!$AC$5*'BD Feedstock'!$D$3</f>
        <v>1.2002083333333335</v>
      </c>
      <c r="E66" s="294"/>
      <c r="F66" s="294"/>
      <c r="G66" s="295">
        <f>'BD Plant List'!$E68/12*'BD Feedstock'!G$3*'BD Plant List'!AB$5</f>
        <v>1.453125</v>
      </c>
      <c r="H66" s="295">
        <f>'BD Plant List'!$E68/12*'BD Feedstock'!H$3*'BD Plant List'!AC$5</f>
        <v>0.51437500000000003</v>
      </c>
      <c r="I66" s="295">
        <f>'BD Plant List'!F68/12*'BD Feedstock'!I$3*'BD Plant List'!AC$5</f>
        <v>0.13716666666666666</v>
      </c>
      <c r="J66" s="153"/>
      <c r="K66" s="295">
        <f>'BD Plant List'!$H68/12*'BD Feedstock'!K$3*'BD Plant List'!AB$5</f>
        <v>5.8125</v>
      </c>
      <c r="L66" s="295">
        <f>'BD Plant List'!$H68/12*'BD Feedstock'!L$3*'BD Plant List'!AC$5</f>
        <v>2.0575000000000001</v>
      </c>
      <c r="M66" s="153"/>
      <c r="N66" s="295">
        <f>'BD Plant List'!$J68/12*'BD Feedstock'!N$3*'BD Plant List'!AC$5</f>
        <v>0.68583333333333329</v>
      </c>
      <c r="O66" s="295">
        <f>'BD Plant List'!$K68/12*'BD Feedstock'!O$3*'BD Plant List'!AC$5</f>
        <v>0.9053000000000001</v>
      </c>
      <c r="P66" s="295">
        <f>'BD Plant List'!$L68/12*'BD Feedstock'!P$3*'BD Plant List'!AE$5</f>
        <v>3.2801378626533628</v>
      </c>
      <c r="Q66" s="295">
        <f>'BD Plant List'!$M68/12*'BD Feedstock'!Q$3*'BD Plant List'!AE$5</f>
        <v>0.93125000000000002</v>
      </c>
      <c r="R66" s="295">
        <f>'BD Plant List'!$N68/12*'BD Feedstock'!R$3*'BD Plant List'!AE$5</f>
        <v>26.540625000000002</v>
      </c>
      <c r="S66" s="295">
        <f>'BD Plant List'!$N68/12*'BD Feedstock'!S$3*'BD Plant List'!AF$5</f>
        <v>1.40625</v>
      </c>
      <c r="T66" s="295">
        <f>'BD Plant List'!$O68/12*'BD Feedstock'!T$3*'BD Plant List'!AB$5</f>
        <v>8.5732126770944213</v>
      </c>
      <c r="U66" s="295">
        <f>'BD Plant List'!$O68/12*'BD Feedstock'!U$3*'BD Plant List'!AC$5</f>
        <v>3.0347329175263269</v>
      </c>
    </row>
    <row r="67" spans="1:21" ht="18">
      <c r="A67" s="293">
        <v>41730</v>
      </c>
      <c r="B67" s="295">
        <f>'BD Plant List'!B69/12*'BD Plant List'!$AE$5*$B$3</f>
        <v>43.458333333333336</v>
      </c>
      <c r="C67" s="295">
        <f>'BD Plant List'!$C69/12*'BD Plant List'!$AB$5*'BD Feedstock'!$D$3</f>
        <v>0.96875</v>
      </c>
      <c r="D67" s="295">
        <f>'BD Plant List'!$C69/12*'BD Plant List'!$AC$5*'BD Feedstock'!$D$3</f>
        <v>1.0287500000000001</v>
      </c>
      <c r="E67" s="294"/>
      <c r="F67" s="294"/>
      <c r="G67" s="295">
        <f>'BD Plant List'!$E69/12*'BD Feedstock'!G$3*'BD Plant List'!AB$5</f>
        <v>1.453125</v>
      </c>
      <c r="H67" s="295">
        <f>'BD Plant List'!$E69/12*'BD Feedstock'!H$3*'BD Plant List'!AC$5</f>
        <v>0.51437500000000003</v>
      </c>
      <c r="I67" s="295">
        <f>'BD Plant List'!F69/12*'BD Feedstock'!I$3*'BD Plant List'!AC$5</f>
        <v>0.13716666666666666</v>
      </c>
      <c r="J67" s="153"/>
      <c r="K67" s="295">
        <f>'BD Plant List'!$H69/12*'BD Feedstock'!K$3*'BD Plant List'!AB$5</f>
        <v>5.8125</v>
      </c>
      <c r="L67" s="295">
        <f>'BD Plant List'!$H69/12*'BD Feedstock'!L$3*'BD Plant List'!AC$5</f>
        <v>2.0575000000000001</v>
      </c>
      <c r="M67" s="153"/>
      <c r="N67" s="295">
        <f>'BD Plant List'!$J69/12*'BD Feedstock'!N$3*'BD Plant List'!AC$5</f>
        <v>1.3716666666666666</v>
      </c>
      <c r="O67" s="295">
        <f>'BD Plant List'!$K69/12*'BD Feedstock'!O$3*'BD Plant List'!AC$5</f>
        <v>0.9053000000000001</v>
      </c>
      <c r="P67" s="295">
        <f>'BD Plant List'!$L69/12*'BD Feedstock'!P$3*'BD Plant List'!AE$5</f>
        <v>3.2801378626533628</v>
      </c>
      <c r="Q67" s="295">
        <f>'BD Plant List'!$M69/12*'BD Feedstock'!Q$3*'BD Plant List'!AE$5</f>
        <v>0.93125000000000002</v>
      </c>
      <c r="R67" s="295">
        <f>'BD Plant List'!$N69/12*'BD Feedstock'!R$3*'BD Plant List'!AE$5</f>
        <v>26.540625000000002</v>
      </c>
      <c r="S67" s="295">
        <f>'BD Plant List'!$N69/12*'BD Feedstock'!S$3*'BD Plant List'!AF$5</f>
        <v>1.40625</v>
      </c>
      <c r="T67" s="295">
        <f>'BD Plant List'!$O69/12*'BD Feedstock'!T$3*'BD Plant List'!AB$5</f>
        <v>8.5732126770944213</v>
      </c>
      <c r="U67" s="295">
        <f>'BD Plant List'!$O69/12*'BD Feedstock'!U$3*'BD Plant List'!AC$5</f>
        <v>3.0347329175263269</v>
      </c>
    </row>
    <row r="68" spans="1:21" ht="18">
      <c r="A68" s="293">
        <v>41760</v>
      </c>
      <c r="B68" s="295">
        <f>'BD Plant List'!B70/12*'BD Plant List'!$AE$5*$B$3</f>
        <v>43.458333333333336</v>
      </c>
      <c r="C68" s="295">
        <f>'BD Plant List'!$C70/12*'BD Plant List'!$AB$5*'BD Feedstock'!$D$3</f>
        <v>0.96875</v>
      </c>
      <c r="D68" s="295">
        <f>'BD Plant List'!$C70/12*'BD Plant List'!$AC$5*'BD Feedstock'!$D$3</f>
        <v>1.0287500000000001</v>
      </c>
      <c r="E68" s="294"/>
      <c r="F68" s="294"/>
      <c r="G68" s="295">
        <f>'BD Plant List'!$E70/12*'BD Feedstock'!G$3*'BD Plant List'!AB$5</f>
        <v>1.453125</v>
      </c>
      <c r="H68" s="295">
        <f>'BD Plant List'!$E70/12*'BD Feedstock'!H$3*'BD Plant List'!AC$5</f>
        <v>0.51437500000000003</v>
      </c>
      <c r="I68" s="295">
        <f>'BD Plant List'!F70/12*'BD Feedstock'!I$3*'BD Plant List'!AC$5</f>
        <v>0.13716666666666666</v>
      </c>
      <c r="J68" s="153"/>
      <c r="K68" s="295">
        <f>'BD Plant List'!$H70/12*'BD Feedstock'!K$3*'BD Plant List'!AB$5</f>
        <v>5.8125</v>
      </c>
      <c r="L68" s="295">
        <f>'BD Plant List'!$H70/12*'BD Feedstock'!L$3*'BD Plant List'!AC$5</f>
        <v>2.0575000000000001</v>
      </c>
      <c r="M68" s="153"/>
      <c r="N68" s="295">
        <f>'BD Plant List'!$J70/12*'BD Feedstock'!N$3*'BD Plant List'!AC$5</f>
        <v>1.3716666666666666</v>
      </c>
      <c r="O68" s="295">
        <f>'BD Plant List'!$K70/12*'BD Feedstock'!O$3*'BD Plant List'!AC$5</f>
        <v>0.9053000000000001</v>
      </c>
      <c r="P68" s="295">
        <f>'BD Plant List'!$L70/12*'BD Feedstock'!P$3*'BD Plant List'!AE$5</f>
        <v>3.2801378626533628</v>
      </c>
      <c r="Q68" s="295">
        <f>'BD Plant List'!$M70/12*'BD Feedstock'!Q$3*'BD Plant List'!AE$5</f>
        <v>0.93125000000000002</v>
      </c>
      <c r="R68" s="295">
        <f>'BD Plant List'!$N70/12*'BD Feedstock'!R$3*'BD Plant List'!AE$5</f>
        <v>26.540625000000002</v>
      </c>
      <c r="S68" s="295">
        <f>'BD Plant List'!$N70/12*'BD Feedstock'!S$3*'BD Plant List'!AF$5</f>
        <v>1.40625</v>
      </c>
      <c r="T68" s="295">
        <f>'BD Plant List'!$O70/12*'BD Feedstock'!T$3*'BD Plant List'!AB$5</f>
        <v>8.5732126770944213</v>
      </c>
      <c r="U68" s="295">
        <f>'BD Plant List'!$O70/12*'BD Feedstock'!U$3*'BD Plant List'!AC$5</f>
        <v>3.0347329175263269</v>
      </c>
    </row>
    <row r="69" spans="1:21" ht="18">
      <c r="A69" s="293">
        <v>41791</v>
      </c>
      <c r="B69" s="295">
        <f>'BD Plant List'!B71/12*'BD Plant List'!$AE$5*$B$3</f>
        <v>43.458333333333336</v>
      </c>
      <c r="C69" s="295">
        <f>'BD Plant List'!$C71/12*'BD Plant List'!$AB$5*'BD Feedstock'!$D$3</f>
        <v>0.96875</v>
      </c>
      <c r="D69" s="295">
        <f>'BD Plant List'!$C71/12*'BD Plant List'!$AC$5*'BD Feedstock'!$D$3</f>
        <v>1.0287500000000001</v>
      </c>
      <c r="E69" s="294"/>
      <c r="F69" s="294"/>
      <c r="G69" s="295">
        <f>'BD Plant List'!$E71/12*'BD Feedstock'!G$3*'BD Plant List'!AB$5</f>
        <v>1.453125</v>
      </c>
      <c r="H69" s="295">
        <f>'BD Plant List'!$E71/12*'BD Feedstock'!H$3*'BD Plant List'!AC$5</f>
        <v>0.51437500000000003</v>
      </c>
      <c r="I69" s="295">
        <f>'BD Plant List'!F71/12*'BD Feedstock'!I$3*'BD Plant List'!AC$5</f>
        <v>0.13716666666666666</v>
      </c>
      <c r="J69" s="153"/>
      <c r="K69" s="295">
        <f>'BD Plant List'!$H71/12*'BD Feedstock'!K$3*'BD Plant List'!AB$5</f>
        <v>5.8125</v>
      </c>
      <c r="L69" s="295">
        <f>'BD Plant List'!$H71/12*'BD Feedstock'!L$3*'BD Plant List'!AC$5</f>
        <v>2.0575000000000001</v>
      </c>
      <c r="M69" s="153"/>
      <c r="N69" s="295">
        <f>'BD Plant List'!$J71/12*'BD Feedstock'!N$3*'BD Plant List'!AC$5</f>
        <v>1.3716666666666666</v>
      </c>
      <c r="O69" s="295">
        <f>'BD Plant List'!$K71/12*'BD Feedstock'!O$3*'BD Plant List'!AC$5</f>
        <v>0.9053000000000001</v>
      </c>
      <c r="P69" s="295">
        <f>'BD Plant List'!$L71/12*'BD Feedstock'!P$3*'BD Plant List'!AE$5</f>
        <v>3.2801378626533628</v>
      </c>
      <c r="Q69" s="295">
        <f>'BD Plant List'!$M71/12*'BD Feedstock'!Q$3*'BD Plant List'!AE$5</f>
        <v>0.93125000000000002</v>
      </c>
      <c r="R69" s="295">
        <f>'BD Plant List'!$N71/12*'BD Feedstock'!R$3*'BD Plant List'!AE$5</f>
        <v>26.540625000000002</v>
      </c>
      <c r="S69" s="295">
        <f>'BD Plant List'!$N71/12*'BD Feedstock'!S$3*'BD Plant List'!AF$5</f>
        <v>1.40625</v>
      </c>
      <c r="T69" s="295">
        <f>'BD Plant List'!$O71/12*'BD Feedstock'!T$3*'BD Plant List'!AB$5</f>
        <v>8.5732126770944213</v>
      </c>
      <c r="U69" s="295">
        <f>'BD Plant List'!$O71/12*'BD Feedstock'!U$3*'BD Plant List'!AC$5</f>
        <v>3.0347329175263269</v>
      </c>
    </row>
    <row r="70" spans="1:21" ht="18">
      <c r="A70" s="293">
        <v>41821</v>
      </c>
      <c r="B70" s="295">
        <f>'BD Plant List'!B72/12*'BD Plant List'!$AE$5*$B$3</f>
        <v>43.458333333333336</v>
      </c>
      <c r="C70" s="295">
        <f>'BD Plant List'!$C72/12*'BD Plant List'!$AB$5*'BD Feedstock'!$D$3</f>
        <v>0.96875</v>
      </c>
      <c r="D70" s="295">
        <f>'BD Plant List'!$C72/12*'BD Plant List'!$AC$5*'BD Feedstock'!$D$3</f>
        <v>1.0287500000000001</v>
      </c>
      <c r="E70" s="294"/>
      <c r="F70" s="294"/>
      <c r="G70" s="295">
        <f>'BD Plant List'!$E72/12*'BD Feedstock'!G$3*'BD Plant List'!AB$5</f>
        <v>1.453125</v>
      </c>
      <c r="H70" s="295">
        <f>'BD Plant List'!$E72/12*'BD Feedstock'!H$3*'BD Plant List'!AC$5</f>
        <v>0.51437500000000003</v>
      </c>
      <c r="I70" s="295">
        <f>'BD Plant List'!F72/12*'BD Feedstock'!I$3*'BD Plant List'!AC$5</f>
        <v>0.13716666666666666</v>
      </c>
      <c r="J70" s="153"/>
      <c r="K70" s="295">
        <f>'BD Plant List'!$H72/12*'BD Feedstock'!K$3*'BD Plant List'!AB$5</f>
        <v>5.8125</v>
      </c>
      <c r="L70" s="295">
        <f>'BD Plant List'!$H72/12*'BD Feedstock'!L$3*'BD Plant List'!AC$5</f>
        <v>2.0575000000000001</v>
      </c>
      <c r="M70" s="153"/>
      <c r="N70" s="295">
        <f>'BD Plant List'!$J72/12*'BD Feedstock'!N$3*'BD Plant List'!AC$5</f>
        <v>1.3716666666666666</v>
      </c>
      <c r="O70" s="295">
        <f>'BD Plant List'!$K72/12*'BD Feedstock'!O$3*'BD Plant List'!AC$5</f>
        <v>0.9053000000000001</v>
      </c>
      <c r="P70" s="295">
        <f>'BD Plant List'!$L72/12*'BD Feedstock'!P$3*'BD Plant List'!AE$5</f>
        <v>7.5443170841027332</v>
      </c>
      <c r="Q70" s="295">
        <f>'BD Plant List'!$M72/12*'BD Feedstock'!Q$3*'BD Plant List'!AE$5</f>
        <v>0.93125000000000002</v>
      </c>
      <c r="R70" s="295">
        <f>'BD Plant List'!$N72/12*'BD Feedstock'!R$3*'BD Plant List'!AE$5</f>
        <v>26.540625000000002</v>
      </c>
      <c r="S70" s="295">
        <f>'BD Plant List'!$N72/12*'BD Feedstock'!S$3*'BD Plant List'!AF$5</f>
        <v>1.40625</v>
      </c>
      <c r="T70" s="295">
        <f>'BD Plant List'!$O72/12*'BD Feedstock'!T$3*'BD Plant List'!AB$5</f>
        <v>8.5732126770944213</v>
      </c>
      <c r="U70" s="295">
        <f>'BD Plant List'!$O72/12*'BD Feedstock'!U$3*'BD Plant List'!AC$5</f>
        <v>3.0347329175263269</v>
      </c>
    </row>
    <row r="71" spans="1:21" ht="18">
      <c r="A71" s="293">
        <v>41852</v>
      </c>
      <c r="B71" s="295">
        <f>'BD Plant List'!B73/12*'BD Plant List'!$AE$5*$B$3</f>
        <v>43.458333333333336</v>
      </c>
      <c r="C71" s="295">
        <f>'BD Plant List'!$C73/12*'BD Plant List'!$AB$5*'BD Feedstock'!$D$3</f>
        <v>0.96875</v>
      </c>
      <c r="D71" s="295">
        <f>'BD Plant List'!$C73/12*'BD Plant List'!$AC$5*'BD Feedstock'!$D$3</f>
        <v>1.0287500000000001</v>
      </c>
      <c r="E71" s="294"/>
      <c r="F71" s="294"/>
      <c r="G71" s="295">
        <f>'BD Plant List'!$E73/12*'BD Feedstock'!G$3*'BD Plant List'!AB$5</f>
        <v>1.453125</v>
      </c>
      <c r="H71" s="295">
        <f>'BD Plant List'!$E73/12*'BD Feedstock'!H$3*'BD Plant List'!AC$5</f>
        <v>0.51437500000000003</v>
      </c>
      <c r="I71" s="295">
        <f>'BD Plant List'!F73/12*'BD Feedstock'!I$3*'BD Plant List'!AC$5</f>
        <v>0.13716666666666666</v>
      </c>
      <c r="J71" s="153"/>
      <c r="K71" s="295">
        <f>'BD Plant List'!$H73/12*'BD Feedstock'!K$3*'BD Plant List'!AB$5</f>
        <v>5.8125</v>
      </c>
      <c r="L71" s="295">
        <f>'BD Plant List'!$H73/12*'BD Feedstock'!L$3*'BD Plant List'!AC$5</f>
        <v>2.0575000000000001</v>
      </c>
      <c r="M71" s="153"/>
      <c r="N71" s="295">
        <f>'BD Plant List'!$J73/12*'BD Feedstock'!N$3*'BD Plant List'!AC$5</f>
        <v>1.3716666666666666</v>
      </c>
      <c r="O71" s="295">
        <f>'BD Plant List'!$K73/12*'BD Feedstock'!O$3*'BD Plant List'!AC$5</f>
        <v>0.9053000000000001</v>
      </c>
      <c r="P71" s="295">
        <f>'BD Plant List'!$L73/12*'BD Feedstock'!P$3*'BD Plant List'!AE$5</f>
        <v>7.5443170841027332</v>
      </c>
      <c r="Q71" s="295">
        <f>'BD Plant List'!$M73/12*'BD Feedstock'!Q$3*'BD Plant List'!AE$5</f>
        <v>0.93125000000000002</v>
      </c>
      <c r="R71" s="295">
        <f>'BD Plant List'!$N73/12*'BD Feedstock'!R$3*'BD Plant List'!AE$5</f>
        <v>26.540625000000002</v>
      </c>
      <c r="S71" s="295">
        <f>'BD Plant List'!$N73/12*'BD Feedstock'!S$3*'BD Plant List'!AF$5</f>
        <v>1.40625</v>
      </c>
      <c r="T71" s="295">
        <f>'BD Plant List'!$O73/12*'BD Feedstock'!T$3*'BD Plant List'!AB$5</f>
        <v>8.5732126770944213</v>
      </c>
      <c r="U71" s="295">
        <f>'BD Plant List'!$O73/12*'BD Feedstock'!U$3*'BD Plant List'!AC$5</f>
        <v>3.0347329175263269</v>
      </c>
    </row>
    <row r="72" spans="1:21" ht="18">
      <c r="A72" s="293">
        <v>41883</v>
      </c>
      <c r="B72" s="295">
        <f>'BD Plant List'!B74/12*'BD Plant List'!$AE$5*$B$3</f>
        <v>43.458333333333336</v>
      </c>
      <c r="C72" s="295">
        <f>'BD Plant List'!$C74/12*'BD Plant List'!$AB$5*'BD Feedstock'!$D$3</f>
        <v>0.96875</v>
      </c>
      <c r="D72" s="295">
        <f>'BD Plant List'!$C74/12*'BD Plant List'!$AC$5*'BD Feedstock'!$D$3</f>
        <v>1.0287500000000001</v>
      </c>
      <c r="E72" s="294"/>
      <c r="F72" s="294"/>
      <c r="G72" s="295">
        <f>'BD Plant List'!$E74/12*'BD Feedstock'!G$3*'BD Plant List'!AB$5</f>
        <v>1.453125</v>
      </c>
      <c r="H72" s="295">
        <f>'BD Plant List'!$E74/12*'BD Feedstock'!H$3*'BD Plant List'!AC$5</f>
        <v>0.51437500000000003</v>
      </c>
      <c r="I72" s="295">
        <f>'BD Plant List'!F74/12*'BD Feedstock'!I$3*'BD Plant List'!AC$5</f>
        <v>0.13716666666666666</v>
      </c>
      <c r="J72" s="153"/>
      <c r="K72" s="295">
        <f>'BD Plant List'!$H74/12*'BD Feedstock'!K$3*'BD Plant List'!AB$5</f>
        <v>5.8125</v>
      </c>
      <c r="L72" s="295">
        <f>'BD Plant List'!$H74/12*'BD Feedstock'!L$3*'BD Plant List'!AC$5</f>
        <v>2.0575000000000001</v>
      </c>
      <c r="M72" s="153"/>
      <c r="N72" s="295">
        <f>'BD Plant List'!$J74/12*'BD Feedstock'!N$3*'BD Plant List'!AC$5</f>
        <v>1.3716666666666666</v>
      </c>
      <c r="O72" s="295">
        <f>'BD Plant List'!$K74/12*'BD Feedstock'!O$3*'BD Plant List'!AC$5</f>
        <v>0.9053000000000001</v>
      </c>
      <c r="P72" s="295">
        <f>'BD Plant List'!$L74/12*'BD Feedstock'!P$3*'BD Plant List'!AE$5</f>
        <v>7.5443170841027332</v>
      </c>
      <c r="Q72" s="295">
        <f>'BD Plant List'!$M74/12*'BD Feedstock'!Q$3*'BD Plant List'!AE$5</f>
        <v>0.93125000000000002</v>
      </c>
      <c r="R72" s="295">
        <f>'BD Plant List'!$N74/12*'BD Feedstock'!R$3*'BD Plant List'!AE$5</f>
        <v>26.540625000000002</v>
      </c>
      <c r="S72" s="295">
        <f>'BD Plant List'!$N74/12*'BD Feedstock'!S$3*'BD Plant List'!AF$5</f>
        <v>1.40625</v>
      </c>
      <c r="T72" s="295">
        <f>'BD Plant List'!$O74/12*'BD Feedstock'!T$3*'BD Plant List'!AB$5</f>
        <v>8.5732126770944213</v>
      </c>
      <c r="U72" s="295">
        <f>'BD Plant List'!$O74/12*'BD Feedstock'!U$3*'BD Plant List'!AC$5</f>
        <v>3.0347329175263269</v>
      </c>
    </row>
    <row r="73" spans="1:21" ht="18">
      <c r="A73" s="293">
        <v>41913</v>
      </c>
      <c r="B73" s="295">
        <f>'BD Plant List'!B75/12*'BD Plant List'!$AE$5*$B$3</f>
        <v>43.458333333333336</v>
      </c>
      <c r="C73" s="295">
        <f>'BD Plant List'!$C75/12*'BD Plant List'!$AB$5*'BD Feedstock'!$D$3</f>
        <v>0.96875</v>
      </c>
      <c r="D73" s="295">
        <f>'BD Plant List'!$C75/12*'BD Plant List'!$AC$5*'BD Feedstock'!$D$3</f>
        <v>1.0287500000000001</v>
      </c>
      <c r="E73" s="294"/>
      <c r="F73" s="294"/>
      <c r="G73" s="295">
        <f>'BD Plant List'!$E75/12*'BD Feedstock'!G$3*'BD Plant List'!AB$5</f>
        <v>1.453125</v>
      </c>
      <c r="H73" s="295">
        <f>'BD Plant List'!$E75/12*'BD Feedstock'!H$3*'BD Plant List'!AC$5</f>
        <v>0.51437500000000003</v>
      </c>
      <c r="I73" s="295">
        <f>'BD Plant List'!F75/12*'BD Feedstock'!I$3*'BD Plant List'!AC$5</f>
        <v>0.13716666666666666</v>
      </c>
      <c r="J73" s="153"/>
      <c r="K73" s="295">
        <f>'BD Plant List'!$H75/12*'BD Feedstock'!K$3*'BD Plant List'!AB$5</f>
        <v>5.8125</v>
      </c>
      <c r="L73" s="295">
        <f>'BD Plant List'!$H75/12*'BD Feedstock'!L$3*'BD Plant List'!AC$5</f>
        <v>2.0575000000000001</v>
      </c>
      <c r="M73" s="153"/>
      <c r="N73" s="295">
        <f>'BD Plant List'!$J75/12*'BD Feedstock'!N$3*'BD Plant List'!AC$5</f>
        <v>1.3716666666666666</v>
      </c>
      <c r="O73" s="295">
        <f>'BD Plant List'!$K75/12*'BD Feedstock'!O$3*'BD Plant List'!AC$5</f>
        <v>0.9053000000000001</v>
      </c>
      <c r="P73" s="295">
        <f>'BD Plant List'!$L75/12*'BD Feedstock'!P$3*'BD Plant List'!AE$5</f>
        <v>7.5443170841027332</v>
      </c>
      <c r="Q73" s="295">
        <f>'BD Plant List'!$M75/12*'BD Feedstock'!Q$3*'BD Plant List'!AE$5</f>
        <v>0.93125000000000002</v>
      </c>
      <c r="R73" s="295">
        <f>'BD Plant List'!$N75/12*'BD Feedstock'!R$3*'BD Plant List'!AE$5</f>
        <v>26.540625000000002</v>
      </c>
      <c r="S73" s="295">
        <f>'BD Plant List'!$N75/12*'BD Feedstock'!S$3*'BD Plant List'!AF$5</f>
        <v>1.40625</v>
      </c>
      <c r="T73" s="295">
        <f>'BD Plant List'!$O75/12*'BD Feedstock'!T$3*'BD Plant List'!AB$5</f>
        <v>8.5732126770944213</v>
      </c>
      <c r="U73" s="295">
        <f>'BD Plant List'!$O75/12*'BD Feedstock'!U$3*'BD Plant List'!AC$5</f>
        <v>3.0347329175263269</v>
      </c>
    </row>
    <row r="74" spans="1:21" ht="18">
      <c r="A74" s="293">
        <v>41944</v>
      </c>
      <c r="B74" s="295">
        <f>'BD Plant List'!B76/12*'BD Plant List'!$AE$5*$B$3</f>
        <v>43.458333333333336</v>
      </c>
      <c r="C74" s="295">
        <f>'BD Plant List'!$C76/12*'BD Plant List'!$AB$5*'BD Feedstock'!$D$3</f>
        <v>0.96875</v>
      </c>
      <c r="D74" s="295">
        <f>'BD Plant List'!$C76/12*'BD Plant List'!$AC$5*'BD Feedstock'!$D$3</f>
        <v>1.0287500000000001</v>
      </c>
      <c r="E74" s="294"/>
      <c r="F74" s="294"/>
      <c r="G74" s="295">
        <f>'BD Plant List'!$E76/12*'BD Feedstock'!G$3*'BD Plant List'!AB$5</f>
        <v>1.453125</v>
      </c>
      <c r="H74" s="295">
        <f>'BD Plant List'!$E76/12*'BD Feedstock'!H$3*'BD Plant List'!AC$5</f>
        <v>0.51437500000000003</v>
      </c>
      <c r="I74" s="295">
        <f>'BD Plant List'!F76/12*'BD Feedstock'!I$3*'BD Plant List'!AC$5</f>
        <v>0.13716666666666666</v>
      </c>
      <c r="J74" s="153"/>
      <c r="K74" s="295">
        <f>'BD Plant List'!$H76/12*'BD Feedstock'!K$3*'BD Plant List'!AB$5</f>
        <v>5.8125</v>
      </c>
      <c r="L74" s="295">
        <f>'BD Plant List'!$H76/12*'BD Feedstock'!L$3*'BD Plant List'!AC$5</f>
        <v>2.0575000000000001</v>
      </c>
      <c r="M74" s="153"/>
      <c r="N74" s="295">
        <f>'BD Plant List'!$J76/12*'BD Feedstock'!N$3*'BD Plant List'!AC$5</f>
        <v>1.3716666666666666</v>
      </c>
      <c r="O74" s="295">
        <f>'BD Plant List'!$K76/12*'BD Feedstock'!O$3*'BD Plant List'!AC$5</f>
        <v>0.9053000000000001</v>
      </c>
      <c r="P74" s="295">
        <f>'BD Plant List'!$L76/12*'BD Feedstock'!P$3*'BD Plant List'!AE$5</f>
        <v>7.5443170841027332</v>
      </c>
      <c r="Q74" s="295">
        <f>'BD Plant List'!$M76/12*'BD Feedstock'!Q$3*'BD Plant List'!AE$5</f>
        <v>0.93125000000000002</v>
      </c>
      <c r="R74" s="295">
        <f>'BD Plant List'!$N76/12*'BD Feedstock'!R$3*'BD Plant List'!AE$5</f>
        <v>26.540625000000002</v>
      </c>
      <c r="S74" s="295">
        <f>'BD Plant List'!$N76/12*'BD Feedstock'!S$3*'BD Plant List'!AF$5</f>
        <v>1.40625</v>
      </c>
      <c r="T74" s="295">
        <f>'BD Plant List'!$O76/12*'BD Feedstock'!T$3*'BD Plant List'!AB$5</f>
        <v>8.5732126770944213</v>
      </c>
      <c r="U74" s="295">
        <f>'BD Plant List'!$O76/12*'BD Feedstock'!U$3*'BD Plant List'!AC$5</f>
        <v>3.0347329175263269</v>
      </c>
    </row>
    <row r="75" spans="1:21" ht="18">
      <c r="A75" s="293">
        <v>41974</v>
      </c>
      <c r="B75" s="295">
        <f>'BD Plant List'!B77/12*'BD Plant List'!$AE$5*$B$3</f>
        <v>43.458333333333336</v>
      </c>
      <c r="C75" s="295">
        <f>'BD Plant List'!$C77/12*'BD Plant List'!$AB$5*'BD Feedstock'!$D$3</f>
        <v>0</v>
      </c>
      <c r="D75" s="295">
        <f>'BD Plant List'!$C77/12*'BD Plant List'!$AC$5*'BD Feedstock'!$D$3</f>
        <v>0</v>
      </c>
      <c r="E75" s="294"/>
      <c r="F75" s="294"/>
      <c r="G75" s="295">
        <f>'BD Plant List'!$E77/12*'BD Feedstock'!G$3*'BD Plant List'!AB$5</f>
        <v>1.453125</v>
      </c>
      <c r="H75" s="295">
        <f>'BD Plant List'!$E77/12*'BD Feedstock'!H$3*'BD Plant List'!AC$5</f>
        <v>0.51437500000000003</v>
      </c>
      <c r="I75" s="295">
        <f>'BD Plant List'!F77/12*'BD Feedstock'!I$3*'BD Plant List'!AC$5</f>
        <v>0.13716666666666666</v>
      </c>
      <c r="J75" s="153"/>
      <c r="K75" s="295">
        <f>'BD Plant List'!$H77/12*'BD Feedstock'!K$3*'BD Plant List'!AB$5</f>
        <v>5.8125</v>
      </c>
      <c r="L75" s="295">
        <f>'BD Plant List'!$H77/12*'BD Feedstock'!L$3*'BD Plant List'!AC$5</f>
        <v>2.0575000000000001</v>
      </c>
      <c r="M75" s="153"/>
      <c r="N75" s="295">
        <f>'BD Plant List'!$J77/12*'BD Feedstock'!N$3*'BD Plant List'!AC$5</f>
        <v>1.3716666666666666</v>
      </c>
      <c r="O75" s="295">
        <f>'BD Plant List'!$K77/12*'BD Feedstock'!O$3*'BD Plant List'!AC$5</f>
        <v>0.9053000000000001</v>
      </c>
      <c r="P75" s="295">
        <f>'BD Plant List'!$L77/12*'BD Feedstock'!P$3*'BD Plant List'!AE$5</f>
        <v>8.94</v>
      </c>
      <c r="Q75" s="295">
        <f>'BD Plant List'!$M77/12*'BD Feedstock'!Q$3*'BD Plant List'!AE$5</f>
        <v>0.93125000000000002</v>
      </c>
      <c r="R75" s="295">
        <f>'BD Plant List'!$N77/12*'BD Feedstock'!R$3*'BD Plant List'!AE$5</f>
        <v>0</v>
      </c>
      <c r="S75" s="295">
        <f>'BD Plant List'!$N77/12*'BD Feedstock'!S$3*'BD Plant List'!AF$5</f>
        <v>0</v>
      </c>
      <c r="T75" s="295">
        <f>'BD Plant List'!$O77/12*'BD Feedstock'!T$3*'BD Plant List'!AB$5</f>
        <v>8.5732126770944213</v>
      </c>
      <c r="U75" s="295">
        <f>'BD Plant List'!$O77/12*'BD Feedstock'!U$3*'BD Plant List'!AC$5</f>
        <v>3.0347329175263269</v>
      </c>
    </row>
    <row r="76" spans="1:21" ht="18">
      <c r="A76" s="293">
        <v>42005</v>
      </c>
      <c r="B76" s="295">
        <f>'BD Plant List'!B78/12*'BD Plant List'!$AE$5*$B$3</f>
        <v>43.458333333333336</v>
      </c>
      <c r="C76" s="295">
        <f>'BD Plant List'!$C78/12*'BD Plant List'!$AB$5*'BD Feedstock'!$D$3</f>
        <v>0</v>
      </c>
      <c r="D76" s="295">
        <f>'BD Plant List'!$C78/12*'BD Plant List'!$AC$5*'BD Feedstock'!$D$3</f>
        <v>0</v>
      </c>
      <c r="E76" s="294"/>
      <c r="F76" s="294"/>
      <c r="G76" s="295">
        <f>'BD Plant List'!$E78/12*'BD Feedstock'!G$3*'BD Plant List'!AB$5</f>
        <v>1.453125</v>
      </c>
      <c r="H76" s="295">
        <f>'BD Plant List'!$E78/12*'BD Feedstock'!H$3*'BD Plant List'!AC$5</f>
        <v>0.51437500000000003</v>
      </c>
      <c r="I76" s="295">
        <f>'BD Plant List'!F78/12*'BD Feedstock'!I$3*'BD Plant List'!AC$5</f>
        <v>0.13716666666666666</v>
      </c>
      <c r="J76" s="153"/>
      <c r="K76" s="295">
        <f>'BD Plant List'!$H78/12*'BD Feedstock'!K$3*'BD Plant List'!AB$5</f>
        <v>5.8125</v>
      </c>
      <c r="L76" s="295">
        <f>'BD Plant List'!$H78/12*'BD Feedstock'!L$3*'BD Plant List'!AC$5</f>
        <v>2.0575000000000001</v>
      </c>
      <c r="M76" s="153"/>
      <c r="N76" s="295">
        <f>'BD Plant List'!$J78/12*'BD Feedstock'!N$3*'BD Plant List'!AC$5</f>
        <v>1.3716666666666666</v>
      </c>
      <c r="O76" s="295">
        <f>'BD Plant List'!$K78/12*'BD Feedstock'!O$3*'BD Plant List'!AC$5</f>
        <v>0.9053000000000001</v>
      </c>
      <c r="P76" s="295">
        <f>'BD Plant List'!$L78/12*'BD Feedstock'!P$3*'BD Plant List'!AE$5</f>
        <v>8.94</v>
      </c>
      <c r="Q76" s="295">
        <f>'BD Plant List'!$M78/12*'BD Feedstock'!Q$3*'BD Plant List'!AE$5</f>
        <v>0.93125000000000002</v>
      </c>
      <c r="R76" s="295">
        <f>'BD Plant List'!$N78/12*'BD Feedstock'!R$3*'BD Plant List'!AE$5</f>
        <v>0</v>
      </c>
      <c r="S76" s="295">
        <f>'BD Plant List'!$N78/12*'BD Feedstock'!S$3*'BD Plant List'!AF$5</f>
        <v>0</v>
      </c>
      <c r="T76" s="295">
        <f>'BD Plant List'!$O78/12*'BD Feedstock'!T$3*'BD Plant List'!AB$5</f>
        <v>8.5732126770944213</v>
      </c>
      <c r="U76" s="295">
        <f>'BD Plant List'!$O78/12*'BD Feedstock'!U$3*'BD Plant List'!AC$5</f>
        <v>3.0347329175263269</v>
      </c>
    </row>
    <row r="77" spans="1:21" ht="18">
      <c r="A77" s="293">
        <v>42036</v>
      </c>
      <c r="B77" s="295">
        <f>'BD Plant List'!B79/12*'BD Plant List'!$AE$5*$B$3</f>
        <v>43.458333333333336</v>
      </c>
      <c r="C77" s="295">
        <f>'BD Plant List'!$C79/12*'BD Plant List'!$AB$5*'BD Feedstock'!$D$3</f>
        <v>0</v>
      </c>
      <c r="D77" s="295">
        <f>'BD Plant List'!$C79/12*'BD Plant List'!$AC$5*'BD Feedstock'!$D$3</f>
        <v>0</v>
      </c>
      <c r="E77" s="294"/>
      <c r="F77" s="294"/>
      <c r="G77" s="295">
        <f>'BD Plant List'!$E79/12*'BD Feedstock'!G$3*'BD Plant List'!AB$5</f>
        <v>1.453125</v>
      </c>
      <c r="H77" s="295">
        <f>'BD Plant List'!$E79/12*'BD Feedstock'!H$3*'BD Plant List'!AC$5</f>
        <v>0.51437500000000003</v>
      </c>
      <c r="I77" s="295">
        <f>'BD Plant List'!F79/12*'BD Feedstock'!I$3*'BD Plant List'!AC$5</f>
        <v>0.13716666666666666</v>
      </c>
      <c r="J77" s="153"/>
      <c r="K77" s="295">
        <f>'BD Plant List'!$H79/12*'BD Feedstock'!K$3*'BD Plant List'!AB$5</f>
        <v>5.8125</v>
      </c>
      <c r="L77" s="295">
        <f>'BD Plant List'!$H79/12*'BD Feedstock'!L$3*'BD Plant List'!AC$5</f>
        <v>2.0575000000000001</v>
      </c>
      <c r="M77" s="153"/>
      <c r="N77" s="295">
        <f>'BD Plant List'!$J79/12*'BD Feedstock'!N$3*'BD Plant List'!AC$5</f>
        <v>1.3716666666666666</v>
      </c>
      <c r="O77" s="295">
        <f>'BD Plant List'!$K79/12*'BD Feedstock'!O$3*'BD Plant List'!AC$5</f>
        <v>0.9053000000000001</v>
      </c>
      <c r="P77" s="295">
        <f>'BD Plant List'!$L79/12*'BD Feedstock'!P$3*'BD Plant List'!AE$5</f>
        <v>8.94</v>
      </c>
      <c r="Q77" s="295">
        <f>'BD Plant List'!$M79/12*'BD Feedstock'!Q$3*'BD Plant List'!AE$5</f>
        <v>0.93125000000000002</v>
      </c>
      <c r="R77" s="295">
        <f>'BD Plant List'!$N79/12*'BD Feedstock'!R$3*'BD Plant List'!AE$5</f>
        <v>0</v>
      </c>
      <c r="S77" s="295">
        <f>'BD Plant List'!$N79/12*'BD Feedstock'!S$3*'BD Plant List'!AF$5</f>
        <v>0</v>
      </c>
      <c r="T77" s="295">
        <f>'BD Plant List'!$O79/12*'BD Feedstock'!T$3*'BD Plant List'!AB$5</f>
        <v>8.5732126770944213</v>
      </c>
      <c r="U77" s="295">
        <f>'BD Plant List'!$O79/12*'BD Feedstock'!U$3*'BD Plant List'!AC$5</f>
        <v>3.0347329175263269</v>
      </c>
    </row>
    <row r="78" spans="1:21" ht="18">
      <c r="A78" s="293">
        <v>42064</v>
      </c>
      <c r="B78" s="295">
        <f>'BD Plant List'!B80/12*'BD Plant List'!$AE$5*$B$3</f>
        <v>43.458333333333336</v>
      </c>
      <c r="C78" s="295">
        <f>'BD Plant List'!$C80/12*'BD Plant List'!$AB$5*'BD Feedstock'!$D$3</f>
        <v>0</v>
      </c>
      <c r="D78" s="295">
        <f>'BD Plant List'!$C80/12*'BD Plant List'!$AC$5*'BD Feedstock'!$D$3</f>
        <v>0</v>
      </c>
      <c r="E78" s="294"/>
      <c r="F78" s="294"/>
      <c r="G78" s="295">
        <f>'BD Plant List'!$E80/12*'BD Feedstock'!G$3*'BD Plant List'!AB$5</f>
        <v>1.453125</v>
      </c>
      <c r="H78" s="295">
        <f>'BD Plant List'!$E80/12*'BD Feedstock'!H$3*'BD Plant List'!AC$5</f>
        <v>0.51437500000000003</v>
      </c>
      <c r="I78" s="295">
        <f>'BD Plant List'!F80/12*'BD Feedstock'!I$3*'BD Plant List'!AC$5</f>
        <v>0.13716666666666666</v>
      </c>
      <c r="J78" s="153"/>
      <c r="K78" s="295">
        <f>'BD Plant List'!$H80/12*'BD Feedstock'!K$3*'BD Plant List'!AB$5</f>
        <v>5.8125</v>
      </c>
      <c r="L78" s="295">
        <f>'BD Plant List'!$H80/12*'BD Feedstock'!L$3*'BD Plant List'!AC$5</f>
        <v>2.0575000000000001</v>
      </c>
      <c r="M78" s="153"/>
      <c r="N78" s="295">
        <f>'BD Plant List'!$J80/12*'BD Feedstock'!N$3*'BD Plant List'!AC$5</f>
        <v>1.3716666666666666</v>
      </c>
      <c r="O78" s="295">
        <f>'BD Plant List'!$K80/12*'BD Feedstock'!O$3*'BD Plant List'!AC$5</f>
        <v>0.9053000000000001</v>
      </c>
      <c r="P78" s="295">
        <f>'BD Plant List'!$L80/12*'BD Feedstock'!P$3*'BD Plant List'!AE$5</f>
        <v>8.94</v>
      </c>
      <c r="Q78" s="295">
        <f>'BD Plant List'!$M80/12*'BD Feedstock'!Q$3*'BD Plant List'!AE$5</f>
        <v>0.93125000000000002</v>
      </c>
      <c r="R78" s="295">
        <f>'BD Plant List'!$N80/12*'BD Feedstock'!R$3*'BD Plant List'!AE$5</f>
        <v>0</v>
      </c>
      <c r="S78" s="295">
        <f>'BD Plant List'!$N80/12*'BD Feedstock'!S$3*'BD Plant List'!AF$5</f>
        <v>0</v>
      </c>
      <c r="T78" s="295">
        <f>'BD Plant List'!$O80/12*'BD Feedstock'!T$3*'BD Plant List'!AB$5</f>
        <v>8.5732126770944213</v>
      </c>
      <c r="U78" s="295">
        <f>'BD Plant List'!$O80/12*'BD Feedstock'!U$3*'BD Plant List'!AC$5</f>
        <v>3.0347329175263269</v>
      </c>
    </row>
    <row r="79" spans="1:21" ht="18">
      <c r="A79" s="293">
        <v>42095</v>
      </c>
      <c r="B79" s="295">
        <f>'BD Plant List'!B81/12*'BD Plant List'!$AE$5*$B$3</f>
        <v>43.458333333333336</v>
      </c>
      <c r="C79" s="295">
        <f>'BD Plant List'!$C81/12*'BD Plant List'!$AB$5*'BD Feedstock'!$D$3</f>
        <v>0</v>
      </c>
      <c r="D79" s="295">
        <f>'BD Plant List'!$C81/12*'BD Plant List'!$AC$5*'BD Feedstock'!$D$3</f>
        <v>0</v>
      </c>
      <c r="E79" s="294"/>
      <c r="F79" s="294"/>
      <c r="G79" s="295">
        <f>'BD Plant List'!$E81/12*'BD Feedstock'!G$3*'BD Plant List'!AB$5</f>
        <v>1.453125</v>
      </c>
      <c r="H79" s="295">
        <f>'BD Plant List'!$E81/12*'BD Feedstock'!H$3*'BD Plant List'!AC$5</f>
        <v>0.51437500000000003</v>
      </c>
      <c r="I79" s="295">
        <f>'BD Plant List'!F81/12*'BD Feedstock'!I$3*'BD Plant List'!AC$5</f>
        <v>0.13716666666666666</v>
      </c>
      <c r="J79" s="153"/>
      <c r="K79" s="295">
        <f>'BD Plant List'!$H81/12*'BD Feedstock'!K$3*'BD Plant List'!AB$5</f>
        <v>5.8125</v>
      </c>
      <c r="L79" s="295">
        <f>'BD Plant List'!$H81/12*'BD Feedstock'!L$3*'BD Plant List'!AC$5</f>
        <v>2.0575000000000001</v>
      </c>
      <c r="M79" s="153"/>
      <c r="N79" s="295">
        <f>'BD Plant List'!$J81/12*'BD Feedstock'!N$3*'BD Plant List'!AC$5</f>
        <v>1.3716666666666666</v>
      </c>
      <c r="O79" s="295">
        <f>'BD Plant List'!$K81/12*'BD Feedstock'!O$3*'BD Plant List'!AC$5</f>
        <v>0.9053000000000001</v>
      </c>
      <c r="P79" s="295">
        <f>'BD Plant List'!$L81/12*'BD Feedstock'!P$3*'BD Plant List'!AE$5</f>
        <v>8.94</v>
      </c>
      <c r="Q79" s="295">
        <f>'BD Plant List'!$M81/12*'BD Feedstock'!Q$3*'BD Plant List'!AE$5</f>
        <v>0.93125000000000002</v>
      </c>
      <c r="R79" s="295">
        <f>'BD Plant List'!$N81/12*'BD Feedstock'!R$3*'BD Plant List'!AE$5</f>
        <v>0</v>
      </c>
      <c r="S79" s="295">
        <f>'BD Plant List'!$N81/12*'BD Feedstock'!S$3*'BD Plant List'!AF$5</f>
        <v>0</v>
      </c>
      <c r="T79" s="295">
        <f>'BD Plant List'!$O81/12*'BD Feedstock'!T$3*'BD Plant List'!AB$5</f>
        <v>8.5732126770944213</v>
      </c>
      <c r="U79" s="295">
        <f>'BD Plant List'!$O81/12*'BD Feedstock'!U$3*'BD Plant List'!AC$5</f>
        <v>3.0347329175263269</v>
      </c>
    </row>
    <row r="80" spans="1:21" ht="18">
      <c r="A80" s="293">
        <v>42125</v>
      </c>
      <c r="B80" s="295">
        <f>'BD Plant List'!B82/12*'BD Plant List'!$AE$5*$B$3</f>
        <v>43.458333333333336</v>
      </c>
      <c r="C80" s="295">
        <f>'BD Plant List'!$C82/12*'BD Plant List'!$AB$5*'BD Feedstock'!$D$3</f>
        <v>0</v>
      </c>
      <c r="D80" s="295">
        <f>'BD Plant List'!$C82/12*'BD Plant List'!$AC$5*'BD Feedstock'!$D$3</f>
        <v>0</v>
      </c>
      <c r="E80" s="294"/>
      <c r="F80" s="294"/>
      <c r="G80" s="295">
        <f>'BD Plant List'!$E82/12*'BD Feedstock'!G$3*'BD Plant List'!AB$5</f>
        <v>1.453125</v>
      </c>
      <c r="H80" s="295">
        <f>'BD Plant List'!$E82/12*'BD Feedstock'!H$3*'BD Plant List'!AC$5</f>
        <v>0.51437500000000003</v>
      </c>
      <c r="I80" s="295">
        <f>'BD Plant List'!F82/12*'BD Feedstock'!I$3*'BD Plant List'!AC$5</f>
        <v>0.13716666666666666</v>
      </c>
      <c r="J80" s="295">
        <f>'BD Plant List'!G82/12*'BD Feedstock'!J$3*'BD Plant List'!AD$5</f>
        <v>0.40999999999999992</v>
      </c>
      <c r="K80" s="295">
        <f>'BD Plant List'!$H82/12*'BD Feedstock'!K$3*'BD Plant List'!AB$5</f>
        <v>5.8125</v>
      </c>
      <c r="L80" s="295">
        <f>'BD Plant List'!$H82/12*'BD Feedstock'!L$3*'BD Plant List'!AC$5</f>
        <v>2.0575000000000001</v>
      </c>
      <c r="M80" s="153"/>
      <c r="N80" s="295">
        <f>'BD Plant List'!$J82/12*'BD Feedstock'!N$3*'BD Plant List'!AC$5</f>
        <v>1.3716666666666666</v>
      </c>
      <c r="O80" s="295">
        <f>'BD Plant List'!$K82/12*'BD Feedstock'!O$3*'BD Plant List'!AC$5</f>
        <v>0.9053000000000001</v>
      </c>
      <c r="P80" s="295">
        <f>'BD Plant List'!$L82/12*'BD Feedstock'!P$3*'BD Plant List'!AE$5</f>
        <v>8.94</v>
      </c>
      <c r="Q80" s="295">
        <f>'BD Plant List'!$M82/12*'BD Feedstock'!Q$3*'BD Plant List'!AE$5</f>
        <v>0.93125000000000002</v>
      </c>
      <c r="R80" s="295">
        <f>'BD Plant List'!$N82/12*'BD Feedstock'!R$3*'BD Plant List'!AE$5</f>
        <v>0</v>
      </c>
      <c r="S80" s="295">
        <f>'BD Plant List'!$N82/12*'BD Feedstock'!S$3*'BD Plant List'!AF$5</f>
        <v>0</v>
      </c>
      <c r="T80" s="295">
        <f>'BD Plant List'!$O82/12*'BD Feedstock'!T$3*'BD Plant List'!AB$5</f>
        <v>8.5732126770944213</v>
      </c>
      <c r="U80" s="295">
        <f>'BD Plant List'!$O82/12*'BD Feedstock'!U$3*'BD Plant List'!AC$5</f>
        <v>3.0347329175263269</v>
      </c>
    </row>
    <row r="81" spans="1:21" ht="18">
      <c r="A81" s="293">
        <v>42156</v>
      </c>
      <c r="B81" s="295">
        <f>'BD Plant List'!B83/12*'BD Plant List'!$AE$5*$B$3</f>
        <v>43.458333333333336</v>
      </c>
      <c r="C81" s="295">
        <f>'BD Plant List'!$C83/12*'BD Plant List'!$AB$5*'BD Feedstock'!$D$3</f>
        <v>0</v>
      </c>
      <c r="D81" s="295">
        <f>'BD Plant List'!$C83/12*'BD Plant List'!$AC$5*'BD Feedstock'!$D$3</f>
        <v>0</v>
      </c>
      <c r="E81" s="294"/>
      <c r="F81" s="294"/>
      <c r="G81" s="295">
        <f>'BD Plant List'!$E83/12*'BD Feedstock'!G$3*'BD Plant List'!AB$5</f>
        <v>1.453125</v>
      </c>
      <c r="H81" s="295">
        <f>'BD Plant List'!$E83/12*'BD Feedstock'!H$3*'BD Plant List'!AC$5</f>
        <v>0.51437500000000003</v>
      </c>
      <c r="I81" s="295">
        <f>'BD Plant List'!F83/12*'BD Feedstock'!I$3*'BD Plant List'!AC$5</f>
        <v>0.13716666666666666</v>
      </c>
      <c r="J81" s="295">
        <f>'BD Plant List'!G83/12*'BD Feedstock'!J$3*'BD Plant List'!AD$5</f>
        <v>0.68333333333333324</v>
      </c>
      <c r="K81" s="295">
        <f>'BD Plant List'!$H83/12*'BD Feedstock'!K$3*'BD Plant List'!AB$5</f>
        <v>5.8125</v>
      </c>
      <c r="L81" s="295">
        <f>'BD Plant List'!$H83/12*'BD Feedstock'!L$3*'BD Plant List'!AC$5</f>
        <v>2.0575000000000001</v>
      </c>
      <c r="M81" s="153"/>
      <c r="N81" s="295">
        <f>'BD Plant List'!$J83/12*'BD Feedstock'!N$3*'BD Plant List'!AC$5</f>
        <v>1.3716666666666666</v>
      </c>
      <c r="O81" s="295">
        <f>'BD Plant List'!$K83/12*'BD Feedstock'!O$3*'BD Plant List'!AC$5</f>
        <v>0.9053000000000001</v>
      </c>
      <c r="P81" s="295">
        <f>'BD Plant List'!$L83/12*'BD Feedstock'!P$3*'BD Plant List'!AE$5</f>
        <v>8.94</v>
      </c>
      <c r="Q81" s="295">
        <f>'BD Plant List'!$M83/12*'BD Feedstock'!Q$3*'BD Plant List'!AE$5</f>
        <v>0.93125000000000002</v>
      </c>
      <c r="R81" s="295">
        <f>'BD Plant List'!$N83/12*'BD Feedstock'!R$3*'BD Plant List'!AE$5</f>
        <v>0</v>
      </c>
      <c r="S81" s="295">
        <f>'BD Plant List'!$N83/12*'BD Feedstock'!S$3*'BD Plant List'!AF$5</f>
        <v>0</v>
      </c>
      <c r="T81" s="295">
        <f>'BD Plant List'!$O83/12*'BD Feedstock'!T$3*'BD Plant List'!AB$5</f>
        <v>8.5732126770944213</v>
      </c>
      <c r="U81" s="295">
        <f>'BD Plant List'!$O83/12*'BD Feedstock'!U$3*'BD Plant List'!AC$5</f>
        <v>3.0347329175263269</v>
      </c>
    </row>
    <row r="82" spans="1:21" ht="18">
      <c r="A82" s="293">
        <v>42186</v>
      </c>
      <c r="B82" s="295">
        <f>'BD Plant List'!B84/12*'BD Plant List'!$AE$5*$B$3</f>
        <v>43.458333333333336</v>
      </c>
      <c r="C82" s="295">
        <f>'BD Plant List'!$C84/12*'BD Plant List'!$AB$5*'BD Feedstock'!$D$3</f>
        <v>0</v>
      </c>
      <c r="D82" s="295">
        <f>'BD Plant List'!$C84/12*'BD Plant List'!$AC$5*'BD Feedstock'!$D$3</f>
        <v>0</v>
      </c>
      <c r="E82" s="294"/>
      <c r="F82" s="294"/>
      <c r="G82" s="295">
        <f>'BD Plant List'!$E84/12*'BD Feedstock'!G$3*'BD Plant List'!AB$5</f>
        <v>1.453125</v>
      </c>
      <c r="H82" s="295">
        <f>'BD Plant List'!$E84/12*'BD Feedstock'!H$3*'BD Plant List'!AC$5</f>
        <v>0.51437500000000003</v>
      </c>
      <c r="I82" s="295">
        <f>'BD Plant List'!F84/12*'BD Feedstock'!I$3*'BD Plant List'!AC$5</f>
        <v>0.13716666666666666</v>
      </c>
      <c r="J82" s="295">
        <f>'BD Plant List'!G84/12*'BD Feedstock'!J$3*'BD Plant List'!AD$5</f>
        <v>0.90199999999999991</v>
      </c>
      <c r="K82" s="295">
        <f>'BD Plant List'!$H84/12*'BD Feedstock'!K$3*'BD Plant List'!AB$5</f>
        <v>5.8125</v>
      </c>
      <c r="L82" s="295">
        <f>'BD Plant List'!$H84/12*'BD Feedstock'!L$3*'BD Plant List'!AC$5</f>
        <v>2.0575000000000001</v>
      </c>
      <c r="M82" s="153"/>
      <c r="N82" s="295">
        <f>'BD Plant List'!$J84/12*'BD Feedstock'!N$3*'BD Plant List'!AC$5</f>
        <v>1.3716666666666666</v>
      </c>
      <c r="O82" s="295">
        <f>'BD Plant List'!$K84/12*'BD Feedstock'!O$3*'BD Plant List'!AC$5</f>
        <v>0.9053000000000001</v>
      </c>
      <c r="P82" s="295">
        <f>'BD Plant List'!$L84/12*'BD Feedstock'!P$3*'BD Plant List'!AE$5</f>
        <v>8.94</v>
      </c>
      <c r="Q82" s="295">
        <f>'BD Plant List'!$M84/12*'BD Feedstock'!Q$3*'BD Plant List'!AE$5</f>
        <v>0.93125000000000002</v>
      </c>
      <c r="R82" s="295">
        <f>'BD Plant List'!$N84/12*'BD Feedstock'!R$3*'BD Plant List'!AE$5</f>
        <v>0</v>
      </c>
      <c r="S82" s="295">
        <f>'BD Plant List'!$N84/12*'BD Feedstock'!S$3*'BD Plant List'!AF$5</f>
        <v>0</v>
      </c>
      <c r="T82" s="295">
        <f>'BD Plant List'!$O84/12*'BD Feedstock'!T$3*'BD Plant List'!AB$5</f>
        <v>8.5732126770944213</v>
      </c>
      <c r="U82" s="295">
        <f>'BD Plant List'!$O84/12*'BD Feedstock'!U$3*'BD Plant List'!AC$5</f>
        <v>3.0347329175263269</v>
      </c>
    </row>
    <row r="83" spans="1:21" ht="18">
      <c r="A83" s="293">
        <v>42217</v>
      </c>
      <c r="B83" s="295">
        <f>'BD Plant List'!B85/12*'BD Plant List'!$AE$5*$B$3</f>
        <v>43.458333333333336</v>
      </c>
      <c r="C83" s="295">
        <f>'BD Plant List'!$C85/12*'BD Plant List'!$AB$5*'BD Feedstock'!$D$3</f>
        <v>0</v>
      </c>
      <c r="D83" s="295">
        <f>'BD Plant List'!$C85/12*'BD Plant List'!$AC$5*'BD Feedstock'!$D$3</f>
        <v>0</v>
      </c>
      <c r="E83" s="294"/>
      <c r="F83" s="294"/>
      <c r="G83" s="295">
        <f>'BD Plant List'!$E85/12*'BD Feedstock'!G$3*'BD Plant List'!AB$5</f>
        <v>1.453125</v>
      </c>
      <c r="H83" s="295">
        <f>'BD Plant List'!$E85/12*'BD Feedstock'!H$3*'BD Plant List'!AC$5</f>
        <v>0.51437500000000003</v>
      </c>
      <c r="I83" s="295">
        <f>'BD Plant List'!F85/12*'BD Feedstock'!I$3*'BD Plant List'!AC$5</f>
        <v>0.13716666666666666</v>
      </c>
      <c r="J83" s="295">
        <f>'BD Plant List'!G85/12*'BD Feedstock'!J$3*'BD Plant List'!AD$5</f>
        <v>0.90199999999999991</v>
      </c>
      <c r="K83" s="295">
        <f>'BD Plant List'!$H85/12*'BD Feedstock'!K$3*'BD Plant List'!AB$5</f>
        <v>5.8125</v>
      </c>
      <c r="L83" s="295">
        <f>'BD Plant List'!$H85/12*'BD Feedstock'!L$3*'BD Plant List'!AC$5</f>
        <v>2.0575000000000001</v>
      </c>
      <c r="M83" s="153"/>
      <c r="N83" s="295">
        <f>'BD Plant List'!$J85/12*'BD Feedstock'!N$3*'BD Plant List'!AC$5</f>
        <v>1.3716666666666666</v>
      </c>
      <c r="O83" s="295">
        <f>'BD Plant List'!$K85/12*'BD Feedstock'!O$3*'BD Plant List'!AC$5</f>
        <v>0.9053000000000001</v>
      </c>
      <c r="P83" s="295">
        <f>'BD Plant List'!$L85/12*'BD Feedstock'!P$3*'BD Plant List'!AE$5</f>
        <v>8.94</v>
      </c>
      <c r="Q83" s="295">
        <f>'BD Plant List'!$M85/12*'BD Feedstock'!Q$3*'BD Plant List'!AE$5</f>
        <v>0.93125000000000002</v>
      </c>
      <c r="R83" s="295">
        <f>'BD Plant List'!$N85/12*'BD Feedstock'!R$3*'BD Plant List'!AE$5</f>
        <v>0</v>
      </c>
      <c r="S83" s="295">
        <f>'BD Plant List'!$N85/12*'BD Feedstock'!S$3*'BD Plant List'!AF$5</f>
        <v>0</v>
      </c>
      <c r="T83" s="295">
        <f>'BD Plant List'!$O85/12*'BD Feedstock'!T$3*'BD Plant List'!AB$5</f>
        <v>8.5732126770944213</v>
      </c>
      <c r="U83" s="295">
        <f>'BD Plant List'!$O85/12*'BD Feedstock'!U$3*'BD Plant List'!AC$5</f>
        <v>3.0347329175263269</v>
      </c>
    </row>
    <row r="84" spans="1:21" ht="18">
      <c r="A84" s="293">
        <v>42248</v>
      </c>
      <c r="B84" s="295">
        <f>'BD Plant List'!B86/12*'BD Plant List'!$AE$5*$B$3</f>
        <v>43.458333333333336</v>
      </c>
      <c r="C84" s="295">
        <f>'BD Plant List'!$C86/12*'BD Plant List'!$AB$5*'BD Feedstock'!$D$3</f>
        <v>0</v>
      </c>
      <c r="D84" s="295">
        <f>'BD Plant List'!$C86/12*'BD Plant List'!$AC$5*'BD Feedstock'!$D$3</f>
        <v>0</v>
      </c>
      <c r="E84" s="294"/>
      <c r="F84" s="294"/>
      <c r="G84" s="295">
        <f>'BD Plant List'!$E86/12*'BD Feedstock'!G$3*'BD Plant List'!AB$5</f>
        <v>1.453125</v>
      </c>
      <c r="H84" s="295">
        <f>'BD Plant List'!$E86/12*'BD Feedstock'!H$3*'BD Plant List'!AC$5</f>
        <v>0.51437500000000003</v>
      </c>
      <c r="I84" s="295">
        <f>'BD Plant List'!F86/12*'BD Feedstock'!I$3*'BD Plant List'!AC$5</f>
        <v>0.13716666666666666</v>
      </c>
      <c r="J84" s="295">
        <f>'BD Plant List'!G86/12*'BD Feedstock'!J$3*'BD Plant List'!AD$5</f>
        <v>0.90199999999999991</v>
      </c>
      <c r="K84" s="295">
        <f>'BD Plant List'!$H86/12*'BD Feedstock'!K$3*'BD Plant List'!AB$5</f>
        <v>5.8125</v>
      </c>
      <c r="L84" s="295">
        <f>'BD Plant List'!$H86/12*'BD Feedstock'!L$3*'BD Plant List'!AC$5</f>
        <v>2.0575000000000001</v>
      </c>
      <c r="M84" s="153"/>
      <c r="N84" s="295">
        <f>'BD Plant List'!$J86/12*'BD Feedstock'!N$3*'BD Plant List'!AC$5</f>
        <v>1.3716666666666666</v>
      </c>
      <c r="O84" s="295">
        <f>'BD Plant List'!$K86/12*'BD Feedstock'!O$3*'BD Plant List'!AC$5</f>
        <v>0.9053000000000001</v>
      </c>
      <c r="P84" s="295">
        <f>'BD Plant List'!$L86/12*'BD Feedstock'!P$3*'BD Plant List'!AE$5</f>
        <v>8.94</v>
      </c>
      <c r="Q84" s="295">
        <f>'BD Plant List'!$M86/12*'BD Feedstock'!Q$3*'BD Plant List'!AE$5</f>
        <v>0.93125000000000002</v>
      </c>
      <c r="R84" s="295">
        <f>'BD Plant List'!$N86/12*'BD Feedstock'!R$3*'BD Plant List'!AE$5</f>
        <v>0</v>
      </c>
      <c r="S84" s="295">
        <f>'BD Plant List'!$N86/12*'BD Feedstock'!S$3*'BD Plant List'!AF$5</f>
        <v>0</v>
      </c>
      <c r="T84" s="295">
        <f>'BD Plant List'!$O86/12*'BD Feedstock'!T$3*'BD Plant List'!AB$5</f>
        <v>8.5732126770944213</v>
      </c>
      <c r="U84" s="295">
        <f>'BD Plant List'!$O86/12*'BD Feedstock'!U$3*'BD Plant List'!AC$5</f>
        <v>3.0347329175263269</v>
      </c>
    </row>
    <row r="85" spans="1:21" ht="18">
      <c r="A85" s="293">
        <v>42278</v>
      </c>
      <c r="B85" s="295">
        <f>'BD Plant List'!B87/12*'BD Plant List'!$AE$5*$B$3</f>
        <v>43.458333333333336</v>
      </c>
      <c r="C85" s="295">
        <f>'BD Plant List'!$C87/12*'BD Plant List'!$AB$5*'BD Feedstock'!$D$3</f>
        <v>0</v>
      </c>
      <c r="D85" s="295">
        <f>'BD Plant List'!$C87/12*'BD Plant List'!$AC$5*'BD Feedstock'!$D$3</f>
        <v>0</v>
      </c>
      <c r="E85" s="294"/>
      <c r="F85" s="294"/>
      <c r="G85" s="295">
        <f>'BD Plant List'!$E87/12*'BD Feedstock'!G$3*'BD Plant List'!AB$5</f>
        <v>1.453125</v>
      </c>
      <c r="H85" s="295">
        <f>'BD Plant List'!$E87/12*'BD Feedstock'!H$3*'BD Plant List'!AC$5</f>
        <v>0.51437500000000003</v>
      </c>
      <c r="I85" s="295">
        <f>'BD Plant List'!F87/12*'BD Feedstock'!I$3*'BD Plant List'!AC$5</f>
        <v>0.13716666666666666</v>
      </c>
      <c r="J85" s="295">
        <f>'BD Plant List'!G87/12*'BD Feedstock'!J$3*'BD Plant List'!AD$5</f>
        <v>0.90199999999999991</v>
      </c>
      <c r="K85" s="295">
        <f>'BD Plant List'!$H87/12*'BD Feedstock'!K$3*'BD Plant List'!AB$5</f>
        <v>5.8125</v>
      </c>
      <c r="L85" s="295">
        <f>'BD Plant List'!$H87/12*'BD Feedstock'!L$3*'BD Plant List'!AC$5</f>
        <v>2.0575000000000001</v>
      </c>
      <c r="M85" s="153"/>
      <c r="N85" s="295">
        <f>'BD Plant List'!$J87/12*'BD Feedstock'!N$3*'BD Plant List'!AC$5</f>
        <v>1.3716666666666666</v>
      </c>
      <c r="O85" s="295">
        <f>'BD Plant List'!$K87/12*'BD Feedstock'!O$3*'BD Plant List'!AC$5</f>
        <v>0.9053000000000001</v>
      </c>
      <c r="P85" s="295">
        <f>'BD Plant List'!$L87/12*'BD Feedstock'!P$3*'BD Plant List'!AE$5</f>
        <v>8.94</v>
      </c>
      <c r="Q85" s="295">
        <f>'BD Plant List'!$M87/12*'BD Feedstock'!Q$3*'BD Plant List'!AE$5</f>
        <v>0.93125000000000002</v>
      </c>
      <c r="R85" s="295">
        <f>'BD Plant List'!$N87/12*'BD Feedstock'!R$3*'BD Plant List'!AE$5</f>
        <v>5.8979166666666663</v>
      </c>
      <c r="S85" s="295">
        <f>'BD Plant List'!$N87/12*'BD Feedstock'!S$3*'BD Plant List'!AF$5</f>
        <v>0.31250000000000006</v>
      </c>
      <c r="T85" s="295">
        <f>'BD Plant List'!$O87/12*'BD Feedstock'!T$3*'BD Plant List'!AB$5</f>
        <v>8.5732126770944213</v>
      </c>
      <c r="U85" s="295">
        <f>'BD Plant List'!$O87/12*'BD Feedstock'!U$3*'BD Plant List'!AC$5</f>
        <v>3.0347329175263269</v>
      </c>
    </row>
    <row r="86" spans="1:21" ht="18">
      <c r="A86" s="293">
        <v>42309</v>
      </c>
      <c r="B86" s="295">
        <f>'BD Plant List'!B88/12*'BD Plant List'!$AE$5*$B$3</f>
        <v>43.458333333333336</v>
      </c>
      <c r="C86" s="295">
        <f>'BD Plant List'!$C88/12*'BD Plant List'!$AB$5*'BD Feedstock'!$D$3</f>
        <v>0</v>
      </c>
      <c r="D86" s="295">
        <f>'BD Plant List'!$C88/12*'BD Plant List'!$AC$5*'BD Feedstock'!$D$3</f>
        <v>0</v>
      </c>
      <c r="E86" s="294"/>
      <c r="F86" s="294"/>
      <c r="G86" s="295">
        <f>'BD Plant List'!$E88/12*'BD Feedstock'!G$3*'BD Plant List'!AB$5</f>
        <v>1.453125</v>
      </c>
      <c r="H86" s="295">
        <f>'BD Plant List'!$E88/12*'BD Feedstock'!H$3*'BD Plant List'!AC$5</f>
        <v>0.51437500000000003</v>
      </c>
      <c r="I86" s="295">
        <f>'BD Plant List'!F88/12*'BD Feedstock'!I$3*'BD Plant List'!AC$5</f>
        <v>0.13716666666666666</v>
      </c>
      <c r="J86" s="295">
        <f>'BD Plant List'!G88/12*'BD Feedstock'!J$3*'BD Plant List'!AD$5</f>
        <v>0.90199999999999991</v>
      </c>
      <c r="K86" s="295">
        <f>'BD Plant List'!$H88/12*'BD Feedstock'!K$3*'BD Plant List'!AB$5</f>
        <v>5.8125</v>
      </c>
      <c r="L86" s="295">
        <f>'BD Plant List'!$H88/12*'BD Feedstock'!L$3*'BD Plant List'!AC$5</f>
        <v>2.0575000000000001</v>
      </c>
      <c r="M86" s="153"/>
      <c r="N86" s="295">
        <f>'BD Plant List'!$J88/12*'BD Feedstock'!N$3*'BD Plant List'!AC$5</f>
        <v>1.3716666666666666</v>
      </c>
      <c r="O86" s="295">
        <f>'BD Plant List'!$K88/12*'BD Feedstock'!O$3*'BD Plant List'!AC$5</f>
        <v>0.9053000000000001</v>
      </c>
      <c r="P86" s="295">
        <f>'BD Plant List'!$L88/12*'BD Feedstock'!P$3*'BD Plant List'!AE$5</f>
        <v>8.94</v>
      </c>
      <c r="Q86" s="295">
        <f>'BD Plant List'!$M88/12*'BD Feedstock'!Q$3*'BD Plant List'!AE$5</f>
        <v>0.93125000000000002</v>
      </c>
      <c r="R86" s="295">
        <f>'BD Plant List'!$N88/12*'BD Feedstock'!R$3*'BD Plant List'!AE$5</f>
        <v>14.744791666666668</v>
      </c>
      <c r="S86" s="295">
        <f>'BD Plant List'!$N88/12*'BD Feedstock'!S$3*'BD Plant List'!AF$5</f>
        <v>0.78125000000000011</v>
      </c>
      <c r="T86" s="295">
        <f>'BD Plant List'!$O88/12*'BD Feedstock'!T$3*'BD Plant List'!AB$5</f>
        <v>8.5732126770944213</v>
      </c>
      <c r="U86" s="295">
        <f>'BD Plant List'!$O88/12*'BD Feedstock'!U$3*'BD Plant List'!AC$5</f>
        <v>3.0347329175263269</v>
      </c>
    </row>
    <row r="87" spans="1:21" ht="18">
      <c r="A87" s="293">
        <v>42339</v>
      </c>
      <c r="B87" s="295">
        <f>'BD Plant List'!B89/12*'BD Plant List'!$AE$5*$B$3</f>
        <v>43.458333333333336</v>
      </c>
      <c r="C87" s="295">
        <f>'BD Plant List'!$C89/12*'BD Plant List'!$AB$5*'BD Feedstock'!$D$3</f>
        <v>0</v>
      </c>
      <c r="D87" s="295">
        <f>'BD Plant List'!$C89/12*'BD Plant List'!$AC$5*'BD Feedstock'!$D$3</f>
        <v>0</v>
      </c>
      <c r="E87" s="294"/>
      <c r="F87" s="294"/>
      <c r="G87" s="295">
        <f>'BD Plant List'!$E89/12*'BD Feedstock'!G$3*'BD Plant List'!AB$5</f>
        <v>1.453125</v>
      </c>
      <c r="H87" s="295">
        <f>'BD Plant List'!$E89/12*'BD Feedstock'!H$3*'BD Plant List'!AC$5</f>
        <v>0.51437500000000003</v>
      </c>
      <c r="I87" s="295">
        <f>'BD Plant List'!F89/12*'BD Feedstock'!I$3*'BD Plant List'!AC$5</f>
        <v>0.13716666666666666</v>
      </c>
      <c r="J87" s="295">
        <f>'BD Plant List'!G89/12*'BD Feedstock'!J$3*'BD Plant List'!AD$5</f>
        <v>0.90199999999999991</v>
      </c>
      <c r="K87" s="295">
        <f>'BD Plant List'!$H89/12*'BD Feedstock'!K$3*'BD Plant List'!AB$5</f>
        <v>5.8125</v>
      </c>
      <c r="L87" s="295">
        <f>'BD Plant List'!$H89/12*'BD Feedstock'!L$3*'BD Plant List'!AC$5</f>
        <v>2.0575000000000001</v>
      </c>
      <c r="M87" s="153"/>
      <c r="N87" s="295">
        <f>'BD Plant List'!$J89/12*'BD Feedstock'!N$3*'BD Plant List'!AC$5</f>
        <v>1.3716666666666666</v>
      </c>
      <c r="O87" s="295">
        <f>'BD Plant List'!$K89/12*'BD Feedstock'!O$3*'BD Plant List'!AC$5</f>
        <v>0.9053000000000001</v>
      </c>
      <c r="P87" s="295">
        <f>'BD Plant List'!$L89/12*'BD Feedstock'!P$3*'BD Plant List'!AE$5</f>
        <v>8.94</v>
      </c>
      <c r="Q87" s="295">
        <f>'BD Plant List'!$M89/12*'BD Feedstock'!Q$3*'BD Plant List'!AE$5</f>
        <v>0.93125000000000002</v>
      </c>
      <c r="R87" s="295">
        <f>'BD Plant List'!$N89/12*'BD Feedstock'!R$3*'BD Plant List'!AE$5</f>
        <v>26.540625000000002</v>
      </c>
      <c r="S87" s="295">
        <f>'BD Plant List'!$N89/12*'BD Feedstock'!S$3*'BD Plant List'!AF$5</f>
        <v>1.40625</v>
      </c>
      <c r="T87" s="295">
        <f>'BD Plant List'!$O89/12*'BD Feedstock'!T$3*'BD Plant List'!AB$5</f>
        <v>8.5732126770944213</v>
      </c>
      <c r="U87" s="295">
        <f>'BD Plant List'!$O89/12*'BD Feedstock'!U$3*'BD Plant List'!AC$5</f>
        <v>3.0347329175263269</v>
      </c>
    </row>
    <row r="88" spans="1:21" ht="18">
      <c r="A88" s="293">
        <v>42370</v>
      </c>
      <c r="B88" s="295">
        <f>'BD Plant List'!B90/12*'BD Plant List'!$AE$5*$B$3</f>
        <v>43.458333333333336</v>
      </c>
      <c r="C88" s="295">
        <f>'BD Plant List'!$C90/12*'BD Plant List'!$AB$5*'BD Feedstock'!$D$3</f>
        <v>0</v>
      </c>
      <c r="D88" s="295">
        <f>'BD Plant List'!$C90/12*'BD Plant List'!$AC$5*'BD Feedstock'!$D$3</f>
        <v>0</v>
      </c>
      <c r="E88" s="294"/>
      <c r="F88" s="294"/>
      <c r="G88" s="295">
        <f>'BD Plant List'!$E90/12*'BD Feedstock'!G$3*'BD Plant List'!AB$5</f>
        <v>1.453125</v>
      </c>
      <c r="H88" s="295">
        <f>'BD Plant List'!$E90/12*'BD Feedstock'!H$3*'BD Plant List'!AC$5</f>
        <v>0.51437500000000003</v>
      </c>
      <c r="I88" s="295">
        <f>'BD Plant List'!F90/12*'BD Feedstock'!I$3*'BD Plant List'!AC$5</f>
        <v>0.13716666666666666</v>
      </c>
      <c r="J88" s="295">
        <f>'BD Plant List'!G90/12*'BD Feedstock'!J$3*'BD Plant List'!AD$5</f>
        <v>0.90199999999999991</v>
      </c>
      <c r="K88" s="295">
        <f>'BD Plant List'!$H90/12*'BD Feedstock'!K$3*'BD Plant List'!AB$5</f>
        <v>5.8125</v>
      </c>
      <c r="L88" s="295">
        <f>'BD Plant List'!$H90/12*'BD Feedstock'!L$3*'BD Plant List'!AC$5</f>
        <v>2.0575000000000001</v>
      </c>
      <c r="M88" s="153"/>
      <c r="N88" s="295">
        <f>'BD Plant List'!$J90/12*'BD Feedstock'!N$3*'BD Plant List'!AC$5</f>
        <v>1.3716666666666666</v>
      </c>
      <c r="O88" s="295">
        <f>'BD Plant List'!$K90/12*'BD Feedstock'!O$3*'BD Plant List'!AC$5</f>
        <v>0.9053000000000001</v>
      </c>
      <c r="P88" s="295">
        <f>'BD Plant List'!$L90/12*'BD Feedstock'!P$3*'BD Plant List'!AE$5</f>
        <v>11.175000000000001</v>
      </c>
      <c r="Q88" s="295">
        <f>'BD Plant List'!$M90/12*'BD Feedstock'!Q$3*'BD Plant List'!AE$5</f>
        <v>0.93125000000000002</v>
      </c>
      <c r="R88" s="295">
        <f>'BD Plant List'!$N90/12*'BD Feedstock'!R$3*'BD Plant List'!AE$5</f>
        <v>26.540625000000002</v>
      </c>
      <c r="S88" s="295">
        <f>'BD Plant List'!$N90/12*'BD Feedstock'!S$3*'BD Plant List'!AF$5</f>
        <v>1.40625</v>
      </c>
      <c r="T88" s="295">
        <f>'BD Plant List'!$O90/12*'BD Feedstock'!T$3*'BD Plant List'!AB$5</f>
        <v>8.5732126770944213</v>
      </c>
      <c r="U88" s="295">
        <f>'BD Plant List'!$O90/12*'BD Feedstock'!U$3*'BD Plant List'!AC$5</f>
        <v>3.0347329175263269</v>
      </c>
    </row>
    <row r="89" spans="1:21" ht="18">
      <c r="A89" s="293">
        <v>42401</v>
      </c>
      <c r="B89" s="295">
        <f>'BD Plant List'!B91/12*'BD Plant List'!$AE$5*$B$3</f>
        <v>43.458333333333336</v>
      </c>
      <c r="C89" s="295">
        <f>'BD Plant List'!$C91/12*'BD Plant List'!$AB$5*'BD Feedstock'!$D$3</f>
        <v>0</v>
      </c>
      <c r="D89" s="295">
        <f>'BD Plant List'!$C91/12*'BD Plant List'!$AC$5*'BD Feedstock'!$D$3</f>
        <v>0</v>
      </c>
      <c r="E89" s="294"/>
      <c r="F89" s="294"/>
      <c r="G89" s="295">
        <f>'BD Plant List'!$E91/12*'BD Feedstock'!G$3*'BD Plant List'!AB$5</f>
        <v>1.453125</v>
      </c>
      <c r="H89" s="295">
        <f>'BD Plant List'!$E91/12*'BD Feedstock'!H$3*'BD Plant List'!AC$5</f>
        <v>0.51437500000000003</v>
      </c>
      <c r="I89" s="295">
        <f>'BD Plant List'!F91/12*'BD Feedstock'!I$3*'BD Plant List'!AC$5</f>
        <v>0.13716666666666666</v>
      </c>
      <c r="J89" s="295">
        <f>'BD Plant List'!G91/12*'BD Feedstock'!J$3*'BD Plant List'!AD$5</f>
        <v>0.90199999999999991</v>
      </c>
      <c r="K89" s="295">
        <f>'BD Plant List'!$H91/12*'BD Feedstock'!K$3*'BD Plant List'!AB$5</f>
        <v>5.8125</v>
      </c>
      <c r="L89" s="295">
        <f>'BD Plant List'!$H91/12*'BD Feedstock'!L$3*'BD Plant List'!AC$5</f>
        <v>2.0575000000000001</v>
      </c>
      <c r="M89" s="153"/>
      <c r="N89" s="295">
        <f>'BD Plant List'!$J91/12*'BD Feedstock'!N$3*'BD Plant List'!AC$5</f>
        <v>1.3716666666666666</v>
      </c>
      <c r="O89" s="295">
        <f>'BD Plant List'!$K91/12*'BD Feedstock'!O$3*'BD Plant List'!AC$5</f>
        <v>0.9053000000000001</v>
      </c>
      <c r="P89" s="295">
        <f>'BD Plant List'!$L91/12*'BD Feedstock'!P$3*'BD Plant List'!AE$5</f>
        <v>11.175000000000001</v>
      </c>
      <c r="Q89" s="295">
        <f>'BD Plant List'!$M91/12*'BD Feedstock'!Q$3*'BD Plant List'!AE$5</f>
        <v>0.93125000000000002</v>
      </c>
      <c r="R89" s="295">
        <f>'BD Plant List'!$N91/12*'BD Feedstock'!R$3*'BD Plant List'!AE$5</f>
        <v>26.540625000000002</v>
      </c>
      <c r="S89" s="295">
        <f>'BD Plant List'!$N91/12*'BD Feedstock'!S$3*'BD Plant List'!AF$5</f>
        <v>1.40625</v>
      </c>
      <c r="T89" s="295">
        <f>'BD Plant List'!$O91/12*'BD Feedstock'!T$3*'BD Plant List'!AB$5</f>
        <v>8.5732126770944213</v>
      </c>
      <c r="U89" s="295">
        <f>'BD Plant List'!$O91/12*'BD Feedstock'!U$3*'BD Plant List'!AC$5</f>
        <v>3.0347329175263269</v>
      </c>
    </row>
    <row r="90" spans="1:21" ht="18">
      <c r="A90" s="293">
        <v>42430</v>
      </c>
      <c r="B90" s="295">
        <f>'BD Plant List'!B92/12*'BD Plant List'!$AE$5*$B$3</f>
        <v>43.458333333333336</v>
      </c>
      <c r="C90" s="295">
        <f>'BD Plant List'!$C92/12*'BD Plant List'!$AB$5*'BD Feedstock'!$D$3</f>
        <v>0</v>
      </c>
      <c r="D90" s="295">
        <f>'BD Plant List'!$C92/12*'BD Plant List'!$AC$5*'BD Feedstock'!$D$3</f>
        <v>0</v>
      </c>
      <c r="E90" s="294"/>
      <c r="F90" s="294"/>
      <c r="G90" s="295">
        <f>'BD Plant List'!$E92/12*'BD Feedstock'!G$3*'BD Plant List'!AB$5</f>
        <v>1.453125</v>
      </c>
      <c r="H90" s="295">
        <f>'BD Plant List'!$E92/12*'BD Feedstock'!H$3*'BD Plant List'!AC$5</f>
        <v>0.51437500000000003</v>
      </c>
      <c r="I90" s="295">
        <f>'BD Plant List'!F92/12*'BD Feedstock'!I$3*'BD Plant List'!AC$5</f>
        <v>0.13716666666666666</v>
      </c>
      <c r="J90" s="295">
        <f>'BD Plant List'!G92/12*'BD Feedstock'!J$3*'BD Plant List'!AD$5</f>
        <v>0.90199999999999991</v>
      </c>
      <c r="K90" s="295">
        <f>'BD Plant List'!$H92/12*'BD Feedstock'!K$3*'BD Plant List'!AB$5</f>
        <v>5.8125</v>
      </c>
      <c r="L90" s="295">
        <f>'BD Plant List'!$H92/12*'BD Feedstock'!L$3*'BD Plant List'!AC$5</f>
        <v>2.0575000000000001</v>
      </c>
      <c r="M90" s="153"/>
      <c r="N90" s="295">
        <f>'BD Plant List'!$J92/12*'BD Feedstock'!N$3*'BD Plant List'!AC$5</f>
        <v>1.3716666666666666</v>
      </c>
      <c r="O90" s="295">
        <f>'BD Plant List'!$K92/12*'BD Feedstock'!O$3*'BD Plant List'!AC$5</f>
        <v>0.9053000000000001</v>
      </c>
      <c r="P90" s="295">
        <f>'BD Plant List'!$L92/12*'BD Feedstock'!P$3*'BD Plant List'!AE$5</f>
        <v>11.175000000000001</v>
      </c>
      <c r="Q90" s="295">
        <f>'BD Plant List'!$M92/12*'BD Feedstock'!Q$3*'BD Plant List'!AE$5</f>
        <v>0.93125000000000002</v>
      </c>
      <c r="R90" s="295">
        <f>'BD Plant List'!$N92/12*'BD Feedstock'!R$3*'BD Plant List'!AE$5</f>
        <v>26.540625000000002</v>
      </c>
      <c r="S90" s="295">
        <f>'BD Plant List'!$N92/12*'BD Feedstock'!S$3*'BD Plant List'!AF$5</f>
        <v>1.40625</v>
      </c>
      <c r="T90" s="295">
        <f>'BD Plant List'!$O92/12*'BD Feedstock'!T$3*'BD Plant List'!AB$5</f>
        <v>8.5732126770944213</v>
      </c>
      <c r="U90" s="295">
        <f>'BD Plant List'!$O92/12*'BD Feedstock'!U$3*'BD Plant List'!AC$5</f>
        <v>3.0347329175263269</v>
      </c>
    </row>
    <row r="91" spans="1:21" ht="18">
      <c r="A91" s="293">
        <v>42461</v>
      </c>
      <c r="B91" s="295">
        <f>'BD Plant List'!B93/12*'BD Plant List'!$AE$5*$B$3</f>
        <v>43.458333333333336</v>
      </c>
      <c r="C91" s="295">
        <f>'BD Plant List'!$C93/12*'BD Plant List'!$AB$5*'BD Feedstock'!$D$3</f>
        <v>0</v>
      </c>
      <c r="D91" s="295">
        <f>'BD Plant List'!$C93/12*'BD Plant List'!$AC$5*'BD Feedstock'!$D$3</f>
        <v>0</v>
      </c>
      <c r="E91" s="294"/>
      <c r="F91" s="294"/>
      <c r="G91" s="295">
        <f>'BD Plant List'!$E93/12*'BD Feedstock'!G$3*'BD Plant List'!AB$5</f>
        <v>1.453125</v>
      </c>
      <c r="H91" s="295">
        <f>'BD Plant List'!$E93/12*'BD Feedstock'!H$3*'BD Plant List'!AC$5</f>
        <v>0.51437500000000003</v>
      </c>
      <c r="I91" s="295">
        <f>'BD Plant List'!F93/12*'BD Feedstock'!I$3*'BD Plant List'!AC$5</f>
        <v>0.13716666666666666</v>
      </c>
      <c r="J91" s="295">
        <f>'BD Plant List'!G93/12*'BD Feedstock'!J$3*'BD Plant List'!AD$5</f>
        <v>0.90199999999999991</v>
      </c>
      <c r="K91" s="295">
        <f>'BD Plant List'!$H93/12*'BD Feedstock'!K$3*'BD Plant List'!AB$5</f>
        <v>5.8125</v>
      </c>
      <c r="L91" s="295">
        <f>'BD Plant List'!$H93/12*'BD Feedstock'!L$3*'BD Plant List'!AC$5</f>
        <v>2.0575000000000001</v>
      </c>
      <c r="M91" s="153"/>
      <c r="N91" s="295">
        <f>'BD Plant List'!$J93/12*'BD Feedstock'!N$3*'BD Plant List'!AC$5</f>
        <v>1.3716666666666666</v>
      </c>
      <c r="O91" s="295">
        <f>'BD Plant List'!$K93/12*'BD Feedstock'!O$3*'BD Plant List'!AC$5</f>
        <v>0.9053000000000001</v>
      </c>
      <c r="P91" s="295">
        <f>'BD Plant List'!$L93/12*'BD Feedstock'!P$3*'BD Plant List'!AE$5</f>
        <v>11.175000000000001</v>
      </c>
      <c r="Q91" s="295">
        <f>'BD Plant List'!$M93/12*'BD Feedstock'!Q$3*'BD Plant List'!AE$5</f>
        <v>0.93125000000000002</v>
      </c>
      <c r="R91" s="295">
        <f>'BD Plant List'!$N93/12*'BD Feedstock'!R$3*'BD Plant List'!AE$5</f>
        <v>26.540625000000002</v>
      </c>
      <c r="S91" s="295">
        <f>'BD Plant List'!$N93/12*'BD Feedstock'!S$3*'BD Plant List'!AF$5</f>
        <v>1.40625</v>
      </c>
      <c r="T91" s="295">
        <f>'BD Plant List'!$O93/12*'BD Feedstock'!T$3*'BD Plant List'!AB$5</f>
        <v>8.5732126770944213</v>
      </c>
      <c r="U91" s="295">
        <f>'BD Plant List'!$O93/12*'BD Feedstock'!U$3*'BD Plant List'!AC$5</f>
        <v>3.0347329175263269</v>
      </c>
    </row>
    <row r="92" spans="1:21" ht="18">
      <c r="A92" s="293">
        <v>42491</v>
      </c>
      <c r="B92" s="295">
        <f>'BD Plant List'!B94/12*'BD Plant List'!$AE$5*$B$3</f>
        <v>43.458333333333336</v>
      </c>
      <c r="C92" s="295">
        <f>'BD Plant List'!$C94/12*'BD Plant List'!$AB$5*'BD Feedstock'!$D$3</f>
        <v>0</v>
      </c>
      <c r="D92" s="295">
        <f>'BD Plant List'!$C94/12*'BD Plant List'!$AC$5*'BD Feedstock'!$D$3</f>
        <v>0</v>
      </c>
      <c r="E92" s="294"/>
      <c r="F92" s="294"/>
      <c r="G92" s="295">
        <f>'BD Plant List'!$E94/12*'BD Feedstock'!G$3*'BD Plant List'!AB$5</f>
        <v>1.453125</v>
      </c>
      <c r="H92" s="295">
        <f>'BD Plant List'!$E94/12*'BD Feedstock'!H$3*'BD Plant List'!AC$5</f>
        <v>0.51437500000000003</v>
      </c>
      <c r="I92" s="295">
        <f>'BD Plant List'!F94/12*'BD Feedstock'!I$3*'BD Plant List'!AC$5</f>
        <v>0.13716666666666666</v>
      </c>
      <c r="J92" s="295">
        <f>'BD Plant List'!G94/12*'BD Feedstock'!J$3*'BD Plant List'!AD$5</f>
        <v>0.90199999999999991</v>
      </c>
      <c r="K92" s="295">
        <f>'BD Plant List'!$H94/12*'BD Feedstock'!K$3*'BD Plant List'!AB$5</f>
        <v>5.8125</v>
      </c>
      <c r="L92" s="295">
        <f>'BD Plant List'!$H94/12*'BD Feedstock'!L$3*'BD Plant List'!AC$5</f>
        <v>2.0575000000000001</v>
      </c>
      <c r="M92" s="153"/>
      <c r="N92" s="295">
        <f>'BD Plant List'!$J94/12*'BD Feedstock'!N$3*'BD Plant List'!AC$5</f>
        <v>1.3716666666666666</v>
      </c>
      <c r="O92" s="295">
        <f>'BD Plant List'!$K94/12*'BD Feedstock'!O$3*'BD Plant List'!AC$5</f>
        <v>0.9053000000000001</v>
      </c>
      <c r="P92" s="295">
        <f>'BD Plant List'!$L94/12*'BD Feedstock'!P$3*'BD Plant List'!AE$5</f>
        <v>11.175000000000001</v>
      </c>
      <c r="Q92" s="295">
        <f>'BD Plant List'!$M94/12*'BD Feedstock'!Q$3*'BD Plant List'!AE$5</f>
        <v>0.93125000000000002</v>
      </c>
      <c r="R92" s="295">
        <f>'BD Plant List'!$N94/12*'BD Feedstock'!R$3*'BD Plant List'!AE$5</f>
        <v>26.540625000000002</v>
      </c>
      <c r="S92" s="295">
        <f>'BD Plant List'!$N94/12*'BD Feedstock'!S$3*'BD Plant List'!AF$5</f>
        <v>1.40625</v>
      </c>
      <c r="T92" s="295">
        <f>'BD Plant List'!$O94/12*'BD Feedstock'!T$3*'BD Plant List'!AB$5</f>
        <v>8.5732126770944213</v>
      </c>
      <c r="U92" s="295">
        <f>'BD Plant List'!$O94/12*'BD Feedstock'!U$3*'BD Plant List'!AC$5</f>
        <v>3.0347329175263269</v>
      </c>
    </row>
    <row r="93" spans="1:21" ht="18">
      <c r="A93" s="293">
        <v>42522</v>
      </c>
      <c r="B93" s="295">
        <f>'BD Plant List'!B95/12*'BD Plant List'!$AE$5*$B$3</f>
        <v>43.458333333333336</v>
      </c>
      <c r="C93" s="295">
        <f>'BD Plant List'!$C95/12*'BD Plant List'!$AB$5*'BD Feedstock'!$D$3</f>
        <v>0</v>
      </c>
      <c r="D93" s="295">
        <f>'BD Plant List'!$C95/12*'BD Plant List'!$AC$5*'BD Feedstock'!$D$3</f>
        <v>0</v>
      </c>
      <c r="E93" s="294"/>
      <c r="F93" s="294"/>
      <c r="G93" s="295">
        <f>'BD Plant List'!$E95/12*'BD Feedstock'!G$3*'BD Plant List'!AB$5</f>
        <v>1.453125</v>
      </c>
      <c r="H93" s="295">
        <f>'BD Plant List'!$E95/12*'BD Feedstock'!H$3*'BD Plant List'!AC$5</f>
        <v>0.51437500000000003</v>
      </c>
      <c r="I93" s="295">
        <f>'BD Plant List'!F95/12*'BD Feedstock'!I$3*'BD Plant List'!AC$5</f>
        <v>0.13716666666666666</v>
      </c>
      <c r="J93" s="295">
        <f>'BD Plant List'!G95/12*'BD Feedstock'!J$3*'BD Plant List'!AD$5</f>
        <v>0.90199999999999991</v>
      </c>
      <c r="K93" s="295">
        <f>'BD Plant List'!$H95/12*'BD Feedstock'!K$3*'BD Plant List'!AB$5</f>
        <v>5.8125</v>
      </c>
      <c r="L93" s="295">
        <f>'BD Plant List'!$H95/12*'BD Feedstock'!L$3*'BD Plant List'!AC$5</f>
        <v>2.0575000000000001</v>
      </c>
      <c r="M93" s="153"/>
      <c r="N93" s="295">
        <f>'BD Plant List'!$J95/12*'BD Feedstock'!N$3*'BD Plant List'!AC$5</f>
        <v>1.3716666666666666</v>
      </c>
      <c r="O93" s="295">
        <f>'BD Plant List'!$K95/12*'BD Feedstock'!O$3*'BD Plant List'!AC$5</f>
        <v>0.9053000000000001</v>
      </c>
      <c r="P93" s="295">
        <f>'BD Plant List'!$L95/12*'BD Feedstock'!P$3*'BD Plant List'!AE$5</f>
        <v>11.175000000000001</v>
      </c>
      <c r="Q93" s="295">
        <f>'BD Plant List'!$M95/12*'BD Feedstock'!Q$3*'BD Plant List'!AE$5</f>
        <v>0.93125000000000002</v>
      </c>
      <c r="R93" s="295">
        <f>'BD Plant List'!$N95/12*'BD Feedstock'!R$3*'BD Plant List'!AE$5</f>
        <v>26.540625000000002</v>
      </c>
      <c r="S93" s="295">
        <f>'BD Plant List'!$N95/12*'BD Feedstock'!S$3*'BD Plant List'!AF$5</f>
        <v>1.40625</v>
      </c>
      <c r="T93" s="295">
        <f>'BD Plant List'!$O95/12*'BD Feedstock'!T$3*'BD Plant List'!AB$5</f>
        <v>8.5732126770944213</v>
      </c>
      <c r="U93" s="295">
        <f>'BD Plant List'!$O95/12*'BD Feedstock'!U$3*'BD Plant List'!AC$5</f>
        <v>3.0347329175263269</v>
      </c>
    </row>
    <row r="94" spans="1:21" ht="18">
      <c r="A94" s="293">
        <v>42552</v>
      </c>
      <c r="B94" s="295">
        <f>'BD Plant List'!B96/12*'BD Plant List'!$AE$5*$B$3</f>
        <v>43.458333333333336</v>
      </c>
      <c r="C94" s="295">
        <f>'BD Plant List'!$C96/12*'BD Plant List'!$AB$5*'BD Feedstock'!$D$3</f>
        <v>0</v>
      </c>
      <c r="D94" s="295">
        <f>'BD Plant List'!$C96/12*'BD Plant List'!$AC$5*'BD Feedstock'!$D$3</f>
        <v>0</v>
      </c>
      <c r="E94" s="294"/>
      <c r="F94" s="294"/>
      <c r="G94" s="295">
        <f>'BD Plant List'!$E96/12*'BD Feedstock'!G$3*'BD Plant List'!AB$5</f>
        <v>1.453125</v>
      </c>
      <c r="H94" s="295">
        <f>'BD Plant List'!$E96/12*'BD Feedstock'!H$3*'BD Plant List'!AC$5</f>
        <v>0.51437500000000003</v>
      </c>
      <c r="I94" s="295">
        <f>'BD Plant List'!F96/12*'BD Feedstock'!I$3*'BD Plant List'!AC$5</f>
        <v>0.13716666666666666</v>
      </c>
      <c r="J94" s="295">
        <f>'BD Plant List'!G96/12*'BD Feedstock'!J$3*'BD Plant List'!AD$5</f>
        <v>0.90199999999999991</v>
      </c>
      <c r="K94" s="295">
        <f>'BD Plant List'!$H96/12*'BD Feedstock'!K$3*'BD Plant List'!AB$5</f>
        <v>5.8125</v>
      </c>
      <c r="L94" s="295">
        <f>'BD Plant List'!$H96/12*'BD Feedstock'!L$3*'BD Plant List'!AC$5</f>
        <v>2.0575000000000001</v>
      </c>
      <c r="M94" s="153"/>
      <c r="N94" s="295">
        <f>'BD Plant List'!$J96/12*'BD Feedstock'!N$3*'BD Plant List'!AC$5</f>
        <v>1.3716666666666666</v>
      </c>
      <c r="O94" s="295">
        <f>'BD Plant List'!$K96/12*'BD Feedstock'!O$3*'BD Plant List'!AC$5</f>
        <v>0.9053000000000001</v>
      </c>
      <c r="P94" s="295">
        <f>'BD Plant List'!$L96/12*'BD Feedstock'!P$3*'BD Plant List'!AE$5</f>
        <v>11.175000000000001</v>
      </c>
      <c r="Q94" s="295">
        <f>'BD Plant List'!$M96/12*'BD Feedstock'!Q$3*'BD Plant List'!AE$5</f>
        <v>0.93125000000000002</v>
      </c>
      <c r="R94" s="295">
        <f>'BD Plant List'!$N96/12*'BD Feedstock'!R$3*'BD Plant List'!AE$5</f>
        <v>26.540625000000002</v>
      </c>
      <c r="S94" s="295">
        <f>'BD Plant List'!$N96/12*'BD Feedstock'!S$3*'BD Plant List'!AF$5</f>
        <v>1.40625</v>
      </c>
      <c r="T94" s="295">
        <f>'BD Plant List'!$O96/12*'BD Feedstock'!T$3*'BD Plant List'!AB$5</f>
        <v>8.5732126770944213</v>
      </c>
      <c r="U94" s="295">
        <f>'BD Plant List'!$O96/12*'BD Feedstock'!U$3*'BD Plant List'!AC$5</f>
        <v>3.0347329175263269</v>
      </c>
    </row>
    <row r="95" spans="1:21" ht="18">
      <c r="A95" s="293">
        <v>42583</v>
      </c>
      <c r="B95" s="295">
        <f>'BD Plant List'!B97/12*'BD Plant List'!$AE$5*$B$3</f>
        <v>43.458333333333336</v>
      </c>
      <c r="C95" s="295">
        <f>'BD Plant List'!$C97/12*'BD Plant List'!$AB$5*'BD Feedstock'!$D$3</f>
        <v>0</v>
      </c>
      <c r="D95" s="295">
        <f>'BD Plant List'!$C97/12*'BD Plant List'!$AC$5*'BD Feedstock'!$D$3</f>
        <v>0</v>
      </c>
      <c r="E95" s="294"/>
      <c r="F95" s="294"/>
      <c r="G95" s="295">
        <f>'BD Plant List'!$E97/12*'BD Feedstock'!G$3*'BD Plant List'!AB$5</f>
        <v>1.453125</v>
      </c>
      <c r="H95" s="295">
        <f>'BD Plant List'!$E97/12*'BD Feedstock'!H$3*'BD Plant List'!AC$5</f>
        <v>0.51437500000000003</v>
      </c>
      <c r="I95" s="295">
        <f>'BD Plant List'!F97/12*'BD Feedstock'!I$3*'BD Plant List'!AC$5</f>
        <v>0.13716666666666666</v>
      </c>
      <c r="J95" s="295">
        <f>'BD Plant List'!G97/12*'BD Feedstock'!J$3*'BD Plant List'!AD$5</f>
        <v>0.90199999999999991</v>
      </c>
      <c r="K95" s="295">
        <f>'BD Plant List'!$H97/12*'BD Feedstock'!K$3*'BD Plant List'!AB$5</f>
        <v>5.8125</v>
      </c>
      <c r="L95" s="295">
        <f>'BD Plant List'!$H97/12*'BD Feedstock'!L$3*'BD Plant List'!AC$5</f>
        <v>2.0575000000000001</v>
      </c>
      <c r="M95" s="153"/>
      <c r="N95" s="295">
        <f>'BD Plant List'!$J97/12*'BD Feedstock'!N$3*'BD Plant List'!AC$5</f>
        <v>1.3716666666666666</v>
      </c>
      <c r="O95" s="295">
        <f>'BD Plant List'!$K97/12*'BD Feedstock'!O$3*'BD Plant List'!AC$5</f>
        <v>0.9053000000000001</v>
      </c>
      <c r="P95" s="295">
        <f>'BD Plant List'!$L97/12*'BD Feedstock'!P$3*'BD Plant List'!AE$5</f>
        <v>11.175000000000001</v>
      </c>
      <c r="Q95" s="295">
        <f>'BD Plant List'!$M97/12*'BD Feedstock'!Q$3*'BD Plant List'!AE$5</f>
        <v>0.93125000000000002</v>
      </c>
      <c r="R95" s="295">
        <f>'BD Plant List'!$N97/12*'BD Feedstock'!R$3*'BD Plant List'!AE$5</f>
        <v>26.540625000000002</v>
      </c>
      <c r="S95" s="295">
        <f>'BD Plant List'!$N97/12*'BD Feedstock'!S$3*'BD Plant List'!AF$5</f>
        <v>1.40625</v>
      </c>
      <c r="T95" s="295">
        <f>'BD Plant List'!$O97/12*'BD Feedstock'!T$3*'BD Plant List'!AB$5</f>
        <v>8.5732126770944213</v>
      </c>
      <c r="U95" s="295">
        <f>'BD Plant List'!$O97/12*'BD Feedstock'!U$3*'BD Plant List'!AC$5</f>
        <v>3.0347329175263269</v>
      </c>
    </row>
    <row r="96" spans="1:21" ht="18">
      <c r="A96" s="293">
        <v>42614</v>
      </c>
      <c r="B96" s="295">
        <f>'BD Plant List'!B98/12*'BD Plant List'!$AE$5*$B$3</f>
        <v>43.458333333333336</v>
      </c>
      <c r="C96" s="295">
        <f>'BD Plant List'!$C98/12*'BD Plant List'!$AB$5*'BD Feedstock'!$D$3</f>
        <v>0</v>
      </c>
      <c r="D96" s="295">
        <f>'BD Plant List'!$C98/12*'BD Plant List'!$AC$5*'BD Feedstock'!$D$3</f>
        <v>0</v>
      </c>
      <c r="E96" s="294"/>
      <c r="F96" s="294"/>
      <c r="G96" s="295">
        <f>'BD Plant List'!$E98/12*'BD Feedstock'!G$3*'BD Plant List'!AB$5</f>
        <v>1.453125</v>
      </c>
      <c r="H96" s="295">
        <f>'BD Plant List'!$E98/12*'BD Feedstock'!H$3*'BD Plant List'!AC$5</f>
        <v>0.51437500000000003</v>
      </c>
      <c r="I96" s="295">
        <f>'BD Plant List'!F98/12*'BD Feedstock'!I$3*'BD Plant List'!AC$5</f>
        <v>0.13716666666666666</v>
      </c>
      <c r="J96" s="295">
        <f>'BD Plant List'!G98/12*'BD Feedstock'!J$3*'BD Plant List'!AD$5</f>
        <v>0.90199999999999991</v>
      </c>
      <c r="K96" s="295">
        <f>'BD Plant List'!$H98/12*'BD Feedstock'!K$3*'BD Plant List'!AB$5</f>
        <v>5.8125</v>
      </c>
      <c r="L96" s="295">
        <f>'BD Plant List'!$H98/12*'BD Feedstock'!L$3*'BD Plant List'!AC$5</f>
        <v>2.0575000000000001</v>
      </c>
      <c r="M96" s="153"/>
      <c r="N96" s="295">
        <f>'BD Plant List'!$J98/12*'BD Feedstock'!N$3*'BD Plant List'!AC$5</f>
        <v>1.3716666666666666</v>
      </c>
      <c r="O96" s="295">
        <f>'BD Plant List'!$K98/12*'BD Feedstock'!O$3*'BD Plant List'!AC$5</f>
        <v>0.9053000000000001</v>
      </c>
      <c r="P96" s="295">
        <f>'BD Plant List'!$L98/12*'BD Feedstock'!P$3*'BD Plant List'!AE$5</f>
        <v>11.175000000000001</v>
      </c>
      <c r="Q96" s="295">
        <f>'BD Plant List'!$M98/12*'BD Feedstock'!Q$3*'BD Plant List'!AE$5</f>
        <v>0.93125000000000002</v>
      </c>
      <c r="R96" s="295">
        <f>'BD Plant List'!$N98/12*'BD Feedstock'!R$3*'BD Plant List'!AE$5</f>
        <v>26.540625000000002</v>
      </c>
      <c r="S96" s="295">
        <f>'BD Plant List'!$N98/12*'BD Feedstock'!S$3*'BD Plant List'!AF$5</f>
        <v>1.40625</v>
      </c>
      <c r="T96" s="295">
        <f>'BD Plant List'!$O98/12*'BD Feedstock'!T$3*'BD Plant List'!AB$5</f>
        <v>8.5732126770944213</v>
      </c>
      <c r="U96" s="295">
        <f>'BD Plant List'!$O98/12*'BD Feedstock'!U$3*'BD Plant List'!AC$5</f>
        <v>3.0347329175263269</v>
      </c>
    </row>
    <row r="97" spans="1:21" ht="18">
      <c r="A97" s="293">
        <v>42644</v>
      </c>
      <c r="B97" s="295">
        <f>'BD Plant List'!B99/12*'BD Plant List'!$AE$5*$B$3</f>
        <v>43.458333333333336</v>
      </c>
      <c r="C97" s="295">
        <f>'BD Plant List'!$C99/12*'BD Plant List'!$AB$5*'BD Feedstock'!$D$3</f>
        <v>0</v>
      </c>
      <c r="D97" s="295">
        <f>'BD Plant List'!$C99/12*'BD Plant List'!$AC$5*'BD Feedstock'!$D$3</f>
        <v>0</v>
      </c>
      <c r="E97" s="294"/>
      <c r="F97" s="294"/>
      <c r="G97" s="295">
        <f>'BD Plant List'!$E99/12*'BD Feedstock'!G$3*'BD Plant List'!AB$5</f>
        <v>1.453125</v>
      </c>
      <c r="H97" s="295">
        <f>'BD Plant List'!$E99/12*'BD Feedstock'!H$3*'BD Plant List'!AC$5</f>
        <v>0.51437500000000003</v>
      </c>
      <c r="I97" s="295">
        <f>'BD Plant List'!F99/12*'BD Feedstock'!I$3*'BD Plant List'!AC$5</f>
        <v>0.13716666666666666</v>
      </c>
      <c r="J97" s="295">
        <f>'BD Plant List'!G99/12*'BD Feedstock'!J$3*'BD Plant List'!AD$5</f>
        <v>0.90199999999999991</v>
      </c>
      <c r="K97" s="295">
        <f>'BD Plant List'!$H99/12*'BD Feedstock'!K$3*'BD Plant List'!AB$5</f>
        <v>5.8125</v>
      </c>
      <c r="L97" s="295">
        <f>'BD Plant List'!$H99/12*'BD Feedstock'!L$3*'BD Plant List'!AC$5</f>
        <v>2.0575000000000001</v>
      </c>
      <c r="M97" s="153"/>
      <c r="N97" s="295">
        <f>'BD Plant List'!$J99/12*'BD Feedstock'!N$3*'BD Plant List'!AC$5</f>
        <v>1.3716666666666666</v>
      </c>
      <c r="O97" s="295">
        <f>'BD Plant List'!$K99/12*'BD Feedstock'!O$3*'BD Plant List'!AC$5</f>
        <v>0.9053000000000001</v>
      </c>
      <c r="P97" s="295">
        <f>'BD Plant List'!$L99/12*'BD Feedstock'!P$3*'BD Plant List'!AE$5</f>
        <v>11.175000000000001</v>
      </c>
      <c r="Q97" s="295">
        <f>'BD Plant List'!$M99/12*'BD Feedstock'!Q$3*'BD Plant List'!AE$5</f>
        <v>0.93125000000000002</v>
      </c>
      <c r="R97" s="295">
        <f>'BD Plant List'!$N99/12*'BD Feedstock'!R$3*'BD Plant List'!AE$5</f>
        <v>26.540625000000002</v>
      </c>
      <c r="S97" s="295">
        <f>'BD Plant List'!$N99/12*'BD Feedstock'!S$3*'BD Plant List'!AF$5</f>
        <v>1.40625</v>
      </c>
      <c r="T97" s="295">
        <f>'BD Plant List'!$O99/12*'BD Feedstock'!T$3*'BD Plant List'!AB$5</f>
        <v>8.5732126770944213</v>
      </c>
      <c r="U97" s="295">
        <f>'BD Plant List'!$O99/12*'BD Feedstock'!U$3*'BD Plant List'!AC$5</f>
        <v>3.0347329175263269</v>
      </c>
    </row>
    <row r="98" spans="1:21" ht="18">
      <c r="A98" s="293">
        <v>42675</v>
      </c>
      <c r="B98" s="295">
        <f>'BD Plant List'!B100/12*'BD Plant List'!$AE$5*$B$3</f>
        <v>43.458333333333336</v>
      </c>
      <c r="C98" s="295">
        <f>'BD Plant List'!$C100/12*'BD Plant List'!$AB$5*'BD Feedstock'!$D$3</f>
        <v>0</v>
      </c>
      <c r="D98" s="295">
        <f>'BD Plant List'!$C100/12*'BD Plant List'!$AC$5*'BD Feedstock'!$D$3</f>
        <v>0</v>
      </c>
      <c r="E98" s="294"/>
      <c r="F98" s="294"/>
      <c r="G98" s="295">
        <f>'BD Plant List'!$E100/12*'BD Feedstock'!G$3*'BD Plant List'!AB$5</f>
        <v>1.453125</v>
      </c>
      <c r="H98" s="295">
        <f>'BD Plant List'!$E100/12*'BD Feedstock'!H$3*'BD Plant List'!AC$5</f>
        <v>0.51437500000000003</v>
      </c>
      <c r="I98" s="295">
        <f>'BD Plant List'!F100/12*'BD Feedstock'!I$3*'BD Plant List'!AC$5</f>
        <v>0.13716666666666666</v>
      </c>
      <c r="J98" s="295">
        <f>'BD Plant List'!G100/12*'BD Feedstock'!J$3*'BD Plant List'!AD$5</f>
        <v>0.90199999999999991</v>
      </c>
      <c r="K98" s="295">
        <f>'BD Plant List'!$H100/12*'BD Feedstock'!K$3*'BD Plant List'!AB$5</f>
        <v>5.8125</v>
      </c>
      <c r="L98" s="295">
        <f>'BD Plant List'!$H100/12*'BD Feedstock'!L$3*'BD Plant List'!AC$5</f>
        <v>2.0575000000000001</v>
      </c>
      <c r="M98" s="153"/>
      <c r="N98" s="295">
        <f>'BD Plant List'!$J100/12*'BD Feedstock'!N$3*'BD Plant List'!AC$5</f>
        <v>1.3716666666666666</v>
      </c>
      <c r="O98" s="295">
        <f>'BD Plant List'!$K100/12*'BD Feedstock'!O$3*'BD Plant List'!AC$5</f>
        <v>0.9053000000000001</v>
      </c>
      <c r="P98" s="295">
        <f>'BD Plant List'!$L100/12*'BD Feedstock'!P$3*'BD Plant List'!AE$5</f>
        <v>11.175000000000001</v>
      </c>
      <c r="Q98" s="295">
        <f>'BD Plant List'!$M100/12*'BD Feedstock'!Q$3*'BD Plant List'!AE$5</f>
        <v>0.93125000000000002</v>
      </c>
      <c r="R98" s="295">
        <f>'BD Plant List'!$N100/12*'BD Feedstock'!R$3*'BD Plant List'!AE$5</f>
        <v>26.540625000000002</v>
      </c>
      <c r="S98" s="295">
        <f>'BD Plant List'!$N100/12*'BD Feedstock'!S$3*'BD Plant List'!AF$5</f>
        <v>1.40625</v>
      </c>
      <c r="T98" s="295">
        <f>'BD Plant List'!$O100/12*'BD Feedstock'!T$3*'BD Plant List'!AB$5</f>
        <v>8.5732126770944213</v>
      </c>
      <c r="U98" s="295">
        <f>'BD Plant List'!$O100/12*'BD Feedstock'!U$3*'BD Plant List'!AC$5</f>
        <v>3.0347329175263269</v>
      </c>
    </row>
    <row r="99" spans="1:21" ht="18">
      <c r="A99" s="293">
        <v>42705</v>
      </c>
      <c r="B99" s="295">
        <f>'BD Plant List'!B101/12*'BD Plant List'!$AE$5*$B$3</f>
        <v>43.458333333333336</v>
      </c>
      <c r="C99" s="295">
        <f>'BD Plant List'!$C101/12*'BD Plant List'!$AB$5*'BD Feedstock'!$D$3</f>
        <v>0</v>
      </c>
      <c r="D99" s="295">
        <f>'BD Plant List'!$C101/12*'BD Plant List'!$AC$5*'BD Feedstock'!$D$3</f>
        <v>0</v>
      </c>
      <c r="E99" s="294"/>
      <c r="F99" s="294"/>
      <c r="G99" s="295">
        <f>'BD Plant List'!$E101/12*'BD Feedstock'!G$3*'BD Plant List'!AB$5</f>
        <v>1.453125</v>
      </c>
      <c r="H99" s="295">
        <f>'BD Plant List'!$E101/12*'BD Feedstock'!H$3*'BD Plant List'!AC$5</f>
        <v>0.51437500000000003</v>
      </c>
      <c r="I99" s="295">
        <f>'BD Plant List'!F101/12*'BD Feedstock'!I$3*'BD Plant List'!AC$5</f>
        <v>0.13716666666666666</v>
      </c>
      <c r="J99" s="295">
        <f>'BD Plant List'!G101/12*'BD Feedstock'!J$3*'BD Plant List'!AD$5</f>
        <v>0.90199999999999991</v>
      </c>
      <c r="K99" s="295">
        <f>'BD Plant List'!$H101/12*'BD Feedstock'!K$3*'BD Plant List'!AB$5</f>
        <v>5.8125</v>
      </c>
      <c r="L99" s="295">
        <f>'BD Plant List'!$H101/12*'BD Feedstock'!L$3*'BD Plant List'!AC$5</f>
        <v>2.0575000000000001</v>
      </c>
      <c r="M99" s="153"/>
      <c r="N99" s="295">
        <f>'BD Plant List'!$J101/12*'BD Feedstock'!N$3*'BD Plant List'!AC$5</f>
        <v>1.3716666666666666</v>
      </c>
      <c r="O99" s="295">
        <f>'BD Plant List'!$K101/12*'BD Feedstock'!O$3*'BD Plant List'!AC$5</f>
        <v>0.9053000000000001</v>
      </c>
      <c r="P99" s="295">
        <f>'BD Plant List'!$L101/12*'BD Feedstock'!P$3*'BD Plant List'!AE$5</f>
        <v>11.175000000000001</v>
      </c>
      <c r="Q99" s="295">
        <f>'BD Plant List'!$M101/12*'BD Feedstock'!Q$3*'BD Plant List'!AE$5</f>
        <v>0.93125000000000002</v>
      </c>
      <c r="R99" s="295">
        <f>'BD Plant List'!$N101/12*'BD Feedstock'!R$3*'BD Plant List'!AE$5</f>
        <v>26.540625000000002</v>
      </c>
      <c r="S99" s="295">
        <f>'BD Plant List'!$N101/12*'BD Feedstock'!S$3*'BD Plant List'!AF$5</f>
        <v>1.40625</v>
      </c>
      <c r="T99" s="295">
        <f>'BD Plant List'!$O101/12*'BD Feedstock'!T$3*'BD Plant List'!AB$5</f>
        <v>8.5732126770944213</v>
      </c>
      <c r="U99" s="295">
        <f>'BD Plant List'!$O101/12*'BD Feedstock'!U$3*'BD Plant List'!AC$5</f>
        <v>3.0347329175263269</v>
      </c>
    </row>
    <row r="100" spans="1:21" ht="18">
      <c r="A100" s="293">
        <v>42736</v>
      </c>
      <c r="B100" s="295">
        <f>'BD Plant List'!B102/12*'BD Plant List'!$AE$5*$B$3</f>
        <v>43.458333333333336</v>
      </c>
      <c r="C100" s="295">
        <f>'BD Plant List'!$C102/12*'BD Plant List'!$AB$5*'BD Feedstock'!$D$3</f>
        <v>0</v>
      </c>
      <c r="D100" s="295">
        <f>'BD Plant List'!$C102/12*'BD Plant List'!$AC$5*'BD Feedstock'!$D$3</f>
        <v>0</v>
      </c>
      <c r="E100" s="294"/>
      <c r="F100" s="294"/>
      <c r="G100" s="295">
        <f>'BD Plant List'!$E102/12*'BD Feedstock'!G$3*'BD Plant List'!AB$5</f>
        <v>1.453125</v>
      </c>
      <c r="H100" s="295">
        <f>'BD Plant List'!$E102/12*'BD Feedstock'!H$3*'BD Plant List'!AC$5</f>
        <v>0.51437500000000003</v>
      </c>
      <c r="I100" s="295">
        <f>'BD Plant List'!F102/12*'BD Feedstock'!I$3*'BD Plant List'!AC$5</f>
        <v>0.13716666666666666</v>
      </c>
      <c r="J100" s="295">
        <f>'BD Plant List'!G102/12*'BD Feedstock'!J$3*'BD Plant List'!AD$5</f>
        <v>0.90199999999999991</v>
      </c>
      <c r="K100" s="295">
        <f>'BD Plant List'!$H102/12*'BD Feedstock'!K$3*'BD Plant List'!AB$5</f>
        <v>5.8125</v>
      </c>
      <c r="L100" s="295">
        <f>'BD Plant List'!$H102/12*'BD Feedstock'!L$3*'BD Plant List'!AC$5</f>
        <v>2.0575000000000001</v>
      </c>
      <c r="M100" s="153"/>
      <c r="N100" s="295">
        <f>'BD Plant List'!$J102/12*'BD Feedstock'!N$3*'BD Plant List'!AC$5</f>
        <v>1.3716666666666666</v>
      </c>
      <c r="O100" s="295">
        <f>'BD Plant List'!$K102/12*'BD Feedstock'!O$3*'BD Plant List'!AC$5</f>
        <v>0.9053000000000001</v>
      </c>
      <c r="P100" s="295">
        <f>'BD Plant List'!$L102/12*'BD Feedstock'!P$3*'BD Plant List'!AE$5</f>
        <v>11.175000000000001</v>
      </c>
      <c r="Q100" s="295">
        <f>'BD Plant List'!$M102/12*'BD Feedstock'!Q$3*'BD Plant List'!AE$5</f>
        <v>0.93125000000000002</v>
      </c>
      <c r="R100" s="295">
        <f>'BD Plant List'!$N102/12*'BD Feedstock'!R$3*'BD Plant List'!AE$5</f>
        <v>26.540625000000002</v>
      </c>
      <c r="S100" s="295">
        <f>'BD Plant List'!$N102/12*'BD Feedstock'!S$3*'BD Plant List'!AF$5</f>
        <v>1.40625</v>
      </c>
      <c r="T100" s="295">
        <f>'BD Plant List'!$O102/12*'BD Feedstock'!T$3*'BD Plant List'!AB$5</f>
        <v>8.5732126770944213</v>
      </c>
      <c r="U100" s="295">
        <f>'BD Plant List'!$O102/12*'BD Feedstock'!U$3*'BD Plant List'!AC$5</f>
        <v>3.0347329175263269</v>
      </c>
    </row>
    <row r="101" spans="1:21" ht="18">
      <c r="A101" s="293">
        <v>42767</v>
      </c>
      <c r="B101" s="295">
        <f>'BD Plant List'!B103/12*'BD Plant List'!$AE$5*$B$3</f>
        <v>43.458333333333336</v>
      </c>
      <c r="C101" s="295">
        <f>'BD Plant List'!$C103/12*'BD Plant List'!$AB$5*'BD Feedstock'!$D$3</f>
        <v>0</v>
      </c>
      <c r="D101" s="295">
        <f>'BD Plant List'!$C103/12*'BD Plant List'!$AC$5*'BD Feedstock'!$D$3</f>
        <v>0</v>
      </c>
      <c r="E101" s="294"/>
      <c r="F101" s="294"/>
      <c r="G101" s="295">
        <f>'BD Plant List'!$E103/12*'BD Feedstock'!G$3*'BD Plant List'!AB$5</f>
        <v>1.453125</v>
      </c>
      <c r="H101" s="295">
        <f>'BD Plant List'!$E103/12*'BD Feedstock'!H$3*'BD Plant List'!AC$5</f>
        <v>0.51437500000000003</v>
      </c>
      <c r="I101" s="295">
        <f>'BD Plant List'!F103/12*'BD Feedstock'!I$3*'BD Plant List'!AC$5</f>
        <v>0.13716666666666666</v>
      </c>
      <c r="J101" s="295">
        <f>'BD Plant List'!G103/12*'BD Feedstock'!J$3*'BD Plant List'!AD$5</f>
        <v>0.90199999999999991</v>
      </c>
      <c r="K101" s="295">
        <f>'BD Plant List'!$H103/12*'BD Feedstock'!K$3*'BD Plant List'!AB$5</f>
        <v>5.8125</v>
      </c>
      <c r="L101" s="295">
        <f>'BD Plant List'!$H103/12*'BD Feedstock'!L$3*'BD Plant List'!AC$5</f>
        <v>2.0575000000000001</v>
      </c>
      <c r="M101" s="153"/>
      <c r="N101" s="295">
        <f>'BD Plant List'!$J103/12*'BD Feedstock'!N$3*'BD Plant List'!AC$5</f>
        <v>1.3716666666666666</v>
      </c>
      <c r="O101" s="295">
        <f>'BD Plant List'!$K103/12*'BD Feedstock'!O$3*'BD Plant List'!AC$5</f>
        <v>0.9053000000000001</v>
      </c>
      <c r="P101" s="295">
        <f>'BD Plant List'!$L103/12*'BD Feedstock'!P$3*'BD Plant List'!AE$5</f>
        <v>11.175000000000001</v>
      </c>
      <c r="Q101" s="295">
        <f>'BD Plant List'!$M103/12*'BD Feedstock'!Q$3*'BD Plant List'!AE$5</f>
        <v>0.93125000000000002</v>
      </c>
      <c r="R101" s="295">
        <f>'BD Plant List'!$N103/12*'BD Feedstock'!R$3*'BD Plant List'!AE$5</f>
        <v>26.540625000000002</v>
      </c>
      <c r="S101" s="295">
        <f>'BD Plant List'!$N103/12*'BD Feedstock'!S$3*'BD Plant List'!AF$5</f>
        <v>1.40625</v>
      </c>
      <c r="T101" s="295">
        <f>'BD Plant List'!$O103/12*'BD Feedstock'!T$3*'BD Plant List'!AB$5</f>
        <v>8.5732126770944213</v>
      </c>
      <c r="U101" s="295">
        <f>'BD Plant List'!$O103/12*'BD Feedstock'!U$3*'BD Plant List'!AC$5</f>
        <v>3.0347329175263269</v>
      </c>
    </row>
    <row r="102" spans="1:21" ht="18">
      <c r="A102" s="293">
        <v>42795</v>
      </c>
      <c r="B102" s="295">
        <f>'BD Plant List'!B104/12*'BD Plant List'!$AE$5*$B$3</f>
        <v>43.458333333333336</v>
      </c>
      <c r="C102" s="295">
        <f>'BD Plant List'!$C104/12*'BD Plant List'!$AB$5*'BD Feedstock'!$D$3</f>
        <v>0</v>
      </c>
      <c r="D102" s="295">
        <f>'BD Plant List'!$C104/12*'BD Plant List'!$AC$5*'BD Feedstock'!$D$3</f>
        <v>0</v>
      </c>
      <c r="E102" s="294"/>
      <c r="F102" s="294"/>
      <c r="G102" s="295">
        <f>'BD Plant List'!$E104/12*'BD Feedstock'!G$3*'BD Plant List'!AB$5</f>
        <v>1.453125</v>
      </c>
      <c r="H102" s="295">
        <f>'BD Plant List'!$E104/12*'BD Feedstock'!H$3*'BD Plant List'!AC$5</f>
        <v>0.51437500000000003</v>
      </c>
      <c r="I102" s="295">
        <f>'BD Plant List'!F104/12*'BD Feedstock'!I$3*'BD Plant List'!AC$5</f>
        <v>0.13716666666666666</v>
      </c>
      <c r="J102" s="295">
        <f>'BD Plant List'!G104/12*'BD Feedstock'!J$3*'BD Plant List'!AD$5</f>
        <v>0.90199999999999991</v>
      </c>
      <c r="K102" s="295">
        <f>'BD Plant List'!$H104/12*'BD Feedstock'!K$3*'BD Plant List'!AB$5</f>
        <v>5.8125</v>
      </c>
      <c r="L102" s="295">
        <f>'BD Plant List'!$H104/12*'BD Feedstock'!L$3*'BD Plant List'!AC$5</f>
        <v>2.0575000000000001</v>
      </c>
      <c r="M102" s="153"/>
      <c r="N102" s="295">
        <f>'BD Plant List'!$J104/12*'BD Feedstock'!N$3*'BD Plant List'!AC$5</f>
        <v>1.3716666666666666</v>
      </c>
      <c r="O102" s="295">
        <f>'BD Plant List'!$K104/12*'BD Feedstock'!O$3*'BD Plant List'!AC$5</f>
        <v>0.9053000000000001</v>
      </c>
      <c r="P102" s="295">
        <f>'BD Plant List'!$L104/12*'BD Feedstock'!P$3*'BD Plant List'!AE$5</f>
        <v>11.175000000000001</v>
      </c>
      <c r="Q102" s="295">
        <f>'BD Plant List'!$M104/12*'BD Feedstock'!Q$3*'BD Plant List'!AE$5</f>
        <v>0.93125000000000002</v>
      </c>
      <c r="R102" s="295">
        <f>'BD Plant List'!$N104/12*'BD Feedstock'!R$3*'BD Plant List'!AE$5</f>
        <v>26.540625000000002</v>
      </c>
      <c r="S102" s="295">
        <f>'BD Plant List'!$N104/12*'BD Feedstock'!S$3*'BD Plant List'!AF$5</f>
        <v>1.40625</v>
      </c>
      <c r="T102" s="295">
        <f>'BD Plant List'!$O104/12*'BD Feedstock'!T$3*'BD Plant List'!AB$5</f>
        <v>8.5732126770944213</v>
      </c>
      <c r="U102" s="295">
        <f>'BD Plant List'!$O104/12*'BD Feedstock'!U$3*'BD Plant List'!AC$5</f>
        <v>3.0347329175263269</v>
      </c>
    </row>
    <row r="103" spans="1:21" ht="18">
      <c r="A103" s="293">
        <v>42826</v>
      </c>
      <c r="B103" s="295">
        <f>'BD Plant List'!B105/12*'BD Plant List'!$AE$5*$B$3</f>
        <v>43.458333333333336</v>
      </c>
      <c r="C103" s="295">
        <f>'BD Plant List'!$C105/12*'BD Plant List'!$AB$5*'BD Feedstock'!$D$3</f>
        <v>0</v>
      </c>
      <c r="D103" s="295">
        <f>'BD Plant List'!$C105/12*'BD Plant List'!$AC$5*'BD Feedstock'!$D$3</f>
        <v>0</v>
      </c>
      <c r="E103" s="294"/>
      <c r="F103" s="294"/>
      <c r="G103" s="295">
        <f>'BD Plant List'!$E105/12*'BD Feedstock'!G$3*'BD Plant List'!AB$5</f>
        <v>1.453125</v>
      </c>
      <c r="H103" s="295">
        <f>'BD Plant List'!$E105/12*'BD Feedstock'!H$3*'BD Plant List'!AC$5</f>
        <v>0.51437500000000003</v>
      </c>
      <c r="I103" s="295">
        <f>'BD Plant List'!F105/12*'BD Feedstock'!I$3*'BD Plant List'!AC$5</f>
        <v>0.13716666666666666</v>
      </c>
      <c r="J103" s="295">
        <f>'BD Plant List'!G105/12*'BD Feedstock'!J$3*'BD Plant List'!AD$5</f>
        <v>0.90199999999999991</v>
      </c>
      <c r="K103" s="295">
        <f>'BD Plant List'!$H105/12*'BD Feedstock'!K$3*'BD Plant List'!AB$5</f>
        <v>5.8125</v>
      </c>
      <c r="L103" s="295">
        <f>'BD Plant List'!$H105/12*'BD Feedstock'!L$3*'BD Plant List'!AC$5</f>
        <v>2.0575000000000001</v>
      </c>
      <c r="M103" s="153"/>
      <c r="N103" s="295">
        <f>'BD Plant List'!$J105/12*'BD Feedstock'!N$3*'BD Plant List'!AC$5</f>
        <v>1.3716666666666666</v>
      </c>
      <c r="O103" s="295">
        <f>'BD Plant List'!$K105/12*'BD Feedstock'!O$3*'BD Plant List'!AC$5</f>
        <v>0.9053000000000001</v>
      </c>
      <c r="P103" s="295">
        <f>'BD Plant List'!$L105/12*'BD Feedstock'!P$3*'BD Plant List'!AE$5</f>
        <v>11.175000000000001</v>
      </c>
      <c r="Q103" s="295">
        <f>'BD Plant List'!$M105/12*'BD Feedstock'!Q$3*'BD Plant List'!AE$5</f>
        <v>0.93125000000000002</v>
      </c>
      <c r="R103" s="295">
        <f>'BD Plant List'!$N105/12*'BD Feedstock'!R$3*'BD Plant List'!AE$5</f>
        <v>26.540625000000002</v>
      </c>
      <c r="S103" s="295">
        <f>'BD Plant List'!$N105/12*'BD Feedstock'!S$3*'BD Plant List'!AF$5</f>
        <v>1.40625</v>
      </c>
      <c r="T103" s="295">
        <f>'BD Plant List'!$O105/12*'BD Feedstock'!T$3*'BD Plant List'!AB$5</f>
        <v>8.5732126770944213</v>
      </c>
      <c r="U103" s="295">
        <f>'BD Plant List'!$O105/12*'BD Feedstock'!U$3*'BD Plant List'!AC$5</f>
        <v>3.0347329175263269</v>
      </c>
    </row>
    <row r="104" spans="1:21" ht="18">
      <c r="A104" s="293">
        <v>42856</v>
      </c>
      <c r="B104" s="295">
        <f>'BD Plant List'!B106/12*'BD Plant List'!$AE$5*$B$3</f>
        <v>43.458333333333336</v>
      </c>
      <c r="C104" s="295">
        <f>'BD Plant List'!$C106/12*'BD Plant List'!$AB$5*'BD Feedstock'!$D$3</f>
        <v>0</v>
      </c>
      <c r="D104" s="295">
        <f>'BD Plant List'!$C106/12*'BD Plant List'!$AC$5*'BD Feedstock'!$D$3</f>
        <v>0</v>
      </c>
      <c r="E104" s="294"/>
      <c r="F104" s="294"/>
      <c r="G104" s="295">
        <f>'BD Plant List'!$E106/12*'BD Feedstock'!G$3*'BD Plant List'!AB$5</f>
        <v>1.453125</v>
      </c>
      <c r="H104" s="295">
        <f>'BD Plant List'!$E106/12*'BD Feedstock'!H$3*'BD Plant List'!AC$5</f>
        <v>0.51437500000000003</v>
      </c>
      <c r="I104" s="295">
        <f>'BD Plant List'!F106/12*'BD Feedstock'!I$3*'BD Plant List'!AC$5</f>
        <v>0.13716666666666666</v>
      </c>
      <c r="J104" s="295">
        <f>'BD Plant List'!G106/12*'BD Feedstock'!J$3*'BD Plant List'!AD$5</f>
        <v>0.90199999999999991</v>
      </c>
      <c r="K104" s="295">
        <f>'BD Plant List'!$H106/12*'BD Feedstock'!K$3*'BD Plant List'!AB$5</f>
        <v>5.8125</v>
      </c>
      <c r="L104" s="295">
        <f>'BD Plant List'!$H106/12*'BD Feedstock'!L$3*'BD Plant List'!AC$5</f>
        <v>2.0575000000000001</v>
      </c>
      <c r="M104" s="153"/>
      <c r="N104" s="295">
        <f>'BD Plant List'!$J106/12*'BD Feedstock'!N$3*'BD Plant List'!AC$5</f>
        <v>1.3716666666666666</v>
      </c>
      <c r="O104" s="295">
        <f>'BD Plant List'!$K106/12*'BD Feedstock'!O$3*'BD Plant List'!AC$5</f>
        <v>0.9053000000000001</v>
      </c>
      <c r="P104" s="295">
        <f>'BD Plant List'!$L106/12*'BD Feedstock'!P$3*'BD Plant List'!AE$5</f>
        <v>11.175000000000001</v>
      </c>
      <c r="Q104" s="295">
        <f>'BD Plant List'!$M106/12*'BD Feedstock'!Q$3*'BD Plant List'!AE$5</f>
        <v>0.93125000000000002</v>
      </c>
      <c r="R104" s="295">
        <f>'BD Plant List'!$N106/12*'BD Feedstock'!R$3*'BD Plant List'!AE$5</f>
        <v>26.540625000000002</v>
      </c>
      <c r="S104" s="295">
        <f>'BD Plant List'!$N106/12*'BD Feedstock'!S$3*'BD Plant List'!AF$5</f>
        <v>1.40625</v>
      </c>
      <c r="T104" s="295">
        <f>'BD Plant List'!$O106/12*'BD Feedstock'!T$3*'BD Plant List'!AB$5</f>
        <v>8.5732126770944213</v>
      </c>
      <c r="U104" s="295">
        <f>'BD Plant List'!$O106/12*'BD Feedstock'!U$3*'BD Plant List'!AC$5</f>
        <v>3.0347329175263269</v>
      </c>
    </row>
    <row r="105" spans="1:21" ht="18">
      <c r="A105" s="293">
        <v>42887</v>
      </c>
      <c r="B105" s="295">
        <f>'BD Plant List'!B107/12*'BD Plant List'!$AE$5*$B$3</f>
        <v>43.458333333333336</v>
      </c>
      <c r="C105" s="295">
        <f>'BD Plant List'!$C107/12*'BD Plant List'!$AB$5*'BD Feedstock'!$D$3</f>
        <v>0</v>
      </c>
      <c r="D105" s="295">
        <f>'BD Plant List'!$C107/12*'BD Plant List'!$AC$5*'BD Feedstock'!$D$3</f>
        <v>0</v>
      </c>
      <c r="E105" s="294"/>
      <c r="F105" s="294"/>
      <c r="G105" s="295">
        <f>'BD Plant List'!$E107/12*'BD Feedstock'!G$3*'BD Plant List'!AB$5</f>
        <v>1.453125</v>
      </c>
      <c r="H105" s="295">
        <f>'BD Plant List'!$E107/12*'BD Feedstock'!H$3*'BD Plant List'!AC$5</f>
        <v>0.51437500000000003</v>
      </c>
      <c r="I105" s="295">
        <f>'BD Plant List'!F107/12*'BD Feedstock'!I$3*'BD Plant List'!AC$5</f>
        <v>0.13716666666666666</v>
      </c>
      <c r="J105" s="295">
        <f>'BD Plant List'!G107/12*'BD Feedstock'!J$3*'BD Plant List'!AD$5</f>
        <v>0.90199999999999991</v>
      </c>
      <c r="K105" s="295">
        <f>'BD Plant List'!$H107/12*'BD Feedstock'!K$3*'BD Plant List'!AB$5</f>
        <v>5.8125</v>
      </c>
      <c r="L105" s="295">
        <f>'BD Plant List'!$H107/12*'BD Feedstock'!L$3*'BD Plant List'!AC$5</f>
        <v>2.0575000000000001</v>
      </c>
      <c r="M105" s="153"/>
      <c r="N105" s="295">
        <f>'BD Plant List'!$J107/12*'BD Feedstock'!N$3*'BD Plant List'!AC$5</f>
        <v>1.3716666666666666</v>
      </c>
      <c r="O105" s="295">
        <f>'BD Plant List'!$K107/12*'BD Feedstock'!O$3*'BD Plant List'!AC$5</f>
        <v>0.9053000000000001</v>
      </c>
      <c r="P105" s="295">
        <f>'BD Plant List'!$L107/12*'BD Feedstock'!P$3*'BD Plant List'!AE$5</f>
        <v>11.175000000000001</v>
      </c>
      <c r="Q105" s="295">
        <f>'BD Plant List'!$M107/12*'BD Feedstock'!Q$3*'BD Plant List'!AE$5</f>
        <v>0.93125000000000002</v>
      </c>
      <c r="R105" s="295">
        <f>'BD Plant List'!$N107/12*'BD Feedstock'!R$3*'BD Plant List'!AE$5</f>
        <v>26.540625000000002</v>
      </c>
      <c r="S105" s="295">
        <f>'BD Plant List'!$N107/12*'BD Feedstock'!S$3*'BD Plant List'!AF$5</f>
        <v>1.40625</v>
      </c>
      <c r="T105" s="295">
        <f>'BD Plant List'!$O107/12*'BD Feedstock'!T$3*'BD Plant List'!AB$5</f>
        <v>8.5732126770944213</v>
      </c>
      <c r="U105" s="295">
        <f>'BD Plant List'!$O107/12*'BD Feedstock'!U$3*'BD Plant List'!AC$5</f>
        <v>3.0347329175263269</v>
      </c>
    </row>
    <row r="106" spans="1:21" ht="18">
      <c r="A106" s="293">
        <v>42917</v>
      </c>
      <c r="B106" s="295">
        <f>'BD Plant List'!B108/12*'BD Plant List'!$AE$5*$B$3</f>
        <v>43.458333333333336</v>
      </c>
      <c r="C106" s="295">
        <f>'BD Plant List'!$C108/12*'BD Plant List'!$AB$5*'BD Feedstock'!$D$3</f>
        <v>0</v>
      </c>
      <c r="D106" s="295">
        <f>'BD Plant List'!$C108/12*'BD Plant List'!$AC$5*'BD Feedstock'!$D$3</f>
        <v>0</v>
      </c>
      <c r="E106" s="294"/>
      <c r="F106" s="294"/>
      <c r="G106" s="295">
        <f>'BD Plant List'!$E108/12*'BD Feedstock'!G$3*'BD Plant List'!AB$5</f>
        <v>1.453125</v>
      </c>
      <c r="H106" s="295">
        <f>'BD Plant List'!$E108/12*'BD Feedstock'!H$3*'BD Plant List'!AC$5</f>
        <v>0.51437500000000003</v>
      </c>
      <c r="I106" s="295">
        <f>'BD Plant List'!F108/12*'BD Feedstock'!I$3*'BD Plant List'!AC$5</f>
        <v>0.13716666666666666</v>
      </c>
      <c r="J106" s="295">
        <f>'BD Plant List'!G108/12*'BD Feedstock'!J$3*'BD Plant List'!AD$5</f>
        <v>0.90199999999999991</v>
      </c>
      <c r="K106" s="295">
        <f>'BD Plant List'!$H108/12*'BD Feedstock'!K$3*'BD Plant List'!AB$5</f>
        <v>5.8125</v>
      </c>
      <c r="L106" s="295">
        <f>'BD Plant List'!$H108/12*'BD Feedstock'!L$3*'BD Plant List'!AC$5</f>
        <v>2.0575000000000001</v>
      </c>
      <c r="M106" s="153"/>
      <c r="N106" s="295">
        <f>'BD Plant List'!$J108/12*'BD Feedstock'!N$3*'BD Plant List'!AC$5</f>
        <v>1.3716666666666666</v>
      </c>
      <c r="O106" s="295">
        <f>'BD Plant List'!$K108/12*'BD Feedstock'!O$3*'BD Plant List'!AC$5</f>
        <v>0.9053000000000001</v>
      </c>
      <c r="P106" s="295">
        <f>'BD Plant List'!$L108/12*'BD Feedstock'!P$3*'BD Plant List'!AE$5</f>
        <v>11.175000000000001</v>
      </c>
      <c r="Q106" s="295">
        <f>'BD Plant List'!$M108/12*'BD Feedstock'!Q$3*'BD Plant List'!AE$5</f>
        <v>0.93125000000000002</v>
      </c>
      <c r="R106" s="295">
        <f>'BD Plant List'!$N108/12*'BD Feedstock'!R$3*'BD Plant List'!AE$5</f>
        <v>26.540625000000002</v>
      </c>
      <c r="S106" s="295">
        <f>'BD Plant List'!$N108/12*'BD Feedstock'!S$3*'BD Plant List'!AF$5</f>
        <v>1.40625</v>
      </c>
      <c r="T106" s="295">
        <f>'BD Plant List'!$O108/12*'BD Feedstock'!T$3*'BD Plant List'!AB$5</f>
        <v>8.5732126770944213</v>
      </c>
      <c r="U106" s="295">
        <f>'BD Plant List'!$O108/12*'BD Feedstock'!U$3*'BD Plant List'!AC$5</f>
        <v>3.0347329175263269</v>
      </c>
    </row>
    <row r="107" spans="1:21" ht="18">
      <c r="A107" s="293">
        <v>42948</v>
      </c>
      <c r="B107" s="295">
        <f>'BD Plant List'!B109/12*'BD Plant List'!$AE$5*$B$3</f>
        <v>43.458333333333336</v>
      </c>
      <c r="C107" s="295">
        <f>'BD Plant List'!$C109/12*'BD Plant List'!$AB$5*'BD Feedstock'!$D$3</f>
        <v>0</v>
      </c>
      <c r="D107" s="295">
        <f>'BD Plant List'!$C109/12*'BD Plant List'!$AC$5*'BD Feedstock'!$D$3</f>
        <v>0</v>
      </c>
      <c r="E107" s="294"/>
      <c r="F107" s="294"/>
      <c r="G107" s="295">
        <f>'BD Plant List'!$E109/12*'BD Feedstock'!G$3*'BD Plant List'!AB$5</f>
        <v>1.453125</v>
      </c>
      <c r="H107" s="295">
        <f>'BD Plant List'!$E109/12*'BD Feedstock'!H$3*'BD Plant List'!AC$5</f>
        <v>0.51437500000000003</v>
      </c>
      <c r="I107" s="295">
        <f>'BD Plant List'!F109/12*'BD Feedstock'!I$3*'BD Plant List'!AC$5</f>
        <v>0.13716666666666666</v>
      </c>
      <c r="J107" s="295">
        <f>'BD Plant List'!G109/12*'BD Feedstock'!J$3*'BD Plant List'!AD$5</f>
        <v>0.90199999999999991</v>
      </c>
      <c r="K107" s="295">
        <f>'BD Plant List'!$H109/12*'BD Feedstock'!K$3*'BD Plant List'!AB$5</f>
        <v>5.8125</v>
      </c>
      <c r="L107" s="295">
        <f>'BD Plant List'!$H109/12*'BD Feedstock'!L$3*'BD Plant List'!AC$5</f>
        <v>2.0575000000000001</v>
      </c>
      <c r="M107" s="153"/>
      <c r="N107" s="295">
        <f>'BD Plant List'!$J109/12*'BD Feedstock'!N$3*'BD Plant List'!AC$5</f>
        <v>1.3716666666666666</v>
      </c>
      <c r="O107" s="295">
        <f>'BD Plant List'!$K109/12*'BD Feedstock'!O$3*'BD Plant List'!AC$5</f>
        <v>0.9053000000000001</v>
      </c>
      <c r="P107" s="295">
        <f>'BD Plant List'!$L109/12*'BD Feedstock'!P$3*'BD Plant List'!AE$5</f>
        <v>11.175000000000001</v>
      </c>
      <c r="Q107" s="295">
        <f>'BD Plant List'!$M109/12*'BD Feedstock'!Q$3*'BD Plant List'!AE$5</f>
        <v>0.93125000000000002</v>
      </c>
      <c r="R107" s="295">
        <f>'BD Plant List'!$N109/12*'BD Feedstock'!R$3*'BD Plant List'!AE$5</f>
        <v>26.540625000000002</v>
      </c>
      <c r="S107" s="295">
        <f>'BD Plant List'!$N109/12*'BD Feedstock'!S$3*'BD Plant List'!AF$5</f>
        <v>1.40625</v>
      </c>
      <c r="T107" s="295">
        <f>'BD Plant List'!$O109/12*'BD Feedstock'!T$3*'BD Plant List'!AB$5</f>
        <v>8.5732126770944213</v>
      </c>
      <c r="U107" s="295">
        <f>'BD Plant List'!$O109/12*'BD Feedstock'!U$3*'BD Plant List'!AC$5</f>
        <v>3.0347329175263269</v>
      </c>
    </row>
    <row r="108" spans="1:21" ht="18">
      <c r="A108" s="293">
        <v>42979</v>
      </c>
      <c r="B108" s="295">
        <f>'BD Plant List'!B110/12*'BD Plant List'!$AE$5*$B$3</f>
        <v>43.458333333333336</v>
      </c>
      <c r="C108" s="295">
        <f>'BD Plant List'!$C110/12*'BD Plant List'!$AB$5*'BD Feedstock'!$D$3</f>
        <v>0.80729166666666674</v>
      </c>
      <c r="D108" s="295">
        <f>'BD Plant List'!$C110/12*'BD Plant List'!$AC$5*'BD Feedstock'!$D$3</f>
        <v>0.85729166666666679</v>
      </c>
      <c r="E108" s="294"/>
      <c r="F108" s="294"/>
      <c r="G108" s="295">
        <f>'BD Plant List'!$E110/12*'BD Feedstock'!G$3*'BD Plant List'!AB$5</f>
        <v>1.453125</v>
      </c>
      <c r="H108" s="295">
        <f>'BD Plant List'!$E110/12*'BD Feedstock'!H$3*'BD Plant List'!AC$5</f>
        <v>0.51437500000000003</v>
      </c>
      <c r="I108" s="295">
        <f>'BD Plant List'!F110/12*'BD Feedstock'!I$3*'BD Plant List'!AC$5</f>
        <v>0.13716666666666666</v>
      </c>
      <c r="J108" s="295">
        <f>'BD Plant List'!G110/12*'BD Feedstock'!J$3*'BD Plant List'!AD$5</f>
        <v>0.90199999999999991</v>
      </c>
      <c r="K108" s="295">
        <f>'BD Plant List'!$H110/12*'BD Feedstock'!K$3*'BD Plant List'!AB$5</f>
        <v>5.8125</v>
      </c>
      <c r="L108" s="295">
        <f>'BD Plant List'!$H110/12*'BD Feedstock'!L$3*'BD Plant List'!AC$5</f>
        <v>2.0575000000000001</v>
      </c>
      <c r="M108" s="153"/>
      <c r="N108" s="295">
        <f>'BD Plant List'!$J110/12*'BD Feedstock'!N$3*'BD Plant List'!AC$5</f>
        <v>1.3716666666666666</v>
      </c>
      <c r="O108" s="295">
        <f>'BD Plant List'!$K110/12*'BD Feedstock'!O$3*'BD Plant List'!AC$5</f>
        <v>0.9053000000000001</v>
      </c>
      <c r="P108" s="295">
        <f>'BD Plant List'!$L110/12*'BD Feedstock'!P$3*'BD Plant List'!AE$5</f>
        <v>11.175000000000001</v>
      </c>
      <c r="Q108" s="295">
        <f>'BD Plant List'!$M110/12*'BD Feedstock'!Q$3*'BD Plant List'!AE$5</f>
        <v>0.93125000000000002</v>
      </c>
      <c r="R108" s="295">
        <f>'BD Plant List'!$N110/12*'BD Feedstock'!R$3*'BD Plant List'!AE$5</f>
        <v>26.540625000000002</v>
      </c>
      <c r="S108" s="295">
        <f>'BD Plant List'!$N110/12*'BD Feedstock'!S$3*'BD Plant List'!AF$5</f>
        <v>1.40625</v>
      </c>
      <c r="T108" s="295">
        <f>'BD Plant List'!$O110/12*'BD Feedstock'!T$3*'BD Plant List'!AB$5</f>
        <v>8.5732126770944213</v>
      </c>
      <c r="U108" s="295">
        <f>'BD Plant List'!$O110/12*'BD Feedstock'!U$3*'BD Plant List'!AC$5</f>
        <v>3.0347329175263269</v>
      </c>
    </row>
    <row r="109" spans="1:21" ht="18">
      <c r="A109" s="293">
        <v>43009</v>
      </c>
      <c r="B109" s="295">
        <f>'BD Plant List'!B111/12*'BD Plant List'!$AE$5*$B$3</f>
        <v>43.458333333333336</v>
      </c>
      <c r="C109" s="295">
        <f>'BD Plant List'!$C111/12*'BD Plant List'!$AB$5*'BD Feedstock'!$D$3</f>
        <v>1.6145833333333335</v>
      </c>
      <c r="D109" s="295">
        <f>'BD Plant List'!$C111/12*'BD Plant List'!$AC$5*'BD Feedstock'!$D$3</f>
        <v>1.7145833333333336</v>
      </c>
      <c r="E109" s="294"/>
      <c r="F109" s="294"/>
      <c r="G109" s="295">
        <f>'BD Plant List'!$E111/12*'BD Feedstock'!G$3*'BD Plant List'!AB$5</f>
        <v>1.453125</v>
      </c>
      <c r="H109" s="295">
        <f>'BD Plant List'!$E111/12*'BD Feedstock'!H$3*'BD Plant List'!AC$5</f>
        <v>0.51437500000000003</v>
      </c>
      <c r="I109" s="295">
        <f>'BD Plant List'!F111/12*'BD Feedstock'!I$3*'BD Plant List'!AC$5</f>
        <v>0.13716666666666666</v>
      </c>
      <c r="J109" s="295">
        <f>'BD Plant List'!G111/12*'BD Feedstock'!J$3*'BD Plant List'!AD$5</f>
        <v>0.90199999999999991</v>
      </c>
      <c r="K109" s="295">
        <f>'BD Plant List'!$H111/12*'BD Feedstock'!K$3*'BD Plant List'!AB$5</f>
        <v>5.8125</v>
      </c>
      <c r="L109" s="295">
        <f>'BD Plant List'!$H111/12*'BD Feedstock'!L$3*'BD Plant List'!AC$5</f>
        <v>2.0575000000000001</v>
      </c>
      <c r="M109" s="153"/>
      <c r="N109" s="295">
        <f>'BD Plant List'!$J111/12*'BD Feedstock'!N$3*'BD Plant List'!AC$5</f>
        <v>1.3716666666666666</v>
      </c>
      <c r="O109" s="295">
        <f>'BD Plant List'!$K111/12*'BD Feedstock'!O$3*'BD Plant List'!AC$5</f>
        <v>0.9053000000000001</v>
      </c>
      <c r="P109" s="295">
        <f>'BD Plant List'!$L111/12*'BD Feedstock'!P$3*'BD Plant List'!AE$5</f>
        <v>11.175000000000001</v>
      </c>
      <c r="Q109" s="295">
        <f>'BD Plant List'!$M111/12*'BD Feedstock'!Q$3*'BD Plant List'!AE$5</f>
        <v>0.93125000000000002</v>
      </c>
      <c r="R109" s="295">
        <f>'BD Plant List'!$N111/12*'BD Feedstock'!R$3*'BD Plant List'!AE$5</f>
        <v>26.540625000000002</v>
      </c>
      <c r="S109" s="295">
        <f>'BD Plant List'!$N111/12*'BD Feedstock'!S$3*'BD Plant List'!AF$5</f>
        <v>1.40625</v>
      </c>
      <c r="T109" s="295">
        <f>'BD Plant List'!$O111/12*'BD Feedstock'!T$3*'BD Plant List'!AB$5</f>
        <v>8.5732126770944213</v>
      </c>
      <c r="U109" s="295">
        <f>'BD Plant List'!$O111/12*'BD Feedstock'!U$3*'BD Plant List'!AC$5</f>
        <v>3.0347329175263269</v>
      </c>
    </row>
    <row r="110" spans="1:21" ht="18">
      <c r="A110" s="293">
        <v>43040</v>
      </c>
      <c r="B110" s="295">
        <f>'BD Plant List'!B112/12*'BD Plant List'!$AE$5*$B$3</f>
        <v>43.458333333333336</v>
      </c>
      <c r="C110" s="295">
        <f>'BD Plant List'!$C112/12*'BD Plant List'!$AB$5*'BD Feedstock'!$D$3</f>
        <v>2.098958333333333</v>
      </c>
      <c r="D110" s="295">
        <f>'BD Plant List'!$C112/12*'BD Plant List'!$AC$5*'BD Feedstock'!$D$3</f>
        <v>2.2289583333333334</v>
      </c>
      <c r="E110" s="294"/>
      <c r="F110" s="294"/>
      <c r="G110" s="295">
        <f>'BD Plant List'!$E112/12*'BD Feedstock'!G$3*'BD Plant List'!AB$5</f>
        <v>1.453125</v>
      </c>
      <c r="H110" s="295">
        <f>'BD Plant List'!$E112/12*'BD Feedstock'!H$3*'BD Plant List'!AC$5</f>
        <v>0.51437500000000003</v>
      </c>
      <c r="I110" s="295">
        <f>'BD Plant List'!F112/12*'BD Feedstock'!I$3*'BD Plant List'!AC$5</f>
        <v>0.13716666666666666</v>
      </c>
      <c r="J110" s="295">
        <f>'BD Plant List'!G112/12*'BD Feedstock'!J$3*'BD Plant List'!AD$5</f>
        <v>0.90199999999999991</v>
      </c>
      <c r="K110" s="295">
        <f>'BD Plant List'!$H112/12*'BD Feedstock'!K$3*'BD Plant List'!AB$5</f>
        <v>5.8125</v>
      </c>
      <c r="L110" s="295">
        <f>'BD Plant List'!$H112/12*'BD Feedstock'!L$3*'BD Plant List'!AC$5</f>
        <v>2.0575000000000001</v>
      </c>
      <c r="M110" s="153"/>
      <c r="N110" s="295">
        <f>'BD Plant List'!$J112/12*'BD Feedstock'!N$3*'BD Plant List'!AC$5</f>
        <v>1.3716666666666666</v>
      </c>
      <c r="O110" s="295">
        <f>'BD Plant List'!$K112/12*'BD Feedstock'!O$3*'BD Plant List'!AC$5</f>
        <v>0.9053000000000001</v>
      </c>
      <c r="P110" s="295">
        <f>'BD Plant List'!$L112/12*'BD Feedstock'!P$3*'BD Plant List'!AE$5</f>
        <v>11.175000000000001</v>
      </c>
      <c r="Q110" s="295">
        <f>'BD Plant List'!$M112/12*'BD Feedstock'!Q$3*'BD Plant List'!AE$5</f>
        <v>0.93125000000000002</v>
      </c>
      <c r="R110" s="295">
        <f>'BD Plant List'!$N112/12*'BD Feedstock'!R$3*'BD Plant List'!AE$5</f>
        <v>26.540625000000002</v>
      </c>
      <c r="S110" s="295">
        <f>'BD Plant List'!$N112/12*'BD Feedstock'!S$3*'BD Plant List'!AF$5</f>
        <v>1.40625</v>
      </c>
      <c r="T110" s="295">
        <f>'BD Plant List'!$O112/12*'BD Feedstock'!T$3*'BD Plant List'!AB$5</f>
        <v>8.5732126770944213</v>
      </c>
      <c r="U110" s="295">
        <f>'BD Plant List'!$O112/12*'BD Feedstock'!U$3*'BD Plant List'!AC$5</f>
        <v>3.0347329175263269</v>
      </c>
    </row>
    <row r="111" spans="1:21" ht="18">
      <c r="A111" s="293">
        <v>43070</v>
      </c>
      <c r="B111" s="295">
        <f>'BD Plant List'!B113/12*'BD Plant List'!$AE$5*$B$3</f>
        <v>43.458333333333336</v>
      </c>
      <c r="C111" s="295">
        <f>'BD Plant List'!$C113/12*'BD Plant List'!$AB$5*'BD Feedstock'!$D$3</f>
        <v>2.098958333333333</v>
      </c>
      <c r="D111" s="295">
        <f>'BD Plant List'!$C113/12*'BD Plant List'!$AC$5*'BD Feedstock'!$D$3</f>
        <v>2.2289583333333334</v>
      </c>
      <c r="E111" s="294"/>
      <c r="F111" s="294"/>
      <c r="G111" s="295">
        <f>'BD Plant List'!$E113/12*'BD Feedstock'!G$3*'BD Plant List'!AB$5</f>
        <v>1.453125</v>
      </c>
      <c r="H111" s="295">
        <f>'BD Plant List'!$E113/12*'BD Feedstock'!H$3*'BD Plant List'!AC$5</f>
        <v>0.51437500000000003</v>
      </c>
      <c r="I111" s="295">
        <f>'BD Plant List'!F113/12*'BD Feedstock'!I$3*'BD Plant List'!AC$5</f>
        <v>0.13716666666666666</v>
      </c>
      <c r="J111" s="295">
        <f>'BD Plant List'!G113/12*'BD Feedstock'!J$3*'BD Plant List'!AD$5</f>
        <v>0.90199999999999991</v>
      </c>
      <c r="K111" s="295">
        <f>'BD Plant List'!$H113/12*'BD Feedstock'!K$3*'BD Plant List'!AB$5</f>
        <v>5.8125</v>
      </c>
      <c r="L111" s="295">
        <f>'BD Plant List'!$H113/12*'BD Feedstock'!L$3*'BD Plant List'!AC$5</f>
        <v>2.0575000000000001</v>
      </c>
      <c r="M111" s="153"/>
      <c r="N111" s="295">
        <f>'BD Plant List'!$J113/12*'BD Feedstock'!N$3*'BD Plant List'!AC$5</f>
        <v>1.3716666666666666</v>
      </c>
      <c r="O111" s="295">
        <f>'BD Plant List'!$K113/12*'BD Feedstock'!O$3*'BD Plant List'!AC$5</f>
        <v>0.9053000000000001</v>
      </c>
      <c r="P111" s="295">
        <f>'BD Plant List'!$L113/12*'BD Feedstock'!P$3*'BD Plant List'!AE$5</f>
        <v>11.175000000000001</v>
      </c>
      <c r="Q111" s="295">
        <f>'BD Plant List'!$M113/12*'BD Feedstock'!Q$3*'BD Plant List'!AE$5</f>
        <v>0.93125000000000002</v>
      </c>
      <c r="R111" s="295">
        <f>'BD Plant List'!$N113/12*'BD Feedstock'!R$3*'BD Plant List'!AE$5</f>
        <v>26.540625000000002</v>
      </c>
      <c r="S111" s="295">
        <f>'BD Plant List'!$N113/12*'BD Feedstock'!S$3*'BD Plant List'!AF$5</f>
        <v>1.40625</v>
      </c>
      <c r="T111" s="295">
        <f>'BD Plant List'!$O113/12*'BD Feedstock'!T$3*'BD Plant List'!AB$5</f>
        <v>8.5732126770944213</v>
      </c>
      <c r="U111" s="295">
        <f>'BD Plant List'!$O113/12*'BD Feedstock'!U$3*'BD Plant List'!AC$5</f>
        <v>3.0347329175263269</v>
      </c>
    </row>
    <row r="112" spans="1:21" ht="18">
      <c r="A112" s="293">
        <v>43101</v>
      </c>
      <c r="B112" s="295">
        <f>'BD Plant List'!B114/12*'BD Plant List'!$AE$5*$B$3</f>
        <v>43.458333333333336</v>
      </c>
      <c r="C112" s="295">
        <f>'BD Plant List'!$C114/12*'BD Plant List'!$AB$5*'BD Feedstock'!$D$3</f>
        <v>2.098958333333333</v>
      </c>
      <c r="D112" s="295">
        <f>'BD Plant List'!$C114/12*'BD Plant List'!$AC$5*'BD Feedstock'!$D$3</f>
        <v>2.2289583333333334</v>
      </c>
      <c r="E112" s="294"/>
      <c r="F112" s="294"/>
      <c r="G112" s="295">
        <f>'BD Plant List'!$E114/12*'BD Feedstock'!G$3*'BD Plant List'!AB$5</f>
        <v>1.453125</v>
      </c>
      <c r="H112" s="295">
        <f>'BD Plant List'!$E114/12*'BD Feedstock'!H$3*'BD Plant List'!AC$5</f>
        <v>0.51437500000000003</v>
      </c>
      <c r="I112" s="295">
        <f>'BD Plant List'!F114/12*'BD Feedstock'!I$3*'BD Plant List'!AC$5</f>
        <v>0.13716666666666666</v>
      </c>
      <c r="J112" s="295">
        <f>'BD Plant List'!G114/12*'BD Feedstock'!J$3*'BD Plant List'!AD$5</f>
        <v>0.90199999999999991</v>
      </c>
      <c r="K112" s="295">
        <f>'BD Plant List'!$H114/12*'BD Feedstock'!K$3*'BD Plant List'!AB$5</f>
        <v>5.8125</v>
      </c>
      <c r="L112" s="295">
        <f>'BD Plant List'!$H114/12*'BD Feedstock'!L$3*'BD Plant List'!AC$5</f>
        <v>2.0575000000000001</v>
      </c>
      <c r="M112" s="295">
        <f>'BD Plant List'!$I114/12*'BD Feedstock'!$M$3*'BD Plant List'!AC$5</f>
        <v>1.0287500000000001</v>
      </c>
      <c r="N112" s="295">
        <f>'BD Plant List'!$J114/12*'BD Feedstock'!N$3*'BD Plant List'!AC$5</f>
        <v>1.3716666666666666</v>
      </c>
      <c r="O112" s="295">
        <f>'BD Plant List'!$K114/12*'BD Feedstock'!O$3*'BD Plant List'!AC$5</f>
        <v>0.9053000000000001</v>
      </c>
      <c r="P112" s="295">
        <f>'BD Plant List'!$L114/12*'BD Feedstock'!P$3*'BD Plant List'!AE$5</f>
        <v>11.175000000000001</v>
      </c>
      <c r="Q112" s="295">
        <f>'BD Plant List'!$M114/12*'BD Feedstock'!Q$3*'BD Plant List'!AE$5</f>
        <v>0.93125000000000002</v>
      </c>
      <c r="R112" s="295">
        <f>'BD Plant List'!$N114/12*'BD Feedstock'!R$3*'BD Plant List'!AE$5</f>
        <v>26.540625000000002</v>
      </c>
      <c r="S112" s="295">
        <f>'BD Plant List'!$N114/12*'BD Feedstock'!S$3*'BD Plant List'!AF$5</f>
        <v>1.40625</v>
      </c>
      <c r="T112" s="295">
        <f>'BD Plant List'!$O114/12*'BD Feedstock'!T$3*'BD Plant List'!AB$5</f>
        <v>8.5732126770944213</v>
      </c>
      <c r="U112" s="295">
        <f>'BD Plant List'!$O114/12*'BD Feedstock'!U$3*'BD Plant List'!AC$5</f>
        <v>3.0347329175263269</v>
      </c>
    </row>
    <row r="113" spans="1:21" ht="18">
      <c r="A113" s="293">
        <v>43132</v>
      </c>
      <c r="B113" s="295">
        <f>'BD Plant List'!B115/12*'BD Plant List'!$AE$5*$B$3</f>
        <v>43.458333333333336</v>
      </c>
      <c r="C113" s="295">
        <f>'BD Plant List'!$C115/12*'BD Plant List'!$AB$5*'BD Feedstock'!$D$3</f>
        <v>2.098958333333333</v>
      </c>
      <c r="D113" s="295">
        <f>'BD Plant List'!$C115/12*'BD Plant List'!$AC$5*'BD Feedstock'!$D$3</f>
        <v>2.2289583333333334</v>
      </c>
      <c r="E113" s="294"/>
      <c r="F113" s="294"/>
      <c r="G113" s="295">
        <f>'BD Plant List'!$E115/12*'BD Feedstock'!G$3*'BD Plant List'!AB$5</f>
        <v>1.453125</v>
      </c>
      <c r="H113" s="295">
        <f>'BD Plant List'!$E115/12*'BD Feedstock'!H$3*'BD Plant List'!AC$5</f>
        <v>0.51437500000000003</v>
      </c>
      <c r="I113" s="295">
        <f>'BD Plant List'!F115/12*'BD Feedstock'!I$3*'BD Plant List'!AC$5</f>
        <v>0.13716666666666666</v>
      </c>
      <c r="J113" s="295">
        <f>'BD Plant List'!G115/12*'BD Feedstock'!J$3*'BD Plant List'!AD$5</f>
        <v>0.90199999999999991</v>
      </c>
      <c r="K113" s="295">
        <f>'BD Plant List'!$H115/12*'BD Feedstock'!K$3*'BD Plant List'!AB$5</f>
        <v>5.8125</v>
      </c>
      <c r="L113" s="295">
        <f>'BD Plant List'!$H115/12*'BD Feedstock'!L$3*'BD Plant List'!AC$5</f>
        <v>2.0575000000000001</v>
      </c>
      <c r="M113" s="295">
        <f>'BD Plant List'!$I115/12*'BD Feedstock'!$M$3*'BD Plant List'!AC$5</f>
        <v>1.0287500000000001</v>
      </c>
      <c r="N113" s="295">
        <f>'BD Plant List'!$J115/12*'BD Feedstock'!N$3*'BD Plant List'!AC$5</f>
        <v>1.3716666666666666</v>
      </c>
      <c r="O113" s="295">
        <f>'BD Plant List'!$K115/12*'BD Feedstock'!O$3*'BD Plant List'!AC$5</f>
        <v>0.9053000000000001</v>
      </c>
      <c r="P113" s="295">
        <f>'BD Plant List'!$L115/12*'BD Feedstock'!P$3*'BD Plant List'!AE$5</f>
        <v>11.175000000000001</v>
      </c>
      <c r="Q113" s="295">
        <f>'BD Plant List'!$M115/12*'BD Feedstock'!Q$3*'BD Plant List'!AE$5</f>
        <v>0.93125000000000002</v>
      </c>
      <c r="R113" s="295">
        <f>'BD Plant List'!$N115/12*'BD Feedstock'!R$3*'BD Plant List'!AE$5</f>
        <v>26.540625000000002</v>
      </c>
      <c r="S113" s="295">
        <f>'BD Plant List'!$N115/12*'BD Feedstock'!S$3*'BD Plant List'!AF$5</f>
        <v>1.40625</v>
      </c>
      <c r="T113" s="295">
        <f>'BD Plant List'!$O115/12*'BD Feedstock'!T$3*'BD Plant List'!AB$5</f>
        <v>8.5732126770944213</v>
      </c>
      <c r="U113" s="295">
        <f>'BD Plant List'!$O115/12*'BD Feedstock'!U$3*'BD Plant List'!AC$5</f>
        <v>3.0347329175263269</v>
      </c>
    </row>
    <row r="114" spans="1:21" ht="18">
      <c r="A114" s="293">
        <v>43160</v>
      </c>
      <c r="B114" s="295">
        <f>'BD Plant List'!B116/12*'BD Plant List'!$AE$5*$B$3</f>
        <v>43.458333333333336</v>
      </c>
      <c r="C114" s="295">
        <f>'BD Plant List'!$C116/12*'BD Plant List'!$AB$5*'BD Feedstock'!$D$3</f>
        <v>2.098958333333333</v>
      </c>
      <c r="D114" s="295">
        <f>'BD Plant List'!$C116/12*'BD Plant List'!$AC$5*'BD Feedstock'!$D$3</f>
        <v>2.2289583333333334</v>
      </c>
      <c r="E114" s="294"/>
      <c r="F114" s="294"/>
      <c r="G114" s="295">
        <f>'BD Plant List'!$E116/12*'BD Feedstock'!G$3*'BD Plant List'!AB$5</f>
        <v>1.453125</v>
      </c>
      <c r="H114" s="295">
        <f>'BD Plant List'!$E116/12*'BD Feedstock'!H$3*'BD Plant List'!AC$5</f>
        <v>0.51437500000000003</v>
      </c>
      <c r="I114" s="295">
        <f>'BD Plant List'!F116/12*'BD Feedstock'!I$3*'BD Plant List'!AC$5</f>
        <v>0.13716666666666666</v>
      </c>
      <c r="J114" s="295">
        <f>'BD Plant List'!G116/12*'BD Feedstock'!J$3*'BD Plant List'!AD$5</f>
        <v>0.90199999999999991</v>
      </c>
      <c r="K114" s="295">
        <f>'BD Plant List'!$H116/12*'BD Feedstock'!K$3*'BD Plant List'!AB$5</f>
        <v>5.8125</v>
      </c>
      <c r="L114" s="295">
        <f>'BD Plant List'!$H116/12*'BD Feedstock'!L$3*'BD Plant List'!AC$5</f>
        <v>2.0575000000000001</v>
      </c>
      <c r="M114" s="295">
        <f>'BD Plant List'!$I116/12*'BD Feedstock'!$M$3*'BD Plant List'!AC$5</f>
        <v>1.0287500000000001</v>
      </c>
      <c r="N114" s="295">
        <f>'BD Plant List'!$J116/12*'BD Feedstock'!N$3*'BD Plant List'!AC$5</f>
        <v>1.3716666666666666</v>
      </c>
      <c r="O114" s="295">
        <f>'BD Plant List'!$K116/12*'BD Feedstock'!O$3*'BD Plant List'!AC$5</f>
        <v>0.9053000000000001</v>
      </c>
      <c r="P114" s="295">
        <f>'BD Plant List'!$L116/12*'BD Feedstock'!P$3*'BD Plant List'!AE$5</f>
        <v>0</v>
      </c>
      <c r="Q114" s="295">
        <f>'BD Plant List'!$M116/12*'BD Feedstock'!Q$3*'BD Plant List'!AE$5</f>
        <v>0.93125000000000002</v>
      </c>
      <c r="R114" s="295">
        <f>'BD Plant List'!$N116/12*'BD Feedstock'!R$3*'BD Plant List'!AE$5</f>
        <v>26.540625000000002</v>
      </c>
      <c r="S114" s="295">
        <f>'BD Plant List'!$N116/12*'BD Feedstock'!S$3*'BD Plant List'!AF$5</f>
        <v>1.40625</v>
      </c>
      <c r="T114" s="295">
        <f>'BD Plant List'!$O116/12*'BD Feedstock'!T$3*'BD Plant List'!AB$5</f>
        <v>8.5732126770944213</v>
      </c>
      <c r="U114" s="295">
        <f>'BD Plant List'!$O116/12*'BD Feedstock'!U$3*'BD Plant List'!AC$5</f>
        <v>3.0347329175263269</v>
      </c>
    </row>
    <row r="115" spans="1:21" ht="18">
      <c r="A115" s="293">
        <v>43191</v>
      </c>
      <c r="B115" s="295">
        <f>'BD Plant List'!B117/12*'BD Plant List'!$AE$5*$B$3</f>
        <v>43.458333333333336</v>
      </c>
      <c r="C115" s="295">
        <f>'BD Plant List'!$C117/12*'BD Plant List'!$AB$5*'BD Feedstock'!$D$3</f>
        <v>2.098958333333333</v>
      </c>
      <c r="D115" s="295">
        <f>'BD Plant List'!$C117/12*'BD Plant List'!$AC$5*'BD Feedstock'!$D$3</f>
        <v>2.2289583333333334</v>
      </c>
      <c r="E115" s="294"/>
      <c r="F115" s="294"/>
      <c r="G115" s="295">
        <f>'BD Plant List'!$E117/12*'BD Feedstock'!G$3*'BD Plant List'!AB$5</f>
        <v>1.453125</v>
      </c>
      <c r="H115" s="295">
        <f>'BD Plant List'!$E117/12*'BD Feedstock'!H$3*'BD Plant List'!AC$5</f>
        <v>0.51437500000000003</v>
      </c>
      <c r="I115" s="295">
        <f>'BD Plant List'!F117/12*'BD Feedstock'!I$3*'BD Plant List'!AC$5</f>
        <v>0.13716666666666666</v>
      </c>
      <c r="J115" s="295">
        <f>'BD Plant List'!G117/12*'BD Feedstock'!J$3*'BD Plant List'!AD$5</f>
        <v>0.90199999999999991</v>
      </c>
      <c r="K115" s="295">
        <f>'BD Plant List'!$H117/12*'BD Feedstock'!K$3*'BD Plant List'!AB$5</f>
        <v>5.8125</v>
      </c>
      <c r="L115" s="295">
        <f>'BD Plant List'!$H117/12*'BD Feedstock'!L$3*'BD Plant List'!AC$5</f>
        <v>2.0575000000000001</v>
      </c>
      <c r="M115" s="295">
        <f>'BD Plant List'!$I117/12*'BD Feedstock'!$M$3*'BD Plant List'!AC$5</f>
        <v>3.4291666666666671</v>
      </c>
      <c r="N115" s="295">
        <f>'BD Plant List'!$J117/12*'BD Feedstock'!N$3*'BD Plant List'!AC$5</f>
        <v>1.3716666666666666</v>
      </c>
      <c r="O115" s="295">
        <f>'BD Plant List'!$K117/12*'BD Feedstock'!O$3*'BD Plant List'!AC$5</f>
        <v>0.9053000000000001</v>
      </c>
      <c r="P115" s="295">
        <f>'BD Plant List'!$L117/12*'BD Feedstock'!P$3*'BD Plant List'!AE$5</f>
        <v>0</v>
      </c>
      <c r="Q115" s="295">
        <f>'BD Plant List'!$M117/12*'BD Feedstock'!Q$3*'BD Plant List'!AE$5</f>
        <v>0.93125000000000002</v>
      </c>
      <c r="R115" s="295">
        <f>'BD Plant List'!$N117/12*'BD Feedstock'!R$3*'BD Plant List'!AE$5</f>
        <v>26.540625000000002</v>
      </c>
      <c r="S115" s="295">
        <f>'BD Plant List'!$N117/12*'BD Feedstock'!S$3*'BD Plant List'!AF$5</f>
        <v>1.40625</v>
      </c>
      <c r="T115" s="295">
        <f>'BD Plant List'!$O117/12*'BD Feedstock'!T$3*'BD Plant List'!AB$5</f>
        <v>8.5732126770944213</v>
      </c>
      <c r="U115" s="295">
        <f>'BD Plant List'!$O117/12*'BD Feedstock'!U$3*'BD Plant List'!AC$5</f>
        <v>3.0347329175263269</v>
      </c>
    </row>
    <row r="116" spans="1:21" ht="18">
      <c r="A116" s="293">
        <v>43221</v>
      </c>
      <c r="B116" s="295">
        <f>'BD Plant List'!B118/12*'BD Plant List'!$AE$5*$B$3</f>
        <v>43.458333333333336</v>
      </c>
      <c r="C116" s="295">
        <f>'BD Plant List'!$C118/12*'BD Plant List'!$AB$5*'BD Feedstock'!$D$3</f>
        <v>2.098958333333333</v>
      </c>
      <c r="D116" s="295">
        <f>'BD Plant List'!$C118/12*'BD Plant List'!$AC$5*'BD Feedstock'!$D$3</f>
        <v>2.2289583333333334</v>
      </c>
      <c r="E116" s="294"/>
      <c r="F116" s="294"/>
      <c r="G116" s="295">
        <f>'BD Plant List'!$E118/12*'BD Feedstock'!G$3*'BD Plant List'!AB$5</f>
        <v>1.453125</v>
      </c>
      <c r="H116" s="295">
        <f>'BD Plant List'!$E118/12*'BD Feedstock'!H$3*'BD Plant List'!AC$5</f>
        <v>0.51437500000000003</v>
      </c>
      <c r="I116" s="295">
        <f>'BD Plant List'!F118/12*'BD Feedstock'!I$3*'BD Plant List'!AC$5</f>
        <v>0.13716666666666666</v>
      </c>
      <c r="J116" s="295">
        <f>'BD Plant List'!G118/12*'BD Feedstock'!J$3*'BD Plant List'!AD$5</f>
        <v>0.90199999999999991</v>
      </c>
      <c r="K116" s="295">
        <f>'BD Plant List'!$H118/12*'BD Feedstock'!K$3*'BD Plant List'!AB$5</f>
        <v>5.8125</v>
      </c>
      <c r="L116" s="295">
        <f>'BD Plant List'!$H118/12*'BD Feedstock'!L$3*'BD Plant List'!AC$5</f>
        <v>2.0575000000000001</v>
      </c>
      <c r="M116" s="295">
        <f>'BD Plant List'!$I118/12*'BD Feedstock'!$M$3*'BD Plant List'!AC$5</f>
        <v>3.4291666666666671</v>
      </c>
      <c r="N116" s="295">
        <f>'BD Plant List'!$J118/12*'BD Feedstock'!N$3*'BD Plant List'!AC$5</f>
        <v>1.3716666666666666</v>
      </c>
      <c r="O116" s="295">
        <f>'BD Plant List'!$K118/12*'BD Feedstock'!O$3*'BD Plant List'!AC$5</f>
        <v>0.9053000000000001</v>
      </c>
      <c r="P116" s="295">
        <f>'BD Plant List'!$L118/12*'BD Feedstock'!P$3*'BD Plant List'!AE$5</f>
        <v>0</v>
      </c>
      <c r="Q116" s="295">
        <f>'BD Plant List'!$M118/12*'BD Feedstock'!Q$3*'BD Plant List'!AE$5</f>
        <v>0.93125000000000002</v>
      </c>
      <c r="R116" s="295">
        <f>'BD Plant List'!$N118/12*'BD Feedstock'!R$3*'BD Plant List'!AE$5</f>
        <v>26.540625000000002</v>
      </c>
      <c r="S116" s="295">
        <f>'BD Plant List'!$N118/12*'BD Feedstock'!S$3*'BD Plant List'!AF$5</f>
        <v>1.40625</v>
      </c>
      <c r="T116" s="295">
        <f>'BD Plant List'!$O118/12*'BD Feedstock'!T$3*'BD Plant List'!AB$5</f>
        <v>8.5732126770944213</v>
      </c>
      <c r="U116" s="295">
        <f>'BD Plant List'!$O118/12*'BD Feedstock'!U$3*'BD Plant List'!AC$5</f>
        <v>3.0347329175263269</v>
      </c>
    </row>
    <row r="117" spans="1:21" ht="18">
      <c r="A117" s="293">
        <v>43252</v>
      </c>
      <c r="B117" s="295">
        <f>'BD Plant List'!B119/12*'BD Plant List'!$AE$5*$B$3</f>
        <v>43.458333333333336</v>
      </c>
      <c r="C117" s="295">
        <f>'BD Plant List'!$C119/12*'BD Plant List'!$AB$5*'BD Feedstock'!$D$3</f>
        <v>2.098958333333333</v>
      </c>
      <c r="D117" s="295">
        <f>'BD Plant List'!$C119/12*'BD Plant List'!$AC$5*'BD Feedstock'!$D$3</f>
        <v>2.2289583333333334</v>
      </c>
      <c r="E117" s="294"/>
      <c r="F117" s="294"/>
      <c r="G117" s="295">
        <f>'BD Plant List'!$E119/12*'BD Feedstock'!G$3*'BD Plant List'!AB$5</f>
        <v>1.453125</v>
      </c>
      <c r="H117" s="295">
        <f>'BD Plant List'!$E119/12*'BD Feedstock'!H$3*'BD Plant List'!AC$5</f>
        <v>0.51437500000000003</v>
      </c>
      <c r="I117" s="295">
        <f>'BD Plant List'!F119/12*'BD Feedstock'!I$3*'BD Plant List'!AC$5</f>
        <v>0.13716666666666666</v>
      </c>
      <c r="J117" s="295">
        <f>'BD Plant List'!G119/12*'BD Feedstock'!J$3*'BD Plant List'!AD$5</f>
        <v>0.90199999999999991</v>
      </c>
      <c r="K117" s="295">
        <f>'BD Plant List'!$H119/12*'BD Feedstock'!K$3*'BD Plant List'!AB$5</f>
        <v>5.8125</v>
      </c>
      <c r="L117" s="295">
        <f>'BD Plant List'!$H119/12*'BD Feedstock'!L$3*'BD Plant List'!AC$5</f>
        <v>2.0575000000000001</v>
      </c>
      <c r="M117" s="295">
        <f>'BD Plant List'!$I119/12*'BD Feedstock'!$M$3*'BD Plant List'!AC$5</f>
        <v>3.4291666666666671</v>
      </c>
      <c r="N117" s="295">
        <f>'BD Plant List'!$J119/12*'BD Feedstock'!N$3*'BD Plant List'!AC$5</f>
        <v>1.3716666666666666</v>
      </c>
      <c r="O117" s="295">
        <f>'BD Plant List'!$K119/12*'BD Feedstock'!O$3*'BD Plant List'!AC$5</f>
        <v>0.9053000000000001</v>
      </c>
      <c r="P117" s="295">
        <f>'BD Plant List'!$L119/12*'BD Feedstock'!P$3*'BD Plant List'!AE$5</f>
        <v>0</v>
      </c>
      <c r="Q117" s="295">
        <f>'BD Plant List'!$M119/12*'BD Feedstock'!Q$3*'BD Plant List'!AE$5</f>
        <v>0.93125000000000002</v>
      </c>
      <c r="R117" s="295">
        <f>'BD Plant List'!$N119/12*'BD Feedstock'!R$3*'BD Plant List'!AE$5</f>
        <v>26.540625000000002</v>
      </c>
      <c r="S117" s="295">
        <f>'BD Plant List'!$N119/12*'BD Feedstock'!S$3*'BD Plant List'!AF$5</f>
        <v>1.40625</v>
      </c>
      <c r="T117" s="295">
        <f>'BD Plant List'!$O119/12*'BD Feedstock'!T$3*'BD Plant List'!AB$5</f>
        <v>8.5732126770944213</v>
      </c>
      <c r="U117" s="295">
        <f>'BD Plant List'!$O119/12*'BD Feedstock'!U$3*'BD Plant List'!AC$5</f>
        <v>3.0347329175263269</v>
      </c>
    </row>
    <row r="118" spans="1:21" ht="18">
      <c r="A118" s="293">
        <v>43282</v>
      </c>
      <c r="B118" s="295">
        <f>'BD Plant List'!B120/12*'BD Plant List'!$AE$5*$B$3</f>
        <v>43.458333333333336</v>
      </c>
      <c r="C118" s="295">
        <f>'BD Plant List'!$C120/12*'BD Plant List'!$AB$5*'BD Feedstock'!$D$3</f>
        <v>2.098958333333333</v>
      </c>
      <c r="D118" s="295">
        <f>'BD Plant List'!$C120/12*'BD Plant List'!$AC$5*'BD Feedstock'!$D$3</f>
        <v>2.2289583333333334</v>
      </c>
      <c r="E118" s="294"/>
      <c r="F118" s="294"/>
      <c r="G118" s="295">
        <f>'BD Plant List'!$E120/12*'BD Feedstock'!G$3*'BD Plant List'!AB$5</f>
        <v>1.453125</v>
      </c>
      <c r="H118" s="295">
        <f>'BD Plant List'!$E120/12*'BD Feedstock'!H$3*'BD Plant List'!AC$5</f>
        <v>0.51437500000000003</v>
      </c>
      <c r="I118" s="295">
        <f>'BD Plant List'!F120/12*'BD Feedstock'!I$3*'BD Plant List'!AC$5</f>
        <v>0.13716666666666666</v>
      </c>
      <c r="J118" s="295">
        <f>'BD Plant List'!G120/12*'BD Feedstock'!J$3*'BD Plant List'!AD$5</f>
        <v>0.90199999999999991</v>
      </c>
      <c r="K118" s="295">
        <f>'BD Plant List'!$H120/12*'BD Feedstock'!K$3*'BD Plant List'!AB$5</f>
        <v>5.8125</v>
      </c>
      <c r="L118" s="295">
        <f>'BD Plant List'!$H120/12*'BD Feedstock'!L$3*'BD Plant List'!AC$5</f>
        <v>2.0575000000000001</v>
      </c>
      <c r="M118" s="295">
        <f>'BD Plant List'!$I120/12*'BD Feedstock'!$M$3*'BD Plant List'!AC$5</f>
        <v>3.4291666666666671</v>
      </c>
      <c r="N118" s="295">
        <f>'BD Plant List'!$J120/12*'BD Feedstock'!N$3*'BD Plant List'!AC$5</f>
        <v>1.3716666666666666</v>
      </c>
      <c r="O118" s="295">
        <f>'BD Plant List'!$K120/12*'BD Feedstock'!O$3*'BD Plant List'!AC$5</f>
        <v>0.9053000000000001</v>
      </c>
      <c r="P118" s="295">
        <f>'BD Plant List'!$L120/12*'BD Feedstock'!P$3*'BD Plant List'!AE$5</f>
        <v>0</v>
      </c>
      <c r="Q118" s="295">
        <f>'BD Plant List'!$M120/12*'BD Feedstock'!Q$3*'BD Plant List'!AE$5</f>
        <v>0.93125000000000002</v>
      </c>
      <c r="R118" s="295">
        <f>'BD Plant List'!$N120/12*'BD Feedstock'!R$3*'BD Plant List'!AE$5</f>
        <v>26.540625000000002</v>
      </c>
      <c r="S118" s="295">
        <f>'BD Plant List'!$N120/12*'BD Feedstock'!S$3*'BD Plant List'!AF$5</f>
        <v>1.40625</v>
      </c>
      <c r="T118" s="295">
        <f>'BD Plant List'!$O120/12*'BD Feedstock'!T$3*'BD Plant List'!AB$5</f>
        <v>8.5732126770944213</v>
      </c>
      <c r="U118" s="295">
        <f>'BD Plant List'!$O120/12*'BD Feedstock'!U$3*'BD Plant List'!AC$5</f>
        <v>3.0347329175263269</v>
      </c>
    </row>
    <row r="119" spans="1:21" ht="18">
      <c r="A119" s="293">
        <v>43313</v>
      </c>
      <c r="B119" s="295">
        <f>'BD Plant List'!B121/12*'BD Plant List'!$AE$5*$B$3</f>
        <v>43.458333333333336</v>
      </c>
      <c r="C119" s="295">
        <f>'BD Plant List'!$C121/12*'BD Plant List'!$AB$5*'BD Feedstock'!$D$3</f>
        <v>2.098958333333333</v>
      </c>
      <c r="D119" s="295">
        <f>'BD Plant List'!$C121/12*'BD Plant List'!$AC$5*'BD Feedstock'!$D$3</f>
        <v>2.2289583333333334</v>
      </c>
      <c r="E119" s="294"/>
      <c r="F119" s="294"/>
      <c r="G119" s="295">
        <f>'BD Plant List'!$E121/12*'BD Feedstock'!G$3*'BD Plant List'!AB$5</f>
        <v>1.453125</v>
      </c>
      <c r="H119" s="295">
        <f>'BD Plant List'!$E121/12*'BD Feedstock'!H$3*'BD Plant List'!AC$5</f>
        <v>0.51437500000000003</v>
      </c>
      <c r="I119" s="295">
        <f>'BD Plant List'!F121/12*'BD Feedstock'!I$3*'BD Plant List'!AC$5</f>
        <v>0.13716666666666666</v>
      </c>
      <c r="J119" s="295">
        <f>'BD Plant List'!G121/12*'BD Feedstock'!J$3*'BD Plant List'!AD$5</f>
        <v>0.90199999999999991</v>
      </c>
      <c r="K119" s="295">
        <f>'BD Plant List'!$H121/12*'BD Feedstock'!K$3*'BD Plant List'!AB$5</f>
        <v>5.8125</v>
      </c>
      <c r="L119" s="295">
        <f>'BD Plant List'!$H121/12*'BD Feedstock'!L$3*'BD Plant List'!AC$5</f>
        <v>2.0575000000000001</v>
      </c>
      <c r="M119" s="295">
        <f>'BD Plant List'!$I121/12*'BD Feedstock'!$M$3*'BD Plant List'!AC$5</f>
        <v>3.4291666666666671</v>
      </c>
      <c r="N119" s="295">
        <f>'BD Plant List'!$J121/12*'BD Feedstock'!N$3*'BD Plant List'!AC$5</f>
        <v>1.3716666666666666</v>
      </c>
      <c r="O119" s="295">
        <f>'BD Plant List'!$K121/12*'BD Feedstock'!O$3*'BD Plant List'!AC$5</f>
        <v>0.9053000000000001</v>
      </c>
      <c r="P119" s="295">
        <f>'BD Plant List'!$L121/12*'BD Feedstock'!P$3*'BD Plant List'!AE$5</f>
        <v>0</v>
      </c>
      <c r="Q119" s="295">
        <f>'BD Plant List'!$M121/12*'BD Feedstock'!Q$3*'BD Plant List'!AE$5</f>
        <v>0.93125000000000002</v>
      </c>
      <c r="R119" s="295">
        <f>'BD Plant List'!$N121/12*'BD Feedstock'!R$3*'BD Plant List'!AE$5</f>
        <v>26.540625000000002</v>
      </c>
      <c r="S119" s="295">
        <f>'BD Plant List'!$N121/12*'BD Feedstock'!S$3*'BD Plant List'!AF$5</f>
        <v>1.40625</v>
      </c>
      <c r="T119" s="295">
        <f>'BD Plant List'!$O121/12*'BD Feedstock'!T$3*'BD Plant List'!AB$5</f>
        <v>8.5732126770944213</v>
      </c>
      <c r="U119" s="295">
        <f>'BD Plant List'!$O121/12*'BD Feedstock'!U$3*'BD Plant List'!AC$5</f>
        <v>3.0347329175263269</v>
      </c>
    </row>
    <row r="120" spans="1:21" ht="18">
      <c r="A120" s="293">
        <v>43344</v>
      </c>
      <c r="B120" s="295">
        <f>'BD Plant List'!B122/12*'BD Plant List'!$AE$5*$B$3</f>
        <v>43.458333333333336</v>
      </c>
      <c r="C120" s="295">
        <f>'BD Plant List'!$C122/12*'BD Plant List'!$AB$5*'BD Feedstock'!$D$3</f>
        <v>2.098958333333333</v>
      </c>
      <c r="D120" s="295">
        <f>'BD Plant List'!$C122/12*'BD Plant List'!$AC$5*'BD Feedstock'!$D$3</f>
        <v>2.2289583333333334</v>
      </c>
      <c r="E120" s="294"/>
      <c r="F120" s="294"/>
      <c r="G120" s="295">
        <f>'BD Plant List'!$E122/12*'BD Feedstock'!G$3*'BD Plant List'!AB$5</f>
        <v>1.453125</v>
      </c>
      <c r="H120" s="295">
        <f>'BD Plant List'!$E122/12*'BD Feedstock'!H$3*'BD Plant List'!AC$5</f>
        <v>0.51437500000000003</v>
      </c>
      <c r="I120" s="295">
        <f>'BD Plant List'!F122/12*'BD Feedstock'!I$3*'BD Plant List'!AC$5</f>
        <v>0.13716666666666666</v>
      </c>
      <c r="J120" s="295">
        <f>'BD Plant List'!G122/12*'BD Feedstock'!J$3*'BD Plant List'!AD$5</f>
        <v>0.90199999999999991</v>
      </c>
      <c r="K120" s="295">
        <f>'BD Plant List'!$H122/12*'BD Feedstock'!K$3*'BD Plant List'!AB$5</f>
        <v>5.8125</v>
      </c>
      <c r="L120" s="295">
        <f>'BD Plant List'!$H122/12*'BD Feedstock'!L$3*'BD Plant List'!AC$5</f>
        <v>2.0575000000000001</v>
      </c>
      <c r="M120" s="295">
        <f>'BD Plant List'!$I122/12*'BD Feedstock'!$M$3*'BD Plant List'!AC$5</f>
        <v>3.4291666666666671</v>
      </c>
      <c r="N120" s="295">
        <f>'BD Plant List'!$J122/12*'BD Feedstock'!N$3*'BD Plant List'!AC$5</f>
        <v>1.3716666666666666</v>
      </c>
      <c r="O120" s="295">
        <f>'BD Plant List'!$K122/12*'BD Feedstock'!O$3*'BD Plant List'!AC$5</f>
        <v>0.9053000000000001</v>
      </c>
      <c r="P120" s="295">
        <f>'BD Plant List'!$L122/12*'BD Feedstock'!P$3*'BD Plant List'!AE$5</f>
        <v>0</v>
      </c>
      <c r="Q120" s="295">
        <f>'BD Plant List'!$M122/12*'BD Feedstock'!Q$3*'BD Plant List'!AE$5</f>
        <v>0.93125000000000002</v>
      </c>
      <c r="R120" s="295">
        <f>'BD Plant List'!$N122/12*'BD Feedstock'!R$3*'BD Plant List'!AE$5</f>
        <v>26.540625000000002</v>
      </c>
      <c r="S120" s="295">
        <f>'BD Plant List'!$N122/12*'BD Feedstock'!S$3*'BD Plant List'!AF$5</f>
        <v>1.40625</v>
      </c>
      <c r="T120" s="295">
        <f>'BD Plant List'!$O122/12*'BD Feedstock'!T$3*'BD Plant List'!AB$5</f>
        <v>8.5732126770944213</v>
      </c>
      <c r="U120" s="295">
        <f>'BD Plant List'!$O122/12*'BD Feedstock'!U$3*'BD Plant List'!AC$5</f>
        <v>3.0347329175263269</v>
      </c>
    </row>
    <row r="121" spans="1:21" ht="18">
      <c r="A121" s="293">
        <v>43374</v>
      </c>
      <c r="B121" s="295">
        <f>'BD Plant List'!B123/12*'BD Plant List'!$AE$5*$B$3</f>
        <v>43.458333333333336</v>
      </c>
      <c r="C121" s="295">
        <f>'BD Plant List'!$C123/12*'BD Plant List'!$AB$5*'BD Feedstock'!$D$3</f>
        <v>2.098958333333333</v>
      </c>
      <c r="D121" s="295">
        <f>'BD Plant List'!$C123/12*'BD Plant List'!$AC$5*'BD Feedstock'!$D$3</f>
        <v>2.2289583333333334</v>
      </c>
      <c r="E121" s="294"/>
      <c r="F121" s="294"/>
      <c r="G121" s="295">
        <f>'BD Plant List'!$E123/12*'BD Feedstock'!G$3*'BD Plant List'!AB$5</f>
        <v>1.453125</v>
      </c>
      <c r="H121" s="295">
        <f>'BD Plant List'!$E123/12*'BD Feedstock'!H$3*'BD Plant List'!AC$5</f>
        <v>0.51437500000000003</v>
      </c>
      <c r="I121" s="295">
        <f>'BD Plant List'!F123/12*'BD Feedstock'!I$3*'BD Plant List'!AC$5</f>
        <v>0.13716666666666666</v>
      </c>
      <c r="J121" s="295">
        <f>'BD Plant List'!G123/12*'BD Feedstock'!J$3*'BD Plant List'!AD$5</f>
        <v>0.90199999999999991</v>
      </c>
      <c r="K121" s="295">
        <f>'BD Plant List'!$H123/12*'BD Feedstock'!K$3*'BD Plant List'!AB$5</f>
        <v>5.8125</v>
      </c>
      <c r="L121" s="295">
        <f>'BD Plant List'!$H123/12*'BD Feedstock'!L$3*'BD Plant List'!AC$5</f>
        <v>2.0575000000000001</v>
      </c>
      <c r="M121" s="295">
        <f>'BD Plant List'!$I123/12*'BD Feedstock'!$M$3*'BD Plant List'!AC$5</f>
        <v>3.4291666666666671</v>
      </c>
      <c r="N121" s="295">
        <f>'BD Plant List'!$J123/12*'BD Feedstock'!N$3*'BD Plant List'!AC$5</f>
        <v>1.3716666666666666</v>
      </c>
      <c r="O121" s="295">
        <f>'BD Plant List'!$K123/12*'BD Feedstock'!O$3*'BD Plant List'!AC$5</f>
        <v>0.9053000000000001</v>
      </c>
      <c r="P121" s="295">
        <f>'BD Plant List'!$L123/12*'BD Feedstock'!P$3*'BD Plant List'!AE$5</f>
        <v>0</v>
      </c>
      <c r="Q121" s="295">
        <f>'BD Plant List'!$M123/12*'BD Feedstock'!Q$3*'BD Plant List'!AE$5</f>
        <v>0.93125000000000002</v>
      </c>
      <c r="R121" s="295">
        <f>'BD Plant List'!$N123/12*'BD Feedstock'!R$3*'BD Plant List'!AE$5</f>
        <v>26.540625000000002</v>
      </c>
      <c r="S121" s="295">
        <f>'BD Plant List'!$N123/12*'BD Feedstock'!S$3*'BD Plant List'!AF$5</f>
        <v>1.40625</v>
      </c>
      <c r="T121" s="295">
        <f>'BD Plant List'!$O123/12*'BD Feedstock'!T$3*'BD Plant List'!AB$5</f>
        <v>8.5732126770944213</v>
      </c>
      <c r="U121" s="295">
        <f>'BD Plant List'!$O123/12*'BD Feedstock'!U$3*'BD Plant List'!AC$5</f>
        <v>3.0347329175263269</v>
      </c>
    </row>
    <row r="122" spans="1:21" ht="18">
      <c r="A122" s="293">
        <v>43405</v>
      </c>
      <c r="B122" s="295">
        <f>'BD Plant List'!B124/12*'BD Plant List'!$AE$5*$B$3</f>
        <v>43.458333333333336</v>
      </c>
      <c r="C122" s="295">
        <f>'BD Plant List'!$C124/12*'BD Plant List'!$AB$5*'BD Feedstock'!$D$3</f>
        <v>2.098958333333333</v>
      </c>
      <c r="D122" s="295">
        <f>'BD Plant List'!$C124/12*'BD Plant List'!$AC$5*'BD Feedstock'!$D$3</f>
        <v>2.2289583333333334</v>
      </c>
      <c r="E122" s="294"/>
      <c r="F122" s="294"/>
      <c r="G122" s="295">
        <f>'BD Plant List'!$E124/12*'BD Feedstock'!G$3*'BD Plant List'!AB$5</f>
        <v>1.453125</v>
      </c>
      <c r="H122" s="295">
        <f>'BD Plant List'!$E124/12*'BD Feedstock'!H$3*'BD Plant List'!AC$5</f>
        <v>0.51437500000000003</v>
      </c>
      <c r="I122" s="295">
        <f>'BD Plant List'!F124/12*'BD Feedstock'!I$3*'BD Plant List'!AC$5</f>
        <v>0.13716666666666666</v>
      </c>
      <c r="J122" s="295">
        <f>'BD Plant List'!G124/12*'BD Feedstock'!J$3*'BD Plant List'!AD$5</f>
        <v>0.90199999999999991</v>
      </c>
      <c r="K122" s="295">
        <f>'BD Plant List'!$H124/12*'BD Feedstock'!K$3*'BD Plant List'!AB$5</f>
        <v>5.8125</v>
      </c>
      <c r="L122" s="295">
        <f>'BD Plant List'!$H124/12*'BD Feedstock'!L$3*'BD Plant List'!AC$5</f>
        <v>2.0575000000000001</v>
      </c>
      <c r="M122" s="295">
        <f>'BD Plant List'!$I124/12*'BD Feedstock'!$M$3*'BD Plant List'!AC$5</f>
        <v>3.4291666666666671</v>
      </c>
      <c r="N122" s="295">
        <f>'BD Plant List'!$J124/12*'BD Feedstock'!N$3*'BD Plant List'!AC$5</f>
        <v>0</v>
      </c>
      <c r="O122" s="295">
        <f>'BD Plant List'!$K124/12*'BD Feedstock'!O$3*'BD Plant List'!AC$5</f>
        <v>0.9053000000000001</v>
      </c>
      <c r="P122" s="295">
        <f>'BD Plant List'!$L124/12*'BD Feedstock'!P$3*'BD Plant List'!AE$5</f>
        <v>0</v>
      </c>
      <c r="Q122" s="295">
        <f>'BD Plant List'!$M124/12*'BD Feedstock'!Q$3*'BD Plant List'!AE$5</f>
        <v>0.93125000000000002</v>
      </c>
      <c r="R122" s="295">
        <f>'BD Plant List'!$N124/12*'BD Feedstock'!R$3*'BD Plant List'!AE$5</f>
        <v>26.540625000000002</v>
      </c>
      <c r="S122" s="295">
        <f>'BD Plant List'!$N124/12*'BD Feedstock'!S$3*'BD Plant List'!AF$5</f>
        <v>1.40625</v>
      </c>
      <c r="T122" s="295">
        <f>'BD Plant List'!$O124/12*'BD Feedstock'!T$3*'BD Plant List'!AB$5</f>
        <v>8.5732126770944213</v>
      </c>
      <c r="U122" s="295">
        <f>'BD Plant List'!$O124/12*'BD Feedstock'!U$3*'BD Plant List'!AC$5</f>
        <v>3.0347329175263269</v>
      </c>
    </row>
    <row r="123" spans="1:21" ht="18">
      <c r="A123" s="293">
        <v>43435</v>
      </c>
      <c r="B123" s="295">
        <f>'BD Plant List'!B125/12*'BD Plant List'!$AE$5*$B$3</f>
        <v>43.458333333333336</v>
      </c>
      <c r="C123" s="295">
        <f>'BD Plant List'!$C125/12*'BD Plant List'!$AB$5*'BD Feedstock'!$D$3</f>
        <v>2.098958333333333</v>
      </c>
      <c r="D123" s="295">
        <f>'BD Plant List'!$C125/12*'BD Plant List'!$AC$5*'BD Feedstock'!$D$3</f>
        <v>2.2289583333333334</v>
      </c>
      <c r="E123" s="294"/>
      <c r="F123" s="294"/>
      <c r="G123" s="295">
        <f>'BD Plant List'!$E125/12*'BD Feedstock'!G$3*'BD Plant List'!AB$5</f>
        <v>1.453125</v>
      </c>
      <c r="H123" s="295">
        <f>'BD Plant List'!$E125/12*'BD Feedstock'!H$3*'BD Plant List'!AC$5</f>
        <v>0.51437500000000003</v>
      </c>
      <c r="I123" s="295">
        <f>'BD Plant List'!F125/12*'BD Feedstock'!I$3*'BD Plant List'!AC$5</f>
        <v>0.13716666666666666</v>
      </c>
      <c r="J123" s="295">
        <f>'BD Plant List'!G125/12*'BD Feedstock'!J$3*'BD Plant List'!AD$5</f>
        <v>0.90199999999999991</v>
      </c>
      <c r="K123" s="295">
        <f>'BD Plant List'!$H125/12*'BD Feedstock'!K$3*'BD Plant List'!AB$5</f>
        <v>5.8125</v>
      </c>
      <c r="L123" s="295">
        <f>'BD Plant List'!$H125/12*'BD Feedstock'!L$3*'BD Plant List'!AC$5</f>
        <v>2.0575000000000001</v>
      </c>
      <c r="M123" s="295">
        <f>'BD Plant List'!$I125/12*'BD Feedstock'!$M$3*'BD Plant List'!AC$5</f>
        <v>3.4291666666666671</v>
      </c>
      <c r="N123" s="295">
        <f>'BD Plant List'!$J125/12*'BD Feedstock'!N$3*'BD Plant List'!AC$5</f>
        <v>0</v>
      </c>
      <c r="O123" s="295">
        <f>'BD Plant List'!$K125/12*'BD Feedstock'!O$3*'BD Plant List'!AC$5</f>
        <v>0.9053000000000001</v>
      </c>
      <c r="P123" s="295">
        <f>'BD Plant List'!$L125/12*'BD Feedstock'!P$3*'BD Plant List'!AE$5</f>
        <v>0</v>
      </c>
      <c r="Q123" s="295">
        <f>'BD Plant List'!$M125/12*'BD Feedstock'!Q$3*'BD Plant List'!AE$5</f>
        <v>0.93125000000000002</v>
      </c>
      <c r="R123" s="295">
        <f>'BD Plant List'!$N125/12*'BD Feedstock'!R$3*'BD Plant List'!AE$5</f>
        <v>26.540625000000002</v>
      </c>
      <c r="S123" s="295">
        <f>'BD Plant List'!$N125/12*'BD Feedstock'!S$3*'BD Plant List'!AF$5</f>
        <v>1.40625</v>
      </c>
      <c r="T123" s="295">
        <f>'BD Plant List'!$O125/12*'BD Feedstock'!T$3*'BD Plant List'!AB$5</f>
        <v>8.5732126770944213</v>
      </c>
      <c r="U123" s="295">
        <f>'BD Plant List'!$O125/12*'BD Feedstock'!U$3*'BD Plant List'!AC$5</f>
        <v>3.0347329175263269</v>
      </c>
    </row>
    <row r="124" spans="1:21" ht="18">
      <c r="A124" s="293">
        <v>43466</v>
      </c>
      <c r="B124" s="295">
        <f>'BD Plant List'!B126/12*'BD Plant List'!$AE$5*$B$3</f>
        <v>43.458333333333336</v>
      </c>
      <c r="C124" s="295">
        <f>'BD Plant List'!$C126/12*'BD Plant List'!$AB$5*'BD Feedstock'!$D$3</f>
        <v>2.098958333333333</v>
      </c>
      <c r="D124" s="295">
        <f>'BD Plant List'!$C126/12*'BD Plant List'!$AC$5*'BD Feedstock'!$D$3</f>
        <v>2.2289583333333334</v>
      </c>
      <c r="E124" s="294"/>
      <c r="F124" s="294"/>
      <c r="G124" s="295">
        <f>'BD Plant List'!$E126/12*'BD Feedstock'!G$3*'BD Plant List'!AB$5</f>
        <v>1.453125</v>
      </c>
      <c r="H124" s="295">
        <f>'BD Plant List'!$E126/12*'BD Feedstock'!H$3*'BD Plant List'!AC$5</f>
        <v>0.51437500000000003</v>
      </c>
      <c r="I124" s="295">
        <f>'BD Plant List'!F126/12*'BD Feedstock'!I$3*'BD Plant List'!AC$5</f>
        <v>0.13716666666666666</v>
      </c>
      <c r="J124" s="295">
        <f>'BD Plant List'!G126/12*'BD Feedstock'!J$3*'BD Plant List'!AD$5</f>
        <v>0.90199999999999991</v>
      </c>
      <c r="K124" s="295">
        <f>'BD Plant List'!$H126/12*'BD Feedstock'!K$3*'BD Plant List'!AB$5</f>
        <v>5.8125</v>
      </c>
      <c r="L124" s="295">
        <f>'BD Plant List'!$H126/12*'BD Feedstock'!L$3*'BD Plant List'!AC$5</f>
        <v>2.0575000000000001</v>
      </c>
      <c r="M124" s="295">
        <f>'BD Plant List'!$I126/12*'BD Feedstock'!$M$3*'BD Plant List'!AC$5</f>
        <v>3.4291666666666671</v>
      </c>
      <c r="N124" s="295">
        <f>'BD Plant List'!$J126/12*'BD Feedstock'!N$3*'BD Plant List'!AC$5</f>
        <v>0</v>
      </c>
      <c r="O124" s="295">
        <f>'BD Plant List'!$K126/12*'BD Feedstock'!O$3*'BD Plant List'!AC$5</f>
        <v>0.9053000000000001</v>
      </c>
      <c r="P124" s="295">
        <f>'BD Plant List'!$L126/12*'BD Feedstock'!P$3*'BD Plant List'!AE$5</f>
        <v>0</v>
      </c>
      <c r="Q124" s="295">
        <f>'BD Plant List'!$M126/12*'BD Feedstock'!Q$3*'BD Plant List'!AE$5</f>
        <v>0.93125000000000002</v>
      </c>
      <c r="R124" s="295">
        <f>'BD Plant List'!$N126/12*'BD Feedstock'!R$3*'BD Plant List'!AE$5</f>
        <v>26.540625000000002</v>
      </c>
      <c r="S124" s="295">
        <f>'BD Plant List'!$N126/12*'BD Feedstock'!S$3*'BD Plant List'!AF$5</f>
        <v>1.40625</v>
      </c>
      <c r="T124" s="295">
        <f>'BD Plant List'!$O126/12*'BD Feedstock'!T$3*'BD Plant List'!AB$5</f>
        <v>8.5732126770944213</v>
      </c>
      <c r="U124" s="295">
        <f>'BD Plant List'!$O126/12*'BD Feedstock'!U$3*'BD Plant List'!AC$5</f>
        <v>3.0347329175263269</v>
      </c>
    </row>
    <row r="125" spans="1:21" ht="18">
      <c r="A125" s="293">
        <v>43497</v>
      </c>
      <c r="B125" s="295">
        <f>'BD Plant List'!B127/12*'BD Plant List'!$AE$5*$B$3</f>
        <v>43.458333333333336</v>
      </c>
      <c r="C125" s="295">
        <f>'BD Plant List'!$C127/12*'BD Plant List'!$AB$5*'BD Feedstock'!$D$3</f>
        <v>2.098958333333333</v>
      </c>
      <c r="D125" s="295">
        <f>'BD Plant List'!$C127/12*'BD Plant List'!$AC$5*'BD Feedstock'!$D$3</f>
        <v>2.2289583333333334</v>
      </c>
      <c r="E125" s="294"/>
      <c r="F125" s="294"/>
      <c r="G125" s="295">
        <f>'BD Plant List'!$E127/12*'BD Feedstock'!G$3*'BD Plant List'!AB$5</f>
        <v>1.453125</v>
      </c>
      <c r="H125" s="295">
        <f>'BD Plant List'!$E127/12*'BD Feedstock'!H$3*'BD Plant List'!AC$5</f>
        <v>0.51437500000000003</v>
      </c>
      <c r="I125" s="295">
        <f>'BD Plant List'!F127/12*'BD Feedstock'!I$3*'BD Plant List'!AC$5</f>
        <v>0.13716666666666666</v>
      </c>
      <c r="J125" s="295">
        <f>'BD Plant List'!G127/12*'BD Feedstock'!J$3*'BD Plant List'!AD$5</f>
        <v>0.90199999999999991</v>
      </c>
      <c r="K125" s="295">
        <f>'BD Plant List'!$H127/12*'BD Feedstock'!K$3*'BD Plant List'!AB$5</f>
        <v>5.8125</v>
      </c>
      <c r="L125" s="295">
        <f>'BD Plant List'!$H127/12*'BD Feedstock'!L$3*'BD Plant List'!AC$5</f>
        <v>2.0575000000000001</v>
      </c>
      <c r="M125" s="295">
        <f>'BD Plant List'!$I127/12*'BD Feedstock'!$M$3*'BD Plant List'!AC$5</f>
        <v>3.4291666666666671</v>
      </c>
      <c r="N125" s="295">
        <f>'BD Plant List'!$J127/12*'BD Feedstock'!N$3*'BD Plant List'!AC$5</f>
        <v>0</v>
      </c>
      <c r="O125" s="295">
        <f>'BD Plant List'!$K127/12*'BD Feedstock'!O$3*'BD Plant List'!AC$5</f>
        <v>0.9053000000000001</v>
      </c>
      <c r="P125" s="295">
        <f>'BD Plant List'!$L127/12*'BD Feedstock'!P$3*'BD Plant List'!AE$5</f>
        <v>0</v>
      </c>
      <c r="Q125" s="295">
        <f>'BD Plant List'!$M127/12*'BD Feedstock'!Q$3*'BD Plant List'!AE$5</f>
        <v>0.93125000000000002</v>
      </c>
      <c r="R125" s="295">
        <f>'BD Plant List'!$N127/12*'BD Feedstock'!R$3*'BD Plant List'!AE$5</f>
        <v>26.540625000000002</v>
      </c>
      <c r="S125" s="295">
        <f>'BD Plant List'!$N127/12*'BD Feedstock'!S$3*'BD Plant List'!AF$5</f>
        <v>1.40625</v>
      </c>
      <c r="T125" s="295">
        <f>'BD Plant List'!$O127/12*'BD Feedstock'!T$3*'BD Plant List'!AB$5</f>
        <v>8.5732126770944213</v>
      </c>
      <c r="U125" s="295">
        <f>'BD Plant List'!$O127/12*'BD Feedstock'!U$3*'BD Plant List'!AC$5</f>
        <v>3.0347329175263269</v>
      </c>
    </row>
    <row r="126" spans="1:21" ht="18">
      <c r="A126" s="293">
        <v>43525</v>
      </c>
      <c r="B126" s="295">
        <f>'BD Plant List'!B128/12*'BD Plant List'!$AE$5*$B$3</f>
        <v>43.458333333333336</v>
      </c>
      <c r="C126" s="295">
        <f>'BD Plant List'!$C128/12*'BD Plant List'!$AB$5*'BD Feedstock'!$D$3</f>
        <v>2.098958333333333</v>
      </c>
      <c r="D126" s="295">
        <f>'BD Plant List'!$C128/12*'BD Plant List'!$AC$5*'BD Feedstock'!$D$3</f>
        <v>2.2289583333333334</v>
      </c>
      <c r="E126" s="294"/>
      <c r="F126" s="294"/>
      <c r="G126" s="295">
        <f>'BD Plant List'!$E128/12*'BD Feedstock'!G$3*'BD Plant List'!AB$5</f>
        <v>1.453125</v>
      </c>
      <c r="H126" s="295">
        <f>'BD Plant List'!$E128/12*'BD Feedstock'!H$3*'BD Plant List'!AC$5</f>
        <v>0.51437500000000003</v>
      </c>
      <c r="I126" s="295">
        <f>'BD Plant List'!F128/12*'BD Feedstock'!I$3*'BD Plant List'!AC$5</f>
        <v>0.13716666666666666</v>
      </c>
      <c r="J126" s="295">
        <f>'BD Plant List'!G128/12*'BD Feedstock'!J$3*'BD Plant List'!AD$5</f>
        <v>0.90199999999999991</v>
      </c>
      <c r="K126" s="295">
        <f>'BD Plant List'!$H128/12*'BD Feedstock'!K$3*'BD Plant List'!AB$5</f>
        <v>5.8125</v>
      </c>
      <c r="L126" s="295">
        <f>'BD Plant List'!$H128/12*'BD Feedstock'!L$3*'BD Plant List'!AC$5</f>
        <v>2.0575000000000001</v>
      </c>
      <c r="M126" s="295">
        <f>'BD Plant List'!$I128/12*'BD Feedstock'!$M$3*'BD Plant List'!AC$5</f>
        <v>3.4291666666666671</v>
      </c>
      <c r="N126" s="295">
        <f>'BD Plant List'!$J128/12*'BD Feedstock'!N$3*'BD Plant List'!AC$5</f>
        <v>0</v>
      </c>
      <c r="O126" s="295">
        <f>'BD Plant List'!$K128/12*'BD Feedstock'!O$3*'BD Plant List'!AC$5</f>
        <v>0.9053000000000001</v>
      </c>
      <c r="P126" s="295">
        <f>'BD Plant List'!$L128/12*'BD Feedstock'!P$3*'BD Plant List'!AE$5</f>
        <v>0</v>
      </c>
      <c r="Q126" s="295">
        <f>'BD Plant List'!$M128/12*'BD Feedstock'!Q$3*'BD Plant List'!AE$5</f>
        <v>0.93125000000000002</v>
      </c>
      <c r="R126" s="295">
        <f>'BD Plant List'!$N128/12*'BD Feedstock'!R$3*'BD Plant List'!AE$5</f>
        <v>26.540625000000002</v>
      </c>
      <c r="S126" s="295">
        <f>'BD Plant List'!$N128/12*'BD Feedstock'!S$3*'BD Plant List'!AF$5</f>
        <v>1.40625</v>
      </c>
      <c r="T126" s="295">
        <f>'BD Plant List'!$O128/12*'BD Feedstock'!T$3*'BD Plant List'!AB$5</f>
        <v>8.5732126770944213</v>
      </c>
      <c r="U126" s="295">
        <f>'BD Plant List'!$O128/12*'BD Feedstock'!U$3*'BD Plant List'!AC$5</f>
        <v>3.0347329175263269</v>
      </c>
    </row>
    <row r="127" spans="1:21" ht="18">
      <c r="A127" s="293">
        <v>43556</v>
      </c>
      <c r="B127" s="295">
        <f>'BD Plant List'!B129/12*'BD Plant List'!$AE$5*$B$3</f>
        <v>43.458333333333336</v>
      </c>
      <c r="C127" s="295">
        <f>'BD Plant List'!$C129/12*'BD Plant List'!$AB$5*'BD Feedstock'!$D$3</f>
        <v>2.098958333333333</v>
      </c>
      <c r="D127" s="295">
        <f>'BD Plant List'!$C129/12*'BD Plant List'!$AC$5*'BD Feedstock'!$D$3</f>
        <v>2.2289583333333334</v>
      </c>
      <c r="E127" s="294"/>
      <c r="F127" s="294"/>
      <c r="G127" s="295">
        <f>'BD Plant List'!$E129/12*'BD Feedstock'!G$3*'BD Plant List'!AB$5</f>
        <v>1.453125</v>
      </c>
      <c r="H127" s="295">
        <f>'BD Plant List'!$E129/12*'BD Feedstock'!H$3*'BD Plant List'!AC$5</f>
        <v>0.51437500000000003</v>
      </c>
      <c r="I127" s="295">
        <f>'BD Plant List'!F129/12*'BD Feedstock'!I$3*'BD Plant List'!AC$5</f>
        <v>0.13716666666666666</v>
      </c>
      <c r="J127" s="295">
        <f>'BD Plant List'!G129/12*'BD Feedstock'!J$3*'BD Plant List'!AD$5</f>
        <v>0.90199999999999991</v>
      </c>
      <c r="K127" s="295">
        <f>'BD Plant List'!$H129/12*'BD Feedstock'!K$3*'BD Plant List'!AB$5</f>
        <v>5.8125</v>
      </c>
      <c r="L127" s="295">
        <f>'BD Plant List'!$H129/12*'BD Feedstock'!L$3*'BD Plant List'!AC$5</f>
        <v>2.0575000000000001</v>
      </c>
      <c r="M127" s="295">
        <f>'BD Plant List'!$I129/12*'BD Feedstock'!$M$3*'BD Plant List'!AC$5</f>
        <v>3.4291666666666671</v>
      </c>
      <c r="N127" s="295">
        <f>'BD Plant List'!$J129/12*'BD Feedstock'!N$3*'BD Plant List'!AC$5</f>
        <v>0</v>
      </c>
      <c r="O127" s="295">
        <f>'BD Plant List'!$K129/12*'BD Feedstock'!O$3*'BD Plant List'!AC$5</f>
        <v>0.9053000000000001</v>
      </c>
      <c r="P127" s="295">
        <f>'BD Plant List'!$L129/12*'BD Feedstock'!P$3*'BD Plant List'!AE$5</f>
        <v>0</v>
      </c>
      <c r="Q127" s="295">
        <f>'BD Plant List'!$M129/12*'BD Feedstock'!Q$3*'BD Plant List'!AE$5</f>
        <v>0.93125000000000002</v>
      </c>
      <c r="R127" s="295">
        <f>'BD Plant List'!$N129/12*'BD Feedstock'!R$3*'BD Plant List'!AE$5</f>
        <v>26.540625000000002</v>
      </c>
      <c r="S127" s="295">
        <f>'BD Plant List'!$N129/12*'BD Feedstock'!S$3*'BD Plant List'!AF$5</f>
        <v>1.40625</v>
      </c>
      <c r="T127" s="295">
        <f>'BD Plant List'!$O129/12*'BD Feedstock'!T$3*'BD Plant List'!AB$5</f>
        <v>8.5732126770944213</v>
      </c>
      <c r="U127" s="295">
        <f>'BD Plant List'!$O129/12*'BD Feedstock'!U$3*'BD Plant List'!AC$5</f>
        <v>3.0347329175263269</v>
      </c>
    </row>
    <row r="128" spans="1:21" ht="18">
      <c r="A128" s="293">
        <v>43586</v>
      </c>
      <c r="B128" s="295">
        <f>'BD Plant List'!B130/12*'BD Plant List'!$AE$5*$B$3</f>
        <v>43.458333333333336</v>
      </c>
      <c r="C128" s="295">
        <f>'BD Plant List'!$C130/12*'BD Plant List'!$AB$5*'BD Feedstock'!$D$3</f>
        <v>2.098958333333333</v>
      </c>
      <c r="D128" s="295">
        <f>'BD Plant List'!$C130/12*'BD Plant List'!$AC$5*'BD Feedstock'!$D$3</f>
        <v>2.2289583333333334</v>
      </c>
      <c r="E128" s="294"/>
      <c r="F128" s="294"/>
      <c r="G128" s="295">
        <f>'BD Plant List'!$E130/12*'BD Feedstock'!G$3*'BD Plant List'!AB$5</f>
        <v>1.453125</v>
      </c>
      <c r="H128" s="295">
        <f>'BD Plant List'!$E130/12*'BD Feedstock'!H$3*'BD Plant List'!AC$5</f>
        <v>0.51437500000000003</v>
      </c>
      <c r="I128" s="295">
        <f>'BD Plant List'!F130/12*'BD Feedstock'!I$3*'BD Plant List'!AC$5</f>
        <v>0.13716666666666666</v>
      </c>
      <c r="J128" s="295">
        <f>'BD Plant List'!G130/12*'BD Feedstock'!J$3*'BD Plant List'!AD$5</f>
        <v>0.90199999999999991</v>
      </c>
      <c r="K128" s="295">
        <f>'BD Plant List'!$H130/12*'BD Feedstock'!K$3*'BD Plant List'!AB$5</f>
        <v>5.8125</v>
      </c>
      <c r="L128" s="295">
        <f>'BD Plant List'!$H130/12*'BD Feedstock'!L$3*'BD Plant List'!AC$5</f>
        <v>2.0575000000000001</v>
      </c>
      <c r="M128" s="295">
        <f>'BD Plant List'!$I130/12*'BD Feedstock'!$M$3*'BD Plant List'!AC$5</f>
        <v>3.4291666666666671</v>
      </c>
      <c r="N128" s="295">
        <f>'BD Plant List'!$J130/12*'BD Feedstock'!N$3*'BD Plant List'!AC$5</f>
        <v>0</v>
      </c>
      <c r="O128" s="295">
        <f>'BD Plant List'!$K130/12*'BD Feedstock'!O$3*'BD Plant List'!AC$5</f>
        <v>0.9053000000000001</v>
      </c>
      <c r="P128" s="295">
        <f>'BD Plant List'!$L130/12*'BD Feedstock'!P$3*'BD Plant List'!AE$5</f>
        <v>0</v>
      </c>
      <c r="Q128" s="295">
        <f>'BD Plant List'!$M130/12*'BD Feedstock'!Q$3*'BD Plant List'!AE$5</f>
        <v>0.93125000000000002</v>
      </c>
      <c r="R128" s="295">
        <f>'BD Plant List'!$N130/12*'BD Feedstock'!R$3*'BD Plant List'!AE$5</f>
        <v>26.540625000000002</v>
      </c>
      <c r="S128" s="295">
        <f>'BD Plant List'!$N130/12*'BD Feedstock'!S$3*'BD Plant List'!AF$5</f>
        <v>1.40625</v>
      </c>
      <c r="T128" s="295">
        <f>'BD Plant List'!$O130/12*'BD Feedstock'!T$3*'BD Plant List'!AB$5</f>
        <v>8.5732126770944213</v>
      </c>
      <c r="U128" s="295">
        <f>'BD Plant List'!$O130/12*'BD Feedstock'!U$3*'BD Plant List'!AC$5</f>
        <v>3.0347329175263269</v>
      </c>
    </row>
    <row r="129" spans="1:21" ht="18">
      <c r="A129" s="293">
        <v>43617</v>
      </c>
      <c r="B129" s="295">
        <f>'BD Plant List'!B131/12*'BD Plant List'!$AE$5*$B$3</f>
        <v>43.458333333333336</v>
      </c>
      <c r="C129" s="295">
        <f>'BD Plant List'!$C131/12*'BD Plant List'!$AB$5*'BD Feedstock'!$D$3</f>
        <v>2.098958333333333</v>
      </c>
      <c r="D129" s="295">
        <f>'BD Plant List'!$C131/12*'BD Plant List'!$AC$5*'BD Feedstock'!$D$3</f>
        <v>2.2289583333333334</v>
      </c>
      <c r="E129" s="294"/>
      <c r="F129" s="294"/>
      <c r="G129" s="295">
        <f>'BD Plant List'!$E131/12*'BD Feedstock'!G$3*'BD Plant List'!AB$5</f>
        <v>1.453125</v>
      </c>
      <c r="H129" s="295">
        <f>'BD Plant List'!$E131/12*'BD Feedstock'!H$3*'BD Plant List'!AC$5</f>
        <v>0.51437500000000003</v>
      </c>
      <c r="I129" s="295">
        <f>'BD Plant List'!F131/12*'BD Feedstock'!I$3*'BD Plant List'!AC$5</f>
        <v>0.13716666666666666</v>
      </c>
      <c r="J129" s="295">
        <f>'BD Plant List'!G131/12*'BD Feedstock'!J$3*'BD Plant List'!AD$5</f>
        <v>0.90199999999999991</v>
      </c>
      <c r="K129" s="295">
        <f>'BD Plant List'!$H131/12*'BD Feedstock'!K$3*'BD Plant List'!AB$5</f>
        <v>5.8125</v>
      </c>
      <c r="L129" s="295">
        <f>'BD Plant List'!$H131/12*'BD Feedstock'!L$3*'BD Plant List'!AC$5</f>
        <v>2.0575000000000001</v>
      </c>
      <c r="M129" s="295">
        <f>'BD Plant List'!$I131/12*'BD Feedstock'!$M$3*'BD Plant List'!AC$5</f>
        <v>3.4291666666666671</v>
      </c>
      <c r="N129" s="295">
        <f>'BD Plant List'!$J131/12*'BD Feedstock'!N$3*'BD Plant List'!AC$5</f>
        <v>0</v>
      </c>
      <c r="O129" s="295">
        <f>'BD Plant List'!$K131/12*'BD Feedstock'!O$3*'BD Plant List'!AC$5</f>
        <v>0.9053000000000001</v>
      </c>
      <c r="P129" s="295">
        <f>'BD Plant List'!$L131/12*'BD Feedstock'!P$3*'BD Plant List'!AE$5</f>
        <v>0</v>
      </c>
      <c r="Q129" s="295">
        <f>'BD Plant List'!$M131/12*'BD Feedstock'!Q$3*'BD Plant List'!AE$5</f>
        <v>0.93125000000000002</v>
      </c>
      <c r="R129" s="295">
        <f>'BD Plant List'!$N131/12*'BD Feedstock'!R$3*'BD Plant List'!AE$5</f>
        <v>26.540625000000002</v>
      </c>
      <c r="S129" s="295">
        <f>'BD Plant List'!$N131/12*'BD Feedstock'!S$3*'BD Plant List'!AF$5</f>
        <v>1.40625</v>
      </c>
      <c r="T129" s="295">
        <f>'BD Plant List'!$O131/12*'BD Feedstock'!T$3*'BD Plant List'!AB$5</f>
        <v>8.5732126770944213</v>
      </c>
      <c r="U129" s="295">
        <f>'BD Plant List'!$O131/12*'BD Feedstock'!U$3*'BD Plant List'!AC$5</f>
        <v>3.0347329175263269</v>
      </c>
    </row>
    <row r="130" spans="1:21" ht="18">
      <c r="A130" s="293">
        <v>43647</v>
      </c>
      <c r="B130" s="295">
        <f>'BD Plant List'!B132/12*'BD Plant List'!$AE$5*$B$3</f>
        <v>43.458333333333336</v>
      </c>
      <c r="C130" s="295">
        <f>'BD Plant List'!$C132/12*'BD Plant List'!$AB$5*'BD Feedstock'!$D$3</f>
        <v>2.098958333333333</v>
      </c>
      <c r="D130" s="295">
        <f>'BD Plant List'!$C132/12*'BD Plant List'!$AC$5*'BD Feedstock'!$D$3</f>
        <v>2.2289583333333334</v>
      </c>
      <c r="E130" s="294"/>
      <c r="F130" s="294"/>
      <c r="G130" s="295">
        <f>'BD Plant List'!$E132/12*'BD Feedstock'!G$3*'BD Plant List'!AB$5</f>
        <v>1.453125</v>
      </c>
      <c r="H130" s="295">
        <f>'BD Plant List'!$E132/12*'BD Feedstock'!H$3*'BD Plant List'!AC$5</f>
        <v>0.51437500000000003</v>
      </c>
      <c r="I130" s="295">
        <f>'BD Plant List'!F132/12*'BD Feedstock'!I$3*'BD Plant List'!AC$5</f>
        <v>0.13716666666666666</v>
      </c>
      <c r="J130" s="295">
        <f>'BD Plant List'!G132/12*'BD Feedstock'!J$3*'BD Plant List'!AD$5</f>
        <v>0.90199999999999991</v>
      </c>
      <c r="K130" s="295">
        <f>'BD Plant List'!$H132/12*'BD Feedstock'!K$3*'BD Plant List'!AB$5</f>
        <v>5.8125</v>
      </c>
      <c r="L130" s="295">
        <f>'BD Plant List'!$H132/12*'BD Feedstock'!L$3*'BD Plant List'!AC$5</f>
        <v>2.0575000000000001</v>
      </c>
      <c r="M130" s="295">
        <f>'BD Plant List'!$I132/12*'BD Feedstock'!$M$3*'BD Plant List'!AC$5</f>
        <v>3.4291666666666671</v>
      </c>
      <c r="N130" s="295">
        <f>'BD Plant List'!$J132/12*'BD Feedstock'!N$3*'BD Plant List'!AC$5</f>
        <v>0</v>
      </c>
      <c r="O130" s="295">
        <f>'BD Plant List'!$K132/12*'BD Feedstock'!O$3*'BD Plant List'!AC$5</f>
        <v>0.9053000000000001</v>
      </c>
      <c r="P130" s="295">
        <f>'BD Plant List'!$L132/12*'BD Feedstock'!P$3*'BD Plant List'!AE$5</f>
        <v>0</v>
      </c>
      <c r="Q130" s="295">
        <f>'BD Plant List'!$M132/12*'BD Feedstock'!Q$3*'BD Plant List'!AE$5</f>
        <v>0.93125000000000002</v>
      </c>
      <c r="R130" s="295">
        <f>'BD Plant List'!$N132/12*'BD Feedstock'!R$3*'BD Plant List'!AE$5</f>
        <v>26.540625000000002</v>
      </c>
      <c r="S130" s="295">
        <f>'BD Plant List'!$N132/12*'BD Feedstock'!S$3*'BD Plant List'!AF$5</f>
        <v>1.40625</v>
      </c>
      <c r="T130" s="295">
        <f>'BD Plant List'!$O132/12*'BD Feedstock'!T$3*'BD Plant List'!AB$5</f>
        <v>8.5732126770944213</v>
      </c>
      <c r="U130" s="295">
        <f>'BD Plant List'!$O132/12*'BD Feedstock'!U$3*'BD Plant List'!AC$5</f>
        <v>3.0347329175263269</v>
      </c>
    </row>
    <row r="131" spans="1:21" ht="18">
      <c r="A131" s="293">
        <v>43678</v>
      </c>
      <c r="B131" s="295">
        <f>'BD Plant List'!B133/12*'BD Plant List'!$AE$5*$B$3</f>
        <v>43.458333333333336</v>
      </c>
      <c r="C131" s="295">
        <f>'BD Plant List'!$C133/12*'BD Plant List'!$AB$5*'BD Feedstock'!$D$3</f>
        <v>2.098958333333333</v>
      </c>
      <c r="D131" s="295">
        <f>'BD Plant List'!$C133/12*'BD Plant List'!$AC$5*'BD Feedstock'!$D$3</f>
        <v>2.2289583333333334</v>
      </c>
      <c r="E131" s="294"/>
      <c r="F131" s="294"/>
      <c r="G131" s="295">
        <f>'BD Plant List'!$E133/12*'BD Feedstock'!G$3*'BD Plant List'!AB$5</f>
        <v>1.453125</v>
      </c>
      <c r="H131" s="295">
        <f>'BD Plant List'!$E133/12*'BD Feedstock'!H$3*'BD Plant List'!AC$5</f>
        <v>0.51437500000000003</v>
      </c>
      <c r="I131" s="295">
        <f>'BD Plant List'!F133/12*'BD Feedstock'!I$3*'BD Plant List'!AC$5</f>
        <v>0.13716666666666666</v>
      </c>
      <c r="J131" s="295">
        <f>'BD Plant List'!G133/12*'BD Feedstock'!J$3*'BD Plant List'!AD$5</f>
        <v>0.90199999999999991</v>
      </c>
      <c r="K131" s="295">
        <f>'BD Plant List'!$H133/12*'BD Feedstock'!K$3*'BD Plant List'!AB$5</f>
        <v>5.8125</v>
      </c>
      <c r="L131" s="295">
        <f>'BD Plant List'!$H133/12*'BD Feedstock'!L$3*'BD Plant List'!AC$5</f>
        <v>2.0575000000000001</v>
      </c>
      <c r="M131" s="295">
        <f>'BD Plant List'!$I133/12*'BD Feedstock'!$M$3*'BD Plant List'!AC$5</f>
        <v>3.4291666666666671</v>
      </c>
      <c r="N131" s="295">
        <f>'BD Plant List'!$J133/12*'BD Feedstock'!N$3*'BD Plant List'!AC$5</f>
        <v>0</v>
      </c>
      <c r="O131" s="295">
        <f>'BD Plant List'!$K133/12*'BD Feedstock'!O$3*'BD Plant List'!AC$5</f>
        <v>0.9053000000000001</v>
      </c>
      <c r="P131" s="295">
        <f>'BD Plant List'!$L133/12*'BD Feedstock'!P$3*'BD Plant List'!AE$5</f>
        <v>0</v>
      </c>
      <c r="Q131" s="295">
        <f>'BD Plant List'!$M133/12*'BD Feedstock'!Q$3*'BD Plant List'!AE$5</f>
        <v>0.93125000000000002</v>
      </c>
      <c r="R131" s="295">
        <f>'BD Plant List'!$N133/12*'BD Feedstock'!R$3*'BD Plant List'!AE$5</f>
        <v>26.540625000000002</v>
      </c>
      <c r="S131" s="295">
        <f>'BD Plant List'!$N133/12*'BD Feedstock'!S$3*'BD Plant List'!AF$5</f>
        <v>1.40625</v>
      </c>
      <c r="T131" s="295">
        <f>'BD Plant List'!$O133/12*'BD Feedstock'!T$3*'BD Plant List'!AB$5</f>
        <v>8.5732126770944213</v>
      </c>
      <c r="U131" s="295">
        <f>'BD Plant List'!$O133/12*'BD Feedstock'!U$3*'BD Plant List'!AC$5</f>
        <v>3.0347329175263269</v>
      </c>
    </row>
    <row r="132" spans="1:21" ht="18">
      <c r="A132" s="293">
        <v>43709</v>
      </c>
      <c r="B132" s="295">
        <f>'BD Plant List'!B134/12*'BD Plant List'!$AE$5*$B$3</f>
        <v>43.458333333333336</v>
      </c>
      <c r="C132" s="295">
        <f>'BD Plant List'!$C134/12*'BD Plant List'!$AB$5*'BD Feedstock'!$D$3</f>
        <v>2.098958333333333</v>
      </c>
      <c r="D132" s="295">
        <f>'BD Plant List'!$C134/12*'BD Plant List'!$AC$5*'BD Feedstock'!$D$3</f>
        <v>2.2289583333333334</v>
      </c>
      <c r="E132" s="294"/>
      <c r="F132" s="294"/>
      <c r="G132" s="295">
        <f>'BD Plant List'!$E134/12*'BD Feedstock'!G$3*'BD Plant List'!AB$5</f>
        <v>1.453125</v>
      </c>
      <c r="H132" s="295">
        <f>'BD Plant List'!$E134/12*'BD Feedstock'!H$3*'BD Plant List'!AC$5</f>
        <v>0.51437500000000003</v>
      </c>
      <c r="I132" s="295">
        <f>'BD Plant List'!F134/12*'BD Feedstock'!I$3*'BD Plant List'!AC$5</f>
        <v>0.13716666666666666</v>
      </c>
      <c r="J132" s="295">
        <f>'BD Plant List'!G134/12*'BD Feedstock'!J$3*'BD Plant List'!AD$5</f>
        <v>0.90199999999999991</v>
      </c>
      <c r="K132" s="295">
        <f>'BD Plant List'!$H134/12*'BD Feedstock'!K$3*'BD Plant List'!AB$5</f>
        <v>5.8125</v>
      </c>
      <c r="L132" s="295">
        <f>'BD Plant List'!$H134/12*'BD Feedstock'!L$3*'BD Plant List'!AC$5</f>
        <v>2.0575000000000001</v>
      </c>
      <c r="M132" s="295">
        <f>'BD Plant List'!$I134/12*'BD Feedstock'!$M$3*'BD Plant List'!AC$5</f>
        <v>3.4291666666666671</v>
      </c>
      <c r="N132" s="295">
        <f>'BD Plant List'!$J134/12*'BD Feedstock'!N$3*'BD Plant List'!AC$5</f>
        <v>0</v>
      </c>
      <c r="O132" s="295">
        <f>'BD Plant List'!$K134/12*'BD Feedstock'!O$3*'BD Plant List'!AC$5</f>
        <v>0.9053000000000001</v>
      </c>
      <c r="P132" s="295">
        <f>'BD Plant List'!$L134/12*'BD Feedstock'!P$3*'BD Plant List'!AE$5</f>
        <v>0</v>
      </c>
      <c r="Q132" s="295">
        <f>'BD Plant List'!$M134/12*'BD Feedstock'!Q$3*'BD Plant List'!AE$5</f>
        <v>0.93125000000000002</v>
      </c>
      <c r="R132" s="295">
        <f>'BD Plant List'!$N134/12*'BD Feedstock'!R$3*'BD Plant List'!AE$5</f>
        <v>26.540625000000002</v>
      </c>
      <c r="S132" s="295">
        <f>'BD Plant List'!$N134/12*'BD Feedstock'!S$3*'BD Plant List'!AF$5</f>
        <v>1.40625</v>
      </c>
      <c r="T132" s="295">
        <f>'BD Plant List'!$O134/12*'BD Feedstock'!T$3*'BD Plant List'!AB$5</f>
        <v>8.5732126770944213</v>
      </c>
      <c r="U132" s="295">
        <f>'BD Plant List'!$O134/12*'BD Feedstock'!U$3*'BD Plant List'!AC$5</f>
        <v>3.0347329175263269</v>
      </c>
    </row>
    <row r="133" spans="1:21" ht="18">
      <c r="A133" s="293">
        <v>43739</v>
      </c>
      <c r="B133" s="295">
        <f>'BD Plant List'!B135/12*'BD Plant List'!$AE$5*$B$3</f>
        <v>43.458333333333336</v>
      </c>
      <c r="C133" s="295">
        <f>'BD Plant List'!$C135/12*'BD Plant List'!$AB$5*'BD Feedstock'!$D$3</f>
        <v>2.098958333333333</v>
      </c>
      <c r="D133" s="295">
        <f>'BD Plant List'!$C135/12*'BD Plant List'!$AC$5*'BD Feedstock'!$D$3</f>
        <v>2.2289583333333334</v>
      </c>
      <c r="E133" s="294"/>
      <c r="F133" s="294"/>
      <c r="G133" s="295">
        <f>'BD Plant List'!$E135/12*'BD Feedstock'!G$3*'BD Plant List'!AB$5</f>
        <v>1.453125</v>
      </c>
      <c r="H133" s="295">
        <f>'BD Plant List'!$E135/12*'BD Feedstock'!H$3*'BD Plant List'!AC$5</f>
        <v>0.51437500000000003</v>
      </c>
      <c r="I133" s="295">
        <f>'BD Plant List'!F135/12*'BD Feedstock'!I$3*'BD Plant List'!AC$5</f>
        <v>0.13716666666666666</v>
      </c>
      <c r="J133" s="295">
        <f>'BD Plant List'!G135/12*'BD Feedstock'!J$3*'BD Plant List'!AD$5</f>
        <v>0.90199999999999991</v>
      </c>
      <c r="K133" s="295">
        <f>'BD Plant List'!$H135/12*'BD Feedstock'!K$3*'BD Plant List'!AB$5</f>
        <v>5.8125</v>
      </c>
      <c r="L133" s="295">
        <f>'BD Plant List'!$H135/12*'BD Feedstock'!L$3*'BD Plant List'!AC$5</f>
        <v>2.0575000000000001</v>
      </c>
      <c r="M133" s="295">
        <f>'BD Plant List'!$I135/12*'BD Feedstock'!$M$3*'BD Plant List'!AC$5</f>
        <v>3.4291666666666671</v>
      </c>
      <c r="N133" s="295">
        <f>'BD Plant List'!$J135/12*'BD Feedstock'!N$3*'BD Plant List'!AC$5</f>
        <v>0</v>
      </c>
      <c r="O133" s="295">
        <f>'BD Plant List'!$K135/12*'BD Feedstock'!O$3*'BD Plant List'!AC$5</f>
        <v>0.9053000000000001</v>
      </c>
      <c r="P133" s="295">
        <f>'BD Plant List'!$L135/12*'BD Feedstock'!P$3*'BD Plant List'!AE$5</f>
        <v>0</v>
      </c>
      <c r="Q133" s="295">
        <f>'BD Plant List'!$M135/12*'BD Feedstock'!Q$3*'BD Plant List'!AE$5</f>
        <v>0.93125000000000002</v>
      </c>
      <c r="R133" s="295">
        <f>'BD Plant List'!$N135/12*'BD Feedstock'!R$3*'BD Plant List'!AE$5</f>
        <v>26.540625000000002</v>
      </c>
      <c r="S133" s="295">
        <f>'BD Plant List'!$N135/12*'BD Feedstock'!S$3*'BD Plant List'!AF$5</f>
        <v>1.40625</v>
      </c>
      <c r="T133" s="295">
        <f>'BD Plant List'!$O135/12*'BD Feedstock'!T$3*'BD Plant List'!AB$5</f>
        <v>8.5732126770944213</v>
      </c>
      <c r="U133" s="295">
        <f>'BD Plant List'!$O135/12*'BD Feedstock'!U$3*'BD Plant List'!AC$5</f>
        <v>3.0347329175263269</v>
      </c>
    </row>
    <row r="134" spans="1:21" ht="18">
      <c r="A134" s="293">
        <v>43770</v>
      </c>
      <c r="B134" s="295">
        <f>'BD Plant List'!B136/12*'BD Plant List'!$AE$5*$B$3</f>
        <v>43.458333333333336</v>
      </c>
      <c r="C134" s="295">
        <f>'BD Plant List'!$C136/12*'BD Plant List'!$AB$5*'BD Feedstock'!$D$3</f>
        <v>2.098958333333333</v>
      </c>
      <c r="D134" s="295">
        <f>'BD Plant List'!$C136/12*'BD Plant List'!$AC$5*'BD Feedstock'!$D$3</f>
        <v>2.2289583333333334</v>
      </c>
      <c r="E134" s="294"/>
      <c r="F134" s="294"/>
      <c r="G134" s="295">
        <f>'BD Plant List'!$E136/12*'BD Feedstock'!G$3*'BD Plant List'!AB$5</f>
        <v>1.453125</v>
      </c>
      <c r="H134" s="295">
        <f>'BD Plant List'!$E136/12*'BD Feedstock'!H$3*'BD Plant List'!AC$5</f>
        <v>0.51437500000000003</v>
      </c>
      <c r="I134" s="295">
        <f>'BD Plant List'!F136/12*'BD Feedstock'!I$3*'BD Plant List'!AC$5</f>
        <v>0.13716666666666666</v>
      </c>
      <c r="J134" s="295">
        <f>'BD Plant List'!G136/12*'BD Feedstock'!J$3*'BD Plant List'!AD$5</f>
        <v>0.90199999999999991</v>
      </c>
      <c r="K134" s="295">
        <f>'BD Plant List'!$H136/12*'BD Feedstock'!K$3*'BD Plant List'!AB$5</f>
        <v>5.8125</v>
      </c>
      <c r="L134" s="295">
        <f>'BD Plant List'!$H136/12*'BD Feedstock'!L$3*'BD Plant List'!AC$5</f>
        <v>2.0575000000000001</v>
      </c>
      <c r="M134" s="295">
        <f>'BD Plant List'!$I136/12*'BD Feedstock'!$M$3*'BD Plant List'!AC$5</f>
        <v>3.4291666666666671</v>
      </c>
      <c r="N134" s="295">
        <f>'BD Plant List'!$J136/12*'BD Feedstock'!N$3*'BD Plant List'!AC$5</f>
        <v>0</v>
      </c>
      <c r="O134" s="295">
        <f>'BD Plant List'!$K136/12*'BD Feedstock'!O$3*'BD Plant List'!AC$5</f>
        <v>0.9053000000000001</v>
      </c>
      <c r="P134" s="295">
        <f>'BD Plant List'!$L136/12*'BD Feedstock'!P$3*'BD Plant List'!AE$5</f>
        <v>0</v>
      </c>
      <c r="Q134" s="295">
        <f>'BD Plant List'!$M136/12*'BD Feedstock'!Q$3*'BD Plant List'!AE$5</f>
        <v>0.93125000000000002</v>
      </c>
      <c r="R134" s="295">
        <f>'BD Plant List'!$N136/12*'BD Feedstock'!R$3*'BD Plant List'!AE$5</f>
        <v>26.540625000000002</v>
      </c>
      <c r="S134" s="295">
        <f>'BD Plant List'!$N136/12*'BD Feedstock'!S$3*'BD Plant List'!AF$5</f>
        <v>1.40625</v>
      </c>
      <c r="T134" s="295">
        <f>'BD Plant List'!$O136/12*'BD Feedstock'!T$3*'BD Plant List'!AB$5</f>
        <v>8.5732126770944213</v>
      </c>
      <c r="U134" s="295">
        <f>'BD Plant List'!$O136/12*'BD Feedstock'!U$3*'BD Plant List'!AC$5</f>
        <v>3.0347329175263269</v>
      </c>
    </row>
    <row r="135" spans="1:21" ht="18">
      <c r="A135" s="293">
        <v>43800</v>
      </c>
      <c r="B135" s="295">
        <f>'BD Plant List'!B137/12*'BD Plant List'!$AE$5*$B$3</f>
        <v>43.458333333333336</v>
      </c>
      <c r="C135" s="295">
        <f>'BD Plant List'!$C137/12*'BD Plant List'!$AB$5*'BD Feedstock'!$D$3</f>
        <v>2.098958333333333</v>
      </c>
      <c r="D135" s="295">
        <f>'BD Plant List'!$C137/12*'BD Plant List'!$AC$5*'BD Feedstock'!$D$3</f>
        <v>2.2289583333333334</v>
      </c>
      <c r="E135" s="294"/>
      <c r="F135" s="294"/>
      <c r="G135" s="295">
        <f>'BD Plant List'!$E137/12*'BD Feedstock'!G$3*'BD Plant List'!AB$5</f>
        <v>1.453125</v>
      </c>
      <c r="H135" s="295">
        <f>'BD Plant List'!$E137/12*'BD Feedstock'!H$3*'BD Plant List'!AC$5</f>
        <v>0.51437500000000003</v>
      </c>
      <c r="I135" s="295">
        <f>'BD Plant List'!F137/12*'BD Feedstock'!I$3*'BD Plant List'!AC$5</f>
        <v>0.13716666666666666</v>
      </c>
      <c r="J135" s="295">
        <f>'BD Plant List'!G137/12*'BD Feedstock'!J$3*'BD Plant List'!AD$5</f>
        <v>0.90199999999999991</v>
      </c>
      <c r="K135" s="295">
        <f>'BD Plant List'!$H137/12*'BD Feedstock'!K$3*'BD Plant List'!AB$5</f>
        <v>5.8125</v>
      </c>
      <c r="L135" s="295">
        <f>'BD Plant List'!$H137/12*'BD Feedstock'!L$3*'BD Plant List'!AC$5</f>
        <v>2.0575000000000001</v>
      </c>
      <c r="M135" s="295">
        <f>'BD Plant List'!$I137/12*'BD Feedstock'!$M$3*'BD Plant List'!AC$5</f>
        <v>3.4291666666666671</v>
      </c>
      <c r="N135" s="295">
        <f>'BD Plant List'!$J137/12*'BD Feedstock'!N$3*'BD Plant List'!AC$5</f>
        <v>0</v>
      </c>
      <c r="O135" s="295">
        <f>'BD Plant List'!$K137/12*'BD Feedstock'!O$3*'BD Plant List'!AC$5</f>
        <v>0.9053000000000001</v>
      </c>
      <c r="P135" s="295">
        <f>'BD Plant List'!$L137/12*'BD Feedstock'!P$3*'BD Plant List'!AE$5</f>
        <v>0</v>
      </c>
      <c r="Q135" s="295">
        <f>'BD Plant List'!$M137/12*'BD Feedstock'!Q$3*'BD Plant List'!AE$5</f>
        <v>0.93125000000000002</v>
      </c>
      <c r="R135" s="295">
        <f>'BD Plant List'!$N137/12*'BD Feedstock'!R$3*'BD Plant List'!AE$5</f>
        <v>26.540625000000002</v>
      </c>
      <c r="S135" s="295">
        <f>'BD Plant List'!$N137/12*'BD Feedstock'!S$3*'BD Plant List'!AF$5</f>
        <v>1.40625</v>
      </c>
      <c r="T135" s="295">
        <f>'BD Plant List'!$O137/12*'BD Feedstock'!T$3*'BD Plant List'!AB$5</f>
        <v>8.5732126770944213</v>
      </c>
      <c r="U135" s="295">
        <f>'BD Plant List'!$O137/12*'BD Feedstock'!U$3*'BD Plant List'!AC$5</f>
        <v>3.0347329175263269</v>
      </c>
    </row>
    <row r="136" spans="1:21" ht="18">
      <c r="A136" s="293">
        <v>43831</v>
      </c>
      <c r="B136" s="295">
        <f>'BD Plant List'!B138/12*'BD Plant List'!$AE$5*$B$3</f>
        <v>43.458333333333336</v>
      </c>
      <c r="C136" s="295">
        <f>'BD Plant List'!$C138/12*'BD Plant List'!$AB$5*'BD Feedstock'!$D$3</f>
        <v>2.098958333333333</v>
      </c>
      <c r="D136" s="295">
        <f>'BD Plant List'!$C138/12*'BD Plant List'!$AC$5*'BD Feedstock'!$D$3</f>
        <v>2.2289583333333334</v>
      </c>
      <c r="E136" s="294"/>
      <c r="F136" s="294"/>
      <c r="G136" s="295">
        <f>'BD Plant List'!$E138/12*'BD Feedstock'!G$3*'BD Plant List'!AB$5</f>
        <v>1.453125</v>
      </c>
      <c r="H136" s="295">
        <f>'BD Plant List'!$E138/12*'BD Feedstock'!H$3*'BD Plant List'!AC$5</f>
        <v>0.51437500000000003</v>
      </c>
      <c r="I136" s="295">
        <f>'BD Plant List'!F138/12*'BD Feedstock'!I$3*'BD Plant List'!AC$5</f>
        <v>0.13716666666666666</v>
      </c>
      <c r="J136" s="295">
        <f>'BD Plant List'!G138/12*'BD Feedstock'!J$3*'BD Plant List'!AD$5</f>
        <v>0.90199999999999991</v>
      </c>
      <c r="K136" s="295">
        <f>'BD Plant List'!$H138/12*'BD Feedstock'!K$3*'BD Plant List'!AB$5</f>
        <v>5.8125</v>
      </c>
      <c r="L136" s="295">
        <f>'BD Plant List'!$H138/12*'BD Feedstock'!L$3*'BD Plant List'!AC$5</f>
        <v>2.0575000000000001</v>
      </c>
      <c r="M136" s="295">
        <f>'BD Plant List'!$I138/12*'BD Feedstock'!$M$3*'BD Plant List'!AC$5</f>
        <v>3.4291666666666671</v>
      </c>
      <c r="N136" s="295">
        <f>'BD Plant List'!$J138/12*'BD Feedstock'!N$3*'BD Plant List'!AC$5</f>
        <v>0</v>
      </c>
      <c r="O136" s="295">
        <f>'BD Plant List'!$K138/12*'BD Feedstock'!O$3*'BD Plant List'!AC$5</f>
        <v>0.9053000000000001</v>
      </c>
      <c r="P136" s="295">
        <f>'BD Plant List'!$L138/12*'BD Feedstock'!P$3*'BD Plant List'!AE$5</f>
        <v>0</v>
      </c>
      <c r="Q136" s="295">
        <f>'BD Plant List'!$M138/12*'BD Feedstock'!Q$3*'BD Plant List'!AE$5</f>
        <v>0.93125000000000002</v>
      </c>
      <c r="R136" s="295">
        <f>'BD Plant List'!$N138/12*'BD Feedstock'!R$3*'BD Plant List'!AE$5</f>
        <v>26.540625000000002</v>
      </c>
      <c r="S136" s="295">
        <f>'BD Plant List'!$N138/12*'BD Feedstock'!S$3*'BD Plant List'!AF$5</f>
        <v>1.40625</v>
      </c>
      <c r="T136" s="295">
        <f>'BD Plant List'!$O138/12*'BD Feedstock'!T$3*'BD Plant List'!AB$5</f>
        <v>8.5732126770944213</v>
      </c>
      <c r="U136" s="295">
        <f>'BD Plant List'!$O138/12*'BD Feedstock'!U$3*'BD Plant List'!AC$5</f>
        <v>3.0347329175263269</v>
      </c>
    </row>
    <row r="137" spans="1:21" ht="18">
      <c r="A137" s="293">
        <v>43862</v>
      </c>
      <c r="B137" s="295">
        <f>'BD Plant List'!B139/12*'BD Plant List'!$AE$5*$B$3</f>
        <v>43.458333333333336</v>
      </c>
      <c r="C137" s="295">
        <f>'BD Plant List'!$C139/12*'BD Plant List'!$AB$5*'BD Feedstock'!$D$3</f>
        <v>2.098958333333333</v>
      </c>
      <c r="D137" s="295">
        <f>'BD Plant List'!$C139/12*'BD Plant List'!$AC$5*'BD Feedstock'!$D$3</f>
        <v>2.2289583333333334</v>
      </c>
      <c r="E137" s="294"/>
      <c r="F137" s="294"/>
      <c r="G137" s="295">
        <f>'BD Plant List'!$E139/12*'BD Feedstock'!G$3*'BD Plant List'!AB$5</f>
        <v>1.453125</v>
      </c>
      <c r="H137" s="295">
        <f>'BD Plant List'!$E139/12*'BD Feedstock'!H$3*'BD Plant List'!AC$5</f>
        <v>0.51437500000000003</v>
      </c>
      <c r="I137" s="295">
        <f>'BD Plant List'!F139/12*'BD Feedstock'!I$3*'BD Plant List'!AC$5</f>
        <v>0.13716666666666666</v>
      </c>
      <c r="J137" s="295">
        <f>'BD Plant List'!G139/12*'BD Feedstock'!J$3*'BD Plant List'!AD$5</f>
        <v>0.90199999999999991</v>
      </c>
      <c r="K137" s="295">
        <f>'BD Plant List'!$H139/12*'BD Feedstock'!K$3*'BD Plant List'!AB$5</f>
        <v>5.8125</v>
      </c>
      <c r="L137" s="295">
        <f>'BD Plant List'!$H139/12*'BD Feedstock'!L$3*'BD Plant List'!AC$5</f>
        <v>2.0575000000000001</v>
      </c>
      <c r="M137" s="295">
        <f>'BD Plant List'!$I139/12*'BD Feedstock'!$M$3*'BD Plant List'!AC$5</f>
        <v>3.4291666666666671</v>
      </c>
      <c r="N137" s="295">
        <f>'BD Plant List'!$J139/12*'BD Feedstock'!N$3*'BD Plant List'!AC$5</f>
        <v>0</v>
      </c>
      <c r="O137" s="295">
        <f>'BD Plant List'!$K139/12*'BD Feedstock'!O$3*'BD Plant List'!AC$5</f>
        <v>0.9053000000000001</v>
      </c>
      <c r="P137" s="295">
        <f>'BD Plant List'!$L139/12*'BD Feedstock'!P$3*'BD Plant List'!AE$5</f>
        <v>0</v>
      </c>
      <c r="Q137" s="295">
        <f>'BD Plant List'!$M139/12*'BD Feedstock'!Q$3*'BD Plant List'!AE$5</f>
        <v>0.93125000000000002</v>
      </c>
      <c r="R137" s="295">
        <f>'BD Plant List'!$N139/12*'BD Feedstock'!R$3*'BD Plant List'!AE$5</f>
        <v>26.540625000000002</v>
      </c>
      <c r="S137" s="295">
        <f>'BD Plant List'!$N139/12*'BD Feedstock'!S$3*'BD Plant List'!AF$5</f>
        <v>1.40625</v>
      </c>
      <c r="T137" s="295">
        <f>'BD Plant List'!$O139/12*'BD Feedstock'!T$3*'BD Plant List'!AB$5</f>
        <v>8.5732126770944213</v>
      </c>
      <c r="U137" s="295">
        <f>'BD Plant List'!$O139/12*'BD Feedstock'!U$3*'BD Plant List'!AC$5</f>
        <v>3.0347329175263269</v>
      </c>
    </row>
    <row r="138" spans="1:21" ht="18">
      <c r="A138" s="293">
        <v>43891</v>
      </c>
      <c r="B138" s="295">
        <f>'BD Plant List'!B140/12*'BD Plant List'!$AE$5*$B$3</f>
        <v>43.458333333333336</v>
      </c>
      <c r="C138" s="295">
        <f>'BD Plant List'!$C140/12*'BD Plant List'!$AB$5*'BD Feedstock'!$D$3</f>
        <v>2.098958333333333</v>
      </c>
      <c r="D138" s="295">
        <f>'BD Plant List'!$C140/12*'BD Plant List'!$AC$5*'BD Feedstock'!$D$3</f>
        <v>2.2289583333333334</v>
      </c>
      <c r="E138" s="294"/>
      <c r="F138" s="294"/>
      <c r="G138" s="295">
        <f>'BD Plant List'!$E140/12*'BD Feedstock'!G$3*'BD Plant List'!AB$5</f>
        <v>1.453125</v>
      </c>
      <c r="H138" s="295">
        <f>'BD Plant List'!$E140/12*'BD Feedstock'!H$3*'BD Plant List'!AC$5</f>
        <v>0.51437500000000003</v>
      </c>
      <c r="I138" s="295">
        <f>'BD Plant List'!F140/12*'BD Feedstock'!I$3*'BD Plant List'!AC$5</f>
        <v>0.13716666666666666</v>
      </c>
      <c r="J138" s="295">
        <f>'BD Plant List'!G140/12*'BD Feedstock'!J$3*'BD Plant List'!AD$5</f>
        <v>0.90199999999999991</v>
      </c>
      <c r="K138" s="295">
        <f>'BD Plant List'!$H140/12*'BD Feedstock'!K$3*'BD Plant List'!AB$5</f>
        <v>5.8125</v>
      </c>
      <c r="L138" s="295">
        <f>'BD Plant List'!$H140/12*'BD Feedstock'!L$3*'BD Plant List'!AC$5</f>
        <v>2.0575000000000001</v>
      </c>
      <c r="M138" s="295">
        <f>'BD Plant List'!$I140/12*'BD Feedstock'!$M$3*'BD Plant List'!AC$5</f>
        <v>3.4291666666666671</v>
      </c>
      <c r="N138" s="295">
        <f>'BD Plant List'!$J140/12*'BD Feedstock'!N$3*'BD Plant List'!AC$5</f>
        <v>0</v>
      </c>
      <c r="O138" s="295">
        <f>'BD Plant List'!$K140/12*'BD Feedstock'!O$3*'BD Plant List'!AC$5</f>
        <v>0.9053000000000001</v>
      </c>
      <c r="P138" s="295">
        <f>'BD Plant List'!$L140/12*'BD Feedstock'!P$3*'BD Plant List'!AE$5</f>
        <v>0</v>
      </c>
      <c r="Q138" s="295">
        <f>'BD Plant List'!$M140/12*'BD Feedstock'!Q$3*'BD Plant List'!AE$5</f>
        <v>0.93125000000000002</v>
      </c>
      <c r="R138" s="295">
        <f>'BD Plant List'!$N140/12*'BD Feedstock'!R$3*'BD Plant List'!AE$5</f>
        <v>26.540625000000002</v>
      </c>
      <c r="S138" s="295">
        <f>'BD Plant List'!$N140/12*'BD Feedstock'!S$3*'BD Plant List'!AF$5</f>
        <v>1.40625</v>
      </c>
      <c r="T138" s="295">
        <f>'BD Plant List'!$O140/12*'BD Feedstock'!T$3*'BD Plant List'!AB$5</f>
        <v>8.5732126770944213</v>
      </c>
      <c r="U138" s="295">
        <f>'BD Plant List'!$O140/12*'BD Feedstock'!U$3*'BD Plant List'!AC$5</f>
        <v>3.0347329175263269</v>
      </c>
    </row>
    <row r="139" spans="1:21" ht="18">
      <c r="A139" s="293">
        <v>43922</v>
      </c>
      <c r="B139" s="295">
        <f>'BD Plant List'!B141/12*'BD Plant List'!$AE$5*$B$3</f>
        <v>43.458333333333336</v>
      </c>
      <c r="C139" s="295">
        <f>'BD Plant List'!$C141/12*'BD Plant List'!$AB$5*'BD Feedstock'!$D$3</f>
        <v>2.098958333333333</v>
      </c>
      <c r="D139" s="295">
        <f>'BD Plant List'!$C141/12*'BD Plant List'!$AC$5*'BD Feedstock'!$D$3</f>
        <v>2.2289583333333334</v>
      </c>
      <c r="E139" s="294"/>
      <c r="F139" s="294"/>
      <c r="G139" s="295">
        <f>'BD Plant List'!$E141/12*'BD Feedstock'!G$3*'BD Plant List'!AB$5</f>
        <v>1.453125</v>
      </c>
      <c r="H139" s="295">
        <f>'BD Plant List'!$E141/12*'BD Feedstock'!H$3*'BD Plant List'!AC$5</f>
        <v>0.51437500000000003</v>
      </c>
      <c r="I139" s="295">
        <f>'BD Plant List'!F141/12*'BD Feedstock'!I$3*'BD Plant List'!AC$5</f>
        <v>0.13716666666666666</v>
      </c>
      <c r="J139" s="295">
        <f>'BD Plant List'!G141/12*'BD Feedstock'!J$3*'BD Plant List'!AD$5</f>
        <v>0.90199999999999991</v>
      </c>
      <c r="K139" s="295">
        <f>'BD Plant List'!$H141/12*'BD Feedstock'!K$3*'BD Plant List'!AB$5</f>
        <v>5.8125</v>
      </c>
      <c r="L139" s="295">
        <f>'BD Plant List'!$H141/12*'BD Feedstock'!L$3*'BD Plant List'!AC$5</f>
        <v>2.0575000000000001</v>
      </c>
      <c r="M139" s="295">
        <f>'BD Plant List'!$I141/12*'BD Feedstock'!$M$3*'BD Plant List'!AC$5</f>
        <v>3.4291666666666671</v>
      </c>
      <c r="N139" s="295">
        <f>'BD Plant List'!$J141/12*'BD Feedstock'!N$3*'BD Plant List'!AC$5</f>
        <v>0</v>
      </c>
      <c r="O139" s="295">
        <f>'BD Plant List'!$K141/12*'BD Feedstock'!O$3*'BD Plant List'!AC$5</f>
        <v>0.9053000000000001</v>
      </c>
      <c r="P139" s="295">
        <f>'BD Plant List'!$L141/12*'BD Feedstock'!P$3*'BD Plant List'!AE$5</f>
        <v>0</v>
      </c>
      <c r="Q139" s="295">
        <f>'BD Plant List'!$M141/12*'BD Feedstock'!Q$3*'BD Plant List'!AE$5</f>
        <v>0.93125000000000002</v>
      </c>
      <c r="R139" s="295">
        <f>'BD Plant List'!$N141/12*'BD Feedstock'!R$3*'BD Plant List'!AE$5</f>
        <v>26.540625000000002</v>
      </c>
      <c r="S139" s="295">
        <f>'BD Plant List'!$N141/12*'BD Feedstock'!S$3*'BD Plant List'!AF$5</f>
        <v>1.40625</v>
      </c>
      <c r="T139" s="295">
        <f>'BD Plant List'!$O141/12*'BD Feedstock'!T$3*'BD Plant List'!AB$5</f>
        <v>8.5732126770944213</v>
      </c>
      <c r="U139" s="295">
        <f>'BD Plant List'!$O141/12*'BD Feedstock'!U$3*'BD Plant List'!AC$5</f>
        <v>3.0347329175263269</v>
      </c>
    </row>
    <row r="140" spans="1:21" ht="18">
      <c r="A140" s="293">
        <v>43952</v>
      </c>
      <c r="B140" s="295">
        <f>'BD Plant List'!B142/12*'BD Plant List'!$AE$5*$B$3</f>
        <v>43.458333333333336</v>
      </c>
      <c r="C140" s="295">
        <f>'BD Plant List'!$C142/12*'BD Plant List'!$AB$5*'BD Feedstock'!$D$3</f>
        <v>2.098958333333333</v>
      </c>
      <c r="D140" s="295">
        <f>'BD Plant List'!$C142/12*'BD Plant List'!$AC$5*'BD Feedstock'!$D$3</f>
        <v>2.2289583333333334</v>
      </c>
      <c r="E140" s="294"/>
      <c r="F140" s="294"/>
      <c r="G140" s="295">
        <f>'BD Plant List'!$E142/12*'BD Feedstock'!G$3*'BD Plant List'!AB$5</f>
        <v>1.453125</v>
      </c>
      <c r="H140" s="295">
        <f>'BD Plant List'!$E142/12*'BD Feedstock'!H$3*'BD Plant List'!AC$5</f>
        <v>0.51437500000000003</v>
      </c>
      <c r="I140" s="295">
        <f>'BD Plant List'!F142/12*'BD Feedstock'!I$3*'BD Plant List'!AC$5</f>
        <v>0.13716666666666666</v>
      </c>
      <c r="J140" s="295">
        <f>'BD Plant List'!G142/12*'BD Feedstock'!J$3*'BD Plant List'!AD$5</f>
        <v>0.90199999999999991</v>
      </c>
      <c r="K140" s="295">
        <f>'BD Plant List'!$H142/12*'BD Feedstock'!K$3*'BD Plant List'!AB$5</f>
        <v>5.8125</v>
      </c>
      <c r="L140" s="295">
        <f>'BD Plant List'!$H142/12*'BD Feedstock'!L$3*'BD Plant List'!AC$5</f>
        <v>2.0575000000000001</v>
      </c>
      <c r="M140" s="295">
        <f>'BD Plant List'!$I142/12*'BD Feedstock'!$M$3*'BD Plant List'!AC$5</f>
        <v>3.4291666666666671</v>
      </c>
      <c r="N140" s="295">
        <f>'BD Plant List'!$J142/12*'BD Feedstock'!N$3*'BD Plant List'!AC$5</f>
        <v>0</v>
      </c>
      <c r="O140" s="295">
        <f>'BD Plant List'!$K142/12*'BD Feedstock'!O$3*'BD Plant List'!AC$5</f>
        <v>0.9053000000000001</v>
      </c>
      <c r="P140" s="295">
        <f>'BD Plant List'!$L142/12*'BD Feedstock'!P$3*'BD Plant List'!AE$5</f>
        <v>0</v>
      </c>
      <c r="Q140" s="295">
        <f>'BD Plant List'!$M142/12*'BD Feedstock'!Q$3*'BD Plant List'!AE$5</f>
        <v>0.93125000000000002</v>
      </c>
      <c r="R140" s="295">
        <f>'BD Plant List'!$N142/12*'BD Feedstock'!R$3*'BD Plant List'!AE$5</f>
        <v>26.540625000000002</v>
      </c>
      <c r="S140" s="295">
        <f>'BD Plant List'!$N142/12*'BD Feedstock'!S$3*'BD Plant List'!AF$5</f>
        <v>1.40625</v>
      </c>
      <c r="T140" s="295">
        <f>'BD Plant List'!$O142/12*'BD Feedstock'!T$3*'BD Plant List'!AB$5</f>
        <v>8.5732126770944213</v>
      </c>
      <c r="U140" s="295">
        <f>'BD Plant List'!$O142/12*'BD Feedstock'!U$3*'BD Plant List'!AC$5</f>
        <v>3.0347329175263269</v>
      </c>
    </row>
    <row r="141" spans="1:21" ht="18">
      <c r="A141" s="293">
        <v>43983</v>
      </c>
      <c r="B141" s="295">
        <f>'BD Plant List'!B143/12*'BD Plant List'!$AE$5*$B$3</f>
        <v>43.458333333333336</v>
      </c>
      <c r="C141" s="295">
        <f>'BD Plant List'!$C143/12*'BD Plant List'!$AB$5*'BD Feedstock'!$D$3</f>
        <v>2.098958333333333</v>
      </c>
      <c r="D141" s="295">
        <f>'BD Plant List'!$C143/12*'BD Plant List'!$AC$5*'BD Feedstock'!$D$3</f>
        <v>2.2289583333333334</v>
      </c>
      <c r="E141" s="294"/>
      <c r="F141" s="294"/>
      <c r="G141" s="295">
        <f>'BD Plant List'!$E143/12*'BD Feedstock'!G$3*'BD Plant List'!AB$5</f>
        <v>1.453125</v>
      </c>
      <c r="H141" s="295">
        <f>'BD Plant List'!$E143/12*'BD Feedstock'!H$3*'BD Plant List'!AC$5</f>
        <v>0.51437500000000003</v>
      </c>
      <c r="I141" s="295">
        <f>'BD Plant List'!F143/12*'BD Feedstock'!I$3*'BD Plant List'!AC$5</f>
        <v>0.13716666666666666</v>
      </c>
      <c r="J141" s="295">
        <f>'BD Plant List'!G143/12*'BD Feedstock'!J$3*'BD Plant List'!AD$5</f>
        <v>0.90199999999999991</v>
      </c>
      <c r="K141" s="295">
        <f>'BD Plant List'!$H143/12*'BD Feedstock'!K$3*'BD Plant List'!AB$5</f>
        <v>5.8125</v>
      </c>
      <c r="L141" s="295">
        <f>'BD Plant List'!$H143/12*'BD Feedstock'!L$3*'BD Plant List'!AC$5</f>
        <v>2.0575000000000001</v>
      </c>
      <c r="M141" s="295">
        <f>'BD Plant List'!$I143/12*'BD Feedstock'!$M$3*'BD Plant List'!AC$5</f>
        <v>3.4291666666666671</v>
      </c>
      <c r="N141" s="295">
        <f>'BD Plant List'!$J143/12*'BD Feedstock'!N$3*'BD Plant List'!AC$5</f>
        <v>0</v>
      </c>
      <c r="O141" s="295">
        <f>'BD Plant List'!$K143/12*'BD Feedstock'!O$3*'BD Plant List'!AC$5</f>
        <v>0.9053000000000001</v>
      </c>
      <c r="P141" s="295">
        <f>'BD Plant List'!$L143/12*'BD Feedstock'!P$3*'BD Plant List'!AE$5</f>
        <v>0</v>
      </c>
      <c r="Q141" s="295">
        <f>'BD Plant List'!$M143/12*'BD Feedstock'!Q$3*'BD Plant List'!AE$5</f>
        <v>0.93125000000000002</v>
      </c>
      <c r="R141" s="295">
        <f>'BD Plant List'!$N143/12*'BD Feedstock'!R$3*'BD Plant List'!AE$5</f>
        <v>26.540625000000002</v>
      </c>
      <c r="S141" s="295">
        <f>'BD Plant List'!$N143/12*'BD Feedstock'!S$3*'BD Plant List'!AF$5</f>
        <v>1.40625</v>
      </c>
      <c r="T141" s="295">
        <f>'BD Plant List'!$O143/12*'BD Feedstock'!T$3*'BD Plant List'!AB$5</f>
        <v>8.5732126770944213</v>
      </c>
      <c r="U141" s="295">
        <f>'BD Plant List'!$O143/12*'BD Feedstock'!U$3*'BD Plant List'!AC$5</f>
        <v>3.0347329175263269</v>
      </c>
    </row>
    <row r="142" spans="1:21" ht="18">
      <c r="A142" s="293">
        <v>44013</v>
      </c>
      <c r="B142" s="295">
        <f>'BD Plant List'!B144/12*'BD Plant List'!$AE$5*$B$3</f>
        <v>43.458333333333336</v>
      </c>
      <c r="C142" s="295">
        <f>'BD Plant List'!$C144/12*'BD Plant List'!$AB$5*'BD Feedstock'!$D$3</f>
        <v>2.098958333333333</v>
      </c>
      <c r="D142" s="295">
        <f>'BD Plant List'!$C144/12*'BD Plant List'!$AC$5*'BD Feedstock'!$D$3</f>
        <v>2.2289583333333334</v>
      </c>
      <c r="E142" s="294"/>
      <c r="F142" s="294"/>
      <c r="G142" s="295">
        <f>'BD Plant List'!$E144/12*'BD Feedstock'!G$3*'BD Plant List'!AB$5</f>
        <v>1.453125</v>
      </c>
      <c r="H142" s="295">
        <f>'BD Plant List'!$E144/12*'BD Feedstock'!H$3*'BD Plant List'!AC$5</f>
        <v>0.51437500000000003</v>
      </c>
      <c r="I142" s="295">
        <f>'BD Plant List'!F144/12*'BD Feedstock'!I$3*'BD Plant List'!AC$5</f>
        <v>0.13716666666666666</v>
      </c>
      <c r="J142" s="295">
        <f>'BD Plant List'!G144/12*'BD Feedstock'!J$3*'BD Plant List'!AD$5</f>
        <v>0.90199999999999991</v>
      </c>
      <c r="K142" s="295">
        <f>'BD Plant List'!$H144/12*'BD Feedstock'!K$3*'BD Plant List'!AB$5</f>
        <v>5.8125</v>
      </c>
      <c r="L142" s="295">
        <f>'BD Plant List'!$H144/12*'BD Feedstock'!L$3*'BD Plant List'!AC$5</f>
        <v>2.0575000000000001</v>
      </c>
      <c r="M142" s="295">
        <f>'BD Plant List'!$I144/12*'BD Feedstock'!$M$3*'BD Plant List'!AC$5</f>
        <v>3.4291666666666671</v>
      </c>
      <c r="N142" s="295">
        <f>'BD Plant List'!$J144/12*'BD Feedstock'!N$3*'BD Plant List'!AC$5</f>
        <v>0</v>
      </c>
      <c r="O142" s="295">
        <f>'BD Plant List'!$K144/12*'BD Feedstock'!O$3*'BD Plant List'!AC$5</f>
        <v>0.9053000000000001</v>
      </c>
      <c r="P142" s="295">
        <f>'BD Plant List'!$L144/12*'BD Feedstock'!P$3*'BD Plant List'!AE$5</f>
        <v>0</v>
      </c>
      <c r="Q142" s="295">
        <f>'BD Plant List'!$M144/12*'BD Feedstock'!Q$3*'BD Plant List'!AE$5</f>
        <v>0.93125000000000002</v>
      </c>
      <c r="R142" s="295">
        <f>'BD Plant List'!$N144/12*'BD Feedstock'!R$3*'BD Plant List'!AE$5</f>
        <v>26.540625000000002</v>
      </c>
      <c r="S142" s="295">
        <f>'BD Plant List'!$N144/12*'BD Feedstock'!S$3*'BD Plant List'!AF$5</f>
        <v>1.40625</v>
      </c>
      <c r="T142" s="295">
        <f>'BD Plant List'!$O144/12*'BD Feedstock'!T$3*'BD Plant List'!AB$5</f>
        <v>8.5732126770944213</v>
      </c>
      <c r="U142" s="295">
        <f>'BD Plant List'!$O144/12*'BD Feedstock'!U$3*'BD Plant List'!AC$5</f>
        <v>3.0347329175263269</v>
      </c>
    </row>
    <row r="143" spans="1:21" ht="18">
      <c r="A143" s="293">
        <v>44044</v>
      </c>
      <c r="B143" s="295">
        <f>'BD Plant List'!B145/12*'BD Plant List'!$AE$5*$B$3</f>
        <v>43.458333333333336</v>
      </c>
      <c r="C143" s="295">
        <f>'BD Plant List'!$C145/12*'BD Plant List'!$AB$5*'BD Feedstock'!$D$3</f>
        <v>2.098958333333333</v>
      </c>
      <c r="D143" s="295">
        <f>'BD Plant List'!$C145/12*'BD Plant List'!$AC$5*'BD Feedstock'!$D$3</f>
        <v>2.2289583333333334</v>
      </c>
      <c r="E143" s="294"/>
      <c r="F143" s="294"/>
      <c r="G143" s="295">
        <f>'BD Plant List'!$E145/12*'BD Feedstock'!G$3*'BD Plant List'!AB$5</f>
        <v>1.453125</v>
      </c>
      <c r="H143" s="295">
        <f>'BD Plant List'!$E145/12*'BD Feedstock'!H$3*'BD Plant List'!AC$5</f>
        <v>0.51437500000000003</v>
      </c>
      <c r="I143" s="295">
        <f>'BD Plant List'!F145/12*'BD Feedstock'!I$3*'BD Plant List'!AC$5</f>
        <v>0.13716666666666666</v>
      </c>
      <c r="J143" s="295">
        <f>'BD Plant List'!G145/12*'BD Feedstock'!J$3*'BD Plant List'!AD$5</f>
        <v>0.90199999999999991</v>
      </c>
      <c r="K143" s="295">
        <f>'BD Plant List'!$H145/12*'BD Feedstock'!K$3*'BD Plant List'!AB$5</f>
        <v>5.8125</v>
      </c>
      <c r="L143" s="295">
        <f>'BD Plant List'!$H145/12*'BD Feedstock'!L$3*'BD Plant List'!AC$5</f>
        <v>2.0575000000000001</v>
      </c>
      <c r="M143" s="295">
        <f>'BD Plant List'!$I145/12*'BD Feedstock'!$M$3*'BD Plant List'!AC$5</f>
        <v>3.4291666666666671</v>
      </c>
      <c r="N143" s="295">
        <f>'BD Plant List'!$J145/12*'BD Feedstock'!N$3*'BD Plant List'!AC$5</f>
        <v>0</v>
      </c>
      <c r="O143" s="295">
        <f>'BD Plant List'!$K145/12*'BD Feedstock'!O$3*'BD Plant List'!AC$5</f>
        <v>0</v>
      </c>
      <c r="P143" s="295">
        <f>'BD Plant List'!$L145/12*'BD Feedstock'!P$3*'BD Plant List'!AE$5</f>
        <v>0</v>
      </c>
      <c r="Q143" s="295">
        <f>'BD Plant List'!$M145/12*'BD Feedstock'!Q$3*'BD Plant List'!AE$5</f>
        <v>0.93125000000000002</v>
      </c>
      <c r="R143" s="295">
        <f>'BD Plant List'!$N145/12*'BD Feedstock'!R$3*'BD Plant List'!AE$5</f>
        <v>26.540625000000002</v>
      </c>
      <c r="S143" s="295">
        <f>'BD Plant List'!$N145/12*'BD Feedstock'!S$3*'BD Plant List'!AF$5</f>
        <v>1.40625</v>
      </c>
      <c r="T143" s="295">
        <f>'BD Plant List'!$O145/12*'BD Feedstock'!T$3*'BD Plant List'!AB$5</f>
        <v>8.5732126770944213</v>
      </c>
      <c r="U143" s="295">
        <f>'BD Plant List'!$O145/12*'BD Feedstock'!U$3*'BD Plant List'!AC$5</f>
        <v>3.0347329175263269</v>
      </c>
    </row>
    <row r="144" spans="1:21" ht="18">
      <c r="A144" s="293">
        <v>44075</v>
      </c>
      <c r="B144" s="295">
        <f>'BD Plant List'!B146/12*'BD Plant List'!$AE$5*$B$3</f>
        <v>43.458333333333336</v>
      </c>
      <c r="C144" s="295">
        <f>'BD Plant List'!$C146/12*'BD Plant List'!$AB$5*'BD Feedstock'!$D$3</f>
        <v>2.098958333333333</v>
      </c>
      <c r="D144" s="295">
        <f>'BD Plant List'!$C146/12*'BD Plant List'!$AC$5*'BD Feedstock'!$D$3</f>
        <v>2.2289583333333334</v>
      </c>
      <c r="E144" s="294"/>
      <c r="F144" s="294"/>
      <c r="G144" s="295">
        <f>'BD Plant List'!$E146/12*'BD Feedstock'!G$3*'BD Plant List'!AB$5</f>
        <v>1.453125</v>
      </c>
      <c r="H144" s="295">
        <f>'BD Plant List'!$E146/12*'BD Feedstock'!H$3*'BD Plant List'!AC$5</f>
        <v>0.51437500000000003</v>
      </c>
      <c r="I144" s="295">
        <f>'BD Plant List'!F146/12*'BD Feedstock'!I$3*'BD Plant List'!AC$5</f>
        <v>0.13716666666666666</v>
      </c>
      <c r="J144" s="295">
        <f>'BD Plant List'!G146/12*'BD Feedstock'!J$3*'BD Plant List'!AD$5</f>
        <v>0.90199999999999991</v>
      </c>
      <c r="K144" s="295">
        <f>'BD Plant List'!$H146/12*'BD Feedstock'!K$3*'BD Plant List'!AB$5</f>
        <v>5.8125</v>
      </c>
      <c r="L144" s="295">
        <f>'BD Plant List'!$H146/12*'BD Feedstock'!L$3*'BD Plant List'!AC$5</f>
        <v>2.0575000000000001</v>
      </c>
      <c r="M144" s="295">
        <f>'BD Plant List'!$I146/12*'BD Feedstock'!$M$3*'BD Plant List'!AC$5</f>
        <v>3.4291666666666671</v>
      </c>
      <c r="N144" s="295">
        <f>'BD Plant List'!$J146/12*'BD Feedstock'!N$3*'BD Plant List'!AC$5</f>
        <v>0</v>
      </c>
      <c r="O144" s="295">
        <f>'BD Plant List'!$K146/12*'BD Feedstock'!O$3*'BD Plant List'!AC$5</f>
        <v>0</v>
      </c>
      <c r="P144" s="295">
        <f>'BD Plant List'!$L146/12*'BD Feedstock'!P$3*'BD Plant List'!AE$5</f>
        <v>0</v>
      </c>
      <c r="Q144" s="295">
        <f>'BD Plant List'!$M146/12*'BD Feedstock'!Q$3*'BD Plant List'!AE$5</f>
        <v>0.93125000000000002</v>
      </c>
      <c r="R144" s="295">
        <f>'BD Plant List'!$N146/12*'BD Feedstock'!R$3*'BD Plant List'!AE$5</f>
        <v>26.540625000000002</v>
      </c>
      <c r="S144" s="295">
        <f>'BD Plant List'!$N146/12*'BD Feedstock'!S$3*'BD Plant List'!AF$5</f>
        <v>1.40625</v>
      </c>
      <c r="T144" s="295">
        <f>'BD Plant List'!$O146/12*'BD Feedstock'!T$3*'BD Plant List'!AB$5</f>
        <v>8.5732126770944213</v>
      </c>
      <c r="U144" s="295">
        <f>'BD Plant List'!$O146/12*'BD Feedstock'!U$3*'BD Plant List'!AC$5</f>
        <v>3.0347329175263269</v>
      </c>
    </row>
    <row r="145" spans="1:21" ht="18">
      <c r="A145" s="293">
        <v>44105</v>
      </c>
      <c r="B145" s="295">
        <f>'BD Plant List'!B147/12*'BD Plant List'!$AE$5*$B$3</f>
        <v>43.458333333333336</v>
      </c>
      <c r="C145" s="295">
        <f>'BD Plant List'!$C147/12*'BD Plant List'!$AB$5*'BD Feedstock'!$D$3</f>
        <v>2.098958333333333</v>
      </c>
      <c r="D145" s="295">
        <f>'BD Plant List'!$C147/12*'BD Plant List'!$AC$5*'BD Feedstock'!$D$3</f>
        <v>2.2289583333333334</v>
      </c>
      <c r="E145" s="294"/>
      <c r="F145" s="294"/>
      <c r="G145" s="295">
        <f>'BD Plant List'!$E147/12*'BD Feedstock'!G$3*'BD Plant List'!AB$5</f>
        <v>1.453125</v>
      </c>
      <c r="H145" s="295">
        <f>'BD Plant List'!$E147/12*'BD Feedstock'!H$3*'BD Plant List'!AC$5</f>
        <v>0.51437500000000003</v>
      </c>
      <c r="I145" s="295">
        <f>'BD Plant List'!F147/12*'BD Feedstock'!I$3*'BD Plant List'!AC$5</f>
        <v>0.13716666666666666</v>
      </c>
      <c r="J145" s="295">
        <f>'BD Plant List'!G147/12*'BD Feedstock'!J$3*'BD Plant List'!AD$5</f>
        <v>0.90199999999999991</v>
      </c>
      <c r="K145" s="295">
        <f>'BD Plant List'!$H147/12*'BD Feedstock'!K$3*'BD Plant List'!AB$5</f>
        <v>5.8125</v>
      </c>
      <c r="L145" s="295">
        <f>'BD Plant List'!$H147/12*'BD Feedstock'!L$3*'BD Plant List'!AC$5</f>
        <v>2.0575000000000001</v>
      </c>
      <c r="M145" s="295">
        <f>'BD Plant List'!$I147/12*'BD Feedstock'!$M$3*'BD Plant List'!AC$5</f>
        <v>3.4291666666666671</v>
      </c>
      <c r="N145" s="295">
        <f>'BD Plant List'!$J147/12*'BD Feedstock'!N$3*'BD Plant List'!AC$5</f>
        <v>0</v>
      </c>
      <c r="O145" s="295">
        <f>'BD Plant List'!$K147/12*'BD Feedstock'!O$3*'BD Plant List'!AC$5</f>
        <v>0</v>
      </c>
      <c r="P145" s="295">
        <f>'BD Plant List'!$L147/12*'BD Feedstock'!P$3*'BD Plant List'!AE$5</f>
        <v>0</v>
      </c>
      <c r="Q145" s="295">
        <f>'BD Plant List'!$M147/12*'BD Feedstock'!Q$3*'BD Plant List'!AE$5</f>
        <v>0.93125000000000002</v>
      </c>
      <c r="R145" s="295">
        <f>'BD Plant List'!$N147/12*'BD Feedstock'!R$3*'BD Plant List'!AE$5</f>
        <v>26.540625000000002</v>
      </c>
      <c r="S145" s="295">
        <f>'BD Plant List'!$N147/12*'BD Feedstock'!S$3*'BD Plant List'!AF$5</f>
        <v>1.40625</v>
      </c>
      <c r="T145" s="295">
        <f>'BD Plant List'!$O147/12*'BD Feedstock'!T$3*'BD Plant List'!AB$5</f>
        <v>8.5732126770944213</v>
      </c>
      <c r="U145" s="295">
        <f>'BD Plant List'!$O147/12*'BD Feedstock'!U$3*'BD Plant List'!AC$5</f>
        <v>3.0347329175263269</v>
      </c>
    </row>
    <row r="146" spans="1:21" ht="18">
      <c r="A146" s="293">
        <v>44136</v>
      </c>
      <c r="B146" s="295">
        <f>'BD Plant List'!B148/12*'BD Plant List'!$AE$5*$B$3</f>
        <v>43.458333333333336</v>
      </c>
      <c r="C146" s="295">
        <f>'BD Plant List'!$C148/12*'BD Plant List'!$AB$5*'BD Feedstock'!$D$3</f>
        <v>2.098958333333333</v>
      </c>
      <c r="D146" s="295">
        <f>'BD Plant List'!$C148/12*'BD Plant List'!$AC$5*'BD Feedstock'!$D$3</f>
        <v>2.2289583333333334</v>
      </c>
      <c r="E146" s="294"/>
      <c r="F146" s="294"/>
      <c r="G146" s="295">
        <f>'BD Plant List'!$E148/12*'BD Feedstock'!G$3*'BD Plant List'!AB$5</f>
        <v>1.453125</v>
      </c>
      <c r="H146" s="295">
        <f>'BD Plant List'!$E148/12*'BD Feedstock'!H$3*'BD Plant List'!AC$5</f>
        <v>0.51437500000000003</v>
      </c>
      <c r="I146" s="295">
        <f>'BD Plant List'!F148/12*'BD Feedstock'!I$3*'BD Plant List'!AC$5</f>
        <v>0.13716666666666666</v>
      </c>
      <c r="J146" s="295">
        <f>'BD Plant List'!G148/12*'BD Feedstock'!J$3*'BD Plant List'!AD$5</f>
        <v>0.90199999999999991</v>
      </c>
      <c r="K146" s="295">
        <f>'BD Plant List'!$H148/12*'BD Feedstock'!K$3*'BD Plant List'!AB$5</f>
        <v>5.8125</v>
      </c>
      <c r="L146" s="295">
        <f>'BD Plant List'!$H148/12*'BD Feedstock'!L$3*'BD Plant List'!AC$5</f>
        <v>2.0575000000000001</v>
      </c>
      <c r="M146" s="295">
        <f>'BD Plant List'!$I148/12*'BD Feedstock'!$M$3*'BD Plant List'!AC$5</f>
        <v>3.4291666666666671</v>
      </c>
      <c r="N146" s="295">
        <f>'BD Plant List'!$J148/12*'BD Feedstock'!N$3*'BD Plant List'!AC$5</f>
        <v>0</v>
      </c>
      <c r="O146" s="295">
        <f>'BD Plant List'!$K148/12*'BD Feedstock'!O$3*'BD Plant List'!AC$5</f>
        <v>0</v>
      </c>
      <c r="P146" s="295">
        <f>'BD Plant List'!$L148/12*'BD Feedstock'!P$3*'BD Plant List'!AE$5</f>
        <v>0</v>
      </c>
      <c r="Q146" s="295">
        <f>'BD Plant List'!$M148/12*'BD Feedstock'!Q$3*'BD Plant List'!AE$5</f>
        <v>0.93125000000000002</v>
      </c>
      <c r="R146" s="295">
        <f>'BD Plant List'!$N148/12*'BD Feedstock'!R$3*'BD Plant List'!AE$5</f>
        <v>26.540625000000002</v>
      </c>
      <c r="S146" s="295">
        <f>'BD Plant List'!$N148/12*'BD Feedstock'!S$3*'BD Plant List'!AF$5</f>
        <v>1.40625</v>
      </c>
      <c r="T146" s="295">
        <f>'BD Plant List'!$O148/12*'BD Feedstock'!T$3*'BD Plant List'!AB$5</f>
        <v>8.5732126770944213</v>
      </c>
      <c r="U146" s="295">
        <f>'BD Plant List'!$O148/12*'BD Feedstock'!U$3*'BD Plant List'!AC$5</f>
        <v>3.0347329175263269</v>
      </c>
    </row>
    <row r="147" spans="1:21" ht="18">
      <c r="A147" s="293">
        <v>44166</v>
      </c>
      <c r="B147" s="295">
        <f>'BD Plant List'!B149/12*'BD Plant List'!$AE$5*$B$3</f>
        <v>43.458333333333336</v>
      </c>
      <c r="C147" s="295">
        <f>'BD Plant List'!$C149/12*'BD Plant List'!$AB$5*'BD Feedstock'!$D$3</f>
        <v>2.098958333333333</v>
      </c>
      <c r="D147" s="295">
        <f>'BD Plant List'!$C149/12*'BD Plant List'!$AC$5*'BD Feedstock'!$D$3</f>
        <v>2.2289583333333334</v>
      </c>
      <c r="E147" s="294"/>
      <c r="F147" s="294"/>
      <c r="G147" s="295">
        <f>'BD Plant List'!$E149/12*'BD Feedstock'!G$3*'BD Plant List'!AB$5</f>
        <v>1.453125</v>
      </c>
      <c r="H147" s="295">
        <f>'BD Plant List'!$E149/12*'BD Feedstock'!H$3*'BD Plant List'!AC$5</f>
        <v>0.51437500000000003</v>
      </c>
      <c r="I147" s="295">
        <f>'BD Plant List'!F149/12*'BD Feedstock'!I$3*'BD Plant List'!AC$5</f>
        <v>0.13716666666666666</v>
      </c>
      <c r="J147" s="295">
        <f>'BD Plant List'!G149/12*'BD Feedstock'!J$3*'BD Plant List'!AD$5</f>
        <v>0.90199999999999991</v>
      </c>
      <c r="K147" s="295">
        <f>'BD Plant List'!$H149/12*'BD Feedstock'!K$3*'BD Plant List'!AB$5</f>
        <v>5.8125</v>
      </c>
      <c r="L147" s="295">
        <f>'BD Plant List'!$H149/12*'BD Feedstock'!L$3*'BD Plant List'!AC$5</f>
        <v>2.0575000000000001</v>
      </c>
      <c r="M147" s="295">
        <f>'BD Plant List'!$I149/12*'BD Feedstock'!$M$3*'BD Plant List'!AC$5</f>
        <v>3.4291666666666671</v>
      </c>
      <c r="N147" s="295">
        <f>'BD Plant List'!$J149/12*'BD Feedstock'!N$3*'BD Plant List'!AC$5</f>
        <v>0</v>
      </c>
      <c r="O147" s="295">
        <f>'BD Plant List'!$K149/12*'BD Feedstock'!O$3*'BD Plant List'!AC$5</f>
        <v>0</v>
      </c>
      <c r="P147" s="295">
        <f>'BD Plant List'!$L149/12*'BD Feedstock'!P$3*'BD Plant List'!AE$5</f>
        <v>0</v>
      </c>
      <c r="Q147" s="295">
        <f>'BD Plant List'!$M149/12*'BD Feedstock'!Q$3*'BD Plant List'!AE$5</f>
        <v>0.93125000000000002</v>
      </c>
      <c r="R147" s="295">
        <f>'BD Plant List'!$N149/12*'BD Feedstock'!R$3*'BD Plant List'!AE$5</f>
        <v>26.540625000000002</v>
      </c>
      <c r="S147" s="295">
        <f>'BD Plant List'!$N149/12*'BD Feedstock'!S$3*'BD Plant List'!AF$5</f>
        <v>1.40625</v>
      </c>
      <c r="T147" s="295">
        <f>'BD Plant List'!$O149/12*'BD Feedstock'!T$3*'BD Plant List'!AB$5</f>
        <v>8.5732126770944213</v>
      </c>
      <c r="U147" s="295">
        <f>'BD Plant List'!$O149/12*'BD Feedstock'!U$3*'BD Plant List'!AC$5</f>
        <v>3.0347329175263269</v>
      </c>
    </row>
    <row r="148" spans="1:21" ht="18">
      <c r="A148" s="293">
        <v>44197</v>
      </c>
      <c r="B148" s="295">
        <f>'BD Plant List'!B150/12*'BD Plant List'!$AE$5*$B$3</f>
        <v>43.458333333333336</v>
      </c>
      <c r="C148" s="295">
        <f>'BD Plant List'!$C150/12*'BD Plant List'!$AB$5*'BD Feedstock'!$D$3</f>
        <v>2.098958333333333</v>
      </c>
      <c r="D148" s="295">
        <f>'BD Plant List'!$C150/12*'BD Plant List'!$AC$5*'BD Feedstock'!$D$3</f>
        <v>2.2289583333333334</v>
      </c>
      <c r="E148" s="294"/>
      <c r="F148" s="294"/>
      <c r="G148" s="295">
        <f>'BD Plant List'!$E150/12*'BD Feedstock'!G$3*'BD Plant List'!AB$5</f>
        <v>1.453125</v>
      </c>
      <c r="H148" s="295">
        <f>'BD Plant List'!$E150/12*'BD Feedstock'!H$3*'BD Plant List'!AC$5</f>
        <v>0.51437500000000003</v>
      </c>
      <c r="I148" s="295">
        <f>'BD Plant List'!F150/12*'BD Feedstock'!I$3*'BD Plant List'!AC$5</f>
        <v>0.13716666666666666</v>
      </c>
      <c r="J148" s="295">
        <f>'BD Plant List'!G150/12*'BD Feedstock'!J$3*'BD Plant List'!AD$5</f>
        <v>0.90199999999999991</v>
      </c>
      <c r="K148" s="295">
        <f>'BD Plant List'!$H150/12*'BD Feedstock'!K$3*'BD Plant List'!AB$5</f>
        <v>5.8125</v>
      </c>
      <c r="L148" s="295">
        <f>'BD Plant List'!$H150/12*'BD Feedstock'!L$3*'BD Plant List'!AC$5</f>
        <v>2.0575000000000001</v>
      </c>
      <c r="M148" s="295">
        <f>'BD Plant List'!$I150/12*'BD Feedstock'!$M$3*'BD Plant List'!AC$5</f>
        <v>3.4291666666666671</v>
      </c>
      <c r="N148" s="295">
        <f>'BD Plant List'!$J150/12*'BD Feedstock'!N$3*'BD Plant List'!AC$5</f>
        <v>0</v>
      </c>
      <c r="O148" s="295">
        <f>'BD Plant List'!$K150/12*'BD Feedstock'!O$3*'BD Plant List'!AC$5</f>
        <v>0</v>
      </c>
      <c r="P148" s="295">
        <f>'BD Plant List'!$L150/12*'BD Feedstock'!P$3*'BD Plant List'!AE$5</f>
        <v>0</v>
      </c>
      <c r="Q148" s="295">
        <f>'BD Plant List'!$M150/12*'BD Feedstock'!Q$3*'BD Plant List'!AE$5</f>
        <v>0.93125000000000002</v>
      </c>
      <c r="R148" s="295">
        <f>'BD Plant List'!$N150/12*'BD Feedstock'!R$3*'BD Plant List'!AE$5</f>
        <v>26.540625000000002</v>
      </c>
      <c r="S148" s="295">
        <f>'BD Plant List'!$N150/12*'BD Feedstock'!S$3*'BD Plant List'!AF$5</f>
        <v>1.40625</v>
      </c>
      <c r="T148" s="295">
        <f>'BD Plant List'!$O150/12*'BD Feedstock'!T$3*'BD Plant List'!AB$5</f>
        <v>8.5732126770944213</v>
      </c>
      <c r="U148" s="295">
        <f>'BD Plant List'!$O150/12*'BD Feedstock'!U$3*'BD Plant List'!AC$5</f>
        <v>3.0347329175263269</v>
      </c>
    </row>
    <row r="149" spans="1:21" ht="18">
      <c r="A149" s="293">
        <v>44228</v>
      </c>
      <c r="B149" s="295">
        <f>'BD Plant List'!B151/12*'BD Plant List'!$AE$5*$B$3</f>
        <v>43.458333333333336</v>
      </c>
      <c r="C149" s="295">
        <f>'BD Plant List'!$C151/12*'BD Plant List'!$AB$5*'BD Feedstock'!$D$3</f>
        <v>2.098958333333333</v>
      </c>
      <c r="D149" s="295">
        <f>'BD Plant List'!$C151/12*'BD Plant List'!$AC$5*'BD Feedstock'!$D$3</f>
        <v>2.2289583333333334</v>
      </c>
      <c r="E149" s="294"/>
      <c r="F149" s="294"/>
      <c r="G149" s="295">
        <f>'BD Plant List'!$E151/12*'BD Feedstock'!G$3*'BD Plant List'!AB$5</f>
        <v>1.453125</v>
      </c>
      <c r="H149" s="295">
        <f>'BD Plant List'!$E151/12*'BD Feedstock'!H$3*'BD Plant List'!AC$5</f>
        <v>0.51437500000000003</v>
      </c>
      <c r="I149" s="295">
        <f>'BD Plant List'!F151/12*'BD Feedstock'!I$3*'BD Plant List'!AC$5</f>
        <v>0.13716666666666666</v>
      </c>
      <c r="J149" s="295">
        <f>'BD Plant List'!G151/12*'BD Feedstock'!J$3*'BD Plant List'!AD$5</f>
        <v>0.90199999999999991</v>
      </c>
      <c r="K149" s="295">
        <f>'BD Plant List'!$H151/12*'BD Feedstock'!K$3*'BD Plant List'!AB$5</f>
        <v>5.8125</v>
      </c>
      <c r="L149" s="295">
        <f>'BD Plant List'!$H151/12*'BD Feedstock'!L$3*'BD Plant List'!AC$5</f>
        <v>2.0575000000000001</v>
      </c>
      <c r="M149" s="295">
        <f>'BD Plant List'!$I151/12*'BD Feedstock'!$M$3*'BD Plant List'!AC$5</f>
        <v>3.4291666666666671</v>
      </c>
      <c r="N149" s="295">
        <f>'BD Plant List'!$J151/12*'BD Feedstock'!N$3*'BD Plant List'!AC$5</f>
        <v>0</v>
      </c>
      <c r="O149" s="295">
        <f>'BD Plant List'!$K151/12*'BD Feedstock'!O$3*'BD Plant List'!AC$5</f>
        <v>0</v>
      </c>
      <c r="P149" s="295">
        <f>'BD Plant List'!$L151/12*'BD Feedstock'!P$3*'BD Plant List'!AE$5</f>
        <v>0</v>
      </c>
      <c r="Q149" s="295">
        <f>'BD Plant List'!$M151/12*'BD Feedstock'!Q$3*'BD Plant List'!AE$5</f>
        <v>0.93125000000000002</v>
      </c>
      <c r="R149" s="295">
        <f>'BD Plant List'!$N151/12*'BD Feedstock'!R$3*'BD Plant List'!AE$5</f>
        <v>26.540625000000002</v>
      </c>
      <c r="S149" s="295">
        <f>'BD Plant List'!$N151/12*'BD Feedstock'!S$3*'BD Plant List'!AF$5</f>
        <v>1.40625</v>
      </c>
      <c r="T149" s="295">
        <f>'BD Plant List'!$O151/12*'BD Feedstock'!T$3*'BD Plant List'!AB$5</f>
        <v>8.5732126770944213</v>
      </c>
      <c r="U149" s="295">
        <f>'BD Plant List'!$O151/12*'BD Feedstock'!U$3*'BD Plant List'!AC$5</f>
        <v>3.0347329175263269</v>
      </c>
    </row>
    <row r="150" spans="1:21" ht="18">
      <c r="A150" s="293">
        <v>44256</v>
      </c>
      <c r="B150" s="295">
        <f>'BD Plant List'!B152/12*'BD Plant List'!$AE$5*$B$3</f>
        <v>43.458333333333336</v>
      </c>
      <c r="C150" s="295">
        <f>'BD Plant List'!$C152/12*'BD Plant List'!$AB$5*'BD Feedstock'!$D$3</f>
        <v>2.098958333333333</v>
      </c>
      <c r="D150" s="295">
        <f>'BD Plant List'!$C152/12*'BD Plant List'!$AC$5*'BD Feedstock'!$D$3</f>
        <v>2.2289583333333334</v>
      </c>
      <c r="E150" s="294"/>
      <c r="F150" s="294"/>
      <c r="G150" s="295">
        <f>'BD Plant List'!$E152/12*'BD Feedstock'!G$3*'BD Plant List'!AB$5</f>
        <v>1.453125</v>
      </c>
      <c r="H150" s="295">
        <f>'BD Plant List'!$E152/12*'BD Feedstock'!H$3*'BD Plant List'!AC$5</f>
        <v>0.51437500000000003</v>
      </c>
      <c r="I150" s="295">
        <f>'BD Plant List'!F152/12*'BD Feedstock'!I$3*'BD Plant List'!AC$5</f>
        <v>0.13716666666666666</v>
      </c>
      <c r="J150" s="295">
        <f>'BD Plant List'!G152/12*'BD Feedstock'!J$3*'BD Plant List'!AD$5</f>
        <v>0.90199999999999991</v>
      </c>
      <c r="K150" s="295">
        <f>'BD Plant List'!$H152/12*'BD Feedstock'!K$3*'BD Plant List'!AB$5</f>
        <v>5.8125</v>
      </c>
      <c r="L150" s="295">
        <f>'BD Plant List'!$H152/12*'BD Feedstock'!L$3*'BD Plant List'!AC$5</f>
        <v>2.0575000000000001</v>
      </c>
      <c r="M150" s="295">
        <f>'BD Plant List'!$I152/12*'BD Feedstock'!$M$3*'BD Plant List'!AC$5</f>
        <v>3.4291666666666671</v>
      </c>
      <c r="N150" s="295">
        <f>'BD Plant List'!$J152/12*'BD Feedstock'!N$3*'BD Plant List'!AC$5</f>
        <v>0</v>
      </c>
      <c r="O150" s="295">
        <f>'BD Plant List'!$K152/12*'BD Feedstock'!O$3*'BD Plant List'!AC$5</f>
        <v>0</v>
      </c>
      <c r="P150" s="295">
        <f>'BD Plant List'!$L152/12*'BD Feedstock'!P$3*'BD Plant List'!AE$5</f>
        <v>0</v>
      </c>
      <c r="Q150" s="295">
        <f>'BD Plant List'!$M152/12*'BD Feedstock'!Q$3*'BD Plant List'!AE$5</f>
        <v>0.93125000000000002</v>
      </c>
      <c r="R150" s="295">
        <f>'BD Plant List'!$N152/12*'BD Feedstock'!R$3*'BD Plant List'!AE$5</f>
        <v>26.540625000000002</v>
      </c>
      <c r="S150" s="295">
        <f>'BD Plant List'!$N152/12*'BD Feedstock'!S$3*'BD Plant List'!AF$5</f>
        <v>1.40625</v>
      </c>
      <c r="T150" s="295">
        <f>'BD Plant List'!$O152/12*'BD Feedstock'!T$3*'BD Plant List'!AB$5</f>
        <v>8.5732126770944213</v>
      </c>
      <c r="U150" s="295">
        <f>'BD Plant List'!$O152/12*'BD Feedstock'!U$3*'BD Plant List'!AC$5</f>
        <v>3.0347329175263269</v>
      </c>
    </row>
    <row r="151" spans="1:21" ht="18">
      <c r="A151" s="293">
        <v>44287</v>
      </c>
      <c r="B151" s="295">
        <f>'BD Plant List'!B153/12*'BD Plant List'!$AE$5*$B$3</f>
        <v>43.458333333333336</v>
      </c>
      <c r="C151" s="295">
        <f>'BD Plant List'!$C153/12*'BD Plant List'!$AB$5*'BD Feedstock'!$D$3</f>
        <v>2.098958333333333</v>
      </c>
      <c r="D151" s="295">
        <f>'BD Plant List'!$C153/12*'BD Plant List'!$AC$5*'BD Feedstock'!$D$3</f>
        <v>2.2289583333333334</v>
      </c>
      <c r="E151" s="294"/>
      <c r="F151" s="294"/>
      <c r="G151" s="295">
        <f>'BD Plant List'!$E153/12*'BD Feedstock'!G$3*'BD Plant List'!AB$5</f>
        <v>1.453125</v>
      </c>
      <c r="H151" s="295">
        <f>'BD Plant List'!$E153/12*'BD Feedstock'!H$3*'BD Plant List'!AC$5</f>
        <v>0.51437500000000003</v>
      </c>
      <c r="I151" s="295">
        <f>'BD Plant List'!F153/12*'BD Feedstock'!I$3*'BD Plant List'!AC$5</f>
        <v>0.13716666666666666</v>
      </c>
      <c r="J151" s="295">
        <f>'BD Plant List'!G153/12*'BD Feedstock'!J$3*'BD Plant List'!AD$5</f>
        <v>0.90199999999999991</v>
      </c>
      <c r="K151" s="295">
        <f>'BD Plant List'!$H153/12*'BD Feedstock'!K$3*'BD Plant List'!AB$5</f>
        <v>5.8125</v>
      </c>
      <c r="L151" s="295">
        <f>'BD Plant List'!$H153/12*'BD Feedstock'!L$3*'BD Plant List'!AC$5</f>
        <v>2.0575000000000001</v>
      </c>
      <c r="M151" s="295">
        <f>'BD Plant List'!$I153/12*'BD Feedstock'!$M$3*'BD Plant List'!AC$5</f>
        <v>3.4291666666666671</v>
      </c>
      <c r="N151" s="295">
        <f>'BD Plant List'!$J153/12*'BD Feedstock'!N$3*'BD Plant List'!AC$5</f>
        <v>0</v>
      </c>
      <c r="O151" s="295">
        <f>'BD Plant List'!$K153/12*'BD Feedstock'!O$3*'BD Plant List'!AC$5</f>
        <v>0</v>
      </c>
      <c r="P151" s="295">
        <f>'BD Plant List'!$L153/12*'BD Feedstock'!P$3*'BD Plant List'!AE$5</f>
        <v>0</v>
      </c>
      <c r="Q151" s="295">
        <f>'BD Plant List'!$M153/12*'BD Feedstock'!Q$3*'BD Plant List'!AE$5</f>
        <v>0.93125000000000002</v>
      </c>
      <c r="R151" s="295">
        <f>'BD Plant List'!$N153/12*'BD Feedstock'!R$3*'BD Plant List'!AE$5</f>
        <v>26.540625000000002</v>
      </c>
      <c r="S151" s="295">
        <f>'BD Plant List'!$N153/12*'BD Feedstock'!S$3*'BD Plant List'!AF$5</f>
        <v>1.40625</v>
      </c>
      <c r="T151" s="295">
        <f>'BD Plant List'!$O153/12*'BD Feedstock'!T$3*'BD Plant List'!AB$5</f>
        <v>8.5732126770944213</v>
      </c>
      <c r="U151" s="295">
        <f>'BD Plant List'!$O153/12*'BD Feedstock'!U$3*'BD Plant List'!AC$5</f>
        <v>3.0347329175263269</v>
      </c>
    </row>
    <row r="152" spans="1:21" ht="18">
      <c r="A152" s="293">
        <v>44317</v>
      </c>
      <c r="B152" s="295">
        <f>'BD Plant List'!B154/12*'BD Plant List'!$AE$5*$B$3</f>
        <v>43.458333333333336</v>
      </c>
      <c r="C152" s="295">
        <f>'BD Plant List'!$C154/12*'BD Plant List'!$AB$5*'BD Feedstock'!$D$3</f>
        <v>2.098958333333333</v>
      </c>
      <c r="D152" s="295">
        <f>'BD Plant List'!$C154/12*'BD Plant List'!$AC$5*'BD Feedstock'!$D$3</f>
        <v>2.2289583333333334</v>
      </c>
      <c r="E152" s="294"/>
      <c r="F152" s="294"/>
      <c r="G152" s="295">
        <f>'BD Plant List'!$E154/12*'BD Feedstock'!G$3*'BD Plant List'!AB$5</f>
        <v>1.453125</v>
      </c>
      <c r="H152" s="295">
        <f>'BD Plant List'!$E154/12*'BD Feedstock'!H$3*'BD Plant List'!AC$5</f>
        <v>0.51437500000000003</v>
      </c>
      <c r="I152" s="295">
        <f>'BD Plant List'!F154/12*'BD Feedstock'!I$3*'BD Plant List'!AC$5</f>
        <v>0.13716666666666666</v>
      </c>
      <c r="J152" s="295">
        <f>'BD Plant List'!G154/12*'BD Feedstock'!J$3*'BD Plant List'!AD$5</f>
        <v>0.90199999999999991</v>
      </c>
      <c r="K152" s="295">
        <f>'BD Plant List'!$H154/12*'BD Feedstock'!K$3*'BD Plant List'!AB$5</f>
        <v>5.8125</v>
      </c>
      <c r="L152" s="295">
        <f>'BD Plant List'!$H154/12*'BD Feedstock'!L$3*'BD Plant List'!AC$5</f>
        <v>2.0575000000000001</v>
      </c>
      <c r="M152" s="295">
        <f>'BD Plant List'!$I154/12*'BD Feedstock'!$M$3*'BD Plant List'!AC$5</f>
        <v>3.4291666666666671</v>
      </c>
      <c r="N152" s="295">
        <f>'BD Plant List'!$J154/12*'BD Feedstock'!N$3*'BD Plant List'!AC$5</f>
        <v>0</v>
      </c>
      <c r="O152" s="295">
        <f>'BD Plant List'!$K154/12*'BD Feedstock'!O$3*'BD Plant List'!AC$5</f>
        <v>0</v>
      </c>
      <c r="P152" s="295">
        <f>'BD Plant List'!$L154/12*'BD Feedstock'!P$3*'BD Plant List'!AE$5</f>
        <v>0</v>
      </c>
      <c r="Q152" s="295">
        <f>'BD Plant List'!$M154/12*'BD Feedstock'!Q$3*'BD Plant List'!AE$5</f>
        <v>0.93125000000000002</v>
      </c>
      <c r="R152" s="295">
        <f>'BD Plant List'!$N154/12*'BD Feedstock'!R$3*'BD Plant List'!AE$5</f>
        <v>26.540625000000002</v>
      </c>
      <c r="S152" s="295">
        <f>'BD Plant List'!$N154/12*'BD Feedstock'!S$3*'BD Plant List'!AF$5</f>
        <v>1.40625</v>
      </c>
      <c r="T152" s="295">
        <f>'BD Plant List'!$O154/12*'BD Feedstock'!T$3*'BD Plant List'!AB$5</f>
        <v>8.5732126770944213</v>
      </c>
      <c r="U152" s="295">
        <f>'BD Plant List'!$O154/12*'BD Feedstock'!U$3*'BD Plant List'!AC$5</f>
        <v>3.0347329175263269</v>
      </c>
    </row>
    <row r="153" spans="1:21" ht="18">
      <c r="A153" s="293">
        <v>44348</v>
      </c>
      <c r="B153" s="295">
        <f>'BD Plant List'!B155/12*'BD Plant List'!$AE$5*$B$3</f>
        <v>43.458333333333336</v>
      </c>
      <c r="C153" s="295">
        <f>'BD Plant List'!$C155/12*'BD Plant List'!$AB$5*'BD Feedstock'!$D$3</f>
        <v>2.098958333333333</v>
      </c>
      <c r="D153" s="295">
        <f>'BD Plant List'!$C155/12*'BD Plant List'!$AC$5*'BD Feedstock'!$D$3</f>
        <v>2.2289583333333334</v>
      </c>
      <c r="E153" s="294"/>
      <c r="F153" s="294"/>
      <c r="G153" s="295">
        <f>'BD Plant List'!$E155/12*'BD Feedstock'!G$3*'BD Plant List'!AB$5</f>
        <v>1.453125</v>
      </c>
      <c r="H153" s="295">
        <f>'BD Plant List'!$E155/12*'BD Feedstock'!H$3*'BD Plant List'!AC$5</f>
        <v>0.51437500000000003</v>
      </c>
      <c r="I153" s="295">
        <f>'BD Plant List'!F155/12*'BD Feedstock'!I$3*'BD Plant List'!AC$5</f>
        <v>0.13716666666666666</v>
      </c>
      <c r="J153" s="295">
        <f>'BD Plant List'!G155/12*'BD Feedstock'!J$3*'BD Plant List'!AD$5</f>
        <v>0.90199999999999991</v>
      </c>
      <c r="K153" s="295">
        <f>'BD Plant List'!$H155/12*'BD Feedstock'!K$3*'BD Plant List'!AB$5</f>
        <v>5.8125</v>
      </c>
      <c r="L153" s="295">
        <f>'BD Plant List'!$H155/12*'BD Feedstock'!L$3*'BD Plant List'!AC$5</f>
        <v>2.0575000000000001</v>
      </c>
      <c r="M153" s="295">
        <f>'BD Plant List'!$I155/12*'BD Feedstock'!$M$3*'BD Plant List'!AC$5</f>
        <v>3.4291666666666671</v>
      </c>
      <c r="N153" s="295">
        <f>'BD Plant List'!$J155/12*'BD Feedstock'!N$3*'BD Plant List'!AC$5</f>
        <v>0</v>
      </c>
      <c r="O153" s="295">
        <f>'BD Plant List'!$K155/12*'BD Feedstock'!O$3*'BD Plant List'!AC$5</f>
        <v>0</v>
      </c>
      <c r="P153" s="295">
        <f>'BD Plant List'!$L155/12*'BD Feedstock'!P$3*'BD Plant List'!AE$5</f>
        <v>0</v>
      </c>
      <c r="Q153" s="295">
        <f>'BD Plant List'!$M155/12*'BD Feedstock'!Q$3*'BD Plant List'!AE$5</f>
        <v>0.93125000000000002</v>
      </c>
      <c r="R153" s="295">
        <f>'BD Plant List'!$N155/12*'BD Feedstock'!R$3*'BD Plant List'!AE$5</f>
        <v>26.540625000000002</v>
      </c>
      <c r="S153" s="295">
        <f>'BD Plant List'!$N155/12*'BD Feedstock'!S$3*'BD Plant List'!AF$5</f>
        <v>1.40625</v>
      </c>
      <c r="T153" s="295">
        <f>'BD Plant List'!$O155/12*'BD Feedstock'!T$3*'BD Plant List'!AB$5</f>
        <v>8.5732126770944213</v>
      </c>
      <c r="U153" s="295">
        <f>'BD Plant List'!$O155/12*'BD Feedstock'!U$3*'BD Plant List'!AC$5</f>
        <v>3.0347329175263269</v>
      </c>
    </row>
    <row r="154" spans="1:21" ht="18">
      <c r="A154" s="293">
        <v>44378</v>
      </c>
      <c r="B154" s="295">
        <f>'BD Plant List'!B156/12*'BD Plant List'!$AE$5*$B$3</f>
        <v>43.458333333333336</v>
      </c>
      <c r="C154" s="295">
        <f>'BD Plant List'!$C156/12*'BD Plant List'!$AB$5*'BD Feedstock'!$D$3</f>
        <v>2.098958333333333</v>
      </c>
      <c r="D154" s="295">
        <f>'BD Plant List'!$C156/12*'BD Plant List'!$AC$5*'BD Feedstock'!$D$3</f>
        <v>2.2289583333333334</v>
      </c>
      <c r="E154" s="294"/>
      <c r="F154" s="294"/>
      <c r="G154" s="295">
        <f>'BD Plant List'!$E156/12*'BD Feedstock'!G$3*'BD Plant List'!AB$5</f>
        <v>1.453125</v>
      </c>
      <c r="H154" s="295">
        <f>'BD Plant List'!$E156/12*'BD Feedstock'!H$3*'BD Plant List'!AC$5</f>
        <v>0.51437500000000003</v>
      </c>
      <c r="I154" s="295">
        <f>'BD Plant List'!F156/12*'BD Feedstock'!I$3*'BD Plant List'!AC$5</f>
        <v>0.13716666666666666</v>
      </c>
      <c r="J154" s="295">
        <f>'BD Plant List'!G156/12*'BD Feedstock'!J$3*'BD Plant List'!AD$5</f>
        <v>0.90199999999999991</v>
      </c>
      <c r="K154" s="295">
        <f>'BD Plant List'!$H156/12*'BD Feedstock'!K$3*'BD Plant List'!AB$5</f>
        <v>5.8125</v>
      </c>
      <c r="L154" s="295">
        <f>'BD Plant List'!$H156/12*'BD Feedstock'!L$3*'BD Plant List'!AC$5</f>
        <v>2.0575000000000001</v>
      </c>
      <c r="M154" s="295">
        <f>'BD Plant List'!$I156/12*'BD Feedstock'!$M$3*'BD Plant List'!AC$5</f>
        <v>3.4291666666666671</v>
      </c>
      <c r="N154" s="295">
        <f>'BD Plant List'!$J156/12*'BD Feedstock'!N$3*'BD Plant List'!AC$5</f>
        <v>0</v>
      </c>
      <c r="O154" s="295">
        <f>'BD Plant List'!$K156/12*'BD Feedstock'!O$3*'BD Plant List'!AC$5</f>
        <v>0</v>
      </c>
      <c r="P154" s="295">
        <f>'BD Plant List'!$L156/12*'BD Feedstock'!P$3*'BD Plant List'!AE$5</f>
        <v>0</v>
      </c>
      <c r="Q154" s="295">
        <f>'BD Plant List'!$M156/12*'BD Feedstock'!Q$3*'BD Plant List'!AE$5</f>
        <v>0.93125000000000002</v>
      </c>
      <c r="R154" s="295">
        <f>'BD Plant List'!$N156/12*'BD Feedstock'!R$3*'BD Plant List'!AE$5</f>
        <v>26.540625000000002</v>
      </c>
      <c r="S154" s="295">
        <f>'BD Plant List'!$N156/12*'BD Feedstock'!S$3*'BD Plant List'!AF$5</f>
        <v>1.40625</v>
      </c>
      <c r="T154" s="295">
        <f>'BD Plant List'!$O156/12*'BD Feedstock'!T$3*'BD Plant List'!AB$5</f>
        <v>8.5732126770944213</v>
      </c>
      <c r="U154" s="295">
        <f>'BD Plant List'!$O156/12*'BD Feedstock'!U$3*'BD Plant List'!AC$5</f>
        <v>3.0347329175263269</v>
      </c>
    </row>
    <row r="155" spans="1:21" ht="18">
      <c r="A155" s="293">
        <v>44409</v>
      </c>
      <c r="B155" s="295">
        <f>'BD Plant List'!B157/12*'BD Plant List'!$AE$5*$B$3</f>
        <v>43.458333333333336</v>
      </c>
      <c r="C155" s="295">
        <f>'BD Plant List'!$C157/12*'BD Plant List'!$AB$5*'BD Feedstock'!$D$3</f>
        <v>2.098958333333333</v>
      </c>
      <c r="D155" s="295">
        <f>'BD Plant List'!$C157/12*'BD Plant List'!$AC$5*'BD Feedstock'!$D$3</f>
        <v>2.2289583333333334</v>
      </c>
      <c r="E155" s="294"/>
      <c r="F155" s="294"/>
      <c r="G155" s="295">
        <f>'BD Plant List'!$E157/12*'BD Feedstock'!G$3*'BD Plant List'!AB$5</f>
        <v>1.453125</v>
      </c>
      <c r="H155" s="295">
        <f>'BD Plant List'!$E157/12*'BD Feedstock'!H$3*'BD Plant List'!AC$5</f>
        <v>0.51437500000000003</v>
      </c>
      <c r="I155" s="295">
        <f>'BD Plant List'!F157/12*'BD Feedstock'!I$3*'BD Plant List'!AC$5</f>
        <v>0.13716666666666666</v>
      </c>
      <c r="J155" s="295">
        <f>'BD Plant List'!G157/12*'BD Feedstock'!J$3*'BD Plant List'!AD$5</f>
        <v>0.90199999999999991</v>
      </c>
      <c r="K155" s="295">
        <f>'BD Plant List'!$H157/12*'BD Feedstock'!K$3*'BD Plant List'!AB$5</f>
        <v>5.8125</v>
      </c>
      <c r="L155" s="295">
        <f>'BD Plant List'!$H157/12*'BD Feedstock'!L$3*'BD Plant List'!AC$5</f>
        <v>2.0575000000000001</v>
      </c>
      <c r="M155" s="295">
        <f>'BD Plant List'!$I157/12*'BD Feedstock'!$M$3*'BD Plant List'!AC$5</f>
        <v>3.4291666666666671</v>
      </c>
      <c r="N155" s="295">
        <f>'BD Plant List'!$J157/12*'BD Feedstock'!N$3*'BD Plant List'!AC$5</f>
        <v>0</v>
      </c>
      <c r="O155" s="295">
        <f>'BD Plant List'!$K157/12*'BD Feedstock'!O$3*'BD Plant List'!AC$5</f>
        <v>0</v>
      </c>
      <c r="P155" s="295">
        <f>'BD Plant List'!$L157/12*'BD Feedstock'!P$3*'BD Plant List'!AE$5</f>
        <v>0</v>
      </c>
      <c r="Q155" s="295">
        <f>'BD Plant List'!$M157/12*'BD Feedstock'!Q$3*'BD Plant List'!AE$5</f>
        <v>0.93125000000000002</v>
      </c>
      <c r="R155" s="295">
        <f>'BD Plant List'!$N157/12*'BD Feedstock'!R$3*'BD Plant List'!AE$5</f>
        <v>26.540625000000002</v>
      </c>
      <c r="S155" s="295">
        <f>'BD Plant List'!$N157/12*'BD Feedstock'!S$3*'BD Plant List'!AF$5</f>
        <v>1.40625</v>
      </c>
      <c r="T155" s="295">
        <f>'BD Plant List'!$O157/12*'BD Feedstock'!T$3*'BD Plant List'!AB$5</f>
        <v>8.5732126770944213</v>
      </c>
      <c r="U155" s="295">
        <f>'BD Plant List'!$O157/12*'BD Feedstock'!U$3*'BD Plant List'!AC$5</f>
        <v>3.0347329175263269</v>
      </c>
    </row>
    <row r="156" spans="1:21" ht="18">
      <c r="A156" s="293">
        <v>44440</v>
      </c>
      <c r="B156" s="295">
        <f>'BD Plant List'!B158/12*'BD Plant List'!$AE$5*$B$3</f>
        <v>43.458333333333336</v>
      </c>
      <c r="C156" s="295">
        <f>'BD Plant List'!$C158/12*'BD Plant List'!$AB$5*'BD Feedstock'!$D$3</f>
        <v>2.098958333333333</v>
      </c>
      <c r="D156" s="295">
        <f>'BD Plant List'!$C158/12*'BD Plant List'!$AC$5*'BD Feedstock'!$D$3</f>
        <v>2.2289583333333334</v>
      </c>
      <c r="E156" s="294"/>
      <c r="F156" s="294"/>
      <c r="G156" s="295">
        <f>'BD Plant List'!$E158/12*'BD Feedstock'!G$3*'BD Plant List'!AB$5</f>
        <v>1.453125</v>
      </c>
      <c r="H156" s="295">
        <f>'BD Plant List'!$E158/12*'BD Feedstock'!H$3*'BD Plant List'!AC$5</f>
        <v>0.51437500000000003</v>
      </c>
      <c r="I156" s="295">
        <f>'BD Plant List'!F158/12*'BD Feedstock'!I$3*'BD Plant List'!AC$5</f>
        <v>0.13716666666666666</v>
      </c>
      <c r="J156" s="295">
        <f>'BD Plant List'!G158/12*'BD Feedstock'!J$3*'BD Plant List'!AD$5</f>
        <v>0.90199999999999991</v>
      </c>
      <c r="K156" s="295">
        <f>'BD Plant List'!$H158/12*'BD Feedstock'!K$3*'BD Plant List'!AB$5</f>
        <v>5.8125</v>
      </c>
      <c r="L156" s="295">
        <f>'BD Plant List'!$H158/12*'BD Feedstock'!L$3*'BD Plant List'!AC$5</f>
        <v>2.0575000000000001</v>
      </c>
      <c r="M156" s="295">
        <f>'BD Plant List'!$I158/12*'BD Feedstock'!$M$3*'BD Plant List'!AC$5</f>
        <v>3.4291666666666671</v>
      </c>
      <c r="N156" s="295">
        <f>'BD Plant List'!$J158/12*'BD Feedstock'!N$3*'BD Plant List'!AC$5</f>
        <v>0</v>
      </c>
      <c r="O156" s="295">
        <f>'BD Plant List'!$K158/12*'BD Feedstock'!O$3*'BD Plant List'!AC$5</f>
        <v>0</v>
      </c>
      <c r="P156" s="295">
        <f>'BD Plant List'!$L158/12*'BD Feedstock'!P$3*'BD Plant List'!AE$5</f>
        <v>0</v>
      </c>
      <c r="Q156" s="295">
        <f>'BD Plant List'!$M158/12*'BD Feedstock'!Q$3*'BD Plant List'!AE$5</f>
        <v>0.93125000000000002</v>
      </c>
      <c r="R156" s="295">
        <f>'BD Plant List'!$N158/12*'BD Feedstock'!R$3*'BD Plant List'!AE$5</f>
        <v>26.540625000000002</v>
      </c>
      <c r="S156" s="295">
        <f>'BD Plant List'!$N158/12*'BD Feedstock'!S$3*'BD Plant List'!AF$5</f>
        <v>1.40625</v>
      </c>
      <c r="T156" s="295">
        <f>'BD Plant List'!$O158/12*'BD Feedstock'!T$3*'BD Plant List'!AB$5</f>
        <v>8.5732126770944213</v>
      </c>
      <c r="U156" s="295">
        <f>'BD Plant List'!$O158/12*'BD Feedstock'!U$3*'BD Plant List'!AC$5</f>
        <v>3.0347329175263269</v>
      </c>
    </row>
    <row r="157" spans="1:21" ht="18">
      <c r="A157" s="293">
        <v>44470</v>
      </c>
      <c r="B157" s="295">
        <f>'BD Plant List'!B159/12*'BD Plant List'!$AE$5*$B$3</f>
        <v>43.458333333333336</v>
      </c>
      <c r="C157" s="295">
        <f>'BD Plant List'!$C159/12*'BD Plant List'!$AB$5*'BD Feedstock'!$D$3</f>
        <v>2.098958333333333</v>
      </c>
      <c r="D157" s="295">
        <f>'BD Plant List'!$C159/12*'BD Plant List'!$AC$5*'BD Feedstock'!$D$3</f>
        <v>2.2289583333333334</v>
      </c>
      <c r="E157" s="294"/>
      <c r="F157" s="294"/>
      <c r="G157" s="295">
        <f>'BD Plant List'!$E159/12*'BD Feedstock'!G$3*'BD Plant List'!AB$5</f>
        <v>1.453125</v>
      </c>
      <c r="H157" s="295">
        <f>'BD Plant List'!$E159/12*'BD Feedstock'!H$3*'BD Plant List'!AC$5</f>
        <v>0.51437500000000003</v>
      </c>
      <c r="I157" s="295">
        <f>'BD Plant List'!F159/12*'BD Feedstock'!I$3*'BD Plant List'!AC$5</f>
        <v>0.13716666666666666</v>
      </c>
      <c r="J157" s="295">
        <f>'BD Plant List'!G159/12*'BD Feedstock'!J$3*'BD Plant List'!AD$5</f>
        <v>0.90199999999999991</v>
      </c>
      <c r="K157" s="295">
        <f>'BD Plant List'!$H159/12*'BD Feedstock'!K$3*'BD Plant List'!AB$5</f>
        <v>5.8125</v>
      </c>
      <c r="L157" s="295">
        <f>'BD Plant List'!$H159/12*'BD Feedstock'!L$3*'BD Plant List'!AC$5</f>
        <v>2.0575000000000001</v>
      </c>
      <c r="M157" s="295">
        <f>'BD Plant List'!$I159/12*'BD Feedstock'!$M$3*'BD Plant List'!AC$5</f>
        <v>3.4291666666666671</v>
      </c>
      <c r="N157" s="295">
        <f>'BD Plant List'!$J159/12*'BD Feedstock'!N$3*'BD Plant List'!AC$5</f>
        <v>0</v>
      </c>
      <c r="O157" s="295">
        <f>'BD Plant List'!$K159/12*'BD Feedstock'!O$3*'BD Plant List'!AC$5</f>
        <v>0</v>
      </c>
      <c r="P157" s="295">
        <f>'BD Plant List'!$L159/12*'BD Feedstock'!P$3*'BD Plant List'!AE$5</f>
        <v>0</v>
      </c>
      <c r="Q157" s="295">
        <f>'BD Plant List'!$M159/12*'BD Feedstock'!Q$3*'BD Plant List'!AE$5</f>
        <v>0.93125000000000002</v>
      </c>
      <c r="R157" s="295">
        <f>'BD Plant List'!$N159/12*'BD Feedstock'!R$3*'BD Plant List'!AE$5</f>
        <v>26.540625000000002</v>
      </c>
      <c r="S157" s="295">
        <f>'BD Plant List'!$N159/12*'BD Feedstock'!S$3*'BD Plant List'!AF$5</f>
        <v>1.40625</v>
      </c>
      <c r="T157" s="295">
        <f>'BD Plant List'!$O159/12*'BD Feedstock'!T$3*'BD Plant List'!AB$5</f>
        <v>8.5732126770944213</v>
      </c>
      <c r="U157" s="295">
        <f>'BD Plant List'!$O159/12*'BD Feedstock'!U$3*'BD Plant List'!AC$5</f>
        <v>3.0347329175263269</v>
      </c>
    </row>
    <row r="158" spans="1:21" ht="18">
      <c r="A158" s="293">
        <v>44501</v>
      </c>
      <c r="B158" s="295">
        <f>'BD Plant List'!B160/12*'BD Plant List'!$AE$5*$B$3</f>
        <v>43.458333333333336</v>
      </c>
      <c r="C158" s="295">
        <f>'BD Plant List'!$C160/12*'BD Plant List'!$AB$5*'BD Feedstock'!$D$3</f>
        <v>2.098958333333333</v>
      </c>
      <c r="D158" s="295">
        <f>'BD Plant List'!$C160/12*'BD Plant List'!$AC$5*'BD Feedstock'!$D$3</f>
        <v>2.2289583333333334</v>
      </c>
      <c r="E158" s="295">
        <f>'BD Plant List'!$D160/12*'BD Plant List'!AB$5*'BD Feedstock'!$E$3</f>
        <v>7.265625</v>
      </c>
      <c r="F158" s="295">
        <f>'BD Plant List'!$D160/12*'BD Plant List'!AC$5*'BD Feedstock'!$F$3</f>
        <v>2.5718750000000004</v>
      </c>
      <c r="G158" s="295">
        <f>'BD Plant List'!$E160/12*'BD Feedstock'!G$3*'BD Plant List'!AB$5</f>
        <v>1.453125</v>
      </c>
      <c r="H158" s="295">
        <f>'BD Plant List'!$E160/12*'BD Feedstock'!H$3*'BD Plant List'!AC$5</f>
        <v>0.51437500000000003</v>
      </c>
      <c r="I158" s="295">
        <f>'BD Plant List'!F160/12*'BD Feedstock'!I$3*'BD Plant List'!AC$5</f>
        <v>0.13716666666666666</v>
      </c>
      <c r="J158" s="295">
        <f>'BD Plant List'!G160/12*'BD Feedstock'!J$3*'BD Plant List'!AD$5</f>
        <v>0.90199999999999991</v>
      </c>
      <c r="K158" s="295">
        <f>'BD Plant List'!$H160/12*'BD Feedstock'!K$3*'BD Plant List'!AB$5</f>
        <v>5.8125</v>
      </c>
      <c r="L158" s="295">
        <f>'BD Plant List'!$H160/12*'BD Feedstock'!L$3*'BD Plant List'!AC$5</f>
        <v>2.0575000000000001</v>
      </c>
      <c r="M158" s="295">
        <f>'BD Plant List'!$I160/12*'BD Feedstock'!$M$3*'BD Plant List'!AC$5</f>
        <v>3.4291666666666671</v>
      </c>
      <c r="N158" s="295">
        <f>'BD Plant List'!$J160/12*'BD Feedstock'!N$3*'BD Plant List'!AC$5</f>
        <v>0</v>
      </c>
      <c r="O158" s="295">
        <f>'BD Plant List'!$K160/12*'BD Feedstock'!O$3*'BD Plant List'!AC$5</f>
        <v>0</v>
      </c>
      <c r="P158" s="295">
        <f>'BD Plant List'!$L160/12*'BD Feedstock'!P$3*'BD Plant List'!AE$5</f>
        <v>0</v>
      </c>
      <c r="Q158" s="295">
        <f>'BD Plant List'!$M160/12*'BD Feedstock'!Q$3*'BD Plant List'!AE$5</f>
        <v>0.93125000000000002</v>
      </c>
      <c r="R158" s="295">
        <f>'BD Plant List'!$N160/12*'BD Feedstock'!R$3*'BD Plant List'!AE$5</f>
        <v>26.540625000000002</v>
      </c>
      <c r="S158" s="295">
        <f>'BD Plant List'!$N160/12*'BD Feedstock'!S$3*'BD Plant List'!AF$5</f>
        <v>1.40625</v>
      </c>
      <c r="T158" s="295">
        <f>'BD Plant List'!$O160/12*'BD Feedstock'!T$3*'BD Plant List'!AB$5</f>
        <v>8.5732126770944213</v>
      </c>
      <c r="U158" s="295">
        <f>'BD Plant List'!$O160/12*'BD Feedstock'!U$3*'BD Plant List'!AC$5</f>
        <v>3.0347329175263269</v>
      </c>
    </row>
    <row r="159" spans="1:21" ht="18">
      <c r="A159" s="293">
        <v>44531</v>
      </c>
      <c r="B159" s="295">
        <f>'BD Plant List'!B161/12*'BD Plant List'!$AE$5*$B$3</f>
        <v>43.458333333333336</v>
      </c>
      <c r="C159" s="295">
        <f>'BD Plant List'!$C161/12*'BD Plant List'!$AB$5*'BD Feedstock'!$D$3</f>
        <v>2.098958333333333</v>
      </c>
      <c r="D159" s="295">
        <f>'BD Plant List'!$C161/12*'BD Plant List'!$AC$5*'BD Feedstock'!$D$3</f>
        <v>2.2289583333333334</v>
      </c>
      <c r="E159" s="295">
        <f>'BD Plant List'!$D161/12*'BD Plant List'!AB$5*'BD Feedstock'!$E$3</f>
        <v>9.6875</v>
      </c>
      <c r="F159" s="295">
        <f>'BD Plant List'!$D161/12*'BD Plant List'!AC$5*'BD Feedstock'!$F$3</f>
        <v>3.4291666666666671</v>
      </c>
      <c r="G159" s="295">
        <f>'BD Plant List'!$E161/12*'BD Feedstock'!G$3*'BD Plant List'!AB$5</f>
        <v>1.453125</v>
      </c>
      <c r="H159" s="295">
        <f>'BD Plant List'!$E161/12*'BD Feedstock'!H$3*'BD Plant List'!AC$5</f>
        <v>0.51437500000000003</v>
      </c>
      <c r="I159" s="295">
        <f>'BD Plant List'!F161/12*'BD Feedstock'!I$3*'BD Plant List'!AC$5</f>
        <v>0.13716666666666666</v>
      </c>
      <c r="J159" s="295">
        <f>'BD Plant List'!G161/12*'BD Feedstock'!J$3*'BD Plant List'!AD$5</f>
        <v>0.90199999999999991</v>
      </c>
      <c r="K159" s="295">
        <f>'BD Plant List'!$H161/12*'BD Feedstock'!K$3*'BD Plant List'!AB$5</f>
        <v>5.8125</v>
      </c>
      <c r="L159" s="295">
        <f>'BD Plant List'!$H161/12*'BD Feedstock'!L$3*'BD Plant List'!AC$5</f>
        <v>2.0575000000000001</v>
      </c>
      <c r="M159" s="295">
        <f>'BD Plant List'!$I161/12*'BD Feedstock'!$M$3*'BD Plant List'!AC$5</f>
        <v>3.4291666666666671</v>
      </c>
      <c r="N159" s="295">
        <f>'BD Plant List'!$J161/12*'BD Feedstock'!N$3*'BD Plant List'!AC$5</f>
        <v>0</v>
      </c>
      <c r="O159" s="295">
        <f>'BD Plant List'!$K161/12*'BD Feedstock'!O$3*'BD Plant List'!AC$5</f>
        <v>0</v>
      </c>
      <c r="P159" s="295">
        <f>'BD Plant List'!$L161/12*'BD Feedstock'!P$3*'BD Plant List'!AE$5</f>
        <v>0</v>
      </c>
      <c r="Q159" s="295">
        <f>'BD Plant List'!$M161/12*'BD Feedstock'!Q$3*'BD Plant List'!AE$5</f>
        <v>0.93125000000000002</v>
      </c>
      <c r="R159" s="295">
        <f>'BD Plant List'!$N161/12*'BD Feedstock'!R$3*'BD Plant List'!AE$5</f>
        <v>26.540625000000002</v>
      </c>
      <c r="S159" s="295">
        <f>'BD Plant List'!$N161/12*'BD Feedstock'!S$3*'BD Plant List'!AF$5</f>
        <v>1.40625</v>
      </c>
      <c r="T159" s="295">
        <f>'BD Plant List'!$O161/12*'BD Feedstock'!T$3*'BD Plant List'!AB$5</f>
        <v>8.5732126770944213</v>
      </c>
      <c r="U159" s="295">
        <f>'BD Plant List'!$O161/12*'BD Feedstock'!U$3*'BD Plant List'!AC$5</f>
        <v>3.0347329175263269</v>
      </c>
    </row>
    <row r="160" spans="1:21" ht="18">
      <c r="A160" s="293">
        <v>44562</v>
      </c>
      <c r="B160" s="295">
        <f>'BD Plant List'!B162/12*'BD Plant List'!$AE$5*$B$3</f>
        <v>43.458333333333336</v>
      </c>
      <c r="C160" s="295">
        <f>'BD Plant List'!$C162/12*'BD Plant List'!$AB$5*'BD Feedstock'!$D$3</f>
        <v>2.098958333333333</v>
      </c>
      <c r="D160" s="295">
        <f>'BD Plant List'!$C162/12*'BD Plant List'!$AC$5*'BD Feedstock'!$D$3</f>
        <v>2.2289583333333334</v>
      </c>
      <c r="E160" s="295">
        <f>'BD Plant List'!$D162/12*'BD Plant List'!AB$5*'BD Feedstock'!$E$3</f>
        <v>9.6875</v>
      </c>
      <c r="F160" s="295">
        <f>'BD Plant List'!$D162/12*'BD Plant List'!AC$5*'BD Feedstock'!$F$3</f>
        <v>3.4291666666666671</v>
      </c>
      <c r="G160" s="295">
        <f>'BD Plant List'!$E162/12*'BD Feedstock'!G$3*'BD Plant List'!AB$5</f>
        <v>1.453125</v>
      </c>
      <c r="H160" s="295">
        <f>'BD Plant List'!$E162/12*'BD Feedstock'!H$3*'BD Plant List'!AC$5</f>
        <v>0.51437500000000003</v>
      </c>
      <c r="I160" s="295">
        <f>'BD Plant List'!F162/12*'BD Feedstock'!I$3*'BD Plant List'!AC$5</f>
        <v>0.13716666666666666</v>
      </c>
      <c r="J160" s="295">
        <f>'BD Plant List'!G162/12*'BD Feedstock'!J$3*'BD Plant List'!AD$5</f>
        <v>0.90199999999999991</v>
      </c>
      <c r="K160" s="295">
        <f>'BD Plant List'!$H162/12*'BD Feedstock'!K$3*'BD Plant List'!AB$5</f>
        <v>0</v>
      </c>
      <c r="L160" s="295">
        <f>'BD Plant List'!$H162/12*'BD Feedstock'!L$3*'BD Plant List'!AC$5</f>
        <v>0</v>
      </c>
      <c r="M160" s="295">
        <f>'BD Plant List'!$I162/12*'BD Feedstock'!$M$3*'BD Plant List'!AC$5</f>
        <v>3.4291666666666671</v>
      </c>
      <c r="N160" s="295">
        <f>'BD Plant List'!$J162/12*'BD Feedstock'!N$3*'BD Plant List'!AC$5</f>
        <v>0</v>
      </c>
      <c r="O160" s="295">
        <f>'BD Plant List'!$K162/12*'BD Feedstock'!O$3*'BD Plant List'!AC$5</f>
        <v>0</v>
      </c>
      <c r="P160" s="295">
        <f>'BD Plant List'!$L162/12*'BD Feedstock'!P$3*'BD Plant List'!AE$5</f>
        <v>0</v>
      </c>
      <c r="Q160" s="295">
        <f>'BD Plant List'!$M162/12*'BD Feedstock'!Q$3*'BD Plant List'!AE$5</f>
        <v>0.93125000000000002</v>
      </c>
      <c r="R160" s="295">
        <f>'BD Plant List'!$N162/12*'BD Feedstock'!R$3*'BD Plant List'!AE$5</f>
        <v>26.540625000000002</v>
      </c>
      <c r="S160" s="295">
        <f>'BD Plant List'!$N162/12*'BD Feedstock'!S$3*'BD Plant List'!AF$5</f>
        <v>1.40625</v>
      </c>
      <c r="T160" s="295">
        <f>'BD Plant List'!$O162/12*'BD Feedstock'!T$3*'BD Plant List'!AB$5</f>
        <v>8.5732126770944213</v>
      </c>
      <c r="U160" s="295">
        <f>'BD Plant List'!$O162/12*'BD Feedstock'!U$3*'BD Plant List'!AC$5</f>
        <v>3.0347329175263269</v>
      </c>
    </row>
    <row r="161" spans="1:21" ht="18">
      <c r="A161" s="293">
        <v>44593</v>
      </c>
      <c r="B161" s="295">
        <f>'BD Plant List'!B163/12*'BD Plant List'!$AE$5*$B$3</f>
        <v>43.458333333333336</v>
      </c>
      <c r="C161" s="295">
        <f>'BD Plant List'!$C163/12*'BD Plant List'!$AB$5*'BD Feedstock'!$D$3</f>
        <v>2.098958333333333</v>
      </c>
      <c r="D161" s="295">
        <f>'BD Plant List'!$C163/12*'BD Plant List'!$AC$5*'BD Feedstock'!$D$3</f>
        <v>2.2289583333333334</v>
      </c>
      <c r="E161" s="295">
        <f>'BD Plant List'!$D163/12*'BD Plant List'!AB$5*'BD Feedstock'!$E$3</f>
        <v>9.6875</v>
      </c>
      <c r="F161" s="295">
        <f>'BD Plant List'!$D163/12*'BD Plant List'!AC$5*'BD Feedstock'!$F$3</f>
        <v>3.4291666666666671</v>
      </c>
      <c r="G161" s="295">
        <f>'BD Plant List'!$E163/12*'BD Feedstock'!G$3*'BD Plant List'!AB$5</f>
        <v>1.453125</v>
      </c>
      <c r="H161" s="295">
        <f>'BD Plant List'!$E163/12*'BD Feedstock'!H$3*'BD Plant List'!AC$5</f>
        <v>0.51437500000000003</v>
      </c>
      <c r="I161" s="295">
        <f>'BD Plant List'!F163/12*'BD Feedstock'!I$3*'BD Plant List'!AC$5</f>
        <v>0.13716666666666666</v>
      </c>
      <c r="J161" s="295">
        <f>'BD Plant List'!G163/12*'BD Feedstock'!J$3*'BD Plant List'!AD$5</f>
        <v>0.90199999999999991</v>
      </c>
      <c r="K161" s="295">
        <f>'BD Plant List'!$H163/12*'BD Feedstock'!K$3*'BD Plant List'!AB$5</f>
        <v>0</v>
      </c>
      <c r="L161" s="295">
        <f>'BD Plant List'!$H163/12*'BD Feedstock'!L$3*'BD Plant List'!AC$5</f>
        <v>0</v>
      </c>
      <c r="M161" s="295">
        <f>'BD Plant List'!$I163/12*'BD Feedstock'!$M$3*'BD Plant List'!AC$5</f>
        <v>3.4291666666666671</v>
      </c>
      <c r="N161" s="295">
        <f>'BD Plant List'!$J163/12*'BD Feedstock'!N$3*'BD Plant List'!AC$5</f>
        <v>0</v>
      </c>
      <c r="O161" s="295">
        <f>'BD Plant List'!$K163/12*'BD Feedstock'!O$3*'BD Plant List'!AC$5</f>
        <v>0</v>
      </c>
      <c r="P161" s="295">
        <f>'BD Plant List'!$L163/12*'BD Feedstock'!P$3*'BD Plant List'!AE$5</f>
        <v>0</v>
      </c>
      <c r="Q161" s="295">
        <f>'BD Plant List'!$M163/12*'BD Feedstock'!Q$3*'BD Plant List'!AE$5</f>
        <v>0.93125000000000002</v>
      </c>
      <c r="R161" s="295">
        <f>'BD Plant List'!$N163/12*'BD Feedstock'!R$3*'BD Plant List'!AE$5</f>
        <v>26.540625000000002</v>
      </c>
      <c r="S161" s="295">
        <f>'BD Plant List'!$N163/12*'BD Feedstock'!S$3*'BD Plant List'!AF$5</f>
        <v>1.40625</v>
      </c>
      <c r="T161" s="295">
        <f>'BD Plant List'!$O163/12*'BD Feedstock'!T$3*'BD Plant List'!AB$5</f>
        <v>8.5732126770944213</v>
      </c>
      <c r="U161" s="295">
        <f>'BD Plant List'!$O163/12*'BD Feedstock'!U$3*'BD Plant List'!AC$5</f>
        <v>3.0347329175263269</v>
      </c>
    </row>
    <row r="162" spans="1:21" ht="18">
      <c r="A162" s="293">
        <v>44621</v>
      </c>
      <c r="B162" s="295">
        <f>'BD Plant List'!B164/12*'BD Plant List'!$AE$5*$B$3</f>
        <v>43.458333333333336</v>
      </c>
      <c r="C162" s="295">
        <f>'BD Plant List'!$C164/12*'BD Plant List'!$AB$5*'BD Feedstock'!$D$3</f>
        <v>2.098958333333333</v>
      </c>
      <c r="D162" s="295">
        <f>'BD Plant List'!$C164/12*'BD Plant List'!$AC$5*'BD Feedstock'!$D$3</f>
        <v>2.2289583333333334</v>
      </c>
      <c r="E162" s="295">
        <f>'BD Plant List'!$D164/12*'BD Plant List'!AB$5*'BD Feedstock'!$E$3</f>
        <v>9.6875</v>
      </c>
      <c r="F162" s="295">
        <f>'BD Plant List'!$D164/12*'BD Plant List'!AC$5*'BD Feedstock'!$F$3</f>
        <v>3.4291666666666671</v>
      </c>
      <c r="G162" s="295">
        <f>'BD Plant List'!$E164/12*'BD Feedstock'!G$3*'BD Plant List'!AB$5</f>
        <v>1.453125</v>
      </c>
      <c r="H162" s="295">
        <f>'BD Plant List'!$E164/12*'BD Feedstock'!H$3*'BD Plant List'!AC$5</f>
        <v>0.51437500000000003</v>
      </c>
      <c r="I162" s="295">
        <f>'BD Plant List'!F164/12*'BD Feedstock'!I$3*'BD Plant List'!AC$5</f>
        <v>0.13716666666666666</v>
      </c>
      <c r="J162" s="295">
        <f>'BD Plant List'!G164/12*'BD Feedstock'!J$3*'BD Plant List'!AD$5</f>
        <v>0.90199999999999991</v>
      </c>
      <c r="K162" s="295">
        <f>'BD Plant List'!$H164/12*'BD Feedstock'!K$3*'BD Plant List'!AB$5</f>
        <v>0</v>
      </c>
      <c r="L162" s="295">
        <f>'BD Plant List'!$H164/12*'BD Feedstock'!L$3*'BD Plant List'!AC$5</f>
        <v>0</v>
      </c>
      <c r="M162" s="295">
        <f>'BD Plant List'!$I164/12*'BD Feedstock'!$M$3*'BD Plant List'!AC$5</f>
        <v>3.4291666666666671</v>
      </c>
      <c r="N162" s="295">
        <f>'BD Plant List'!$J164/12*'BD Feedstock'!N$3*'BD Plant List'!AC$5</f>
        <v>0</v>
      </c>
      <c r="O162" s="295">
        <f>'BD Plant List'!$K164/12*'BD Feedstock'!O$3*'BD Plant List'!AC$5</f>
        <v>0</v>
      </c>
      <c r="P162" s="295">
        <f>'BD Plant List'!$L164/12*'BD Feedstock'!P$3*'BD Plant List'!AE$5</f>
        <v>0</v>
      </c>
      <c r="Q162" s="295">
        <f>'BD Plant List'!$M164/12*'BD Feedstock'!Q$3*'BD Plant List'!AE$5</f>
        <v>0.93125000000000002</v>
      </c>
      <c r="R162" s="295">
        <f>'BD Plant List'!$N164/12*'BD Feedstock'!R$3*'BD Plant List'!AE$5</f>
        <v>26.540625000000002</v>
      </c>
      <c r="S162" s="295">
        <f>'BD Plant List'!$N164/12*'BD Feedstock'!S$3*'BD Plant List'!AF$5</f>
        <v>1.40625</v>
      </c>
      <c r="T162" s="295">
        <f>'BD Plant List'!$O164/12*'BD Feedstock'!T$3*'BD Plant List'!AB$5</f>
        <v>8.5732126770944213</v>
      </c>
      <c r="U162" s="295">
        <f>'BD Plant List'!$O164/12*'BD Feedstock'!U$3*'BD Plant List'!AC$5</f>
        <v>3.0347329175263269</v>
      </c>
    </row>
    <row r="163" spans="1:21" ht="18">
      <c r="A163" s="293">
        <v>44652</v>
      </c>
      <c r="B163" s="295">
        <f>'BD Plant List'!B165/12*'BD Plant List'!$AE$5*$B$3</f>
        <v>43.458333333333336</v>
      </c>
      <c r="C163" s="295">
        <f>'BD Plant List'!$C165/12*'BD Plant List'!$AB$5*'BD Feedstock'!$D$3</f>
        <v>2.098958333333333</v>
      </c>
      <c r="D163" s="295">
        <f>'BD Plant List'!$C165/12*'BD Plant List'!$AC$5*'BD Feedstock'!$D$3</f>
        <v>2.2289583333333334</v>
      </c>
      <c r="E163" s="295">
        <f>'BD Plant List'!$D165/12*'BD Plant List'!AB$5*'BD Feedstock'!$E$3</f>
        <v>9.6875</v>
      </c>
      <c r="F163" s="295">
        <f>'BD Plant List'!$D165/12*'BD Plant List'!AC$5*'BD Feedstock'!$F$3</f>
        <v>3.4291666666666671</v>
      </c>
      <c r="G163" s="295">
        <f>'BD Plant List'!$E165/12*'BD Feedstock'!G$3*'BD Plant List'!AB$5</f>
        <v>1.453125</v>
      </c>
      <c r="H163" s="295">
        <f>'BD Plant List'!$E165/12*'BD Feedstock'!H$3*'BD Plant List'!AC$5</f>
        <v>0.51437500000000003</v>
      </c>
      <c r="I163" s="295">
        <f>'BD Plant List'!F165/12*'BD Feedstock'!I$3*'BD Plant List'!AC$5</f>
        <v>0.13716666666666666</v>
      </c>
      <c r="J163" s="295">
        <f>'BD Plant List'!G165/12*'BD Feedstock'!J$3*'BD Plant List'!AD$5</f>
        <v>0.90199999999999991</v>
      </c>
      <c r="K163" s="295">
        <f>'BD Plant List'!$H165/12*'BD Feedstock'!K$3*'BD Plant List'!AB$5</f>
        <v>0</v>
      </c>
      <c r="L163" s="295">
        <f>'BD Plant List'!$H165/12*'BD Feedstock'!L$3*'BD Plant List'!AC$5</f>
        <v>0</v>
      </c>
      <c r="M163" s="295">
        <f>'BD Plant List'!$I165/12*'BD Feedstock'!$M$3*'BD Plant List'!AC$5</f>
        <v>3.4291666666666671</v>
      </c>
      <c r="N163" s="295">
        <f>'BD Plant List'!$J165/12*'BD Feedstock'!N$3*'BD Plant List'!AC$5</f>
        <v>0</v>
      </c>
      <c r="O163" s="295">
        <f>'BD Plant List'!$K165/12*'BD Feedstock'!O$3*'BD Plant List'!AC$5</f>
        <v>0</v>
      </c>
      <c r="P163" s="295">
        <f>'BD Plant List'!$L165/12*'BD Feedstock'!P$3*'BD Plant List'!AE$5</f>
        <v>0</v>
      </c>
      <c r="Q163" s="295">
        <f>'BD Plant List'!$M165/12*'BD Feedstock'!Q$3*'BD Plant List'!AE$5</f>
        <v>0.93125000000000002</v>
      </c>
      <c r="R163" s="295">
        <f>'BD Plant List'!$N165/12*'BD Feedstock'!R$3*'BD Plant List'!AE$5</f>
        <v>26.540625000000002</v>
      </c>
      <c r="S163" s="295">
        <f>'BD Plant List'!$N165/12*'BD Feedstock'!S$3*'BD Plant List'!AF$5</f>
        <v>1.40625</v>
      </c>
      <c r="T163" s="295">
        <f>'BD Plant List'!$O165/12*'BD Feedstock'!T$3*'BD Plant List'!AB$5</f>
        <v>8.5732126770944213</v>
      </c>
      <c r="U163" s="295">
        <f>'BD Plant List'!$O165/12*'BD Feedstock'!U$3*'BD Plant List'!AC$5</f>
        <v>3.0347329175263269</v>
      </c>
    </row>
    <row r="164" spans="1:21" ht="18">
      <c r="A164" s="293">
        <v>44682</v>
      </c>
      <c r="B164" s="295">
        <f>'BD Plant List'!B166/12*'BD Plant List'!$AE$5*$B$3</f>
        <v>43.458333333333336</v>
      </c>
      <c r="C164" s="295">
        <f>'BD Plant List'!$C166/12*'BD Plant List'!$AB$5*'BD Feedstock'!$D$3</f>
        <v>2.098958333333333</v>
      </c>
      <c r="D164" s="295">
        <f>'BD Plant List'!$C166/12*'BD Plant List'!$AC$5*'BD Feedstock'!$D$3</f>
        <v>2.2289583333333334</v>
      </c>
      <c r="E164" s="295">
        <f>'BD Plant List'!$D166/12*'BD Plant List'!AB$5*'BD Feedstock'!$E$3</f>
        <v>9.6875</v>
      </c>
      <c r="F164" s="295">
        <f>'BD Plant List'!$D166/12*'BD Plant List'!AC$5*'BD Feedstock'!$F$3</f>
        <v>3.4291666666666671</v>
      </c>
      <c r="G164" s="295">
        <f>'BD Plant List'!$E166/12*'BD Feedstock'!G$3*'BD Plant List'!AB$5</f>
        <v>1.453125</v>
      </c>
      <c r="H164" s="295">
        <f>'BD Plant List'!$E166/12*'BD Feedstock'!H$3*'BD Plant List'!AC$5</f>
        <v>0.51437500000000003</v>
      </c>
      <c r="I164" s="295">
        <f>'BD Plant List'!F166/12*'BD Feedstock'!I$3*'BD Plant List'!AC$5</f>
        <v>0.13716666666666666</v>
      </c>
      <c r="J164" s="295">
        <f>'BD Plant List'!G166/12*'BD Feedstock'!J$3*'BD Plant List'!AD$5</f>
        <v>0.90199999999999991</v>
      </c>
      <c r="K164" s="295">
        <f>'BD Plant List'!$H166/12*'BD Feedstock'!K$3*'BD Plant List'!AB$5</f>
        <v>0</v>
      </c>
      <c r="L164" s="295">
        <f>'BD Plant List'!$H166/12*'BD Feedstock'!L$3*'BD Plant List'!AC$5</f>
        <v>0</v>
      </c>
      <c r="M164" s="295">
        <f>'BD Plant List'!$I166/12*'BD Feedstock'!$M$3*'BD Plant List'!AC$5</f>
        <v>3.4291666666666671</v>
      </c>
      <c r="N164" s="295">
        <f>'BD Plant List'!$J166/12*'BD Feedstock'!N$3*'BD Plant List'!AC$5</f>
        <v>0</v>
      </c>
      <c r="O164" s="295">
        <f>'BD Plant List'!$K166/12*'BD Feedstock'!O$3*'BD Plant List'!AC$5</f>
        <v>0</v>
      </c>
      <c r="P164" s="295">
        <f>'BD Plant List'!$L166/12*'BD Feedstock'!P$3*'BD Plant List'!AE$5</f>
        <v>0</v>
      </c>
      <c r="Q164" s="295">
        <f>'BD Plant List'!$M166/12*'BD Feedstock'!Q$3*'BD Plant List'!AE$5</f>
        <v>0.93125000000000002</v>
      </c>
      <c r="R164" s="295">
        <f>'BD Plant List'!$N166/12*'BD Feedstock'!R$3*'BD Plant List'!AE$5</f>
        <v>26.540625000000002</v>
      </c>
      <c r="S164" s="295">
        <f>'BD Plant List'!$N166/12*'BD Feedstock'!S$3*'BD Plant List'!AF$5</f>
        <v>1.40625</v>
      </c>
      <c r="T164" s="295">
        <f>'BD Plant List'!$O166/12*'BD Feedstock'!T$3*'BD Plant List'!AB$5</f>
        <v>8.5732126770944213</v>
      </c>
      <c r="U164" s="295">
        <f>'BD Plant List'!$O166/12*'BD Feedstock'!U$3*'BD Plant List'!AC$5</f>
        <v>3.0347329175263269</v>
      </c>
    </row>
    <row r="165" spans="1:21" ht="18">
      <c r="A165" s="293">
        <v>44713</v>
      </c>
      <c r="B165" s="295">
        <f>'BD Plant List'!B167/12*'BD Plant List'!$AE$5*$B$3</f>
        <v>43.458333333333336</v>
      </c>
      <c r="C165" s="295">
        <f>'BD Plant List'!$C167/12*'BD Plant List'!$AB$5*'BD Feedstock'!$D$3</f>
        <v>2.098958333333333</v>
      </c>
      <c r="D165" s="295">
        <f>'BD Plant List'!$C167/12*'BD Plant List'!$AC$5*'BD Feedstock'!$D$3</f>
        <v>2.2289583333333334</v>
      </c>
      <c r="E165" s="295">
        <f>'BD Plant List'!$D167/12*'BD Plant List'!AB$5*'BD Feedstock'!$E$3</f>
        <v>9.6875</v>
      </c>
      <c r="F165" s="295">
        <f>'BD Plant List'!$D167/12*'BD Plant List'!AC$5*'BD Feedstock'!$F$3</f>
        <v>3.4291666666666671</v>
      </c>
      <c r="G165" s="295">
        <f>'BD Plant List'!$E167/12*'BD Feedstock'!G$3*'BD Plant List'!AB$5</f>
        <v>1.453125</v>
      </c>
      <c r="H165" s="295">
        <f>'BD Plant List'!$E167/12*'BD Feedstock'!H$3*'BD Plant List'!AC$5</f>
        <v>0.51437500000000003</v>
      </c>
      <c r="I165" s="295">
        <f>'BD Plant List'!F167/12*'BD Feedstock'!I$3*'BD Plant List'!AC$5</f>
        <v>0.13716666666666666</v>
      </c>
      <c r="J165" s="295">
        <f>'BD Plant List'!G167/12*'BD Feedstock'!J$3*'BD Plant List'!AD$5</f>
        <v>0.90199999999999991</v>
      </c>
      <c r="K165" s="295">
        <f>'BD Plant List'!$H167/12*'BD Feedstock'!K$3*'BD Plant List'!AB$5</f>
        <v>0</v>
      </c>
      <c r="L165" s="295">
        <f>'BD Plant List'!$H167/12*'BD Feedstock'!L$3*'BD Plant List'!AC$5</f>
        <v>0</v>
      </c>
      <c r="M165" s="295">
        <f>'BD Plant List'!$I167/12*'BD Feedstock'!$M$3*'BD Plant List'!AC$5</f>
        <v>3.4291666666666671</v>
      </c>
      <c r="N165" s="295">
        <f>'BD Plant List'!$J167/12*'BD Feedstock'!N$3*'BD Plant List'!AC$5</f>
        <v>0</v>
      </c>
      <c r="O165" s="295">
        <f>'BD Plant List'!$K167/12*'BD Feedstock'!O$3*'BD Plant List'!AC$5</f>
        <v>0</v>
      </c>
      <c r="P165" s="295">
        <f>'BD Plant List'!$L167/12*'BD Feedstock'!P$3*'BD Plant List'!AE$5</f>
        <v>0</v>
      </c>
      <c r="Q165" s="295">
        <f>'BD Plant List'!$M167/12*'BD Feedstock'!Q$3*'BD Plant List'!AE$5</f>
        <v>0.93125000000000002</v>
      </c>
      <c r="R165" s="295">
        <f>'BD Plant List'!$N167/12*'BD Feedstock'!R$3*'BD Plant List'!AE$5</f>
        <v>26.540625000000002</v>
      </c>
      <c r="S165" s="295">
        <f>'BD Plant List'!$N167/12*'BD Feedstock'!S$3*'BD Plant List'!AF$5</f>
        <v>1.40625</v>
      </c>
      <c r="T165" s="295">
        <f>'BD Plant List'!$O167/12*'BD Feedstock'!T$3*'BD Plant List'!AB$5</f>
        <v>8.5732126770944213</v>
      </c>
      <c r="U165" s="295">
        <f>'BD Plant List'!$O167/12*'BD Feedstock'!U$3*'BD Plant List'!AC$5</f>
        <v>3.0347329175263269</v>
      </c>
    </row>
    <row r="166" spans="1:21" ht="18">
      <c r="A166" s="293">
        <v>44743</v>
      </c>
      <c r="B166" s="295">
        <f>'BD Plant List'!B168/12*'BD Plant List'!$AE$5*$B$3</f>
        <v>43.458333333333336</v>
      </c>
      <c r="C166" s="295">
        <f>'BD Plant List'!$C168/12*'BD Plant List'!$AB$5*'BD Feedstock'!$D$3</f>
        <v>2.098958333333333</v>
      </c>
      <c r="D166" s="295">
        <f>'BD Plant List'!$C168/12*'BD Plant List'!$AC$5*'BD Feedstock'!$D$3</f>
        <v>2.2289583333333334</v>
      </c>
      <c r="E166" s="295">
        <f>'BD Plant List'!$D168/12*'BD Plant List'!AB$5*'BD Feedstock'!$E$3</f>
        <v>9.6875</v>
      </c>
      <c r="F166" s="295">
        <f>'BD Plant List'!$D168/12*'BD Plant List'!AC$5*'BD Feedstock'!$F$3</f>
        <v>3.4291666666666671</v>
      </c>
      <c r="G166" s="295">
        <f>'BD Plant List'!$E168/12*'BD Feedstock'!G$3*'BD Plant List'!AB$5</f>
        <v>1.453125</v>
      </c>
      <c r="H166" s="295">
        <f>'BD Plant List'!$E168/12*'BD Feedstock'!H$3*'BD Plant List'!AC$5</f>
        <v>0.51437500000000003</v>
      </c>
      <c r="I166" s="295">
        <f>'BD Plant List'!F168/12*'BD Feedstock'!I$3*'BD Plant List'!AC$5</f>
        <v>0.13716666666666666</v>
      </c>
      <c r="J166" s="295">
        <f>'BD Plant List'!G168/12*'BD Feedstock'!J$3*'BD Plant List'!AD$5</f>
        <v>0.90199999999999991</v>
      </c>
      <c r="K166" s="295">
        <f>'BD Plant List'!$H168/12*'BD Feedstock'!K$3*'BD Plant List'!AB$5</f>
        <v>0</v>
      </c>
      <c r="L166" s="295">
        <f>'BD Plant List'!$H168/12*'BD Feedstock'!L$3*'BD Plant List'!AC$5</f>
        <v>0</v>
      </c>
      <c r="M166" s="295">
        <f>'BD Plant List'!$I168/12*'BD Feedstock'!$M$3*'BD Plant List'!AC$5</f>
        <v>3.4291666666666671</v>
      </c>
      <c r="N166" s="295">
        <f>'BD Plant List'!$J168/12*'BD Feedstock'!N$3*'BD Plant List'!AC$5</f>
        <v>0</v>
      </c>
      <c r="O166" s="295">
        <f>'BD Plant List'!$K168/12*'BD Feedstock'!O$3*'BD Plant List'!AC$5</f>
        <v>0</v>
      </c>
      <c r="P166" s="295">
        <f>'BD Plant List'!$L168/12*'BD Feedstock'!P$3*'BD Plant List'!AE$5</f>
        <v>0</v>
      </c>
      <c r="Q166" s="295">
        <f>'BD Plant List'!$M168/12*'BD Feedstock'!Q$3*'BD Plant List'!AE$5</f>
        <v>0.93125000000000002</v>
      </c>
      <c r="R166" s="295">
        <f>'BD Plant List'!$N168/12*'BD Feedstock'!R$3*'BD Plant List'!AE$5</f>
        <v>26.540625000000002</v>
      </c>
      <c r="S166" s="295">
        <f>'BD Plant List'!$N168/12*'BD Feedstock'!S$3*'BD Plant List'!AF$5</f>
        <v>1.40625</v>
      </c>
      <c r="T166" s="295">
        <f>'BD Plant List'!$O168/12*'BD Feedstock'!T$3*'BD Plant List'!AB$5</f>
        <v>8.5732126770944213</v>
      </c>
      <c r="U166" s="295">
        <f>'BD Plant List'!$O168/12*'BD Feedstock'!U$3*'BD Plant List'!AC$5</f>
        <v>3.0347329175263269</v>
      </c>
    </row>
    <row r="167" spans="1:21" ht="18">
      <c r="A167" s="293">
        <v>44774</v>
      </c>
      <c r="B167" s="295">
        <f>'BD Plant List'!B169/12*'BD Plant List'!$AE$5*$B$3</f>
        <v>43.458333333333336</v>
      </c>
      <c r="C167" s="295">
        <f>'BD Plant List'!$C169/12*'BD Plant List'!$AB$5*'BD Feedstock'!$D$3</f>
        <v>2.098958333333333</v>
      </c>
      <c r="D167" s="295">
        <f>'BD Plant List'!$C169/12*'BD Plant List'!$AC$5*'BD Feedstock'!$D$3</f>
        <v>2.2289583333333334</v>
      </c>
      <c r="E167" s="295">
        <f>'BD Plant List'!$D169/12*'BD Plant List'!AB$5*'BD Feedstock'!$E$3</f>
        <v>9.6875</v>
      </c>
      <c r="F167" s="295">
        <f>'BD Plant List'!$D169/12*'BD Plant List'!AC$5*'BD Feedstock'!$F$3</f>
        <v>3.4291666666666671</v>
      </c>
      <c r="G167" s="295">
        <f>'BD Plant List'!$E169/12*'BD Feedstock'!G$3*'BD Plant List'!AB$5</f>
        <v>1.453125</v>
      </c>
      <c r="H167" s="295">
        <f>'BD Plant List'!$E169/12*'BD Feedstock'!H$3*'BD Plant List'!AC$5</f>
        <v>0.51437500000000003</v>
      </c>
      <c r="I167" s="295">
        <f>'BD Plant List'!F169/12*'BD Feedstock'!I$3*'BD Plant List'!AC$5</f>
        <v>0.13716666666666666</v>
      </c>
      <c r="J167" s="295">
        <f>'BD Plant List'!G169/12*'BD Feedstock'!J$3*'BD Plant List'!AD$5</f>
        <v>0.90199999999999991</v>
      </c>
      <c r="K167" s="295">
        <f>'BD Plant List'!$H169/12*'BD Feedstock'!K$3*'BD Plant List'!AB$5</f>
        <v>0</v>
      </c>
      <c r="L167" s="295">
        <f>'BD Plant List'!$H169/12*'BD Feedstock'!L$3*'BD Plant List'!AC$5</f>
        <v>0</v>
      </c>
      <c r="M167" s="295">
        <f>'BD Plant List'!$I169/12*'BD Feedstock'!$M$3*'BD Plant List'!AC$5</f>
        <v>3.4291666666666671</v>
      </c>
      <c r="N167" s="295">
        <f>'BD Plant List'!$J169/12*'BD Feedstock'!N$3*'BD Plant List'!AC$5</f>
        <v>0</v>
      </c>
      <c r="O167" s="295">
        <f>'BD Plant List'!$K169/12*'BD Feedstock'!O$3*'BD Plant List'!AC$5</f>
        <v>0</v>
      </c>
      <c r="P167" s="295">
        <f>'BD Plant List'!$L169/12*'BD Feedstock'!P$3*'BD Plant List'!AE$5</f>
        <v>0</v>
      </c>
      <c r="Q167" s="295">
        <f>'BD Plant List'!$M169/12*'BD Feedstock'!Q$3*'BD Plant List'!AE$5</f>
        <v>0.93125000000000002</v>
      </c>
      <c r="R167" s="295">
        <f>'BD Plant List'!$N169/12*'BD Feedstock'!R$3*'BD Plant List'!AE$5</f>
        <v>26.540625000000002</v>
      </c>
      <c r="S167" s="295">
        <f>'BD Plant List'!$N169/12*'BD Feedstock'!S$3*'BD Plant List'!AF$5</f>
        <v>1.40625</v>
      </c>
      <c r="T167" s="295">
        <f>'BD Plant List'!$O169/12*'BD Feedstock'!T$3*'BD Plant List'!AB$5</f>
        <v>8.5732126770944213</v>
      </c>
      <c r="U167" s="295">
        <f>'BD Plant List'!$O169/12*'BD Feedstock'!U$3*'BD Plant List'!AC$5</f>
        <v>3.0347329175263269</v>
      </c>
    </row>
    <row r="168" spans="1:21" ht="18">
      <c r="A168" s="293">
        <v>44805</v>
      </c>
      <c r="B168" s="295">
        <f>'BD Plant List'!B170/12*'BD Plant List'!$AE$5*$B$3</f>
        <v>43.458333333333336</v>
      </c>
      <c r="C168" s="295">
        <f>'BD Plant List'!$C170/12*'BD Plant List'!$AB$5*'BD Feedstock'!$D$3</f>
        <v>2.098958333333333</v>
      </c>
      <c r="D168" s="295">
        <f>'BD Plant List'!$C170/12*'BD Plant List'!$AC$5*'BD Feedstock'!$D$3</f>
        <v>2.2289583333333334</v>
      </c>
      <c r="E168" s="295">
        <f>'BD Plant List'!$D170/12*'BD Plant List'!AB$5*'BD Feedstock'!$E$3</f>
        <v>9.6875</v>
      </c>
      <c r="F168" s="295">
        <f>'BD Plant List'!$D170/12*'BD Plant List'!AC$5*'BD Feedstock'!$F$3</f>
        <v>3.4291666666666671</v>
      </c>
      <c r="G168" s="295">
        <f>'BD Plant List'!$E170/12*'BD Feedstock'!G$3*'BD Plant List'!AB$5</f>
        <v>1.453125</v>
      </c>
      <c r="H168" s="295">
        <f>'BD Plant List'!$E170/12*'BD Feedstock'!H$3*'BD Plant List'!AC$5</f>
        <v>0.51437500000000003</v>
      </c>
      <c r="I168" s="295">
        <f>'BD Plant List'!F170/12*'BD Feedstock'!I$3*'BD Plant List'!AC$5</f>
        <v>0.13716666666666666</v>
      </c>
      <c r="J168" s="295">
        <f>'BD Plant List'!G170/12*'BD Feedstock'!J$3*'BD Plant List'!AD$5</f>
        <v>0.90199999999999991</v>
      </c>
      <c r="K168" s="295">
        <f>'BD Plant List'!$H170/12*'BD Feedstock'!K$3*'BD Plant List'!AB$5</f>
        <v>0</v>
      </c>
      <c r="L168" s="295">
        <f>'BD Plant List'!$H170/12*'BD Feedstock'!L$3*'BD Plant List'!AC$5</f>
        <v>0</v>
      </c>
      <c r="M168" s="295">
        <f>'BD Plant List'!$I170/12*'BD Feedstock'!$M$3*'BD Plant List'!AC$5</f>
        <v>3.4291666666666671</v>
      </c>
      <c r="N168" s="295">
        <f>'BD Plant List'!$J170/12*'BD Feedstock'!N$3*'BD Plant List'!AC$5</f>
        <v>0</v>
      </c>
      <c r="O168" s="295">
        <f>'BD Plant List'!$K170/12*'BD Feedstock'!O$3*'BD Plant List'!AC$5</f>
        <v>0</v>
      </c>
      <c r="P168" s="295">
        <f>'BD Plant List'!$L170/12*'BD Feedstock'!P$3*'BD Plant List'!AE$5</f>
        <v>0</v>
      </c>
      <c r="Q168" s="295">
        <f>'BD Plant List'!$M170/12*'BD Feedstock'!Q$3*'BD Plant List'!AE$5</f>
        <v>0.93125000000000002</v>
      </c>
      <c r="R168" s="295">
        <f>'BD Plant List'!$N170/12*'BD Feedstock'!R$3*'BD Plant List'!AE$5</f>
        <v>26.540625000000002</v>
      </c>
      <c r="S168" s="295">
        <f>'BD Plant List'!$N170/12*'BD Feedstock'!S$3*'BD Plant List'!AF$5</f>
        <v>1.40625</v>
      </c>
      <c r="T168" s="295">
        <f>'BD Plant List'!$O170/12*'BD Feedstock'!T$3*'BD Plant List'!AB$5</f>
        <v>8.5732126770944213</v>
      </c>
      <c r="U168" s="295">
        <f>'BD Plant List'!$O170/12*'BD Feedstock'!U$3*'BD Plant List'!AC$5</f>
        <v>3.0347329175263269</v>
      </c>
    </row>
    <row r="169" spans="1:21" ht="18">
      <c r="A169" s="293">
        <v>44835</v>
      </c>
      <c r="B169" s="295">
        <f>'BD Plant List'!B171/12*'BD Plant List'!$AE$5*$B$3</f>
        <v>43.458333333333336</v>
      </c>
      <c r="C169" s="295">
        <f>'BD Plant List'!$C171/12*'BD Plant List'!$AB$5*'BD Feedstock'!$D$3</f>
        <v>2.098958333333333</v>
      </c>
      <c r="D169" s="295">
        <f>'BD Plant List'!$C171/12*'BD Plant List'!$AC$5*'BD Feedstock'!$D$3</f>
        <v>2.2289583333333334</v>
      </c>
      <c r="E169" s="295">
        <f>'BD Plant List'!$D171/12*'BD Plant List'!AB$5*'BD Feedstock'!$E$3</f>
        <v>9.6875</v>
      </c>
      <c r="F169" s="295">
        <f>'BD Plant List'!$D171/12*'BD Plant List'!AC$5*'BD Feedstock'!$F$3</f>
        <v>3.4291666666666671</v>
      </c>
      <c r="G169" s="295">
        <f>'BD Plant List'!$E171/12*'BD Feedstock'!G$3*'BD Plant List'!AB$5</f>
        <v>1.453125</v>
      </c>
      <c r="H169" s="295">
        <f>'BD Plant List'!$E171/12*'BD Feedstock'!H$3*'BD Plant List'!AC$5</f>
        <v>0.51437500000000003</v>
      </c>
      <c r="I169" s="295">
        <f>'BD Plant List'!F171/12*'BD Feedstock'!I$3*'BD Plant List'!AC$5</f>
        <v>0.13716666666666666</v>
      </c>
      <c r="J169" s="295">
        <f>'BD Plant List'!G171/12*'BD Feedstock'!J$3*'BD Plant List'!AD$5</f>
        <v>0.90199999999999991</v>
      </c>
      <c r="K169" s="295">
        <f>'BD Plant List'!$H171/12*'BD Feedstock'!K$3*'BD Plant List'!AB$5</f>
        <v>0</v>
      </c>
      <c r="L169" s="295">
        <f>'BD Plant List'!$H171/12*'BD Feedstock'!L$3*'BD Plant List'!AC$5</f>
        <v>0</v>
      </c>
      <c r="M169" s="295">
        <f>'BD Plant List'!$I171/12*'BD Feedstock'!$M$3*'BD Plant List'!AC$5</f>
        <v>3.4291666666666671</v>
      </c>
      <c r="N169" s="295">
        <f>'BD Plant List'!$J171/12*'BD Feedstock'!N$3*'BD Plant List'!AC$5</f>
        <v>0</v>
      </c>
      <c r="O169" s="295">
        <f>'BD Plant List'!$K171/12*'BD Feedstock'!O$3*'BD Plant List'!AC$5</f>
        <v>0</v>
      </c>
      <c r="P169" s="295">
        <f>'BD Plant List'!$L171/12*'BD Feedstock'!P$3*'BD Plant List'!AE$5</f>
        <v>0</v>
      </c>
      <c r="Q169" s="295">
        <f>'BD Plant List'!$M171/12*'BD Feedstock'!Q$3*'BD Plant List'!AE$5</f>
        <v>0.93125000000000002</v>
      </c>
      <c r="R169" s="295">
        <f>'BD Plant List'!$N171/12*'BD Feedstock'!R$3*'BD Plant List'!AE$5</f>
        <v>26.540625000000002</v>
      </c>
      <c r="S169" s="295">
        <f>'BD Plant List'!$N171/12*'BD Feedstock'!S$3*'BD Plant List'!AF$5</f>
        <v>1.40625</v>
      </c>
      <c r="T169" s="295">
        <f>'BD Plant List'!$O171/12*'BD Feedstock'!T$3*'BD Plant List'!AB$5</f>
        <v>8.5732126770944213</v>
      </c>
      <c r="U169" s="295">
        <f>'BD Plant List'!$O171/12*'BD Feedstock'!U$3*'BD Plant List'!AC$5</f>
        <v>3.0347329175263269</v>
      </c>
    </row>
    <row r="170" spans="1:21" ht="18">
      <c r="A170" s="293">
        <v>44866</v>
      </c>
      <c r="B170" s="295">
        <f>'BD Plant List'!B172/12*'BD Plant List'!$AE$5*$B$3</f>
        <v>43.458333333333336</v>
      </c>
      <c r="C170" s="295">
        <f>'BD Plant List'!$C172/12*'BD Plant List'!$AB$5*'BD Feedstock'!$D$3</f>
        <v>2.098958333333333</v>
      </c>
      <c r="D170" s="295">
        <f>'BD Plant List'!$C172/12*'BD Plant List'!$AC$5*'BD Feedstock'!$D$3</f>
        <v>2.2289583333333334</v>
      </c>
      <c r="E170" s="295">
        <f>'BD Plant List'!$D172/12*'BD Plant List'!AB$5*'BD Feedstock'!$E$3</f>
        <v>9.6875</v>
      </c>
      <c r="F170" s="295">
        <f>'BD Plant List'!$D172/12*'BD Plant List'!AC$5*'BD Feedstock'!$F$3</f>
        <v>3.4291666666666671</v>
      </c>
      <c r="G170" s="295">
        <f>'BD Plant List'!$E172/12*'BD Feedstock'!G$3*'BD Plant List'!AB$5</f>
        <v>1.453125</v>
      </c>
      <c r="H170" s="295">
        <f>'BD Plant List'!$E172/12*'BD Feedstock'!H$3*'BD Plant List'!AC$5</f>
        <v>0.51437500000000003</v>
      </c>
      <c r="I170" s="295">
        <f>'BD Plant List'!F172/12*'BD Feedstock'!I$3*'BD Plant List'!AC$5</f>
        <v>0.13716666666666666</v>
      </c>
      <c r="J170" s="295">
        <f>'BD Plant List'!G172/12*'BD Feedstock'!J$3*'BD Plant List'!AD$5</f>
        <v>0.90199999999999991</v>
      </c>
      <c r="K170" s="295">
        <f>'BD Plant List'!$H172/12*'BD Feedstock'!K$3*'BD Plant List'!AB$5</f>
        <v>0</v>
      </c>
      <c r="L170" s="295">
        <f>'BD Plant List'!$H172/12*'BD Feedstock'!L$3*'BD Plant List'!AC$5</f>
        <v>0</v>
      </c>
      <c r="M170" s="295">
        <f>'BD Plant List'!$I172/12*'BD Feedstock'!$M$3*'BD Plant List'!AC$5</f>
        <v>3.4291666666666671</v>
      </c>
      <c r="N170" s="295">
        <f>'BD Plant List'!$J172/12*'BD Feedstock'!N$3*'BD Plant List'!AC$5</f>
        <v>0</v>
      </c>
      <c r="O170" s="295">
        <f>'BD Plant List'!$K172/12*'BD Feedstock'!O$3*'BD Plant List'!AC$5</f>
        <v>0</v>
      </c>
      <c r="P170" s="295">
        <f>'BD Plant List'!$L172/12*'BD Feedstock'!P$3*'BD Plant List'!AE$5</f>
        <v>0</v>
      </c>
      <c r="Q170" s="295">
        <f>'BD Plant List'!$M172/12*'BD Feedstock'!Q$3*'BD Plant List'!AE$5</f>
        <v>0.93125000000000002</v>
      </c>
      <c r="R170" s="295">
        <f>'BD Plant List'!$N172/12*'BD Feedstock'!R$3*'BD Plant List'!AE$5</f>
        <v>26.540625000000002</v>
      </c>
      <c r="S170" s="295">
        <f>'BD Plant List'!$N172/12*'BD Feedstock'!S$3*'BD Plant List'!AF$5</f>
        <v>1.40625</v>
      </c>
      <c r="T170" s="295">
        <f>'BD Plant List'!$O172/12*'BD Feedstock'!T$3*'BD Plant List'!AB$5</f>
        <v>8.5732126770944213</v>
      </c>
      <c r="U170" s="295">
        <f>'BD Plant List'!$O172/12*'BD Feedstock'!U$3*'BD Plant List'!AC$5</f>
        <v>3.0347329175263269</v>
      </c>
    </row>
    <row r="171" spans="1:21" ht="18">
      <c r="A171" s="293">
        <v>44896</v>
      </c>
      <c r="B171" s="295">
        <f>'BD Plant List'!B173/12*'BD Plant List'!$AE$5*$B$3</f>
        <v>43.458333333333336</v>
      </c>
      <c r="C171" s="295">
        <f>'BD Plant List'!$C173/12*'BD Plant List'!$AB$5*'BD Feedstock'!$D$3</f>
        <v>2.098958333333333</v>
      </c>
      <c r="D171" s="295">
        <f>'BD Plant List'!$C173/12*'BD Plant List'!$AC$5*'BD Feedstock'!$D$3</f>
        <v>2.2289583333333334</v>
      </c>
      <c r="E171" s="295">
        <f>'BD Plant List'!$D173/12*'BD Plant List'!AB$5*'BD Feedstock'!$E$3</f>
        <v>9.6875</v>
      </c>
      <c r="F171" s="295">
        <f>'BD Plant List'!$D173/12*'BD Plant List'!AC$5*'BD Feedstock'!$F$3</f>
        <v>3.4291666666666671</v>
      </c>
      <c r="G171" s="295">
        <f>'BD Plant List'!$E173/12*'BD Feedstock'!G$3*'BD Plant List'!AB$5</f>
        <v>1.453125</v>
      </c>
      <c r="H171" s="295">
        <f>'BD Plant List'!$E173/12*'BD Feedstock'!H$3*'BD Plant List'!AC$5</f>
        <v>0.51437500000000003</v>
      </c>
      <c r="I171" s="295">
        <f>'BD Plant List'!F173/12*'BD Feedstock'!I$3*'BD Plant List'!AC$5</f>
        <v>0.13716666666666666</v>
      </c>
      <c r="J171" s="295">
        <f>'BD Plant List'!G173/12*'BD Feedstock'!J$3*'BD Plant List'!AD$5</f>
        <v>0.90199999999999991</v>
      </c>
      <c r="K171" s="295">
        <f>'BD Plant List'!$H173/12*'BD Feedstock'!K$3*'BD Plant List'!AB$5</f>
        <v>0</v>
      </c>
      <c r="L171" s="295">
        <f>'BD Plant List'!$H173/12*'BD Feedstock'!L$3*'BD Plant List'!AC$5</f>
        <v>0</v>
      </c>
      <c r="M171" s="295">
        <f>'BD Plant List'!$I173/12*'BD Feedstock'!$M$3*'BD Plant List'!AC$5</f>
        <v>3.4291666666666671</v>
      </c>
      <c r="N171" s="295">
        <f>'BD Plant List'!$J173/12*'BD Feedstock'!N$3*'BD Plant List'!AC$5</f>
        <v>0</v>
      </c>
      <c r="O171" s="295">
        <f>'BD Plant List'!$K173/12*'BD Feedstock'!O$3*'BD Plant List'!AC$5</f>
        <v>0</v>
      </c>
      <c r="P171" s="295">
        <f>'BD Plant List'!$L173/12*'BD Feedstock'!P$3*'BD Plant List'!AE$5</f>
        <v>0</v>
      </c>
      <c r="Q171" s="295">
        <f>'BD Plant List'!$M173/12*'BD Feedstock'!Q$3*'BD Plant List'!AE$5</f>
        <v>0.93125000000000002</v>
      </c>
      <c r="R171" s="295">
        <f>'BD Plant List'!$N173/12*'BD Feedstock'!R$3*'BD Plant List'!AE$5</f>
        <v>26.540625000000002</v>
      </c>
      <c r="S171" s="295">
        <f>'BD Plant List'!$N173/12*'BD Feedstock'!S$3*'BD Plant List'!AF$5</f>
        <v>1.40625</v>
      </c>
      <c r="T171" s="295">
        <f>'BD Plant List'!$O173/12*'BD Feedstock'!T$3*'BD Plant List'!AB$5</f>
        <v>8.5732126770944213</v>
      </c>
      <c r="U171" s="295">
        <f>'BD Plant List'!$O173/12*'BD Feedstock'!U$3*'BD Plant List'!AC$5</f>
        <v>3.0347329175263269</v>
      </c>
    </row>
    <row r="172" spans="1:21" ht="18">
      <c r="A172" s="293">
        <v>44927</v>
      </c>
      <c r="B172" s="295">
        <f>'BD Plant List'!B174/12*'BD Plant List'!$AE$5*$B$3</f>
        <v>43.458333333333336</v>
      </c>
      <c r="C172" s="295">
        <f>'BD Plant List'!$C174/12*'BD Plant List'!$AB$5*'BD Feedstock'!$D$3</f>
        <v>2.098958333333333</v>
      </c>
      <c r="D172" s="295">
        <f>'BD Plant List'!$C174/12*'BD Plant List'!$AC$5*'BD Feedstock'!$D$3</f>
        <v>2.2289583333333334</v>
      </c>
      <c r="E172" s="295">
        <f>'BD Plant List'!$D174/12*'BD Plant List'!AB$5*'BD Feedstock'!$E$3</f>
        <v>9.6875</v>
      </c>
      <c r="F172" s="295">
        <f>'BD Plant List'!$D174/12*'BD Plant List'!AC$5*'BD Feedstock'!$F$3</f>
        <v>3.4291666666666671</v>
      </c>
      <c r="G172" s="295">
        <f>'BD Plant List'!$E174/12*'BD Feedstock'!G$3*'BD Plant List'!AB$5</f>
        <v>1.453125</v>
      </c>
      <c r="H172" s="295">
        <f>'BD Plant List'!$E174/12*'BD Feedstock'!H$3*'BD Plant List'!AC$5</f>
        <v>0.51437500000000003</v>
      </c>
      <c r="I172" s="295">
        <f>'BD Plant List'!F174/12*'BD Feedstock'!I$3*'BD Plant List'!AC$5</f>
        <v>0.13716666666666666</v>
      </c>
      <c r="J172" s="295">
        <f>'BD Plant List'!G174/12*'BD Feedstock'!J$3*'BD Plant List'!AD$5</f>
        <v>0.90199999999999991</v>
      </c>
      <c r="K172" s="295">
        <f>'BD Plant List'!$H174/12*'BD Feedstock'!K$3*'BD Plant List'!AB$5</f>
        <v>0</v>
      </c>
      <c r="L172" s="295">
        <f>'BD Plant List'!$H174/12*'BD Feedstock'!L$3*'BD Plant List'!AC$5</f>
        <v>0</v>
      </c>
      <c r="M172" s="295">
        <f>'BD Plant List'!$I174/12*'BD Feedstock'!$M$3*'BD Plant List'!AC$5</f>
        <v>3.4291666666666671</v>
      </c>
      <c r="N172" s="295">
        <f>'BD Plant List'!$J174/12*'BD Feedstock'!N$3*'BD Plant List'!AC$5</f>
        <v>0</v>
      </c>
      <c r="O172" s="295">
        <f>'BD Plant List'!$K174/12*'BD Feedstock'!O$3*'BD Plant List'!AC$5</f>
        <v>0</v>
      </c>
      <c r="P172" s="295">
        <f>'BD Plant List'!$L174/12*'BD Feedstock'!P$3*'BD Plant List'!AE$5</f>
        <v>0</v>
      </c>
      <c r="Q172" s="295">
        <f>'BD Plant List'!$M174/12*'BD Feedstock'!Q$3*'BD Plant List'!AE$5</f>
        <v>0.93125000000000002</v>
      </c>
      <c r="R172" s="295">
        <f>'BD Plant List'!$N174/12*'BD Feedstock'!R$3*'BD Plant List'!AE$5</f>
        <v>26.540625000000002</v>
      </c>
      <c r="S172" s="295">
        <f>'BD Plant List'!$N174/12*'BD Feedstock'!S$3*'BD Plant List'!AF$5</f>
        <v>1.40625</v>
      </c>
      <c r="T172" s="295">
        <f>'BD Plant List'!$O174/12*'BD Feedstock'!T$3*'BD Plant List'!AB$5</f>
        <v>8.5732126770944213</v>
      </c>
      <c r="U172" s="295">
        <f>'BD Plant List'!$O174/12*'BD Feedstock'!U$3*'BD Plant List'!AC$5</f>
        <v>3.0347329175263269</v>
      </c>
    </row>
    <row r="173" spans="1:21" ht="18">
      <c r="A173" s="293">
        <v>44958</v>
      </c>
      <c r="B173" s="295">
        <f>'BD Plant List'!B175/12*'BD Plant List'!$AE$5*$B$3</f>
        <v>43.458333333333336</v>
      </c>
      <c r="C173" s="295">
        <f>'BD Plant List'!$C175/12*'BD Plant List'!$AB$5*'BD Feedstock'!$D$3</f>
        <v>2.098958333333333</v>
      </c>
      <c r="D173" s="295">
        <f>'BD Plant List'!$C175/12*'BD Plant List'!$AC$5*'BD Feedstock'!$D$3</f>
        <v>2.2289583333333334</v>
      </c>
      <c r="E173" s="295">
        <f>'BD Plant List'!$D175/12*'BD Plant List'!AB$5*'BD Feedstock'!$E$3</f>
        <v>9.6875</v>
      </c>
      <c r="F173" s="295">
        <f>'BD Plant List'!$D175/12*'BD Plant List'!AC$5*'BD Feedstock'!$F$3</f>
        <v>3.4291666666666671</v>
      </c>
      <c r="G173" s="295">
        <f>'BD Plant List'!$E175/12*'BD Feedstock'!G$3*'BD Plant List'!AB$5</f>
        <v>1.453125</v>
      </c>
      <c r="H173" s="295">
        <f>'BD Plant List'!$E175/12*'BD Feedstock'!H$3*'BD Plant List'!AC$5</f>
        <v>0.51437500000000003</v>
      </c>
      <c r="I173" s="295">
        <f>'BD Plant List'!F175/12*'BD Feedstock'!I$3*'BD Plant List'!AC$5</f>
        <v>0.13716666666666666</v>
      </c>
      <c r="J173" s="295">
        <f>'BD Plant List'!G175/12*'BD Feedstock'!J$3*'BD Plant List'!AD$5</f>
        <v>0.90199999999999991</v>
      </c>
      <c r="K173" s="295">
        <f>'BD Plant List'!$H175/12*'BD Feedstock'!K$3*'BD Plant List'!AB$5</f>
        <v>0</v>
      </c>
      <c r="L173" s="295">
        <f>'BD Plant List'!$H175/12*'BD Feedstock'!L$3*'BD Plant List'!AC$5</f>
        <v>0</v>
      </c>
      <c r="M173" s="295">
        <f>'BD Plant List'!$I175/12*'BD Feedstock'!$M$3*'BD Plant List'!AC$5</f>
        <v>3.4291666666666671</v>
      </c>
      <c r="N173" s="295">
        <f>'BD Plant List'!$J175/12*'BD Feedstock'!N$3*'BD Plant List'!AC$5</f>
        <v>0</v>
      </c>
      <c r="O173" s="295">
        <f>'BD Plant List'!$K175/12*'BD Feedstock'!O$3*'BD Plant List'!AC$5</f>
        <v>0</v>
      </c>
      <c r="P173" s="295">
        <f>'BD Plant List'!$L175/12*'BD Feedstock'!P$3*'BD Plant List'!AE$5</f>
        <v>0</v>
      </c>
      <c r="Q173" s="295">
        <f>'BD Plant List'!$M175/12*'BD Feedstock'!Q$3*'BD Plant List'!AE$5</f>
        <v>0.93125000000000002</v>
      </c>
      <c r="R173" s="295">
        <f>'BD Plant List'!$N175/12*'BD Feedstock'!R$3*'BD Plant List'!AE$5</f>
        <v>26.540625000000002</v>
      </c>
      <c r="S173" s="295">
        <f>'BD Plant List'!$N175/12*'BD Feedstock'!S$3*'BD Plant List'!AF$5</f>
        <v>1.40625</v>
      </c>
      <c r="T173" s="295">
        <f>'BD Plant List'!$O175/12*'BD Feedstock'!T$3*'BD Plant List'!AB$5</f>
        <v>8.5732126770944213</v>
      </c>
      <c r="U173" s="295">
        <f>'BD Plant List'!$O175/12*'BD Feedstock'!U$3*'BD Plant List'!AC$5</f>
        <v>3.0347329175263269</v>
      </c>
    </row>
    <row r="174" spans="1:21" ht="18">
      <c r="A174" s="293">
        <v>44986</v>
      </c>
      <c r="B174" s="295">
        <f>'BD Plant List'!B176/12*'BD Plant List'!$AE$5*$B$3</f>
        <v>43.458333333333336</v>
      </c>
      <c r="C174" s="295">
        <f>'BD Plant List'!$C176/12*'BD Plant List'!$AB$5*'BD Feedstock'!$D$3</f>
        <v>2.098958333333333</v>
      </c>
      <c r="D174" s="295">
        <f>'BD Plant List'!$C176/12*'BD Plant List'!$AC$5*'BD Feedstock'!$D$3</f>
        <v>2.2289583333333334</v>
      </c>
      <c r="E174" s="295">
        <f>'BD Plant List'!$D176/12*'BD Plant List'!AB$5*'BD Feedstock'!$E$3</f>
        <v>9.6875</v>
      </c>
      <c r="F174" s="295">
        <f>'BD Plant List'!$D176/12*'BD Plant List'!AC$5*'BD Feedstock'!$F$3</f>
        <v>3.4291666666666671</v>
      </c>
      <c r="G174" s="295">
        <f>'BD Plant List'!$E176/12*'BD Feedstock'!G$3*'BD Plant List'!AB$5</f>
        <v>1.453125</v>
      </c>
      <c r="H174" s="295">
        <f>'BD Plant List'!$E176/12*'BD Feedstock'!H$3*'BD Plant List'!AC$5</f>
        <v>0.51437500000000003</v>
      </c>
      <c r="I174" s="295">
        <f>'BD Plant List'!F176/12*'BD Feedstock'!I$3*'BD Plant List'!AC$5</f>
        <v>0.13716666666666666</v>
      </c>
      <c r="J174" s="295">
        <f>'BD Plant List'!G176/12*'BD Feedstock'!J$3*'BD Plant List'!AD$5</f>
        <v>0.90199999999999991</v>
      </c>
      <c r="K174" s="295">
        <f>'BD Plant List'!$H176/12*'BD Feedstock'!K$3*'BD Plant List'!AB$5</f>
        <v>0</v>
      </c>
      <c r="L174" s="295">
        <f>'BD Plant List'!$H176/12*'BD Feedstock'!L$3*'BD Plant List'!AC$5</f>
        <v>0</v>
      </c>
      <c r="M174" s="295">
        <f>'BD Plant List'!$I176/12*'BD Feedstock'!$M$3*'BD Plant List'!AC$5</f>
        <v>3.4291666666666671</v>
      </c>
      <c r="N174" s="295">
        <f>'BD Plant List'!$J176/12*'BD Feedstock'!N$3*'BD Plant List'!AC$5</f>
        <v>0</v>
      </c>
      <c r="O174" s="295">
        <f>'BD Plant List'!$K176/12*'BD Feedstock'!O$3*'BD Plant List'!AC$5</f>
        <v>0</v>
      </c>
      <c r="P174" s="295">
        <f>'BD Plant List'!$L176/12*'BD Feedstock'!P$3*'BD Plant List'!AE$5</f>
        <v>0</v>
      </c>
      <c r="Q174" s="295">
        <f>'BD Plant List'!$M176/12*'BD Feedstock'!Q$3*'BD Plant List'!AE$5</f>
        <v>0.93125000000000002</v>
      </c>
      <c r="R174" s="295">
        <f>'BD Plant List'!$N176/12*'BD Feedstock'!R$3*'BD Plant List'!AE$5</f>
        <v>26.540625000000002</v>
      </c>
      <c r="S174" s="295">
        <f>'BD Plant List'!$N176/12*'BD Feedstock'!S$3*'BD Plant List'!AF$5</f>
        <v>1.40625</v>
      </c>
      <c r="T174" s="295">
        <f>'BD Plant List'!$O176/12*'BD Feedstock'!T$3*'BD Plant List'!AB$5</f>
        <v>8.5732126770944213</v>
      </c>
      <c r="U174" s="295">
        <f>'BD Plant List'!$O176/12*'BD Feedstock'!U$3*'BD Plant List'!AC$5</f>
        <v>3.0347329175263269</v>
      </c>
    </row>
    <row r="175" spans="1:21" ht="18">
      <c r="A175" s="293">
        <v>45017</v>
      </c>
      <c r="B175" s="295">
        <f>'BD Plant List'!B177/12*'BD Plant List'!$AE$5*$B$3</f>
        <v>43.458333333333336</v>
      </c>
      <c r="C175" s="295">
        <f>'BD Plant List'!$C177/12*'BD Plant List'!$AB$5*'BD Feedstock'!$D$3</f>
        <v>2.098958333333333</v>
      </c>
      <c r="D175" s="295">
        <f>'BD Plant List'!$C177/12*'BD Plant List'!$AC$5*'BD Feedstock'!$D$3</f>
        <v>2.2289583333333334</v>
      </c>
      <c r="E175" s="295">
        <f>'BD Plant List'!$D177/12*'BD Plant List'!AB$5*'BD Feedstock'!$E$3</f>
        <v>9.6875</v>
      </c>
      <c r="F175" s="295">
        <f>'BD Plant List'!$D177/12*'BD Plant List'!AC$5*'BD Feedstock'!$F$3</f>
        <v>3.4291666666666671</v>
      </c>
      <c r="G175" s="295">
        <f>'BD Plant List'!$E177/12*'BD Feedstock'!G$3*'BD Plant List'!AB$5</f>
        <v>1.453125</v>
      </c>
      <c r="H175" s="295">
        <f>'BD Plant List'!$E177/12*'BD Feedstock'!H$3*'BD Plant List'!AC$5</f>
        <v>0.51437500000000003</v>
      </c>
      <c r="I175" s="295">
        <f>'BD Plant List'!F177/12*'BD Feedstock'!I$3*'BD Plant List'!AC$5</f>
        <v>0.13716666666666666</v>
      </c>
      <c r="J175" s="295">
        <f>'BD Plant List'!G177/12*'BD Feedstock'!J$3*'BD Plant List'!AD$5</f>
        <v>0.90199999999999991</v>
      </c>
      <c r="K175" s="295">
        <f>'BD Plant List'!$H177/12*'BD Feedstock'!K$3*'BD Plant List'!AB$5</f>
        <v>0</v>
      </c>
      <c r="L175" s="295">
        <f>'BD Plant List'!$H177/12*'BD Feedstock'!L$3*'BD Plant List'!AC$5</f>
        <v>0</v>
      </c>
      <c r="M175" s="295">
        <f>'BD Plant List'!$I177/12*'BD Feedstock'!$M$3*'BD Plant List'!AC$5</f>
        <v>3.4291666666666671</v>
      </c>
      <c r="N175" s="295">
        <f>'BD Plant List'!$J177/12*'BD Feedstock'!N$3*'BD Plant List'!AC$5</f>
        <v>0</v>
      </c>
      <c r="O175" s="295">
        <f>'BD Plant List'!$K177/12*'BD Feedstock'!O$3*'BD Plant List'!AC$5</f>
        <v>0</v>
      </c>
      <c r="P175" s="295">
        <f>'BD Plant List'!$L177/12*'BD Feedstock'!P$3*'BD Plant List'!AE$5</f>
        <v>0</v>
      </c>
      <c r="Q175" s="295">
        <f>'BD Plant List'!$M177/12*'BD Feedstock'!Q$3*'BD Plant List'!AE$5</f>
        <v>0.93125000000000002</v>
      </c>
      <c r="R175" s="295">
        <f>'BD Plant List'!$N177/12*'BD Feedstock'!R$3*'BD Plant List'!AE$5</f>
        <v>26.540625000000002</v>
      </c>
      <c r="S175" s="295">
        <f>'BD Plant List'!$N177/12*'BD Feedstock'!S$3*'BD Plant List'!AF$5</f>
        <v>1.40625</v>
      </c>
      <c r="T175" s="295">
        <f>'BD Plant List'!$O177/12*'BD Feedstock'!T$3*'BD Plant List'!AB$5</f>
        <v>8.5732126770944213</v>
      </c>
      <c r="U175" s="295">
        <f>'BD Plant List'!$O177/12*'BD Feedstock'!U$3*'BD Plant List'!AC$5</f>
        <v>3.0347329175263269</v>
      </c>
    </row>
    <row r="176" spans="1:21" ht="18">
      <c r="A176" s="293">
        <v>45047</v>
      </c>
      <c r="B176" s="295">
        <f>'BD Plant List'!B178/12*'BD Plant List'!$AE$5*$B$3</f>
        <v>43.458333333333336</v>
      </c>
      <c r="C176" s="295">
        <f>'BD Plant List'!$C178/12*'BD Plant List'!$AB$5*'BD Feedstock'!$D$3</f>
        <v>2.098958333333333</v>
      </c>
      <c r="D176" s="295">
        <f>'BD Plant List'!$C178/12*'BD Plant List'!$AC$5*'BD Feedstock'!$D$3</f>
        <v>2.2289583333333334</v>
      </c>
      <c r="E176" s="295">
        <f>'BD Plant List'!$D178/12*'BD Plant List'!AB$5*'BD Feedstock'!$E$3</f>
        <v>9.6875</v>
      </c>
      <c r="F176" s="295">
        <f>'BD Plant List'!$D178/12*'BD Plant List'!AC$5*'BD Feedstock'!$F$3</f>
        <v>3.4291666666666671</v>
      </c>
      <c r="G176" s="295">
        <f>'BD Plant List'!$E178/12*'BD Feedstock'!G$3*'BD Plant List'!AB$5</f>
        <v>1.453125</v>
      </c>
      <c r="H176" s="295">
        <f>'BD Plant List'!$E178/12*'BD Feedstock'!H$3*'BD Plant List'!AC$5</f>
        <v>0.51437500000000003</v>
      </c>
      <c r="I176" s="295">
        <f>'BD Plant List'!F178/12*'BD Feedstock'!I$3*'BD Plant List'!AC$5</f>
        <v>0.13716666666666666</v>
      </c>
      <c r="J176" s="295">
        <f>'BD Plant List'!G178/12*'BD Feedstock'!J$3*'BD Plant List'!AD$5</f>
        <v>0.90199999999999991</v>
      </c>
      <c r="K176" s="295">
        <f>'BD Plant List'!$H178/12*'BD Feedstock'!K$3*'BD Plant List'!AB$5</f>
        <v>0</v>
      </c>
      <c r="L176" s="295">
        <f>'BD Plant List'!$H178/12*'BD Feedstock'!L$3*'BD Plant List'!AC$5</f>
        <v>0</v>
      </c>
      <c r="M176" s="295">
        <f>'BD Plant List'!$I178/12*'BD Feedstock'!$M$3*'BD Plant List'!AC$5</f>
        <v>3.4291666666666671</v>
      </c>
      <c r="N176" s="295">
        <f>'BD Plant List'!$J178/12*'BD Feedstock'!N$3*'BD Plant List'!AC$5</f>
        <v>0</v>
      </c>
      <c r="O176" s="295">
        <f>'BD Plant List'!$K178/12*'BD Feedstock'!O$3*'BD Plant List'!AC$5</f>
        <v>0</v>
      </c>
      <c r="P176" s="295">
        <f>'BD Plant List'!$L178/12*'BD Feedstock'!P$3*'BD Plant List'!AE$5</f>
        <v>0</v>
      </c>
      <c r="Q176" s="295">
        <f>'BD Plant List'!$M178/12*'BD Feedstock'!Q$3*'BD Plant List'!AE$5</f>
        <v>0.93125000000000002</v>
      </c>
      <c r="R176" s="295">
        <f>'BD Plant List'!$N178/12*'BD Feedstock'!R$3*'BD Plant List'!AE$5</f>
        <v>26.540625000000002</v>
      </c>
      <c r="S176" s="295">
        <f>'BD Plant List'!$N178/12*'BD Feedstock'!S$3*'BD Plant List'!AF$5</f>
        <v>1.40625</v>
      </c>
      <c r="T176" s="295">
        <f>'BD Plant List'!$O178/12*'BD Feedstock'!T$3*'BD Plant List'!AB$5</f>
        <v>8.5732126770944213</v>
      </c>
      <c r="U176" s="295">
        <f>'BD Plant List'!$O178/12*'BD Feedstock'!U$3*'BD Plant List'!AC$5</f>
        <v>3.0347329175263269</v>
      </c>
    </row>
    <row r="177" spans="1:21" ht="18">
      <c r="A177" s="293">
        <v>45078</v>
      </c>
      <c r="B177" s="295">
        <f>'BD Plant List'!B179/12*'BD Plant List'!$AE$5*$B$3</f>
        <v>43.458333333333336</v>
      </c>
      <c r="C177" s="295">
        <f>'BD Plant List'!$C179/12*'BD Plant List'!$AB$5*'BD Feedstock'!$D$3</f>
        <v>2.098958333333333</v>
      </c>
      <c r="D177" s="295">
        <f>'BD Plant List'!$C179/12*'BD Plant List'!$AC$5*'BD Feedstock'!$D$3</f>
        <v>2.2289583333333334</v>
      </c>
      <c r="E177" s="295">
        <f>'BD Plant List'!$D179/12*'BD Plant List'!AB$5*'BD Feedstock'!$E$3</f>
        <v>9.6875</v>
      </c>
      <c r="F177" s="295">
        <f>'BD Plant List'!$D179/12*'BD Plant List'!AC$5*'BD Feedstock'!$F$3</f>
        <v>3.4291666666666671</v>
      </c>
      <c r="G177" s="295">
        <f>'BD Plant List'!$E179/12*'BD Feedstock'!G$3*'BD Plant List'!AB$5</f>
        <v>1.453125</v>
      </c>
      <c r="H177" s="295">
        <f>'BD Plant List'!$E179/12*'BD Feedstock'!H$3*'BD Plant List'!AC$5</f>
        <v>0.51437500000000003</v>
      </c>
      <c r="I177" s="295">
        <f>'BD Plant List'!F179/12*'BD Feedstock'!I$3*'BD Plant List'!AC$5</f>
        <v>0.13716666666666666</v>
      </c>
      <c r="J177" s="295">
        <f>'BD Plant List'!G179/12*'BD Feedstock'!J$3*'BD Plant List'!AD$5</f>
        <v>0.90199999999999991</v>
      </c>
      <c r="K177" s="295">
        <f>'BD Plant List'!$H179/12*'BD Feedstock'!K$3*'BD Plant List'!AB$5</f>
        <v>0</v>
      </c>
      <c r="L177" s="295">
        <f>'BD Plant List'!$H179/12*'BD Feedstock'!L$3*'BD Plant List'!AC$5</f>
        <v>0</v>
      </c>
      <c r="M177" s="295">
        <f>'BD Plant List'!$I179/12*'BD Feedstock'!$M$3*'BD Plant List'!AC$5</f>
        <v>3.4291666666666671</v>
      </c>
      <c r="N177" s="295">
        <f>'BD Plant List'!$J179/12*'BD Feedstock'!N$3*'BD Plant List'!AC$5</f>
        <v>0</v>
      </c>
      <c r="O177" s="295">
        <f>'BD Plant List'!$K179/12*'BD Feedstock'!O$3*'BD Plant List'!AC$5</f>
        <v>0</v>
      </c>
      <c r="P177" s="295">
        <f>'BD Plant List'!$L179/12*'BD Feedstock'!P$3*'BD Plant List'!AE$5</f>
        <v>0</v>
      </c>
      <c r="Q177" s="295">
        <f>'BD Plant List'!$M179/12*'BD Feedstock'!Q$3*'BD Plant List'!AE$5</f>
        <v>0.93125000000000002</v>
      </c>
      <c r="R177" s="295">
        <f>'BD Plant List'!$N179/12*'BD Feedstock'!R$3*'BD Plant List'!AE$5</f>
        <v>26.540625000000002</v>
      </c>
      <c r="S177" s="295">
        <f>'BD Plant List'!$N179/12*'BD Feedstock'!S$3*'BD Plant List'!AF$5</f>
        <v>1.40625</v>
      </c>
      <c r="T177" s="295">
        <f>'BD Plant List'!$O179/12*'BD Feedstock'!T$3*'BD Plant List'!AB$5</f>
        <v>8.5732126770944213</v>
      </c>
      <c r="U177" s="295">
        <f>'BD Plant List'!$O179/12*'BD Feedstock'!U$3*'BD Plant List'!AC$5</f>
        <v>3.0347329175263269</v>
      </c>
    </row>
    <row r="178" spans="1:21" ht="18">
      <c r="A178" s="293">
        <v>45108</v>
      </c>
      <c r="B178" s="295">
        <f>'BD Plant List'!B180/12*'BD Plant List'!$AE$5*$B$3</f>
        <v>43.458333333333336</v>
      </c>
      <c r="C178" s="295">
        <f>'BD Plant List'!$C180/12*'BD Plant List'!$AB$5*'BD Feedstock'!$D$3</f>
        <v>2.098958333333333</v>
      </c>
      <c r="D178" s="295">
        <f>'BD Plant List'!$C180/12*'BD Plant List'!$AC$5*'BD Feedstock'!$D$3</f>
        <v>2.2289583333333334</v>
      </c>
      <c r="E178" s="295">
        <f>'BD Plant List'!$D180/12*'BD Plant List'!AB$5*'BD Feedstock'!$E$3</f>
        <v>9.6875</v>
      </c>
      <c r="F178" s="295">
        <f>'BD Plant List'!$D180/12*'BD Plant List'!AC$5*'BD Feedstock'!$F$3</f>
        <v>3.4291666666666671</v>
      </c>
      <c r="G178" s="295">
        <f>'BD Plant List'!$E180/12*'BD Feedstock'!G$3*'BD Plant List'!AB$5</f>
        <v>1.453125</v>
      </c>
      <c r="H178" s="295">
        <f>'BD Plant List'!$E180/12*'BD Feedstock'!H$3*'BD Plant List'!AC$5</f>
        <v>0.51437500000000003</v>
      </c>
      <c r="I178" s="295">
        <f>'BD Plant List'!F180/12*'BD Feedstock'!I$3*'BD Plant List'!AC$5</f>
        <v>0.13716666666666666</v>
      </c>
      <c r="J178" s="295">
        <f>'BD Plant List'!G180/12*'BD Feedstock'!J$3*'BD Plant List'!AD$5</f>
        <v>0.90199999999999991</v>
      </c>
      <c r="K178" s="295">
        <f>'BD Plant List'!$H180/12*'BD Feedstock'!K$3*'BD Plant List'!AB$5</f>
        <v>0</v>
      </c>
      <c r="L178" s="295">
        <f>'BD Plant List'!$H180/12*'BD Feedstock'!L$3*'BD Plant List'!AC$5</f>
        <v>0</v>
      </c>
      <c r="M178" s="295">
        <f>'BD Plant List'!$I180/12*'BD Feedstock'!$M$3*'BD Plant List'!AC$5</f>
        <v>3.4291666666666671</v>
      </c>
      <c r="N178" s="295">
        <f>'BD Plant List'!$J180/12*'BD Feedstock'!N$3*'BD Plant List'!AC$5</f>
        <v>0</v>
      </c>
      <c r="O178" s="295">
        <f>'BD Plant List'!$K180/12*'BD Feedstock'!O$3*'BD Plant List'!AC$5</f>
        <v>0</v>
      </c>
      <c r="P178" s="295">
        <f>'BD Plant List'!$L180/12*'BD Feedstock'!P$3*'BD Plant List'!AE$5</f>
        <v>0</v>
      </c>
      <c r="Q178" s="295">
        <f>'BD Plant List'!$M180/12*'BD Feedstock'!Q$3*'BD Plant List'!AE$5</f>
        <v>0.93125000000000002</v>
      </c>
      <c r="R178" s="295">
        <f>'BD Plant List'!$N180/12*'BD Feedstock'!R$3*'BD Plant List'!AE$5</f>
        <v>26.540625000000002</v>
      </c>
      <c r="S178" s="295">
        <f>'BD Plant List'!$N180/12*'BD Feedstock'!S$3*'BD Plant List'!AF$5</f>
        <v>1.40625</v>
      </c>
      <c r="T178" s="295">
        <f>'BD Plant List'!$O180/12*'BD Feedstock'!T$3*'BD Plant List'!AB$5</f>
        <v>8.5732126770944213</v>
      </c>
      <c r="U178" s="295">
        <f>'BD Plant List'!$O180/12*'BD Feedstock'!U$3*'BD Plant List'!AC$5</f>
        <v>3.0347329175263269</v>
      </c>
    </row>
    <row r="179" spans="1:21" ht="18">
      <c r="A179" s="293">
        <v>45139</v>
      </c>
      <c r="B179" s="295">
        <f>'BD Plant List'!B181/12*'BD Plant List'!$AE$5*$B$3</f>
        <v>43.458333333333336</v>
      </c>
      <c r="C179" s="295">
        <f>'BD Plant List'!$C181/12*'BD Plant List'!$AB$5*'BD Feedstock'!$D$3</f>
        <v>2.098958333333333</v>
      </c>
      <c r="D179" s="295">
        <f>'BD Plant List'!$C181/12*'BD Plant List'!$AC$5*'BD Feedstock'!$D$3</f>
        <v>2.2289583333333334</v>
      </c>
      <c r="E179" s="295">
        <f>'BD Plant List'!$D181/12*'BD Plant List'!AB$5*'BD Feedstock'!$E$3</f>
        <v>9.6875</v>
      </c>
      <c r="F179" s="295">
        <f>'BD Plant List'!$D181/12*'BD Plant List'!AC$5*'BD Feedstock'!$F$3</f>
        <v>3.4291666666666671</v>
      </c>
      <c r="G179" s="295">
        <f>'BD Plant List'!$E181/12*'BD Feedstock'!G$3*'BD Plant List'!AB$5</f>
        <v>1.453125</v>
      </c>
      <c r="H179" s="295">
        <f>'BD Plant List'!$E181/12*'BD Feedstock'!H$3*'BD Plant List'!AC$5</f>
        <v>0.51437500000000003</v>
      </c>
      <c r="I179" s="295">
        <f>'BD Plant List'!F181/12*'BD Feedstock'!I$3*'BD Plant List'!AC$5</f>
        <v>0.13716666666666666</v>
      </c>
      <c r="J179" s="295">
        <f>'BD Plant List'!G181/12*'BD Feedstock'!J$3*'BD Plant List'!AD$5</f>
        <v>0.90199999999999991</v>
      </c>
      <c r="K179" s="295">
        <f>'BD Plant List'!$H181/12*'BD Feedstock'!K$3*'BD Plant List'!AB$5</f>
        <v>0</v>
      </c>
      <c r="L179" s="295">
        <f>'BD Plant List'!$H181/12*'BD Feedstock'!L$3*'BD Plant List'!AC$5</f>
        <v>0</v>
      </c>
      <c r="M179" s="295">
        <f>'BD Plant List'!$I181/12*'BD Feedstock'!$M$3*'BD Plant List'!AC$5</f>
        <v>3.4291666666666671</v>
      </c>
      <c r="N179" s="295">
        <f>'BD Plant List'!$J181/12*'BD Feedstock'!N$3*'BD Plant List'!AC$5</f>
        <v>0</v>
      </c>
      <c r="O179" s="295">
        <f>'BD Plant List'!$K181/12*'BD Feedstock'!O$3*'BD Plant List'!AC$5</f>
        <v>0</v>
      </c>
      <c r="P179" s="295">
        <f>'BD Plant List'!$L181/12*'BD Feedstock'!P$3*'BD Plant List'!AE$5</f>
        <v>0</v>
      </c>
      <c r="Q179" s="295">
        <f>'BD Plant List'!$M181/12*'BD Feedstock'!Q$3*'BD Plant List'!AE$5</f>
        <v>0.93125000000000002</v>
      </c>
      <c r="R179" s="295">
        <f>'BD Plant List'!$N181/12*'BD Feedstock'!R$3*'BD Plant List'!AE$5</f>
        <v>26.540625000000002</v>
      </c>
      <c r="S179" s="295">
        <f>'BD Plant List'!$N181/12*'BD Feedstock'!S$3*'BD Plant List'!AF$5</f>
        <v>1.40625</v>
      </c>
      <c r="T179" s="295">
        <f>'BD Plant List'!$O181/12*'BD Feedstock'!T$3*'BD Plant List'!AB$5</f>
        <v>8.5732126770944213</v>
      </c>
      <c r="U179" s="295">
        <f>'BD Plant List'!$O181/12*'BD Feedstock'!U$3*'BD Plant List'!AC$5</f>
        <v>3.0347329175263269</v>
      </c>
    </row>
    <row r="180" spans="1:21" ht="18">
      <c r="A180" s="293">
        <v>45170</v>
      </c>
      <c r="B180" s="295">
        <f>'BD Plant List'!B182/12*'BD Plant List'!$AE$5*$B$3</f>
        <v>43.458333333333336</v>
      </c>
      <c r="C180" s="295">
        <f>'BD Plant List'!$C182/12*'BD Plant List'!$AB$5*'BD Feedstock'!$D$3</f>
        <v>2.098958333333333</v>
      </c>
      <c r="D180" s="295">
        <f>'BD Plant List'!$C182/12*'BD Plant List'!$AC$5*'BD Feedstock'!$D$3</f>
        <v>2.2289583333333334</v>
      </c>
      <c r="E180" s="295">
        <f>'BD Plant List'!$D182/12*'BD Plant List'!AB$5*'BD Feedstock'!$E$3</f>
        <v>9.6875</v>
      </c>
      <c r="F180" s="295">
        <f>'BD Plant List'!$D182/12*'BD Plant List'!AC$5*'BD Feedstock'!$F$3</f>
        <v>3.4291666666666671</v>
      </c>
      <c r="G180" s="295">
        <f>'BD Plant List'!$E182/12*'BD Feedstock'!G$3*'BD Plant List'!AB$5</f>
        <v>1.453125</v>
      </c>
      <c r="H180" s="295">
        <f>'BD Plant List'!$E182/12*'BD Feedstock'!H$3*'BD Plant List'!AC$5</f>
        <v>0.51437500000000003</v>
      </c>
      <c r="I180" s="295">
        <f>'BD Plant List'!F182/12*'BD Feedstock'!I$3*'BD Plant List'!AC$5</f>
        <v>0.13716666666666666</v>
      </c>
      <c r="J180" s="295">
        <f>'BD Plant List'!G182/12*'BD Feedstock'!J$3*'BD Plant List'!AD$5</f>
        <v>0.90199999999999991</v>
      </c>
      <c r="K180" s="295">
        <f>'BD Plant List'!$H182/12*'BD Feedstock'!K$3*'BD Plant List'!AB$5</f>
        <v>0</v>
      </c>
      <c r="L180" s="295">
        <f>'BD Plant List'!$H182/12*'BD Feedstock'!L$3*'BD Plant List'!AC$5</f>
        <v>0</v>
      </c>
      <c r="M180" s="295">
        <f>'BD Plant List'!$I182/12*'BD Feedstock'!$M$3*'BD Plant List'!AC$5</f>
        <v>3.4291666666666671</v>
      </c>
      <c r="N180" s="295">
        <f>'BD Plant List'!$J182/12*'BD Feedstock'!N$3*'BD Plant List'!AC$5</f>
        <v>0</v>
      </c>
      <c r="O180" s="295">
        <f>'BD Plant List'!$K182/12*'BD Feedstock'!O$3*'BD Plant List'!AC$5</f>
        <v>0</v>
      </c>
      <c r="P180" s="295">
        <f>'BD Plant List'!$L182/12*'BD Feedstock'!P$3*'BD Plant List'!AE$5</f>
        <v>0</v>
      </c>
      <c r="Q180" s="295">
        <f>'BD Plant List'!$M182/12*'BD Feedstock'!Q$3*'BD Plant List'!AE$5</f>
        <v>0.93125000000000002</v>
      </c>
      <c r="R180" s="295">
        <f>'BD Plant List'!$N182/12*'BD Feedstock'!R$3*'BD Plant List'!AE$5</f>
        <v>26.540625000000002</v>
      </c>
      <c r="S180" s="295">
        <f>'BD Plant List'!$N182/12*'BD Feedstock'!S$3*'BD Plant List'!AF$5</f>
        <v>1.40625</v>
      </c>
      <c r="T180" s="295">
        <f>'BD Plant List'!$O182/12*'BD Feedstock'!T$3*'BD Plant List'!AB$5</f>
        <v>8.5732126770944213</v>
      </c>
      <c r="U180" s="295">
        <f>'BD Plant List'!$O182/12*'BD Feedstock'!U$3*'BD Plant List'!AC$5</f>
        <v>3.0347329175263269</v>
      </c>
    </row>
    <row r="181" spans="1:21" ht="18">
      <c r="A181" s="293">
        <v>45200</v>
      </c>
      <c r="B181" s="295">
        <f>'BD Plant List'!B183/12*'BD Plant List'!$AE$5*$B$3</f>
        <v>43.458333333333336</v>
      </c>
      <c r="C181" s="295">
        <f>'BD Plant List'!$C183/12*'BD Plant List'!$AB$5*'BD Feedstock'!$D$3</f>
        <v>2.098958333333333</v>
      </c>
      <c r="D181" s="295">
        <f>'BD Plant List'!$C183/12*'BD Plant List'!$AC$5*'BD Feedstock'!$D$3</f>
        <v>2.2289583333333334</v>
      </c>
      <c r="E181" s="295">
        <f>'BD Plant List'!$D183/12*'BD Plant List'!AB$5*'BD Feedstock'!$E$3</f>
        <v>9.6875</v>
      </c>
      <c r="F181" s="295">
        <f>'BD Plant List'!$D183/12*'BD Plant List'!AC$5*'BD Feedstock'!$F$3</f>
        <v>3.4291666666666671</v>
      </c>
      <c r="G181" s="295">
        <f>'BD Plant List'!$E183/12*'BD Feedstock'!G$3*'BD Plant List'!AB$5</f>
        <v>1.453125</v>
      </c>
      <c r="H181" s="295">
        <f>'BD Plant List'!$E183/12*'BD Feedstock'!H$3*'BD Plant List'!AC$5</f>
        <v>0.51437500000000003</v>
      </c>
      <c r="I181" s="295">
        <f>'BD Plant List'!F183/12*'BD Feedstock'!I$3*'BD Plant List'!AC$5</f>
        <v>0.13716666666666666</v>
      </c>
      <c r="J181" s="295">
        <f>'BD Plant List'!G183/12*'BD Feedstock'!J$3*'BD Plant List'!AD$5</f>
        <v>0.90199999999999991</v>
      </c>
      <c r="K181" s="295">
        <f>'BD Plant List'!$H183/12*'BD Feedstock'!K$3*'BD Plant List'!AB$5</f>
        <v>0</v>
      </c>
      <c r="L181" s="295">
        <f>'BD Plant List'!$H183/12*'BD Feedstock'!L$3*'BD Plant List'!AC$5</f>
        <v>0</v>
      </c>
      <c r="M181" s="295">
        <f>'BD Plant List'!$I183/12*'BD Feedstock'!$M$3*'BD Plant List'!AC$5</f>
        <v>3.4291666666666671</v>
      </c>
      <c r="N181" s="295">
        <f>'BD Plant List'!$J183/12*'BD Feedstock'!N$3*'BD Plant List'!AC$5</f>
        <v>0</v>
      </c>
      <c r="O181" s="295">
        <f>'BD Plant List'!$K183/12*'BD Feedstock'!O$3*'BD Plant List'!AC$5</f>
        <v>0</v>
      </c>
      <c r="P181" s="295">
        <f>'BD Plant List'!$L183/12*'BD Feedstock'!P$3*'BD Plant List'!AE$5</f>
        <v>0</v>
      </c>
      <c r="Q181" s="295">
        <f>'BD Plant List'!$M183/12*'BD Feedstock'!Q$3*'BD Plant List'!AE$5</f>
        <v>0.93125000000000002</v>
      </c>
      <c r="R181" s="295">
        <f>'BD Plant List'!$N183/12*'BD Feedstock'!R$3*'BD Plant List'!AE$5</f>
        <v>26.540625000000002</v>
      </c>
      <c r="S181" s="295">
        <f>'BD Plant List'!$N183/12*'BD Feedstock'!S$3*'BD Plant List'!AF$5</f>
        <v>1.40625</v>
      </c>
      <c r="T181" s="295">
        <f>'BD Plant List'!$O183/12*'BD Feedstock'!T$3*'BD Plant List'!AB$5</f>
        <v>8.5732126770944213</v>
      </c>
      <c r="U181" s="295">
        <f>'BD Plant List'!$O183/12*'BD Feedstock'!U$3*'BD Plant List'!AC$5</f>
        <v>3.0347329175263269</v>
      </c>
    </row>
    <row r="182" spans="1:21" ht="18">
      <c r="A182" s="293">
        <v>45231</v>
      </c>
      <c r="B182" s="295">
        <f>'BD Plant List'!B184/12*'BD Plant List'!$AE$5*$B$3</f>
        <v>43.458333333333336</v>
      </c>
      <c r="C182" s="295">
        <f>'BD Plant List'!$C184/12*'BD Plant List'!$AB$5*'BD Feedstock'!$D$3</f>
        <v>2.098958333333333</v>
      </c>
      <c r="D182" s="295">
        <f>'BD Plant List'!$C184/12*'BD Plant List'!$AC$5*'BD Feedstock'!$D$3</f>
        <v>2.2289583333333334</v>
      </c>
      <c r="E182" s="295">
        <f>'BD Plant List'!$D184/12*'BD Plant List'!AB$5*'BD Feedstock'!$E$3</f>
        <v>9.6875</v>
      </c>
      <c r="F182" s="295">
        <f>'BD Plant List'!$D184/12*'BD Plant List'!AC$5*'BD Feedstock'!$F$3</f>
        <v>3.4291666666666671</v>
      </c>
      <c r="G182" s="295">
        <f>'BD Plant List'!$E184/12*'BD Feedstock'!G$3*'BD Plant List'!AB$5</f>
        <v>1.453125</v>
      </c>
      <c r="H182" s="295">
        <f>'BD Plant List'!$E184/12*'BD Feedstock'!H$3*'BD Plant List'!AC$5</f>
        <v>0.51437500000000003</v>
      </c>
      <c r="I182" s="295">
        <f>'BD Plant List'!F184/12*'BD Feedstock'!I$3*'BD Plant List'!AC$5</f>
        <v>0.13716666666666666</v>
      </c>
      <c r="J182" s="295">
        <f>'BD Plant List'!G184/12*'BD Feedstock'!J$3*'BD Plant List'!AD$5</f>
        <v>0.90199999999999991</v>
      </c>
      <c r="K182" s="295">
        <f>'BD Plant List'!$H184/12*'BD Feedstock'!K$3*'BD Plant List'!AB$5</f>
        <v>0</v>
      </c>
      <c r="L182" s="295">
        <f>'BD Plant List'!$H184/12*'BD Feedstock'!L$3*'BD Plant List'!AC$5</f>
        <v>0</v>
      </c>
      <c r="M182" s="295">
        <f>'BD Plant List'!$I184/12*'BD Feedstock'!$M$3*'BD Plant List'!AC$5</f>
        <v>3.4291666666666671</v>
      </c>
      <c r="N182" s="295">
        <f>'BD Plant List'!$J184/12*'BD Feedstock'!N$3*'BD Plant List'!AC$5</f>
        <v>0</v>
      </c>
      <c r="O182" s="295">
        <f>'BD Plant List'!$K184/12*'BD Feedstock'!O$3*'BD Plant List'!AC$5</f>
        <v>0</v>
      </c>
      <c r="P182" s="295">
        <f>'BD Plant List'!$L184/12*'BD Feedstock'!P$3*'BD Plant List'!AE$5</f>
        <v>0</v>
      </c>
      <c r="Q182" s="295">
        <f>'BD Plant List'!$M184/12*'BD Feedstock'!Q$3*'BD Plant List'!AE$5</f>
        <v>0.93125000000000002</v>
      </c>
      <c r="R182" s="295">
        <f>'BD Plant List'!$N184/12*'BD Feedstock'!R$3*'BD Plant List'!AE$5</f>
        <v>26.540625000000002</v>
      </c>
      <c r="S182" s="295">
        <f>'BD Plant List'!$N184/12*'BD Feedstock'!S$3*'BD Plant List'!AF$5</f>
        <v>1.40625</v>
      </c>
      <c r="T182" s="295">
        <f>'BD Plant List'!$O184/12*'BD Feedstock'!T$3*'BD Plant List'!AB$5</f>
        <v>8.5732126770944213</v>
      </c>
      <c r="U182" s="295">
        <f>'BD Plant List'!$O184/12*'BD Feedstock'!U$3*'BD Plant List'!AC$5</f>
        <v>3.0347329175263269</v>
      </c>
    </row>
    <row r="183" spans="1:21" ht="18">
      <c r="A183" s="293">
        <v>45261</v>
      </c>
      <c r="B183" s="295">
        <f>'BD Plant List'!B185/12*'BD Plant List'!$AE$5*$B$3</f>
        <v>43.458333333333336</v>
      </c>
      <c r="C183" s="295">
        <f>'BD Plant List'!$C185/12*'BD Plant List'!$AB$5*'BD Feedstock'!$D$3</f>
        <v>2.098958333333333</v>
      </c>
      <c r="D183" s="295">
        <f>'BD Plant List'!$C185/12*'BD Plant List'!$AC$5*'BD Feedstock'!$D$3</f>
        <v>2.2289583333333334</v>
      </c>
      <c r="E183" s="295">
        <f>'BD Plant List'!$D185/12*'BD Plant List'!AB$5*'BD Feedstock'!$E$3</f>
        <v>9.6875</v>
      </c>
      <c r="F183" s="295">
        <f>'BD Plant List'!$D185/12*'BD Plant List'!AC$5*'BD Feedstock'!$F$3</f>
        <v>3.4291666666666671</v>
      </c>
      <c r="G183" s="295">
        <f>'BD Plant List'!$E185/12*'BD Feedstock'!G$3*'BD Plant List'!AB$5</f>
        <v>1.453125</v>
      </c>
      <c r="H183" s="295">
        <f>'BD Plant List'!$E185/12*'BD Feedstock'!H$3*'BD Plant List'!AC$5</f>
        <v>0.51437500000000003</v>
      </c>
      <c r="I183" s="295">
        <f>'BD Plant List'!F185/12*'BD Feedstock'!I$3*'BD Plant List'!AC$5</f>
        <v>0.13716666666666666</v>
      </c>
      <c r="J183" s="295">
        <f>'BD Plant List'!G185/12*'BD Feedstock'!J$3*'BD Plant List'!AD$5</f>
        <v>0.90199999999999991</v>
      </c>
      <c r="K183" s="295">
        <f>'BD Plant List'!$H185/12*'BD Feedstock'!K$3*'BD Plant List'!AB$5</f>
        <v>0</v>
      </c>
      <c r="L183" s="295">
        <f>'BD Plant List'!$H185/12*'BD Feedstock'!L$3*'BD Plant List'!AC$5</f>
        <v>0</v>
      </c>
      <c r="M183" s="295">
        <f>'BD Plant List'!$I185/12*'BD Feedstock'!$M$3*'BD Plant List'!AC$5</f>
        <v>3.4291666666666671</v>
      </c>
      <c r="N183" s="295">
        <f>'BD Plant List'!$J185/12*'BD Feedstock'!N$3*'BD Plant List'!AC$5</f>
        <v>0</v>
      </c>
      <c r="O183" s="295">
        <f>'BD Plant List'!$K185/12*'BD Feedstock'!O$3*'BD Plant List'!AC$5</f>
        <v>0</v>
      </c>
      <c r="P183" s="295">
        <f>'BD Plant List'!$L185/12*'BD Feedstock'!P$3*'BD Plant List'!AE$5</f>
        <v>0</v>
      </c>
      <c r="Q183" s="295">
        <f>'BD Plant List'!$M185/12*'BD Feedstock'!Q$3*'BD Plant List'!AE$5</f>
        <v>0.93125000000000002</v>
      </c>
      <c r="R183" s="295">
        <f>'BD Plant List'!$N185/12*'BD Feedstock'!R$3*'BD Plant List'!AE$5</f>
        <v>26.540625000000002</v>
      </c>
      <c r="S183" s="295">
        <f>'BD Plant List'!$N185/12*'BD Feedstock'!S$3*'BD Plant List'!AF$5</f>
        <v>1.40625</v>
      </c>
      <c r="T183" s="295">
        <f>'BD Plant List'!$O185/12*'BD Feedstock'!T$3*'BD Plant List'!AB$5</f>
        <v>8.5732126770944213</v>
      </c>
      <c r="U183" s="295">
        <f>'BD Plant List'!$O185/12*'BD Feedstock'!U$3*'BD Plant List'!AC$5</f>
        <v>3.0347329175263269</v>
      </c>
    </row>
    <row r="184" spans="1:21" ht="18">
      <c r="A184" s="293">
        <v>45292</v>
      </c>
      <c r="B184" s="295">
        <f>'BD Plant List'!B186/12*'BD Plant List'!$AE$5*$B$3</f>
        <v>43.458333333333336</v>
      </c>
      <c r="C184" s="295">
        <f>'BD Plant List'!$C186/12*'BD Plant List'!$AB$5*'BD Feedstock'!$D$3</f>
        <v>2.098958333333333</v>
      </c>
      <c r="D184" s="295">
        <f>'BD Plant List'!$C186/12*'BD Plant List'!$AC$5*'BD Feedstock'!$D$3</f>
        <v>2.2289583333333334</v>
      </c>
      <c r="E184" s="295">
        <f>'BD Plant List'!$D186/12*'BD Plant List'!AB$5*'BD Feedstock'!$E$3</f>
        <v>9.6875</v>
      </c>
      <c r="F184" s="295">
        <f>'BD Plant List'!$D186/12*'BD Plant List'!AC$5*'BD Feedstock'!$F$3</f>
        <v>3.4291666666666671</v>
      </c>
      <c r="G184" s="295">
        <f>'BD Plant List'!$E186/12*'BD Feedstock'!G$3*'BD Plant List'!AB$5</f>
        <v>1.453125</v>
      </c>
      <c r="H184" s="295">
        <f>'BD Plant List'!$E186/12*'BD Feedstock'!H$3*'BD Plant List'!AC$5</f>
        <v>0.51437500000000003</v>
      </c>
      <c r="I184" s="295">
        <f>'BD Plant List'!F186/12*'BD Feedstock'!I$3*'BD Plant List'!AC$5</f>
        <v>0.13716666666666666</v>
      </c>
      <c r="J184" s="295">
        <f>'BD Plant List'!G186/12*'BD Feedstock'!J$3*'BD Plant List'!AD$5</f>
        <v>0.90199999999999991</v>
      </c>
      <c r="K184" s="295">
        <f>'BD Plant List'!$H186/12*'BD Feedstock'!K$3*'BD Plant List'!AB$5</f>
        <v>0</v>
      </c>
      <c r="L184" s="295">
        <f>'BD Plant List'!$H186/12*'BD Feedstock'!L$3*'BD Plant List'!AC$5</f>
        <v>0</v>
      </c>
      <c r="M184" s="295">
        <f>'BD Plant List'!$I186/12*'BD Feedstock'!$M$3*'BD Plant List'!AC$5</f>
        <v>3.4291666666666671</v>
      </c>
      <c r="N184" s="295">
        <f>'BD Plant List'!$J186/12*'BD Feedstock'!N$3*'BD Plant List'!AC$5</f>
        <v>0</v>
      </c>
      <c r="O184" s="295">
        <f>'BD Plant List'!$K186/12*'BD Feedstock'!O$3*'BD Plant List'!AC$5</f>
        <v>0</v>
      </c>
      <c r="P184" s="295">
        <f>'BD Plant List'!$L186/12*'BD Feedstock'!P$3*'BD Plant List'!AE$5</f>
        <v>0</v>
      </c>
      <c r="Q184" s="295">
        <f>'BD Plant List'!$M186/12*'BD Feedstock'!Q$3*'BD Plant List'!AE$5</f>
        <v>0.93125000000000002</v>
      </c>
      <c r="R184" s="295">
        <f>'BD Plant List'!$N186/12*'BD Feedstock'!R$3*'BD Plant List'!AE$5</f>
        <v>26.540625000000002</v>
      </c>
      <c r="S184" s="295">
        <f>'BD Plant List'!$N186/12*'BD Feedstock'!S$3*'BD Plant List'!AF$5</f>
        <v>1.40625</v>
      </c>
      <c r="T184" s="295">
        <f>'BD Plant List'!$O186/12*'BD Feedstock'!T$3*'BD Plant List'!AB$5</f>
        <v>8.5732126770944213</v>
      </c>
      <c r="U184" s="295">
        <f>'BD Plant List'!$O186/12*'BD Feedstock'!U$3*'BD Plant List'!AC$5</f>
        <v>3.0347329175263269</v>
      </c>
    </row>
    <row r="185" spans="1:21" ht="18">
      <c r="A185" s="293">
        <v>45323</v>
      </c>
      <c r="B185" s="295">
        <f>'BD Plant List'!B187/12*'BD Plant List'!$AE$5*$B$3</f>
        <v>43.458333333333336</v>
      </c>
      <c r="C185" s="295">
        <f>'BD Plant List'!$C187/12*'BD Plant List'!$AB$5*'BD Feedstock'!$D$3</f>
        <v>2.098958333333333</v>
      </c>
      <c r="D185" s="295">
        <f>'BD Plant List'!$C187/12*'BD Plant List'!$AC$5*'BD Feedstock'!$D$3</f>
        <v>2.2289583333333334</v>
      </c>
      <c r="E185" s="295">
        <f>'BD Plant List'!$D187/12*'BD Plant List'!AB$5*'BD Feedstock'!$E$3</f>
        <v>9.6875</v>
      </c>
      <c r="F185" s="295">
        <f>'BD Plant List'!$D187/12*'BD Plant List'!AC$5*'BD Feedstock'!$F$3</f>
        <v>3.4291666666666671</v>
      </c>
      <c r="G185" s="295">
        <f>'BD Plant List'!$E187/12*'BD Feedstock'!G$3*'BD Plant List'!AB$5</f>
        <v>1.453125</v>
      </c>
      <c r="H185" s="295">
        <f>'BD Plant List'!$E187/12*'BD Feedstock'!H$3*'BD Plant List'!AC$5</f>
        <v>0.51437500000000003</v>
      </c>
      <c r="I185" s="295">
        <f>'BD Plant List'!F187/12*'BD Feedstock'!I$3*'BD Plant List'!AC$5</f>
        <v>0.13716666666666666</v>
      </c>
      <c r="J185" s="295">
        <f>'BD Plant List'!G187/12*'BD Feedstock'!J$3*'BD Plant List'!AD$5</f>
        <v>0.90199999999999991</v>
      </c>
      <c r="K185" s="295">
        <f>'BD Plant List'!$H187/12*'BD Feedstock'!K$3*'BD Plant List'!AB$5</f>
        <v>0</v>
      </c>
      <c r="L185" s="295">
        <f>'BD Plant List'!$H187/12*'BD Feedstock'!L$3*'BD Plant List'!AC$5</f>
        <v>0</v>
      </c>
      <c r="M185" s="295">
        <f>'BD Plant List'!$I187/12*'BD Feedstock'!$M$3*'BD Plant List'!AC$5</f>
        <v>3.4291666666666671</v>
      </c>
      <c r="N185" s="295">
        <f>'BD Plant List'!$J187/12*'BD Feedstock'!N$3*'BD Plant List'!AC$5</f>
        <v>0</v>
      </c>
      <c r="O185" s="295">
        <f>'BD Plant List'!$K187/12*'BD Feedstock'!O$3*'BD Plant List'!AC$5</f>
        <v>0</v>
      </c>
      <c r="P185" s="295">
        <f>'BD Plant List'!$L187/12*'BD Feedstock'!P$3*'BD Plant List'!AE$5</f>
        <v>0</v>
      </c>
      <c r="Q185" s="295">
        <f>'BD Plant List'!$M187/12*'BD Feedstock'!Q$3*'BD Plant List'!AE$5</f>
        <v>0.93125000000000002</v>
      </c>
      <c r="R185" s="295">
        <f>'BD Plant List'!$N187/12*'BD Feedstock'!R$3*'BD Plant List'!AE$5</f>
        <v>26.540625000000002</v>
      </c>
      <c r="S185" s="295">
        <f>'BD Plant List'!$N187/12*'BD Feedstock'!S$3*'BD Plant List'!AF$5</f>
        <v>1.40625</v>
      </c>
      <c r="T185" s="295">
        <f>'BD Plant List'!$O187/12*'BD Feedstock'!T$3*'BD Plant List'!AB$5</f>
        <v>8.5732126770944213</v>
      </c>
      <c r="U185" s="295">
        <f>'BD Plant List'!$O187/12*'BD Feedstock'!U$3*'BD Plant List'!AC$5</f>
        <v>3.0347329175263269</v>
      </c>
    </row>
    <row r="186" spans="1:21" ht="18">
      <c r="A186" s="293">
        <v>45352</v>
      </c>
      <c r="B186" s="295">
        <f>'BD Plant List'!B188/12*'BD Plant List'!$AE$5*$B$3</f>
        <v>43.458333333333336</v>
      </c>
      <c r="C186" s="295">
        <f>'BD Plant List'!$C188/12*'BD Plant List'!$AB$5*'BD Feedstock'!$D$3</f>
        <v>2.098958333333333</v>
      </c>
      <c r="D186" s="295">
        <f>'BD Plant List'!$C188/12*'BD Plant List'!$AC$5*'BD Feedstock'!$D$3</f>
        <v>2.2289583333333334</v>
      </c>
      <c r="E186" s="295">
        <f>'BD Plant List'!$D188/12*'BD Plant List'!AB$5*'BD Feedstock'!$E$3</f>
        <v>9.6875</v>
      </c>
      <c r="F186" s="295">
        <f>'BD Plant List'!$D188/12*'BD Plant List'!AC$5*'BD Feedstock'!$F$3</f>
        <v>3.4291666666666671</v>
      </c>
      <c r="G186" s="295">
        <f>'BD Plant List'!$E188/12*'BD Feedstock'!G$3*'BD Plant List'!AB$5</f>
        <v>1.453125</v>
      </c>
      <c r="H186" s="295">
        <f>'BD Plant List'!$E188/12*'BD Feedstock'!H$3*'BD Plant List'!AC$5</f>
        <v>0.51437500000000003</v>
      </c>
      <c r="I186" s="295">
        <f>'BD Plant List'!F188/12*'BD Feedstock'!I$3*'BD Plant List'!AC$5</f>
        <v>0.13716666666666666</v>
      </c>
      <c r="J186" s="295">
        <f>'BD Plant List'!G188/12*'BD Feedstock'!J$3*'BD Plant List'!AD$5</f>
        <v>0.90199999999999991</v>
      </c>
      <c r="K186" s="295">
        <f>'BD Plant List'!$H188/12*'BD Feedstock'!K$3*'BD Plant List'!AB$5</f>
        <v>0</v>
      </c>
      <c r="L186" s="295">
        <f>'BD Plant List'!$H188/12*'BD Feedstock'!L$3*'BD Plant List'!AC$5</f>
        <v>0</v>
      </c>
      <c r="M186" s="295">
        <f>'BD Plant List'!$I188/12*'BD Feedstock'!$M$3*'BD Plant List'!AC$5</f>
        <v>3.4291666666666671</v>
      </c>
      <c r="N186" s="295">
        <f>'BD Plant List'!$J188/12*'BD Feedstock'!N$3*'BD Plant List'!AC$5</f>
        <v>0</v>
      </c>
      <c r="O186" s="295">
        <f>'BD Plant List'!$K188/12*'BD Feedstock'!O$3*'BD Plant List'!AC$5</f>
        <v>0</v>
      </c>
      <c r="P186" s="295">
        <f>'BD Plant List'!$L188/12*'BD Feedstock'!P$3*'BD Plant List'!AE$5</f>
        <v>0</v>
      </c>
      <c r="Q186" s="295">
        <f>'BD Plant List'!$M188/12*'BD Feedstock'!Q$3*'BD Plant List'!AE$5</f>
        <v>0.93125000000000002</v>
      </c>
      <c r="R186" s="295">
        <f>'BD Plant List'!$N188/12*'BD Feedstock'!R$3*'BD Plant List'!AE$5</f>
        <v>26.540625000000002</v>
      </c>
      <c r="S186" s="295">
        <f>'BD Plant List'!$N188/12*'BD Feedstock'!S$3*'BD Plant List'!AF$5</f>
        <v>1.40625</v>
      </c>
      <c r="T186" s="295">
        <f>'BD Plant List'!$O188/12*'BD Feedstock'!T$3*'BD Plant List'!AB$5</f>
        <v>8.5732126770944213</v>
      </c>
      <c r="U186" s="295">
        <f>'BD Plant List'!$O188/12*'BD Feedstock'!U$3*'BD Plant List'!AC$5</f>
        <v>3.0347329175263269</v>
      </c>
    </row>
    <row r="187" spans="1:21" ht="18">
      <c r="A187" s="293">
        <v>45383</v>
      </c>
      <c r="B187" s="295">
        <f>'BD Plant List'!B189/12*'BD Plant List'!$AE$5*$B$3</f>
        <v>43.458333333333336</v>
      </c>
      <c r="C187" s="295">
        <f>'BD Plant List'!$C189/12*'BD Plant List'!$AB$5*'BD Feedstock'!$D$3</f>
        <v>2.098958333333333</v>
      </c>
      <c r="D187" s="295">
        <f>'BD Plant List'!$C189/12*'BD Plant List'!$AC$5*'BD Feedstock'!$D$3</f>
        <v>2.2289583333333334</v>
      </c>
      <c r="E187" s="295">
        <f>'BD Plant List'!$D189/12*'BD Plant List'!AB$5*'BD Feedstock'!$E$3</f>
        <v>9.6875</v>
      </c>
      <c r="F187" s="295">
        <f>'BD Plant List'!$D189/12*'BD Plant List'!AC$5*'BD Feedstock'!$F$3</f>
        <v>3.4291666666666671</v>
      </c>
      <c r="G187" s="295">
        <f>'BD Plant List'!$E189/12*'BD Feedstock'!G$3*'BD Plant List'!AB$5</f>
        <v>1.453125</v>
      </c>
      <c r="H187" s="295">
        <f>'BD Plant List'!$E189/12*'BD Feedstock'!H$3*'BD Plant List'!AC$5</f>
        <v>0.51437500000000003</v>
      </c>
      <c r="I187" s="295">
        <f>'BD Plant List'!F189/12*'BD Feedstock'!I$3*'BD Plant List'!AC$5</f>
        <v>0.13716666666666666</v>
      </c>
      <c r="J187" s="295">
        <f>'BD Plant List'!G189/12*'BD Feedstock'!J$3*'BD Plant List'!AD$5</f>
        <v>0.90199999999999991</v>
      </c>
      <c r="K187" s="295">
        <f>'BD Plant List'!$H189/12*'BD Feedstock'!K$3*'BD Plant List'!AB$5</f>
        <v>0</v>
      </c>
      <c r="L187" s="295">
        <f>'BD Plant List'!$H189/12*'BD Feedstock'!L$3*'BD Plant List'!AC$5</f>
        <v>0</v>
      </c>
      <c r="M187" s="295">
        <f>'BD Plant List'!$I189/12*'BD Feedstock'!$M$3*'BD Plant List'!AC$5</f>
        <v>3.4291666666666671</v>
      </c>
      <c r="N187" s="295">
        <f>'BD Plant List'!$J189/12*'BD Feedstock'!N$3*'BD Plant List'!AC$5</f>
        <v>0</v>
      </c>
      <c r="O187" s="295">
        <f>'BD Plant List'!$K189/12*'BD Feedstock'!O$3*'BD Plant List'!AC$5</f>
        <v>0</v>
      </c>
      <c r="P187" s="295">
        <f>'BD Plant List'!$L189/12*'BD Feedstock'!P$3*'BD Plant List'!AE$5</f>
        <v>0</v>
      </c>
      <c r="Q187" s="295">
        <f>'BD Plant List'!$M189/12*'BD Feedstock'!Q$3*'BD Plant List'!AE$5</f>
        <v>0.93125000000000002</v>
      </c>
      <c r="R187" s="295">
        <f>'BD Plant List'!$N189/12*'BD Feedstock'!R$3*'BD Plant List'!AE$5</f>
        <v>26.540625000000002</v>
      </c>
      <c r="S187" s="295">
        <f>'BD Plant List'!$N189/12*'BD Feedstock'!S$3*'BD Plant List'!AF$5</f>
        <v>1.40625</v>
      </c>
      <c r="T187" s="295">
        <f>'BD Plant List'!$O189/12*'BD Feedstock'!T$3*'BD Plant List'!AB$5</f>
        <v>8.5732126770944213</v>
      </c>
      <c r="U187" s="295">
        <f>'BD Plant List'!$O189/12*'BD Feedstock'!U$3*'BD Plant List'!AC$5</f>
        <v>3.0347329175263269</v>
      </c>
    </row>
    <row r="188" spans="1:21" ht="18">
      <c r="A188" s="293">
        <v>45413</v>
      </c>
      <c r="B188" s="295">
        <f>'BD Plant List'!B190/12*'BD Plant List'!$AE$5*$B$3</f>
        <v>43.458333333333336</v>
      </c>
      <c r="C188" s="295">
        <f>'BD Plant List'!$C190/12*'BD Plant List'!$AB$5*'BD Feedstock'!$D$3</f>
        <v>2.098958333333333</v>
      </c>
      <c r="D188" s="295">
        <f>'BD Plant List'!$C190/12*'BD Plant List'!$AC$5*'BD Feedstock'!$D$3</f>
        <v>2.2289583333333334</v>
      </c>
      <c r="E188" s="295">
        <f>'BD Plant List'!$D190/12*'BD Plant List'!AB$5*'BD Feedstock'!$E$3</f>
        <v>9.6875</v>
      </c>
      <c r="F188" s="295">
        <f>'BD Plant List'!$D190/12*'BD Plant List'!AC$5*'BD Feedstock'!$F$3</f>
        <v>3.4291666666666671</v>
      </c>
      <c r="G188" s="295">
        <f>'BD Plant List'!$E190/12*'BD Feedstock'!G$3*'BD Plant List'!AB$5</f>
        <v>1.453125</v>
      </c>
      <c r="H188" s="295">
        <f>'BD Plant List'!$E190/12*'BD Feedstock'!H$3*'BD Plant List'!AC$5</f>
        <v>0.51437500000000003</v>
      </c>
      <c r="I188" s="295">
        <f>'BD Plant List'!F190/12*'BD Feedstock'!I$3*'BD Plant List'!AC$5</f>
        <v>0.13716666666666666</v>
      </c>
      <c r="J188" s="295">
        <f>'BD Plant List'!G190/12*'BD Feedstock'!J$3*'BD Plant List'!AD$5</f>
        <v>0.90199999999999991</v>
      </c>
      <c r="K188" s="295">
        <f>'BD Plant List'!$H190/12*'BD Feedstock'!K$3*'BD Plant List'!AB$5</f>
        <v>0</v>
      </c>
      <c r="L188" s="295">
        <f>'BD Plant List'!$H190/12*'BD Feedstock'!L$3*'BD Plant List'!AC$5</f>
        <v>0</v>
      </c>
      <c r="M188" s="295">
        <f>'BD Plant List'!$I190/12*'BD Feedstock'!$M$3*'BD Plant List'!AC$5</f>
        <v>3.4291666666666671</v>
      </c>
      <c r="N188" s="295">
        <f>'BD Plant List'!$J190/12*'BD Feedstock'!N$3*'BD Plant List'!AC$5</f>
        <v>0</v>
      </c>
      <c r="O188" s="295">
        <f>'BD Plant List'!$K190/12*'BD Feedstock'!O$3*'BD Plant List'!AC$5</f>
        <v>0</v>
      </c>
      <c r="P188" s="295">
        <f>'BD Plant List'!$L190/12*'BD Feedstock'!P$3*'BD Plant List'!AE$5</f>
        <v>0</v>
      </c>
      <c r="Q188" s="295">
        <f>'BD Plant List'!$M190/12*'BD Feedstock'!Q$3*'BD Plant List'!AE$5</f>
        <v>0.93125000000000002</v>
      </c>
      <c r="R188" s="295">
        <f>'BD Plant List'!$N190/12*'BD Feedstock'!R$3*'BD Plant List'!AE$5</f>
        <v>26.540625000000002</v>
      </c>
      <c r="S188" s="295">
        <f>'BD Plant List'!$N190/12*'BD Feedstock'!S$3*'BD Plant List'!AF$5</f>
        <v>1.40625</v>
      </c>
      <c r="T188" s="295">
        <f>'BD Plant List'!$O190/12*'BD Feedstock'!T$3*'BD Plant List'!AB$5</f>
        <v>8.5732126770944213</v>
      </c>
      <c r="U188" s="295">
        <f>'BD Plant List'!$O190/12*'BD Feedstock'!U$3*'BD Plant List'!AC$5</f>
        <v>3.0347329175263269</v>
      </c>
    </row>
    <row r="189" spans="1:21" ht="18">
      <c r="A189" s="293">
        <v>45444</v>
      </c>
      <c r="B189" s="295">
        <f>'BD Plant List'!B191/12*'BD Plant List'!$AE$5*$B$3</f>
        <v>43.458333333333336</v>
      </c>
      <c r="C189" s="295">
        <f>'BD Plant List'!$C191/12*'BD Plant List'!$AB$5*'BD Feedstock'!$D$3</f>
        <v>2.098958333333333</v>
      </c>
      <c r="D189" s="295">
        <f>'BD Plant List'!$C191/12*'BD Plant List'!$AC$5*'BD Feedstock'!$D$3</f>
        <v>2.2289583333333334</v>
      </c>
      <c r="E189" s="295">
        <f>'BD Plant List'!$D191/12*'BD Plant List'!AB$5*'BD Feedstock'!$E$3</f>
        <v>9.6875</v>
      </c>
      <c r="F189" s="295">
        <f>'BD Plant List'!$D191/12*'BD Plant List'!AC$5*'BD Feedstock'!$F$3</f>
        <v>3.4291666666666671</v>
      </c>
      <c r="G189" s="295">
        <f>'BD Plant List'!$E191/12*'BD Feedstock'!G$3*'BD Plant List'!AB$5</f>
        <v>1.453125</v>
      </c>
      <c r="H189" s="295">
        <f>'BD Plant List'!$E191/12*'BD Feedstock'!H$3*'BD Plant List'!AC$5</f>
        <v>0.51437500000000003</v>
      </c>
      <c r="I189" s="295">
        <f>'BD Plant List'!F191/12*'BD Feedstock'!I$3*'BD Plant List'!AC$5</f>
        <v>0.13716666666666666</v>
      </c>
      <c r="J189" s="295">
        <f>'BD Plant List'!G191/12*'BD Feedstock'!J$3*'BD Plant List'!AD$5</f>
        <v>0.90199999999999991</v>
      </c>
      <c r="K189" s="295">
        <f>'BD Plant List'!$H191/12*'BD Feedstock'!K$3*'BD Plant List'!AB$5</f>
        <v>0</v>
      </c>
      <c r="L189" s="295">
        <f>'BD Plant List'!$H191/12*'BD Feedstock'!L$3*'BD Plant List'!AC$5</f>
        <v>0</v>
      </c>
      <c r="M189" s="295">
        <f>'BD Plant List'!$I191/12*'BD Feedstock'!$M$3*'BD Plant List'!AC$5</f>
        <v>3.4291666666666671</v>
      </c>
      <c r="N189" s="295">
        <f>'BD Plant List'!$J191/12*'BD Feedstock'!N$3*'BD Plant List'!AC$5</f>
        <v>0</v>
      </c>
      <c r="O189" s="295">
        <f>'BD Plant List'!$K191/12*'BD Feedstock'!O$3*'BD Plant List'!AC$5</f>
        <v>0</v>
      </c>
      <c r="P189" s="295">
        <f>'BD Plant List'!$L191/12*'BD Feedstock'!P$3*'BD Plant List'!AE$5</f>
        <v>0</v>
      </c>
      <c r="Q189" s="295">
        <f>'BD Plant List'!$M191/12*'BD Feedstock'!Q$3*'BD Plant List'!AE$5</f>
        <v>0.93125000000000002</v>
      </c>
      <c r="R189" s="295">
        <f>'BD Plant List'!$N191/12*'BD Feedstock'!R$3*'BD Plant List'!AE$5</f>
        <v>26.540625000000002</v>
      </c>
      <c r="S189" s="295">
        <f>'BD Plant List'!$N191/12*'BD Feedstock'!S$3*'BD Plant List'!AF$5</f>
        <v>1.40625</v>
      </c>
      <c r="T189" s="295">
        <f>'BD Plant List'!$O191/12*'BD Feedstock'!T$3*'BD Plant List'!AB$5</f>
        <v>8.5732126770944213</v>
      </c>
      <c r="U189" s="295">
        <f>'BD Plant List'!$O191/12*'BD Feedstock'!U$3*'BD Plant List'!AC$5</f>
        <v>3.0347329175263269</v>
      </c>
    </row>
    <row r="190" spans="1:21" ht="18">
      <c r="A190" s="293">
        <v>45474</v>
      </c>
      <c r="B190" s="295">
        <f>'BD Plant List'!B192/12*'BD Plant List'!$AE$5*$B$3</f>
        <v>43.458333333333336</v>
      </c>
      <c r="C190" s="295">
        <f>'BD Plant List'!$C192/12*'BD Plant List'!$AB$5*'BD Feedstock'!$D$3</f>
        <v>2.098958333333333</v>
      </c>
      <c r="D190" s="295">
        <f>'BD Plant List'!$C192/12*'BD Plant List'!$AC$5*'BD Feedstock'!$D$3</f>
        <v>2.2289583333333334</v>
      </c>
      <c r="E190" s="295">
        <f>'BD Plant List'!$D192/12*'BD Plant List'!AB$5*'BD Feedstock'!$E$3</f>
        <v>9.6875</v>
      </c>
      <c r="F190" s="295">
        <f>'BD Plant List'!$D192/12*'BD Plant List'!AC$5*'BD Feedstock'!$F$3</f>
        <v>3.4291666666666671</v>
      </c>
      <c r="G190" s="295">
        <f>'BD Plant List'!$E192/12*'BD Feedstock'!G$3*'BD Plant List'!AB$5</f>
        <v>1.453125</v>
      </c>
      <c r="H190" s="295">
        <f>'BD Plant List'!$E192/12*'BD Feedstock'!H$3*'BD Plant List'!AC$5</f>
        <v>0.51437500000000003</v>
      </c>
      <c r="I190" s="295">
        <f>'BD Plant List'!F192/12*'BD Feedstock'!I$3*'BD Plant List'!AC$5</f>
        <v>0.13716666666666666</v>
      </c>
      <c r="J190" s="295">
        <f>'BD Plant List'!G192/12*'BD Feedstock'!J$3*'BD Plant List'!AD$5</f>
        <v>0.90199999999999991</v>
      </c>
      <c r="K190" s="295">
        <f>'BD Plant List'!$H192/12*'BD Feedstock'!K$3*'BD Plant List'!AB$5</f>
        <v>0</v>
      </c>
      <c r="L190" s="295">
        <f>'BD Plant List'!$H192/12*'BD Feedstock'!L$3*'BD Plant List'!AC$5</f>
        <v>0</v>
      </c>
      <c r="M190" s="295">
        <f>'BD Plant List'!$I192/12*'BD Feedstock'!$M$3*'BD Plant List'!AC$5</f>
        <v>3.4291666666666671</v>
      </c>
      <c r="N190" s="295">
        <f>'BD Plant List'!$J192/12*'BD Feedstock'!N$3*'BD Plant List'!AC$5</f>
        <v>0</v>
      </c>
      <c r="O190" s="295">
        <f>'BD Plant List'!$K192/12*'BD Feedstock'!O$3*'BD Plant List'!AC$5</f>
        <v>0</v>
      </c>
      <c r="P190" s="295">
        <f>'BD Plant List'!$L192/12*'BD Feedstock'!P$3*'BD Plant List'!AE$5</f>
        <v>0</v>
      </c>
      <c r="Q190" s="295">
        <f>'BD Plant List'!$M192/12*'BD Feedstock'!Q$3*'BD Plant List'!AE$5</f>
        <v>0.93125000000000002</v>
      </c>
      <c r="R190" s="295">
        <f>'BD Plant List'!$N192/12*'BD Feedstock'!R$3*'BD Plant List'!AE$5</f>
        <v>26.540625000000002</v>
      </c>
      <c r="S190" s="295">
        <f>'BD Plant List'!$N192/12*'BD Feedstock'!S$3*'BD Plant List'!AF$5</f>
        <v>1.40625</v>
      </c>
      <c r="T190" s="295">
        <f>'BD Plant List'!$O192/12*'BD Feedstock'!T$3*'BD Plant List'!AB$5</f>
        <v>8.5732126770944213</v>
      </c>
      <c r="U190" s="295">
        <f>'BD Plant List'!$O192/12*'BD Feedstock'!U$3*'BD Plant List'!AC$5</f>
        <v>3.0347329175263269</v>
      </c>
    </row>
    <row r="191" spans="1:21" ht="18">
      <c r="A191" s="293">
        <v>45505</v>
      </c>
      <c r="B191" s="295">
        <f>'BD Plant List'!B193/12*'BD Plant List'!$AE$5*$B$3</f>
        <v>43.458333333333336</v>
      </c>
      <c r="C191" s="295">
        <f>'BD Plant List'!$C193/12*'BD Plant List'!$AB$5*'BD Feedstock'!$D$3</f>
        <v>2.098958333333333</v>
      </c>
      <c r="D191" s="295">
        <f>'BD Plant List'!$C193/12*'BD Plant List'!$AC$5*'BD Feedstock'!$D$3</f>
        <v>2.2289583333333334</v>
      </c>
      <c r="E191" s="295">
        <f>'BD Plant List'!$D193/12*'BD Plant List'!AB$5*'BD Feedstock'!$E$3</f>
        <v>9.6875</v>
      </c>
      <c r="F191" s="295">
        <f>'BD Plant List'!$D193/12*'BD Plant List'!AC$5*'BD Feedstock'!$F$3</f>
        <v>3.4291666666666671</v>
      </c>
      <c r="G191" s="295">
        <f>'BD Plant List'!$E193/12*'BD Feedstock'!G$3*'BD Plant List'!AB$5</f>
        <v>1.453125</v>
      </c>
      <c r="H191" s="295">
        <f>'BD Plant List'!$E193/12*'BD Feedstock'!H$3*'BD Plant List'!AC$5</f>
        <v>0.51437500000000003</v>
      </c>
      <c r="I191" s="295">
        <f>'BD Plant List'!F193/12*'BD Feedstock'!I$3*'BD Plant List'!AC$5</f>
        <v>0.13716666666666666</v>
      </c>
      <c r="J191" s="295">
        <f>'BD Plant List'!G193/12*'BD Feedstock'!J$3*'BD Plant List'!AD$5</f>
        <v>0.90199999999999991</v>
      </c>
      <c r="K191" s="295">
        <f>'BD Plant List'!$H193/12*'BD Feedstock'!K$3*'BD Plant List'!AB$5</f>
        <v>0</v>
      </c>
      <c r="L191" s="295">
        <f>'BD Plant List'!$H193/12*'BD Feedstock'!L$3*'BD Plant List'!AC$5</f>
        <v>0</v>
      </c>
      <c r="M191" s="295">
        <f>'BD Plant List'!$I193/12*'BD Feedstock'!$M$3*'BD Plant List'!AC$5</f>
        <v>3.4291666666666671</v>
      </c>
      <c r="N191" s="295">
        <f>'BD Plant List'!$J193/12*'BD Feedstock'!N$3*'BD Plant List'!AC$5</f>
        <v>0</v>
      </c>
      <c r="O191" s="295">
        <f>'BD Plant List'!$K193/12*'BD Feedstock'!O$3*'BD Plant List'!AC$5</f>
        <v>0</v>
      </c>
      <c r="P191" s="295">
        <f>'BD Plant List'!$L193/12*'BD Feedstock'!P$3*'BD Plant List'!AE$5</f>
        <v>0</v>
      </c>
      <c r="Q191" s="295">
        <f>'BD Plant List'!$M193/12*'BD Feedstock'!Q$3*'BD Plant List'!AE$5</f>
        <v>0.93125000000000002</v>
      </c>
      <c r="R191" s="295">
        <f>'BD Plant List'!$N193/12*'BD Feedstock'!R$3*'BD Plant List'!AE$5</f>
        <v>26.540625000000002</v>
      </c>
      <c r="S191" s="295">
        <f>'BD Plant List'!$N193/12*'BD Feedstock'!S$3*'BD Plant List'!AF$5</f>
        <v>1.40625</v>
      </c>
      <c r="T191" s="295">
        <f>'BD Plant List'!$O193/12*'BD Feedstock'!T$3*'BD Plant List'!AB$5</f>
        <v>8.5732126770944213</v>
      </c>
      <c r="U191" s="295">
        <f>'BD Plant List'!$O193/12*'BD Feedstock'!U$3*'BD Plant List'!AC$5</f>
        <v>3.0347329175263269</v>
      </c>
    </row>
    <row r="192" spans="1:21" ht="18">
      <c r="A192" s="293">
        <v>45536</v>
      </c>
      <c r="B192" s="295">
        <f>'BD Plant List'!B194/12*'BD Plant List'!$AE$5*$B$3</f>
        <v>43.458333333333336</v>
      </c>
      <c r="C192" s="295">
        <f>'BD Plant List'!$C194/12*'BD Plant List'!$AB$5*'BD Feedstock'!$D$3</f>
        <v>2.098958333333333</v>
      </c>
      <c r="D192" s="295">
        <f>'BD Plant List'!$C194/12*'BD Plant List'!$AC$5*'BD Feedstock'!$D$3</f>
        <v>2.2289583333333334</v>
      </c>
      <c r="E192" s="295">
        <f>'BD Plant List'!$D194/12*'BD Plant List'!AB$5*'BD Feedstock'!$E$3</f>
        <v>9.6875</v>
      </c>
      <c r="F192" s="295">
        <f>'BD Plant List'!$D194/12*'BD Plant List'!AC$5*'BD Feedstock'!$F$3</f>
        <v>3.4291666666666671</v>
      </c>
      <c r="G192" s="295">
        <f>'BD Plant List'!$E194/12*'BD Feedstock'!G$3*'BD Plant List'!AB$5</f>
        <v>1.453125</v>
      </c>
      <c r="H192" s="295">
        <f>'BD Plant List'!$E194/12*'BD Feedstock'!H$3*'BD Plant List'!AC$5</f>
        <v>0.51437500000000003</v>
      </c>
      <c r="I192" s="295">
        <f>'BD Plant List'!F194/12*'BD Feedstock'!I$3*'BD Plant List'!AC$5</f>
        <v>0.13716666666666666</v>
      </c>
      <c r="J192" s="295">
        <f>'BD Plant List'!G194/12*'BD Feedstock'!J$3*'BD Plant List'!AD$5</f>
        <v>0.90199999999999991</v>
      </c>
      <c r="K192" s="295">
        <f>'BD Plant List'!$H194/12*'BD Feedstock'!K$3*'BD Plant List'!AB$5</f>
        <v>0</v>
      </c>
      <c r="L192" s="295">
        <f>'BD Plant List'!$H194/12*'BD Feedstock'!L$3*'BD Plant List'!AC$5</f>
        <v>0</v>
      </c>
      <c r="M192" s="295">
        <f>'BD Plant List'!$I194/12*'BD Feedstock'!$M$3*'BD Plant List'!AC$5</f>
        <v>3.4291666666666671</v>
      </c>
      <c r="N192" s="295">
        <f>'BD Plant List'!$J194/12*'BD Feedstock'!N$3*'BD Plant List'!AC$5</f>
        <v>0</v>
      </c>
      <c r="O192" s="295">
        <f>'BD Plant List'!$K194/12*'BD Feedstock'!O$3*'BD Plant List'!AC$5</f>
        <v>0</v>
      </c>
      <c r="P192" s="295">
        <f>'BD Plant List'!$L194/12*'BD Feedstock'!P$3*'BD Plant List'!AE$5</f>
        <v>0</v>
      </c>
      <c r="Q192" s="295">
        <f>'BD Plant List'!$M194/12*'BD Feedstock'!Q$3*'BD Plant List'!AE$5</f>
        <v>0.93125000000000002</v>
      </c>
      <c r="R192" s="295">
        <f>'BD Plant List'!$N194/12*'BD Feedstock'!R$3*'BD Plant List'!AE$5</f>
        <v>26.540625000000002</v>
      </c>
      <c r="S192" s="295">
        <f>'BD Plant List'!$N194/12*'BD Feedstock'!S$3*'BD Plant List'!AF$5</f>
        <v>1.40625</v>
      </c>
      <c r="T192" s="295">
        <f>'BD Plant List'!$O194/12*'BD Feedstock'!T$3*'BD Plant List'!AB$5</f>
        <v>8.5732126770944213</v>
      </c>
      <c r="U192" s="295">
        <f>'BD Plant List'!$O194/12*'BD Feedstock'!U$3*'BD Plant List'!AC$5</f>
        <v>3.0347329175263269</v>
      </c>
    </row>
    <row r="193" spans="1:21" ht="18">
      <c r="A193" s="293">
        <v>45566</v>
      </c>
      <c r="B193" s="295">
        <f>'BD Plant List'!B195/12*'BD Plant List'!$AE$5*$B$3</f>
        <v>43.458333333333336</v>
      </c>
      <c r="C193" s="295">
        <f>'BD Plant List'!$C195/12*'BD Plant List'!$AB$5*'BD Feedstock'!$D$3</f>
        <v>2.098958333333333</v>
      </c>
      <c r="D193" s="295">
        <f>'BD Plant List'!$C195/12*'BD Plant List'!$AC$5*'BD Feedstock'!$D$3</f>
        <v>2.2289583333333334</v>
      </c>
      <c r="E193" s="295">
        <f>'BD Plant List'!$D195/12*'BD Plant List'!AB$5*'BD Feedstock'!$E$3</f>
        <v>9.6875</v>
      </c>
      <c r="F193" s="295">
        <f>'BD Plant List'!$D195/12*'BD Plant List'!AC$5*'BD Feedstock'!$F$3</f>
        <v>3.4291666666666671</v>
      </c>
      <c r="G193" s="295">
        <f>'BD Plant List'!$E195/12*'BD Feedstock'!G$3*'BD Plant List'!AB$5</f>
        <v>1.453125</v>
      </c>
      <c r="H193" s="295">
        <f>'BD Plant List'!$E195/12*'BD Feedstock'!H$3*'BD Plant List'!AC$5</f>
        <v>0.51437500000000003</v>
      </c>
      <c r="I193" s="295">
        <f>'BD Plant List'!F195/12*'BD Feedstock'!I$3*'BD Plant List'!AC$5</f>
        <v>0.13716666666666666</v>
      </c>
      <c r="J193" s="295">
        <f>'BD Plant List'!G195/12*'BD Feedstock'!J$3*'BD Plant List'!AD$5</f>
        <v>0.90199999999999991</v>
      </c>
      <c r="K193" s="295">
        <f>'BD Plant List'!$H195/12*'BD Feedstock'!K$3*'BD Plant List'!AB$5</f>
        <v>0</v>
      </c>
      <c r="L193" s="295">
        <f>'BD Plant List'!$H195/12*'BD Feedstock'!L$3*'BD Plant List'!AC$5</f>
        <v>0</v>
      </c>
      <c r="M193" s="295">
        <f>'BD Plant List'!$I195/12*'BD Feedstock'!$M$3*'BD Plant List'!AC$5</f>
        <v>3.4291666666666671</v>
      </c>
      <c r="N193" s="295">
        <f>'BD Plant List'!$J195/12*'BD Feedstock'!N$3*'BD Plant List'!AC$5</f>
        <v>0</v>
      </c>
      <c r="O193" s="295">
        <f>'BD Plant List'!$K195/12*'BD Feedstock'!O$3*'BD Plant List'!AC$5</f>
        <v>0</v>
      </c>
      <c r="P193" s="295">
        <f>'BD Plant List'!$L195/12*'BD Feedstock'!P$3*'BD Plant List'!AE$5</f>
        <v>0</v>
      </c>
      <c r="Q193" s="295">
        <f>'BD Plant List'!$M195/12*'BD Feedstock'!Q$3*'BD Plant List'!AE$5</f>
        <v>0.93125000000000002</v>
      </c>
      <c r="R193" s="295">
        <f>'BD Plant List'!$N195/12*'BD Feedstock'!R$3*'BD Plant List'!AE$5</f>
        <v>26.540625000000002</v>
      </c>
      <c r="S193" s="295">
        <f>'BD Plant List'!$N195/12*'BD Feedstock'!S$3*'BD Plant List'!AF$5</f>
        <v>1.40625</v>
      </c>
      <c r="T193" s="295">
        <f>'BD Plant List'!$O195/12*'BD Feedstock'!T$3*'BD Plant List'!AB$5</f>
        <v>8.5732126770944213</v>
      </c>
      <c r="U193" s="295">
        <f>'BD Plant List'!$O195/12*'BD Feedstock'!U$3*'BD Plant List'!AC$5</f>
        <v>3.0347329175263269</v>
      </c>
    </row>
    <row r="194" spans="1:21" ht="18">
      <c r="A194" s="293">
        <v>45597</v>
      </c>
      <c r="B194" s="295">
        <f>'BD Plant List'!B196/12*'BD Plant List'!$AE$5*$B$3</f>
        <v>43.458333333333336</v>
      </c>
      <c r="C194" s="295">
        <f>'BD Plant List'!$C196/12*'BD Plant List'!$AB$5*'BD Feedstock'!$D$3</f>
        <v>2.098958333333333</v>
      </c>
      <c r="D194" s="295">
        <f>'BD Plant List'!$C196/12*'BD Plant List'!$AC$5*'BD Feedstock'!$D$3</f>
        <v>2.2289583333333334</v>
      </c>
      <c r="E194" s="295">
        <f>'BD Plant List'!$D196/12*'BD Plant List'!AB$5*'BD Feedstock'!$E$3</f>
        <v>9.6875</v>
      </c>
      <c r="F194" s="295">
        <f>'BD Plant List'!$D196/12*'BD Plant List'!AC$5*'BD Feedstock'!$F$3</f>
        <v>3.4291666666666671</v>
      </c>
      <c r="G194" s="295">
        <f>'BD Plant List'!$E196/12*'BD Feedstock'!G$3*'BD Plant List'!AB$5</f>
        <v>1.453125</v>
      </c>
      <c r="H194" s="295">
        <f>'BD Plant List'!$E196/12*'BD Feedstock'!H$3*'BD Plant List'!AC$5</f>
        <v>0.51437500000000003</v>
      </c>
      <c r="I194" s="295">
        <f>'BD Plant List'!F196/12*'BD Feedstock'!I$3*'BD Plant List'!AC$5</f>
        <v>0.13716666666666666</v>
      </c>
      <c r="J194" s="295">
        <f>'BD Plant List'!G196/12*'BD Feedstock'!J$3*'BD Plant List'!AD$5</f>
        <v>0.90199999999999991</v>
      </c>
      <c r="K194" s="295">
        <f>'BD Plant List'!$H196/12*'BD Feedstock'!K$3*'BD Plant List'!AB$5</f>
        <v>0</v>
      </c>
      <c r="L194" s="295">
        <f>'BD Plant List'!$H196/12*'BD Feedstock'!L$3*'BD Plant List'!AC$5</f>
        <v>0</v>
      </c>
      <c r="M194" s="295">
        <f>'BD Plant List'!$I196/12*'BD Feedstock'!$M$3*'BD Plant List'!AC$5</f>
        <v>3.4291666666666671</v>
      </c>
      <c r="N194" s="295">
        <f>'BD Plant List'!$J196/12*'BD Feedstock'!N$3*'BD Plant List'!AC$5</f>
        <v>0</v>
      </c>
      <c r="O194" s="295">
        <f>'BD Plant List'!$K196/12*'BD Feedstock'!O$3*'BD Plant List'!AC$5</f>
        <v>0</v>
      </c>
      <c r="P194" s="295">
        <f>'BD Plant List'!$L196/12*'BD Feedstock'!P$3*'BD Plant List'!AE$5</f>
        <v>0</v>
      </c>
      <c r="Q194" s="295">
        <f>'BD Plant List'!$M196/12*'BD Feedstock'!Q$3*'BD Plant List'!AE$5</f>
        <v>0.93125000000000002</v>
      </c>
      <c r="R194" s="295">
        <f>'BD Plant List'!$N196/12*'BD Feedstock'!R$3*'BD Plant List'!AE$5</f>
        <v>26.540625000000002</v>
      </c>
      <c r="S194" s="295">
        <f>'BD Plant List'!$N196/12*'BD Feedstock'!S$3*'BD Plant List'!AF$5</f>
        <v>1.40625</v>
      </c>
      <c r="T194" s="295">
        <f>'BD Plant List'!$O196/12*'BD Feedstock'!T$3*'BD Plant List'!AB$5</f>
        <v>8.5732126770944213</v>
      </c>
      <c r="U194" s="295">
        <f>'BD Plant List'!$O196/12*'BD Feedstock'!U$3*'BD Plant List'!AC$5</f>
        <v>3.0347329175263269</v>
      </c>
    </row>
    <row r="195" spans="1:21" ht="18">
      <c r="A195" s="293">
        <v>45627</v>
      </c>
      <c r="B195" s="295">
        <f>'BD Plant List'!B197/12*'BD Plant List'!$AE$5*$B$3</f>
        <v>43.458333333333336</v>
      </c>
      <c r="C195" s="295">
        <f>'BD Plant List'!$C197/12*'BD Plant List'!$AB$5*'BD Feedstock'!$D$3</f>
        <v>2.098958333333333</v>
      </c>
      <c r="D195" s="295">
        <f>'BD Plant List'!$C197/12*'BD Plant List'!$AC$5*'BD Feedstock'!$D$3</f>
        <v>2.2289583333333334</v>
      </c>
      <c r="E195" s="295">
        <f>'BD Plant List'!$D197/12*'BD Plant List'!AB$5*'BD Feedstock'!$E$3</f>
        <v>9.6875</v>
      </c>
      <c r="F195" s="295">
        <f>'BD Plant List'!$D197/12*'BD Plant List'!AC$5*'BD Feedstock'!$F$3</f>
        <v>3.4291666666666671</v>
      </c>
      <c r="G195" s="295">
        <f>'BD Plant List'!$E197/12*'BD Feedstock'!G$3*'BD Plant List'!AB$5</f>
        <v>1.453125</v>
      </c>
      <c r="H195" s="295">
        <f>'BD Plant List'!$E197/12*'BD Feedstock'!H$3*'BD Plant List'!AC$5</f>
        <v>0.51437500000000003</v>
      </c>
      <c r="I195" s="295">
        <f>'BD Plant List'!F197/12*'BD Feedstock'!I$3*'BD Plant List'!AC$5</f>
        <v>0.13716666666666666</v>
      </c>
      <c r="J195" s="295">
        <f>'BD Plant List'!G197/12*'BD Feedstock'!J$3*'BD Plant List'!AD$5</f>
        <v>0.90199999999999991</v>
      </c>
      <c r="K195" s="295">
        <f>'BD Plant List'!$H197/12*'BD Feedstock'!K$3*'BD Plant List'!AB$5</f>
        <v>0</v>
      </c>
      <c r="L195" s="295">
        <f>'BD Plant List'!$H197/12*'BD Feedstock'!L$3*'BD Plant List'!AC$5</f>
        <v>0</v>
      </c>
      <c r="M195" s="295">
        <f>'BD Plant List'!$I197/12*'BD Feedstock'!$M$3*'BD Plant List'!AC$5</f>
        <v>3.4291666666666671</v>
      </c>
      <c r="N195" s="295">
        <f>'BD Plant List'!$J197/12*'BD Feedstock'!N$3*'BD Plant List'!AC$5</f>
        <v>0</v>
      </c>
      <c r="O195" s="295">
        <f>'BD Plant List'!$K197/12*'BD Feedstock'!O$3*'BD Plant List'!AC$5</f>
        <v>0</v>
      </c>
      <c r="P195" s="295">
        <f>'BD Plant List'!$L197/12*'BD Feedstock'!P$3*'BD Plant List'!AE$5</f>
        <v>0</v>
      </c>
      <c r="Q195" s="295">
        <f>'BD Plant List'!$M197/12*'BD Feedstock'!Q$3*'BD Plant List'!AE$5</f>
        <v>0.93125000000000002</v>
      </c>
      <c r="R195" s="295">
        <f>'BD Plant List'!$N197/12*'BD Feedstock'!R$3*'BD Plant List'!AE$5</f>
        <v>26.540625000000002</v>
      </c>
      <c r="S195" s="295">
        <f>'BD Plant List'!$N197/12*'BD Feedstock'!S$3*'BD Plant List'!AF$5</f>
        <v>1.40625</v>
      </c>
      <c r="T195" s="295">
        <f>'BD Plant List'!$O197/12*'BD Feedstock'!T$3*'BD Plant List'!AB$5</f>
        <v>8.5732126770944213</v>
      </c>
      <c r="U195" s="295">
        <f>'BD Plant List'!$O197/12*'BD Feedstock'!U$3*'BD Plant List'!AC$5</f>
        <v>3.0347329175263269</v>
      </c>
    </row>
    <row r="196" spans="1:21" ht="18">
      <c r="A196" s="293">
        <v>45658</v>
      </c>
      <c r="B196" s="295">
        <f>'BD Plant List'!B198/12*'BD Plant List'!$AE$5*$B$3</f>
        <v>43.458333333333336</v>
      </c>
      <c r="C196" s="295">
        <f>'BD Plant List'!$C198/12*'BD Plant List'!$AB$5*'BD Feedstock'!$D$3</f>
        <v>2.098958333333333</v>
      </c>
      <c r="D196" s="295">
        <f>'BD Plant List'!$C198/12*'BD Plant List'!$AC$5*'BD Feedstock'!$D$3</f>
        <v>2.2289583333333334</v>
      </c>
      <c r="E196" s="295">
        <f>'BD Plant List'!$D198/12*'BD Plant List'!AB$5*'BD Feedstock'!$E$3</f>
        <v>9.6875</v>
      </c>
      <c r="F196" s="295">
        <f>'BD Plant List'!$D198/12*'BD Plant List'!AC$5*'BD Feedstock'!$F$3</f>
        <v>3.4291666666666671</v>
      </c>
      <c r="G196" s="295">
        <f>'BD Plant List'!$E198/12*'BD Feedstock'!G$3*'BD Plant List'!AB$5</f>
        <v>1.453125</v>
      </c>
      <c r="H196" s="295">
        <f>'BD Plant List'!$E198/12*'BD Feedstock'!H$3*'BD Plant List'!AC$5</f>
        <v>0.51437500000000003</v>
      </c>
      <c r="I196" s="295">
        <f>'BD Plant List'!F198/12*'BD Feedstock'!I$3*'BD Plant List'!AC$5</f>
        <v>0.13716666666666666</v>
      </c>
      <c r="J196" s="295">
        <f>'BD Plant List'!G198/12*'BD Feedstock'!J$3*'BD Plant List'!AD$5</f>
        <v>0.90199999999999991</v>
      </c>
      <c r="K196" s="295">
        <f>'BD Plant List'!$H198/12*'BD Feedstock'!K$3*'BD Plant List'!AB$5</f>
        <v>0</v>
      </c>
      <c r="L196" s="295">
        <f>'BD Plant List'!$H198/12*'BD Feedstock'!L$3*'BD Plant List'!AC$5</f>
        <v>0</v>
      </c>
      <c r="M196" s="295">
        <f>'BD Plant List'!$I198/12*'BD Feedstock'!$M$3*'BD Plant List'!AC$5</f>
        <v>3.4291666666666671</v>
      </c>
      <c r="N196" s="295">
        <f>'BD Plant List'!$J198/12*'BD Feedstock'!N$3*'BD Plant List'!AC$5</f>
        <v>0</v>
      </c>
      <c r="O196" s="295">
        <f>'BD Plant List'!$K198/12*'BD Feedstock'!O$3*'BD Plant List'!AC$5</f>
        <v>0</v>
      </c>
      <c r="P196" s="295">
        <f>'BD Plant List'!$L198/12*'BD Feedstock'!P$3*'BD Plant List'!AE$5</f>
        <v>0</v>
      </c>
      <c r="Q196" s="295">
        <f>'BD Plant List'!$M198/12*'BD Feedstock'!Q$3*'BD Plant List'!AE$5</f>
        <v>0.93125000000000002</v>
      </c>
      <c r="R196" s="295">
        <f>'BD Plant List'!$N198/12*'BD Feedstock'!R$3*'BD Plant List'!AE$5</f>
        <v>26.540625000000002</v>
      </c>
      <c r="S196" s="295">
        <f>'BD Plant List'!$N198/12*'BD Feedstock'!S$3*'BD Plant List'!AF$5</f>
        <v>1.40625</v>
      </c>
      <c r="T196" s="295">
        <f>'BD Plant List'!$O198/12*'BD Feedstock'!T$3*'BD Plant List'!AB$5</f>
        <v>8.5732126770944213</v>
      </c>
      <c r="U196" s="295">
        <f>'BD Plant List'!$O198/12*'BD Feedstock'!U$3*'BD Plant List'!AC$5</f>
        <v>3.0347329175263269</v>
      </c>
    </row>
    <row r="197" spans="1:21" ht="18">
      <c r="A197" s="293">
        <v>45689</v>
      </c>
      <c r="B197" s="295">
        <f>'BD Plant List'!B199/12*'BD Plant List'!$AE$5*$B$3</f>
        <v>43.458333333333336</v>
      </c>
      <c r="C197" s="295">
        <f>'BD Plant List'!$C199/12*'BD Plant List'!$AB$5*'BD Feedstock'!$D$3</f>
        <v>2.098958333333333</v>
      </c>
      <c r="D197" s="295">
        <f>'BD Plant List'!$C199/12*'BD Plant List'!$AC$5*'BD Feedstock'!$D$3</f>
        <v>2.2289583333333334</v>
      </c>
      <c r="E197" s="295">
        <f>'BD Plant List'!$D199/12*'BD Plant List'!AB$5*'BD Feedstock'!$E$3</f>
        <v>9.6875</v>
      </c>
      <c r="F197" s="295">
        <f>'BD Plant List'!$D199/12*'BD Plant List'!AC$5*'BD Feedstock'!$F$3</f>
        <v>3.4291666666666671</v>
      </c>
      <c r="G197" s="295">
        <f>'BD Plant List'!$E199/12*'BD Feedstock'!G$3*'BD Plant List'!AB$5</f>
        <v>1.453125</v>
      </c>
      <c r="H197" s="295">
        <f>'BD Plant List'!$E199/12*'BD Feedstock'!H$3*'BD Plant List'!AC$5</f>
        <v>0.51437500000000003</v>
      </c>
      <c r="I197" s="295">
        <f>'BD Plant List'!F199/12*'BD Feedstock'!I$3*'BD Plant List'!AC$5</f>
        <v>0.13716666666666666</v>
      </c>
      <c r="J197" s="295">
        <f>'BD Plant List'!G199/12*'BD Feedstock'!J$3*'BD Plant List'!AD$5</f>
        <v>0.90199999999999991</v>
      </c>
      <c r="K197" s="295">
        <f>'BD Plant List'!$H199/12*'BD Feedstock'!K$3*'BD Plant List'!AB$5</f>
        <v>0</v>
      </c>
      <c r="L197" s="295">
        <f>'BD Plant List'!$H199/12*'BD Feedstock'!L$3*'BD Plant List'!AC$5</f>
        <v>0</v>
      </c>
      <c r="M197" s="295">
        <f>'BD Plant List'!$I199/12*'BD Feedstock'!$M$3*'BD Plant List'!AC$5</f>
        <v>3.4291666666666671</v>
      </c>
      <c r="N197" s="295">
        <f>'BD Plant List'!$J199/12*'BD Feedstock'!N$3*'BD Plant List'!AC$5</f>
        <v>0</v>
      </c>
      <c r="O197" s="295">
        <f>'BD Plant List'!$K199/12*'BD Feedstock'!O$3*'BD Plant List'!AC$5</f>
        <v>0</v>
      </c>
      <c r="P197" s="295">
        <f>'BD Plant List'!$L199/12*'BD Feedstock'!P$3*'BD Plant List'!AE$5</f>
        <v>0</v>
      </c>
      <c r="Q197" s="295">
        <f>'BD Plant List'!$M199/12*'BD Feedstock'!Q$3*'BD Plant List'!AE$5</f>
        <v>0.93125000000000002</v>
      </c>
      <c r="R197" s="295">
        <f>'BD Plant List'!$N199/12*'BD Feedstock'!R$3*'BD Plant List'!AE$5</f>
        <v>26.540625000000002</v>
      </c>
      <c r="S197" s="295">
        <f>'BD Plant List'!$N199/12*'BD Feedstock'!S$3*'BD Plant List'!AF$5</f>
        <v>1.40625</v>
      </c>
      <c r="T197" s="295">
        <f>'BD Plant List'!$O199/12*'BD Feedstock'!T$3*'BD Plant List'!AB$5</f>
        <v>8.5732126770944213</v>
      </c>
      <c r="U197" s="295">
        <f>'BD Plant List'!$O199/12*'BD Feedstock'!U$3*'BD Plant List'!AC$5</f>
        <v>3.0347329175263269</v>
      </c>
    </row>
    <row r="198" spans="1:21" ht="18">
      <c r="A198" s="293">
        <v>45717</v>
      </c>
      <c r="B198" s="295">
        <f>'BD Plant List'!B200/12*'BD Plant List'!$AE$5*$B$3</f>
        <v>43.458333333333336</v>
      </c>
      <c r="C198" s="295">
        <f>'BD Plant List'!$C200/12*'BD Plant List'!$AB$5*'BD Feedstock'!$D$3</f>
        <v>2.098958333333333</v>
      </c>
      <c r="D198" s="295">
        <f>'BD Plant List'!$C200/12*'BD Plant List'!$AC$5*'BD Feedstock'!$D$3</f>
        <v>2.2289583333333334</v>
      </c>
      <c r="E198" s="295">
        <f>'BD Plant List'!$D200/12*'BD Plant List'!AB$5*'BD Feedstock'!$E$3</f>
        <v>9.6875</v>
      </c>
      <c r="F198" s="295">
        <f>'BD Plant List'!$D200/12*'BD Plant List'!AC$5*'BD Feedstock'!$F$3</f>
        <v>3.4291666666666671</v>
      </c>
      <c r="G198" s="295">
        <f>'BD Plant List'!$E200/12*'BD Feedstock'!G$3*'BD Plant List'!AB$5</f>
        <v>1.453125</v>
      </c>
      <c r="H198" s="295">
        <f>'BD Plant List'!$E200/12*'BD Feedstock'!H$3*'BD Plant List'!AC$5</f>
        <v>0.51437500000000003</v>
      </c>
      <c r="I198" s="295">
        <f>'BD Plant List'!F200/12*'BD Feedstock'!I$3*'BD Plant List'!AC$5</f>
        <v>0.13716666666666666</v>
      </c>
      <c r="J198" s="295">
        <f>'BD Plant List'!G200/12*'BD Feedstock'!J$3*'BD Plant List'!AD$5</f>
        <v>0.90199999999999991</v>
      </c>
      <c r="K198" s="295">
        <f>'BD Plant List'!$H200/12*'BD Feedstock'!K$3*'BD Plant List'!AB$5</f>
        <v>0</v>
      </c>
      <c r="L198" s="295">
        <f>'BD Plant List'!$H200/12*'BD Feedstock'!L$3*'BD Plant List'!AC$5</f>
        <v>0</v>
      </c>
      <c r="M198" s="295">
        <f>'BD Plant List'!$I200/12*'BD Feedstock'!$M$3*'BD Plant List'!AC$5</f>
        <v>3.4291666666666671</v>
      </c>
      <c r="N198" s="295">
        <f>'BD Plant List'!$J200/12*'BD Feedstock'!N$3*'BD Plant List'!AC$5</f>
        <v>0</v>
      </c>
      <c r="O198" s="295">
        <f>'BD Plant List'!$K200/12*'BD Feedstock'!O$3*'BD Plant List'!AC$5</f>
        <v>0</v>
      </c>
      <c r="P198" s="295">
        <f>'BD Plant List'!$L200/12*'BD Feedstock'!P$3*'BD Plant List'!AE$5</f>
        <v>0</v>
      </c>
      <c r="Q198" s="295">
        <f>'BD Plant List'!$M200/12*'BD Feedstock'!Q$3*'BD Plant List'!AE$5</f>
        <v>0.93125000000000002</v>
      </c>
      <c r="R198" s="295">
        <f>'BD Plant List'!$N200/12*'BD Feedstock'!R$3*'BD Plant List'!AE$5</f>
        <v>26.540625000000002</v>
      </c>
      <c r="S198" s="295">
        <f>'BD Plant List'!$N200/12*'BD Feedstock'!S$3*'BD Plant List'!AF$5</f>
        <v>1.40625</v>
      </c>
      <c r="T198" s="295">
        <f>'BD Plant List'!$O200/12*'BD Feedstock'!T$3*'BD Plant List'!AB$5</f>
        <v>8.5732126770944213</v>
      </c>
      <c r="U198" s="295">
        <f>'BD Plant List'!$O200/12*'BD Feedstock'!U$3*'BD Plant List'!AC$5</f>
        <v>3.0347329175263269</v>
      </c>
    </row>
    <row r="199" spans="1:21" ht="18">
      <c r="A199" s="293">
        <v>45748</v>
      </c>
      <c r="B199" s="295">
        <f>'BD Plant List'!B201/12*'BD Plant List'!$AE$5*$B$3</f>
        <v>43.458333333333336</v>
      </c>
      <c r="C199" s="295">
        <f>'BD Plant List'!$C201/12*'BD Plant List'!$AB$5*'BD Feedstock'!$D$3</f>
        <v>2.098958333333333</v>
      </c>
      <c r="D199" s="295">
        <f>'BD Plant List'!$C201/12*'BD Plant List'!$AC$5*'BD Feedstock'!$D$3</f>
        <v>2.2289583333333334</v>
      </c>
      <c r="E199" s="295">
        <f>'BD Plant List'!$D201/12*'BD Plant List'!AB$5*'BD Feedstock'!$E$3</f>
        <v>9.6875</v>
      </c>
      <c r="F199" s="295">
        <f>'BD Plant List'!$D201/12*'BD Plant List'!AC$5*'BD Feedstock'!$F$3</f>
        <v>3.4291666666666671</v>
      </c>
      <c r="G199" s="295">
        <f>'BD Plant List'!$E201/12*'BD Feedstock'!G$3*'BD Plant List'!AB$5</f>
        <v>1.453125</v>
      </c>
      <c r="H199" s="295">
        <f>'BD Plant List'!$E201/12*'BD Feedstock'!H$3*'BD Plant List'!AC$5</f>
        <v>0.51437500000000003</v>
      </c>
      <c r="I199" s="295">
        <f>'BD Plant List'!F201/12*'BD Feedstock'!I$3*'BD Plant List'!AC$5</f>
        <v>0.13716666666666666</v>
      </c>
      <c r="J199" s="295">
        <f>'BD Plant List'!G201/12*'BD Feedstock'!J$3*'BD Plant List'!AD$5</f>
        <v>0.90199999999999991</v>
      </c>
      <c r="K199" s="295">
        <f>'BD Plant List'!$H201/12*'BD Feedstock'!K$3*'BD Plant List'!AB$5</f>
        <v>0</v>
      </c>
      <c r="L199" s="295">
        <f>'BD Plant List'!$H201/12*'BD Feedstock'!L$3*'BD Plant List'!AC$5</f>
        <v>0</v>
      </c>
      <c r="M199" s="295">
        <f>'BD Plant List'!$I201/12*'BD Feedstock'!$M$3*'BD Plant List'!AC$5</f>
        <v>3.4291666666666671</v>
      </c>
      <c r="N199" s="295">
        <f>'BD Plant List'!$J201/12*'BD Feedstock'!N$3*'BD Plant List'!AC$5</f>
        <v>0</v>
      </c>
      <c r="O199" s="295">
        <f>'BD Plant List'!$K201/12*'BD Feedstock'!O$3*'BD Plant List'!AC$5</f>
        <v>0</v>
      </c>
      <c r="P199" s="295">
        <f>'BD Plant List'!$L201/12*'BD Feedstock'!P$3*'BD Plant List'!AE$5</f>
        <v>0</v>
      </c>
      <c r="Q199" s="295">
        <f>'BD Plant List'!$M201/12*'BD Feedstock'!Q$3*'BD Plant List'!AE$5</f>
        <v>0.93125000000000002</v>
      </c>
      <c r="R199" s="295">
        <f>'BD Plant List'!$N201/12*'BD Feedstock'!R$3*'BD Plant List'!AE$5</f>
        <v>26.540625000000002</v>
      </c>
      <c r="S199" s="295">
        <f>'BD Plant List'!$N201/12*'BD Feedstock'!S$3*'BD Plant List'!AF$5</f>
        <v>1.40625</v>
      </c>
      <c r="T199" s="295">
        <f>'BD Plant List'!$O201/12*'BD Feedstock'!T$3*'BD Plant List'!AB$5</f>
        <v>8.5732126770944213</v>
      </c>
      <c r="U199" s="295">
        <f>'BD Plant List'!$O201/12*'BD Feedstock'!U$3*'BD Plant List'!AC$5</f>
        <v>3.0347329175263269</v>
      </c>
    </row>
    <row r="200" spans="1:21" ht="18">
      <c r="A200" s="293">
        <v>45778</v>
      </c>
      <c r="B200" s="295">
        <f>'BD Plant List'!B202/12*'BD Plant List'!$AE$5*$B$3</f>
        <v>43.458333333333336</v>
      </c>
      <c r="C200" s="295">
        <f>'BD Plant List'!$C202/12*'BD Plant List'!$AB$5*'BD Feedstock'!$D$3</f>
        <v>2.098958333333333</v>
      </c>
      <c r="D200" s="295">
        <f>'BD Plant List'!$C202/12*'BD Plant List'!$AC$5*'BD Feedstock'!$D$3</f>
        <v>2.2289583333333334</v>
      </c>
      <c r="E200" s="295">
        <f>'BD Plant List'!$D202/12*'BD Plant List'!AB$5*'BD Feedstock'!$E$3</f>
        <v>9.6875</v>
      </c>
      <c r="F200" s="295">
        <f>'BD Plant List'!$D202/12*'BD Plant List'!AC$5*'BD Feedstock'!$F$3</f>
        <v>3.4291666666666671</v>
      </c>
      <c r="G200" s="295">
        <f>'BD Plant List'!$E202/12*'BD Feedstock'!G$3*'BD Plant List'!AB$5</f>
        <v>1.453125</v>
      </c>
      <c r="H200" s="295">
        <f>'BD Plant List'!$E202/12*'BD Feedstock'!H$3*'BD Plant List'!AC$5</f>
        <v>0.51437500000000003</v>
      </c>
      <c r="I200" s="295">
        <f>'BD Plant List'!F202/12*'BD Feedstock'!I$3*'BD Plant List'!AC$5</f>
        <v>0.13716666666666666</v>
      </c>
      <c r="J200" s="295">
        <f>'BD Plant List'!G202/12*'BD Feedstock'!J$3*'BD Plant List'!AD$5</f>
        <v>0.90199999999999991</v>
      </c>
      <c r="K200" s="295">
        <f>'BD Plant List'!$H202/12*'BD Feedstock'!K$3*'BD Plant List'!AB$5</f>
        <v>0</v>
      </c>
      <c r="L200" s="295">
        <f>'BD Plant List'!$H202/12*'BD Feedstock'!L$3*'BD Plant List'!AC$5</f>
        <v>0</v>
      </c>
      <c r="M200" s="295">
        <f>'BD Plant List'!$I202/12*'BD Feedstock'!$M$3*'BD Plant List'!AC$5</f>
        <v>3.4291666666666671</v>
      </c>
      <c r="N200" s="295">
        <f>'BD Plant List'!$J202/12*'BD Feedstock'!N$3*'BD Plant List'!AC$5</f>
        <v>0</v>
      </c>
      <c r="O200" s="295">
        <f>'BD Plant List'!$K202/12*'BD Feedstock'!O$3*'BD Plant List'!AC$5</f>
        <v>0</v>
      </c>
      <c r="P200" s="295">
        <f>'BD Plant List'!$L202/12*'BD Feedstock'!P$3*'BD Plant List'!AE$5</f>
        <v>0</v>
      </c>
      <c r="Q200" s="295">
        <f>'BD Plant List'!$M202/12*'BD Feedstock'!Q$3*'BD Plant List'!AE$5</f>
        <v>0.93125000000000002</v>
      </c>
      <c r="R200" s="295">
        <f>'BD Plant List'!$N202/12*'BD Feedstock'!R$3*'BD Plant List'!AE$5</f>
        <v>26.540625000000002</v>
      </c>
      <c r="S200" s="295">
        <f>'BD Plant List'!$N202/12*'BD Feedstock'!S$3*'BD Plant List'!AF$5</f>
        <v>1.40625</v>
      </c>
      <c r="T200" s="295">
        <f>'BD Plant List'!$O202/12*'BD Feedstock'!T$3*'BD Plant List'!AB$5</f>
        <v>8.5732126770944213</v>
      </c>
      <c r="U200" s="295">
        <f>'BD Plant List'!$O202/12*'BD Feedstock'!U$3*'BD Plant List'!AC$5</f>
        <v>3.0347329175263269</v>
      </c>
    </row>
    <row r="201" spans="1:21" ht="18">
      <c r="A201" s="293">
        <v>45809</v>
      </c>
      <c r="B201" s="295">
        <f>'BD Plant List'!B203/12*'BD Plant List'!$AE$5*$B$3</f>
        <v>43.458333333333336</v>
      </c>
      <c r="C201" s="295">
        <f>'BD Plant List'!$C203/12*'BD Plant List'!$AB$5*'BD Feedstock'!$D$3</f>
        <v>2.098958333333333</v>
      </c>
      <c r="D201" s="295">
        <f>'BD Plant List'!$C203/12*'BD Plant List'!$AC$5*'BD Feedstock'!$D$3</f>
        <v>2.2289583333333334</v>
      </c>
      <c r="E201" s="295">
        <f>'BD Plant List'!$D203/12*'BD Plant List'!AB$5*'BD Feedstock'!$E$3</f>
        <v>9.6875</v>
      </c>
      <c r="F201" s="295">
        <f>'BD Plant List'!$D203/12*'BD Plant List'!AC$5*'BD Feedstock'!$F$3</f>
        <v>3.4291666666666671</v>
      </c>
      <c r="G201" s="295">
        <f>'BD Plant List'!$E203/12*'BD Feedstock'!G$3*'BD Plant List'!AB$5</f>
        <v>1.453125</v>
      </c>
      <c r="H201" s="295">
        <f>'BD Plant List'!$E203/12*'BD Feedstock'!H$3*'BD Plant List'!AC$5</f>
        <v>0.51437500000000003</v>
      </c>
      <c r="I201" s="295">
        <f>'BD Plant List'!F203/12*'BD Feedstock'!I$3*'BD Plant List'!AC$5</f>
        <v>0.13716666666666666</v>
      </c>
      <c r="J201" s="295">
        <f>'BD Plant List'!G203/12*'BD Feedstock'!J$3*'BD Plant List'!AD$5</f>
        <v>0.90199999999999991</v>
      </c>
      <c r="K201" s="295">
        <f>'BD Plant List'!$H203/12*'BD Feedstock'!K$3*'BD Plant List'!AB$5</f>
        <v>0</v>
      </c>
      <c r="L201" s="295">
        <f>'BD Plant List'!$H203/12*'BD Feedstock'!L$3*'BD Plant List'!AC$5</f>
        <v>0</v>
      </c>
      <c r="M201" s="295">
        <f>'BD Plant List'!$I203/12*'BD Feedstock'!$M$3*'BD Plant List'!AC$5</f>
        <v>3.4291666666666671</v>
      </c>
      <c r="N201" s="295">
        <f>'BD Plant List'!$J203/12*'BD Feedstock'!N$3*'BD Plant List'!AC$5</f>
        <v>0</v>
      </c>
      <c r="O201" s="295">
        <f>'BD Plant List'!$K203/12*'BD Feedstock'!O$3*'BD Plant List'!AC$5</f>
        <v>0</v>
      </c>
      <c r="P201" s="295">
        <f>'BD Plant List'!$L203/12*'BD Feedstock'!P$3*'BD Plant List'!AE$5</f>
        <v>0</v>
      </c>
      <c r="Q201" s="295">
        <f>'BD Plant List'!$M203/12*'BD Feedstock'!Q$3*'BD Plant List'!AE$5</f>
        <v>0.93125000000000002</v>
      </c>
      <c r="R201" s="295">
        <f>'BD Plant List'!$N203/12*'BD Feedstock'!R$3*'BD Plant List'!AE$5</f>
        <v>26.540625000000002</v>
      </c>
      <c r="S201" s="295">
        <f>'BD Plant List'!$N203/12*'BD Feedstock'!S$3*'BD Plant List'!AF$5</f>
        <v>1.40625</v>
      </c>
      <c r="T201" s="295">
        <f>'BD Plant List'!$O203/12*'BD Feedstock'!T$3*'BD Plant List'!AB$5</f>
        <v>8.5732126770944213</v>
      </c>
      <c r="U201" s="295">
        <f>'BD Plant List'!$O203/12*'BD Feedstock'!U$3*'BD Plant List'!AC$5</f>
        <v>3.0347329175263269</v>
      </c>
    </row>
    <row r="202" spans="1:21" ht="18">
      <c r="A202" s="293">
        <v>45839</v>
      </c>
      <c r="B202" s="295">
        <f>'BD Plant List'!B204/12*'BD Plant List'!$AE$5*$B$3</f>
        <v>43.458333333333336</v>
      </c>
      <c r="C202" s="295">
        <f>'BD Plant List'!$C204/12*'BD Plant List'!$AB$5*'BD Feedstock'!$D$3</f>
        <v>2.098958333333333</v>
      </c>
      <c r="D202" s="295">
        <f>'BD Plant List'!$C204/12*'BD Plant List'!$AC$5*'BD Feedstock'!$D$3</f>
        <v>2.2289583333333334</v>
      </c>
      <c r="E202" s="295">
        <f>'BD Plant List'!$D204/12*'BD Plant List'!AB$5*'BD Feedstock'!$E$3</f>
        <v>9.6875</v>
      </c>
      <c r="F202" s="295">
        <f>'BD Plant List'!$D204/12*'BD Plant List'!AC$5*'BD Feedstock'!$F$3</f>
        <v>3.4291666666666671</v>
      </c>
      <c r="G202" s="295">
        <f>'BD Plant List'!$E204/12*'BD Feedstock'!G$3*'BD Plant List'!AB$5</f>
        <v>1.453125</v>
      </c>
      <c r="H202" s="295">
        <f>'BD Plant List'!$E204/12*'BD Feedstock'!H$3*'BD Plant List'!AC$5</f>
        <v>0.51437500000000003</v>
      </c>
      <c r="I202" s="295">
        <f>'BD Plant List'!F204/12*'BD Feedstock'!I$3*'BD Plant List'!AC$5</f>
        <v>0.13716666666666666</v>
      </c>
      <c r="J202" s="295">
        <f>'BD Plant List'!G204/12*'BD Feedstock'!J$3*'BD Plant List'!AD$5</f>
        <v>0.90199999999999991</v>
      </c>
      <c r="K202" s="295">
        <f>'BD Plant List'!$H204/12*'BD Feedstock'!K$3*'BD Plant List'!AB$5</f>
        <v>0</v>
      </c>
      <c r="L202" s="295">
        <f>'BD Plant List'!$H204/12*'BD Feedstock'!L$3*'BD Plant List'!AC$5</f>
        <v>0</v>
      </c>
      <c r="M202" s="295">
        <f>'BD Plant List'!$I204/12*'BD Feedstock'!$M$3*'BD Plant List'!AC$5</f>
        <v>3.4291666666666671</v>
      </c>
      <c r="N202" s="295">
        <f>'BD Plant List'!$J204/12*'BD Feedstock'!N$3*'BD Plant List'!AC$5</f>
        <v>0</v>
      </c>
      <c r="O202" s="295">
        <f>'BD Plant List'!$K204/12*'BD Feedstock'!O$3*'BD Plant List'!AC$5</f>
        <v>0</v>
      </c>
      <c r="P202" s="295">
        <f>'BD Plant List'!$L204/12*'BD Feedstock'!P$3*'BD Plant List'!AE$5</f>
        <v>0</v>
      </c>
      <c r="Q202" s="295">
        <f>'BD Plant List'!$M204/12*'BD Feedstock'!Q$3*'BD Plant List'!AE$5</f>
        <v>0.93125000000000002</v>
      </c>
      <c r="R202" s="295">
        <f>'BD Plant List'!$N204/12*'BD Feedstock'!R$3*'BD Plant List'!AE$5</f>
        <v>26.540625000000002</v>
      </c>
      <c r="S202" s="295">
        <f>'BD Plant List'!$N204/12*'BD Feedstock'!S$3*'BD Plant List'!AF$5</f>
        <v>1.40625</v>
      </c>
      <c r="T202" s="295">
        <f>'BD Plant List'!$O204/12*'BD Feedstock'!T$3*'BD Plant List'!AB$5</f>
        <v>8.5732126770944213</v>
      </c>
      <c r="U202" s="295">
        <f>'BD Plant List'!$O204/12*'BD Feedstock'!U$3*'BD Plant List'!AC$5</f>
        <v>3.0347329175263269</v>
      </c>
    </row>
    <row r="203" spans="1:21" ht="18">
      <c r="A203" s="293">
        <v>45870</v>
      </c>
      <c r="B203" s="295">
        <f>'BD Plant List'!B205/12*'BD Plant List'!$AE$5*$B$3</f>
        <v>43.458333333333336</v>
      </c>
      <c r="C203" s="295">
        <f>'BD Plant List'!$C205/12*'BD Plant List'!$AB$5*'BD Feedstock'!$D$3</f>
        <v>2.098958333333333</v>
      </c>
      <c r="D203" s="295">
        <f>'BD Plant List'!$C205/12*'BD Plant List'!$AC$5*'BD Feedstock'!$D$3</f>
        <v>2.2289583333333334</v>
      </c>
      <c r="E203" s="295">
        <f>'BD Plant List'!$D205/12*'BD Plant List'!AB$5*'BD Feedstock'!$E$3</f>
        <v>9.6875</v>
      </c>
      <c r="F203" s="295">
        <f>'BD Plant List'!$D205/12*'BD Plant List'!AC$5*'BD Feedstock'!$F$3</f>
        <v>3.4291666666666671</v>
      </c>
      <c r="G203" s="295">
        <f>'BD Plant List'!$E205/12*'BD Feedstock'!G$3*'BD Plant List'!AB$5</f>
        <v>1.453125</v>
      </c>
      <c r="H203" s="295">
        <f>'BD Plant List'!$E205/12*'BD Feedstock'!H$3*'BD Plant List'!AC$5</f>
        <v>0.51437500000000003</v>
      </c>
      <c r="I203" s="295">
        <f>'BD Plant List'!F205/12*'BD Feedstock'!I$3*'BD Plant List'!AC$5</f>
        <v>0.13716666666666666</v>
      </c>
      <c r="J203" s="295">
        <f>'BD Plant List'!G205/12*'BD Feedstock'!J$3*'BD Plant List'!AD$5</f>
        <v>0.90199999999999991</v>
      </c>
      <c r="K203" s="295">
        <f>'BD Plant List'!$H205/12*'BD Feedstock'!K$3*'BD Plant List'!AB$5</f>
        <v>0</v>
      </c>
      <c r="L203" s="295">
        <f>'BD Plant List'!$H205/12*'BD Feedstock'!L$3*'BD Plant List'!AC$5</f>
        <v>0</v>
      </c>
      <c r="M203" s="295">
        <f>'BD Plant List'!$I205/12*'BD Feedstock'!$M$3*'BD Plant List'!AC$5</f>
        <v>3.4291666666666671</v>
      </c>
      <c r="N203" s="295">
        <f>'BD Plant List'!$J205/12*'BD Feedstock'!N$3*'BD Plant List'!AC$5</f>
        <v>0</v>
      </c>
      <c r="O203" s="295">
        <f>'BD Plant List'!$K205/12*'BD Feedstock'!O$3*'BD Plant List'!AC$5</f>
        <v>0</v>
      </c>
      <c r="P203" s="295">
        <f>'BD Plant List'!$L205/12*'BD Feedstock'!P$3*'BD Plant List'!AE$5</f>
        <v>0</v>
      </c>
      <c r="Q203" s="295">
        <f>'BD Plant List'!$M205/12*'BD Feedstock'!Q$3*'BD Plant List'!AE$5</f>
        <v>0.93125000000000002</v>
      </c>
      <c r="R203" s="295">
        <f>'BD Plant List'!$N205/12*'BD Feedstock'!R$3*'BD Plant List'!AE$5</f>
        <v>26.540625000000002</v>
      </c>
      <c r="S203" s="295">
        <f>'BD Plant List'!$N205/12*'BD Feedstock'!S$3*'BD Plant List'!AF$5</f>
        <v>1.40625</v>
      </c>
      <c r="T203" s="295">
        <f>'BD Plant List'!$O205/12*'BD Feedstock'!T$3*'BD Plant List'!AB$5</f>
        <v>8.5732126770944213</v>
      </c>
      <c r="U203" s="295">
        <f>'BD Plant List'!$O205/12*'BD Feedstock'!U$3*'BD Plant List'!AC$5</f>
        <v>3.0347329175263269</v>
      </c>
    </row>
    <row r="204" spans="1:21" ht="18">
      <c r="A204" s="293">
        <v>45901</v>
      </c>
      <c r="B204" s="295">
        <f>'BD Plant List'!B206/12*'BD Plant List'!$AE$5*$B$3</f>
        <v>43.458333333333336</v>
      </c>
      <c r="C204" s="295">
        <f>'BD Plant List'!$C206/12*'BD Plant List'!$AB$5*'BD Feedstock'!$D$3</f>
        <v>2.098958333333333</v>
      </c>
      <c r="D204" s="295">
        <f>'BD Plant List'!$C206/12*'BD Plant List'!$AC$5*'BD Feedstock'!$D$3</f>
        <v>2.2289583333333334</v>
      </c>
      <c r="E204" s="295">
        <f>'BD Plant List'!$D206/12*'BD Plant List'!AB$5*'BD Feedstock'!$E$3</f>
        <v>9.6875</v>
      </c>
      <c r="F204" s="295">
        <f>'BD Plant List'!$D206/12*'BD Plant List'!AC$5*'BD Feedstock'!$F$3</f>
        <v>3.4291666666666671</v>
      </c>
      <c r="G204" s="295">
        <f>'BD Plant List'!$E206/12*'BD Feedstock'!G$3*'BD Plant List'!AB$5</f>
        <v>1.453125</v>
      </c>
      <c r="H204" s="295">
        <f>'BD Plant List'!$E206/12*'BD Feedstock'!H$3*'BD Plant List'!AC$5</f>
        <v>0.51437500000000003</v>
      </c>
      <c r="I204" s="295">
        <f>'BD Plant List'!F206/12*'BD Feedstock'!I$3*'BD Plant List'!AC$5</f>
        <v>0.13716666666666666</v>
      </c>
      <c r="J204" s="295">
        <f>'BD Plant List'!G206/12*'BD Feedstock'!J$3*'BD Plant List'!AD$5</f>
        <v>0.90199999999999991</v>
      </c>
      <c r="K204" s="295">
        <f>'BD Plant List'!$H206/12*'BD Feedstock'!K$3*'BD Plant List'!AB$5</f>
        <v>0</v>
      </c>
      <c r="L204" s="295">
        <f>'BD Plant List'!$H206/12*'BD Feedstock'!L$3*'BD Plant List'!AC$5</f>
        <v>0</v>
      </c>
      <c r="M204" s="295">
        <f>'BD Plant List'!$I206/12*'BD Feedstock'!$M$3*'BD Plant List'!AC$5</f>
        <v>3.4291666666666671</v>
      </c>
      <c r="N204" s="295">
        <f>'BD Plant List'!$J206/12*'BD Feedstock'!N$3*'BD Plant List'!AC$5</f>
        <v>0</v>
      </c>
      <c r="O204" s="295">
        <f>'BD Plant List'!$K206/12*'BD Feedstock'!O$3*'BD Plant List'!AC$5</f>
        <v>0</v>
      </c>
      <c r="P204" s="295">
        <f>'BD Plant List'!$L206/12*'BD Feedstock'!P$3*'BD Plant List'!AE$5</f>
        <v>0</v>
      </c>
      <c r="Q204" s="295">
        <f>'BD Plant List'!$M206/12*'BD Feedstock'!Q$3*'BD Plant List'!AE$5</f>
        <v>0.93125000000000002</v>
      </c>
      <c r="R204" s="295">
        <f>'BD Plant List'!$N206/12*'BD Feedstock'!R$3*'BD Plant List'!AE$5</f>
        <v>26.540625000000002</v>
      </c>
      <c r="S204" s="295">
        <f>'BD Plant List'!$N206/12*'BD Feedstock'!S$3*'BD Plant List'!AF$5</f>
        <v>1.40625</v>
      </c>
      <c r="T204" s="295">
        <f>'BD Plant List'!$O206/12*'BD Feedstock'!T$3*'BD Plant List'!AB$5</f>
        <v>8.5732126770944213</v>
      </c>
      <c r="U204" s="295">
        <f>'BD Plant List'!$O206/12*'BD Feedstock'!U$3*'BD Plant List'!AC$5</f>
        <v>3.0347329175263269</v>
      </c>
    </row>
    <row r="205" spans="1:21" ht="18">
      <c r="A205" s="293">
        <v>45931</v>
      </c>
      <c r="B205" s="295">
        <f>'BD Plant List'!B207/12*'BD Plant List'!$AE$5*$B$3</f>
        <v>43.458333333333336</v>
      </c>
      <c r="C205" s="295">
        <f>'BD Plant List'!$C207/12*'BD Plant List'!$AB$5*'BD Feedstock'!$D$3</f>
        <v>2.098958333333333</v>
      </c>
      <c r="D205" s="295">
        <f>'BD Plant List'!$C207/12*'BD Plant List'!$AC$5*'BD Feedstock'!$D$3</f>
        <v>2.2289583333333334</v>
      </c>
      <c r="E205" s="295">
        <f>'BD Plant List'!$D207/12*'BD Plant List'!AB$5*'BD Feedstock'!$E$3</f>
        <v>9.6875</v>
      </c>
      <c r="F205" s="295">
        <f>'BD Plant List'!$D207/12*'BD Plant List'!AC$5*'BD Feedstock'!$F$3</f>
        <v>3.4291666666666671</v>
      </c>
      <c r="G205" s="295">
        <f>'BD Plant List'!$E207/12*'BD Feedstock'!G$3*'BD Plant List'!AB$5</f>
        <v>1.453125</v>
      </c>
      <c r="H205" s="295">
        <f>'BD Plant List'!$E207/12*'BD Feedstock'!H$3*'BD Plant List'!AC$5</f>
        <v>0.51437500000000003</v>
      </c>
      <c r="I205" s="295">
        <f>'BD Plant List'!F207/12*'BD Feedstock'!I$3*'BD Plant List'!AC$5</f>
        <v>0.13716666666666666</v>
      </c>
      <c r="J205" s="295">
        <f>'BD Plant List'!G207/12*'BD Feedstock'!J$3*'BD Plant List'!AD$5</f>
        <v>0.90199999999999991</v>
      </c>
      <c r="K205" s="295">
        <f>'BD Plant List'!$H207/12*'BD Feedstock'!K$3*'BD Plant List'!AB$5</f>
        <v>0</v>
      </c>
      <c r="L205" s="295">
        <f>'BD Plant List'!$H207/12*'BD Feedstock'!L$3*'BD Plant List'!AC$5</f>
        <v>0</v>
      </c>
      <c r="M205" s="295">
        <f>'BD Plant List'!$I207/12*'BD Feedstock'!$M$3*'BD Plant List'!AC$5</f>
        <v>3.4291666666666671</v>
      </c>
      <c r="N205" s="295">
        <f>'BD Plant List'!$J207/12*'BD Feedstock'!N$3*'BD Plant List'!AC$5</f>
        <v>0</v>
      </c>
      <c r="O205" s="295">
        <f>'BD Plant List'!$K207/12*'BD Feedstock'!O$3*'BD Plant List'!AC$5</f>
        <v>0</v>
      </c>
      <c r="P205" s="295">
        <f>'BD Plant List'!$L207/12*'BD Feedstock'!P$3*'BD Plant List'!AE$5</f>
        <v>0</v>
      </c>
      <c r="Q205" s="295">
        <f>'BD Plant List'!$M207/12*'BD Feedstock'!Q$3*'BD Plant List'!AE$5</f>
        <v>0.93125000000000002</v>
      </c>
      <c r="R205" s="295">
        <f>'BD Plant List'!$N207/12*'BD Feedstock'!R$3*'BD Plant List'!AE$5</f>
        <v>26.540625000000002</v>
      </c>
      <c r="S205" s="295">
        <f>'BD Plant List'!$N207/12*'BD Feedstock'!S$3*'BD Plant List'!AF$5</f>
        <v>1.40625</v>
      </c>
      <c r="T205" s="295">
        <f>'BD Plant List'!$O207/12*'BD Feedstock'!T$3*'BD Plant List'!AB$5</f>
        <v>8.5732126770944213</v>
      </c>
      <c r="U205" s="295">
        <f>'BD Plant List'!$O207/12*'BD Feedstock'!U$3*'BD Plant List'!AC$5</f>
        <v>3.0347329175263269</v>
      </c>
    </row>
    <row r="206" spans="1:21" ht="18">
      <c r="A206" s="293">
        <v>45962</v>
      </c>
      <c r="B206" s="295">
        <f>'BD Plant List'!B208/12*'BD Plant List'!$AE$5*$B$3</f>
        <v>43.458333333333336</v>
      </c>
      <c r="C206" s="295">
        <f>'BD Plant List'!$C208/12*'BD Plant List'!$AB$5*'BD Feedstock'!$D$3</f>
        <v>2.098958333333333</v>
      </c>
      <c r="D206" s="295">
        <f>'BD Plant List'!$C208/12*'BD Plant List'!$AC$5*'BD Feedstock'!$D$3</f>
        <v>2.2289583333333334</v>
      </c>
      <c r="E206" s="295">
        <f>'BD Plant List'!$D208/12*'BD Plant List'!AB$5*'BD Feedstock'!$E$3</f>
        <v>9.6875</v>
      </c>
      <c r="F206" s="295">
        <f>'BD Plant List'!$D208/12*'BD Plant List'!AC$5*'BD Feedstock'!$F$3</f>
        <v>3.4291666666666671</v>
      </c>
      <c r="G206" s="295">
        <f>'BD Plant List'!$E208/12*'BD Feedstock'!G$3*'BD Plant List'!AB$5</f>
        <v>1.453125</v>
      </c>
      <c r="H206" s="295">
        <f>'BD Plant List'!$E208/12*'BD Feedstock'!H$3*'BD Plant List'!AC$5</f>
        <v>0.51437500000000003</v>
      </c>
      <c r="I206" s="295">
        <f>'BD Plant List'!F208/12*'BD Feedstock'!I$3*'BD Plant List'!AC$5</f>
        <v>0.13716666666666666</v>
      </c>
      <c r="J206" s="295">
        <f>'BD Plant List'!G208/12*'BD Feedstock'!J$3*'BD Plant List'!AD$5</f>
        <v>0.90199999999999991</v>
      </c>
      <c r="K206" s="295">
        <f>'BD Plant List'!$H208/12*'BD Feedstock'!K$3*'BD Plant List'!AB$5</f>
        <v>0</v>
      </c>
      <c r="L206" s="295">
        <f>'BD Plant List'!$H208/12*'BD Feedstock'!L$3*'BD Plant List'!AC$5</f>
        <v>0</v>
      </c>
      <c r="M206" s="295">
        <f>'BD Plant List'!$I208/12*'BD Feedstock'!$M$3*'BD Plant List'!AC$5</f>
        <v>3.4291666666666671</v>
      </c>
      <c r="N206" s="295">
        <f>'BD Plant List'!$J208/12*'BD Feedstock'!N$3*'BD Plant List'!AC$5</f>
        <v>0</v>
      </c>
      <c r="O206" s="295">
        <f>'BD Plant List'!$K208/12*'BD Feedstock'!O$3*'BD Plant List'!AC$5</f>
        <v>0</v>
      </c>
      <c r="P206" s="295">
        <f>'BD Plant List'!$L208/12*'BD Feedstock'!P$3*'BD Plant List'!AE$5</f>
        <v>0</v>
      </c>
      <c r="Q206" s="295">
        <f>'BD Plant List'!$M208/12*'BD Feedstock'!Q$3*'BD Plant List'!AE$5</f>
        <v>0.93125000000000002</v>
      </c>
      <c r="R206" s="295">
        <f>'BD Plant List'!$N208/12*'BD Feedstock'!R$3*'BD Plant List'!AE$5</f>
        <v>26.540625000000002</v>
      </c>
      <c r="S206" s="295">
        <f>'BD Plant List'!$N208/12*'BD Feedstock'!S$3*'BD Plant List'!AF$5</f>
        <v>1.40625</v>
      </c>
      <c r="T206" s="295">
        <f>'BD Plant List'!$O208/12*'BD Feedstock'!T$3*'BD Plant List'!AB$5</f>
        <v>8.5732126770944213</v>
      </c>
      <c r="U206" s="295">
        <f>'BD Plant List'!$O208/12*'BD Feedstock'!U$3*'BD Plant List'!AC$5</f>
        <v>3.0347329175263269</v>
      </c>
    </row>
    <row r="207" spans="1:21" ht="18">
      <c r="A207" s="293">
        <v>45992</v>
      </c>
      <c r="B207" s="295">
        <f>'BD Plant List'!B209/12*'BD Plant List'!$AE$5*$B$3</f>
        <v>43.458333333333336</v>
      </c>
      <c r="C207" s="295">
        <f>'BD Plant List'!$C209/12*'BD Plant List'!$AB$5*'BD Feedstock'!$D$3</f>
        <v>2.098958333333333</v>
      </c>
      <c r="D207" s="295">
        <f>'BD Plant List'!$C209/12*'BD Plant List'!$AC$5*'BD Feedstock'!$D$3</f>
        <v>2.2289583333333334</v>
      </c>
      <c r="E207" s="295">
        <f>'BD Plant List'!$D209/12*'BD Plant List'!AB$5*'BD Feedstock'!$E$3</f>
        <v>9.6875</v>
      </c>
      <c r="F207" s="295">
        <f>'BD Plant List'!$D209/12*'BD Plant List'!AC$5*'BD Feedstock'!$F$3</f>
        <v>3.4291666666666671</v>
      </c>
      <c r="G207" s="295">
        <f>'BD Plant List'!$E209/12*'BD Feedstock'!G$3*'BD Plant List'!AB$5</f>
        <v>1.453125</v>
      </c>
      <c r="H207" s="295">
        <f>'BD Plant List'!$E209/12*'BD Feedstock'!H$3*'BD Plant List'!AC$5</f>
        <v>0.51437500000000003</v>
      </c>
      <c r="I207" s="295">
        <f>'BD Plant List'!F209/12*'BD Feedstock'!I$3*'BD Plant List'!AC$5</f>
        <v>0.13716666666666666</v>
      </c>
      <c r="J207" s="295">
        <f>'BD Plant List'!G209/12*'BD Feedstock'!J$3*'BD Plant List'!AD$5</f>
        <v>0.90199999999999991</v>
      </c>
      <c r="K207" s="295">
        <f>'BD Plant List'!$H209/12*'BD Feedstock'!K$3*'BD Plant List'!AB$5</f>
        <v>0</v>
      </c>
      <c r="L207" s="295">
        <f>'BD Plant List'!$H209/12*'BD Feedstock'!L$3*'BD Plant List'!AC$5</f>
        <v>0</v>
      </c>
      <c r="M207" s="295">
        <f>'BD Plant List'!$I209/12*'BD Feedstock'!$M$3*'BD Plant List'!AC$5</f>
        <v>3.4291666666666671</v>
      </c>
      <c r="N207" s="295">
        <f>'BD Plant List'!$J209/12*'BD Feedstock'!N$3*'BD Plant List'!AC$5</f>
        <v>0</v>
      </c>
      <c r="O207" s="295">
        <f>'BD Plant List'!$K209/12*'BD Feedstock'!O$3*'BD Plant List'!AC$5</f>
        <v>0</v>
      </c>
      <c r="P207" s="295">
        <f>'BD Plant List'!$L209/12*'BD Feedstock'!P$3*'BD Plant List'!AE$5</f>
        <v>0</v>
      </c>
      <c r="Q207" s="295">
        <f>'BD Plant List'!$M209/12*'BD Feedstock'!Q$3*'BD Plant List'!AE$5</f>
        <v>0.93125000000000002</v>
      </c>
      <c r="R207" s="295">
        <f>'BD Plant List'!$N209/12*'BD Feedstock'!R$3*'BD Plant List'!AE$5</f>
        <v>26.540625000000002</v>
      </c>
      <c r="S207" s="295">
        <f>'BD Plant List'!$N209/12*'BD Feedstock'!S$3*'BD Plant List'!AF$5</f>
        <v>1.40625</v>
      </c>
      <c r="T207" s="295">
        <f>'BD Plant List'!$O209/12*'BD Feedstock'!T$3*'BD Plant List'!AB$5</f>
        <v>8.5732126770944213</v>
      </c>
      <c r="U207" s="295">
        <f>'BD Plant List'!$O209/12*'BD Feedstock'!U$3*'BD Plant List'!AC$5</f>
        <v>3.0347329175263269</v>
      </c>
    </row>
    <row r="208" spans="1:21" ht="18">
      <c r="A208" s="293">
        <v>46023</v>
      </c>
      <c r="B208" s="295">
        <f>'BD Plant List'!B210/12*'BD Plant List'!$AE$5*$B$3</f>
        <v>43.458333333333336</v>
      </c>
      <c r="C208" s="295">
        <f>'BD Plant List'!$C210/12*'BD Plant List'!$AB$5*'BD Feedstock'!$D$3</f>
        <v>2.098958333333333</v>
      </c>
      <c r="D208" s="295">
        <f>'BD Plant List'!$C210/12*'BD Plant List'!$AC$5*'BD Feedstock'!$D$3</f>
        <v>2.2289583333333334</v>
      </c>
      <c r="E208" s="295">
        <f>'BD Plant List'!$D210/12*'BD Plant List'!AB$5*'BD Feedstock'!$E$3</f>
        <v>9.6875</v>
      </c>
      <c r="F208" s="295">
        <f>'BD Plant List'!$D210/12*'BD Plant List'!AC$5*'BD Feedstock'!$F$3</f>
        <v>3.4291666666666671</v>
      </c>
      <c r="G208" s="295">
        <f>'BD Plant List'!$E210/12*'BD Feedstock'!G$3*'BD Plant List'!AB$5</f>
        <v>1.453125</v>
      </c>
      <c r="H208" s="295">
        <f>'BD Plant List'!$E210/12*'BD Feedstock'!H$3*'BD Plant List'!AC$5</f>
        <v>0.51437500000000003</v>
      </c>
      <c r="I208" s="295">
        <f>'BD Plant List'!F210/12*'BD Feedstock'!I$3*'BD Plant List'!AC$5</f>
        <v>0.13716666666666666</v>
      </c>
      <c r="J208" s="295">
        <f>'BD Plant List'!G210/12*'BD Feedstock'!J$3*'BD Plant List'!AD$5</f>
        <v>0.90199999999999991</v>
      </c>
      <c r="K208" s="295">
        <f>'BD Plant List'!$H210/12*'BD Feedstock'!K$3*'BD Plant List'!AB$5</f>
        <v>0</v>
      </c>
      <c r="L208" s="295">
        <f>'BD Plant List'!$H210/12*'BD Feedstock'!L$3*'BD Plant List'!AC$5</f>
        <v>0</v>
      </c>
      <c r="M208" s="295">
        <f>'BD Plant List'!$I210/12*'BD Feedstock'!$M$3*'BD Plant List'!AC$5</f>
        <v>3.4291666666666671</v>
      </c>
      <c r="N208" s="295">
        <f>'BD Plant List'!$J210/12*'BD Feedstock'!N$3*'BD Plant List'!AC$5</f>
        <v>0</v>
      </c>
      <c r="O208" s="295">
        <f>'BD Plant List'!$K210/12*'BD Feedstock'!O$3*'BD Plant List'!AC$5</f>
        <v>0</v>
      </c>
      <c r="P208" s="295">
        <f>'BD Plant List'!$L210/12*'BD Feedstock'!P$3*'BD Plant List'!AE$5</f>
        <v>0</v>
      </c>
      <c r="Q208" s="295">
        <f>'BD Plant List'!$M210/12*'BD Feedstock'!Q$3*'BD Plant List'!AE$5</f>
        <v>0.93125000000000002</v>
      </c>
      <c r="R208" s="295">
        <f>'BD Plant List'!$N210/12*'BD Feedstock'!R$3*'BD Plant List'!AE$5</f>
        <v>26.540625000000002</v>
      </c>
      <c r="S208" s="295">
        <f>'BD Plant List'!$N210/12*'BD Feedstock'!S$3*'BD Plant List'!AF$5</f>
        <v>1.40625</v>
      </c>
      <c r="T208" s="295">
        <f>'BD Plant List'!$O210/12*'BD Feedstock'!T$3*'BD Plant List'!AB$5</f>
        <v>8.5732126770944213</v>
      </c>
      <c r="U208" s="295">
        <f>'BD Plant List'!$O210/12*'BD Feedstock'!U$3*'BD Plant List'!AC$5</f>
        <v>3.0347329175263269</v>
      </c>
    </row>
    <row r="209" spans="1:21" ht="18">
      <c r="A209" s="293">
        <v>46054</v>
      </c>
      <c r="B209" s="295">
        <f>'BD Plant List'!B211/12*'BD Plant List'!$AE$5*$B$3</f>
        <v>43.458333333333336</v>
      </c>
      <c r="C209" s="295">
        <f>'BD Plant List'!$C211/12*'BD Plant List'!$AB$5*'BD Feedstock'!$D$3</f>
        <v>2.098958333333333</v>
      </c>
      <c r="D209" s="295">
        <f>'BD Plant List'!$C211/12*'BD Plant List'!$AC$5*'BD Feedstock'!$D$3</f>
        <v>2.2289583333333334</v>
      </c>
      <c r="E209" s="295">
        <f>'BD Plant List'!$D211/12*'BD Plant List'!AB$5*'BD Feedstock'!$E$3</f>
        <v>9.6875</v>
      </c>
      <c r="F209" s="295">
        <f>'BD Plant List'!$D211/12*'BD Plant List'!AC$5*'BD Feedstock'!$F$3</f>
        <v>3.4291666666666671</v>
      </c>
      <c r="G209" s="295">
        <f>'BD Plant List'!$E211/12*'BD Feedstock'!G$3*'BD Plant List'!AB$5</f>
        <v>1.453125</v>
      </c>
      <c r="H209" s="295">
        <f>'BD Plant List'!$E211/12*'BD Feedstock'!H$3*'BD Plant List'!AC$5</f>
        <v>0.51437500000000003</v>
      </c>
      <c r="I209" s="295">
        <f>'BD Plant List'!F211/12*'BD Feedstock'!I$3*'BD Plant List'!AC$5</f>
        <v>0.13716666666666666</v>
      </c>
      <c r="J209" s="295">
        <f>'BD Plant List'!G211/12*'BD Feedstock'!J$3*'BD Plant List'!AD$5</f>
        <v>0.90199999999999991</v>
      </c>
      <c r="K209" s="295">
        <f>'BD Plant List'!$H211/12*'BD Feedstock'!K$3*'BD Plant List'!AB$5</f>
        <v>0</v>
      </c>
      <c r="L209" s="295">
        <f>'BD Plant List'!$H211/12*'BD Feedstock'!L$3*'BD Plant List'!AC$5</f>
        <v>0</v>
      </c>
      <c r="M209" s="295">
        <f>'BD Plant List'!$I211/12*'BD Feedstock'!$M$3*'BD Plant List'!AC$5</f>
        <v>3.4291666666666671</v>
      </c>
      <c r="N209" s="295">
        <f>'BD Plant List'!$J211/12*'BD Feedstock'!N$3*'BD Plant List'!AC$5</f>
        <v>0</v>
      </c>
      <c r="O209" s="295">
        <f>'BD Plant List'!$K211/12*'BD Feedstock'!O$3*'BD Plant List'!AC$5</f>
        <v>0</v>
      </c>
      <c r="P209" s="295">
        <f>'BD Plant List'!$L211/12*'BD Feedstock'!P$3*'BD Plant List'!AE$5</f>
        <v>0</v>
      </c>
      <c r="Q209" s="295">
        <f>'BD Plant List'!$M211/12*'BD Feedstock'!Q$3*'BD Plant List'!AE$5</f>
        <v>0.93125000000000002</v>
      </c>
      <c r="R209" s="295">
        <f>'BD Plant List'!$N211/12*'BD Feedstock'!R$3*'BD Plant List'!AE$5</f>
        <v>26.540625000000002</v>
      </c>
      <c r="S209" s="295">
        <f>'BD Plant List'!$N211/12*'BD Feedstock'!S$3*'BD Plant List'!AF$5</f>
        <v>1.40625</v>
      </c>
      <c r="T209" s="295">
        <f>'BD Plant List'!$O211/12*'BD Feedstock'!T$3*'BD Plant List'!AB$5</f>
        <v>8.5732126770944213</v>
      </c>
      <c r="U209" s="295">
        <f>'BD Plant List'!$O211/12*'BD Feedstock'!U$3*'BD Plant List'!AC$5</f>
        <v>3.0347329175263269</v>
      </c>
    </row>
    <row r="210" spans="1:21" ht="18">
      <c r="A210" s="293">
        <v>46082</v>
      </c>
      <c r="B210" s="295">
        <f>'BD Plant List'!B212/12*'BD Plant List'!$AE$5*$B$3</f>
        <v>43.458333333333336</v>
      </c>
      <c r="C210" s="295">
        <f>'BD Plant List'!$C212/12*'BD Plant List'!$AB$5*'BD Feedstock'!$D$3</f>
        <v>2.098958333333333</v>
      </c>
      <c r="D210" s="295">
        <f>'BD Plant List'!$C212/12*'BD Plant List'!$AC$5*'BD Feedstock'!$D$3</f>
        <v>2.2289583333333334</v>
      </c>
      <c r="E210" s="295">
        <f>'BD Plant List'!$D212/12*'BD Plant List'!AB$5*'BD Feedstock'!$E$3</f>
        <v>9.6875</v>
      </c>
      <c r="F210" s="295">
        <f>'BD Plant List'!$D212/12*'BD Plant List'!AC$5*'BD Feedstock'!$F$3</f>
        <v>3.4291666666666671</v>
      </c>
      <c r="G210" s="295">
        <f>'BD Plant List'!$E212/12*'BD Feedstock'!G$3*'BD Plant List'!AB$5</f>
        <v>1.453125</v>
      </c>
      <c r="H210" s="295">
        <f>'BD Plant List'!$E212/12*'BD Feedstock'!H$3*'BD Plant List'!AC$5</f>
        <v>0.51437500000000003</v>
      </c>
      <c r="I210" s="295">
        <f>'BD Plant List'!F212/12*'BD Feedstock'!I$3*'BD Plant List'!AC$5</f>
        <v>0.13716666666666666</v>
      </c>
      <c r="J210" s="295">
        <f>'BD Plant List'!G212/12*'BD Feedstock'!J$3*'BD Plant List'!AD$5</f>
        <v>0.90199999999999991</v>
      </c>
      <c r="K210" s="295">
        <f>'BD Plant List'!$H212/12*'BD Feedstock'!K$3*'BD Plant List'!AB$5</f>
        <v>0</v>
      </c>
      <c r="L210" s="295">
        <f>'BD Plant List'!$H212/12*'BD Feedstock'!L$3*'BD Plant List'!AC$5</f>
        <v>0</v>
      </c>
      <c r="M210" s="295">
        <f>'BD Plant List'!$I212/12*'BD Feedstock'!$M$3*'BD Plant List'!AC$5</f>
        <v>3.4291666666666671</v>
      </c>
      <c r="N210" s="295">
        <f>'BD Plant List'!$J212/12*'BD Feedstock'!N$3*'BD Plant List'!AC$5</f>
        <v>0</v>
      </c>
      <c r="O210" s="295">
        <f>'BD Plant List'!$K212/12*'BD Feedstock'!O$3*'BD Plant List'!AC$5</f>
        <v>0</v>
      </c>
      <c r="P210" s="295">
        <f>'BD Plant List'!$L212/12*'BD Feedstock'!P$3*'BD Plant List'!AE$5</f>
        <v>0</v>
      </c>
      <c r="Q210" s="295">
        <f>'BD Plant List'!$M212/12*'BD Feedstock'!Q$3*'BD Plant List'!AE$5</f>
        <v>0.93125000000000002</v>
      </c>
      <c r="R210" s="295">
        <f>'BD Plant List'!$N212/12*'BD Feedstock'!R$3*'BD Plant List'!AE$5</f>
        <v>26.540625000000002</v>
      </c>
      <c r="S210" s="295">
        <f>'BD Plant List'!$N212/12*'BD Feedstock'!S$3*'BD Plant List'!AF$5</f>
        <v>1.40625</v>
      </c>
      <c r="T210" s="295">
        <f>'BD Plant List'!$O212/12*'BD Feedstock'!T$3*'BD Plant List'!AB$5</f>
        <v>8.5732126770944213</v>
      </c>
      <c r="U210" s="295">
        <f>'BD Plant List'!$O212/12*'BD Feedstock'!U$3*'BD Plant List'!AC$5</f>
        <v>3.0347329175263269</v>
      </c>
    </row>
    <row r="211" spans="1:21" ht="18">
      <c r="A211" s="293">
        <v>46113</v>
      </c>
      <c r="B211" s="295">
        <f>'BD Plant List'!B213/12*'BD Plant List'!$AE$5*$B$3</f>
        <v>43.458333333333336</v>
      </c>
      <c r="C211" s="295">
        <f>'BD Plant List'!$C213/12*'BD Plant List'!$AB$5*'BD Feedstock'!$D$3</f>
        <v>2.098958333333333</v>
      </c>
      <c r="D211" s="295">
        <f>'BD Plant List'!$C213/12*'BD Plant List'!$AC$5*'BD Feedstock'!$D$3</f>
        <v>2.2289583333333334</v>
      </c>
      <c r="E211" s="295">
        <f>'BD Plant List'!$D213/12*'BD Plant List'!AB$5*'BD Feedstock'!$E$3</f>
        <v>9.6875</v>
      </c>
      <c r="F211" s="295">
        <f>'BD Plant List'!$D213/12*'BD Plant List'!AC$5*'BD Feedstock'!$F$3</f>
        <v>3.4291666666666671</v>
      </c>
      <c r="G211" s="295">
        <f>'BD Plant List'!$E213/12*'BD Feedstock'!G$3*'BD Plant List'!AB$5</f>
        <v>1.453125</v>
      </c>
      <c r="H211" s="295">
        <f>'BD Plant List'!$E213/12*'BD Feedstock'!H$3*'BD Plant List'!AC$5</f>
        <v>0.51437500000000003</v>
      </c>
      <c r="I211" s="295">
        <f>'BD Plant List'!F213/12*'BD Feedstock'!I$3*'BD Plant List'!AC$5</f>
        <v>0.13716666666666666</v>
      </c>
      <c r="J211" s="295">
        <f>'BD Plant List'!G213/12*'BD Feedstock'!J$3*'BD Plant List'!AD$5</f>
        <v>0.90199999999999991</v>
      </c>
      <c r="K211" s="295">
        <f>'BD Plant List'!$H213/12*'BD Feedstock'!K$3*'BD Plant List'!AB$5</f>
        <v>0</v>
      </c>
      <c r="L211" s="295">
        <f>'BD Plant List'!$H213/12*'BD Feedstock'!L$3*'BD Plant List'!AC$5</f>
        <v>0</v>
      </c>
      <c r="M211" s="295">
        <f>'BD Plant List'!$I213/12*'BD Feedstock'!$M$3*'BD Plant List'!AC$5</f>
        <v>3.4291666666666671</v>
      </c>
      <c r="N211" s="295">
        <f>'BD Plant List'!$J213/12*'BD Feedstock'!N$3*'BD Plant List'!AC$5</f>
        <v>0</v>
      </c>
      <c r="O211" s="295">
        <f>'BD Plant List'!$K213/12*'BD Feedstock'!O$3*'BD Plant List'!AC$5</f>
        <v>0</v>
      </c>
      <c r="P211" s="295">
        <f>'BD Plant List'!$L213/12*'BD Feedstock'!P$3*'BD Plant List'!AE$5</f>
        <v>0</v>
      </c>
      <c r="Q211" s="295">
        <f>'BD Plant List'!$M213/12*'BD Feedstock'!Q$3*'BD Plant List'!AE$5</f>
        <v>0.93125000000000002</v>
      </c>
      <c r="R211" s="295">
        <f>'BD Plant List'!$N213/12*'BD Feedstock'!R$3*'BD Plant List'!AE$5</f>
        <v>26.540625000000002</v>
      </c>
      <c r="S211" s="295">
        <f>'BD Plant List'!$N213/12*'BD Feedstock'!S$3*'BD Plant List'!AF$5</f>
        <v>1.40625</v>
      </c>
      <c r="T211" s="295">
        <f>'BD Plant List'!$O213/12*'BD Feedstock'!T$3*'BD Plant List'!AB$5</f>
        <v>8.5732126770944213</v>
      </c>
      <c r="U211" s="295">
        <f>'BD Plant List'!$O213/12*'BD Feedstock'!U$3*'BD Plant List'!AC$5</f>
        <v>3.0347329175263269</v>
      </c>
    </row>
    <row r="212" spans="1:21" ht="18">
      <c r="A212" s="293">
        <v>46143</v>
      </c>
      <c r="B212" s="295">
        <f>'BD Plant List'!B214/12*'BD Plant List'!$AE$5*$B$3</f>
        <v>43.458333333333336</v>
      </c>
      <c r="C212" s="295">
        <f>'BD Plant List'!$C214/12*'BD Plant List'!$AB$5*'BD Feedstock'!$D$3</f>
        <v>2.098958333333333</v>
      </c>
      <c r="D212" s="295">
        <f>'BD Plant List'!$C214/12*'BD Plant List'!$AC$5*'BD Feedstock'!$D$3</f>
        <v>2.2289583333333334</v>
      </c>
      <c r="E212" s="295">
        <f>'BD Plant List'!$D214/12*'BD Plant List'!AB$5*'BD Feedstock'!$E$3</f>
        <v>9.6875</v>
      </c>
      <c r="F212" s="295">
        <f>'BD Plant List'!$D214/12*'BD Plant List'!AC$5*'BD Feedstock'!$F$3</f>
        <v>3.4291666666666671</v>
      </c>
      <c r="G212" s="295">
        <f>'BD Plant List'!$E214/12*'BD Feedstock'!G$3*'BD Plant List'!AB$5</f>
        <v>1.453125</v>
      </c>
      <c r="H212" s="295">
        <f>'BD Plant List'!$E214/12*'BD Feedstock'!H$3*'BD Plant List'!AC$5</f>
        <v>0.51437500000000003</v>
      </c>
      <c r="I212" s="295">
        <f>'BD Plant List'!F214/12*'BD Feedstock'!I$3*'BD Plant List'!AC$5</f>
        <v>0.13716666666666666</v>
      </c>
      <c r="J212" s="295">
        <f>'BD Plant List'!G214/12*'BD Feedstock'!J$3*'BD Plant List'!AD$5</f>
        <v>0.90199999999999991</v>
      </c>
      <c r="K212" s="295">
        <f>'BD Plant List'!$H214/12*'BD Feedstock'!K$3*'BD Plant List'!AB$5</f>
        <v>0</v>
      </c>
      <c r="L212" s="295">
        <f>'BD Plant List'!$H214/12*'BD Feedstock'!L$3*'BD Plant List'!AC$5</f>
        <v>0</v>
      </c>
      <c r="M212" s="295">
        <f>'BD Plant List'!$I214/12*'BD Feedstock'!$M$3*'BD Plant List'!AC$5</f>
        <v>3.4291666666666671</v>
      </c>
      <c r="N212" s="295">
        <f>'BD Plant List'!$J214/12*'BD Feedstock'!N$3*'BD Plant List'!AC$5</f>
        <v>0</v>
      </c>
      <c r="O212" s="295">
        <f>'BD Plant List'!$K214/12*'BD Feedstock'!O$3*'BD Plant List'!AC$5</f>
        <v>0</v>
      </c>
      <c r="P212" s="295">
        <f>'BD Plant List'!$L214/12*'BD Feedstock'!P$3*'BD Plant List'!AE$5</f>
        <v>0</v>
      </c>
      <c r="Q212" s="295">
        <f>'BD Plant List'!$M214/12*'BD Feedstock'!Q$3*'BD Plant List'!AE$5</f>
        <v>0.93125000000000002</v>
      </c>
      <c r="R212" s="295">
        <f>'BD Plant List'!$N214/12*'BD Feedstock'!R$3*'BD Plant List'!AE$5</f>
        <v>26.540625000000002</v>
      </c>
      <c r="S212" s="295">
        <f>'BD Plant List'!$N214/12*'BD Feedstock'!S$3*'BD Plant List'!AF$5</f>
        <v>1.40625</v>
      </c>
      <c r="T212" s="295">
        <f>'BD Plant List'!$O214/12*'BD Feedstock'!T$3*'BD Plant List'!AB$5</f>
        <v>8.5732126770944213</v>
      </c>
      <c r="U212" s="295">
        <f>'BD Plant List'!$O214/12*'BD Feedstock'!U$3*'BD Plant List'!AC$5</f>
        <v>3.0347329175263269</v>
      </c>
    </row>
    <row r="213" spans="1:21" ht="18">
      <c r="A213" s="293">
        <v>46174</v>
      </c>
      <c r="B213" s="295">
        <f>'BD Plant List'!B215/12*'BD Plant List'!$AE$5*$B$3</f>
        <v>43.458333333333336</v>
      </c>
      <c r="C213" s="295">
        <f>'BD Plant List'!$C215/12*'BD Plant List'!$AB$5*'BD Feedstock'!$D$3</f>
        <v>2.098958333333333</v>
      </c>
      <c r="D213" s="295">
        <f>'BD Plant List'!$C215/12*'BD Plant List'!$AC$5*'BD Feedstock'!$D$3</f>
        <v>2.2289583333333334</v>
      </c>
      <c r="E213" s="295">
        <f>'BD Plant List'!$D215/12*'BD Plant List'!AB$5*'BD Feedstock'!$E$3</f>
        <v>9.6875</v>
      </c>
      <c r="F213" s="295">
        <f>'BD Plant List'!$D215/12*'BD Plant List'!AC$5*'BD Feedstock'!$F$3</f>
        <v>3.4291666666666671</v>
      </c>
      <c r="G213" s="295">
        <f>'BD Plant List'!$E215/12*'BD Feedstock'!G$3*'BD Plant List'!AB$5</f>
        <v>1.453125</v>
      </c>
      <c r="H213" s="295">
        <f>'BD Plant List'!$E215/12*'BD Feedstock'!H$3*'BD Plant List'!AC$5</f>
        <v>0.51437500000000003</v>
      </c>
      <c r="I213" s="295">
        <f>'BD Plant List'!F215/12*'BD Feedstock'!I$3*'BD Plant List'!AC$5</f>
        <v>0.13716666666666666</v>
      </c>
      <c r="J213" s="295">
        <f>'BD Plant List'!G215/12*'BD Feedstock'!J$3*'BD Plant List'!AD$5</f>
        <v>0.90199999999999991</v>
      </c>
      <c r="K213" s="295">
        <f>'BD Plant List'!$H215/12*'BD Feedstock'!K$3*'BD Plant List'!AB$5</f>
        <v>0</v>
      </c>
      <c r="L213" s="295">
        <f>'BD Plant List'!$H215/12*'BD Feedstock'!L$3*'BD Plant List'!AC$5</f>
        <v>0</v>
      </c>
      <c r="M213" s="295">
        <f>'BD Plant List'!$I215/12*'BD Feedstock'!$M$3*'BD Plant List'!AC$5</f>
        <v>3.4291666666666671</v>
      </c>
      <c r="N213" s="295">
        <f>'BD Plant List'!$J215/12*'BD Feedstock'!N$3*'BD Plant List'!AC$5</f>
        <v>0</v>
      </c>
      <c r="O213" s="295">
        <f>'BD Plant List'!$K215/12*'BD Feedstock'!O$3*'BD Plant List'!AC$5</f>
        <v>0</v>
      </c>
      <c r="P213" s="295">
        <f>'BD Plant List'!$L215/12*'BD Feedstock'!P$3*'BD Plant List'!AE$5</f>
        <v>0</v>
      </c>
      <c r="Q213" s="295">
        <f>'BD Plant List'!$M215/12*'BD Feedstock'!Q$3*'BD Plant List'!AE$5</f>
        <v>0.93125000000000002</v>
      </c>
      <c r="R213" s="295">
        <f>'BD Plant List'!$N215/12*'BD Feedstock'!R$3*'BD Plant List'!AE$5</f>
        <v>26.540625000000002</v>
      </c>
      <c r="S213" s="295">
        <f>'BD Plant List'!$N215/12*'BD Feedstock'!S$3*'BD Plant List'!AF$5</f>
        <v>1.40625</v>
      </c>
      <c r="T213" s="295">
        <f>'BD Plant List'!$O215/12*'BD Feedstock'!T$3*'BD Plant List'!AB$5</f>
        <v>8.5732126770944213</v>
      </c>
      <c r="U213" s="295">
        <f>'BD Plant List'!$O215/12*'BD Feedstock'!U$3*'BD Plant List'!AC$5</f>
        <v>3.0347329175263269</v>
      </c>
    </row>
    <row r="214" spans="1:21" ht="18">
      <c r="A214" s="293">
        <v>46204</v>
      </c>
      <c r="B214" s="295">
        <f>'BD Plant List'!B216/12*'BD Plant List'!$AE$5*$B$3</f>
        <v>43.458333333333336</v>
      </c>
      <c r="C214" s="295">
        <f>'BD Plant List'!$C216/12*'BD Plant List'!$AB$5*'BD Feedstock'!$D$3</f>
        <v>2.098958333333333</v>
      </c>
      <c r="D214" s="295">
        <f>'BD Plant List'!$C216/12*'BD Plant List'!$AC$5*'BD Feedstock'!$D$3</f>
        <v>2.2289583333333334</v>
      </c>
      <c r="E214" s="295">
        <f>'BD Plant List'!$D216/12*'BD Plant List'!AB$5*'BD Feedstock'!$E$3</f>
        <v>9.6875</v>
      </c>
      <c r="F214" s="295">
        <f>'BD Plant List'!$D216/12*'BD Plant List'!AC$5*'BD Feedstock'!$F$3</f>
        <v>3.4291666666666671</v>
      </c>
      <c r="G214" s="295">
        <f>'BD Plant List'!$E216/12*'BD Feedstock'!G$3*'BD Plant List'!AB$5</f>
        <v>1.453125</v>
      </c>
      <c r="H214" s="295">
        <f>'BD Plant List'!$E216/12*'BD Feedstock'!H$3*'BD Plant List'!AC$5</f>
        <v>0.51437500000000003</v>
      </c>
      <c r="I214" s="295">
        <f>'BD Plant List'!F216/12*'BD Feedstock'!I$3*'BD Plant List'!AC$5</f>
        <v>0.13716666666666666</v>
      </c>
      <c r="J214" s="295">
        <f>'BD Plant List'!G216/12*'BD Feedstock'!J$3*'BD Plant List'!AD$5</f>
        <v>0.90199999999999991</v>
      </c>
      <c r="K214" s="295">
        <f>'BD Plant List'!$H216/12*'BD Feedstock'!K$3*'BD Plant List'!AB$5</f>
        <v>0</v>
      </c>
      <c r="L214" s="295">
        <f>'BD Plant List'!$H216/12*'BD Feedstock'!L$3*'BD Plant List'!AC$5</f>
        <v>0</v>
      </c>
      <c r="M214" s="295">
        <f>'BD Plant List'!$I216/12*'BD Feedstock'!$M$3*'BD Plant List'!AC$5</f>
        <v>3.4291666666666671</v>
      </c>
      <c r="N214" s="295">
        <f>'BD Plant List'!$J216/12*'BD Feedstock'!N$3*'BD Plant List'!AC$5</f>
        <v>0</v>
      </c>
      <c r="O214" s="295">
        <f>'BD Plant List'!$K216/12*'BD Feedstock'!O$3*'BD Plant List'!AC$5</f>
        <v>0</v>
      </c>
      <c r="P214" s="295">
        <f>'BD Plant List'!$L216/12*'BD Feedstock'!P$3*'BD Plant List'!AE$5</f>
        <v>0</v>
      </c>
      <c r="Q214" s="295">
        <f>'BD Plant List'!$M216/12*'BD Feedstock'!Q$3*'BD Plant List'!AE$5</f>
        <v>0.93125000000000002</v>
      </c>
      <c r="R214" s="295">
        <f>'BD Plant List'!$N216/12*'BD Feedstock'!R$3*'BD Plant List'!AE$5</f>
        <v>26.540625000000002</v>
      </c>
      <c r="S214" s="295">
        <f>'BD Plant List'!$N216/12*'BD Feedstock'!S$3*'BD Plant List'!AF$5</f>
        <v>1.40625</v>
      </c>
      <c r="T214" s="295">
        <f>'BD Plant List'!$O216/12*'BD Feedstock'!T$3*'BD Plant List'!AB$5</f>
        <v>8.5732126770944213</v>
      </c>
      <c r="U214" s="295">
        <f>'BD Plant List'!$O216/12*'BD Feedstock'!U$3*'BD Plant List'!AC$5</f>
        <v>3.0347329175263269</v>
      </c>
    </row>
    <row r="215" spans="1:21" ht="18">
      <c r="A215" s="293">
        <v>46235</v>
      </c>
      <c r="B215" s="295">
        <f>'BD Plant List'!B217/12*'BD Plant List'!$AE$5*$B$3</f>
        <v>43.458333333333336</v>
      </c>
      <c r="C215" s="295">
        <f>'BD Plant List'!$C217/12*'BD Plant List'!$AB$5*'BD Feedstock'!$D$3</f>
        <v>2.098958333333333</v>
      </c>
      <c r="D215" s="295">
        <f>'BD Plant List'!$C217/12*'BD Plant List'!$AC$5*'BD Feedstock'!$D$3</f>
        <v>2.2289583333333334</v>
      </c>
      <c r="E215" s="295">
        <f>'BD Plant List'!$D217/12*'BD Plant List'!AB$5*'BD Feedstock'!$E$3</f>
        <v>9.6875</v>
      </c>
      <c r="F215" s="295">
        <f>'BD Plant List'!$D217/12*'BD Plant List'!AC$5*'BD Feedstock'!$F$3</f>
        <v>3.4291666666666671</v>
      </c>
      <c r="G215" s="295">
        <f>'BD Plant List'!$E217/12*'BD Feedstock'!G$3*'BD Plant List'!AB$5</f>
        <v>1.453125</v>
      </c>
      <c r="H215" s="295">
        <f>'BD Plant List'!$E217/12*'BD Feedstock'!H$3*'BD Plant List'!AC$5</f>
        <v>0.51437500000000003</v>
      </c>
      <c r="I215" s="295">
        <f>'BD Plant List'!F217/12*'BD Feedstock'!I$3*'BD Plant List'!AC$5</f>
        <v>0.13716666666666666</v>
      </c>
      <c r="J215" s="295">
        <f>'BD Plant List'!G217/12*'BD Feedstock'!J$3*'BD Plant List'!AD$5</f>
        <v>0.90199999999999991</v>
      </c>
      <c r="K215" s="295">
        <f>'BD Plant List'!$H217/12*'BD Feedstock'!K$3*'BD Plant List'!AB$5</f>
        <v>0</v>
      </c>
      <c r="L215" s="295">
        <f>'BD Plant List'!$H217/12*'BD Feedstock'!L$3*'BD Plant List'!AC$5</f>
        <v>0</v>
      </c>
      <c r="M215" s="295">
        <f>'BD Plant List'!$I217/12*'BD Feedstock'!$M$3*'BD Plant List'!AC$5</f>
        <v>3.4291666666666671</v>
      </c>
      <c r="N215" s="295">
        <f>'BD Plant List'!$J217/12*'BD Feedstock'!N$3*'BD Plant List'!AC$5</f>
        <v>0</v>
      </c>
      <c r="O215" s="295">
        <f>'BD Plant List'!$K217/12*'BD Feedstock'!O$3*'BD Plant List'!AC$5</f>
        <v>0</v>
      </c>
      <c r="P215" s="295">
        <f>'BD Plant List'!$L217/12*'BD Feedstock'!P$3*'BD Plant List'!AE$5</f>
        <v>0</v>
      </c>
      <c r="Q215" s="295">
        <f>'BD Plant List'!$M217/12*'BD Feedstock'!Q$3*'BD Plant List'!AE$5</f>
        <v>0.93125000000000002</v>
      </c>
      <c r="R215" s="295">
        <f>'BD Plant List'!$N217/12*'BD Feedstock'!R$3*'BD Plant List'!AE$5</f>
        <v>26.540625000000002</v>
      </c>
      <c r="S215" s="295">
        <f>'BD Plant List'!$N217/12*'BD Feedstock'!S$3*'BD Plant List'!AF$5</f>
        <v>1.40625</v>
      </c>
      <c r="T215" s="295">
        <f>'BD Plant List'!$O217/12*'BD Feedstock'!T$3*'BD Plant List'!AB$5</f>
        <v>8.5732126770944213</v>
      </c>
      <c r="U215" s="295">
        <f>'BD Plant List'!$O217/12*'BD Feedstock'!U$3*'BD Plant List'!AC$5</f>
        <v>3.0347329175263269</v>
      </c>
    </row>
    <row r="216" spans="1:21" ht="18">
      <c r="A216" s="293">
        <v>46266</v>
      </c>
      <c r="B216" s="295">
        <f>'BD Plant List'!B218/12*'BD Plant List'!$AE$5*$B$3</f>
        <v>43.458333333333336</v>
      </c>
      <c r="C216" s="295">
        <f>'BD Plant List'!$C218/12*'BD Plant List'!$AB$5*'BD Feedstock'!$D$3</f>
        <v>2.098958333333333</v>
      </c>
      <c r="D216" s="295">
        <f>'BD Plant List'!$C218/12*'BD Plant List'!$AC$5*'BD Feedstock'!$D$3</f>
        <v>2.2289583333333334</v>
      </c>
      <c r="E216" s="295">
        <f>'BD Plant List'!$D218/12*'BD Plant List'!AB$5*'BD Feedstock'!$E$3</f>
        <v>9.6875</v>
      </c>
      <c r="F216" s="295">
        <f>'BD Plant List'!$D218/12*'BD Plant List'!AC$5*'BD Feedstock'!$F$3</f>
        <v>3.4291666666666671</v>
      </c>
      <c r="G216" s="295">
        <f>'BD Plant List'!$E218/12*'BD Feedstock'!G$3*'BD Plant List'!AB$5</f>
        <v>1.453125</v>
      </c>
      <c r="H216" s="295">
        <f>'BD Plant List'!$E218/12*'BD Feedstock'!H$3*'BD Plant List'!AC$5</f>
        <v>0.51437500000000003</v>
      </c>
      <c r="I216" s="295">
        <f>'BD Plant List'!F218/12*'BD Feedstock'!I$3*'BD Plant List'!AC$5</f>
        <v>0.13716666666666666</v>
      </c>
      <c r="J216" s="295">
        <f>'BD Plant List'!G218/12*'BD Feedstock'!J$3*'BD Plant List'!AD$5</f>
        <v>0.90199999999999991</v>
      </c>
      <c r="K216" s="295">
        <f>'BD Plant List'!$H218/12*'BD Feedstock'!K$3*'BD Plant List'!AB$5</f>
        <v>0</v>
      </c>
      <c r="L216" s="295">
        <f>'BD Plant List'!$H218/12*'BD Feedstock'!L$3*'BD Plant List'!AC$5</f>
        <v>0</v>
      </c>
      <c r="M216" s="295">
        <f>'BD Plant List'!$I218/12*'BD Feedstock'!$M$3*'BD Plant List'!AC$5</f>
        <v>3.4291666666666671</v>
      </c>
      <c r="N216" s="295">
        <f>'BD Plant List'!$J218/12*'BD Feedstock'!N$3*'BD Plant List'!AC$5</f>
        <v>0</v>
      </c>
      <c r="O216" s="295">
        <f>'BD Plant List'!$K218/12*'BD Feedstock'!O$3*'BD Plant List'!AC$5</f>
        <v>0</v>
      </c>
      <c r="P216" s="295">
        <f>'BD Plant List'!$L218/12*'BD Feedstock'!P$3*'BD Plant List'!AE$5</f>
        <v>0</v>
      </c>
      <c r="Q216" s="295">
        <f>'BD Plant List'!$M218/12*'BD Feedstock'!Q$3*'BD Plant List'!AE$5</f>
        <v>0.93125000000000002</v>
      </c>
      <c r="R216" s="295">
        <f>'BD Plant List'!$N218/12*'BD Feedstock'!R$3*'BD Plant List'!AE$5</f>
        <v>26.540625000000002</v>
      </c>
      <c r="S216" s="295">
        <f>'BD Plant List'!$N218/12*'BD Feedstock'!S$3*'BD Plant List'!AF$5</f>
        <v>1.40625</v>
      </c>
      <c r="T216" s="295">
        <f>'BD Plant List'!$O218/12*'BD Feedstock'!T$3*'BD Plant List'!AB$5</f>
        <v>8.5732126770944213</v>
      </c>
      <c r="U216" s="295">
        <f>'BD Plant List'!$O218/12*'BD Feedstock'!U$3*'BD Plant List'!AC$5</f>
        <v>3.0347329175263269</v>
      </c>
    </row>
    <row r="217" spans="1:21" ht="18">
      <c r="A217" s="293">
        <v>46296</v>
      </c>
      <c r="B217" s="295">
        <f>'BD Plant List'!B219/12*'BD Plant List'!$AE$5*$B$3</f>
        <v>43.458333333333336</v>
      </c>
      <c r="C217" s="295">
        <f>'BD Plant List'!$C219/12*'BD Plant List'!$AB$5*'BD Feedstock'!$D$3</f>
        <v>2.098958333333333</v>
      </c>
      <c r="D217" s="295">
        <f>'BD Plant List'!$C219/12*'BD Plant List'!$AC$5*'BD Feedstock'!$D$3</f>
        <v>2.2289583333333334</v>
      </c>
      <c r="E217" s="295">
        <f>'BD Plant List'!$D219/12*'BD Plant List'!AB$5*'BD Feedstock'!$E$3</f>
        <v>9.6875</v>
      </c>
      <c r="F217" s="295">
        <f>'BD Plant List'!$D219/12*'BD Plant List'!AC$5*'BD Feedstock'!$F$3</f>
        <v>3.4291666666666671</v>
      </c>
      <c r="G217" s="295">
        <f>'BD Plant List'!$E219/12*'BD Feedstock'!G$3*'BD Plant List'!AB$5</f>
        <v>1.453125</v>
      </c>
      <c r="H217" s="295">
        <f>'BD Plant List'!$E219/12*'BD Feedstock'!H$3*'BD Plant List'!AC$5</f>
        <v>0.51437500000000003</v>
      </c>
      <c r="I217" s="295">
        <f>'BD Plant List'!F219/12*'BD Feedstock'!I$3*'BD Plant List'!AC$5</f>
        <v>0.13716666666666666</v>
      </c>
      <c r="J217" s="295">
        <f>'BD Plant List'!G219/12*'BD Feedstock'!J$3*'BD Plant List'!AD$5</f>
        <v>0.90199999999999991</v>
      </c>
      <c r="K217" s="295">
        <f>'BD Plant List'!$H219/12*'BD Feedstock'!K$3*'BD Plant List'!AB$5</f>
        <v>0</v>
      </c>
      <c r="L217" s="295">
        <f>'BD Plant List'!$H219/12*'BD Feedstock'!L$3*'BD Plant List'!AC$5</f>
        <v>0</v>
      </c>
      <c r="M217" s="295">
        <f>'BD Plant List'!$I219/12*'BD Feedstock'!$M$3*'BD Plant List'!AC$5</f>
        <v>3.4291666666666671</v>
      </c>
      <c r="N217" s="295">
        <f>'BD Plant List'!$J219/12*'BD Feedstock'!N$3*'BD Plant List'!AC$5</f>
        <v>0</v>
      </c>
      <c r="O217" s="295">
        <f>'BD Plant List'!$K219/12*'BD Feedstock'!O$3*'BD Plant List'!AC$5</f>
        <v>0</v>
      </c>
      <c r="P217" s="295">
        <f>'BD Plant List'!$L219/12*'BD Feedstock'!P$3*'BD Plant List'!AE$5</f>
        <v>0</v>
      </c>
      <c r="Q217" s="295">
        <f>'BD Plant List'!$M219/12*'BD Feedstock'!Q$3*'BD Plant List'!AE$5</f>
        <v>0.93125000000000002</v>
      </c>
      <c r="R217" s="295">
        <f>'BD Plant List'!$N219/12*'BD Feedstock'!R$3*'BD Plant List'!AE$5</f>
        <v>26.540625000000002</v>
      </c>
      <c r="S217" s="295">
        <f>'BD Plant List'!$N219/12*'BD Feedstock'!S$3*'BD Plant List'!AF$5</f>
        <v>1.40625</v>
      </c>
      <c r="T217" s="295">
        <f>'BD Plant List'!$O219/12*'BD Feedstock'!T$3*'BD Plant List'!AB$5</f>
        <v>8.5732126770944213</v>
      </c>
      <c r="U217" s="295">
        <f>'BD Plant List'!$O219/12*'BD Feedstock'!U$3*'BD Plant List'!AC$5</f>
        <v>3.0347329175263269</v>
      </c>
    </row>
    <row r="218" spans="1:21" ht="18">
      <c r="A218" s="293">
        <v>46327</v>
      </c>
      <c r="B218" s="295">
        <f>'BD Plant List'!B220/12*'BD Plant List'!$AE$5*$B$3</f>
        <v>43.458333333333336</v>
      </c>
      <c r="C218" s="295">
        <f>'BD Plant List'!$C220/12*'BD Plant List'!$AB$5*'BD Feedstock'!$D$3</f>
        <v>2.098958333333333</v>
      </c>
      <c r="D218" s="295">
        <f>'BD Plant List'!$C220/12*'BD Plant List'!$AC$5*'BD Feedstock'!$D$3</f>
        <v>2.2289583333333334</v>
      </c>
      <c r="E218" s="295">
        <f>'BD Plant List'!$D220/12*'BD Plant List'!AB$5*'BD Feedstock'!$E$3</f>
        <v>9.6875</v>
      </c>
      <c r="F218" s="295">
        <f>'BD Plant List'!$D220/12*'BD Plant List'!AC$5*'BD Feedstock'!$F$3</f>
        <v>3.4291666666666671</v>
      </c>
      <c r="G218" s="295">
        <f>'BD Plant List'!$E220/12*'BD Feedstock'!G$3*'BD Plant List'!AB$5</f>
        <v>1.453125</v>
      </c>
      <c r="H218" s="295">
        <f>'BD Plant List'!$E220/12*'BD Feedstock'!H$3*'BD Plant List'!AC$5</f>
        <v>0.51437500000000003</v>
      </c>
      <c r="I218" s="295">
        <f>'BD Plant List'!F220/12*'BD Feedstock'!I$3*'BD Plant List'!AC$5</f>
        <v>0.13716666666666666</v>
      </c>
      <c r="J218" s="295">
        <f>'BD Plant List'!G220/12*'BD Feedstock'!J$3*'BD Plant List'!AD$5</f>
        <v>0.90199999999999991</v>
      </c>
      <c r="K218" s="295">
        <f>'BD Plant List'!$H220/12*'BD Feedstock'!K$3*'BD Plant List'!AB$5</f>
        <v>0</v>
      </c>
      <c r="L218" s="295">
        <f>'BD Plant List'!$H220/12*'BD Feedstock'!L$3*'BD Plant List'!AC$5</f>
        <v>0</v>
      </c>
      <c r="M218" s="295">
        <f>'BD Plant List'!$I220/12*'BD Feedstock'!$M$3*'BD Plant List'!AC$5</f>
        <v>3.4291666666666671</v>
      </c>
      <c r="N218" s="295">
        <f>'BD Plant List'!$J220/12*'BD Feedstock'!N$3*'BD Plant List'!AC$5</f>
        <v>0</v>
      </c>
      <c r="O218" s="295">
        <f>'BD Plant List'!$K220/12*'BD Feedstock'!O$3*'BD Plant List'!AC$5</f>
        <v>0</v>
      </c>
      <c r="P218" s="295">
        <f>'BD Plant List'!$L220/12*'BD Feedstock'!P$3*'BD Plant List'!AE$5</f>
        <v>0</v>
      </c>
      <c r="Q218" s="295">
        <f>'BD Plant List'!$M220/12*'BD Feedstock'!Q$3*'BD Plant List'!AE$5</f>
        <v>0.93125000000000002</v>
      </c>
      <c r="R218" s="295">
        <f>'BD Plant List'!$N220/12*'BD Feedstock'!R$3*'BD Plant List'!AE$5</f>
        <v>26.540625000000002</v>
      </c>
      <c r="S218" s="295">
        <f>'BD Plant List'!$N220/12*'BD Feedstock'!S$3*'BD Plant List'!AF$5</f>
        <v>1.40625</v>
      </c>
      <c r="T218" s="295">
        <f>'BD Plant List'!$O220/12*'BD Feedstock'!T$3*'BD Plant List'!AB$5</f>
        <v>8.5732126770944213</v>
      </c>
      <c r="U218" s="295">
        <f>'BD Plant List'!$O220/12*'BD Feedstock'!U$3*'BD Plant List'!AC$5</f>
        <v>3.0347329175263269</v>
      </c>
    </row>
    <row r="219" spans="1:21" ht="18">
      <c r="A219" s="293">
        <v>46357</v>
      </c>
      <c r="B219" s="295">
        <f>'BD Plant List'!B221/12*'BD Plant List'!$AE$5*$B$3</f>
        <v>43.458333333333336</v>
      </c>
      <c r="C219" s="295">
        <f>'BD Plant List'!$C221/12*'BD Plant List'!$AB$5*'BD Feedstock'!$D$3</f>
        <v>2.098958333333333</v>
      </c>
      <c r="D219" s="295">
        <f>'BD Plant List'!$C221/12*'BD Plant List'!$AC$5*'BD Feedstock'!$D$3</f>
        <v>2.2289583333333334</v>
      </c>
      <c r="E219" s="295">
        <f>'BD Plant List'!$D221/12*'BD Plant List'!AB$5*'BD Feedstock'!$E$3</f>
        <v>9.6875</v>
      </c>
      <c r="F219" s="295">
        <f>'BD Plant List'!$D221/12*'BD Plant List'!AC$5*'BD Feedstock'!$F$3</f>
        <v>3.4291666666666671</v>
      </c>
      <c r="G219" s="295">
        <f>'BD Plant List'!$E221/12*'BD Feedstock'!G$3*'BD Plant List'!AB$5</f>
        <v>1.453125</v>
      </c>
      <c r="H219" s="295">
        <f>'BD Plant List'!$E221/12*'BD Feedstock'!H$3*'BD Plant List'!AC$5</f>
        <v>0.51437500000000003</v>
      </c>
      <c r="I219" s="295">
        <f>'BD Plant List'!F221/12*'BD Feedstock'!I$3*'BD Plant List'!AC$5</f>
        <v>0.13716666666666666</v>
      </c>
      <c r="J219" s="295">
        <f>'BD Plant List'!G221/12*'BD Feedstock'!J$3*'BD Plant List'!AD$5</f>
        <v>0.90199999999999991</v>
      </c>
      <c r="K219" s="295">
        <f>'BD Plant List'!$H221/12*'BD Feedstock'!K$3*'BD Plant List'!AB$5</f>
        <v>0</v>
      </c>
      <c r="L219" s="295">
        <f>'BD Plant List'!$H221/12*'BD Feedstock'!L$3*'BD Plant List'!AC$5</f>
        <v>0</v>
      </c>
      <c r="M219" s="295">
        <f>'BD Plant List'!$I221/12*'BD Feedstock'!$M$3*'BD Plant List'!AC$5</f>
        <v>3.4291666666666671</v>
      </c>
      <c r="N219" s="295">
        <f>'BD Plant List'!$J221/12*'BD Feedstock'!N$3*'BD Plant List'!AC$5</f>
        <v>0</v>
      </c>
      <c r="O219" s="295">
        <f>'BD Plant List'!$K221/12*'BD Feedstock'!O$3*'BD Plant List'!AC$5</f>
        <v>0</v>
      </c>
      <c r="P219" s="295">
        <f>'BD Plant List'!$L221/12*'BD Feedstock'!P$3*'BD Plant List'!AE$5</f>
        <v>0</v>
      </c>
      <c r="Q219" s="295">
        <f>'BD Plant List'!$M221/12*'BD Feedstock'!Q$3*'BD Plant List'!AE$5</f>
        <v>0.93125000000000002</v>
      </c>
      <c r="R219" s="295">
        <f>'BD Plant List'!$N221/12*'BD Feedstock'!R$3*'BD Plant List'!AE$5</f>
        <v>26.540625000000002</v>
      </c>
      <c r="S219" s="295">
        <f>'BD Plant List'!$N221/12*'BD Feedstock'!S$3*'BD Plant List'!AF$5</f>
        <v>1.40625</v>
      </c>
      <c r="T219" s="295">
        <f>'BD Plant List'!$O221/12*'BD Feedstock'!T$3*'BD Plant List'!AB$5</f>
        <v>8.5732126770944213</v>
      </c>
      <c r="U219" s="295">
        <f>'BD Plant List'!$O221/12*'BD Feedstock'!U$3*'BD Plant List'!AC$5</f>
        <v>3.0347329175263269</v>
      </c>
    </row>
    <row r="220" spans="1:21" ht="18">
      <c r="A220" s="293">
        <v>46388</v>
      </c>
      <c r="B220" s="295">
        <f>'BD Plant List'!B222/12*'BD Plant List'!$AE$5*$B$3</f>
        <v>43.458333333333336</v>
      </c>
      <c r="C220" s="295">
        <f>'BD Plant List'!$C222/12*'BD Plant List'!$AB$5*'BD Feedstock'!$D$3</f>
        <v>2.098958333333333</v>
      </c>
      <c r="D220" s="295">
        <f>'BD Plant List'!$C222/12*'BD Plant List'!$AC$5*'BD Feedstock'!$D$3</f>
        <v>2.2289583333333334</v>
      </c>
      <c r="E220" s="295">
        <f>'BD Plant List'!$D222/12*'BD Plant List'!AB$5*'BD Feedstock'!$E$3</f>
        <v>9.6875</v>
      </c>
      <c r="F220" s="295">
        <f>'BD Plant List'!$D222/12*'BD Plant List'!AC$5*'BD Feedstock'!$F$3</f>
        <v>3.4291666666666671</v>
      </c>
      <c r="G220" s="295">
        <f>'BD Plant List'!$E222/12*'BD Feedstock'!G$3*'BD Plant List'!AB$5</f>
        <v>1.453125</v>
      </c>
      <c r="H220" s="295">
        <f>'BD Plant List'!$E222/12*'BD Feedstock'!H$3*'BD Plant List'!AC$5</f>
        <v>0.51437500000000003</v>
      </c>
      <c r="I220" s="295">
        <f>'BD Plant List'!F222/12*'BD Feedstock'!I$3*'BD Plant List'!AC$5</f>
        <v>0.13716666666666666</v>
      </c>
      <c r="J220" s="295">
        <f>'BD Plant List'!G222/12*'BD Feedstock'!J$3*'BD Plant List'!AD$5</f>
        <v>0.90199999999999991</v>
      </c>
      <c r="K220" s="295">
        <f>'BD Plant List'!$H222/12*'BD Feedstock'!K$3*'BD Plant List'!AB$5</f>
        <v>0</v>
      </c>
      <c r="L220" s="295">
        <f>'BD Plant List'!$H222/12*'BD Feedstock'!L$3*'BD Plant List'!AC$5</f>
        <v>0</v>
      </c>
      <c r="M220" s="295">
        <f>'BD Plant List'!$I222/12*'BD Feedstock'!$M$3*'BD Plant List'!AC$5</f>
        <v>3.4291666666666671</v>
      </c>
      <c r="N220" s="295">
        <f>'BD Plant List'!$J222/12*'BD Feedstock'!N$3*'BD Plant List'!AC$5</f>
        <v>0</v>
      </c>
      <c r="O220" s="295">
        <f>'BD Plant List'!$K222/12*'BD Feedstock'!O$3*'BD Plant List'!AC$5</f>
        <v>0</v>
      </c>
      <c r="P220" s="295">
        <f>'BD Plant List'!$L222/12*'BD Feedstock'!P$3*'BD Plant List'!AE$5</f>
        <v>0</v>
      </c>
      <c r="Q220" s="295">
        <f>'BD Plant List'!$M222/12*'BD Feedstock'!Q$3*'BD Plant List'!AE$5</f>
        <v>0.93125000000000002</v>
      </c>
      <c r="R220" s="295">
        <f>'BD Plant List'!$N222/12*'BD Feedstock'!R$3*'BD Plant List'!AE$5</f>
        <v>26.540625000000002</v>
      </c>
      <c r="S220" s="295">
        <f>'BD Plant List'!$N222/12*'BD Feedstock'!S$3*'BD Plant List'!AF$5</f>
        <v>1.40625</v>
      </c>
      <c r="T220" s="295">
        <f>'BD Plant List'!$O222/12*'BD Feedstock'!T$3*'BD Plant List'!AB$5</f>
        <v>8.5732126770944213</v>
      </c>
      <c r="U220" s="295">
        <f>'BD Plant List'!$O222/12*'BD Feedstock'!U$3*'BD Plant List'!AC$5</f>
        <v>3.0347329175263269</v>
      </c>
    </row>
    <row r="221" spans="1:21" ht="18">
      <c r="A221" s="293">
        <v>46419</v>
      </c>
      <c r="B221" s="295">
        <f>'BD Plant List'!B223/12*'BD Plant List'!$AE$5*$B$3</f>
        <v>43.458333333333336</v>
      </c>
      <c r="C221" s="295">
        <f>'BD Plant List'!$C223/12*'BD Plant List'!$AB$5*'BD Feedstock'!$D$3</f>
        <v>2.098958333333333</v>
      </c>
      <c r="D221" s="295">
        <f>'BD Plant List'!$C223/12*'BD Plant List'!$AC$5*'BD Feedstock'!$D$3</f>
        <v>2.2289583333333334</v>
      </c>
      <c r="E221" s="295">
        <f>'BD Plant List'!$D223/12*'BD Plant List'!AB$5*'BD Feedstock'!$E$3</f>
        <v>9.6875</v>
      </c>
      <c r="F221" s="295">
        <f>'BD Plant List'!$D223/12*'BD Plant List'!AC$5*'BD Feedstock'!$F$3</f>
        <v>3.4291666666666671</v>
      </c>
      <c r="G221" s="295">
        <f>'BD Plant List'!$E223/12*'BD Feedstock'!G$3*'BD Plant List'!AB$5</f>
        <v>1.453125</v>
      </c>
      <c r="H221" s="295">
        <f>'BD Plant List'!$E223/12*'BD Feedstock'!H$3*'BD Plant List'!AC$5</f>
        <v>0.51437500000000003</v>
      </c>
      <c r="I221" s="295">
        <f>'BD Plant List'!F223/12*'BD Feedstock'!I$3*'BD Plant List'!AC$5</f>
        <v>0.13716666666666666</v>
      </c>
      <c r="J221" s="295">
        <f>'BD Plant List'!G223/12*'BD Feedstock'!J$3*'BD Plant List'!AD$5</f>
        <v>0.90199999999999991</v>
      </c>
      <c r="K221" s="295">
        <f>'BD Plant List'!$H223/12*'BD Feedstock'!K$3*'BD Plant List'!AB$5</f>
        <v>0</v>
      </c>
      <c r="L221" s="295">
        <f>'BD Plant List'!$H223/12*'BD Feedstock'!L$3*'BD Plant List'!AC$5</f>
        <v>0</v>
      </c>
      <c r="M221" s="295">
        <f>'BD Plant List'!$I223/12*'BD Feedstock'!$M$3*'BD Plant List'!AC$5</f>
        <v>3.4291666666666671</v>
      </c>
      <c r="N221" s="295">
        <f>'BD Plant List'!$J223/12*'BD Feedstock'!N$3*'BD Plant List'!AC$5</f>
        <v>0</v>
      </c>
      <c r="O221" s="295">
        <f>'BD Plant List'!$K223/12*'BD Feedstock'!O$3*'BD Plant List'!AC$5</f>
        <v>0</v>
      </c>
      <c r="P221" s="295">
        <f>'BD Plant List'!$L223/12*'BD Feedstock'!P$3*'BD Plant List'!AE$5</f>
        <v>0</v>
      </c>
      <c r="Q221" s="295">
        <f>'BD Plant List'!$M223/12*'BD Feedstock'!Q$3*'BD Plant List'!AE$5</f>
        <v>0.93125000000000002</v>
      </c>
      <c r="R221" s="295">
        <f>'BD Plant List'!$N223/12*'BD Feedstock'!R$3*'BD Plant List'!AE$5</f>
        <v>26.540625000000002</v>
      </c>
      <c r="S221" s="295">
        <f>'BD Plant List'!$N223/12*'BD Feedstock'!S$3*'BD Plant List'!AF$5</f>
        <v>1.40625</v>
      </c>
      <c r="T221" s="295">
        <f>'BD Plant List'!$O223/12*'BD Feedstock'!T$3*'BD Plant List'!AB$5</f>
        <v>8.5732126770944213</v>
      </c>
      <c r="U221" s="295">
        <f>'BD Plant List'!$O223/12*'BD Feedstock'!U$3*'BD Plant List'!AC$5</f>
        <v>3.0347329175263269</v>
      </c>
    </row>
    <row r="222" spans="1:21" ht="18">
      <c r="A222" s="293">
        <v>46447</v>
      </c>
      <c r="B222" s="295">
        <f>'BD Plant List'!B224/12*'BD Plant List'!$AE$5*$B$3</f>
        <v>43.458333333333336</v>
      </c>
      <c r="C222" s="295">
        <f>'BD Plant List'!$C224/12*'BD Plant List'!$AB$5*'BD Feedstock'!$D$3</f>
        <v>2.098958333333333</v>
      </c>
      <c r="D222" s="295">
        <f>'BD Plant List'!$C224/12*'BD Plant List'!$AC$5*'BD Feedstock'!$D$3</f>
        <v>2.2289583333333334</v>
      </c>
      <c r="E222" s="295">
        <f>'BD Plant List'!$D224/12*'BD Plant List'!AB$5*'BD Feedstock'!$E$3</f>
        <v>9.6875</v>
      </c>
      <c r="F222" s="295">
        <f>'BD Plant List'!$D224/12*'BD Plant List'!AC$5*'BD Feedstock'!$F$3</f>
        <v>3.4291666666666671</v>
      </c>
      <c r="G222" s="295">
        <f>'BD Plant List'!$E224/12*'BD Feedstock'!G$3*'BD Plant List'!AB$5</f>
        <v>1.453125</v>
      </c>
      <c r="H222" s="295">
        <f>'BD Plant List'!$E224/12*'BD Feedstock'!H$3*'BD Plant List'!AC$5</f>
        <v>0.51437500000000003</v>
      </c>
      <c r="I222" s="295">
        <f>'BD Plant List'!F224/12*'BD Feedstock'!I$3*'BD Plant List'!AC$5</f>
        <v>0.13716666666666666</v>
      </c>
      <c r="J222" s="295">
        <f>'BD Plant List'!G224/12*'BD Feedstock'!J$3*'BD Plant List'!AD$5</f>
        <v>0.90199999999999991</v>
      </c>
      <c r="K222" s="295">
        <f>'BD Plant List'!$H224/12*'BD Feedstock'!K$3*'BD Plant List'!AB$5</f>
        <v>0</v>
      </c>
      <c r="L222" s="295">
        <f>'BD Plant List'!$H224/12*'BD Feedstock'!L$3*'BD Plant List'!AC$5</f>
        <v>0</v>
      </c>
      <c r="M222" s="295">
        <f>'BD Plant List'!$I224/12*'BD Feedstock'!$M$3*'BD Plant List'!AC$5</f>
        <v>3.4291666666666671</v>
      </c>
      <c r="N222" s="295">
        <f>'BD Plant List'!$J224/12*'BD Feedstock'!N$3*'BD Plant List'!AC$5</f>
        <v>0</v>
      </c>
      <c r="O222" s="295">
        <f>'BD Plant List'!$K224/12*'BD Feedstock'!O$3*'BD Plant List'!AC$5</f>
        <v>0</v>
      </c>
      <c r="P222" s="295">
        <f>'BD Plant List'!$L224/12*'BD Feedstock'!P$3*'BD Plant List'!AE$5</f>
        <v>0</v>
      </c>
      <c r="Q222" s="295">
        <f>'BD Plant List'!$M224/12*'BD Feedstock'!Q$3*'BD Plant List'!AE$5</f>
        <v>0.93125000000000002</v>
      </c>
      <c r="R222" s="295">
        <f>'BD Plant List'!$N224/12*'BD Feedstock'!R$3*'BD Plant List'!AE$5</f>
        <v>26.540625000000002</v>
      </c>
      <c r="S222" s="295">
        <f>'BD Plant List'!$N224/12*'BD Feedstock'!S$3*'BD Plant List'!AF$5</f>
        <v>1.40625</v>
      </c>
      <c r="T222" s="295">
        <f>'BD Plant List'!$O224/12*'BD Feedstock'!T$3*'BD Plant List'!AB$5</f>
        <v>8.5732126770944213</v>
      </c>
      <c r="U222" s="295">
        <f>'BD Plant List'!$O224/12*'BD Feedstock'!U$3*'BD Plant List'!AC$5</f>
        <v>3.0347329175263269</v>
      </c>
    </row>
    <row r="223" spans="1:21" ht="18">
      <c r="A223" s="293">
        <v>46478</v>
      </c>
      <c r="B223" s="295">
        <f>'BD Plant List'!B225/12*'BD Plant List'!$AE$5*$B$3</f>
        <v>43.458333333333336</v>
      </c>
      <c r="C223" s="295">
        <f>'BD Plant List'!$C225/12*'BD Plant List'!$AB$5*'BD Feedstock'!$D$3</f>
        <v>2.098958333333333</v>
      </c>
      <c r="D223" s="295">
        <f>'BD Plant List'!$C225/12*'BD Plant List'!$AC$5*'BD Feedstock'!$D$3</f>
        <v>2.2289583333333334</v>
      </c>
      <c r="E223" s="295">
        <f>'BD Plant List'!$D225/12*'BD Plant List'!AB$5*'BD Feedstock'!$E$3</f>
        <v>9.6875</v>
      </c>
      <c r="F223" s="295">
        <f>'BD Plant List'!$D225/12*'BD Plant List'!AC$5*'BD Feedstock'!$F$3</f>
        <v>3.4291666666666671</v>
      </c>
      <c r="G223" s="295">
        <f>'BD Plant List'!$E225/12*'BD Feedstock'!G$3*'BD Plant List'!AB$5</f>
        <v>1.453125</v>
      </c>
      <c r="H223" s="295">
        <f>'BD Plant List'!$E225/12*'BD Feedstock'!H$3*'BD Plant List'!AC$5</f>
        <v>0.51437500000000003</v>
      </c>
      <c r="I223" s="295">
        <f>'BD Plant List'!F225/12*'BD Feedstock'!I$3*'BD Plant List'!AC$5</f>
        <v>0.13716666666666666</v>
      </c>
      <c r="J223" s="295">
        <f>'BD Plant List'!G225/12*'BD Feedstock'!J$3*'BD Plant List'!AD$5</f>
        <v>0.90199999999999991</v>
      </c>
      <c r="K223" s="295">
        <f>'BD Plant List'!$H225/12*'BD Feedstock'!K$3*'BD Plant List'!AB$5</f>
        <v>0</v>
      </c>
      <c r="L223" s="295">
        <f>'BD Plant List'!$H225/12*'BD Feedstock'!L$3*'BD Plant List'!AC$5</f>
        <v>0</v>
      </c>
      <c r="M223" s="295">
        <f>'BD Plant List'!$I225/12*'BD Feedstock'!$M$3*'BD Plant List'!AC$5</f>
        <v>3.4291666666666671</v>
      </c>
      <c r="N223" s="295">
        <f>'BD Plant List'!$J225/12*'BD Feedstock'!N$3*'BD Plant List'!AC$5</f>
        <v>0</v>
      </c>
      <c r="O223" s="295">
        <f>'BD Plant List'!$K225/12*'BD Feedstock'!O$3*'BD Plant List'!AC$5</f>
        <v>0</v>
      </c>
      <c r="P223" s="295">
        <f>'BD Plant List'!$L225/12*'BD Feedstock'!P$3*'BD Plant List'!AE$5</f>
        <v>0</v>
      </c>
      <c r="Q223" s="295">
        <f>'BD Plant List'!$M225/12*'BD Feedstock'!Q$3*'BD Plant List'!AE$5</f>
        <v>0.93125000000000002</v>
      </c>
      <c r="R223" s="295">
        <f>'BD Plant List'!$N225/12*'BD Feedstock'!R$3*'BD Plant List'!AE$5</f>
        <v>26.540625000000002</v>
      </c>
      <c r="S223" s="295">
        <f>'BD Plant List'!$N225/12*'BD Feedstock'!S$3*'BD Plant List'!AF$5</f>
        <v>1.40625</v>
      </c>
      <c r="T223" s="295">
        <f>'BD Plant List'!$O225/12*'BD Feedstock'!T$3*'BD Plant List'!AB$5</f>
        <v>8.5732126770944213</v>
      </c>
      <c r="U223" s="295">
        <f>'BD Plant List'!$O225/12*'BD Feedstock'!U$3*'BD Plant List'!AC$5</f>
        <v>3.0347329175263269</v>
      </c>
    </row>
    <row r="224" spans="1:21" ht="18">
      <c r="A224" s="293">
        <v>46508</v>
      </c>
      <c r="B224" s="295">
        <f>'BD Plant List'!B226/12*'BD Plant List'!$AE$5*$B$3</f>
        <v>43.458333333333336</v>
      </c>
      <c r="C224" s="295">
        <f>'BD Plant List'!$C226/12*'BD Plant List'!$AB$5*'BD Feedstock'!$D$3</f>
        <v>2.098958333333333</v>
      </c>
      <c r="D224" s="295">
        <f>'BD Plant List'!$C226/12*'BD Plant List'!$AC$5*'BD Feedstock'!$D$3</f>
        <v>2.2289583333333334</v>
      </c>
      <c r="E224" s="295">
        <f>'BD Plant List'!$D226/12*'BD Plant List'!AB$5*'BD Feedstock'!$E$3</f>
        <v>9.6875</v>
      </c>
      <c r="F224" s="295">
        <f>'BD Plant List'!$D226/12*'BD Plant List'!AC$5*'BD Feedstock'!$F$3</f>
        <v>3.4291666666666671</v>
      </c>
      <c r="G224" s="295">
        <f>'BD Plant List'!$E226/12*'BD Feedstock'!G$3*'BD Plant List'!AB$5</f>
        <v>1.453125</v>
      </c>
      <c r="H224" s="295">
        <f>'BD Plant List'!$E226/12*'BD Feedstock'!H$3*'BD Plant List'!AC$5</f>
        <v>0.51437500000000003</v>
      </c>
      <c r="I224" s="295">
        <f>'BD Plant List'!F226/12*'BD Feedstock'!I$3*'BD Plant List'!AC$5</f>
        <v>0.13716666666666666</v>
      </c>
      <c r="J224" s="295">
        <f>'BD Plant List'!G226/12*'BD Feedstock'!J$3*'BD Plant List'!AD$5</f>
        <v>0.90199999999999991</v>
      </c>
      <c r="K224" s="295">
        <f>'BD Plant List'!$H226/12*'BD Feedstock'!K$3*'BD Plant List'!AB$5</f>
        <v>0</v>
      </c>
      <c r="L224" s="295">
        <f>'BD Plant List'!$H226/12*'BD Feedstock'!L$3*'BD Plant List'!AC$5</f>
        <v>0</v>
      </c>
      <c r="M224" s="295">
        <f>'BD Plant List'!$I226/12*'BD Feedstock'!$M$3*'BD Plant List'!AC$5</f>
        <v>3.4291666666666671</v>
      </c>
      <c r="N224" s="295">
        <f>'BD Plant List'!$J226/12*'BD Feedstock'!N$3*'BD Plant List'!AC$5</f>
        <v>0</v>
      </c>
      <c r="O224" s="295">
        <f>'BD Plant List'!$K226/12*'BD Feedstock'!O$3*'BD Plant List'!AC$5</f>
        <v>0</v>
      </c>
      <c r="P224" s="295">
        <f>'BD Plant List'!$L226/12*'BD Feedstock'!P$3*'BD Plant List'!AE$5</f>
        <v>0</v>
      </c>
      <c r="Q224" s="295">
        <f>'BD Plant List'!$M226/12*'BD Feedstock'!Q$3*'BD Plant List'!AE$5</f>
        <v>0.93125000000000002</v>
      </c>
      <c r="R224" s="295">
        <f>'BD Plant List'!$N226/12*'BD Feedstock'!R$3*'BD Plant List'!AE$5</f>
        <v>26.540625000000002</v>
      </c>
      <c r="S224" s="295">
        <f>'BD Plant List'!$N226/12*'BD Feedstock'!S$3*'BD Plant List'!AF$5</f>
        <v>1.40625</v>
      </c>
      <c r="T224" s="295">
        <f>'BD Plant List'!$O226/12*'BD Feedstock'!T$3*'BD Plant List'!AB$5</f>
        <v>8.5732126770944213</v>
      </c>
      <c r="U224" s="295">
        <f>'BD Plant List'!$O226/12*'BD Feedstock'!U$3*'BD Plant List'!AC$5</f>
        <v>3.0347329175263269</v>
      </c>
    </row>
    <row r="225" spans="1:21" ht="18">
      <c r="A225" s="293">
        <v>46539</v>
      </c>
      <c r="B225" s="295">
        <f>'BD Plant List'!B227/12*'BD Plant List'!$AE$5*$B$3</f>
        <v>43.458333333333336</v>
      </c>
      <c r="C225" s="295">
        <f>'BD Plant List'!$C227/12*'BD Plant List'!$AB$5*'BD Feedstock'!$D$3</f>
        <v>2.098958333333333</v>
      </c>
      <c r="D225" s="295">
        <f>'BD Plant List'!$C227/12*'BD Plant List'!$AC$5*'BD Feedstock'!$D$3</f>
        <v>2.2289583333333334</v>
      </c>
      <c r="E225" s="295">
        <f>'BD Plant List'!$D227/12*'BD Plant List'!AB$5*'BD Feedstock'!$E$3</f>
        <v>9.6875</v>
      </c>
      <c r="F225" s="295">
        <f>'BD Plant List'!$D227/12*'BD Plant List'!AC$5*'BD Feedstock'!$F$3</f>
        <v>3.4291666666666671</v>
      </c>
      <c r="G225" s="295">
        <f>'BD Plant List'!$E227/12*'BD Feedstock'!G$3*'BD Plant List'!AB$5</f>
        <v>1.453125</v>
      </c>
      <c r="H225" s="295">
        <f>'BD Plant List'!$E227/12*'BD Feedstock'!H$3*'BD Plant List'!AC$5</f>
        <v>0.51437500000000003</v>
      </c>
      <c r="I225" s="295">
        <f>'BD Plant List'!F227/12*'BD Feedstock'!I$3*'BD Plant List'!AC$5</f>
        <v>0.13716666666666666</v>
      </c>
      <c r="J225" s="295">
        <f>'BD Plant List'!G227/12*'BD Feedstock'!J$3*'BD Plant List'!AD$5</f>
        <v>0.90199999999999991</v>
      </c>
      <c r="K225" s="295">
        <f>'BD Plant List'!$H227/12*'BD Feedstock'!K$3*'BD Plant List'!AB$5</f>
        <v>0</v>
      </c>
      <c r="L225" s="295">
        <f>'BD Plant List'!$H227/12*'BD Feedstock'!L$3*'BD Plant List'!AC$5</f>
        <v>0</v>
      </c>
      <c r="M225" s="295">
        <f>'BD Plant List'!$I227/12*'BD Feedstock'!$M$3*'BD Plant List'!AC$5</f>
        <v>3.4291666666666671</v>
      </c>
      <c r="N225" s="295">
        <f>'BD Plant List'!$J227/12*'BD Feedstock'!N$3*'BD Plant List'!AC$5</f>
        <v>0</v>
      </c>
      <c r="O225" s="295">
        <f>'BD Plant List'!$K227/12*'BD Feedstock'!O$3*'BD Plant List'!AC$5</f>
        <v>0</v>
      </c>
      <c r="P225" s="295">
        <f>'BD Plant List'!$L227/12*'BD Feedstock'!P$3*'BD Plant List'!AE$5</f>
        <v>0</v>
      </c>
      <c r="Q225" s="295">
        <f>'BD Plant List'!$M227/12*'BD Feedstock'!Q$3*'BD Plant List'!AE$5</f>
        <v>0.93125000000000002</v>
      </c>
      <c r="R225" s="295">
        <f>'BD Plant List'!$N227/12*'BD Feedstock'!R$3*'BD Plant List'!AE$5</f>
        <v>26.540625000000002</v>
      </c>
      <c r="S225" s="295">
        <f>'BD Plant List'!$N227/12*'BD Feedstock'!S$3*'BD Plant List'!AF$5</f>
        <v>1.40625</v>
      </c>
      <c r="T225" s="295">
        <f>'BD Plant List'!$O227/12*'BD Feedstock'!T$3*'BD Plant List'!AB$5</f>
        <v>8.5732126770944213</v>
      </c>
      <c r="U225" s="295">
        <f>'BD Plant List'!$O227/12*'BD Feedstock'!U$3*'BD Plant List'!AC$5</f>
        <v>3.0347329175263269</v>
      </c>
    </row>
    <row r="226" spans="1:21" ht="18">
      <c r="A226" s="293">
        <v>46569</v>
      </c>
      <c r="B226" s="295">
        <f>'BD Plant List'!B228/12*'BD Plant List'!$AE$5*$B$3</f>
        <v>43.458333333333336</v>
      </c>
      <c r="C226" s="295">
        <f>'BD Plant List'!$C228/12*'BD Plant List'!$AB$5*'BD Feedstock'!$D$3</f>
        <v>2.098958333333333</v>
      </c>
      <c r="D226" s="295">
        <f>'BD Plant List'!$C228/12*'BD Plant List'!$AC$5*'BD Feedstock'!$D$3</f>
        <v>2.2289583333333334</v>
      </c>
      <c r="E226" s="295">
        <f>'BD Plant List'!$D228/12*'BD Plant List'!AB$5*'BD Feedstock'!$E$3</f>
        <v>9.6875</v>
      </c>
      <c r="F226" s="295">
        <f>'BD Plant List'!$D228/12*'BD Plant List'!AC$5*'BD Feedstock'!$F$3</f>
        <v>3.4291666666666671</v>
      </c>
      <c r="G226" s="295">
        <f>'BD Plant List'!$E228/12*'BD Feedstock'!G$3*'BD Plant List'!AB$5</f>
        <v>1.453125</v>
      </c>
      <c r="H226" s="295">
        <f>'BD Plant List'!$E228/12*'BD Feedstock'!H$3*'BD Plant List'!AC$5</f>
        <v>0.51437500000000003</v>
      </c>
      <c r="I226" s="295">
        <f>'BD Plant List'!F228/12*'BD Feedstock'!I$3*'BD Plant List'!AC$5</f>
        <v>0.13716666666666666</v>
      </c>
      <c r="J226" s="295">
        <f>'BD Plant List'!G228/12*'BD Feedstock'!J$3*'BD Plant List'!AD$5</f>
        <v>0.90199999999999991</v>
      </c>
      <c r="K226" s="295">
        <f>'BD Plant List'!$H228/12*'BD Feedstock'!K$3*'BD Plant List'!AB$5</f>
        <v>0</v>
      </c>
      <c r="L226" s="295">
        <f>'BD Plant List'!$H228/12*'BD Feedstock'!L$3*'BD Plant List'!AC$5</f>
        <v>0</v>
      </c>
      <c r="M226" s="295">
        <f>'BD Plant List'!$I228/12*'BD Feedstock'!$M$3*'BD Plant List'!AC$5</f>
        <v>3.4291666666666671</v>
      </c>
      <c r="N226" s="295">
        <f>'BD Plant List'!$J228/12*'BD Feedstock'!N$3*'BD Plant List'!AC$5</f>
        <v>0</v>
      </c>
      <c r="O226" s="295">
        <f>'BD Plant List'!$K228/12*'BD Feedstock'!O$3*'BD Plant List'!AC$5</f>
        <v>0</v>
      </c>
      <c r="P226" s="295">
        <f>'BD Plant List'!$L228/12*'BD Feedstock'!P$3*'BD Plant List'!AE$5</f>
        <v>0</v>
      </c>
      <c r="Q226" s="295">
        <f>'BD Plant List'!$M228/12*'BD Feedstock'!Q$3*'BD Plant List'!AE$5</f>
        <v>0.93125000000000002</v>
      </c>
      <c r="R226" s="295">
        <f>'BD Plant List'!$N228/12*'BD Feedstock'!R$3*'BD Plant List'!AE$5</f>
        <v>26.540625000000002</v>
      </c>
      <c r="S226" s="295">
        <f>'BD Plant List'!$N228/12*'BD Feedstock'!S$3*'BD Plant List'!AF$5</f>
        <v>1.40625</v>
      </c>
      <c r="T226" s="295">
        <f>'BD Plant List'!$O228/12*'BD Feedstock'!T$3*'BD Plant List'!AB$5</f>
        <v>8.5732126770944213</v>
      </c>
      <c r="U226" s="295">
        <f>'BD Plant List'!$O228/12*'BD Feedstock'!U$3*'BD Plant List'!AC$5</f>
        <v>3.0347329175263269</v>
      </c>
    </row>
    <row r="227" spans="1:21" ht="18">
      <c r="A227" s="293">
        <v>46600</v>
      </c>
      <c r="B227" s="295">
        <f>'BD Plant List'!B229/12*'BD Plant List'!$AE$5*$B$3</f>
        <v>43.458333333333336</v>
      </c>
      <c r="C227" s="295">
        <f>'BD Plant List'!$C229/12*'BD Plant List'!$AB$5*'BD Feedstock'!$D$3</f>
        <v>2.098958333333333</v>
      </c>
      <c r="D227" s="295">
        <f>'BD Plant List'!$C229/12*'BD Plant List'!$AC$5*'BD Feedstock'!$D$3</f>
        <v>2.2289583333333334</v>
      </c>
      <c r="E227" s="295">
        <f>'BD Plant List'!$D229/12*'BD Plant List'!AB$5*'BD Feedstock'!$E$3</f>
        <v>9.6875</v>
      </c>
      <c r="F227" s="295">
        <f>'BD Plant List'!$D229/12*'BD Plant List'!AC$5*'BD Feedstock'!$F$3</f>
        <v>3.4291666666666671</v>
      </c>
      <c r="G227" s="295">
        <f>'BD Plant List'!$E229/12*'BD Feedstock'!G$3*'BD Plant List'!AB$5</f>
        <v>1.453125</v>
      </c>
      <c r="H227" s="295">
        <f>'BD Plant List'!$E229/12*'BD Feedstock'!H$3*'BD Plant List'!AC$5</f>
        <v>0.51437500000000003</v>
      </c>
      <c r="I227" s="295">
        <f>'BD Plant List'!F229/12*'BD Feedstock'!I$3*'BD Plant List'!AC$5</f>
        <v>0.13716666666666666</v>
      </c>
      <c r="J227" s="295">
        <f>'BD Plant List'!G229/12*'BD Feedstock'!J$3*'BD Plant List'!AD$5</f>
        <v>0.90199999999999991</v>
      </c>
      <c r="K227" s="295">
        <f>'BD Plant List'!$H229/12*'BD Feedstock'!K$3*'BD Plant List'!AB$5</f>
        <v>0</v>
      </c>
      <c r="L227" s="295">
        <f>'BD Plant List'!$H229/12*'BD Feedstock'!L$3*'BD Plant List'!AC$5</f>
        <v>0</v>
      </c>
      <c r="M227" s="295">
        <f>'BD Plant List'!$I229/12*'BD Feedstock'!$M$3*'BD Plant List'!AC$5</f>
        <v>3.4291666666666671</v>
      </c>
      <c r="N227" s="295">
        <f>'BD Plant List'!$J229/12*'BD Feedstock'!N$3*'BD Plant List'!AC$5</f>
        <v>0</v>
      </c>
      <c r="O227" s="295">
        <f>'BD Plant List'!$K229/12*'BD Feedstock'!O$3*'BD Plant List'!AC$5</f>
        <v>0</v>
      </c>
      <c r="P227" s="295">
        <f>'BD Plant List'!$L229/12*'BD Feedstock'!P$3*'BD Plant List'!AE$5</f>
        <v>0</v>
      </c>
      <c r="Q227" s="295">
        <f>'BD Plant List'!$M229/12*'BD Feedstock'!Q$3*'BD Plant List'!AE$5</f>
        <v>0.93125000000000002</v>
      </c>
      <c r="R227" s="295">
        <f>'BD Plant List'!$N229/12*'BD Feedstock'!R$3*'BD Plant List'!AE$5</f>
        <v>26.540625000000002</v>
      </c>
      <c r="S227" s="295">
        <f>'BD Plant List'!$N229/12*'BD Feedstock'!S$3*'BD Plant List'!AF$5</f>
        <v>1.40625</v>
      </c>
      <c r="T227" s="295">
        <f>'BD Plant List'!$O229/12*'BD Feedstock'!T$3*'BD Plant List'!AB$5</f>
        <v>8.5732126770944213</v>
      </c>
      <c r="U227" s="295">
        <f>'BD Plant List'!$O229/12*'BD Feedstock'!U$3*'BD Plant List'!AC$5</f>
        <v>3.0347329175263269</v>
      </c>
    </row>
    <row r="228" spans="1:21" ht="18">
      <c r="A228" s="293">
        <v>46631</v>
      </c>
      <c r="B228" s="295">
        <f>'BD Plant List'!B230/12*'BD Plant List'!$AE$5*$B$3</f>
        <v>43.458333333333336</v>
      </c>
      <c r="C228" s="295">
        <f>'BD Plant List'!$C230/12*'BD Plant List'!$AB$5*'BD Feedstock'!$D$3</f>
        <v>2.098958333333333</v>
      </c>
      <c r="D228" s="295">
        <f>'BD Plant List'!$C230/12*'BD Plant List'!$AC$5*'BD Feedstock'!$D$3</f>
        <v>2.2289583333333334</v>
      </c>
      <c r="E228" s="295">
        <f>'BD Plant List'!$D230/12*'BD Plant List'!AB$5*'BD Feedstock'!$E$3</f>
        <v>9.6875</v>
      </c>
      <c r="F228" s="295">
        <f>'BD Plant List'!$D230/12*'BD Plant List'!AC$5*'BD Feedstock'!$F$3</f>
        <v>3.4291666666666671</v>
      </c>
      <c r="G228" s="295">
        <f>'BD Plant List'!$E230/12*'BD Feedstock'!G$3*'BD Plant List'!AB$5</f>
        <v>1.453125</v>
      </c>
      <c r="H228" s="295">
        <f>'BD Plant List'!$E230/12*'BD Feedstock'!H$3*'BD Plant List'!AC$5</f>
        <v>0.51437500000000003</v>
      </c>
      <c r="I228" s="295">
        <f>'BD Plant List'!F230/12*'BD Feedstock'!I$3*'BD Plant List'!AC$5</f>
        <v>0.13716666666666666</v>
      </c>
      <c r="J228" s="295">
        <f>'BD Plant List'!G230/12*'BD Feedstock'!J$3*'BD Plant List'!AD$5</f>
        <v>0.90199999999999991</v>
      </c>
      <c r="K228" s="295">
        <f>'BD Plant List'!$H230/12*'BD Feedstock'!K$3*'BD Plant List'!AB$5</f>
        <v>0</v>
      </c>
      <c r="L228" s="295">
        <f>'BD Plant List'!$H230/12*'BD Feedstock'!L$3*'BD Plant List'!AC$5</f>
        <v>0</v>
      </c>
      <c r="M228" s="295">
        <f>'BD Plant List'!$I230/12*'BD Feedstock'!$M$3*'BD Plant List'!AC$5</f>
        <v>3.4291666666666671</v>
      </c>
      <c r="N228" s="295">
        <f>'BD Plant List'!$J230/12*'BD Feedstock'!N$3*'BD Plant List'!AC$5</f>
        <v>0</v>
      </c>
      <c r="O228" s="295">
        <f>'BD Plant List'!$K230/12*'BD Feedstock'!O$3*'BD Plant List'!AC$5</f>
        <v>0</v>
      </c>
      <c r="P228" s="295">
        <f>'BD Plant List'!$L230/12*'BD Feedstock'!P$3*'BD Plant List'!AE$5</f>
        <v>0</v>
      </c>
      <c r="Q228" s="295">
        <f>'BD Plant List'!$M230/12*'BD Feedstock'!Q$3*'BD Plant List'!AE$5</f>
        <v>0.93125000000000002</v>
      </c>
      <c r="R228" s="295">
        <f>'BD Plant List'!$N230/12*'BD Feedstock'!R$3*'BD Plant List'!AE$5</f>
        <v>26.540625000000002</v>
      </c>
      <c r="S228" s="295">
        <f>'BD Plant List'!$N230/12*'BD Feedstock'!S$3*'BD Plant List'!AF$5</f>
        <v>1.40625</v>
      </c>
      <c r="T228" s="295">
        <f>'BD Plant List'!$O230/12*'BD Feedstock'!T$3*'BD Plant List'!AB$5</f>
        <v>8.5732126770944213</v>
      </c>
      <c r="U228" s="295">
        <f>'BD Plant List'!$O230/12*'BD Feedstock'!U$3*'BD Plant List'!AC$5</f>
        <v>3.0347329175263269</v>
      </c>
    </row>
    <row r="229" spans="1:21" ht="18">
      <c r="A229" s="293">
        <v>46661</v>
      </c>
      <c r="B229" s="295">
        <f>'BD Plant List'!B231/12*'BD Plant List'!$AE$5*$B$3</f>
        <v>43.458333333333336</v>
      </c>
      <c r="C229" s="295">
        <f>'BD Plant List'!$C231/12*'BD Plant List'!$AB$5*'BD Feedstock'!$D$3</f>
        <v>2.098958333333333</v>
      </c>
      <c r="D229" s="295">
        <f>'BD Plant List'!$C231/12*'BD Plant List'!$AC$5*'BD Feedstock'!$D$3</f>
        <v>2.2289583333333334</v>
      </c>
      <c r="E229" s="295">
        <f>'BD Plant List'!$D231/12*'BD Plant List'!AB$5*'BD Feedstock'!$E$3</f>
        <v>9.6875</v>
      </c>
      <c r="F229" s="295">
        <f>'BD Plant List'!$D231/12*'BD Plant List'!AC$5*'BD Feedstock'!$F$3</f>
        <v>3.4291666666666671</v>
      </c>
      <c r="G229" s="295">
        <f>'BD Plant List'!$E231/12*'BD Feedstock'!G$3*'BD Plant List'!AB$5</f>
        <v>1.453125</v>
      </c>
      <c r="H229" s="295">
        <f>'BD Plant List'!$E231/12*'BD Feedstock'!H$3*'BD Plant List'!AC$5</f>
        <v>0.51437500000000003</v>
      </c>
      <c r="I229" s="295">
        <f>'BD Plant List'!F231/12*'BD Feedstock'!I$3*'BD Plant List'!AC$5</f>
        <v>0.13716666666666666</v>
      </c>
      <c r="J229" s="295">
        <f>'BD Plant List'!G231/12*'BD Feedstock'!J$3*'BD Plant List'!AD$5</f>
        <v>0.90199999999999991</v>
      </c>
      <c r="K229" s="295">
        <f>'BD Plant List'!$H231/12*'BD Feedstock'!K$3*'BD Plant List'!AB$5</f>
        <v>0</v>
      </c>
      <c r="L229" s="295">
        <f>'BD Plant List'!$H231/12*'BD Feedstock'!L$3*'BD Plant List'!AC$5</f>
        <v>0</v>
      </c>
      <c r="M229" s="295">
        <f>'BD Plant List'!$I231/12*'BD Feedstock'!$M$3*'BD Plant List'!AC$5</f>
        <v>3.4291666666666671</v>
      </c>
      <c r="N229" s="295">
        <f>'BD Plant List'!$J231/12*'BD Feedstock'!N$3*'BD Plant List'!AC$5</f>
        <v>0</v>
      </c>
      <c r="O229" s="295">
        <f>'BD Plant List'!$K231/12*'BD Feedstock'!O$3*'BD Plant List'!AC$5</f>
        <v>0</v>
      </c>
      <c r="P229" s="295">
        <f>'BD Plant List'!$L231/12*'BD Feedstock'!P$3*'BD Plant List'!AE$5</f>
        <v>0</v>
      </c>
      <c r="Q229" s="295">
        <f>'BD Plant List'!$M231/12*'BD Feedstock'!Q$3*'BD Plant List'!AE$5</f>
        <v>0.93125000000000002</v>
      </c>
      <c r="R229" s="295">
        <f>'BD Plant List'!$N231/12*'BD Feedstock'!R$3*'BD Plant List'!AE$5</f>
        <v>26.540625000000002</v>
      </c>
      <c r="S229" s="295">
        <f>'BD Plant List'!$N231/12*'BD Feedstock'!S$3*'BD Plant List'!AF$5</f>
        <v>1.40625</v>
      </c>
      <c r="T229" s="295">
        <f>'BD Plant List'!$O231/12*'BD Feedstock'!T$3*'BD Plant List'!AB$5</f>
        <v>8.5732126770944213</v>
      </c>
      <c r="U229" s="295">
        <f>'BD Plant List'!$O231/12*'BD Feedstock'!U$3*'BD Plant List'!AC$5</f>
        <v>3.0347329175263269</v>
      </c>
    </row>
    <row r="230" spans="1:21" ht="18">
      <c r="A230" s="293">
        <v>46692</v>
      </c>
      <c r="B230" s="295">
        <f>'BD Plant List'!B232/12*'BD Plant List'!$AE$5*$B$3</f>
        <v>43.458333333333336</v>
      </c>
      <c r="C230" s="295">
        <f>'BD Plant List'!$C232/12*'BD Plant List'!$AB$5*'BD Feedstock'!$D$3</f>
        <v>2.098958333333333</v>
      </c>
      <c r="D230" s="295">
        <f>'BD Plant List'!$C232/12*'BD Plant List'!$AC$5*'BD Feedstock'!$D$3</f>
        <v>2.2289583333333334</v>
      </c>
      <c r="E230" s="295">
        <f>'BD Plant List'!$D232/12*'BD Plant List'!AB$5*'BD Feedstock'!$E$3</f>
        <v>9.6875</v>
      </c>
      <c r="F230" s="295">
        <f>'BD Plant List'!$D232/12*'BD Plant List'!AC$5*'BD Feedstock'!$F$3</f>
        <v>3.4291666666666671</v>
      </c>
      <c r="G230" s="295">
        <f>'BD Plant List'!$E232/12*'BD Feedstock'!G$3*'BD Plant List'!AB$5</f>
        <v>1.453125</v>
      </c>
      <c r="H230" s="295">
        <f>'BD Plant List'!$E232/12*'BD Feedstock'!H$3*'BD Plant List'!AC$5</f>
        <v>0.51437500000000003</v>
      </c>
      <c r="I230" s="295">
        <f>'BD Plant List'!F232/12*'BD Feedstock'!I$3*'BD Plant List'!AC$5</f>
        <v>0.13716666666666666</v>
      </c>
      <c r="J230" s="295">
        <f>'BD Plant List'!G232/12*'BD Feedstock'!J$3*'BD Plant List'!AD$5</f>
        <v>0.90199999999999991</v>
      </c>
      <c r="K230" s="295">
        <f>'BD Plant List'!$H232/12*'BD Feedstock'!K$3*'BD Plant List'!AB$5</f>
        <v>0</v>
      </c>
      <c r="L230" s="295">
        <f>'BD Plant List'!$H232/12*'BD Feedstock'!L$3*'BD Plant List'!AC$5</f>
        <v>0</v>
      </c>
      <c r="M230" s="295">
        <f>'BD Plant List'!$I232/12*'BD Feedstock'!$M$3*'BD Plant List'!AC$5</f>
        <v>3.4291666666666671</v>
      </c>
      <c r="N230" s="295">
        <f>'BD Plant List'!$J232/12*'BD Feedstock'!N$3*'BD Plant List'!AC$5</f>
        <v>0</v>
      </c>
      <c r="O230" s="295">
        <f>'BD Plant List'!$K232/12*'BD Feedstock'!O$3*'BD Plant List'!AC$5</f>
        <v>0</v>
      </c>
      <c r="P230" s="295">
        <f>'BD Plant List'!$L232/12*'BD Feedstock'!P$3*'BD Plant List'!AE$5</f>
        <v>0</v>
      </c>
      <c r="Q230" s="295">
        <f>'BD Plant List'!$M232/12*'BD Feedstock'!Q$3*'BD Plant List'!AE$5</f>
        <v>0.93125000000000002</v>
      </c>
      <c r="R230" s="295">
        <f>'BD Plant List'!$N232/12*'BD Feedstock'!R$3*'BD Plant List'!AE$5</f>
        <v>26.540625000000002</v>
      </c>
      <c r="S230" s="295">
        <f>'BD Plant List'!$N232/12*'BD Feedstock'!S$3*'BD Plant List'!AF$5</f>
        <v>1.40625</v>
      </c>
      <c r="T230" s="295">
        <f>'BD Plant List'!$O232/12*'BD Feedstock'!T$3*'BD Plant List'!AB$5</f>
        <v>8.5732126770944213</v>
      </c>
      <c r="U230" s="295">
        <f>'BD Plant List'!$O232/12*'BD Feedstock'!U$3*'BD Plant List'!AC$5</f>
        <v>3.0347329175263269</v>
      </c>
    </row>
    <row r="231" spans="1:21" ht="18">
      <c r="A231" s="293">
        <v>46722</v>
      </c>
      <c r="B231" s="295">
        <f>'BD Plant List'!B233/12*'BD Plant List'!$AE$5*$B$3</f>
        <v>43.458333333333336</v>
      </c>
      <c r="C231" s="295">
        <f>'BD Plant List'!$C233/12*'BD Plant List'!$AB$5*'BD Feedstock'!$D$3</f>
        <v>2.098958333333333</v>
      </c>
      <c r="D231" s="295">
        <f>'BD Plant List'!$C233/12*'BD Plant List'!$AC$5*'BD Feedstock'!$D$3</f>
        <v>2.2289583333333334</v>
      </c>
      <c r="E231" s="295">
        <f>'BD Plant List'!$D233/12*'BD Plant List'!AB$5*'BD Feedstock'!$E$3</f>
        <v>9.6875</v>
      </c>
      <c r="F231" s="295">
        <f>'BD Plant List'!$D233/12*'BD Plant List'!AC$5*'BD Feedstock'!$F$3</f>
        <v>3.4291666666666671</v>
      </c>
      <c r="G231" s="295">
        <f>'BD Plant List'!$E233/12*'BD Feedstock'!G$3*'BD Plant List'!AB$5</f>
        <v>1.453125</v>
      </c>
      <c r="H231" s="295">
        <f>'BD Plant List'!$E233/12*'BD Feedstock'!H$3*'BD Plant List'!AC$5</f>
        <v>0.51437500000000003</v>
      </c>
      <c r="I231" s="295">
        <f>'BD Plant List'!F233/12*'BD Feedstock'!I$3*'BD Plant List'!AC$5</f>
        <v>0.13716666666666666</v>
      </c>
      <c r="J231" s="295">
        <f>'BD Plant List'!G233/12*'BD Feedstock'!J$3*'BD Plant List'!AD$5</f>
        <v>0.90199999999999991</v>
      </c>
      <c r="K231" s="295">
        <f>'BD Plant List'!$H233/12*'BD Feedstock'!K$3*'BD Plant List'!AB$5</f>
        <v>0</v>
      </c>
      <c r="L231" s="295">
        <f>'BD Plant List'!$H233/12*'BD Feedstock'!L$3*'BD Plant List'!AC$5</f>
        <v>0</v>
      </c>
      <c r="M231" s="295">
        <f>'BD Plant List'!$I233/12*'BD Feedstock'!$M$3*'BD Plant List'!AC$5</f>
        <v>3.4291666666666671</v>
      </c>
      <c r="N231" s="295">
        <f>'BD Plant List'!$J233/12*'BD Feedstock'!N$3*'BD Plant List'!AC$5</f>
        <v>0</v>
      </c>
      <c r="O231" s="295">
        <f>'BD Plant List'!$K233/12*'BD Feedstock'!O$3*'BD Plant List'!AC$5</f>
        <v>0</v>
      </c>
      <c r="P231" s="295">
        <f>'BD Plant List'!$L233/12*'BD Feedstock'!P$3*'BD Plant List'!AE$5</f>
        <v>0</v>
      </c>
      <c r="Q231" s="295">
        <f>'BD Plant List'!$M233/12*'BD Feedstock'!Q$3*'BD Plant List'!AE$5</f>
        <v>0.93125000000000002</v>
      </c>
      <c r="R231" s="295">
        <f>'BD Plant List'!$N233/12*'BD Feedstock'!R$3*'BD Plant List'!AE$5</f>
        <v>26.540625000000002</v>
      </c>
      <c r="S231" s="295">
        <f>'BD Plant List'!$N233/12*'BD Feedstock'!S$3*'BD Plant List'!AF$5</f>
        <v>1.40625</v>
      </c>
      <c r="T231" s="295">
        <f>'BD Plant List'!$O233/12*'BD Feedstock'!T$3*'BD Plant List'!AB$5</f>
        <v>8.5732126770944213</v>
      </c>
      <c r="U231" s="295">
        <f>'BD Plant List'!$O233/12*'BD Feedstock'!U$3*'BD Plant List'!AC$5</f>
        <v>3.0347329175263269</v>
      </c>
    </row>
    <row r="232" spans="1:21" ht="18">
      <c r="A232" s="293">
        <v>46753</v>
      </c>
      <c r="B232" s="295">
        <f>'BD Plant List'!B234/12*'BD Plant List'!$AE$5*$B$3</f>
        <v>43.458333333333336</v>
      </c>
      <c r="C232" s="295">
        <f>'BD Plant List'!$C234/12*'BD Plant List'!$AB$5*'BD Feedstock'!$D$3</f>
        <v>2.098958333333333</v>
      </c>
      <c r="D232" s="295">
        <f>'BD Plant List'!$C234/12*'BD Plant List'!$AC$5*'BD Feedstock'!$D$3</f>
        <v>2.2289583333333334</v>
      </c>
      <c r="E232" s="295">
        <f>'BD Plant List'!$D234/12*'BD Plant List'!AB$5*'BD Feedstock'!$E$3</f>
        <v>9.6875</v>
      </c>
      <c r="F232" s="295">
        <f>'BD Plant List'!$D234/12*'BD Plant List'!AC$5*'BD Feedstock'!$F$3</f>
        <v>3.4291666666666671</v>
      </c>
      <c r="G232" s="295">
        <f>'BD Plant List'!$E234/12*'BD Feedstock'!G$3*'BD Plant List'!AB$5</f>
        <v>1.453125</v>
      </c>
      <c r="H232" s="295">
        <f>'BD Plant List'!$E234/12*'BD Feedstock'!H$3*'BD Plant List'!AC$5</f>
        <v>0.51437500000000003</v>
      </c>
      <c r="I232" s="295">
        <f>'BD Plant List'!F234/12*'BD Feedstock'!I$3*'BD Plant List'!AC$5</f>
        <v>0.13716666666666666</v>
      </c>
      <c r="J232" s="295">
        <f>'BD Plant List'!G234/12*'BD Feedstock'!J$3*'BD Plant List'!AD$5</f>
        <v>0.90199999999999991</v>
      </c>
      <c r="K232" s="295">
        <f>'BD Plant List'!$H234/12*'BD Feedstock'!K$3*'BD Plant List'!AB$5</f>
        <v>0</v>
      </c>
      <c r="L232" s="295">
        <f>'BD Plant List'!$H234/12*'BD Feedstock'!L$3*'BD Plant List'!AC$5</f>
        <v>0</v>
      </c>
      <c r="M232" s="295">
        <f>'BD Plant List'!$I234/12*'BD Feedstock'!$M$3*'BD Plant List'!AC$5</f>
        <v>3.4291666666666671</v>
      </c>
      <c r="N232" s="295">
        <f>'BD Plant List'!$J234/12*'BD Feedstock'!N$3*'BD Plant List'!AC$5</f>
        <v>0</v>
      </c>
      <c r="O232" s="295">
        <f>'BD Plant List'!$K234/12*'BD Feedstock'!O$3*'BD Plant List'!AC$5</f>
        <v>0</v>
      </c>
      <c r="P232" s="295">
        <f>'BD Plant List'!$L234/12*'BD Feedstock'!P$3*'BD Plant List'!AE$5</f>
        <v>0</v>
      </c>
      <c r="Q232" s="295">
        <f>'BD Plant List'!$M234/12*'BD Feedstock'!Q$3*'BD Plant List'!AE$5</f>
        <v>0.93125000000000002</v>
      </c>
      <c r="R232" s="295">
        <f>'BD Plant List'!$N234/12*'BD Feedstock'!R$3*'BD Plant List'!AE$5</f>
        <v>26.540625000000002</v>
      </c>
      <c r="S232" s="295">
        <f>'BD Plant List'!$N234/12*'BD Feedstock'!S$3*'BD Plant List'!AF$5</f>
        <v>1.40625</v>
      </c>
      <c r="T232" s="295">
        <f>'BD Plant List'!$O234/12*'BD Feedstock'!T$3*'BD Plant List'!AB$5</f>
        <v>8.5732126770944213</v>
      </c>
      <c r="U232" s="295">
        <f>'BD Plant List'!$O234/12*'BD Feedstock'!U$3*'BD Plant List'!AC$5</f>
        <v>3.0347329175263269</v>
      </c>
    </row>
    <row r="233" spans="1:21" ht="18">
      <c r="A233" s="293">
        <v>46784</v>
      </c>
      <c r="B233" s="295">
        <f>'BD Plant List'!B235/12*'BD Plant List'!$AE$5*$B$3</f>
        <v>43.458333333333336</v>
      </c>
      <c r="C233" s="295">
        <f>'BD Plant List'!$C235/12*'BD Plant List'!$AB$5*'BD Feedstock'!$D$3</f>
        <v>2.098958333333333</v>
      </c>
      <c r="D233" s="295">
        <f>'BD Plant List'!$C235/12*'BD Plant List'!$AC$5*'BD Feedstock'!$D$3</f>
        <v>2.2289583333333334</v>
      </c>
      <c r="E233" s="295">
        <f>'BD Plant List'!$D235/12*'BD Plant List'!AB$5*'BD Feedstock'!$E$3</f>
        <v>9.6875</v>
      </c>
      <c r="F233" s="295">
        <f>'BD Plant List'!$D235/12*'BD Plant List'!AC$5*'BD Feedstock'!$F$3</f>
        <v>3.4291666666666671</v>
      </c>
      <c r="G233" s="295">
        <f>'BD Plant List'!$E235/12*'BD Feedstock'!G$3*'BD Plant List'!AB$5</f>
        <v>1.453125</v>
      </c>
      <c r="H233" s="295">
        <f>'BD Plant List'!$E235/12*'BD Feedstock'!H$3*'BD Plant List'!AC$5</f>
        <v>0.51437500000000003</v>
      </c>
      <c r="I233" s="295">
        <f>'BD Plant List'!F235/12*'BD Feedstock'!I$3*'BD Plant List'!AC$5</f>
        <v>0.13716666666666666</v>
      </c>
      <c r="J233" s="295">
        <f>'BD Plant List'!G235/12*'BD Feedstock'!J$3*'BD Plant List'!AD$5</f>
        <v>0.90199999999999991</v>
      </c>
      <c r="K233" s="295">
        <f>'BD Plant List'!$H235/12*'BD Feedstock'!K$3*'BD Plant List'!AB$5</f>
        <v>0</v>
      </c>
      <c r="L233" s="295">
        <f>'BD Plant List'!$H235/12*'BD Feedstock'!L$3*'BD Plant List'!AC$5</f>
        <v>0</v>
      </c>
      <c r="M233" s="295">
        <f>'BD Plant List'!$I235/12*'BD Feedstock'!$M$3*'BD Plant List'!AC$5</f>
        <v>3.4291666666666671</v>
      </c>
      <c r="N233" s="295">
        <f>'BD Plant List'!$J235/12*'BD Feedstock'!N$3*'BD Plant List'!AC$5</f>
        <v>0</v>
      </c>
      <c r="O233" s="295">
        <f>'BD Plant List'!$K235/12*'BD Feedstock'!O$3*'BD Plant List'!AC$5</f>
        <v>0</v>
      </c>
      <c r="P233" s="295">
        <f>'BD Plant List'!$L235/12*'BD Feedstock'!P$3*'BD Plant List'!AE$5</f>
        <v>0</v>
      </c>
      <c r="Q233" s="295">
        <f>'BD Plant List'!$M235/12*'BD Feedstock'!Q$3*'BD Plant List'!AE$5</f>
        <v>0.93125000000000002</v>
      </c>
      <c r="R233" s="295">
        <f>'BD Plant List'!$N235/12*'BD Feedstock'!R$3*'BD Plant List'!AE$5</f>
        <v>26.540625000000002</v>
      </c>
      <c r="S233" s="295">
        <f>'BD Plant List'!$N235/12*'BD Feedstock'!S$3*'BD Plant List'!AF$5</f>
        <v>1.40625</v>
      </c>
      <c r="T233" s="295">
        <f>'BD Plant List'!$O235/12*'BD Feedstock'!T$3*'BD Plant List'!AB$5</f>
        <v>8.5732126770944213</v>
      </c>
      <c r="U233" s="295">
        <f>'BD Plant List'!$O235/12*'BD Feedstock'!U$3*'BD Plant List'!AC$5</f>
        <v>3.0347329175263269</v>
      </c>
    </row>
    <row r="234" spans="1:21" ht="18">
      <c r="A234" s="293">
        <v>46813</v>
      </c>
      <c r="B234" s="295">
        <f>'BD Plant List'!B236/12*'BD Plant List'!$AE$5*$B$3</f>
        <v>43.458333333333336</v>
      </c>
      <c r="C234" s="295">
        <f>'BD Plant List'!$C236/12*'BD Plant List'!$AB$5*'BD Feedstock'!$D$3</f>
        <v>2.098958333333333</v>
      </c>
      <c r="D234" s="295">
        <f>'BD Plant List'!$C236/12*'BD Plant List'!$AC$5*'BD Feedstock'!$D$3</f>
        <v>2.2289583333333334</v>
      </c>
      <c r="E234" s="295">
        <f>'BD Plant List'!$D236/12*'BD Plant List'!AB$5*'BD Feedstock'!$E$3</f>
        <v>9.6875</v>
      </c>
      <c r="F234" s="295">
        <f>'BD Plant List'!$D236/12*'BD Plant List'!AC$5*'BD Feedstock'!$F$3</f>
        <v>3.4291666666666671</v>
      </c>
      <c r="G234" s="295">
        <f>'BD Plant List'!$E236/12*'BD Feedstock'!G$3*'BD Plant List'!AB$5</f>
        <v>1.453125</v>
      </c>
      <c r="H234" s="295">
        <f>'BD Plant List'!$E236/12*'BD Feedstock'!H$3*'BD Plant List'!AC$5</f>
        <v>0.51437500000000003</v>
      </c>
      <c r="I234" s="295">
        <f>'BD Plant List'!F236/12*'BD Feedstock'!I$3*'BD Plant List'!AC$5</f>
        <v>0.13716666666666666</v>
      </c>
      <c r="J234" s="295">
        <f>'BD Plant List'!G236/12*'BD Feedstock'!J$3*'BD Plant List'!AD$5</f>
        <v>0.90199999999999991</v>
      </c>
      <c r="K234" s="295">
        <f>'BD Plant List'!$H236/12*'BD Feedstock'!K$3*'BD Plant List'!AB$5</f>
        <v>0</v>
      </c>
      <c r="L234" s="295">
        <f>'BD Plant List'!$H236/12*'BD Feedstock'!L$3*'BD Plant List'!AC$5</f>
        <v>0</v>
      </c>
      <c r="M234" s="295">
        <f>'BD Plant List'!$I236/12*'BD Feedstock'!$M$3*'BD Plant List'!AC$5</f>
        <v>3.4291666666666671</v>
      </c>
      <c r="N234" s="295">
        <f>'BD Plant List'!$J236/12*'BD Feedstock'!N$3*'BD Plant List'!AC$5</f>
        <v>0</v>
      </c>
      <c r="O234" s="295">
        <f>'BD Plant List'!$K236/12*'BD Feedstock'!O$3*'BD Plant List'!AC$5</f>
        <v>0</v>
      </c>
      <c r="P234" s="295">
        <f>'BD Plant List'!$L236/12*'BD Feedstock'!P$3*'BD Plant List'!AE$5</f>
        <v>0</v>
      </c>
      <c r="Q234" s="295">
        <f>'BD Plant List'!$M236/12*'BD Feedstock'!Q$3*'BD Plant List'!AE$5</f>
        <v>0.93125000000000002</v>
      </c>
      <c r="R234" s="295">
        <f>'BD Plant List'!$N236/12*'BD Feedstock'!R$3*'BD Plant List'!AE$5</f>
        <v>26.540625000000002</v>
      </c>
      <c r="S234" s="295">
        <f>'BD Plant List'!$N236/12*'BD Feedstock'!S$3*'BD Plant List'!AF$5</f>
        <v>1.40625</v>
      </c>
      <c r="T234" s="295">
        <f>'BD Plant List'!$O236/12*'BD Feedstock'!T$3*'BD Plant List'!AB$5</f>
        <v>8.5732126770944213</v>
      </c>
      <c r="U234" s="295">
        <f>'BD Plant List'!$O236/12*'BD Feedstock'!U$3*'BD Plant List'!AC$5</f>
        <v>3.0347329175263269</v>
      </c>
    </row>
    <row r="235" spans="1:21" ht="18">
      <c r="A235" s="293">
        <v>46844</v>
      </c>
      <c r="B235" s="295">
        <f>'BD Plant List'!B237/12*'BD Plant List'!$AE$5*$B$3</f>
        <v>43.458333333333336</v>
      </c>
      <c r="C235" s="295">
        <f>'BD Plant List'!$C237/12*'BD Plant List'!$AB$5*'BD Feedstock'!$D$3</f>
        <v>2.098958333333333</v>
      </c>
      <c r="D235" s="295">
        <f>'BD Plant List'!$C237/12*'BD Plant List'!$AC$5*'BD Feedstock'!$D$3</f>
        <v>2.2289583333333334</v>
      </c>
      <c r="E235" s="295">
        <f>'BD Plant List'!$D237/12*'BD Plant List'!AB$5*'BD Feedstock'!$E$3</f>
        <v>9.6875</v>
      </c>
      <c r="F235" s="295">
        <f>'BD Plant List'!$D237/12*'BD Plant List'!AC$5*'BD Feedstock'!$F$3</f>
        <v>3.4291666666666671</v>
      </c>
      <c r="G235" s="295">
        <f>'BD Plant List'!$E237/12*'BD Feedstock'!G$3*'BD Plant List'!AB$5</f>
        <v>1.453125</v>
      </c>
      <c r="H235" s="295">
        <f>'BD Plant List'!$E237/12*'BD Feedstock'!H$3*'BD Plant List'!AC$5</f>
        <v>0.51437500000000003</v>
      </c>
      <c r="I235" s="295">
        <f>'BD Plant List'!F237/12*'BD Feedstock'!I$3*'BD Plant List'!AC$5</f>
        <v>0.13716666666666666</v>
      </c>
      <c r="J235" s="295">
        <f>'BD Plant List'!G237/12*'BD Feedstock'!J$3*'BD Plant List'!AD$5</f>
        <v>0.90199999999999991</v>
      </c>
      <c r="K235" s="295">
        <f>'BD Plant List'!$H237/12*'BD Feedstock'!K$3*'BD Plant List'!AB$5</f>
        <v>0</v>
      </c>
      <c r="L235" s="295">
        <f>'BD Plant List'!$H237/12*'BD Feedstock'!L$3*'BD Plant List'!AC$5</f>
        <v>0</v>
      </c>
      <c r="M235" s="295">
        <f>'BD Plant List'!$I237/12*'BD Feedstock'!$M$3*'BD Plant List'!AC$5</f>
        <v>3.4291666666666671</v>
      </c>
      <c r="N235" s="295">
        <f>'BD Plant List'!$J237/12*'BD Feedstock'!N$3*'BD Plant List'!AC$5</f>
        <v>0</v>
      </c>
      <c r="O235" s="295">
        <f>'BD Plant List'!$K237/12*'BD Feedstock'!O$3*'BD Plant List'!AC$5</f>
        <v>0</v>
      </c>
      <c r="P235" s="295">
        <f>'BD Plant List'!$L237/12*'BD Feedstock'!P$3*'BD Plant List'!AE$5</f>
        <v>0</v>
      </c>
      <c r="Q235" s="295">
        <f>'BD Plant List'!$M237/12*'BD Feedstock'!Q$3*'BD Plant List'!AE$5</f>
        <v>0.93125000000000002</v>
      </c>
      <c r="R235" s="295">
        <f>'BD Plant List'!$N237/12*'BD Feedstock'!R$3*'BD Plant List'!AE$5</f>
        <v>26.540625000000002</v>
      </c>
      <c r="S235" s="295">
        <f>'BD Plant List'!$N237/12*'BD Feedstock'!S$3*'BD Plant List'!AF$5</f>
        <v>1.40625</v>
      </c>
      <c r="T235" s="295">
        <f>'BD Plant List'!$O237/12*'BD Feedstock'!T$3*'BD Plant List'!AB$5</f>
        <v>8.5732126770944213</v>
      </c>
      <c r="U235" s="295">
        <f>'BD Plant List'!$O237/12*'BD Feedstock'!U$3*'BD Plant List'!AC$5</f>
        <v>3.0347329175263269</v>
      </c>
    </row>
    <row r="236" spans="1:21" ht="18">
      <c r="A236" s="293">
        <v>46874</v>
      </c>
      <c r="B236" s="295">
        <f>'BD Plant List'!B238/12*'BD Plant List'!$AE$5*$B$3</f>
        <v>43.458333333333336</v>
      </c>
      <c r="C236" s="295">
        <f>'BD Plant List'!$C238/12*'BD Plant List'!$AB$5*'BD Feedstock'!$D$3</f>
        <v>2.098958333333333</v>
      </c>
      <c r="D236" s="295">
        <f>'BD Plant List'!$C238/12*'BD Plant List'!$AC$5*'BD Feedstock'!$D$3</f>
        <v>2.2289583333333334</v>
      </c>
      <c r="E236" s="295">
        <f>'BD Plant List'!$D238/12*'BD Plant List'!AB$5*'BD Feedstock'!$E$3</f>
        <v>9.6875</v>
      </c>
      <c r="F236" s="295">
        <f>'BD Plant List'!$D238/12*'BD Plant List'!AC$5*'BD Feedstock'!$F$3</f>
        <v>3.4291666666666671</v>
      </c>
      <c r="G236" s="295">
        <f>'BD Plant List'!$E238/12*'BD Feedstock'!G$3*'BD Plant List'!AB$5</f>
        <v>1.453125</v>
      </c>
      <c r="H236" s="295">
        <f>'BD Plant List'!$E238/12*'BD Feedstock'!H$3*'BD Plant List'!AC$5</f>
        <v>0.51437500000000003</v>
      </c>
      <c r="I236" s="295">
        <f>'BD Plant List'!F238/12*'BD Feedstock'!I$3*'BD Plant List'!AC$5</f>
        <v>0.13716666666666666</v>
      </c>
      <c r="J236" s="295">
        <f>'BD Plant List'!G238/12*'BD Feedstock'!J$3*'BD Plant List'!AD$5</f>
        <v>0.90199999999999991</v>
      </c>
      <c r="K236" s="295">
        <f>'BD Plant List'!$H238/12*'BD Feedstock'!K$3*'BD Plant List'!AB$5</f>
        <v>0</v>
      </c>
      <c r="L236" s="295">
        <f>'BD Plant List'!$H238/12*'BD Feedstock'!L$3*'BD Plant List'!AC$5</f>
        <v>0</v>
      </c>
      <c r="M236" s="295">
        <f>'BD Plant List'!$I238/12*'BD Feedstock'!$M$3*'BD Plant List'!AC$5</f>
        <v>3.4291666666666671</v>
      </c>
      <c r="N236" s="295">
        <f>'BD Plant List'!$J238/12*'BD Feedstock'!N$3*'BD Plant List'!AC$5</f>
        <v>0</v>
      </c>
      <c r="O236" s="295">
        <f>'BD Plant List'!$K238/12*'BD Feedstock'!O$3*'BD Plant List'!AC$5</f>
        <v>0</v>
      </c>
      <c r="P236" s="295">
        <f>'BD Plant List'!$L238/12*'BD Feedstock'!P$3*'BD Plant List'!AE$5</f>
        <v>0</v>
      </c>
      <c r="Q236" s="295">
        <f>'BD Plant List'!$M238/12*'BD Feedstock'!Q$3*'BD Plant List'!AE$5</f>
        <v>0.93125000000000002</v>
      </c>
      <c r="R236" s="295">
        <f>'BD Plant List'!$N238/12*'BD Feedstock'!R$3*'BD Plant List'!AE$5</f>
        <v>26.540625000000002</v>
      </c>
      <c r="S236" s="295">
        <f>'BD Plant List'!$N238/12*'BD Feedstock'!S$3*'BD Plant List'!AF$5</f>
        <v>1.40625</v>
      </c>
      <c r="T236" s="295">
        <f>'BD Plant List'!$O238/12*'BD Feedstock'!T$3*'BD Plant List'!AB$5</f>
        <v>8.5732126770944213</v>
      </c>
      <c r="U236" s="295">
        <f>'BD Plant List'!$O238/12*'BD Feedstock'!U$3*'BD Plant List'!AC$5</f>
        <v>3.0347329175263269</v>
      </c>
    </row>
    <row r="237" spans="1:21" ht="18">
      <c r="A237" s="293">
        <v>46905</v>
      </c>
      <c r="B237" s="295">
        <f>'BD Plant List'!B239/12*'BD Plant List'!$AE$5*$B$3</f>
        <v>43.458333333333336</v>
      </c>
      <c r="C237" s="295">
        <f>'BD Plant List'!$C239/12*'BD Plant List'!$AB$5*'BD Feedstock'!$D$3</f>
        <v>2.098958333333333</v>
      </c>
      <c r="D237" s="295">
        <f>'BD Plant List'!$C239/12*'BD Plant List'!$AC$5*'BD Feedstock'!$D$3</f>
        <v>2.2289583333333334</v>
      </c>
      <c r="E237" s="295">
        <f>'BD Plant List'!$D239/12*'BD Plant List'!AB$5*'BD Feedstock'!$E$3</f>
        <v>9.6875</v>
      </c>
      <c r="F237" s="295">
        <f>'BD Plant List'!$D239/12*'BD Plant List'!AC$5*'BD Feedstock'!$F$3</f>
        <v>3.4291666666666671</v>
      </c>
      <c r="G237" s="295">
        <f>'BD Plant List'!$E239/12*'BD Feedstock'!G$3*'BD Plant List'!AB$5</f>
        <v>1.453125</v>
      </c>
      <c r="H237" s="295">
        <f>'BD Plant List'!$E239/12*'BD Feedstock'!H$3*'BD Plant List'!AC$5</f>
        <v>0.51437500000000003</v>
      </c>
      <c r="I237" s="295">
        <f>'BD Plant List'!F239/12*'BD Feedstock'!I$3*'BD Plant List'!AC$5</f>
        <v>0.13716666666666666</v>
      </c>
      <c r="J237" s="295">
        <f>'BD Plant List'!G239/12*'BD Feedstock'!J$3*'BD Plant List'!AD$5</f>
        <v>0.90199999999999991</v>
      </c>
      <c r="K237" s="295">
        <f>'BD Plant List'!$H239/12*'BD Feedstock'!K$3*'BD Plant List'!AB$5</f>
        <v>0</v>
      </c>
      <c r="L237" s="295">
        <f>'BD Plant List'!$H239/12*'BD Feedstock'!L$3*'BD Plant List'!AC$5</f>
        <v>0</v>
      </c>
      <c r="M237" s="295">
        <f>'BD Plant List'!$I239/12*'BD Feedstock'!$M$3*'BD Plant List'!AC$5</f>
        <v>3.4291666666666671</v>
      </c>
      <c r="N237" s="295">
        <f>'BD Plant List'!$J239/12*'BD Feedstock'!N$3*'BD Plant List'!AC$5</f>
        <v>0</v>
      </c>
      <c r="O237" s="295">
        <f>'BD Plant List'!$K239/12*'BD Feedstock'!O$3*'BD Plant List'!AC$5</f>
        <v>0</v>
      </c>
      <c r="P237" s="295">
        <f>'BD Plant List'!$L239/12*'BD Feedstock'!P$3*'BD Plant List'!AE$5</f>
        <v>0</v>
      </c>
      <c r="Q237" s="295">
        <f>'BD Plant List'!$M239/12*'BD Feedstock'!Q$3*'BD Plant List'!AE$5</f>
        <v>0.93125000000000002</v>
      </c>
      <c r="R237" s="295">
        <f>'BD Plant List'!$N239/12*'BD Feedstock'!R$3*'BD Plant List'!AE$5</f>
        <v>26.540625000000002</v>
      </c>
      <c r="S237" s="295">
        <f>'BD Plant List'!$N239/12*'BD Feedstock'!S$3*'BD Plant List'!AF$5</f>
        <v>1.40625</v>
      </c>
      <c r="T237" s="295">
        <f>'BD Plant List'!$O239/12*'BD Feedstock'!T$3*'BD Plant List'!AB$5</f>
        <v>8.5732126770944213</v>
      </c>
      <c r="U237" s="295">
        <f>'BD Plant List'!$O239/12*'BD Feedstock'!U$3*'BD Plant List'!AC$5</f>
        <v>3.0347329175263269</v>
      </c>
    </row>
    <row r="238" spans="1:21" ht="18">
      <c r="A238" s="293">
        <v>46935</v>
      </c>
      <c r="B238" s="295">
        <f>'BD Plant List'!B240/12*'BD Plant List'!$AE$5*$B$3</f>
        <v>43.458333333333336</v>
      </c>
      <c r="C238" s="295">
        <f>'BD Plant List'!$C240/12*'BD Plant List'!$AB$5*'BD Feedstock'!$D$3</f>
        <v>2.098958333333333</v>
      </c>
      <c r="D238" s="295">
        <f>'BD Plant List'!$C240/12*'BD Plant List'!$AC$5*'BD Feedstock'!$D$3</f>
        <v>2.2289583333333334</v>
      </c>
      <c r="E238" s="295">
        <f>'BD Plant List'!$D240/12*'BD Plant List'!AB$5*'BD Feedstock'!$E$3</f>
        <v>9.6875</v>
      </c>
      <c r="F238" s="295">
        <f>'BD Plant List'!$D240/12*'BD Plant List'!AC$5*'BD Feedstock'!$F$3</f>
        <v>3.4291666666666671</v>
      </c>
      <c r="G238" s="295">
        <f>'BD Plant List'!$E240/12*'BD Feedstock'!G$3*'BD Plant List'!AB$5</f>
        <v>1.453125</v>
      </c>
      <c r="H238" s="295">
        <f>'BD Plant List'!$E240/12*'BD Feedstock'!H$3*'BD Plant List'!AC$5</f>
        <v>0.51437500000000003</v>
      </c>
      <c r="I238" s="295">
        <f>'BD Plant List'!F240/12*'BD Feedstock'!I$3*'BD Plant List'!AC$5</f>
        <v>0.13716666666666666</v>
      </c>
      <c r="J238" s="295">
        <f>'BD Plant List'!G240/12*'BD Feedstock'!J$3*'BD Plant List'!AD$5</f>
        <v>0.90199999999999991</v>
      </c>
      <c r="K238" s="295">
        <f>'BD Plant List'!$H240/12*'BD Feedstock'!K$3*'BD Plant List'!AB$5</f>
        <v>0</v>
      </c>
      <c r="L238" s="295">
        <f>'BD Plant List'!$H240/12*'BD Feedstock'!L$3*'BD Plant List'!AC$5</f>
        <v>0</v>
      </c>
      <c r="M238" s="295">
        <f>'BD Plant List'!$I240/12*'BD Feedstock'!$M$3*'BD Plant List'!AC$5</f>
        <v>3.4291666666666671</v>
      </c>
      <c r="N238" s="295">
        <f>'BD Plant List'!$J240/12*'BD Feedstock'!N$3*'BD Plant List'!AC$5</f>
        <v>0</v>
      </c>
      <c r="O238" s="295">
        <f>'BD Plant List'!$K240/12*'BD Feedstock'!O$3*'BD Plant List'!AC$5</f>
        <v>0</v>
      </c>
      <c r="P238" s="295">
        <f>'BD Plant List'!$L240/12*'BD Feedstock'!P$3*'BD Plant List'!AE$5</f>
        <v>0</v>
      </c>
      <c r="Q238" s="295">
        <f>'BD Plant List'!$M240/12*'BD Feedstock'!Q$3*'BD Plant List'!AE$5</f>
        <v>0.93125000000000002</v>
      </c>
      <c r="R238" s="295">
        <f>'BD Plant List'!$N240/12*'BD Feedstock'!R$3*'BD Plant List'!AE$5</f>
        <v>26.540625000000002</v>
      </c>
      <c r="S238" s="295">
        <f>'BD Plant List'!$N240/12*'BD Feedstock'!S$3*'BD Plant List'!AF$5</f>
        <v>1.40625</v>
      </c>
      <c r="T238" s="295">
        <f>'BD Plant List'!$O240/12*'BD Feedstock'!T$3*'BD Plant List'!AB$5</f>
        <v>8.5732126770944213</v>
      </c>
      <c r="U238" s="295">
        <f>'BD Plant List'!$O240/12*'BD Feedstock'!U$3*'BD Plant List'!AC$5</f>
        <v>3.0347329175263269</v>
      </c>
    </row>
    <row r="239" spans="1:21" ht="18">
      <c r="A239" s="293">
        <v>46966</v>
      </c>
      <c r="B239" s="295">
        <f>'BD Plant List'!B241/12*'BD Plant List'!$AE$5*$B$3</f>
        <v>43.458333333333336</v>
      </c>
      <c r="C239" s="295">
        <f>'BD Plant List'!$C241/12*'BD Plant List'!$AB$5*'BD Feedstock'!$D$3</f>
        <v>2.098958333333333</v>
      </c>
      <c r="D239" s="295">
        <f>'BD Plant List'!$C241/12*'BD Plant List'!$AC$5*'BD Feedstock'!$D$3</f>
        <v>2.2289583333333334</v>
      </c>
      <c r="E239" s="295">
        <f>'BD Plant List'!$D241/12*'BD Plant List'!AB$5*'BD Feedstock'!$E$3</f>
        <v>9.6875</v>
      </c>
      <c r="F239" s="295">
        <f>'BD Plant List'!$D241/12*'BD Plant List'!AC$5*'BD Feedstock'!$F$3</f>
        <v>3.4291666666666671</v>
      </c>
      <c r="G239" s="295">
        <f>'BD Plant List'!$E241/12*'BD Feedstock'!G$3*'BD Plant List'!AB$5</f>
        <v>1.453125</v>
      </c>
      <c r="H239" s="295">
        <f>'BD Plant List'!$E241/12*'BD Feedstock'!H$3*'BD Plant List'!AC$5</f>
        <v>0.51437500000000003</v>
      </c>
      <c r="I239" s="295">
        <f>'BD Plant List'!F241/12*'BD Feedstock'!I$3*'BD Plant List'!AC$5</f>
        <v>0.13716666666666666</v>
      </c>
      <c r="J239" s="295">
        <f>'BD Plant List'!G241/12*'BD Feedstock'!J$3*'BD Plant List'!AD$5</f>
        <v>0.90199999999999991</v>
      </c>
      <c r="K239" s="295">
        <f>'BD Plant List'!$H241/12*'BD Feedstock'!K$3*'BD Plant List'!AB$5</f>
        <v>0</v>
      </c>
      <c r="L239" s="295">
        <f>'BD Plant List'!$H241/12*'BD Feedstock'!L$3*'BD Plant List'!AC$5</f>
        <v>0</v>
      </c>
      <c r="M239" s="295">
        <f>'BD Plant List'!$I241/12*'BD Feedstock'!$M$3*'BD Plant List'!AC$5</f>
        <v>3.4291666666666671</v>
      </c>
      <c r="N239" s="295">
        <f>'BD Plant List'!$J241/12*'BD Feedstock'!N$3*'BD Plant List'!AC$5</f>
        <v>0</v>
      </c>
      <c r="O239" s="295">
        <f>'BD Plant List'!$K241/12*'BD Feedstock'!O$3*'BD Plant List'!AC$5</f>
        <v>0</v>
      </c>
      <c r="P239" s="295">
        <f>'BD Plant List'!$L241/12*'BD Feedstock'!P$3*'BD Plant List'!AE$5</f>
        <v>0</v>
      </c>
      <c r="Q239" s="295">
        <f>'BD Plant List'!$M241/12*'BD Feedstock'!Q$3*'BD Plant List'!AE$5</f>
        <v>0.93125000000000002</v>
      </c>
      <c r="R239" s="295">
        <f>'BD Plant List'!$N241/12*'BD Feedstock'!R$3*'BD Plant List'!AE$5</f>
        <v>26.540625000000002</v>
      </c>
      <c r="S239" s="295">
        <f>'BD Plant List'!$N241/12*'BD Feedstock'!S$3*'BD Plant List'!AF$5</f>
        <v>1.40625</v>
      </c>
      <c r="T239" s="295">
        <f>'BD Plant List'!$O241/12*'BD Feedstock'!T$3*'BD Plant List'!AB$5</f>
        <v>8.5732126770944213</v>
      </c>
      <c r="U239" s="295">
        <f>'BD Plant List'!$O241/12*'BD Feedstock'!U$3*'BD Plant List'!AC$5</f>
        <v>3.0347329175263269</v>
      </c>
    </row>
    <row r="240" spans="1:21" ht="18">
      <c r="A240" s="293">
        <v>46997</v>
      </c>
      <c r="B240" s="295">
        <f>'BD Plant List'!B242/12*'BD Plant List'!$AE$5*$B$3</f>
        <v>43.458333333333336</v>
      </c>
      <c r="C240" s="295">
        <f>'BD Plant List'!$C242/12*'BD Plant List'!$AB$5*'BD Feedstock'!$D$3</f>
        <v>2.098958333333333</v>
      </c>
      <c r="D240" s="295">
        <f>'BD Plant List'!$C242/12*'BD Plant List'!$AC$5*'BD Feedstock'!$D$3</f>
        <v>2.2289583333333334</v>
      </c>
      <c r="E240" s="295">
        <f>'BD Plant List'!$D242/12*'BD Plant List'!AB$5*'BD Feedstock'!$E$3</f>
        <v>9.6875</v>
      </c>
      <c r="F240" s="295">
        <f>'BD Plant List'!$D242/12*'BD Plant List'!AC$5*'BD Feedstock'!$F$3</f>
        <v>3.4291666666666671</v>
      </c>
      <c r="G240" s="295">
        <f>'BD Plant List'!$E242/12*'BD Feedstock'!G$3*'BD Plant List'!AB$5</f>
        <v>1.453125</v>
      </c>
      <c r="H240" s="295">
        <f>'BD Plant List'!$E242/12*'BD Feedstock'!H$3*'BD Plant List'!AC$5</f>
        <v>0.51437500000000003</v>
      </c>
      <c r="I240" s="295">
        <f>'BD Plant List'!F242/12*'BD Feedstock'!I$3*'BD Plant List'!AC$5</f>
        <v>0.13716666666666666</v>
      </c>
      <c r="J240" s="295">
        <f>'BD Plant List'!G242/12*'BD Feedstock'!J$3*'BD Plant List'!AD$5</f>
        <v>0.90199999999999991</v>
      </c>
      <c r="K240" s="295">
        <f>'BD Plant List'!$H242/12*'BD Feedstock'!K$3*'BD Plant List'!AB$5</f>
        <v>0</v>
      </c>
      <c r="L240" s="295">
        <f>'BD Plant List'!$H242/12*'BD Feedstock'!L$3*'BD Plant List'!AC$5</f>
        <v>0</v>
      </c>
      <c r="M240" s="295">
        <f>'BD Plant List'!$I242/12*'BD Feedstock'!$M$3*'BD Plant List'!AC$5</f>
        <v>3.4291666666666671</v>
      </c>
      <c r="N240" s="295">
        <f>'BD Plant List'!$J242/12*'BD Feedstock'!N$3*'BD Plant List'!AC$5</f>
        <v>0</v>
      </c>
      <c r="O240" s="295">
        <f>'BD Plant List'!$K242/12*'BD Feedstock'!O$3*'BD Plant List'!AC$5</f>
        <v>0</v>
      </c>
      <c r="P240" s="295">
        <f>'BD Plant List'!$L242/12*'BD Feedstock'!P$3*'BD Plant List'!AE$5</f>
        <v>0</v>
      </c>
      <c r="Q240" s="295">
        <f>'BD Plant List'!$M242/12*'BD Feedstock'!Q$3*'BD Plant List'!AE$5</f>
        <v>0.93125000000000002</v>
      </c>
      <c r="R240" s="295">
        <f>'BD Plant List'!$N242/12*'BD Feedstock'!R$3*'BD Plant List'!AE$5</f>
        <v>26.540625000000002</v>
      </c>
      <c r="S240" s="295">
        <f>'BD Plant List'!$N242/12*'BD Feedstock'!S$3*'BD Plant List'!AF$5</f>
        <v>1.40625</v>
      </c>
      <c r="T240" s="295">
        <f>'BD Plant List'!$O242/12*'BD Feedstock'!T$3*'BD Plant List'!AB$5</f>
        <v>8.5732126770944213</v>
      </c>
      <c r="U240" s="295">
        <f>'BD Plant List'!$O242/12*'BD Feedstock'!U$3*'BD Plant List'!AC$5</f>
        <v>3.0347329175263269</v>
      </c>
    </row>
    <row r="241" spans="1:21" ht="18">
      <c r="A241" s="293">
        <v>47027</v>
      </c>
      <c r="B241" s="295">
        <f>'BD Plant List'!B243/12*'BD Plant List'!$AE$5*$B$3</f>
        <v>43.458333333333336</v>
      </c>
      <c r="C241" s="295">
        <f>'BD Plant List'!$C243/12*'BD Plant List'!$AB$5*'BD Feedstock'!$D$3</f>
        <v>2.098958333333333</v>
      </c>
      <c r="D241" s="295">
        <f>'BD Plant List'!$C243/12*'BD Plant List'!$AC$5*'BD Feedstock'!$D$3</f>
        <v>2.2289583333333334</v>
      </c>
      <c r="E241" s="295">
        <f>'BD Plant List'!$D243/12*'BD Plant List'!AB$5*'BD Feedstock'!$E$3</f>
        <v>9.6875</v>
      </c>
      <c r="F241" s="295">
        <f>'BD Plant List'!$D243/12*'BD Plant List'!AC$5*'BD Feedstock'!$F$3</f>
        <v>3.4291666666666671</v>
      </c>
      <c r="G241" s="295">
        <f>'BD Plant List'!$E243/12*'BD Feedstock'!G$3*'BD Plant List'!AB$5</f>
        <v>1.453125</v>
      </c>
      <c r="H241" s="295">
        <f>'BD Plant List'!$E243/12*'BD Feedstock'!H$3*'BD Plant List'!AC$5</f>
        <v>0.51437500000000003</v>
      </c>
      <c r="I241" s="295">
        <f>'BD Plant List'!F243/12*'BD Feedstock'!I$3*'BD Plant List'!AC$5</f>
        <v>0.13716666666666666</v>
      </c>
      <c r="J241" s="295">
        <f>'BD Plant List'!G243/12*'BD Feedstock'!J$3*'BD Plant List'!AD$5</f>
        <v>0.90199999999999991</v>
      </c>
      <c r="K241" s="295">
        <f>'BD Plant List'!$H243/12*'BD Feedstock'!K$3*'BD Plant List'!AB$5</f>
        <v>0</v>
      </c>
      <c r="L241" s="295">
        <f>'BD Plant List'!$H243/12*'BD Feedstock'!L$3*'BD Plant List'!AC$5</f>
        <v>0</v>
      </c>
      <c r="M241" s="295">
        <f>'BD Plant List'!$I243/12*'BD Feedstock'!$M$3*'BD Plant List'!AC$5</f>
        <v>3.4291666666666671</v>
      </c>
      <c r="N241" s="295">
        <f>'BD Plant List'!$J243/12*'BD Feedstock'!N$3*'BD Plant List'!AC$5</f>
        <v>0</v>
      </c>
      <c r="O241" s="295">
        <f>'BD Plant List'!$K243/12*'BD Feedstock'!O$3*'BD Plant List'!AC$5</f>
        <v>0</v>
      </c>
      <c r="P241" s="295">
        <f>'BD Plant List'!$L243/12*'BD Feedstock'!P$3*'BD Plant List'!AE$5</f>
        <v>0</v>
      </c>
      <c r="Q241" s="295">
        <f>'BD Plant List'!$M243/12*'BD Feedstock'!Q$3*'BD Plant List'!AE$5</f>
        <v>0.93125000000000002</v>
      </c>
      <c r="R241" s="295">
        <f>'BD Plant List'!$N243/12*'BD Feedstock'!R$3*'BD Plant List'!AE$5</f>
        <v>26.540625000000002</v>
      </c>
      <c r="S241" s="295">
        <f>'BD Plant List'!$N243/12*'BD Feedstock'!S$3*'BD Plant List'!AF$5</f>
        <v>1.40625</v>
      </c>
      <c r="T241" s="295">
        <f>'BD Plant List'!$O243/12*'BD Feedstock'!T$3*'BD Plant List'!AB$5</f>
        <v>8.5732126770944213</v>
      </c>
      <c r="U241" s="295">
        <f>'BD Plant List'!$O243/12*'BD Feedstock'!U$3*'BD Plant List'!AC$5</f>
        <v>3.0347329175263269</v>
      </c>
    </row>
    <row r="242" spans="1:21" ht="18">
      <c r="A242" s="293">
        <v>47058</v>
      </c>
      <c r="B242" s="295">
        <f>'BD Plant List'!B244/12*'BD Plant List'!$AE$5*$B$3</f>
        <v>43.458333333333336</v>
      </c>
      <c r="C242" s="295">
        <f>'BD Plant List'!$C244/12*'BD Plant List'!$AB$5*'BD Feedstock'!$D$3</f>
        <v>2.098958333333333</v>
      </c>
      <c r="D242" s="295">
        <f>'BD Plant List'!$C244/12*'BD Plant List'!$AC$5*'BD Feedstock'!$D$3</f>
        <v>2.2289583333333334</v>
      </c>
      <c r="E242" s="295">
        <f>'BD Plant List'!$D244/12*'BD Plant List'!AB$5*'BD Feedstock'!$E$3</f>
        <v>9.6875</v>
      </c>
      <c r="F242" s="295">
        <f>'BD Plant List'!$D244/12*'BD Plant List'!AC$5*'BD Feedstock'!$F$3</f>
        <v>3.4291666666666671</v>
      </c>
      <c r="G242" s="295">
        <f>'BD Plant List'!$E244/12*'BD Feedstock'!G$3*'BD Plant List'!AB$5</f>
        <v>1.453125</v>
      </c>
      <c r="H242" s="295">
        <f>'BD Plant List'!$E244/12*'BD Feedstock'!H$3*'BD Plant List'!AC$5</f>
        <v>0.51437500000000003</v>
      </c>
      <c r="I242" s="295">
        <f>'BD Plant List'!F244/12*'BD Feedstock'!I$3*'BD Plant List'!AC$5</f>
        <v>0.13716666666666666</v>
      </c>
      <c r="J242" s="295">
        <f>'BD Plant List'!G244/12*'BD Feedstock'!J$3*'BD Plant List'!AD$5</f>
        <v>0.90199999999999991</v>
      </c>
      <c r="K242" s="295">
        <f>'BD Plant List'!$H244/12*'BD Feedstock'!K$3*'BD Plant List'!AB$5</f>
        <v>0</v>
      </c>
      <c r="L242" s="295">
        <f>'BD Plant List'!$H244/12*'BD Feedstock'!L$3*'BD Plant List'!AC$5</f>
        <v>0</v>
      </c>
      <c r="M242" s="295">
        <f>'BD Plant List'!$I244/12*'BD Feedstock'!$M$3*'BD Plant List'!AC$5</f>
        <v>3.4291666666666671</v>
      </c>
      <c r="N242" s="295">
        <f>'BD Plant List'!$J244/12*'BD Feedstock'!N$3*'BD Plant List'!AC$5</f>
        <v>0</v>
      </c>
      <c r="O242" s="295">
        <f>'BD Plant List'!$K244/12*'BD Feedstock'!O$3*'BD Plant List'!AC$5</f>
        <v>0</v>
      </c>
      <c r="P242" s="295">
        <f>'BD Plant List'!$L244/12*'BD Feedstock'!P$3*'BD Plant List'!AE$5</f>
        <v>0</v>
      </c>
      <c r="Q242" s="295">
        <f>'BD Plant List'!$M244/12*'BD Feedstock'!Q$3*'BD Plant List'!AE$5</f>
        <v>0.93125000000000002</v>
      </c>
      <c r="R242" s="295">
        <f>'BD Plant List'!$N244/12*'BD Feedstock'!R$3*'BD Plant List'!AE$5</f>
        <v>26.540625000000002</v>
      </c>
      <c r="S242" s="295">
        <f>'BD Plant List'!$N244/12*'BD Feedstock'!S$3*'BD Plant List'!AF$5</f>
        <v>1.40625</v>
      </c>
      <c r="T242" s="295">
        <f>'BD Plant List'!$O244/12*'BD Feedstock'!T$3*'BD Plant List'!AB$5</f>
        <v>8.5732126770944213</v>
      </c>
      <c r="U242" s="295">
        <f>'BD Plant List'!$O244/12*'BD Feedstock'!U$3*'BD Plant List'!AC$5</f>
        <v>3.0347329175263269</v>
      </c>
    </row>
    <row r="243" spans="1:21" ht="18">
      <c r="A243" s="293">
        <v>47088</v>
      </c>
      <c r="B243" s="295">
        <f>'BD Plant List'!B245/12*'BD Plant List'!$AE$5*$B$3</f>
        <v>43.458333333333336</v>
      </c>
      <c r="C243" s="295">
        <f>'BD Plant List'!$C245/12*'BD Plant List'!$AB$5*'BD Feedstock'!$D$3</f>
        <v>2.098958333333333</v>
      </c>
      <c r="D243" s="295">
        <f>'BD Plant List'!$C245/12*'BD Plant List'!$AC$5*'BD Feedstock'!$D$3</f>
        <v>2.2289583333333334</v>
      </c>
      <c r="E243" s="295">
        <f>'BD Plant List'!$D245/12*'BD Plant List'!AB$5*'BD Feedstock'!$E$3</f>
        <v>9.6875</v>
      </c>
      <c r="F243" s="295">
        <f>'BD Plant List'!$D245/12*'BD Plant List'!AC$5*'BD Feedstock'!$F$3</f>
        <v>3.4291666666666671</v>
      </c>
      <c r="G243" s="295">
        <f>'BD Plant List'!$E245/12*'BD Feedstock'!G$3*'BD Plant List'!AB$5</f>
        <v>1.453125</v>
      </c>
      <c r="H243" s="295">
        <f>'BD Plant List'!$E245/12*'BD Feedstock'!H$3*'BD Plant List'!AC$5</f>
        <v>0.51437500000000003</v>
      </c>
      <c r="I243" s="295">
        <f>'BD Plant List'!F245/12*'BD Feedstock'!I$3*'BD Plant List'!AC$5</f>
        <v>0.13716666666666666</v>
      </c>
      <c r="J243" s="295">
        <f>'BD Plant List'!G245/12*'BD Feedstock'!J$3*'BD Plant List'!AD$5</f>
        <v>0.90199999999999991</v>
      </c>
      <c r="K243" s="295">
        <f>'BD Plant List'!$H245/12*'BD Feedstock'!K$3*'BD Plant List'!AB$5</f>
        <v>0</v>
      </c>
      <c r="L243" s="295">
        <f>'BD Plant List'!$H245/12*'BD Feedstock'!L$3*'BD Plant List'!AC$5</f>
        <v>0</v>
      </c>
      <c r="M243" s="295">
        <f>'BD Plant List'!$I245/12*'BD Feedstock'!$M$3*'BD Plant List'!AC$5</f>
        <v>3.4291666666666671</v>
      </c>
      <c r="N243" s="295">
        <f>'BD Plant List'!$J245/12*'BD Feedstock'!N$3*'BD Plant List'!AC$5</f>
        <v>0</v>
      </c>
      <c r="O243" s="295">
        <f>'BD Plant List'!$K245/12*'BD Feedstock'!O$3*'BD Plant List'!AC$5</f>
        <v>0</v>
      </c>
      <c r="P243" s="295">
        <f>'BD Plant List'!$L245/12*'BD Feedstock'!P$3*'BD Plant List'!AE$5</f>
        <v>0</v>
      </c>
      <c r="Q243" s="295">
        <f>'BD Plant List'!$M245/12*'BD Feedstock'!Q$3*'BD Plant List'!AE$5</f>
        <v>0.93125000000000002</v>
      </c>
      <c r="R243" s="295">
        <f>'BD Plant List'!$N245/12*'BD Feedstock'!R$3*'BD Plant List'!AE$5</f>
        <v>26.540625000000002</v>
      </c>
      <c r="S243" s="295">
        <f>'BD Plant List'!$N245/12*'BD Feedstock'!S$3*'BD Plant List'!AF$5</f>
        <v>1.40625</v>
      </c>
      <c r="T243" s="295">
        <f>'BD Plant List'!$O245/12*'BD Feedstock'!T$3*'BD Plant List'!AB$5</f>
        <v>8.5732126770944213</v>
      </c>
      <c r="U243" s="295">
        <f>'BD Plant List'!$O245/12*'BD Feedstock'!U$3*'BD Plant List'!AC$5</f>
        <v>3.0347329175263269</v>
      </c>
    </row>
    <row r="244" spans="1:21" ht="18">
      <c r="A244" s="293">
        <v>47119</v>
      </c>
      <c r="B244" s="295">
        <f>'BD Plant List'!B246/12*'BD Plant List'!$AE$5*$B$3</f>
        <v>43.458333333333336</v>
      </c>
      <c r="C244" s="295">
        <f>'BD Plant List'!$C246/12*'BD Plant List'!$AB$5*'BD Feedstock'!$D$3</f>
        <v>2.098958333333333</v>
      </c>
      <c r="D244" s="295">
        <f>'BD Plant List'!$C246/12*'BD Plant List'!$AC$5*'BD Feedstock'!$D$3</f>
        <v>2.2289583333333334</v>
      </c>
      <c r="E244" s="295">
        <f>'BD Plant List'!$D246/12*'BD Plant List'!AB$5*'BD Feedstock'!$E$3</f>
        <v>9.6875</v>
      </c>
      <c r="F244" s="295">
        <f>'BD Plant List'!$D246/12*'BD Plant List'!AC$5*'BD Feedstock'!$F$3</f>
        <v>3.4291666666666671</v>
      </c>
      <c r="G244" s="295">
        <f>'BD Plant List'!$E246/12*'BD Feedstock'!G$3*'BD Plant List'!AB$5</f>
        <v>1.453125</v>
      </c>
      <c r="H244" s="295">
        <f>'BD Plant List'!$E246/12*'BD Feedstock'!H$3*'BD Plant List'!AC$5</f>
        <v>0.51437500000000003</v>
      </c>
      <c r="I244" s="295">
        <f>'BD Plant List'!F246/12*'BD Feedstock'!I$3*'BD Plant List'!AC$5</f>
        <v>0.13716666666666666</v>
      </c>
      <c r="J244" s="295">
        <f>'BD Plant List'!G246/12*'BD Feedstock'!J$3*'BD Plant List'!AD$5</f>
        <v>0.90199999999999991</v>
      </c>
      <c r="K244" s="295">
        <f>'BD Plant List'!$H246/12*'BD Feedstock'!K$3*'BD Plant List'!AB$5</f>
        <v>0</v>
      </c>
      <c r="L244" s="295">
        <f>'BD Plant List'!$H246/12*'BD Feedstock'!L$3*'BD Plant List'!AC$5</f>
        <v>0</v>
      </c>
      <c r="M244" s="295">
        <f>'BD Plant List'!$I246/12*'BD Feedstock'!$M$3*'BD Plant List'!AC$5</f>
        <v>3.4291666666666671</v>
      </c>
      <c r="N244" s="295">
        <f>'BD Plant List'!$J246/12*'BD Feedstock'!N$3*'BD Plant List'!AC$5</f>
        <v>0</v>
      </c>
      <c r="O244" s="295">
        <f>'BD Plant List'!$K246/12*'BD Feedstock'!O$3*'BD Plant List'!AC$5</f>
        <v>0</v>
      </c>
      <c r="P244" s="295">
        <f>'BD Plant List'!$L246/12*'BD Feedstock'!P$3*'BD Plant List'!AE$5</f>
        <v>0</v>
      </c>
      <c r="Q244" s="295">
        <f>'BD Plant List'!$M246/12*'BD Feedstock'!Q$3*'BD Plant List'!AE$5</f>
        <v>0.93125000000000002</v>
      </c>
      <c r="R244" s="295">
        <f>'BD Plant List'!$N246/12*'BD Feedstock'!R$3*'BD Plant List'!AE$5</f>
        <v>26.540625000000002</v>
      </c>
      <c r="S244" s="295">
        <f>'BD Plant List'!$N246/12*'BD Feedstock'!S$3*'BD Plant List'!AF$5</f>
        <v>1.40625</v>
      </c>
      <c r="T244" s="295">
        <f>'BD Plant List'!$O246/12*'BD Feedstock'!T$3*'BD Plant List'!AB$5</f>
        <v>8.5732126770944213</v>
      </c>
      <c r="U244" s="295">
        <f>'BD Plant List'!$O246/12*'BD Feedstock'!U$3*'BD Plant List'!AC$5</f>
        <v>3.0347329175263269</v>
      </c>
    </row>
    <row r="245" spans="1:21" ht="18">
      <c r="A245" s="293">
        <v>47150</v>
      </c>
      <c r="B245" s="295">
        <f>'BD Plant List'!B247/12*'BD Plant List'!$AE$5*$B$3</f>
        <v>43.458333333333336</v>
      </c>
      <c r="C245" s="295">
        <f>'BD Plant List'!$C247/12*'BD Plant List'!$AB$5*'BD Feedstock'!$D$3</f>
        <v>2.098958333333333</v>
      </c>
      <c r="D245" s="295">
        <f>'BD Plant List'!$C247/12*'BD Plant List'!$AC$5*'BD Feedstock'!$D$3</f>
        <v>2.2289583333333334</v>
      </c>
      <c r="E245" s="295">
        <f>'BD Plant List'!$D247/12*'BD Plant List'!AB$5*'BD Feedstock'!$E$3</f>
        <v>9.6875</v>
      </c>
      <c r="F245" s="295">
        <f>'BD Plant List'!$D247/12*'BD Plant List'!AC$5*'BD Feedstock'!$F$3</f>
        <v>3.4291666666666671</v>
      </c>
      <c r="G245" s="295">
        <f>'BD Plant List'!$E247/12*'BD Feedstock'!G$3*'BD Plant List'!AB$5</f>
        <v>1.453125</v>
      </c>
      <c r="H245" s="295">
        <f>'BD Plant List'!$E247/12*'BD Feedstock'!H$3*'BD Plant List'!AC$5</f>
        <v>0.51437500000000003</v>
      </c>
      <c r="I245" s="295">
        <f>'BD Plant List'!F247/12*'BD Feedstock'!I$3*'BD Plant List'!AC$5</f>
        <v>0.13716666666666666</v>
      </c>
      <c r="J245" s="295">
        <f>'BD Plant List'!G247/12*'BD Feedstock'!J$3*'BD Plant List'!AD$5</f>
        <v>0.90199999999999991</v>
      </c>
      <c r="K245" s="295">
        <f>'BD Plant List'!$H247/12*'BD Feedstock'!K$3*'BD Plant List'!AB$5</f>
        <v>0</v>
      </c>
      <c r="L245" s="295">
        <f>'BD Plant List'!$H247/12*'BD Feedstock'!L$3*'BD Plant List'!AC$5</f>
        <v>0</v>
      </c>
      <c r="M245" s="295">
        <f>'BD Plant List'!$I247/12*'BD Feedstock'!$M$3*'BD Plant List'!AC$5</f>
        <v>3.4291666666666671</v>
      </c>
      <c r="N245" s="295">
        <f>'BD Plant List'!$J247/12*'BD Feedstock'!N$3*'BD Plant List'!AC$5</f>
        <v>0</v>
      </c>
      <c r="O245" s="295">
        <f>'BD Plant List'!$K247/12*'BD Feedstock'!O$3*'BD Plant List'!AC$5</f>
        <v>0</v>
      </c>
      <c r="P245" s="295">
        <f>'BD Plant List'!$L247/12*'BD Feedstock'!P$3*'BD Plant List'!AE$5</f>
        <v>0</v>
      </c>
      <c r="Q245" s="295">
        <f>'BD Plant List'!$M247/12*'BD Feedstock'!Q$3*'BD Plant List'!AE$5</f>
        <v>0.93125000000000002</v>
      </c>
      <c r="R245" s="295">
        <f>'BD Plant List'!$N247/12*'BD Feedstock'!R$3*'BD Plant List'!AE$5</f>
        <v>26.540625000000002</v>
      </c>
      <c r="S245" s="295">
        <f>'BD Plant List'!$N247/12*'BD Feedstock'!S$3*'BD Plant List'!AF$5</f>
        <v>1.40625</v>
      </c>
      <c r="T245" s="295">
        <f>'BD Plant List'!$O247/12*'BD Feedstock'!T$3*'BD Plant List'!AB$5</f>
        <v>8.5732126770944213</v>
      </c>
      <c r="U245" s="295">
        <f>'BD Plant List'!$O247/12*'BD Feedstock'!U$3*'BD Plant List'!AC$5</f>
        <v>3.0347329175263269</v>
      </c>
    </row>
    <row r="246" spans="1:21" ht="18">
      <c r="A246" s="293">
        <v>47178</v>
      </c>
      <c r="B246" s="295">
        <f>'BD Plant List'!B248/12*'BD Plant List'!$AE$5*$B$3</f>
        <v>43.458333333333336</v>
      </c>
      <c r="C246" s="295">
        <f>'BD Plant List'!$C248/12*'BD Plant List'!$AB$5*'BD Feedstock'!$D$3</f>
        <v>2.098958333333333</v>
      </c>
      <c r="D246" s="295">
        <f>'BD Plant List'!$C248/12*'BD Plant List'!$AC$5*'BD Feedstock'!$D$3</f>
        <v>2.2289583333333334</v>
      </c>
      <c r="E246" s="295">
        <f>'BD Plant List'!$D248/12*'BD Plant List'!AB$5*'BD Feedstock'!$E$3</f>
        <v>9.6875</v>
      </c>
      <c r="F246" s="295">
        <f>'BD Plant List'!$D248/12*'BD Plant List'!AC$5*'BD Feedstock'!$F$3</f>
        <v>3.4291666666666671</v>
      </c>
      <c r="G246" s="295">
        <f>'BD Plant List'!$E248/12*'BD Feedstock'!G$3*'BD Plant List'!AB$5</f>
        <v>1.453125</v>
      </c>
      <c r="H246" s="295">
        <f>'BD Plant List'!$E248/12*'BD Feedstock'!H$3*'BD Plant List'!AC$5</f>
        <v>0.51437500000000003</v>
      </c>
      <c r="I246" s="295">
        <f>'BD Plant List'!F248/12*'BD Feedstock'!I$3*'BD Plant List'!AC$5</f>
        <v>0.13716666666666666</v>
      </c>
      <c r="J246" s="295">
        <f>'BD Plant List'!G248/12*'BD Feedstock'!J$3*'BD Plant List'!AD$5</f>
        <v>0.90199999999999991</v>
      </c>
      <c r="K246" s="295">
        <f>'BD Plant List'!$H248/12*'BD Feedstock'!K$3*'BD Plant List'!AB$5</f>
        <v>0</v>
      </c>
      <c r="L246" s="295">
        <f>'BD Plant List'!$H248/12*'BD Feedstock'!L$3*'BD Plant List'!AC$5</f>
        <v>0</v>
      </c>
      <c r="M246" s="295">
        <f>'BD Plant List'!$I248/12*'BD Feedstock'!$M$3*'BD Plant List'!AC$5</f>
        <v>3.4291666666666671</v>
      </c>
      <c r="N246" s="295">
        <f>'BD Plant List'!$J248/12*'BD Feedstock'!N$3*'BD Plant List'!AC$5</f>
        <v>0</v>
      </c>
      <c r="O246" s="295">
        <f>'BD Plant List'!$K248/12*'BD Feedstock'!O$3*'BD Plant List'!AC$5</f>
        <v>0</v>
      </c>
      <c r="P246" s="295">
        <f>'BD Plant List'!$L248/12*'BD Feedstock'!P$3*'BD Plant List'!AE$5</f>
        <v>0</v>
      </c>
      <c r="Q246" s="295">
        <f>'BD Plant List'!$M248/12*'BD Feedstock'!Q$3*'BD Plant List'!AE$5</f>
        <v>0.93125000000000002</v>
      </c>
      <c r="R246" s="295">
        <f>'BD Plant List'!$N248/12*'BD Feedstock'!R$3*'BD Plant List'!AE$5</f>
        <v>26.540625000000002</v>
      </c>
      <c r="S246" s="295">
        <f>'BD Plant List'!$N248/12*'BD Feedstock'!S$3*'BD Plant List'!AF$5</f>
        <v>1.40625</v>
      </c>
      <c r="T246" s="295">
        <f>'BD Plant List'!$O248/12*'BD Feedstock'!T$3*'BD Plant List'!AB$5</f>
        <v>8.5732126770944213</v>
      </c>
      <c r="U246" s="295">
        <f>'BD Plant List'!$O248/12*'BD Feedstock'!U$3*'BD Plant List'!AC$5</f>
        <v>3.0347329175263269</v>
      </c>
    </row>
    <row r="247" spans="1:21" ht="18">
      <c r="A247" s="293">
        <v>47209</v>
      </c>
      <c r="B247" s="295">
        <f>'BD Plant List'!B249/12*'BD Plant List'!$AE$5*$B$3</f>
        <v>43.458333333333336</v>
      </c>
      <c r="C247" s="295">
        <f>'BD Plant List'!$C249/12*'BD Plant List'!$AB$5*'BD Feedstock'!$D$3</f>
        <v>2.098958333333333</v>
      </c>
      <c r="D247" s="295">
        <f>'BD Plant List'!$C249/12*'BD Plant List'!$AC$5*'BD Feedstock'!$D$3</f>
        <v>2.2289583333333334</v>
      </c>
      <c r="E247" s="295">
        <f>'BD Plant List'!$D249/12*'BD Plant List'!AB$5*'BD Feedstock'!$E$3</f>
        <v>9.6875</v>
      </c>
      <c r="F247" s="295">
        <f>'BD Plant List'!$D249/12*'BD Plant List'!AC$5*'BD Feedstock'!$F$3</f>
        <v>3.4291666666666671</v>
      </c>
      <c r="G247" s="295">
        <f>'BD Plant List'!$E249/12*'BD Feedstock'!G$3*'BD Plant List'!AB$5</f>
        <v>1.453125</v>
      </c>
      <c r="H247" s="295">
        <f>'BD Plant List'!$E249/12*'BD Feedstock'!H$3*'BD Plant List'!AC$5</f>
        <v>0.51437500000000003</v>
      </c>
      <c r="I247" s="295">
        <f>'BD Plant List'!F249/12*'BD Feedstock'!I$3*'BD Plant List'!AC$5</f>
        <v>0.13716666666666666</v>
      </c>
      <c r="J247" s="295">
        <f>'BD Plant List'!G249/12*'BD Feedstock'!J$3*'BD Plant List'!AD$5</f>
        <v>0.90199999999999991</v>
      </c>
      <c r="K247" s="295">
        <f>'BD Plant List'!$H249/12*'BD Feedstock'!K$3*'BD Plant List'!AB$5</f>
        <v>0</v>
      </c>
      <c r="L247" s="295">
        <f>'BD Plant List'!$H249/12*'BD Feedstock'!L$3*'BD Plant List'!AC$5</f>
        <v>0</v>
      </c>
      <c r="M247" s="295">
        <f>'BD Plant List'!$I249/12*'BD Feedstock'!$M$3*'BD Plant List'!AC$5</f>
        <v>3.4291666666666671</v>
      </c>
      <c r="N247" s="295">
        <f>'BD Plant List'!$J249/12*'BD Feedstock'!N$3*'BD Plant List'!AC$5</f>
        <v>0</v>
      </c>
      <c r="O247" s="295">
        <f>'BD Plant List'!$K249/12*'BD Feedstock'!O$3*'BD Plant List'!AC$5</f>
        <v>0</v>
      </c>
      <c r="P247" s="295">
        <f>'BD Plant List'!$L249/12*'BD Feedstock'!P$3*'BD Plant List'!AE$5</f>
        <v>0</v>
      </c>
      <c r="Q247" s="295">
        <f>'BD Plant List'!$M249/12*'BD Feedstock'!Q$3*'BD Plant List'!AE$5</f>
        <v>0.93125000000000002</v>
      </c>
      <c r="R247" s="295">
        <f>'BD Plant List'!$N249/12*'BD Feedstock'!R$3*'BD Plant List'!AE$5</f>
        <v>26.540625000000002</v>
      </c>
      <c r="S247" s="295">
        <f>'BD Plant List'!$N249/12*'BD Feedstock'!S$3*'BD Plant List'!AF$5</f>
        <v>1.40625</v>
      </c>
      <c r="T247" s="295">
        <f>'BD Plant List'!$O249/12*'BD Feedstock'!T$3*'BD Plant List'!AB$5</f>
        <v>8.5732126770944213</v>
      </c>
      <c r="U247" s="295">
        <f>'BD Plant List'!$O249/12*'BD Feedstock'!U$3*'BD Plant List'!AC$5</f>
        <v>3.0347329175263269</v>
      </c>
    </row>
    <row r="248" spans="1:21" ht="18">
      <c r="A248" s="293">
        <v>47239</v>
      </c>
      <c r="B248" s="295">
        <f>'BD Plant List'!B250/12*'BD Plant List'!$AE$5*$B$3</f>
        <v>43.458333333333336</v>
      </c>
      <c r="C248" s="295">
        <f>'BD Plant List'!$C250/12*'BD Plant List'!$AB$5*'BD Feedstock'!$D$3</f>
        <v>2.098958333333333</v>
      </c>
      <c r="D248" s="295">
        <f>'BD Plant List'!$C250/12*'BD Plant List'!$AC$5*'BD Feedstock'!$D$3</f>
        <v>2.2289583333333334</v>
      </c>
      <c r="E248" s="295">
        <f>'BD Plant List'!$D250/12*'BD Plant List'!AB$5*'BD Feedstock'!$E$3</f>
        <v>9.6875</v>
      </c>
      <c r="F248" s="295">
        <f>'BD Plant List'!$D250/12*'BD Plant List'!AC$5*'BD Feedstock'!$F$3</f>
        <v>3.4291666666666671</v>
      </c>
      <c r="G248" s="295">
        <f>'BD Plant List'!$E250/12*'BD Feedstock'!G$3*'BD Plant List'!AB$5</f>
        <v>1.453125</v>
      </c>
      <c r="H248" s="295">
        <f>'BD Plant List'!$E250/12*'BD Feedstock'!H$3*'BD Plant List'!AC$5</f>
        <v>0.51437500000000003</v>
      </c>
      <c r="I248" s="295">
        <f>'BD Plant List'!F250/12*'BD Feedstock'!I$3*'BD Plant List'!AC$5</f>
        <v>0.13716666666666666</v>
      </c>
      <c r="J248" s="295">
        <f>'BD Plant List'!G250/12*'BD Feedstock'!J$3*'BD Plant List'!AD$5</f>
        <v>0.90199999999999991</v>
      </c>
      <c r="K248" s="295">
        <f>'BD Plant List'!$H250/12*'BD Feedstock'!K$3*'BD Plant List'!AB$5</f>
        <v>0</v>
      </c>
      <c r="L248" s="295">
        <f>'BD Plant List'!$H250/12*'BD Feedstock'!L$3*'BD Plant List'!AC$5</f>
        <v>0</v>
      </c>
      <c r="M248" s="295">
        <f>'BD Plant List'!$I250/12*'BD Feedstock'!$M$3*'BD Plant List'!AC$5</f>
        <v>3.4291666666666671</v>
      </c>
      <c r="N248" s="295">
        <f>'BD Plant List'!$J250/12*'BD Feedstock'!N$3*'BD Plant List'!AC$5</f>
        <v>0</v>
      </c>
      <c r="O248" s="295">
        <f>'BD Plant List'!$K250/12*'BD Feedstock'!O$3*'BD Plant List'!AC$5</f>
        <v>0</v>
      </c>
      <c r="P248" s="295">
        <f>'BD Plant List'!$L250/12*'BD Feedstock'!P$3*'BD Plant List'!AE$5</f>
        <v>0</v>
      </c>
      <c r="Q248" s="295">
        <f>'BD Plant List'!$M250/12*'BD Feedstock'!Q$3*'BD Plant List'!AE$5</f>
        <v>0.93125000000000002</v>
      </c>
      <c r="R248" s="295">
        <f>'BD Plant List'!$N250/12*'BD Feedstock'!R$3*'BD Plant List'!AE$5</f>
        <v>26.540625000000002</v>
      </c>
      <c r="S248" s="295">
        <f>'BD Plant List'!$N250/12*'BD Feedstock'!S$3*'BD Plant List'!AF$5</f>
        <v>1.40625</v>
      </c>
      <c r="T248" s="295">
        <f>'BD Plant List'!$O250/12*'BD Feedstock'!T$3*'BD Plant List'!AB$5</f>
        <v>8.5732126770944213</v>
      </c>
      <c r="U248" s="295">
        <f>'BD Plant List'!$O250/12*'BD Feedstock'!U$3*'BD Plant List'!AC$5</f>
        <v>3.0347329175263269</v>
      </c>
    </row>
    <row r="249" spans="1:21" ht="18">
      <c r="A249" s="293">
        <v>47270</v>
      </c>
      <c r="B249" s="295">
        <f>'BD Plant List'!B251/12*'BD Plant List'!$AE$5*$B$3</f>
        <v>43.458333333333336</v>
      </c>
      <c r="C249" s="295">
        <f>'BD Plant List'!$C251/12*'BD Plant List'!$AB$5*'BD Feedstock'!$D$3</f>
        <v>2.098958333333333</v>
      </c>
      <c r="D249" s="295">
        <f>'BD Plant List'!$C251/12*'BD Plant List'!$AC$5*'BD Feedstock'!$D$3</f>
        <v>2.2289583333333334</v>
      </c>
      <c r="E249" s="295">
        <f>'BD Plant List'!$D251/12*'BD Plant List'!AB$5*'BD Feedstock'!$E$3</f>
        <v>9.6875</v>
      </c>
      <c r="F249" s="295">
        <f>'BD Plant List'!$D251/12*'BD Plant List'!AC$5*'BD Feedstock'!$F$3</f>
        <v>3.4291666666666671</v>
      </c>
      <c r="G249" s="295">
        <f>'BD Plant List'!$E251/12*'BD Feedstock'!G$3*'BD Plant List'!AB$5</f>
        <v>1.453125</v>
      </c>
      <c r="H249" s="295">
        <f>'BD Plant List'!$E251/12*'BD Feedstock'!H$3*'BD Plant List'!AC$5</f>
        <v>0.51437500000000003</v>
      </c>
      <c r="I249" s="295">
        <f>'BD Plant List'!F251/12*'BD Feedstock'!I$3*'BD Plant List'!AC$5</f>
        <v>0.13716666666666666</v>
      </c>
      <c r="J249" s="295">
        <f>'BD Plant List'!G251/12*'BD Feedstock'!J$3*'BD Plant List'!AD$5</f>
        <v>0.90199999999999991</v>
      </c>
      <c r="K249" s="295">
        <f>'BD Plant List'!$H251/12*'BD Feedstock'!K$3*'BD Plant List'!AB$5</f>
        <v>0</v>
      </c>
      <c r="L249" s="295">
        <f>'BD Plant List'!$H251/12*'BD Feedstock'!L$3*'BD Plant List'!AC$5</f>
        <v>0</v>
      </c>
      <c r="M249" s="295">
        <f>'BD Plant List'!$I251/12*'BD Feedstock'!$M$3*'BD Plant List'!AC$5</f>
        <v>3.4291666666666671</v>
      </c>
      <c r="N249" s="295">
        <f>'BD Plant List'!$J251/12*'BD Feedstock'!N$3*'BD Plant List'!AC$5</f>
        <v>0</v>
      </c>
      <c r="O249" s="295">
        <f>'BD Plant List'!$K251/12*'BD Feedstock'!O$3*'BD Plant List'!AC$5</f>
        <v>0</v>
      </c>
      <c r="P249" s="295">
        <f>'BD Plant List'!$L251/12*'BD Feedstock'!P$3*'BD Plant List'!AE$5</f>
        <v>0</v>
      </c>
      <c r="Q249" s="295">
        <f>'BD Plant List'!$M251/12*'BD Feedstock'!Q$3*'BD Plant List'!AE$5</f>
        <v>0.93125000000000002</v>
      </c>
      <c r="R249" s="295">
        <f>'BD Plant List'!$N251/12*'BD Feedstock'!R$3*'BD Plant List'!AE$5</f>
        <v>26.540625000000002</v>
      </c>
      <c r="S249" s="295">
        <f>'BD Plant List'!$N251/12*'BD Feedstock'!S$3*'BD Plant List'!AF$5</f>
        <v>1.40625</v>
      </c>
      <c r="T249" s="295">
        <f>'BD Plant List'!$O251/12*'BD Feedstock'!T$3*'BD Plant List'!AB$5</f>
        <v>8.5732126770944213</v>
      </c>
      <c r="U249" s="295">
        <f>'BD Plant List'!$O251/12*'BD Feedstock'!U$3*'BD Plant List'!AC$5</f>
        <v>3.0347329175263269</v>
      </c>
    </row>
    <row r="250" spans="1:21" ht="18">
      <c r="A250" s="293">
        <v>47300</v>
      </c>
      <c r="B250" s="295">
        <f>'BD Plant List'!B252/12*'BD Plant List'!$AE$5*$B$3</f>
        <v>43.458333333333336</v>
      </c>
      <c r="C250" s="295">
        <f>'BD Plant List'!$C252/12*'BD Plant List'!$AB$5*'BD Feedstock'!$D$3</f>
        <v>2.098958333333333</v>
      </c>
      <c r="D250" s="295">
        <f>'BD Plant List'!$C252/12*'BD Plant List'!$AC$5*'BD Feedstock'!$D$3</f>
        <v>2.2289583333333334</v>
      </c>
      <c r="E250" s="295">
        <f>'BD Plant List'!$D252/12*'BD Plant List'!AB$5*'BD Feedstock'!$E$3</f>
        <v>9.6875</v>
      </c>
      <c r="F250" s="295">
        <f>'BD Plant List'!$D252/12*'BD Plant List'!AC$5*'BD Feedstock'!$F$3</f>
        <v>3.4291666666666671</v>
      </c>
      <c r="G250" s="295">
        <f>'BD Plant List'!$E252/12*'BD Feedstock'!G$3*'BD Plant List'!AB$5</f>
        <v>1.453125</v>
      </c>
      <c r="H250" s="295">
        <f>'BD Plant List'!$E252/12*'BD Feedstock'!H$3*'BD Plant List'!AC$5</f>
        <v>0.51437500000000003</v>
      </c>
      <c r="I250" s="295">
        <f>'BD Plant List'!F252/12*'BD Feedstock'!I$3*'BD Plant List'!AC$5</f>
        <v>0.13716666666666666</v>
      </c>
      <c r="J250" s="295">
        <f>'BD Plant List'!G252/12*'BD Feedstock'!J$3*'BD Plant List'!AD$5</f>
        <v>0.90199999999999991</v>
      </c>
      <c r="K250" s="295">
        <f>'BD Plant List'!$H252/12*'BD Feedstock'!K$3*'BD Plant List'!AB$5</f>
        <v>0</v>
      </c>
      <c r="L250" s="295">
        <f>'BD Plant List'!$H252/12*'BD Feedstock'!L$3*'BD Plant List'!AC$5</f>
        <v>0</v>
      </c>
      <c r="M250" s="295">
        <f>'BD Plant List'!$I252/12*'BD Feedstock'!$M$3*'BD Plant List'!AC$5</f>
        <v>3.4291666666666671</v>
      </c>
      <c r="N250" s="295">
        <f>'BD Plant List'!$J252/12*'BD Feedstock'!N$3*'BD Plant List'!AC$5</f>
        <v>0</v>
      </c>
      <c r="O250" s="295">
        <f>'BD Plant List'!$K252/12*'BD Feedstock'!O$3*'BD Plant List'!AC$5</f>
        <v>0</v>
      </c>
      <c r="P250" s="295">
        <f>'BD Plant List'!$L252/12*'BD Feedstock'!P$3*'BD Plant List'!AE$5</f>
        <v>0</v>
      </c>
      <c r="Q250" s="295">
        <f>'BD Plant List'!$M252/12*'BD Feedstock'!Q$3*'BD Plant List'!AE$5</f>
        <v>0.93125000000000002</v>
      </c>
      <c r="R250" s="295">
        <f>'BD Plant List'!$N252/12*'BD Feedstock'!R$3*'BD Plant List'!AE$5</f>
        <v>26.540625000000002</v>
      </c>
      <c r="S250" s="295">
        <f>'BD Plant List'!$N252/12*'BD Feedstock'!S$3*'BD Plant List'!AF$5</f>
        <v>1.40625</v>
      </c>
      <c r="T250" s="295">
        <f>'BD Plant List'!$O252/12*'BD Feedstock'!T$3*'BD Plant List'!AB$5</f>
        <v>8.5732126770944213</v>
      </c>
      <c r="U250" s="295">
        <f>'BD Plant List'!$O252/12*'BD Feedstock'!U$3*'BD Plant List'!AC$5</f>
        <v>3.0347329175263269</v>
      </c>
    </row>
    <row r="251" spans="1:21" ht="18">
      <c r="A251" s="293">
        <v>47331</v>
      </c>
      <c r="B251" s="295">
        <f>'BD Plant List'!B253/12*'BD Plant List'!$AE$5*$B$3</f>
        <v>43.458333333333336</v>
      </c>
      <c r="C251" s="295">
        <f>'BD Plant List'!$C253/12*'BD Plant List'!$AB$5*'BD Feedstock'!$D$3</f>
        <v>2.098958333333333</v>
      </c>
      <c r="D251" s="295">
        <f>'BD Plant List'!$C253/12*'BD Plant List'!$AC$5*'BD Feedstock'!$D$3</f>
        <v>2.2289583333333334</v>
      </c>
      <c r="E251" s="295">
        <f>'BD Plant List'!$D253/12*'BD Plant List'!AB$5*'BD Feedstock'!$E$3</f>
        <v>9.6875</v>
      </c>
      <c r="F251" s="295">
        <f>'BD Plant List'!$D253/12*'BD Plant List'!AC$5*'BD Feedstock'!$F$3</f>
        <v>3.4291666666666671</v>
      </c>
      <c r="G251" s="295">
        <f>'BD Plant List'!$E253/12*'BD Feedstock'!G$3*'BD Plant List'!AB$5</f>
        <v>1.453125</v>
      </c>
      <c r="H251" s="295">
        <f>'BD Plant List'!$E253/12*'BD Feedstock'!H$3*'BD Plant List'!AC$5</f>
        <v>0.51437500000000003</v>
      </c>
      <c r="I251" s="295">
        <f>'BD Plant List'!F253/12*'BD Feedstock'!I$3*'BD Plant List'!AC$5</f>
        <v>0.13716666666666666</v>
      </c>
      <c r="J251" s="295">
        <f>'BD Plant List'!G253/12*'BD Feedstock'!J$3*'BD Plant List'!AD$5</f>
        <v>0.90199999999999991</v>
      </c>
      <c r="K251" s="295">
        <f>'BD Plant List'!$H253/12*'BD Feedstock'!K$3*'BD Plant List'!AB$5</f>
        <v>0</v>
      </c>
      <c r="L251" s="295">
        <f>'BD Plant List'!$H253/12*'BD Feedstock'!L$3*'BD Plant List'!AC$5</f>
        <v>0</v>
      </c>
      <c r="M251" s="295">
        <f>'BD Plant List'!$I253/12*'BD Feedstock'!$M$3*'BD Plant List'!AC$5</f>
        <v>3.4291666666666671</v>
      </c>
      <c r="N251" s="295">
        <f>'BD Plant List'!$J253/12*'BD Feedstock'!N$3*'BD Plant List'!AC$5</f>
        <v>0</v>
      </c>
      <c r="O251" s="295">
        <f>'BD Plant List'!$K253/12*'BD Feedstock'!O$3*'BD Plant List'!AC$5</f>
        <v>0</v>
      </c>
      <c r="P251" s="295">
        <f>'BD Plant List'!$L253/12*'BD Feedstock'!P$3*'BD Plant List'!AE$5</f>
        <v>0</v>
      </c>
      <c r="Q251" s="295">
        <f>'BD Plant List'!$M253/12*'BD Feedstock'!Q$3*'BD Plant List'!AE$5</f>
        <v>0.93125000000000002</v>
      </c>
      <c r="R251" s="295">
        <f>'BD Plant List'!$N253/12*'BD Feedstock'!R$3*'BD Plant List'!AE$5</f>
        <v>26.540625000000002</v>
      </c>
      <c r="S251" s="295">
        <f>'BD Plant List'!$N253/12*'BD Feedstock'!S$3*'BD Plant List'!AF$5</f>
        <v>1.40625</v>
      </c>
      <c r="T251" s="295">
        <f>'BD Plant List'!$O253/12*'BD Feedstock'!T$3*'BD Plant List'!AB$5</f>
        <v>8.5732126770944213</v>
      </c>
      <c r="U251" s="295">
        <f>'BD Plant List'!$O253/12*'BD Feedstock'!U$3*'BD Plant List'!AC$5</f>
        <v>3.0347329175263269</v>
      </c>
    </row>
    <row r="252" spans="1:21" ht="18">
      <c r="A252" s="293">
        <v>47362</v>
      </c>
      <c r="B252" s="295">
        <f>'BD Plant List'!B254/12*'BD Plant List'!$AE$5*$B$3</f>
        <v>43.458333333333336</v>
      </c>
      <c r="C252" s="295">
        <f>'BD Plant List'!$C254/12*'BD Plant List'!$AB$5*'BD Feedstock'!$D$3</f>
        <v>2.098958333333333</v>
      </c>
      <c r="D252" s="295">
        <f>'BD Plant List'!$C254/12*'BD Plant List'!$AC$5*'BD Feedstock'!$D$3</f>
        <v>2.2289583333333334</v>
      </c>
      <c r="E252" s="295">
        <f>'BD Plant List'!$D254/12*'BD Plant List'!AB$5*'BD Feedstock'!$E$3</f>
        <v>9.6875</v>
      </c>
      <c r="F252" s="295">
        <f>'BD Plant List'!$D254/12*'BD Plant List'!AC$5*'BD Feedstock'!$F$3</f>
        <v>3.4291666666666671</v>
      </c>
      <c r="G252" s="295">
        <f>'BD Plant List'!$E254/12*'BD Feedstock'!G$3*'BD Plant List'!AB$5</f>
        <v>1.453125</v>
      </c>
      <c r="H252" s="295">
        <f>'BD Plant List'!$E254/12*'BD Feedstock'!H$3*'BD Plant List'!AC$5</f>
        <v>0.51437500000000003</v>
      </c>
      <c r="I252" s="295">
        <f>'BD Plant List'!F254/12*'BD Feedstock'!I$3*'BD Plant List'!AC$5</f>
        <v>0.13716666666666666</v>
      </c>
      <c r="J252" s="295">
        <f>'BD Plant List'!G254/12*'BD Feedstock'!J$3*'BD Plant List'!AD$5</f>
        <v>0.90199999999999991</v>
      </c>
      <c r="K252" s="295">
        <f>'BD Plant List'!$H254/12*'BD Feedstock'!K$3*'BD Plant List'!AB$5</f>
        <v>0</v>
      </c>
      <c r="L252" s="295">
        <f>'BD Plant List'!$H254/12*'BD Feedstock'!L$3*'BD Plant List'!AC$5</f>
        <v>0</v>
      </c>
      <c r="M252" s="295">
        <f>'BD Plant List'!$I254/12*'BD Feedstock'!$M$3*'BD Plant List'!AC$5</f>
        <v>3.4291666666666671</v>
      </c>
      <c r="N252" s="295">
        <f>'BD Plant List'!$J254/12*'BD Feedstock'!N$3*'BD Plant List'!AC$5</f>
        <v>0</v>
      </c>
      <c r="O252" s="295">
        <f>'BD Plant List'!$K254/12*'BD Feedstock'!O$3*'BD Plant List'!AC$5</f>
        <v>0</v>
      </c>
      <c r="P252" s="295">
        <f>'BD Plant List'!$L254/12*'BD Feedstock'!P$3*'BD Plant List'!AE$5</f>
        <v>0</v>
      </c>
      <c r="Q252" s="295">
        <f>'BD Plant List'!$M254/12*'BD Feedstock'!Q$3*'BD Plant List'!AE$5</f>
        <v>0.93125000000000002</v>
      </c>
      <c r="R252" s="295">
        <f>'BD Plant List'!$N254/12*'BD Feedstock'!R$3*'BD Plant List'!AE$5</f>
        <v>26.540625000000002</v>
      </c>
      <c r="S252" s="295">
        <f>'BD Plant List'!$N254/12*'BD Feedstock'!S$3*'BD Plant List'!AF$5</f>
        <v>1.40625</v>
      </c>
      <c r="T252" s="295">
        <f>'BD Plant List'!$O254/12*'BD Feedstock'!T$3*'BD Plant List'!AB$5</f>
        <v>8.5732126770944213</v>
      </c>
      <c r="U252" s="295">
        <f>'BD Plant List'!$O254/12*'BD Feedstock'!U$3*'BD Plant List'!AC$5</f>
        <v>3.0347329175263269</v>
      </c>
    </row>
    <row r="253" spans="1:21" ht="18">
      <c r="A253" s="293">
        <v>47392</v>
      </c>
      <c r="B253" s="295">
        <f>'BD Plant List'!B255/12*'BD Plant List'!$AE$5*$B$3</f>
        <v>43.458333333333336</v>
      </c>
      <c r="C253" s="295">
        <f>'BD Plant List'!$C255/12*'BD Plant List'!$AB$5*'BD Feedstock'!$D$3</f>
        <v>2.098958333333333</v>
      </c>
      <c r="D253" s="295">
        <f>'BD Plant List'!$C255/12*'BD Plant List'!$AC$5*'BD Feedstock'!$D$3</f>
        <v>2.2289583333333334</v>
      </c>
      <c r="E253" s="295">
        <f>'BD Plant List'!$D255/12*'BD Plant List'!AB$5*'BD Feedstock'!$E$3</f>
        <v>9.6875</v>
      </c>
      <c r="F253" s="295">
        <f>'BD Plant List'!$D255/12*'BD Plant List'!AC$5*'BD Feedstock'!$F$3</f>
        <v>3.4291666666666671</v>
      </c>
      <c r="G253" s="295">
        <f>'BD Plant List'!$E255/12*'BD Feedstock'!G$3*'BD Plant List'!AB$5</f>
        <v>1.453125</v>
      </c>
      <c r="H253" s="295">
        <f>'BD Plant List'!$E255/12*'BD Feedstock'!H$3*'BD Plant List'!AC$5</f>
        <v>0.51437500000000003</v>
      </c>
      <c r="I253" s="295">
        <f>'BD Plant List'!F255/12*'BD Feedstock'!I$3*'BD Plant List'!AC$5</f>
        <v>0.13716666666666666</v>
      </c>
      <c r="J253" s="295">
        <f>'BD Plant List'!G255/12*'BD Feedstock'!J$3*'BD Plant List'!AD$5</f>
        <v>0.90199999999999991</v>
      </c>
      <c r="K253" s="295">
        <f>'BD Plant List'!$H255/12*'BD Feedstock'!K$3*'BD Plant List'!AB$5</f>
        <v>0</v>
      </c>
      <c r="L253" s="295">
        <f>'BD Plant List'!$H255/12*'BD Feedstock'!L$3*'BD Plant List'!AC$5</f>
        <v>0</v>
      </c>
      <c r="M253" s="295">
        <f>'BD Plant List'!$I255/12*'BD Feedstock'!$M$3*'BD Plant List'!AC$5</f>
        <v>3.4291666666666671</v>
      </c>
      <c r="N253" s="295">
        <f>'BD Plant List'!$J255/12*'BD Feedstock'!N$3*'BD Plant List'!AC$5</f>
        <v>0</v>
      </c>
      <c r="O253" s="295">
        <f>'BD Plant List'!$K255/12*'BD Feedstock'!O$3*'BD Plant List'!AC$5</f>
        <v>0</v>
      </c>
      <c r="P253" s="295">
        <f>'BD Plant List'!$L255/12*'BD Feedstock'!P$3*'BD Plant List'!AE$5</f>
        <v>0</v>
      </c>
      <c r="Q253" s="295">
        <f>'BD Plant List'!$M255/12*'BD Feedstock'!Q$3*'BD Plant List'!AE$5</f>
        <v>0.93125000000000002</v>
      </c>
      <c r="R253" s="295">
        <f>'BD Plant List'!$N255/12*'BD Feedstock'!R$3*'BD Plant List'!AE$5</f>
        <v>26.540625000000002</v>
      </c>
      <c r="S253" s="295">
        <f>'BD Plant List'!$N255/12*'BD Feedstock'!S$3*'BD Plant List'!AF$5</f>
        <v>1.40625</v>
      </c>
      <c r="T253" s="295">
        <f>'BD Plant List'!$O255/12*'BD Feedstock'!T$3*'BD Plant List'!AB$5</f>
        <v>8.5732126770944213</v>
      </c>
      <c r="U253" s="295">
        <f>'BD Plant List'!$O255/12*'BD Feedstock'!U$3*'BD Plant List'!AC$5</f>
        <v>3.0347329175263269</v>
      </c>
    </row>
    <row r="254" spans="1:21" ht="18">
      <c r="A254" s="293">
        <v>47423</v>
      </c>
      <c r="B254" s="295">
        <f>'BD Plant List'!B256/12*'BD Plant List'!$AE$5*$B$3</f>
        <v>43.458333333333336</v>
      </c>
      <c r="C254" s="295">
        <f>'BD Plant List'!$C256/12*'BD Plant List'!$AB$5*'BD Feedstock'!$D$3</f>
        <v>2.098958333333333</v>
      </c>
      <c r="D254" s="295">
        <f>'BD Plant List'!$C256/12*'BD Plant List'!$AC$5*'BD Feedstock'!$D$3</f>
        <v>2.2289583333333334</v>
      </c>
      <c r="E254" s="295">
        <f>'BD Plant List'!$D256/12*'BD Plant List'!AB$5*'BD Feedstock'!$E$3</f>
        <v>9.6875</v>
      </c>
      <c r="F254" s="295">
        <f>'BD Plant List'!$D256/12*'BD Plant List'!AC$5*'BD Feedstock'!$F$3</f>
        <v>3.4291666666666671</v>
      </c>
      <c r="G254" s="295">
        <f>'BD Plant List'!$E256/12*'BD Feedstock'!G$3*'BD Plant List'!AB$5</f>
        <v>1.453125</v>
      </c>
      <c r="H254" s="295">
        <f>'BD Plant List'!$E256/12*'BD Feedstock'!H$3*'BD Plant List'!AC$5</f>
        <v>0.51437500000000003</v>
      </c>
      <c r="I254" s="295">
        <f>'BD Plant List'!F256/12*'BD Feedstock'!I$3*'BD Plant List'!AC$5</f>
        <v>0.13716666666666666</v>
      </c>
      <c r="J254" s="295">
        <f>'BD Plant List'!G256/12*'BD Feedstock'!J$3*'BD Plant List'!AD$5</f>
        <v>0.90199999999999991</v>
      </c>
      <c r="K254" s="295">
        <f>'BD Plant List'!$H256/12*'BD Feedstock'!K$3*'BD Plant List'!AB$5</f>
        <v>0</v>
      </c>
      <c r="L254" s="295">
        <f>'BD Plant List'!$H256/12*'BD Feedstock'!L$3*'BD Plant List'!AC$5</f>
        <v>0</v>
      </c>
      <c r="M254" s="295">
        <f>'BD Plant List'!$I256/12*'BD Feedstock'!$M$3*'BD Plant List'!AC$5</f>
        <v>3.4291666666666671</v>
      </c>
      <c r="N254" s="295">
        <f>'BD Plant List'!$J256/12*'BD Feedstock'!N$3*'BD Plant List'!AC$5</f>
        <v>0</v>
      </c>
      <c r="O254" s="295">
        <f>'BD Plant List'!$K256/12*'BD Feedstock'!O$3*'BD Plant List'!AC$5</f>
        <v>0</v>
      </c>
      <c r="P254" s="295">
        <f>'BD Plant List'!$L256/12*'BD Feedstock'!P$3*'BD Plant List'!AE$5</f>
        <v>0</v>
      </c>
      <c r="Q254" s="295">
        <f>'BD Plant List'!$M256/12*'BD Feedstock'!Q$3*'BD Plant List'!AE$5</f>
        <v>0.93125000000000002</v>
      </c>
      <c r="R254" s="295">
        <f>'BD Plant List'!$N256/12*'BD Feedstock'!R$3*'BD Plant List'!AE$5</f>
        <v>26.540625000000002</v>
      </c>
      <c r="S254" s="295">
        <f>'BD Plant List'!$N256/12*'BD Feedstock'!S$3*'BD Plant List'!AF$5</f>
        <v>1.40625</v>
      </c>
      <c r="T254" s="295">
        <f>'BD Plant List'!$O256/12*'BD Feedstock'!T$3*'BD Plant List'!AB$5</f>
        <v>8.5732126770944213</v>
      </c>
      <c r="U254" s="295">
        <f>'BD Plant List'!$O256/12*'BD Feedstock'!U$3*'BD Plant List'!AC$5</f>
        <v>3.0347329175263269</v>
      </c>
    </row>
    <row r="255" spans="1:21" ht="18">
      <c r="A255" s="293">
        <v>47453</v>
      </c>
      <c r="B255" s="295">
        <f>'BD Plant List'!B257/12*'BD Plant List'!$AE$5*$B$3</f>
        <v>43.458333333333336</v>
      </c>
      <c r="C255" s="295">
        <f>'BD Plant List'!$C257/12*'BD Plant List'!$AB$5*'BD Feedstock'!$D$3</f>
        <v>2.098958333333333</v>
      </c>
      <c r="D255" s="295">
        <f>'BD Plant List'!$C257/12*'BD Plant List'!$AC$5*'BD Feedstock'!$D$3</f>
        <v>2.2289583333333334</v>
      </c>
      <c r="E255" s="295">
        <f>'BD Plant List'!$D257/12*'BD Plant List'!AB$5*'BD Feedstock'!$E$3</f>
        <v>9.6875</v>
      </c>
      <c r="F255" s="295">
        <f>'BD Plant List'!$D257/12*'BD Plant List'!AC$5*'BD Feedstock'!$F$3</f>
        <v>3.4291666666666671</v>
      </c>
      <c r="G255" s="295">
        <f>'BD Plant List'!$E257/12*'BD Feedstock'!G$3*'BD Plant List'!AB$5</f>
        <v>1.453125</v>
      </c>
      <c r="H255" s="295">
        <f>'BD Plant List'!$E257/12*'BD Feedstock'!H$3*'BD Plant List'!AC$5</f>
        <v>0.51437500000000003</v>
      </c>
      <c r="I255" s="295">
        <f>'BD Plant List'!F257/12*'BD Feedstock'!I$3*'BD Plant List'!AC$5</f>
        <v>0.13716666666666666</v>
      </c>
      <c r="J255" s="295">
        <f>'BD Plant List'!G257/12*'BD Feedstock'!J$3*'BD Plant List'!AD$5</f>
        <v>0.90199999999999991</v>
      </c>
      <c r="K255" s="295">
        <f>'BD Plant List'!$H257/12*'BD Feedstock'!K$3*'BD Plant List'!AB$5</f>
        <v>0</v>
      </c>
      <c r="L255" s="295">
        <f>'BD Plant List'!$H257/12*'BD Feedstock'!L$3*'BD Plant List'!AC$5</f>
        <v>0</v>
      </c>
      <c r="M255" s="295">
        <f>'BD Plant List'!$I257/12*'BD Feedstock'!$M$3*'BD Plant List'!AC$5</f>
        <v>3.4291666666666671</v>
      </c>
      <c r="N255" s="295">
        <f>'BD Plant List'!$J257/12*'BD Feedstock'!N$3*'BD Plant List'!AC$5</f>
        <v>0</v>
      </c>
      <c r="O255" s="295">
        <f>'BD Plant List'!$K257/12*'BD Feedstock'!O$3*'BD Plant List'!AC$5</f>
        <v>0</v>
      </c>
      <c r="P255" s="295">
        <f>'BD Plant List'!$L257/12*'BD Feedstock'!P$3*'BD Plant List'!AE$5</f>
        <v>0</v>
      </c>
      <c r="Q255" s="295">
        <f>'BD Plant List'!$M257/12*'BD Feedstock'!Q$3*'BD Plant List'!AE$5</f>
        <v>0.93125000000000002</v>
      </c>
      <c r="R255" s="295">
        <f>'BD Plant List'!$N257/12*'BD Feedstock'!R$3*'BD Plant List'!AE$5</f>
        <v>26.540625000000002</v>
      </c>
      <c r="S255" s="295">
        <f>'BD Plant List'!$N257/12*'BD Feedstock'!S$3*'BD Plant List'!AF$5</f>
        <v>1.40625</v>
      </c>
      <c r="T255" s="295">
        <f>'BD Plant List'!$O257/12*'BD Feedstock'!T$3*'BD Plant List'!AB$5</f>
        <v>8.5732126770944213</v>
      </c>
      <c r="U255" s="295">
        <f>'BD Plant List'!$O257/12*'BD Feedstock'!U$3*'BD Plant List'!AC$5</f>
        <v>3.0347329175263269</v>
      </c>
    </row>
    <row r="256" spans="1:21" ht="18">
      <c r="A256" s="293">
        <v>47484</v>
      </c>
      <c r="B256" s="295">
        <f>'BD Plant List'!B258/12*'BD Plant List'!$AE$5*$B$3</f>
        <v>43.458333333333336</v>
      </c>
      <c r="C256" s="295">
        <f>'BD Plant List'!$C258/12*'BD Plant List'!$AB$5*'BD Feedstock'!$D$3</f>
        <v>2.098958333333333</v>
      </c>
      <c r="D256" s="295">
        <f>'BD Plant List'!$C258/12*'BD Plant List'!$AC$5*'BD Feedstock'!$D$3</f>
        <v>2.2289583333333334</v>
      </c>
      <c r="E256" s="295">
        <f>'BD Plant List'!$D258/12*'BD Plant List'!AB$5*'BD Feedstock'!$E$3</f>
        <v>9.6875</v>
      </c>
      <c r="F256" s="295">
        <f>'BD Plant List'!$D258/12*'BD Plant List'!AC$5*'BD Feedstock'!$F$3</f>
        <v>3.4291666666666671</v>
      </c>
      <c r="G256" s="295">
        <f>'BD Plant List'!$E258/12*'BD Feedstock'!G$3*'BD Plant List'!AB$5</f>
        <v>1.453125</v>
      </c>
      <c r="H256" s="295">
        <f>'BD Plant List'!$E258/12*'BD Feedstock'!H$3*'BD Plant List'!AC$5</f>
        <v>0.51437500000000003</v>
      </c>
      <c r="I256" s="295">
        <f>'BD Plant List'!F258/12*'BD Feedstock'!I$3*'BD Plant List'!AC$5</f>
        <v>0.13716666666666666</v>
      </c>
      <c r="J256" s="295">
        <f>'BD Plant List'!G258/12*'BD Feedstock'!J$3*'BD Plant List'!AD$5</f>
        <v>0.90199999999999991</v>
      </c>
      <c r="K256" s="295">
        <f>'BD Plant List'!$H258/12*'BD Feedstock'!K$3*'BD Plant List'!AB$5</f>
        <v>0</v>
      </c>
      <c r="L256" s="295">
        <f>'BD Plant List'!$H258/12*'BD Feedstock'!L$3*'BD Plant List'!AC$5</f>
        <v>0</v>
      </c>
      <c r="M256" s="295">
        <f>'BD Plant List'!$I258/12*'BD Feedstock'!$M$3*'BD Plant List'!AC$5</f>
        <v>3.4291666666666671</v>
      </c>
      <c r="N256" s="295">
        <f>'BD Plant List'!$J258/12*'BD Feedstock'!N$3*'BD Plant List'!AC$5</f>
        <v>0</v>
      </c>
      <c r="O256" s="295">
        <f>'BD Plant List'!$K258/12*'BD Feedstock'!O$3*'BD Plant List'!AC$5</f>
        <v>0</v>
      </c>
      <c r="P256" s="295">
        <f>'BD Plant List'!$L258/12*'BD Feedstock'!P$3*'BD Plant List'!AE$5</f>
        <v>0</v>
      </c>
      <c r="Q256" s="295">
        <f>'BD Plant List'!$M258/12*'BD Feedstock'!Q$3*'BD Plant List'!AE$5</f>
        <v>0.93125000000000002</v>
      </c>
      <c r="R256" s="295">
        <f>'BD Plant List'!$N258/12*'BD Feedstock'!R$3*'BD Plant List'!AE$5</f>
        <v>26.540625000000002</v>
      </c>
      <c r="S256" s="295">
        <f>'BD Plant List'!$N258/12*'BD Feedstock'!S$3*'BD Plant List'!AF$5</f>
        <v>1.40625</v>
      </c>
      <c r="T256" s="295">
        <f>'BD Plant List'!$O258/12*'BD Feedstock'!T$3*'BD Plant List'!AB$5</f>
        <v>8.5732126770944213</v>
      </c>
      <c r="U256" s="295">
        <f>'BD Plant List'!$O258/12*'BD Feedstock'!U$3*'BD Plant List'!AC$5</f>
        <v>3.0347329175263269</v>
      </c>
    </row>
    <row r="257" spans="1:21" ht="18">
      <c r="A257" s="293">
        <v>47515</v>
      </c>
      <c r="B257" s="295">
        <f>'BD Plant List'!B259/12*'BD Plant List'!$AE$5*$B$3</f>
        <v>43.458333333333336</v>
      </c>
      <c r="C257" s="295">
        <f>'BD Plant List'!$C259/12*'BD Plant List'!$AB$5*'BD Feedstock'!$D$3</f>
        <v>2.098958333333333</v>
      </c>
      <c r="D257" s="295">
        <f>'BD Plant List'!$C259/12*'BD Plant List'!$AC$5*'BD Feedstock'!$D$3</f>
        <v>2.2289583333333334</v>
      </c>
      <c r="E257" s="295">
        <f>'BD Plant List'!$D259/12*'BD Plant List'!AB$5*'BD Feedstock'!$E$3</f>
        <v>9.6875</v>
      </c>
      <c r="F257" s="295">
        <f>'BD Plant List'!$D259/12*'BD Plant List'!AC$5*'BD Feedstock'!$F$3</f>
        <v>3.4291666666666671</v>
      </c>
      <c r="G257" s="295">
        <f>'BD Plant List'!$E259/12*'BD Feedstock'!G$3*'BD Plant List'!AB$5</f>
        <v>1.453125</v>
      </c>
      <c r="H257" s="295">
        <f>'BD Plant List'!$E259/12*'BD Feedstock'!H$3*'BD Plant List'!AC$5</f>
        <v>0.51437500000000003</v>
      </c>
      <c r="I257" s="295">
        <f>'BD Plant List'!F259/12*'BD Feedstock'!I$3*'BD Plant List'!AC$5</f>
        <v>0.13716666666666666</v>
      </c>
      <c r="J257" s="295">
        <f>'BD Plant List'!G259/12*'BD Feedstock'!J$3*'BD Plant List'!AD$5</f>
        <v>0.90199999999999991</v>
      </c>
      <c r="K257" s="295">
        <f>'BD Plant List'!$H259/12*'BD Feedstock'!K$3*'BD Plant List'!AB$5</f>
        <v>0</v>
      </c>
      <c r="L257" s="295">
        <f>'BD Plant List'!$H259/12*'BD Feedstock'!L$3*'BD Plant List'!AC$5</f>
        <v>0</v>
      </c>
      <c r="M257" s="295">
        <f>'BD Plant List'!$I259/12*'BD Feedstock'!$M$3*'BD Plant List'!AC$5</f>
        <v>3.4291666666666671</v>
      </c>
      <c r="N257" s="295">
        <f>'BD Plant List'!$J259/12*'BD Feedstock'!N$3*'BD Plant List'!AC$5</f>
        <v>0</v>
      </c>
      <c r="O257" s="295">
        <f>'BD Plant List'!$K259/12*'BD Feedstock'!O$3*'BD Plant List'!AC$5</f>
        <v>0</v>
      </c>
      <c r="P257" s="295">
        <f>'BD Plant List'!$L259/12*'BD Feedstock'!P$3*'BD Plant List'!AE$5</f>
        <v>0</v>
      </c>
      <c r="Q257" s="295">
        <f>'BD Plant List'!$M259/12*'BD Feedstock'!Q$3*'BD Plant List'!AE$5</f>
        <v>0.93125000000000002</v>
      </c>
      <c r="R257" s="295">
        <f>'BD Plant List'!$N259/12*'BD Feedstock'!R$3*'BD Plant List'!AE$5</f>
        <v>26.540625000000002</v>
      </c>
      <c r="S257" s="295">
        <f>'BD Plant List'!$N259/12*'BD Feedstock'!S$3*'BD Plant List'!AF$5</f>
        <v>1.40625</v>
      </c>
      <c r="T257" s="295">
        <f>'BD Plant List'!$O259/12*'BD Feedstock'!T$3*'BD Plant List'!AB$5</f>
        <v>8.5732126770944213</v>
      </c>
      <c r="U257" s="295">
        <f>'BD Plant List'!$O259/12*'BD Feedstock'!U$3*'BD Plant List'!AC$5</f>
        <v>3.0347329175263269</v>
      </c>
    </row>
    <row r="258" spans="1:21" ht="18">
      <c r="A258" s="293">
        <v>47543</v>
      </c>
      <c r="B258" s="295">
        <f>'BD Plant List'!B260/12*'BD Plant List'!$AE$5*$B$3</f>
        <v>43.458333333333336</v>
      </c>
      <c r="C258" s="295">
        <f>'BD Plant List'!$C260/12*'BD Plant List'!$AB$5*'BD Feedstock'!$D$3</f>
        <v>2.098958333333333</v>
      </c>
      <c r="D258" s="295">
        <f>'BD Plant List'!$C260/12*'BD Plant List'!$AC$5*'BD Feedstock'!$D$3</f>
        <v>2.2289583333333334</v>
      </c>
      <c r="E258" s="295">
        <f>'BD Plant List'!$D260/12*'BD Plant List'!AB$5*'BD Feedstock'!$E$3</f>
        <v>9.6875</v>
      </c>
      <c r="F258" s="295">
        <f>'BD Plant List'!$D260/12*'BD Plant List'!AC$5*'BD Feedstock'!$F$3</f>
        <v>3.4291666666666671</v>
      </c>
      <c r="G258" s="295">
        <f>'BD Plant List'!$E260/12*'BD Feedstock'!G$3*'BD Plant List'!AB$5</f>
        <v>1.453125</v>
      </c>
      <c r="H258" s="295">
        <f>'BD Plant List'!$E260/12*'BD Feedstock'!H$3*'BD Plant List'!AC$5</f>
        <v>0.51437500000000003</v>
      </c>
      <c r="I258" s="295">
        <f>'BD Plant List'!F260/12*'BD Feedstock'!I$3*'BD Plant List'!AC$5</f>
        <v>0.13716666666666666</v>
      </c>
      <c r="J258" s="295">
        <f>'BD Plant List'!G260/12*'BD Feedstock'!J$3*'BD Plant List'!AD$5</f>
        <v>0.90199999999999991</v>
      </c>
      <c r="K258" s="295">
        <f>'BD Plant List'!$H260/12*'BD Feedstock'!K$3*'BD Plant List'!AB$5</f>
        <v>0</v>
      </c>
      <c r="L258" s="295">
        <f>'BD Plant List'!$H260/12*'BD Feedstock'!L$3*'BD Plant List'!AC$5</f>
        <v>0</v>
      </c>
      <c r="M258" s="295">
        <f>'BD Plant List'!$I260/12*'BD Feedstock'!$M$3*'BD Plant List'!AC$5</f>
        <v>3.4291666666666671</v>
      </c>
      <c r="N258" s="295">
        <f>'BD Plant List'!$J260/12*'BD Feedstock'!N$3*'BD Plant List'!AC$5</f>
        <v>0</v>
      </c>
      <c r="O258" s="295">
        <f>'BD Plant List'!$K260/12*'BD Feedstock'!O$3*'BD Plant List'!AC$5</f>
        <v>0</v>
      </c>
      <c r="P258" s="295">
        <f>'BD Plant List'!$L260/12*'BD Feedstock'!P$3*'BD Plant List'!AE$5</f>
        <v>0</v>
      </c>
      <c r="Q258" s="295">
        <f>'BD Plant List'!$M260/12*'BD Feedstock'!Q$3*'BD Plant List'!AE$5</f>
        <v>0.93125000000000002</v>
      </c>
      <c r="R258" s="295">
        <f>'BD Plant List'!$N260/12*'BD Feedstock'!R$3*'BD Plant List'!AE$5</f>
        <v>26.540625000000002</v>
      </c>
      <c r="S258" s="295">
        <f>'BD Plant List'!$N260/12*'BD Feedstock'!S$3*'BD Plant List'!AF$5</f>
        <v>1.40625</v>
      </c>
      <c r="T258" s="295">
        <f>'BD Plant List'!$O260/12*'BD Feedstock'!T$3*'BD Plant List'!AB$5</f>
        <v>8.5732126770944213</v>
      </c>
      <c r="U258" s="295">
        <f>'BD Plant List'!$O260/12*'BD Feedstock'!U$3*'BD Plant List'!AC$5</f>
        <v>3.0347329175263269</v>
      </c>
    </row>
    <row r="259" spans="1:21" ht="18">
      <c r="A259" s="293">
        <v>47574</v>
      </c>
      <c r="B259" s="295">
        <f>'BD Plant List'!B261/12*'BD Plant List'!$AE$5*$B$3</f>
        <v>43.458333333333336</v>
      </c>
      <c r="C259" s="295">
        <f>'BD Plant List'!$C261/12*'BD Plant List'!$AB$5*'BD Feedstock'!$D$3</f>
        <v>2.098958333333333</v>
      </c>
      <c r="D259" s="295">
        <f>'BD Plant List'!$C261/12*'BD Plant List'!$AC$5*'BD Feedstock'!$D$3</f>
        <v>2.2289583333333334</v>
      </c>
      <c r="E259" s="295">
        <f>'BD Plant List'!$D261/12*'BD Plant List'!AB$5*'BD Feedstock'!$E$3</f>
        <v>9.6875</v>
      </c>
      <c r="F259" s="295">
        <f>'BD Plant List'!$D261/12*'BD Plant List'!AC$5*'BD Feedstock'!$F$3</f>
        <v>3.4291666666666671</v>
      </c>
      <c r="G259" s="295">
        <f>'BD Plant List'!$E261/12*'BD Feedstock'!G$3*'BD Plant List'!AB$5</f>
        <v>1.453125</v>
      </c>
      <c r="H259" s="295">
        <f>'BD Plant List'!$E261/12*'BD Feedstock'!H$3*'BD Plant List'!AC$5</f>
        <v>0.51437500000000003</v>
      </c>
      <c r="I259" s="295">
        <f>'BD Plant List'!F261/12*'BD Feedstock'!I$3*'BD Plant List'!AC$5</f>
        <v>0.13716666666666666</v>
      </c>
      <c r="J259" s="295">
        <f>'BD Plant List'!G261/12*'BD Feedstock'!J$3*'BD Plant List'!AD$5</f>
        <v>0.90199999999999991</v>
      </c>
      <c r="K259" s="295">
        <f>'BD Plant List'!$H261/12*'BD Feedstock'!K$3*'BD Plant List'!AB$5</f>
        <v>0</v>
      </c>
      <c r="L259" s="295">
        <f>'BD Plant List'!$H261/12*'BD Feedstock'!L$3*'BD Plant List'!AC$5</f>
        <v>0</v>
      </c>
      <c r="M259" s="295">
        <f>'BD Plant List'!$I261/12*'BD Feedstock'!$M$3*'BD Plant List'!AC$5</f>
        <v>3.4291666666666671</v>
      </c>
      <c r="N259" s="295">
        <f>'BD Plant List'!$J261/12*'BD Feedstock'!N$3*'BD Plant List'!AC$5</f>
        <v>0</v>
      </c>
      <c r="O259" s="295">
        <f>'BD Plant List'!$K261/12*'BD Feedstock'!O$3*'BD Plant List'!AC$5</f>
        <v>0</v>
      </c>
      <c r="P259" s="295">
        <f>'BD Plant List'!$L261/12*'BD Feedstock'!P$3*'BD Plant List'!AE$5</f>
        <v>0</v>
      </c>
      <c r="Q259" s="295">
        <f>'BD Plant List'!$M261/12*'BD Feedstock'!Q$3*'BD Plant List'!AE$5</f>
        <v>0.93125000000000002</v>
      </c>
      <c r="R259" s="295">
        <f>'BD Plant List'!$N261/12*'BD Feedstock'!R$3*'BD Plant List'!AE$5</f>
        <v>26.540625000000002</v>
      </c>
      <c r="S259" s="295">
        <f>'BD Plant List'!$N261/12*'BD Feedstock'!S$3*'BD Plant List'!AF$5</f>
        <v>1.40625</v>
      </c>
      <c r="T259" s="295">
        <f>'BD Plant List'!$O261/12*'BD Feedstock'!T$3*'BD Plant List'!AB$5</f>
        <v>8.5732126770944213</v>
      </c>
      <c r="U259" s="295">
        <f>'BD Plant List'!$O261/12*'BD Feedstock'!U$3*'BD Plant List'!AC$5</f>
        <v>3.0347329175263269</v>
      </c>
    </row>
    <row r="260" spans="1:21" ht="18">
      <c r="A260" s="293">
        <v>47604</v>
      </c>
      <c r="B260" s="295">
        <f>'BD Plant List'!B262/12*'BD Plant List'!$AE$5*$B$3</f>
        <v>43.458333333333336</v>
      </c>
      <c r="C260" s="295">
        <f>'BD Plant List'!$C262/12*'BD Plant List'!$AB$5*'BD Feedstock'!$D$3</f>
        <v>2.098958333333333</v>
      </c>
      <c r="D260" s="295">
        <f>'BD Plant List'!$C262/12*'BD Plant List'!$AC$5*'BD Feedstock'!$D$3</f>
        <v>2.2289583333333334</v>
      </c>
      <c r="E260" s="295">
        <f>'BD Plant List'!$D262/12*'BD Plant List'!AB$5*'BD Feedstock'!$E$3</f>
        <v>9.6875</v>
      </c>
      <c r="F260" s="295">
        <f>'BD Plant List'!$D262/12*'BD Plant List'!AC$5*'BD Feedstock'!$F$3</f>
        <v>3.4291666666666671</v>
      </c>
      <c r="G260" s="295">
        <f>'BD Plant List'!$E262/12*'BD Feedstock'!G$3*'BD Plant List'!AB$5</f>
        <v>1.453125</v>
      </c>
      <c r="H260" s="295">
        <f>'BD Plant List'!$E262/12*'BD Feedstock'!H$3*'BD Plant List'!AC$5</f>
        <v>0.51437500000000003</v>
      </c>
      <c r="I260" s="295">
        <f>'BD Plant List'!F262/12*'BD Feedstock'!I$3*'BD Plant List'!AC$5</f>
        <v>0.13716666666666666</v>
      </c>
      <c r="J260" s="295">
        <f>'BD Plant List'!G262/12*'BD Feedstock'!J$3*'BD Plant List'!AD$5</f>
        <v>0.90199999999999991</v>
      </c>
      <c r="K260" s="295">
        <f>'BD Plant List'!$H262/12*'BD Feedstock'!K$3*'BD Plant List'!AB$5</f>
        <v>0</v>
      </c>
      <c r="L260" s="295">
        <f>'BD Plant List'!$H262/12*'BD Feedstock'!L$3*'BD Plant List'!AC$5</f>
        <v>0</v>
      </c>
      <c r="M260" s="295">
        <f>'BD Plant List'!$I262/12*'BD Feedstock'!$M$3*'BD Plant List'!AC$5</f>
        <v>3.4291666666666671</v>
      </c>
      <c r="N260" s="295">
        <f>'BD Plant List'!$J262/12*'BD Feedstock'!N$3*'BD Plant List'!AC$5</f>
        <v>0</v>
      </c>
      <c r="O260" s="295">
        <f>'BD Plant List'!$K262/12*'BD Feedstock'!O$3*'BD Plant List'!AC$5</f>
        <v>0</v>
      </c>
      <c r="P260" s="295">
        <f>'BD Plant List'!$L262/12*'BD Feedstock'!P$3*'BD Plant List'!AE$5</f>
        <v>0</v>
      </c>
      <c r="Q260" s="295">
        <f>'BD Plant List'!$M262/12*'BD Feedstock'!Q$3*'BD Plant List'!AE$5</f>
        <v>0.93125000000000002</v>
      </c>
      <c r="R260" s="295">
        <f>'BD Plant List'!$N262/12*'BD Feedstock'!R$3*'BD Plant List'!AE$5</f>
        <v>26.540625000000002</v>
      </c>
      <c r="S260" s="295">
        <f>'BD Plant List'!$N262/12*'BD Feedstock'!S$3*'BD Plant List'!AF$5</f>
        <v>1.40625</v>
      </c>
      <c r="T260" s="295">
        <f>'BD Plant List'!$O262/12*'BD Feedstock'!T$3*'BD Plant List'!AB$5</f>
        <v>8.5732126770944213</v>
      </c>
      <c r="U260" s="295">
        <f>'BD Plant List'!$O262/12*'BD Feedstock'!U$3*'BD Plant List'!AC$5</f>
        <v>3.0347329175263269</v>
      </c>
    </row>
    <row r="261" spans="1:21" ht="18">
      <c r="A261" s="293">
        <v>47635</v>
      </c>
      <c r="B261" s="295">
        <f>'BD Plant List'!B263/12*'BD Plant List'!$AE$5*$B$3</f>
        <v>43.458333333333336</v>
      </c>
      <c r="C261" s="295">
        <f>'BD Plant List'!$C263/12*'BD Plant List'!$AB$5*'BD Feedstock'!$D$3</f>
        <v>2.098958333333333</v>
      </c>
      <c r="D261" s="295">
        <f>'BD Plant List'!$C263/12*'BD Plant List'!$AC$5*'BD Feedstock'!$D$3</f>
        <v>2.2289583333333334</v>
      </c>
      <c r="E261" s="295">
        <f>'BD Plant List'!$D263/12*'BD Plant List'!AB$5*'BD Feedstock'!$E$3</f>
        <v>9.6875</v>
      </c>
      <c r="F261" s="295">
        <f>'BD Plant List'!$D263/12*'BD Plant List'!AC$5*'BD Feedstock'!$F$3</f>
        <v>3.4291666666666671</v>
      </c>
      <c r="G261" s="295">
        <f>'BD Plant List'!$E263/12*'BD Feedstock'!G$3*'BD Plant List'!AB$5</f>
        <v>1.453125</v>
      </c>
      <c r="H261" s="295">
        <f>'BD Plant List'!$E263/12*'BD Feedstock'!H$3*'BD Plant List'!AC$5</f>
        <v>0.51437500000000003</v>
      </c>
      <c r="I261" s="295">
        <f>'BD Plant List'!F263/12*'BD Feedstock'!I$3*'BD Plant List'!AC$5</f>
        <v>0.13716666666666666</v>
      </c>
      <c r="J261" s="295">
        <f>'BD Plant List'!G263/12*'BD Feedstock'!J$3*'BD Plant List'!AD$5</f>
        <v>0.90199999999999991</v>
      </c>
      <c r="K261" s="295">
        <f>'BD Plant List'!$H263/12*'BD Feedstock'!K$3*'BD Plant List'!AB$5</f>
        <v>0</v>
      </c>
      <c r="L261" s="295">
        <f>'BD Plant List'!$H263/12*'BD Feedstock'!L$3*'BD Plant List'!AC$5</f>
        <v>0</v>
      </c>
      <c r="M261" s="295">
        <f>'BD Plant List'!$I263/12*'BD Feedstock'!$M$3*'BD Plant List'!AC$5</f>
        <v>3.4291666666666671</v>
      </c>
      <c r="N261" s="295">
        <f>'BD Plant List'!$J263/12*'BD Feedstock'!N$3*'BD Plant List'!AC$5</f>
        <v>0</v>
      </c>
      <c r="O261" s="295">
        <f>'BD Plant List'!$K263/12*'BD Feedstock'!O$3*'BD Plant List'!AC$5</f>
        <v>0</v>
      </c>
      <c r="P261" s="295">
        <f>'BD Plant List'!$L263/12*'BD Feedstock'!P$3*'BD Plant List'!AE$5</f>
        <v>0</v>
      </c>
      <c r="Q261" s="295">
        <f>'BD Plant List'!$M263/12*'BD Feedstock'!Q$3*'BD Plant List'!AE$5</f>
        <v>0.93125000000000002</v>
      </c>
      <c r="R261" s="295">
        <f>'BD Plant List'!$N263/12*'BD Feedstock'!R$3*'BD Plant List'!AE$5</f>
        <v>26.540625000000002</v>
      </c>
      <c r="S261" s="295">
        <f>'BD Plant List'!$N263/12*'BD Feedstock'!S$3*'BD Plant List'!AF$5</f>
        <v>1.40625</v>
      </c>
      <c r="T261" s="295">
        <f>'BD Plant List'!$O263/12*'BD Feedstock'!T$3*'BD Plant List'!AB$5</f>
        <v>8.5732126770944213</v>
      </c>
      <c r="U261" s="295">
        <f>'BD Plant List'!$O263/12*'BD Feedstock'!U$3*'BD Plant List'!AC$5</f>
        <v>3.0347329175263269</v>
      </c>
    </row>
    <row r="262" spans="1:21" ht="18">
      <c r="A262" s="293">
        <v>47665</v>
      </c>
      <c r="B262" s="295">
        <f>'BD Plant List'!B264/12*'BD Plant List'!$AE$5*$B$3</f>
        <v>43.458333333333336</v>
      </c>
      <c r="C262" s="295">
        <f>'BD Plant List'!$C264/12*'BD Plant List'!$AB$5*'BD Feedstock'!$D$3</f>
        <v>2.098958333333333</v>
      </c>
      <c r="D262" s="295">
        <f>'BD Plant List'!$C264/12*'BD Plant List'!$AC$5*'BD Feedstock'!$D$3</f>
        <v>2.2289583333333334</v>
      </c>
      <c r="E262" s="295">
        <f>'BD Plant List'!$D264/12*'BD Plant List'!AB$5*'BD Feedstock'!$E$3</f>
        <v>9.6875</v>
      </c>
      <c r="F262" s="295">
        <f>'BD Plant List'!$D264/12*'BD Plant List'!AC$5*'BD Feedstock'!$F$3</f>
        <v>3.4291666666666671</v>
      </c>
      <c r="G262" s="295">
        <f>'BD Plant List'!$E264/12*'BD Feedstock'!G$3*'BD Plant List'!AB$5</f>
        <v>1.453125</v>
      </c>
      <c r="H262" s="295">
        <f>'BD Plant List'!$E264/12*'BD Feedstock'!H$3*'BD Plant List'!AC$5</f>
        <v>0.51437500000000003</v>
      </c>
      <c r="I262" s="295">
        <f>'BD Plant List'!F264/12*'BD Feedstock'!I$3*'BD Plant List'!AC$5</f>
        <v>0.13716666666666666</v>
      </c>
      <c r="J262" s="295">
        <f>'BD Plant List'!G264/12*'BD Feedstock'!J$3*'BD Plant List'!AD$5</f>
        <v>0.90199999999999991</v>
      </c>
      <c r="K262" s="295">
        <f>'BD Plant List'!$H264/12*'BD Feedstock'!K$3*'BD Plant List'!AB$5</f>
        <v>0</v>
      </c>
      <c r="L262" s="295">
        <f>'BD Plant List'!$H264/12*'BD Feedstock'!L$3*'BD Plant List'!AC$5</f>
        <v>0</v>
      </c>
      <c r="M262" s="295">
        <f>'BD Plant List'!$I264/12*'BD Feedstock'!$M$3*'BD Plant List'!AC$5</f>
        <v>3.4291666666666671</v>
      </c>
      <c r="N262" s="295">
        <f>'BD Plant List'!$J264/12*'BD Feedstock'!N$3*'BD Plant List'!AC$5</f>
        <v>0</v>
      </c>
      <c r="O262" s="295">
        <f>'BD Plant List'!$K264/12*'BD Feedstock'!O$3*'BD Plant List'!AC$5</f>
        <v>0</v>
      </c>
      <c r="P262" s="295">
        <f>'BD Plant List'!$L264/12*'BD Feedstock'!P$3*'BD Plant List'!AE$5</f>
        <v>0</v>
      </c>
      <c r="Q262" s="295">
        <f>'BD Plant List'!$M264/12*'BD Feedstock'!Q$3*'BD Plant List'!AE$5</f>
        <v>0.93125000000000002</v>
      </c>
      <c r="R262" s="295">
        <f>'BD Plant List'!$N264/12*'BD Feedstock'!R$3*'BD Plant List'!AE$5</f>
        <v>26.540625000000002</v>
      </c>
      <c r="S262" s="295">
        <f>'BD Plant List'!$N264/12*'BD Feedstock'!S$3*'BD Plant List'!AF$5</f>
        <v>1.40625</v>
      </c>
      <c r="T262" s="295">
        <f>'BD Plant List'!$O264/12*'BD Feedstock'!T$3*'BD Plant List'!AB$5</f>
        <v>8.5732126770944213</v>
      </c>
      <c r="U262" s="295">
        <f>'BD Plant List'!$O264/12*'BD Feedstock'!U$3*'BD Plant List'!AC$5</f>
        <v>3.0347329175263269</v>
      </c>
    </row>
    <row r="263" spans="1:21" ht="18">
      <c r="A263" s="293">
        <v>47696</v>
      </c>
      <c r="B263" s="295">
        <f>'BD Plant List'!B265/12*'BD Plant List'!$AE$5*$B$3</f>
        <v>43.458333333333336</v>
      </c>
      <c r="C263" s="295">
        <f>'BD Plant List'!$C265/12*'BD Plant List'!$AB$5*'BD Feedstock'!$D$3</f>
        <v>2.098958333333333</v>
      </c>
      <c r="D263" s="295">
        <f>'BD Plant List'!$C265/12*'BD Plant List'!$AC$5*'BD Feedstock'!$D$3</f>
        <v>2.2289583333333334</v>
      </c>
      <c r="E263" s="295">
        <f>'BD Plant List'!$D265/12*'BD Plant List'!AB$5*'BD Feedstock'!$E$3</f>
        <v>9.6875</v>
      </c>
      <c r="F263" s="295">
        <f>'BD Plant List'!$D265/12*'BD Plant List'!AC$5*'BD Feedstock'!$F$3</f>
        <v>3.4291666666666671</v>
      </c>
      <c r="G263" s="295">
        <f>'BD Plant List'!$E265/12*'BD Feedstock'!G$3*'BD Plant List'!AB$5</f>
        <v>1.453125</v>
      </c>
      <c r="H263" s="295">
        <f>'BD Plant List'!$E265/12*'BD Feedstock'!H$3*'BD Plant List'!AC$5</f>
        <v>0.51437500000000003</v>
      </c>
      <c r="I263" s="295">
        <f>'BD Plant List'!F265/12*'BD Feedstock'!I$3*'BD Plant List'!AC$5</f>
        <v>0.13716666666666666</v>
      </c>
      <c r="J263" s="295">
        <f>'BD Plant List'!G265/12*'BD Feedstock'!J$3*'BD Plant List'!AD$5</f>
        <v>0.90199999999999991</v>
      </c>
      <c r="K263" s="295">
        <f>'BD Plant List'!$H265/12*'BD Feedstock'!K$3*'BD Plant List'!AB$5</f>
        <v>0</v>
      </c>
      <c r="L263" s="295">
        <f>'BD Plant List'!$H265/12*'BD Feedstock'!L$3*'BD Plant List'!AC$5</f>
        <v>0</v>
      </c>
      <c r="M263" s="295">
        <f>'BD Plant List'!$I265/12*'BD Feedstock'!$M$3*'BD Plant List'!AC$5</f>
        <v>3.4291666666666671</v>
      </c>
      <c r="N263" s="295">
        <f>'BD Plant List'!$J265/12*'BD Feedstock'!N$3*'BD Plant List'!AC$5</f>
        <v>0</v>
      </c>
      <c r="O263" s="295">
        <f>'BD Plant List'!$K265/12*'BD Feedstock'!O$3*'BD Plant List'!AC$5</f>
        <v>0</v>
      </c>
      <c r="P263" s="295">
        <f>'BD Plant List'!$L265/12*'BD Feedstock'!P$3*'BD Plant List'!AE$5</f>
        <v>0</v>
      </c>
      <c r="Q263" s="295">
        <f>'BD Plant List'!$M265/12*'BD Feedstock'!Q$3*'BD Plant List'!AE$5</f>
        <v>0.93125000000000002</v>
      </c>
      <c r="R263" s="295">
        <f>'BD Plant List'!$N265/12*'BD Feedstock'!R$3*'BD Plant List'!AE$5</f>
        <v>26.540625000000002</v>
      </c>
      <c r="S263" s="295">
        <f>'BD Plant List'!$N265/12*'BD Feedstock'!S$3*'BD Plant List'!AF$5</f>
        <v>1.40625</v>
      </c>
      <c r="T263" s="295">
        <f>'BD Plant List'!$O265/12*'BD Feedstock'!T$3*'BD Plant List'!AB$5</f>
        <v>8.5732126770944213</v>
      </c>
      <c r="U263" s="295">
        <f>'BD Plant List'!$O265/12*'BD Feedstock'!U$3*'BD Plant List'!AC$5</f>
        <v>3.0347329175263269</v>
      </c>
    </row>
    <row r="264" spans="1:21" ht="18">
      <c r="A264" s="293">
        <v>47727</v>
      </c>
      <c r="B264" s="295">
        <f>'BD Plant List'!B266/12*'BD Plant List'!$AE$5*$B$3</f>
        <v>43.458333333333336</v>
      </c>
      <c r="C264" s="295">
        <f>'BD Plant List'!$C266/12*'BD Plant List'!$AB$5*'BD Feedstock'!$D$3</f>
        <v>2.098958333333333</v>
      </c>
      <c r="D264" s="295">
        <f>'BD Plant List'!$C266/12*'BD Plant List'!$AC$5*'BD Feedstock'!$D$3</f>
        <v>2.2289583333333334</v>
      </c>
      <c r="E264" s="295">
        <f>'BD Plant List'!$D266/12*'BD Plant List'!AB$5*'BD Feedstock'!$E$3</f>
        <v>9.6875</v>
      </c>
      <c r="F264" s="295">
        <f>'BD Plant List'!$D266/12*'BD Plant List'!AC$5*'BD Feedstock'!$F$3</f>
        <v>3.4291666666666671</v>
      </c>
      <c r="G264" s="295">
        <f>'BD Plant List'!$E266/12*'BD Feedstock'!G$3*'BD Plant List'!AB$5</f>
        <v>1.453125</v>
      </c>
      <c r="H264" s="295">
        <f>'BD Plant List'!$E266/12*'BD Feedstock'!H$3*'BD Plant List'!AC$5</f>
        <v>0.51437500000000003</v>
      </c>
      <c r="I264" s="295">
        <f>'BD Plant List'!F266/12*'BD Feedstock'!I$3*'BD Plant List'!AC$5</f>
        <v>0.13716666666666666</v>
      </c>
      <c r="J264" s="295">
        <f>'BD Plant List'!G266/12*'BD Feedstock'!J$3*'BD Plant List'!AD$5</f>
        <v>0.90199999999999991</v>
      </c>
      <c r="K264" s="295">
        <f>'BD Plant List'!$H266/12*'BD Feedstock'!K$3*'BD Plant List'!AB$5</f>
        <v>0</v>
      </c>
      <c r="L264" s="295">
        <f>'BD Plant List'!$H266/12*'BD Feedstock'!L$3*'BD Plant List'!AC$5</f>
        <v>0</v>
      </c>
      <c r="M264" s="295">
        <f>'BD Plant List'!$I266/12*'BD Feedstock'!$M$3*'BD Plant List'!AC$5</f>
        <v>3.4291666666666671</v>
      </c>
      <c r="N264" s="295">
        <f>'BD Plant List'!$J266/12*'BD Feedstock'!N$3*'BD Plant List'!AC$5</f>
        <v>0</v>
      </c>
      <c r="O264" s="295">
        <f>'BD Plant List'!$K266/12*'BD Feedstock'!O$3*'BD Plant List'!AC$5</f>
        <v>0</v>
      </c>
      <c r="P264" s="295">
        <f>'BD Plant List'!$L266/12*'BD Feedstock'!P$3*'BD Plant List'!AE$5</f>
        <v>0</v>
      </c>
      <c r="Q264" s="295">
        <f>'BD Plant List'!$M266/12*'BD Feedstock'!Q$3*'BD Plant List'!AE$5</f>
        <v>0.93125000000000002</v>
      </c>
      <c r="R264" s="295">
        <f>'BD Plant List'!$N266/12*'BD Feedstock'!R$3*'BD Plant List'!AE$5</f>
        <v>26.540625000000002</v>
      </c>
      <c r="S264" s="295">
        <f>'BD Plant List'!$N266/12*'BD Feedstock'!S$3*'BD Plant List'!AF$5</f>
        <v>1.40625</v>
      </c>
      <c r="T264" s="295">
        <f>'BD Plant List'!$O266/12*'BD Feedstock'!T$3*'BD Plant List'!AB$5</f>
        <v>8.5732126770944213</v>
      </c>
      <c r="U264" s="295">
        <f>'BD Plant List'!$O266/12*'BD Feedstock'!U$3*'BD Plant List'!AC$5</f>
        <v>3.0347329175263269</v>
      </c>
    </row>
    <row r="265" spans="1:21" ht="18">
      <c r="A265" s="293">
        <v>47757</v>
      </c>
      <c r="B265" s="295">
        <f>'BD Plant List'!B267/12*'BD Plant List'!$AE$5*$B$3</f>
        <v>43.458333333333336</v>
      </c>
      <c r="C265" s="295">
        <f>'BD Plant List'!$C267/12*'BD Plant List'!$AB$5*'BD Feedstock'!$D$3</f>
        <v>2.098958333333333</v>
      </c>
      <c r="D265" s="295">
        <f>'BD Plant List'!$C267/12*'BD Plant List'!$AC$5*'BD Feedstock'!$D$3</f>
        <v>2.2289583333333334</v>
      </c>
      <c r="E265" s="295">
        <f>'BD Plant List'!$D267/12*'BD Plant List'!AB$5*'BD Feedstock'!$E$3</f>
        <v>9.6875</v>
      </c>
      <c r="F265" s="295">
        <f>'BD Plant List'!$D267/12*'BD Plant List'!AC$5*'BD Feedstock'!$F$3</f>
        <v>3.4291666666666671</v>
      </c>
      <c r="G265" s="295">
        <f>'BD Plant List'!$E267/12*'BD Feedstock'!G$3*'BD Plant List'!AB$5</f>
        <v>1.453125</v>
      </c>
      <c r="H265" s="295">
        <f>'BD Plant List'!$E267/12*'BD Feedstock'!H$3*'BD Plant List'!AC$5</f>
        <v>0.51437500000000003</v>
      </c>
      <c r="I265" s="295">
        <f>'BD Plant List'!F267/12*'BD Feedstock'!I$3*'BD Plant List'!AC$5</f>
        <v>0.13716666666666666</v>
      </c>
      <c r="J265" s="295">
        <f>'BD Plant List'!G267/12*'BD Feedstock'!J$3*'BD Plant List'!AD$5</f>
        <v>0.90199999999999991</v>
      </c>
      <c r="K265" s="295">
        <f>'BD Plant List'!$H267/12*'BD Feedstock'!K$3*'BD Plant List'!AB$5</f>
        <v>0</v>
      </c>
      <c r="L265" s="295">
        <f>'BD Plant List'!$H267/12*'BD Feedstock'!L$3*'BD Plant List'!AC$5</f>
        <v>0</v>
      </c>
      <c r="M265" s="295">
        <f>'BD Plant List'!$I267/12*'BD Feedstock'!$M$3*'BD Plant List'!AC$5</f>
        <v>3.4291666666666671</v>
      </c>
      <c r="N265" s="295">
        <f>'BD Plant List'!$J267/12*'BD Feedstock'!N$3*'BD Plant List'!AC$5</f>
        <v>0</v>
      </c>
      <c r="O265" s="295">
        <f>'BD Plant List'!$K267/12*'BD Feedstock'!O$3*'BD Plant List'!AC$5</f>
        <v>0</v>
      </c>
      <c r="P265" s="295">
        <f>'BD Plant List'!$L267/12*'BD Feedstock'!P$3*'BD Plant List'!AE$5</f>
        <v>0</v>
      </c>
      <c r="Q265" s="295">
        <f>'BD Plant List'!$M267/12*'BD Feedstock'!Q$3*'BD Plant List'!AE$5</f>
        <v>0.93125000000000002</v>
      </c>
      <c r="R265" s="295">
        <f>'BD Plant List'!$N267/12*'BD Feedstock'!R$3*'BD Plant List'!AE$5</f>
        <v>26.540625000000002</v>
      </c>
      <c r="S265" s="295">
        <f>'BD Plant List'!$N267/12*'BD Feedstock'!S$3*'BD Plant List'!AF$5</f>
        <v>1.40625</v>
      </c>
      <c r="T265" s="295">
        <f>'BD Plant List'!$O267/12*'BD Feedstock'!T$3*'BD Plant List'!AB$5</f>
        <v>8.5732126770944213</v>
      </c>
      <c r="U265" s="295">
        <f>'BD Plant List'!$O267/12*'BD Feedstock'!U$3*'BD Plant List'!AC$5</f>
        <v>3.0347329175263269</v>
      </c>
    </row>
    <row r="266" spans="1:21" ht="18">
      <c r="A266" s="293">
        <v>47788</v>
      </c>
      <c r="B266" s="295">
        <f>'BD Plant List'!B268/12*'BD Plant List'!$AE$5*$B$3</f>
        <v>43.458333333333336</v>
      </c>
      <c r="C266" s="295">
        <f>'BD Plant List'!$C268/12*'BD Plant List'!$AB$5*'BD Feedstock'!$D$3</f>
        <v>2.098958333333333</v>
      </c>
      <c r="D266" s="295">
        <f>'BD Plant List'!$C268/12*'BD Plant List'!$AC$5*'BD Feedstock'!$D$3</f>
        <v>2.2289583333333334</v>
      </c>
      <c r="E266" s="295">
        <f>'BD Plant List'!$D268/12*'BD Plant List'!AB$5*'BD Feedstock'!$E$3</f>
        <v>9.6875</v>
      </c>
      <c r="F266" s="295">
        <f>'BD Plant List'!$D268/12*'BD Plant List'!AC$5*'BD Feedstock'!$F$3</f>
        <v>3.4291666666666671</v>
      </c>
      <c r="G266" s="295">
        <f>'BD Plant List'!$E268/12*'BD Feedstock'!G$3*'BD Plant List'!AB$5</f>
        <v>1.453125</v>
      </c>
      <c r="H266" s="295">
        <f>'BD Plant List'!$E268/12*'BD Feedstock'!H$3*'BD Plant List'!AC$5</f>
        <v>0.51437500000000003</v>
      </c>
      <c r="I266" s="295">
        <f>'BD Plant List'!F268/12*'BD Feedstock'!I$3*'BD Plant List'!AC$5</f>
        <v>0.13716666666666666</v>
      </c>
      <c r="J266" s="295">
        <f>'BD Plant List'!G268/12*'BD Feedstock'!J$3*'BD Plant List'!AD$5</f>
        <v>0.90199999999999991</v>
      </c>
      <c r="K266" s="295">
        <f>'BD Plant List'!$H268/12*'BD Feedstock'!K$3*'BD Plant List'!AB$5</f>
        <v>0</v>
      </c>
      <c r="L266" s="295">
        <f>'BD Plant List'!$H268/12*'BD Feedstock'!L$3*'BD Plant List'!AC$5</f>
        <v>0</v>
      </c>
      <c r="M266" s="295">
        <f>'BD Plant List'!$I268/12*'BD Feedstock'!$M$3*'BD Plant List'!AC$5</f>
        <v>3.4291666666666671</v>
      </c>
      <c r="N266" s="295">
        <f>'BD Plant List'!$J268/12*'BD Feedstock'!N$3*'BD Plant List'!AC$5</f>
        <v>0</v>
      </c>
      <c r="O266" s="295">
        <f>'BD Plant List'!$K268/12*'BD Feedstock'!O$3*'BD Plant List'!AC$5</f>
        <v>0</v>
      </c>
      <c r="P266" s="295">
        <f>'BD Plant List'!$L268/12*'BD Feedstock'!P$3*'BD Plant List'!AE$5</f>
        <v>0</v>
      </c>
      <c r="Q266" s="295">
        <f>'BD Plant List'!$M268/12*'BD Feedstock'!Q$3*'BD Plant List'!AE$5</f>
        <v>0.93125000000000002</v>
      </c>
      <c r="R266" s="295">
        <f>'BD Plant List'!$N268/12*'BD Feedstock'!R$3*'BD Plant List'!AE$5</f>
        <v>26.540625000000002</v>
      </c>
      <c r="S266" s="295">
        <f>'BD Plant List'!$N268/12*'BD Feedstock'!S$3*'BD Plant List'!AF$5</f>
        <v>1.40625</v>
      </c>
      <c r="T266" s="295">
        <f>'BD Plant List'!$O268/12*'BD Feedstock'!T$3*'BD Plant List'!AB$5</f>
        <v>8.5732126770944213</v>
      </c>
      <c r="U266" s="295">
        <f>'BD Plant List'!$O268/12*'BD Feedstock'!U$3*'BD Plant List'!AC$5</f>
        <v>3.0347329175263269</v>
      </c>
    </row>
    <row r="267" spans="1:21" ht="18">
      <c r="A267" s="293">
        <v>47818</v>
      </c>
      <c r="B267" s="295">
        <f>'BD Plant List'!B269/12*'BD Plant List'!$AE$5*$B$3</f>
        <v>43.458333333333336</v>
      </c>
      <c r="C267" s="295">
        <f>'BD Plant List'!$C269/12*'BD Plant List'!$AB$5*'BD Feedstock'!$D$3</f>
        <v>2.098958333333333</v>
      </c>
      <c r="D267" s="295">
        <f>'BD Plant List'!$C269/12*'BD Plant List'!$AC$5*'BD Feedstock'!$D$3</f>
        <v>2.2289583333333334</v>
      </c>
      <c r="E267" s="295">
        <f>'BD Plant List'!$D269/12*'BD Plant List'!AB$5*'BD Feedstock'!$E$3</f>
        <v>9.6875</v>
      </c>
      <c r="F267" s="295">
        <f>'BD Plant List'!$D269/12*'BD Plant List'!AC$5*'BD Feedstock'!$F$3</f>
        <v>3.4291666666666671</v>
      </c>
      <c r="G267" s="295">
        <f>'BD Plant List'!$E269/12*'BD Feedstock'!G$3*'BD Plant List'!AB$5</f>
        <v>1.453125</v>
      </c>
      <c r="H267" s="295">
        <f>'BD Plant List'!$E269/12*'BD Feedstock'!H$3*'BD Plant List'!AC$5</f>
        <v>0.51437500000000003</v>
      </c>
      <c r="I267" s="295">
        <f>'BD Plant List'!F269/12*'BD Feedstock'!I$3*'BD Plant List'!AC$5</f>
        <v>0.13716666666666666</v>
      </c>
      <c r="J267" s="295">
        <f>'BD Plant List'!G269/12*'BD Feedstock'!J$3*'BD Plant List'!AD$5</f>
        <v>0.90199999999999991</v>
      </c>
      <c r="K267" s="295">
        <f>'BD Plant List'!$H269/12*'BD Feedstock'!K$3*'BD Plant List'!AB$5</f>
        <v>0</v>
      </c>
      <c r="L267" s="295">
        <f>'BD Plant List'!$H269/12*'BD Feedstock'!L$3*'BD Plant List'!AC$5</f>
        <v>0</v>
      </c>
      <c r="M267" s="295">
        <f>'BD Plant List'!$I269/12*'BD Feedstock'!$M$3*'BD Plant List'!AC$5</f>
        <v>3.4291666666666671</v>
      </c>
      <c r="N267" s="295">
        <f>'BD Plant List'!$J269/12*'BD Feedstock'!N$3*'BD Plant List'!AC$5</f>
        <v>0</v>
      </c>
      <c r="O267" s="295">
        <f>'BD Plant List'!$K269/12*'BD Feedstock'!O$3*'BD Plant List'!AC$5</f>
        <v>0</v>
      </c>
      <c r="P267" s="295">
        <f>'BD Plant List'!$L269/12*'BD Feedstock'!P$3*'BD Plant List'!AE$5</f>
        <v>0</v>
      </c>
      <c r="Q267" s="295">
        <f>'BD Plant List'!$M269/12*'BD Feedstock'!Q$3*'BD Plant List'!AE$5</f>
        <v>0.93125000000000002</v>
      </c>
      <c r="R267" s="295">
        <f>'BD Plant List'!$N269/12*'BD Feedstock'!R$3*'BD Plant List'!AE$5</f>
        <v>26.540625000000002</v>
      </c>
      <c r="S267" s="295">
        <f>'BD Plant List'!$N269/12*'BD Feedstock'!S$3*'BD Plant List'!AF$5</f>
        <v>1.40625</v>
      </c>
      <c r="T267" s="295">
        <f>'BD Plant List'!$O269/12*'BD Feedstock'!T$3*'BD Plant List'!AB$5</f>
        <v>8.5732126770944213</v>
      </c>
      <c r="U267" s="295">
        <f>'BD Plant List'!$O269/12*'BD Feedstock'!U$3*'BD Plant List'!AC$5</f>
        <v>3.0347329175263269</v>
      </c>
    </row>
    <row r="268" spans="1:21" ht="18">
      <c r="A268" s="293">
        <v>47849</v>
      </c>
      <c r="B268" s="295">
        <f>'BD Plant List'!B270/12*'BD Plant List'!$AE$5*$B$3</f>
        <v>43.458333333333336</v>
      </c>
      <c r="C268" s="295">
        <f>'BD Plant List'!$C270/12*'BD Plant List'!$AB$5*'BD Feedstock'!$D$3</f>
        <v>2.098958333333333</v>
      </c>
      <c r="D268" s="295">
        <f>'BD Plant List'!$C270/12*'BD Plant List'!$AC$5*'BD Feedstock'!$D$3</f>
        <v>2.2289583333333334</v>
      </c>
      <c r="E268" s="295">
        <f>'BD Plant List'!$D270/12*'BD Plant List'!AB$5*'BD Feedstock'!$E$3</f>
        <v>9.6875</v>
      </c>
      <c r="F268" s="295">
        <f>'BD Plant List'!$D270/12*'BD Plant List'!AC$5*'BD Feedstock'!$F$3</f>
        <v>3.4291666666666671</v>
      </c>
      <c r="G268" s="295">
        <f>'BD Plant List'!$E270/12*'BD Feedstock'!G$3*'BD Plant List'!AB$5</f>
        <v>1.453125</v>
      </c>
      <c r="H268" s="295">
        <f>'BD Plant List'!$E270/12*'BD Feedstock'!H$3*'BD Plant List'!AC$5</f>
        <v>0.51437500000000003</v>
      </c>
      <c r="I268" s="295">
        <f>'BD Plant List'!F270/12*'BD Feedstock'!I$3*'BD Plant List'!AC$5</f>
        <v>0.13716666666666666</v>
      </c>
      <c r="J268" s="295">
        <f>'BD Plant List'!G270/12*'BD Feedstock'!J$3*'BD Plant List'!AD$5</f>
        <v>0.90199999999999991</v>
      </c>
      <c r="K268" s="295">
        <f>'BD Plant List'!$H270/12*'BD Feedstock'!K$3*'BD Plant List'!AB$5</f>
        <v>0</v>
      </c>
      <c r="L268" s="295">
        <f>'BD Plant List'!$H270/12*'BD Feedstock'!L$3*'BD Plant List'!AC$5</f>
        <v>0</v>
      </c>
      <c r="M268" s="295">
        <f>'BD Plant List'!$I270/12*'BD Feedstock'!$M$3*'BD Plant List'!AC$5</f>
        <v>3.4291666666666671</v>
      </c>
      <c r="N268" s="295">
        <f>'BD Plant List'!$J270/12*'BD Feedstock'!N$3*'BD Plant List'!AC$5</f>
        <v>0</v>
      </c>
      <c r="O268" s="295">
        <f>'BD Plant List'!$K270/12*'BD Feedstock'!O$3*'BD Plant List'!AC$5</f>
        <v>0</v>
      </c>
      <c r="P268" s="295">
        <f>'BD Plant List'!$L270/12*'BD Feedstock'!P$3*'BD Plant List'!AE$5</f>
        <v>0</v>
      </c>
      <c r="Q268" s="295">
        <f>'BD Plant List'!$M270/12*'BD Feedstock'!Q$3*'BD Plant List'!AE$5</f>
        <v>0.93125000000000002</v>
      </c>
      <c r="R268" s="295">
        <f>'BD Plant List'!$N270/12*'BD Feedstock'!R$3*'BD Plant List'!AE$5</f>
        <v>26.540625000000002</v>
      </c>
      <c r="S268" s="295">
        <f>'BD Plant List'!$N270/12*'BD Feedstock'!S$3*'BD Plant List'!AF$5</f>
        <v>1.40625</v>
      </c>
      <c r="T268" s="295">
        <f>'BD Plant List'!$O270/12*'BD Feedstock'!T$3*'BD Plant List'!AB$5</f>
        <v>8.5732126770944213</v>
      </c>
      <c r="U268" s="295">
        <f>'BD Plant List'!$O270/12*'BD Feedstock'!U$3*'BD Plant List'!AC$5</f>
        <v>3.0347329175263269</v>
      </c>
    </row>
    <row r="269" spans="1:21" ht="18">
      <c r="A269" s="293">
        <v>47880</v>
      </c>
      <c r="B269" s="295">
        <f>'BD Plant List'!B271/12*'BD Plant List'!$AE$5*$B$3</f>
        <v>43.458333333333336</v>
      </c>
      <c r="C269" s="295">
        <f>'BD Plant List'!$C271/12*'BD Plant List'!$AB$5*'BD Feedstock'!$D$3</f>
        <v>2.098958333333333</v>
      </c>
      <c r="D269" s="295">
        <f>'BD Plant List'!$C271/12*'BD Plant List'!$AC$5*'BD Feedstock'!$D$3</f>
        <v>2.2289583333333334</v>
      </c>
      <c r="E269" s="295">
        <f>'BD Plant List'!$D271/12*'BD Plant List'!AB$5*'BD Feedstock'!$E$3</f>
        <v>9.6875</v>
      </c>
      <c r="F269" s="295">
        <f>'BD Plant List'!$D271/12*'BD Plant List'!AC$5*'BD Feedstock'!$F$3</f>
        <v>3.4291666666666671</v>
      </c>
      <c r="G269" s="295">
        <f>'BD Plant List'!$E271/12*'BD Feedstock'!G$3*'BD Plant List'!AB$5</f>
        <v>1.453125</v>
      </c>
      <c r="H269" s="295">
        <f>'BD Plant List'!$E271/12*'BD Feedstock'!H$3*'BD Plant List'!AC$5</f>
        <v>0.51437500000000003</v>
      </c>
      <c r="I269" s="295">
        <f>'BD Plant List'!F271/12*'BD Feedstock'!I$3*'BD Plant List'!AC$5</f>
        <v>0.13716666666666666</v>
      </c>
      <c r="J269" s="295">
        <f>'BD Plant List'!G271/12*'BD Feedstock'!J$3*'BD Plant List'!AD$5</f>
        <v>0.90199999999999991</v>
      </c>
      <c r="K269" s="295">
        <f>'BD Plant List'!$H271/12*'BD Feedstock'!K$3*'BD Plant List'!AB$5</f>
        <v>0</v>
      </c>
      <c r="L269" s="295">
        <f>'BD Plant List'!$H271/12*'BD Feedstock'!L$3*'BD Plant List'!AC$5</f>
        <v>0</v>
      </c>
      <c r="M269" s="295">
        <f>'BD Plant List'!$I271/12*'BD Feedstock'!$M$3*'BD Plant List'!AC$5</f>
        <v>3.4291666666666671</v>
      </c>
      <c r="N269" s="295">
        <f>'BD Plant List'!$J271/12*'BD Feedstock'!N$3*'BD Plant List'!AC$5</f>
        <v>0</v>
      </c>
      <c r="O269" s="295">
        <f>'BD Plant List'!$K271/12*'BD Feedstock'!O$3*'BD Plant List'!AC$5</f>
        <v>0</v>
      </c>
      <c r="P269" s="295">
        <f>'BD Plant List'!$L271/12*'BD Feedstock'!P$3*'BD Plant List'!AE$5</f>
        <v>0</v>
      </c>
      <c r="Q269" s="295">
        <f>'BD Plant List'!$M271/12*'BD Feedstock'!Q$3*'BD Plant List'!AE$5</f>
        <v>0.93125000000000002</v>
      </c>
      <c r="R269" s="295">
        <f>'BD Plant List'!$N271/12*'BD Feedstock'!R$3*'BD Plant List'!AE$5</f>
        <v>26.540625000000002</v>
      </c>
      <c r="S269" s="295">
        <f>'BD Plant List'!$N271/12*'BD Feedstock'!S$3*'BD Plant List'!AF$5</f>
        <v>1.40625</v>
      </c>
      <c r="T269" s="295">
        <f>'BD Plant List'!$O271/12*'BD Feedstock'!T$3*'BD Plant List'!AB$5</f>
        <v>8.5732126770944213</v>
      </c>
      <c r="U269" s="295">
        <f>'BD Plant List'!$O271/12*'BD Feedstock'!U$3*'BD Plant List'!AC$5</f>
        <v>3.0347329175263269</v>
      </c>
    </row>
    <row r="270" spans="1:21" ht="18">
      <c r="A270" s="293">
        <v>47908</v>
      </c>
      <c r="B270" s="295">
        <f>'BD Plant List'!B272/12*'BD Plant List'!$AE$5*$B$3</f>
        <v>43.458333333333336</v>
      </c>
      <c r="C270" s="295">
        <f>'BD Plant List'!$C272/12*'BD Plant List'!$AB$5*'BD Feedstock'!$D$3</f>
        <v>2.098958333333333</v>
      </c>
      <c r="D270" s="295">
        <f>'BD Plant List'!$C272/12*'BD Plant List'!$AC$5*'BD Feedstock'!$D$3</f>
        <v>2.2289583333333334</v>
      </c>
      <c r="E270" s="295">
        <f>'BD Plant List'!$D272/12*'BD Plant List'!AB$5*'BD Feedstock'!$E$3</f>
        <v>9.6875</v>
      </c>
      <c r="F270" s="295">
        <f>'BD Plant List'!$D272/12*'BD Plant List'!AC$5*'BD Feedstock'!$F$3</f>
        <v>3.4291666666666671</v>
      </c>
      <c r="G270" s="295">
        <f>'BD Plant List'!$E272/12*'BD Feedstock'!G$3*'BD Plant List'!AB$5</f>
        <v>1.453125</v>
      </c>
      <c r="H270" s="295">
        <f>'BD Plant List'!$E272/12*'BD Feedstock'!H$3*'BD Plant List'!AC$5</f>
        <v>0.51437500000000003</v>
      </c>
      <c r="I270" s="295">
        <f>'BD Plant List'!F272/12*'BD Feedstock'!I$3*'BD Plant List'!AC$5</f>
        <v>0.13716666666666666</v>
      </c>
      <c r="J270" s="295">
        <f>'BD Plant List'!G272/12*'BD Feedstock'!J$3*'BD Plant List'!AD$5</f>
        <v>0.90199999999999991</v>
      </c>
      <c r="K270" s="295">
        <f>'BD Plant List'!$H272/12*'BD Feedstock'!K$3*'BD Plant List'!AB$5</f>
        <v>0</v>
      </c>
      <c r="L270" s="295">
        <f>'BD Plant List'!$H272/12*'BD Feedstock'!L$3*'BD Plant List'!AC$5</f>
        <v>0</v>
      </c>
      <c r="M270" s="295">
        <f>'BD Plant List'!$I272/12*'BD Feedstock'!$M$3*'BD Plant List'!AC$5</f>
        <v>3.4291666666666671</v>
      </c>
      <c r="N270" s="295">
        <f>'BD Plant List'!$J272/12*'BD Feedstock'!N$3*'BD Plant List'!AC$5</f>
        <v>0</v>
      </c>
      <c r="O270" s="295">
        <f>'BD Plant List'!$K272/12*'BD Feedstock'!O$3*'BD Plant List'!AC$5</f>
        <v>0</v>
      </c>
      <c r="P270" s="295">
        <f>'BD Plant List'!$L272/12*'BD Feedstock'!P$3*'BD Plant List'!AE$5</f>
        <v>0</v>
      </c>
      <c r="Q270" s="295">
        <f>'BD Plant List'!$M272/12*'BD Feedstock'!Q$3*'BD Plant List'!AE$5</f>
        <v>0.93125000000000002</v>
      </c>
      <c r="R270" s="295">
        <f>'BD Plant List'!$N272/12*'BD Feedstock'!R$3*'BD Plant List'!AE$5</f>
        <v>26.540625000000002</v>
      </c>
      <c r="S270" s="295">
        <f>'BD Plant List'!$N272/12*'BD Feedstock'!S$3*'BD Plant List'!AF$5</f>
        <v>1.40625</v>
      </c>
      <c r="T270" s="295">
        <f>'BD Plant List'!$O272/12*'BD Feedstock'!T$3*'BD Plant List'!AB$5</f>
        <v>8.5732126770944213</v>
      </c>
      <c r="U270" s="295">
        <f>'BD Plant List'!$O272/12*'BD Feedstock'!U$3*'BD Plant List'!AC$5</f>
        <v>3.0347329175263269</v>
      </c>
    </row>
    <row r="271" spans="1:21" ht="18">
      <c r="A271" s="293">
        <v>47939</v>
      </c>
      <c r="B271" s="295">
        <f>'BD Plant List'!B273/12*'BD Plant List'!$AE$5*$B$3</f>
        <v>43.458333333333336</v>
      </c>
      <c r="C271" s="295">
        <f>'BD Plant List'!$C273/12*'BD Plant List'!$AB$5*'BD Feedstock'!$D$3</f>
        <v>2.098958333333333</v>
      </c>
      <c r="D271" s="295">
        <f>'BD Plant List'!$C273/12*'BD Plant List'!$AC$5*'BD Feedstock'!$D$3</f>
        <v>2.2289583333333334</v>
      </c>
      <c r="E271" s="295">
        <f>'BD Plant List'!$D273/12*'BD Plant List'!AB$5*'BD Feedstock'!$E$3</f>
        <v>9.6875</v>
      </c>
      <c r="F271" s="295">
        <f>'BD Plant List'!$D273/12*'BD Plant List'!AC$5*'BD Feedstock'!$F$3</f>
        <v>3.4291666666666671</v>
      </c>
      <c r="G271" s="295">
        <f>'BD Plant List'!$E273/12*'BD Feedstock'!G$3*'BD Plant List'!AB$5</f>
        <v>1.453125</v>
      </c>
      <c r="H271" s="295">
        <f>'BD Plant List'!$E273/12*'BD Feedstock'!H$3*'BD Plant List'!AC$5</f>
        <v>0.51437500000000003</v>
      </c>
      <c r="I271" s="295">
        <f>'BD Plant List'!F273/12*'BD Feedstock'!I$3*'BD Plant List'!AC$5</f>
        <v>0.13716666666666666</v>
      </c>
      <c r="J271" s="295">
        <f>'BD Plant List'!G273/12*'BD Feedstock'!J$3*'BD Plant List'!AD$5</f>
        <v>0.90199999999999991</v>
      </c>
      <c r="K271" s="295">
        <f>'BD Plant List'!$H273/12*'BD Feedstock'!K$3*'BD Plant List'!AB$5</f>
        <v>0</v>
      </c>
      <c r="L271" s="295">
        <f>'BD Plant List'!$H273/12*'BD Feedstock'!L$3*'BD Plant List'!AC$5</f>
        <v>0</v>
      </c>
      <c r="M271" s="295">
        <f>'BD Plant List'!$I273/12*'BD Feedstock'!$M$3*'BD Plant List'!AC$5</f>
        <v>3.4291666666666671</v>
      </c>
      <c r="N271" s="295">
        <f>'BD Plant List'!$J273/12*'BD Feedstock'!N$3*'BD Plant List'!AC$5</f>
        <v>0</v>
      </c>
      <c r="O271" s="295">
        <f>'BD Plant List'!$K273/12*'BD Feedstock'!O$3*'BD Plant List'!AC$5</f>
        <v>0</v>
      </c>
      <c r="P271" s="295">
        <f>'BD Plant List'!$L273/12*'BD Feedstock'!P$3*'BD Plant List'!AE$5</f>
        <v>0</v>
      </c>
      <c r="Q271" s="295">
        <f>'BD Plant List'!$M273/12*'BD Feedstock'!Q$3*'BD Plant List'!AE$5</f>
        <v>0.93125000000000002</v>
      </c>
      <c r="R271" s="295">
        <f>'BD Plant List'!$N273/12*'BD Feedstock'!R$3*'BD Plant List'!AE$5</f>
        <v>26.540625000000002</v>
      </c>
      <c r="S271" s="295">
        <f>'BD Plant List'!$N273/12*'BD Feedstock'!S$3*'BD Plant List'!AF$5</f>
        <v>1.40625</v>
      </c>
      <c r="T271" s="295">
        <f>'BD Plant List'!$O273/12*'BD Feedstock'!T$3*'BD Plant List'!AB$5</f>
        <v>8.5732126770944213</v>
      </c>
      <c r="U271" s="295">
        <f>'BD Plant List'!$O273/12*'BD Feedstock'!U$3*'BD Plant List'!AC$5</f>
        <v>3.0347329175263269</v>
      </c>
    </row>
    <row r="272" spans="1:21" ht="18">
      <c r="A272" s="293">
        <v>47969</v>
      </c>
      <c r="B272" s="295">
        <f>'BD Plant List'!B274/12*'BD Plant List'!$AE$5*$B$3</f>
        <v>43.458333333333336</v>
      </c>
      <c r="C272" s="295">
        <f>'BD Plant List'!$C274/12*'BD Plant List'!$AB$5*'BD Feedstock'!$D$3</f>
        <v>2.098958333333333</v>
      </c>
      <c r="D272" s="295">
        <f>'BD Plant List'!$C274/12*'BD Plant List'!$AC$5*'BD Feedstock'!$D$3</f>
        <v>2.2289583333333334</v>
      </c>
      <c r="E272" s="295">
        <f>'BD Plant List'!$D274/12*'BD Plant List'!AB$5*'BD Feedstock'!$E$3</f>
        <v>9.6875</v>
      </c>
      <c r="F272" s="295">
        <f>'BD Plant List'!$D274/12*'BD Plant List'!AC$5*'BD Feedstock'!$F$3</f>
        <v>3.4291666666666671</v>
      </c>
      <c r="G272" s="295">
        <f>'BD Plant List'!$E274/12*'BD Feedstock'!G$3*'BD Plant List'!AB$5</f>
        <v>1.453125</v>
      </c>
      <c r="H272" s="295">
        <f>'BD Plant List'!$E274/12*'BD Feedstock'!H$3*'BD Plant List'!AC$5</f>
        <v>0.51437500000000003</v>
      </c>
      <c r="I272" s="295">
        <f>'BD Plant List'!F274/12*'BD Feedstock'!I$3*'BD Plant List'!AC$5</f>
        <v>0.13716666666666666</v>
      </c>
      <c r="J272" s="295">
        <f>'BD Plant List'!G274/12*'BD Feedstock'!J$3*'BD Plant List'!AD$5</f>
        <v>0.90199999999999991</v>
      </c>
      <c r="K272" s="295">
        <f>'BD Plant List'!$H274/12*'BD Feedstock'!K$3*'BD Plant List'!AB$5</f>
        <v>0</v>
      </c>
      <c r="L272" s="295">
        <f>'BD Plant List'!$H274/12*'BD Feedstock'!L$3*'BD Plant List'!AC$5</f>
        <v>0</v>
      </c>
      <c r="M272" s="295">
        <f>'BD Plant List'!$I274/12*'BD Feedstock'!$M$3*'BD Plant List'!AC$5</f>
        <v>3.4291666666666671</v>
      </c>
      <c r="N272" s="295">
        <f>'BD Plant List'!$J274/12*'BD Feedstock'!N$3*'BD Plant List'!AC$5</f>
        <v>0</v>
      </c>
      <c r="O272" s="295">
        <f>'BD Plant List'!$K274/12*'BD Feedstock'!O$3*'BD Plant List'!AC$5</f>
        <v>0</v>
      </c>
      <c r="P272" s="295">
        <f>'BD Plant List'!$L274/12*'BD Feedstock'!P$3*'BD Plant List'!AE$5</f>
        <v>0</v>
      </c>
      <c r="Q272" s="295">
        <f>'BD Plant List'!$M274/12*'BD Feedstock'!Q$3*'BD Plant List'!AE$5</f>
        <v>0.93125000000000002</v>
      </c>
      <c r="R272" s="295">
        <f>'BD Plant List'!$N274/12*'BD Feedstock'!R$3*'BD Plant List'!AE$5</f>
        <v>26.540625000000002</v>
      </c>
      <c r="S272" s="295">
        <f>'BD Plant List'!$N274/12*'BD Feedstock'!S$3*'BD Plant List'!AF$5</f>
        <v>1.40625</v>
      </c>
      <c r="T272" s="295">
        <f>'BD Plant List'!$O274/12*'BD Feedstock'!T$3*'BD Plant List'!AB$5</f>
        <v>8.5732126770944213</v>
      </c>
      <c r="U272" s="295">
        <f>'BD Plant List'!$O274/12*'BD Feedstock'!U$3*'BD Plant List'!AC$5</f>
        <v>3.0347329175263269</v>
      </c>
    </row>
    <row r="273" spans="1:21" ht="18">
      <c r="A273" s="293">
        <v>48000</v>
      </c>
      <c r="B273" s="295">
        <f>'BD Plant List'!B275/12*'BD Plant List'!$AE$5*$B$3</f>
        <v>43.458333333333336</v>
      </c>
      <c r="C273" s="295">
        <f>'BD Plant List'!$C275/12*'BD Plant List'!$AB$5*'BD Feedstock'!$D$3</f>
        <v>2.098958333333333</v>
      </c>
      <c r="D273" s="295">
        <f>'BD Plant List'!$C275/12*'BD Plant List'!$AC$5*'BD Feedstock'!$D$3</f>
        <v>2.2289583333333334</v>
      </c>
      <c r="E273" s="295">
        <f>'BD Plant List'!$D275/12*'BD Plant List'!AB$5*'BD Feedstock'!$E$3</f>
        <v>9.6875</v>
      </c>
      <c r="F273" s="295">
        <f>'BD Plant List'!$D275/12*'BD Plant List'!AC$5*'BD Feedstock'!$F$3</f>
        <v>3.4291666666666671</v>
      </c>
      <c r="G273" s="295">
        <f>'BD Plant List'!$E275/12*'BD Feedstock'!G$3*'BD Plant List'!AB$5</f>
        <v>1.453125</v>
      </c>
      <c r="H273" s="295">
        <f>'BD Plant List'!$E275/12*'BD Feedstock'!H$3*'BD Plant List'!AC$5</f>
        <v>0.51437500000000003</v>
      </c>
      <c r="I273" s="295">
        <f>'BD Plant List'!F275/12*'BD Feedstock'!I$3*'BD Plant List'!AC$5</f>
        <v>0.13716666666666666</v>
      </c>
      <c r="J273" s="295">
        <f>'BD Plant List'!G275/12*'BD Feedstock'!J$3*'BD Plant List'!AD$5</f>
        <v>0.90199999999999991</v>
      </c>
      <c r="K273" s="295">
        <f>'BD Plant List'!$H275/12*'BD Feedstock'!K$3*'BD Plant List'!AB$5</f>
        <v>0</v>
      </c>
      <c r="L273" s="295">
        <f>'BD Plant List'!$H275/12*'BD Feedstock'!L$3*'BD Plant List'!AC$5</f>
        <v>0</v>
      </c>
      <c r="M273" s="295">
        <f>'BD Plant List'!$I275/12*'BD Feedstock'!$M$3*'BD Plant List'!AC$5</f>
        <v>3.4291666666666671</v>
      </c>
      <c r="N273" s="295">
        <f>'BD Plant List'!$J275/12*'BD Feedstock'!N$3*'BD Plant List'!AC$5</f>
        <v>0</v>
      </c>
      <c r="O273" s="295">
        <f>'BD Plant List'!$K275/12*'BD Feedstock'!O$3*'BD Plant List'!AC$5</f>
        <v>0</v>
      </c>
      <c r="P273" s="295">
        <f>'BD Plant List'!$L275/12*'BD Feedstock'!P$3*'BD Plant List'!AE$5</f>
        <v>0</v>
      </c>
      <c r="Q273" s="295">
        <f>'BD Plant List'!$M275/12*'BD Feedstock'!Q$3*'BD Plant List'!AE$5</f>
        <v>0.93125000000000002</v>
      </c>
      <c r="R273" s="295">
        <f>'BD Plant List'!$N275/12*'BD Feedstock'!R$3*'BD Plant List'!AE$5</f>
        <v>26.540625000000002</v>
      </c>
      <c r="S273" s="295">
        <f>'BD Plant List'!$N275/12*'BD Feedstock'!S$3*'BD Plant List'!AF$5</f>
        <v>1.40625</v>
      </c>
      <c r="T273" s="295">
        <f>'BD Plant List'!$O275/12*'BD Feedstock'!T$3*'BD Plant List'!AB$5</f>
        <v>8.5732126770944213</v>
      </c>
      <c r="U273" s="295">
        <f>'BD Plant List'!$O275/12*'BD Feedstock'!U$3*'BD Plant List'!AC$5</f>
        <v>3.0347329175263269</v>
      </c>
    </row>
    <row r="274" spans="1:21" ht="18">
      <c r="A274" s="293">
        <v>48030</v>
      </c>
      <c r="B274" s="295">
        <f>'BD Plant List'!B276/12*'BD Plant List'!$AE$5*$B$3</f>
        <v>43.458333333333336</v>
      </c>
      <c r="C274" s="295">
        <f>'BD Plant List'!$C276/12*'BD Plant List'!$AB$5*'BD Feedstock'!$D$3</f>
        <v>2.098958333333333</v>
      </c>
      <c r="D274" s="295">
        <f>'BD Plant List'!$C276/12*'BD Plant List'!$AC$5*'BD Feedstock'!$D$3</f>
        <v>2.2289583333333334</v>
      </c>
      <c r="E274" s="295">
        <f>'BD Plant List'!$D276/12*'BD Plant List'!AB$5*'BD Feedstock'!$E$3</f>
        <v>9.6875</v>
      </c>
      <c r="F274" s="295">
        <f>'BD Plant List'!$D276/12*'BD Plant List'!AC$5*'BD Feedstock'!$F$3</f>
        <v>3.4291666666666671</v>
      </c>
      <c r="G274" s="295">
        <f>'BD Plant List'!$E276/12*'BD Feedstock'!G$3*'BD Plant List'!AB$5</f>
        <v>1.453125</v>
      </c>
      <c r="H274" s="295">
        <f>'BD Plant List'!$E276/12*'BD Feedstock'!H$3*'BD Plant List'!AC$5</f>
        <v>0.51437500000000003</v>
      </c>
      <c r="I274" s="295">
        <f>'BD Plant List'!F276/12*'BD Feedstock'!I$3*'BD Plant List'!AC$5</f>
        <v>0.13716666666666666</v>
      </c>
      <c r="J274" s="295">
        <f>'BD Plant List'!G276/12*'BD Feedstock'!J$3*'BD Plant List'!AD$5</f>
        <v>0.90199999999999991</v>
      </c>
      <c r="K274" s="295">
        <f>'BD Plant List'!$H276/12*'BD Feedstock'!K$3*'BD Plant List'!AB$5</f>
        <v>0</v>
      </c>
      <c r="L274" s="295">
        <f>'BD Plant List'!$H276/12*'BD Feedstock'!L$3*'BD Plant List'!AC$5</f>
        <v>0</v>
      </c>
      <c r="M274" s="295">
        <f>'BD Plant List'!$I276/12*'BD Feedstock'!$M$3*'BD Plant List'!AC$5</f>
        <v>3.4291666666666671</v>
      </c>
      <c r="N274" s="295">
        <f>'BD Plant List'!$J276/12*'BD Feedstock'!N$3*'BD Plant List'!AC$5</f>
        <v>0</v>
      </c>
      <c r="O274" s="295">
        <f>'BD Plant List'!$K276/12*'BD Feedstock'!O$3*'BD Plant List'!AC$5</f>
        <v>0</v>
      </c>
      <c r="P274" s="295">
        <f>'BD Plant List'!$L276/12*'BD Feedstock'!P$3*'BD Plant List'!AE$5</f>
        <v>0</v>
      </c>
      <c r="Q274" s="295">
        <f>'BD Plant List'!$M276/12*'BD Feedstock'!Q$3*'BD Plant List'!AE$5</f>
        <v>0.93125000000000002</v>
      </c>
      <c r="R274" s="295">
        <f>'BD Plant List'!$N276/12*'BD Feedstock'!R$3*'BD Plant List'!AE$5</f>
        <v>26.540625000000002</v>
      </c>
      <c r="S274" s="295">
        <f>'BD Plant List'!$N276/12*'BD Feedstock'!S$3*'BD Plant List'!AF$5</f>
        <v>1.40625</v>
      </c>
      <c r="T274" s="295">
        <f>'BD Plant List'!$O276/12*'BD Feedstock'!T$3*'BD Plant List'!AB$5</f>
        <v>8.5732126770944213</v>
      </c>
      <c r="U274" s="295">
        <f>'BD Plant List'!$O276/12*'BD Feedstock'!U$3*'BD Plant List'!AC$5</f>
        <v>3.0347329175263269</v>
      </c>
    </row>
    <row r="275" spans="1:21" s="298" customFormat="1" ht="18">
      <c r="A275" s="296">
        <v>48061</v>
      </c>
      <c r="B275" s="297">
        <f>'BD Plant List'!B277/12*'BD Plant List'!$AE$5*$B$3</f>
        <v>43.458333333333336</v>
      </c>
      <c r="C275" s="297">
        <f>'BD Plant List'!$C277/12*'BD Plant List'!$AB$5*'BD Feedstock'!$D$3</f>
        <v>2.098958333333333</v>
      </c>
      <c r="D275" s="297">
        <f>'BD Plant List'!$C277/12*'BD Plant List'!$AC$5*'BD Feedstock'!$D$3</f>
        <v>2.2289583333333334</v>
      </c>
      <c r="E275" s="297">
        <f>'BD Plant List'!$D277/12*'BD Plant List'!AB$5*'BD Feedstock'!$E$3</f>
        <v>9.6875</v>
      </c>
      <c r="F275" s="297">
        <f>'BD Plant List'!$D277/12*'BD Plant List'!AC$5*'BD Feedstock'!$F$3</f>
        <v>3.4291666666666671</v>
      </c>
      <c r="G275" s="297">
        <f>'BD Plant List'!$E277/12*'BD Feedstock'!G$3*'BD Plant List'!AB$5</f>
        <v>1.453125</v>
      </c>
      <c r="H275" s="297">
        <f>'BD Plant List'!$E277/12*'BD Feedstock'!H$3*'BD Plant List'!AC$5</f>
        <v>0.51437500000000003</v>
      </c>
      <c r="I275" s="297">
        <f>'BD Plant List'!F277/12*'BD Feedstock'!I$3*'BD Plant List'!AC$5</f>
        <v>0.13716666666666666</v>
      </c>
      <c r="J275" s="297">
        <f>'BD Plant List'!G277/12*'BD Feedstock'!J$3*'BD Plant List'!AD$5</f>
        <v>0.90199999999999991</v>
      </c>
      <c r="K275" s="297">
        <f>'BD Plant List'!$H277/12*'BD Feedstock'!K$3*'BD Plant List'!AB$5</f>
        <v>0</v>
      </c>
      <c r="L275" s="297">
        <f>'BD Plant List'!$H277/12*'BD Feedstock'!L$3*'BD Plant List'!AC$5</f>
        <v>0</v>
      </c>
      <c r="M275" s="297">
        <f>'BD Plant List'!$I277/12*'BD Feedstock'!$M$3*'BD Plant List'!AC$5</f>
        <v>3.4291666666666671</v>
      </c>
      <c r="N275" s="297">
        <f>'BD Plant List'!$J277/12*'BD Feedstock'!N$3*'BD Plant List'!AC$5</f>
        <v>0</v>
      </c>
      <c r="O275" s="297">
        <f>'BD Plant List'!$K277/12*'BD Feedstock'!O$3*'BD Plant List'!AC$5</f>
        <v>0</v>
      </c>
      <c r="P275" s="297">
        <f>'BD Plant List'!$L277/12*'BD Feedstock'!P$3*'BD Plant List'!AE$5</f>
        <v>0</v>
      </c>
      <c r="Q275" s="297">
        <f>'BD Plant List'!$M277/12*'BD Feedstock'!Q$3*'BD Plant List'!AE$5</f>
        <v>0.93125000000000002</v>
      </c>
      <c r="R275" s="297">
        <f>'BD Plant List'!$N277/12*'BD Feedstock'!R$3*'BD Plant List'!AE$5</f>
        <v>26.540625000000002</v>
      </c>
      <c r="S275" s="297">
        <f>'BD Plant List'!$N277/12*'BD Feedstock'!S$3*'BD Plant List'!AF$5</f>
        <v>1.40625</v>
      </c>
      <c r="T275" s="297">
        <f>'BD Plant List'!$O277/12*'BD Feedstock'!T$3*'BD Plant List'!AB$5</f>
        <v>8.5732126770944213</v>
      </c>
      <c r="U275" s="297">
        <f>'BD Plant List'!$O277/12*'BD Feedstock'!U$3*'BD Plant List'!AC$5</f>
        <v>3.0347329175263269</v>
      </c>
    </row>
    <row r="276" spans="1:21" ht="18">
      <c r="A276" s="293">
        <v>48092</v>
      </c>
      <c r="B276" s="295">
        <f>'BD Plant List'!B278/12*'BD Plant List'!$AE$5*$B$3</f>
        <v>43.458333333333336</v>
      </c>
      <c r="C276" s="295">
        <f>'BD Plant List'!$C278/12*'BD Plant List'!$AB$5*'BD Feedstock'!$D$3</f>
        <v>2.098958333333333</v>
      </c>
      <c r="D276" s="295">
        <f>'BD Plant List'!$C278/12*'BD Plant List'!$AC$5*'BD Feedstock'!$D$3</f>
        <v>2.2289583333333334</v>
      </c>
      <c r="E276" s="295">
        <f>'BD Plant List'!$D278/12*'BD Plant List'!AB$5*'BD Feedstock'!$E$3</f>
        <v>9.6875</v>
      </c>
      <c r="F276" s="295">
        <f>'BD Plant List'!$D278/12*'BD Plant List'!AC$5*'BD Feedstock'!$F$3</f>
        <v>3.4291666666666671</v>
      </c>
      <c r="G276" s="295">
        <f>'BD Plant List'!$E278/12*'BD Feedstock'!G$3*'BD Plant List'!AB$5</f>
        <v>1.453125</v>
      </c>
      <c r="H276" s="295">
        <f>'BD Plant List'!$E278/12*'BD Feedstock'!H$3*'BD Plant List'!AC$5</f>
        <v>0.51437500000000003</v>
      </c>
      <c r="I276" s="295">
        <f>'BD Plant List'!F278/12*'BD Feedstock'!I$3*'BD Plant List'!AC$5</f>
        <v>0.13716666666666666</v>
      </c>
      <c r="J276" s="295">
        <f>'BD Plant List'!G278/12*'BD Feedstock'!J$3*'BD Plant List'!AD$5</f>
        <v>0.90199999999999991</v>
      </c>
      <c r="K276" s="295">
        <f>'BD Plant List'!$H278/12*'BD Feedstock'!K$3*'BD Plant List'!AB$5</f>
        <v>0</v>
      </c>
      <c r="L276" s="295">
        <f>'BD Plant List'!$H278/12*'BD Feedstock'!L$3*'BD Plant List'!AC$5</f>
        <v>0</v>
      </c>
      <c r="M276" s="295">
        <f>'BD Plant List'!$I278/12*'BD Feedstock'!$M$3*'BD Plant List'!AC$5</f>
        <v>3.4291666666666671</v>
      </c>
      <c r="N276" s="295">
        <f>'BD Plant List'!$J278/12*'BD Feedstock'!N$3*'BD Plant List'!AC$5</f>
        <v>0</v>
      </c>
      <c r="O276" s="295">
        <f>'BD Plant List'!$K278/12*'BD Feedstock'!O$3*'BD Plant List'!AC$5</f>
        <v>0</v>
      </c>
      <c r="P276" s="295">
        <f>'BD Plant List'!$L278/12*'BD Feedstock'!P$3*'BD Plant List'!AE$5</f>
        <v>0</v>
      </c>
      <c r="Q276" s="295">
        <f>'BD Plant List'!$M278/12*'BD Feedstock'!Q$3*'BD Plant List'!AE$5</f>
        <v>0.93125000000000002</v>
      </c>
      <c r="R276" s="295">
        <f>'BD Plant List'!$N278/12*'BD Feedstock'!R$3*'BD Plant List'!AE$5</f>
        <v>26.540625000000002</v>
      </c>
      <c r="S276" s="295">
        <f>'BD Plant List'!$N278/12*'BD Feedstock'!S$3*'BD Plant List'!AF$5</f>
        <v>1.40625</v>
      </c>
      <c r="T276" s="295">
        <f>'BD Plant List'!$O278/12*'BD Feedstock'!T$3*'BD Plant List'!AB$5</f>
        <v>8.5732126770944213</v>
      </c>
      <c r="U276" s="295">
        <f>'BD Plant List'!$O278/12*'BD Feedstock'!U$3*'BD Plant List'!AC$5</f>
        <v>3.0347329175263269</v>
      </c>
    </row>
    <row r="277" spans="1:21" ht="18">
      <c r="A277" s="293">
        <v>48122</v>
      </c>
      <c r="B277" s="295">
        <f>'BD Plant List'!B279/12*'BD Plant List'!$AE$5*$B$3</f>
        <v>43.458333333333336</v>
      </c>
      <c r="C277" s="295">
        <f>'BD Plant List'!$C279/12*'BD Plant List'!$AB$5*'BD Feedstock'!$D$3</f>
        <v>2.098958333333333</v>
      </c>
      <c r="D277" s="295">
        <f>'BD Plant List'!$C279/12*'BD Plant List'!$AC$5*'BD Feedstock'!$D$3</f>
        <v>2.2289583333333334</v>
      </c>
      <c r="E277" s="295">
        <f>'BD Plant List'!$D279/12*'BD Plant List'!AB$5*'BD Feedstock'!$E$3</f>
        <v>9.6875</v>
      </c>
      <c r="F277" s="295">
        <f>'BD Plant List'!$D279/12*'BD Plant List'!AC$5*'BD Feedstock'!$F$3</f>
        <v>3.4291666666666671</v>
      </c>
      <c r="G277" s="295">
        <f>'BD Plant List'!$E279/12*'BD Feedstock'!G$3*'BD Plant List'!AB$5</f>
        <v>1.453125</v>
      </c>
      <c r="H277" s="295">
        <f>'BD Plant List'!$E279/12*'BD Feedstock'!H$3*'BD Plant List'!AC$5</f>
        <v>0.51437500000000003</v>
      </c>
      <c r="I277" s="295">
        <f>'BD Plant List'!F279/12*'BD Feedstock'!I$3*'BD Plant List'!AC$5</f>
        <v>0.13716666666666666</v>
      </c>
      <c r="J277" s="295">
        <f>'BD Plant List'!G279/12*'BD Feedstock'!J$3*'BD Plant List'!AD$5</f>
        <v>0.90199999999999991</v>
      </c>
      <c r="K277" s="295">
        <f>'BD Plant List'!$H279/12*'BD Feedstock'!K$3*'BD Plant List'!AB$5</f>
        <v>0</v>
      </c>
      <c r="L277" s="295">
        <f>'BD Plant List'!$H279/12*'BD Feedstock'!L$3*'BD Plant List'!AC$5</f>
        <v>0</v>
      </c>
      <c r="M277" s="295">
        <f>'BD Plant List'!$I279/12*'BD Feedstock'!$M$3*'BD Plant List'!AC$5</f>
        <v>3.4291666666666671</v>
      </c>
      <c r="N277" s="295">
        <f>'BD Plant List'!$J279/12*'BD Feedstock'!N$3*'BD Plant List'!AC$5</f>
        <v>0</v>
      </c>
      <c r="O277" s="295">
        <f>'BD Plant List'!$K279/12*'BD Feedstock'!O$3*'BD Plant List'!AC$5</f>
        <v>0</v>
      </c>
      <c r="P277" s="295">
        <f>'BD Plant List'!$L279/12*'BD Feedstock'!P$3*'BD Plant List'!AE$5</f>
        <v>0</v>
      </c>
      <c r="Q277" s="295">
        <f>'BD Plant List'!$M279/12*'BD Feedstock'!Q$3*'BD Plant List'!AE$5</f>
        <v>0.93125000000000002</v>
      </c>
      <c r="R277" s="295">
        <f>'BD Plant List'!$N279/12*'BD Feedstock'!R$3*'BD Plant List'!AE$5</f>
        <v>26.540625000000002</v>
      </c>
      <c r="S277" s="295">
        <f>'BD Plant List'!$N279/12*'BD Feedstock'!S$3*'BD Plant List'!AF$5</f>
        <v>1.40625</v>
      </c>
      <c r="T277" s="295">
        <f>'BD Plant List'!$O279/12*'BD Feedstock'!T$3*'BD Plant List'!AB$5</f>
        <v>8.5732126770944213</v>
      </c>
      <c r="U277" s="295">
        <f>'BD Plant List'!$O279/12*'BD Feedstock'!U$3*'BD Plant List'!AC$5</f>
        <v>3.0347329175263269</v>
      </c>
    </row>
    <row r="278" spans="1:21" ht="18">
      <c r="A278" s="293">
        <v>48153</v>
      </c>
      <c r="B278" s="295">
        <f>'BD Plant List'!B280/12*'BD Plant List'!$AE$5*$B$3</f>
        <v>43.458333333333336</v>
      </c>
      <c r="C278" s="295">
        <f>'BD Plant List'!$C280/12*'BD Plant List'!$AB$5*'BD Feedstock'!$D$3</f>
        <v>2.098958333333333</v>
      </c>
      <c r="D278" s="295">
        <f>'BD Plant List'!$C280/12*'BD Plant List'!$AC$5*'BD Feedstock'!$D$3</f>
        <v>2.2289583333333334</v>
      </c>
      <c r="E278" s="295">
        <f>'BD Plant List'!$D280/12*'BD Plant List'!AB$5*'BD Feedstock'!$E$3</f>
        <v>9.6875</v>
      </c>
      <c r="F278" s="295">
        <f>'BD Plant List'!$D280/12*'BD Plant List'!AC$5*'BD Feedstock'!$F$3</f>
        <v>3.4291666666666671</v>
      </c>
      <c r="G278" s="295">
        <f>'BD Plant List'!$E280/12*'BD Feedstock'!G$3*'BD Plant List'!AB$5</f>
        <v>1.453125</v>
      </c>
      <c r="H278" s="295">
        <f>'BD Plant List'!$E280/12*'BD Feedstock'!H$3*'BD Plant List'!AC$5</f>
        <v>0.51437500000000003</v>
      </c>
      <c r="I278" s="295">
        <f>'BD Plant List'!F280/12*'BD Feedstock'!I$3*'BD Plant List'!AC$5</f>
        <v>0.13716666666666666</v>
      </c>
      <c r="J278" s="295">
        <f>'BD Plant List'!G280/12*'BD Feedstock'!J$3*'BD Plant List'!AD$5</f>
        <v>0.90199999999999991</v>
      </c>
      <c r="K278" s="295">
        <f>'BD Plant List'!$H280/12*'BD Feedstock'!K$3*'BD Plant List'!AB$5</f>
        <v>0</v>
      </c>
      <c r="L278" s="295">
        <f>'BD Plant List'!$H280/12*'BD Feedstock'!L$3*'BD Plant List'!AC$5</f>
        <v>0</v>
      </c>
      <c r="M278" s="295">
        <f>'BD Plant List'!$I280/12*'BD Feedstock'!$M$3*'BD Plant List'!AC$5</f>
        <v>3.4291666666666671</v>
      </c>
      <c r="N278" s="295">
        <f>'BD Plant List'!$J280/12*'BD Feedstock'!N$3*'BD Plant List'!AC$5</f>
        <v>0</v>
      </c>
      <c r="O278" s="295">
        <f>'BD Plant List'!$K280/12*'BD Feedstock'!O$3*'BD Plant List'!AC$5</f>
        <v>0</v>
      </c>
      <c r="P278" s="295">
        <f>'BD Plant List'!$L280/12*'BD Feedstock'!P$3*'BD Plant List'!AE$5</f>
        <v>0</v>
      </c>
      <c r="Q278" s="295">
        <f>'BD Plant List'!$M280/12*'BD Feedstock'!Q$3*'BD Plant List'!AE$5</f>
        <v>0.93125000000000002</v>
      </c>
      <c r="R278" s="295">
        <f>'BD Plant List'!$N280/12*'BD Feedstock'!R$3*'BD Plant List'!AE$5</f>
        <v>26.540625000000002</v>
      </c>
      <c r="S278" s="295">
        <f>'BD Plant List'!$N280/12*'BD Feedstock'!S$3*'BD Plant List'!AF$5</f>
        <v>1.40625</v>
      </c>
      <c r="T278" s="295">
        <f>'BD Plant List'!$O280/12*'BD Feedstock'!T$3*'BD Plant List'!AB$5</f>
        <v>8.5732126770944213</v>
      </c>
      <c r="U278" s="295">
        <f>'BD Plant List'!$O280/12*'BD Feedstock'!U$3*'BD Plant List'!AC$5</f>
        <v>3.0347329175263269</v>
      </c>
    </row>
    <row r="279" spans="1:21" ht="18">
      <c r="A279" s="293">
        <v>48183</v>
      </c>
      <c r="B279" s="295">
        <f>'BD Plant List'!B281/12*'BD Plant List'!$AE$5*$B$3</f>
        <v>43.458333333333336</v>
      </c>
      <c r="C279" s="295">
        <f>'BD Plant List'!$C281/12*'BD Plant List'!$AB$5*'BD Feedstock'!$D$3</f>
        <v>2.098958333333333</v>
      </c>
      <c r="D279" s="295">
        <f>'BD Plant List'!$C281/12*'BD Plant List'!$AC$5*'BD Feedstock'!$D$3</f>
        <v>2.2289583333333334</v>
      </c>
      <c r="E279" s="295">
        <f>'BD Plant List'!$D281/12*'BD Plant List'!AB$5*'BD Feedstock'!$E$3</f>
        <v>9.6875</v>
      </c>
      <c r="F279" s="295">
        <f>'BD Plant List'!$D281/12*'BD Plant List'!AC$5*'BD Feedstock'!$F$3</f>
        <v>3.4291666666666671</v>
      </c>
      <c r="G279" s="295">
        <f>'BD Plant List'!$E281/12*'BD Feedstock'!G$3*'BD Plant List'!AB$5</f>
        <v>1.453125</v>
      </c>
      <c r="H279" s="295">
        <f>'BD Plant List'!$E281/12*'BD Feedstock'!H$3*'BD Plant List'!AC$5</f>
        <v>0.51437500000000003</v>
      </c>
      <c r="I279" s="295">
        <f>'BD Plant List'!F281/12*'BD Feedstock'!I$3*'BD Plant List'!AC$5</f>
        <v>0.13716666666666666</v>
      </c>
      <c r="J279" s="295">
        <f>'BD Plant List'!G281/12*'BD Feedstock'!J$3*'BD Plant List'!AD$5</f>
        <v>0.90199999999999991</v>
      </c>
      <c r="K279" s="295">
        <f>'BD Plant List'!$H281/12*'BD Feedstock'!K$3*'BD Plant List'!AB$5</f>
        <v>0</v>
      </c>
      <c r="L279" s="295">
        <f>'BD Plant List'!$H281/12*'BD Feedstock'!L$3*'BD Plant List'!AC$5</f>
        <v>0</v>
      </c>
      <c r="M279" s="295">
        <f>'BD Plant List'!$I281/12*'BD Feedstock'!$M$3*'BD Plant List'!AC$5</f>
        <v>3.4291666666666671</v>
      </c>
      <c r="N279" s="295">
        <f>'BD Plant List'!$J281/12*'BD Feedstock'!N$3*'BD Plant List'!AC$5</f>
        <v>0</v>
      </c>
      <c r="O279" s="295">
        <f>'BD Plant List'!$K281/12*'BD Feedstock'!O$3*'BD Plant List'!AC$5</f>
        <v>0</v>
      </c>
      <c r="P279" s="295">
        <f>'BD Plant List'!$L281/12*'BD Feedstock'!P$3*'BD Plant List'!AE$5</f>
        <v>0</v>
      </c>
      <c r="Q279" s="295">
        <f>'BD Plant List'!$M281/12*'BD Feedstock'!Q$3*'BD Plant List'!AE$5</f>
        <v>0.93125000000000002</v>
      </c>
      <c r="R279" s="295">
        <f>'BD Plant List'!$N281/12*'BD Feedstock'!R$3*'BD Plant List'!AE$5</f>
        <v>26.540625000000002</v>
      </c>
      <c r="S279" s="295">
        <f>'BD Plant List'!$N281/12*'BD Feedstock'!S$3*'BD Plant List'!AF$5</f>
        <v>1.40625</v>
      </c>
      <c r="T279" s="295">
        <f>'BD Plant List'!$O281/12*'BD Feedstock'!T$3*'BD Plant List'!AB$5</f>
        <v>8.5732126770944213</v>
      </c>
      <c r="U279" s="295">
        <f>'BD Plant List'!$O281/12*'BD Feedstock'!U$3*'BD Plant List'!AC$5</f>
        <v>3.0347329175263269</v>
      </c>
    </row>
    <row r="280" spans="1:21" ht="18">
      <c r="A280" s="293">
        <v>48214</v>
      </c>
      <c r="B280" s="295">
        <f>'BD Plant List'!B282/12*'BD Plant List'!$AE$5*$B$3</f>
        <v>43.458333333333336</v>
      </c>
      <c r="C280" s="295">
        <f>'BD Plant List'!$C282/12*'BD Plant List'!$AB$5*'BD Feedstock'!$D$3</f>
        <v>2.098958333333333</v>
      </c>
      <c r="D280" s="295">
        <f>'BD Plant List'!$C282/12*'BD Plant List'!$AC$5*'BD Feedstock'!$D$3</f>
        <v>2.2289583333333334</v>
      </c>
      <c r="E280" s="295">
        <f>'BD Plant List'!$D282/12*'BD Plant List'!AB$5*'BD Feedstock'!$E$3</f>
        <v>9.6875</v>
      </c>
      <c r="F280" s="295">
        <f>'BD Plant List'!$D282/12*'BD Plant List'!AC$5*'BD Feedstock'!$F$3</f>
        <v>3.4291666666666671</v>
      </c>
      <c r="G280" s="295">
        <f>'BD Plant List'!$E282/12*'BD Feedstock'!G$3*'BD Plant List'!AB$5</f>
        <v>1.453125</v>
      </c>
      <c r="H280" s="295">
        <f>'BD Plant List'!$E282/12*'BD Feedstock'!H$3*'BD Plant List'!AC$5</f>
        <v>0.51437500000000003</v>
      </c>
      <c r="I280" s="295">
        <f>'BD Plant List'!F282/12*'BD Feedstock'!I$3*'BD Plant List'!AC$5</f>
        <v>0.13716666666666666</v>
      </c>
      <c r="J280" s="295">
        <f>'BD Plant List'!G282/12*'BD Feedstock'!J$3*'BD Plant List'!AD$5</f>
        <v>0.90199999999999991</v>
      </c>
      <c r="K280" s="295">
        <f>'BD Plant List'!$H282/12*'BD Feedstock'!K$3*'BD Plant List'!AB$5</f>
        <v>0</v>
      </c>
      <c r="L280" s="295">
        <f>'BD Plant List'!$H282/12*'BD Feedstock'!L$3*'BD Plant List'!AC$5</f>
        <v>0</v>
      </c>
      <c r="M280" s="295">
        <f>'BD Plant List'!$I282/12*'BD Feedstock'!$M$3*'BD Plant List'!AC$5</f>
        <v>3.4291666666666671</v>
      </c>
      <c r="N280" s="295">
        <f>'BD Plant List'!$J282/12*'BD Feedstock'!N$3*'BD Plant List'!AC$5</f>
        <v>0</v>
      </c>
      <c r="O280" s="295">
        <f>'BD Plant List'!$K282/12*'BD Feedstock'!O$3*'BD Plant List'!AC$5</f>
        <v>0</v>
      </c>
      <c r="P280" s="295">
        <f>'BD Plant List'!$L282/12*'BD Feedstock'!P$3*'BD Plant List'!AE$5</f>
        <v>0</v>
      </c>
      <c r="Q280" s="295">
        <f>'BD Plant List'!$M282/12*'BD Feedstock'!Q$3*'BD Plant List'!AE$5</f>
        <v>0.93125000000000002</v>
      </c>
      <c r="R280" s="295">
        <f>'BD Plant List'!$N282/12*'BD Feedstock'!R$3*'BD Plant List'!AE$5</f>
        <v>26.540625000000002</v>
      </c>
      <c r="S280" s="295">
        <f>'BD Plant List'!$N282/12*'BD Feedstock'!S$3*'BD Plant List'!AF$5</f>
        <v>1.40625</v>
      </c>
      <c r="T280" s="295">
        <f>'BD Plant List'!$O282/12*'BD Feedstock'!T$3*'BD Plant List'!AB$5</f>
        <v>8.5732126770944213</v>
      </c>
      <c r="U280" s="295">
        <f>'BD Plant List'!$O282/12*'BD Feedstock'!U$3*'BD Plant List'!AC$5</f>
        <v>3.0347329175263269</v>
      </c>
    </row>
    <row r="281" spans="1:21" ht="18">
      <c r="A281" s="293">
        <v>48245</v>
      </c>
      <c r="B281" s="295">
        <f>'BD Plant List'!B283/12*'BD Plant List'!$AE$5*$B$3</f>
        <v>43.458333333333336</v>
      </c>
      <c r="C281" s="295">
        <f>'BD Plant List'!$C283/12*'BD Plant List'!$AB$5*'BD Feedstock'!$D$3</f>
        <v>2.098958333333333</v>
      </c>
      <c r="D281" s="295">
        <f>'BD Plant List'!$C283/12*'BD Plant List'!$AC$5*'BD Feedstock'!$D$3</f>
        <v>2.2289583333333334</v>
      </c>
      <c r="E281" s="295">
        <f>'BD Plant List'!$D283/12*'BD Plant List'!AB$5*'BD Feedstock'!$E$3</f>
        <v>9.6875</v>
      </c>
      <c r="F281" s="295">
        <f>'BD Plant List'!$D283/12*'BD Plant List'!AC$5*'BD Feedstock'!$F$3</f>
        <v>3.4291666666666671</v>
      </c>
      <c r="G281" s="295">
        <f>'BD Plant List'!$E283/12*'BD Feedstock'!G$3*'BD Plant List'!AB$5</f>
        <v>1.453125</v>
      </c>
      <c r="H281" s="295">
        <f>'BD Plant List'!$E283/12*'BD Feedstock'!H$3*'BD Plant List'!AC$5</f>
        <v>0.51437500000000003</v>
      </c>
      <c r="I281" s="295">
        <f>'BD Plant List'!F283/12*'BD Feedstock'!I$3*'BD Plant List'!AC$5</f>
        <v>0.13716666666666666</v>
      </c>
      <c r="J281" s="295">
        <f>'BD Plant List'!G283/12*'BD Feedstock'!J$3*'BD Plant List'!AD$5</f>
        <v>0.90199999999999991</v>
      </c>
      <c r="K281" s="295">
        <f>'BD Plant List'!$H283/12*'BD Feedstock'!K$3*'BD Plant List'!AB$5</f>
        <v>0</v>
      </c>
      <c r="L281" s="295">
        <f>'BD Plant List'!$H283/12*'BD Feedstock'!L$3*'BD Plant List'!AC$5</f>
        <v>0</v>
      </c>
      <c r="M281" s="295">
        <f>'BD Plant List'!$I283/12*'BD Feedstock'!$M$3*'BD Plant List'!AC$5</f>
        <v>3.4291666666666671</v>
      </c>
      <c r="N281" s="295">
        <f>'BD Plant List'!$J283/12*'BD Feedstock'!N$3*'BD Plant List'!AC$5</f>
        <v>0</v>
      </c>
      <c r="O281" s="295">
        <f>'BD Plant List'!$K283/12*'BD Feedstock'!O$3*'BD Plant List'!AC$5</f>
        <v>0</v>
      </c>
      <c r="P281" s="295">
        <f>'BD Plant List'!$L283/12*'BD Feedstock'!P$3*'BD Plant List'!AE$5</f>
        <v>0</v>
      </c>
      <c r="Q281" s="295">
        <f>'BD Plant List'!$M283/12*'BD Feedstock'!Q$3*'BD Plant List'!AE$5</f>
        <v>0.93125000000000002</v>
      </c>
      <c r="R281" s="295">
        <f>'BD Plant List'!$N283/12*'BD Feedstock'!R$3*'BD Plant List'!AE$5</f>
        <v>26.540625000000002</v>
      </c>
      <c r="S281" s="295">
        <f>'BD Plant List'!$N283/12*'BD Feedstock'!S$3*'BD Plant List'!AF$5</f>
        <v>1.40625</v>
      </c>
      <c r="T281" s="295">
        <f>'BD Plant List'!$O283/12*'BD Feedstock'!T$3*'BD Plant List'!AB$5</f>
        <v>8.5732126770944213</v>
      </c>
      <c r="U281" s="295">
        <f>'BD Plant List'!$O283/12*'BD Feedstock'!U$3*'BD Plant List'!AC$5</f>
        <v>3.0347329175263269</v>
      </c>
    </row>
    <row r="282" spans="1:21" ht="18">
      <c r="A282" s="293">
        <v>48274</v>
      </c>
      <c r="B282" s="295">
        <f>'BD Plant List'!B284/12*'BD Plant List'!$AE$5*$B$3</f>
        <v>43.458333333333336</v>
      </c>
      <c r="C282" s="295">
        <f>'BD Plant List'!$C284/12*'BD Plant List'!$AB$5*'BD Feedstock'!$D$3</f>
        <v>2.098958333333333</v>
      </c>
      <c r="D282" s="295">
        <f>'BD Plant List'!$C284/12*'BD Plant List'!$AC$5*'BD Feedstock'!$D$3</f>
        <v>2.2289583333333334</v>
      </c>
      <c r="E282" s="295">
        <f>'BD Plant List'!$D284/12*'BD Plant List'!AB$5*'BD Feedstock'!$E$3</f>
        <v>9.6875</v>
      </c>
      <c r="F282" s="295">
        <f>'BD Plant List'!$D284/12*'BD Plant List'!AC$5*'BD Feedstock'!$F$3</f>
        <v>3.4291666666666671</v>
      </c>
      <c r="G282" s="295">
        <f>'BD Plant List'!$E284/12*'BD Feedstock'!G$3*'BD Plant List'!AB$5</f>
        <v>1.453125</v>
      </c>
      <c r="H282" s="295">
        <f>'BD Plant List'!$E284/12*'BD Feedstock'!H$3*'BD Plant List'!AC$5</f>
        <v>0.51437500000000003</v>
      </c>
      <c r="I282" s="295">
        <f>'BD Plant List'!F284/12*'BD Feedstock'!I$3*'BD Plant List'!AC$5</f>
        <v>0.13716666666666666</v>
      </c>
      <c r="J282" s="295">
        <f>'BD Plant List'!G284/12*'BD Feedstock'!J$3*'BD Plant List'!AD$5</f>
        <v>0.90199999999999991</v>
      </c>
      <c r="K282" s="295">
        <f>'BD Plant List'!$H284/12*'BD Feedstock'!K$3*'BD Plant List'!AB$5</f>
        <v>0</v>
      </c>
      <c r="L282" s="295">
        <f>'BD Plant List'!$H284/12*'BD Feedstock'!L$3*'BD Plant List'!AC$5</f>
        <v>0</v>
      </c>
      <c r="M282" s="295">
        <f>'BD Plant List'!$I284/12*'BD Feedstock'!$M$3*'BD Plant List'!AC$5</f>
        <v>3.4291666666666671</v>
      </c>
      <c r="N282" s="295">
        <f>'BD Plant List'!$J284/12*'BD Feedstock'!N$3*'BD Plant List'!AC$5</f>
        <v>0</v>
      </c>
      <c r="O282" s="295">
        <f>'BD Plant List'!$K284/12*'BD Feedstock'!O$3*'BD Plant List'!AC$5</f>
        <v>0</v>
      </c>
      <c r="P282" s="295">
        <f>'BD Plant List'!$L284/12*'BD Feedstock'!P$3*'BD Plant List'!AE$5</f>
        <v>0</v>
      </c>
      <c r="Q282" s="295">
        <f>'BD Plant List'!$M284/12*'BD Feedstock'!Q$3*'BD Plant List'!AE$5</f>
        <v>0.93125000000000002</v>
      </c>
      <c r="R282" s="295">
        <f>'BD Plant List'!$N284/12*'BD Feedstock'!R$3*'BD Plant List'!AE$5</f>
        <v>26.540625000000002</v>
      </c>
      <c r="S282" s="295">
        <f>'BD Plant List'!$N284/12*'BD Feedstock'!S$3*'BD Plant List'!AF$5</f>
        <v>1.40625</v>
      </c>
      <c r="T282" s="295">
        <f>'BD Plant List'!$O284/12*'BD Feedstock'!T$3*'BD Plant List'!AB$5</f>
        <v>8.5732126770944213</v>
      </c>
      <c r="U282" s="295">
        <f>'BD Plant List'!$O284/12*'BD Feedstock'!U$3*'BD Plant List'!AC$5</f>
        <v>3.0347329175263269</v>
      </c>
    </row>
    <row r="283" spans="1:21" ht="18">
      <c r="A283" s="293">
        <v>48305</v>
      </c>
      <c r="B283" s="295">
        <f>'BD Plant List'!B285/12*'BD Plant List'!$AE$5*$B$3</f>
        <v>43.458333333333336</v>
      </c>
      <c r="C283" s="295">
        <f>'BD Plant List'!$C285/12*'BD Plant List'!$AB$5*'BD Feedstock'!$D$3</f>
        <v>2.098958333333333</v>
      </c>
      <c r="D283" s="295">
        <f>'BD Plant List'!$C285/12*'BD Plant List'!$AC$5*'BD Feedstock'!$D$3</f>
        <v>2.2289583333333334</v>
      </c>
      <c r="E283" s="295">
        <f>'BD Plant List'!$D285/12*'BD Plant List'!AB$5*'BD Feedstock'!$E$3</f>
        <v>9.6875</v>
      </c>
      <c r="F283" s="295">
        <f>'BD Plant List'!$D285/12*'BD Plant List'!AC$5*'BD Feedstock'!$F$3</f>
        <v>3.4291666666666671</v>
      </c>
      <c r="G283" s="295">
        <f>'BD Plant List'!$E285/12*'BD Feedstock'!G$3*'BD Plant List'!AB$5</f>
        <v>1.453125</v>
      </c>
      <c r="H283" s="295">
        <f>'BD Plant List'!$E285/12*'BD Feedstock'!H$3*'BD Plant List'!AC$5</f>
        <v>0.51437500000000003</v>
      </c>
      <c r="I283" s="295">
        <f>'BD Plant List'!F285/12*'BD Feedstock'!I$3*'BD Plant List'!AC$5</f>
        <v>0.13716666666666666</v>
      </c>
      <c r="J283" s="295">
        <f>'BD Plant List'!G285/12*'BD Feedstock'!J$3*'BD Plant List'!AD$5</f>
        <v>0.90199999999999991</v>
      </c>
      <c r="K283" s="295">
        <f>'BD Plant List'!$H285/12*'BD Feedstock'!K$3*'BD Plant List'!AB$5</f>
        <v>0</v>
      </c>
      <c r="L283" s="295">
        <f>'BD Plant List'!$H285/12*'BD Feedstock'!L$3*'BD Plant List'!AC$5</f>
        <v>0</v>
      </c>
      <c r="M283" s="295">
        <f>'BD Plant List'!$I285/12*'BD Feedstock'!$M$3*'BD Plant List'!AC$5</f>
        <v>3.4291666666666671</v>
      </c>
      <c r="N283" s="295">
        <f>'BD Plant List'!$J285/12*'BD Feedstock'!N$3*'BD Plant List'!AC$5</f>
        <v>0</v>
      </c>
      <c r="O283" s="295">
        <f>'BD Plant List'!$K285/12*'BD Feedstock'!O$3*'BD Plant List'!AC$5</f>
        <v>0</v>
      </c>
      <c r="P283" s="295">
        <f>'BD Plant List'!$L285/12*'BD Feedstock'!P$3*'BD Plant List'!AE$5</f>
        <v>0</v>
      </c>
      <c r="Q283" s="295">
        <f>'BD Plant List'!$M285/12*'BD Feedstock'!Q$3*'BD Plant List'!AE$5</f>
        <v>0.93125000000000002</v>
      </c>
      <c r="R283" s="295">
        <f>'BD Plant List'!$N285/12*'BD Feedstock'!R$3*'BD Plant List'!AE$5</f>
        <v>26.540625000000002</v>
      </c>
      <c r="S283" s="295">
        <f>'BD Plant List'!$N285/12*'BD Feedstock'!S$3*'BD Plant List'!AF$5</f>
        <v>1.40625</v>
      </c>
      <c r="T283" s="295">
        <f>'BD Plant List'!$O285/12*'BD Feedstock'!T$3*'BD Plant List'!AB$5</f>
        <v>8.5732126770944213</v>
      </c>
      <c r="U283" s="295">
        <f>'BD Plant List'!$O285/12*'BD Feedstock'!U$3*'BD Plant List'!AC$5</f>
        <v>3.0347329175263269</v>
      </c>
    </row>
    <row r="284" spans="1:21" ht="18">
      <c r="A284" s="293">
        <v>48335</v>
      </c>
      <c r="B284" s="295">
        <f>'BD Plant List'!B286/12*'BD Plant List'!$AE$5*$B$3</f>
        <v>43.458333333333336</v>
      </c>
      <c r="C284" s="295">
        <f>'BD Plant List'!$C286/12*'BD Plant List'!$AB$5*'BD Feedstock'!$D$3</f>
        <v>2.098958333333333</v>
      </c>
      <c r="D284" s="295">
        <f>'BD Plant List'!$C286/12*'BD Plant List'!$AC$5*'BD Feedstock'!$D$3</f>
        <v>2.2289583333333334</v>
      </c>
      <c r="E284" s="295">
        <f>'BD Plant List'!$D286/12*'BD Plant List'!AB$5*'BD Feedstock'!$E$3</f>
        <v>9.6875</v>
      </c>
      <c r="F284" s="295">
        <f>'BD Plant List'!$D286/12*'BD Plant List'!AC$5*'BD Feedstock'!$F$3</f>
        <v>3.4291666666666671</v>
      </c>
      <c r="G284" s="295">
        <f>'BD Plant List'!$E286/12*'BD Feedstock'!G$3*'BD Plant List'!AB$5</f>
        <v>1.453125</v>
      </c>
      <c r="H284" s="295">
        <f>'BD Plant List'!$E286/12*'BD Feedstock'!H$3*'BD Plant List'!AC$5</f>
        <v>0.51437500000000003</v>
      </c>
      <c r="I284" s="295">
        <f>'BD Plant List'!F286/12*'BD Feedstock'!I$3*'BD Plant List'!AC$5</f>
        <v>0.13716666666666666</v>
      </c>
      <c r="J284" s="295">
        <f>'BD Plant List'!G286/12*'BD Feedstock'!J$3*'BD Plant List'!AD$5</f>
        <v>0.90199999999999991</v>
      </c>
      <c r="K284" s="295">
        <f>'BD Plant List'!$H286/12*'BD Feedstock'!K$3*'BD Plant List'!AB$5</f>
        <v>0</v>
      </c>
      <c r="L284" s="295">
        <f>'BD Plant List'!$H286/12*'BD Feedstock'!L$3*'BD Plant List'!AC$5</f>
        <v>0</v>
      </c>
      <c r="M284" s="295">
        <f>'BD Plant List'!$I286/12*'BD Feedstock'!$M$3*'BD Plant List'!AC$5</f>
        <v>3.4291666666666671</v>
      </c>
      <c r="N284" s="295">
        <f>'BD Plant List'!$J286/12*'BD Feedstock'!N$3*'BD Plant List'!AC$5</f>
        <v>0</v>
      </c>
      <c r="O284" s="295">
        <f>'BD Plant List'!$K286/12*'BD Feedstock'!O$3*'BD Plant List'!AC$5</f>
        <v>0</v>
      </c>
      <c r="P284" s="295">
        <f>'BD Plant List'!$L286/12*'BD Feedstock'!P$3*'BD Plant List'!AE$5</f>
        <v>0</v>
      </c>
      <c r="Q284" s="295">
        <f>'BD Plant List'!$M286/12*'BD Feedstock'!Q$3*'BD Plant List'!AE$5</f>
        <v>0.93125000000000002</v>
      </c>
      <c r="R284" s="295">
        <f>'BD Plant List'!$N286/12*'BD Feedstock'!R$3*'BD Plant List'!AE$5</f>
        <v>26.540625000000002</v>
      </c>
      <c r="S284" s="295">
        <f>'BD Plant List'!$N286/12*'BD Feedstock'!S$3*'BD Plant List'!AF$5</f>
        <v>1.40625</v>
      </c>
      <c r="T284" s="295">
        <f>'BD Plant List'!$O286/12*'BD Feedstock'!T$3*'BD Plant List'!AB$5</f>
        <v>8.5732126770944213</v>
      </c>
      <c r="U284" s="295">
        <f>'BD Plant List'!$O286/12*'BD Feedstock'!U$3*'BD Plant List'!AC$5</f>
        <v>3.0347329175263269</v>
      </c>
    </row>
    <row r="285" spans="1:21" ht="18">
      <c r="A285" s="293">
        <v>48366</v>
      </c>
      <c r="B285" s="295">
        <f>'BD Plant List'!B287/12*'BD Plant List'!$AE$5*$B$3</f>
        <v>43.458333333333336</v>
      </c>
      <c r="C285" s="295">
        <f>'BD Plant List'!$C287/12*'BD Plant List'!$AB$5*'BD Feedstock'!$D$3</f>
        <v>2.098958333333333</v>
      </c>
      <c r="D285" s="295">
        <f>'BD Plant List'!$C287/12*'BD Plant List'!$AC$5*'BD Feedstock'!$D$3</f>
        <v>2.2289583333333334</v>
      </c>
      <c r="E285" s="295">
        <f>'BD Plant List'!$D287/12*'BD Plant List'!AB$5*'BD Feedstock'!$E$3</f>
        <v>9.6875</v>
      </c>
      <c r="F285" s="295">
        <f>'BD Plant List'!$D287/12*'BD Plant List'!AC$5*'BD Feedstock'!$F$3</f>
        <v>3.4291666666666671</v>
      </c>
      <c r="G285" s="295">
        <f>'BD Plant List'!$E287/12*'BD Feedstock'!G$3*'BD Plant List'!AB$5</f>
        <v>1.453125</v>
      </c>
      <c r="H285" s="295">
        <f>'BD Plant List'!$E287/12*'BD Feedstock'!H$3*'BD Plant List'!AC$5</f>
        <v>0.51437500000000003</v>
      </c>
      <c r="I285" s="295">
        <f>'BD Plant List'!F287/12*'BD Feedstock'!I$3*'BD Plant List'!AC$5</f>
        <v>0.13716666666666666</v>
      </c>
      <c r="J285" s="295">
        <f>'BD Plant List'!G287/12*'BD Feedstock'!J$3*'BD Plant List'!AD$5</f>
        <v>0.90199999999999991</v>
      </c>
      <c r="K285" s="295">
        <f>'BD Plant List'!$H287/12*'BD Feedstock'!K$3*'BD Plant List'!AB$5</f>
        <v>0</v>
      </c>
      <c r="L285" s="295">
        <f>'BD Plant List'!$H287/12*'BD Feedstock'!L$3*'BD Plant List'!AC$5</f>
        <v>0</v>
      </c>
      <c r="M285" s="295">
        <f>'BD Plant List'!$I287/12*'BD Feedstock'!$M$3*'BD Plant List'!AC$5</f>
        <v>3.4291666666666671</v>
      </c>
      <c r="N285" s="295">
        <f>'BD Plant List'!$J287/12*'BD Feedstock'!N$3*'BD Plant List'!AC$5</f>
        <v>0</v>
      </c>
      <c r="O285" s="295">
        <f>'BD Plant List'!$K287/12*'BD Feedstock'!O$3*'BD Plant List'!AC$5</f>
        <v>0</v>
      </c>
      <c r="P285" s="295">
        <f>'BD Plant List'!$L287/12*'BD Feedstock'!P$3*'BD Plant List'!AE$5</f>
        <v>0</v>
      </c>
      <c r="Q285" s="295">
        <f>'BD Plant List'!$M287/12*'BD Feedstock'!Q$3*'BD Plant List'!AE$5</f>
        <v>0.93125000000000002</v>
      </c>
      <c r="R285" s="295">
        <f>'BD Plant List'!$N287/12*'BD Feedstock'!R$3*'BD Plant List'!AE$5</f>
        <v>26.540625000000002</v>
      </c>
      <c r="S285" s="295">
        <f>'BD Plant List'!$N287/12*'BD Feedstock'!S$3*'BD Plant List'!AF$5</f>
        <v>1.40625</v>
      </c>
      <c r="T285" s="295">
        <f>'BD Plant List'!$O287/12*'BD Feedstock'!T$3*'BD Plant List'!AB$5</f>
        <v>8.5732126770944213</v>
      </c>
      <c r="U285" s="295">
        <f>'BD Plant List'!$O287/12*'BD Feedstock'!U$3*'BD Plant List'!AC$5</f>
        <v>3.0347329175263269</v>
      </c>
    </row>
    <row r="286" spans="1:21" ht="18">
      <c r="A286" s="293">
        <v>48396</v>
      </c>
      <c r="B286" s="295">
        <f>'BD Plant List'!B288/12*'BD Plant List'!$AE$5*$B$3</f>
        <v>43.458333333333336</v>
      </c>
      <c r="C286" s="295">
        <f>'BD Plant List'!$C288/12*'BD Plant List'!$AB$5*'BD Feedstock'!$D$3</f>
        <v>2.098958333333333</v>
      </c>
      <c r="D286" s="295">
        <f>'BD Plant List'!$C288/12*'BD Plant List'!$AC$5*'BD Feedstock'!$D$3</f>
        <v>2.2289583333333334</v>
      </c>
      <c r="E286" s="295">
        <f>'BD Plant List'!$D288/12*'BD Plant List'!AB$5*'BD Feedstock'!$E$3</f>
        <v>9.6875</v>
      </c>
      <c r="F286" s="295">
        <f>'BD Plant List'!$D288/12*'BD Plant List'!AC$5*'BD Feedstock'!$F$3</f>
        <v>3.4291666666666671</v>
      </c>
      <c r="G286" s="295">
        <f>'BD Plant List'!$E288/12*'BD Feedstock'!G$3*'BD Plant List'!AB$5</f>
        <v>1.453125</v>
      </c>
      <c r="H286" s="295">
        <f>'BD Plant List'!$E288/12*'BD Feedstock'!H$3*'BD Plant List'!AC$5</f>
        <v>0.51437500000000003</v>
      </c>
      <c r="I286" s="295">
        <f>'BD Plant List'!F288/12*'BD Feedstock'!I$3*'BD Plant List'!AC$5</f>
        <v>0.13716666666666666</v>
      </c>
      <c r="J286" s="295">
        <f>'BD Plant List'!G288/12*'BD Feedstock'!J$3*'BD Plant List'!AD$5</f>
        <v>0.90199999999999991</v>
      </c>
      <c r="K286" s="295">
        <f>'BD Plant List'!$H288/12*'BD Feedstock'!K$3*'BD Plant List'!AB$5</f>
        <v>0</v>
      </c>
      <c r="L286" s="295">
        <f>'BD Plant List'!$H288/12*'BD Feedstock'!L$3*'BD Plant List'!AC$5</f>
        <v>0</v>
      </c>
      <c r="M286" s="295">
        <f>'BD Plant List'!$I288/12*'BD Feedstock'!$M$3*'BD Plant List'!AC$5</f>
        <v>3.4291666666666671</v>
      </c>
      <c r="N286" s="295">
        <f>'BD Plant List'!$J288/12*'BD Feedstock'!N$3*'BD Plant List'!AC$5</f>
        <v>0</v>
      </c>
      <c r="O286" s="295">
        <f>'BD Plant List'!$K288/12*'BD Feedstock'!O$3*'BD Plant List'!AC$5</f>
        <v>0</v>
      </c>
      <c r="P286" s="295">
        <f>'BD Plant List'!$L288/12*'BD Feedstock'!P$3*'BD Plant List'!AE$5</f>
        <v>0</v>
      </c>
      <c r="Q286" s="295">
        <f>'BD Plant List'!$M288/12*'BD Feedstock'!Q$3*'BD Plant List'!AE$5</f>
        <v>0.93125000000000002</v>
      </c>
      <c r="R286" s="295">
        <f>'BD Plant List'!$N288/12*'BD Feedstock'!R$3*'BD Plant List'!AE$5</f>
        <v>26.540625000000002</v>
      </c>
      <c r="S286" s="295">
        <f>'BD Plant List'!$N288/12*'BD Feedstock'!S$3*'BD Plant List'!AF$5</f>
        <v>1.40625</v>
      </c>
      <c r="T286" s="295">
        <f>'BD Plant List'!$O288/12*'BD Feedstock'!T$3*'BD Plant List'!AB$5</f>
        <v>8.5732126770944213</v>
      </c>
      <c r="U286" s="295">
        <f>'BD Plant List'!$O288/12*'BD Feedstock'!U$3*'BD Plant List'!AC$5</f>
        <v>3.0347329175263269</v>
      </c>
    </row>
    <row r="287" spans="1:21" ht="18">
      <c r="A287" s="293">
        <v>48427</v>
      </c>
      <c r="B287" s="295">
        <f>'BD Plant List'!B289/12*'BD Plant List'!$AE$5*$B$3</f>
        <v>43.458333333333336</v>
      </c>
      <c r="C287" s="295">
        <f>'BD Plant List'!$C289/12*'BD Plant List'!$AB$5*'BD Feedstock'!$D$3</f>
        <v>2.098958333333333</v>
      </c>
      <c r="D287" s="295">
        <f>'BD Plant List'!$C289/12*'BD Plant List'!$AC$5*'BD Feedstock'!$D$3</f>
        <v>2.2289583333333334</v>
      </c>
      <c r="E287" s="295">
        <f>'BD Plant List'!$D289/12*'BD Plant List'!AB$5*'BD Feedstock'!$E$3</f>
        <v>9.6875</v>
      </c>
      <c r="F287" s="295">
        <f>'BD Plant List'!$D289/12*'BD Plant List'!AC$5*'BD Feedstock'!$F$3</f>
        <v>3.4291666666666671</v>
      </c>
      <c r="G287" s="295">
        <f>'BD Plant List'!$E289/12*'BD Feedstock'!G$3*'BD Plant List'!AB$5</f>
        <v>1.453125</v>
      </c>
      <c r="H287" s="295">
        <f>'BD Plant List'!$E289/12*'BD Feedstock'!H$3*'BD Plant List'!AC$5</f>
        <v>0.51437500000000003</v>
      </c>
      <c r="I287" s="295">
        <f>'BD Plant List'!F289/12*'BD Feedstock'!I$3*'BD Plant List'!AC$5</f>
        <v>0.13716666666666666</v>
      </c>
      <c r="J287" s="295">
        <f>'BD Plant List'!G289/12*'BD Feedstock'!J$3*'BD Plant List'!AD$5</f>
        <v>0.90199999999999991</v>
      </c>
      <c r="K287" s="295">
        <f>'BD Plant List'!$H289/12*'BD Feedstock'!K$3*'BD Plant List'!AB$5</f>
        <v>0</v>
      </c>
      <c r="L287" s="295">
        <f>'BD Plant List'!$H289/12*'BD Feedstock'!L$3*'BD Plant List'!AC$5</f>
        <v>0</v>
      </c>
      <c r="M287" s="295">
        <f>'BD Plant List'!$I289/12*'BD Feedstock'!$M$3*'BD Plant List'!AC$5</f>
        <v>3.4291666666666671</v>
      </c>
      <c r="N287" s="295">
        <f>'BD Plant List'!$J289/12*'BD Feedstock'!N$3*'BD Plant List'!AC$5</f>
        <v>0</v>
      </c>
      <c r="O287" s="295">
        <f>'BD Plant List'!$K289/12*'BD Feedstock'!O$3*'BD Plant List'!AC$5</f>
        <v>0</v>
      </c>
      <c r="P287" s="295">
        <f>'BD Plant List'!$L289/12*'BD Feedstock'!P$3*'BD Plant List'!AE$5</f>
        <v>0</v>
      </c>
      <c r="Q287" s="295">
        <f>'BD Plant List'!$M289/12*'BD Feedstock'!Q$3*'BD Plant List'!AE$5</f>
        <v>0.93125000000000002</v>
      </c>
      <c r="R287" s="295">
        <f>'BD Plant List'!$N289/12*'BD Feedstock'!R$3*'BD Plant List'!AE$5</f>
        <v>26.540625000000002</v>
      </c>
      <c r="S287" s="295">
        <f>'BD Plant List'!$N289/12*'BD Feedstock'!S$3*'BD Plant List'!AF$5</f>
        <v>1.40625</v>
      </c>
      <c r="T287" s="295">
        <f>'BD Plant List'!$O289/12*'BD Feedstock'!T$3*'BD Plant List'!AB$5</f>
        <v>8.5732126770944213</v>
      </c>
      <c r="U287" s="295">
        <f>'BD Plant List'!$O289/12*'BD Feedstock'!U$3*'BD Plant List'!AC$5</f>
        <v>3.0347329175263269</v>
      </c>
    </row>
    <row r="288" spans="1:21" ht="18">
      <c r="A288" s="293">
        <v>48458</v>
      </c>
      <c r="B288" s="295">
        <f>'BD Plant List'!B290/12*'BD Plant List'!$AE$5*$B$3</f>
        <v>43.458333333333336</v>
      </c>
      <c r="C288" s="295">
        <f>'BD Plant List'!$C290/12*'BD Plant List'!$AB$5*'BD Feedstock'!$D$3</f>
        <v>2.098958333333333</v>
      </c>
      <c r="D288" s="295">
        <f>'BD Plant List'!$C290/12*'BD Plant List'!$AC$5*'BD Feedstock'!$D$3</f>
        <v>2.2289583333333334</v>
      </c>
      <c r="E288" s="295">
        <f>'BD Plant List'!$D290/12*'BD Plant List'!AB$5*'BD Feedstock'!$E$3</f>
        <v>9.6875</v>
      </c>
      <c r="F288" s="295">
        <f>'BD Plant List'!$D290/12*'BD Plant List'!AC$5*'BD Feedstock'!$F$3</f>
        <v>3.4291666666666671</v>
      </c>
      <c r="G288" s="295">
        <f>'BD Plant List'!$E290/12*'BD Feedstock'!G$3*'BD Plant List'!AB$5</f>
        <v>1.453125</v>
      </c>
      <c r="H288" s="295">
        <f>'BD Plant List'!$E290/12*'BD Feedstock'!H$3*'BD Plant List'!AC$5</f>
        <v>0.51437500000000003</v>
      </c>
      <c r="I288" s="295">
        <f>'BD Plant List'!F290/12*'BD Feedstock'!I$3*'BD Plant List'!AC$5</f>
        <v>0.13716666666666666</v>
      </c>
      <c r="J288" s="295">
        <f>'BD Plant List'!G290/12*'BD Feedstock'!J$3*'BD Plant List'!AD$5</f>
        <v>0.90199999999999991</v>
      </c>
      <c r="K288" s="295">
        <f>'BD Plant List'!$H290/12*'BD Feedstock'!K$3*'BD Plant List'!AB$5</f>
        <v>0</v>
      </c>
      <c r="L288" s="295">
        <f>'BD Plant List'!$H290/12*'BD Feedstock'!L$3*'BD Plant List'!AC$5</f>
        <v>0</v>
      </c>
      <c r="M288" s="295">
        <f>'BD Plant List'!$I290/12*'BD Feedstock'!$M$3*'BD Plant List'!AC$5</f>
        <v>3.4291666666666671</v>
      </c>
      <c r="N288" s="295">
        <f>'BD Plant List'!$J290/12*'BD Feedstock'!N$3*'BD Plant List'!AC$5</f>
        <v>0</v>
      </c>
      <c r="O288" s="295">
        <f>'BD Plant List'!$K290/12*'BD Feedstock'!O$3*'BD Plant List'!AC$5</f>
        <v>0</v>
      </c>
      <c r="P288" s="295">
        <f>'BD Plant List'!$L290/12*'BD Feedstock'!P$3*'BD Plant List'!AE$5</f>
        <v>0</v>
      </c>
      <c r="Q288" s="295">
        <f>'BD Plant List'!$M290/12*'BD Feedstock'!Q$3*'BD Plant List'!AE$5</f>
        <v>0.93125000000000002</v>
      </c>
      <c r="R288" s="295">
        <f>'BD Plant List'!$N290/12*'BD Feedstock'!R$3*'BD Plant List'!AE$5</f>
        <v>26.540625000000002</v>
      </c>
      <c r="S288" s="295">
        <f>'BD Plant List'!$N290/12*'BD Feedstock'!S$3*'BD Plant List'!AF$5</f>
        <v>1.40625</v>
      </c>
      <c r="T288" s="295">
        <f>'BD Plant List'!$O290/12*'BD Feedstock'!T$3*'BD Plant List'!AB$5</f>
        <v>8.5732126770944213</v>
      </c>
      <c r="U288" s="295">
        <f>'BD Plant List'!$O290/12*'BD Feedstock'!U$3*'BD Plant List'!AC$5</f>
        <v>3.0347329175263269</v>
      </c>
    </row>
    <row r="289" spans="1:21" ht="18">
      <c r="A289" s="293">
        <v>48488</v>
      </c>
      <c r="B289" s="295">
        <f>'BD Plant List'!B291/12*'BD Plant List'!$AE$5*$B$3</f>
        <v>43.458333333333336</v>
      </c>
      <c r="C289" s="295">
        <f>'BD Plant List'!$C291/12*'BD Plant List'!$AB$5*'BD Feedstock'!$D$3</f>
        <v>2.098958333333333</v>
      </c>
      <c r="D289" s="295">
        <f>'BD Plant List'!$C291/12*'BD Plant List'!$AC$5*'BD Feedstock'!$D$3</f>
        <v>2.2289583333333334</v>
      </c>
      <c r="E289" s="295">
        <f>'BD Plant List'!$D291/12*'BD Plant List'!AB$5*'BD Feedstock'!$E$3</f>
        <v>9.6875</v>
      </c>
      <c r="F289" s="295">
        <f>'BD Plant List'!$D291/12*'BD Plant List'!AC$5*'BD Feedstock'!$F$3</f>
        <v>3.4291666666666671</v>
      </c>
      <c r="G289" s="295">
        <f>'BD Plant List'!$E291/12*'BD Feedstock'!G$3*'BD Plant List'!AB$5</f>
        <v>1.453125</v>
      </c>
      <c r="H289" s="295">
        <f>'BD Plant List'!$E291/12*'BD Feedstock'!H$3*'BD Plant List'!AC$5</f>
        <v>0.51437500000000003</v>
      </c>
      <c r="I289" s="295">
        <f>'BD Plant List'!F291/12*'BD Feedstock'!I$3*'BD Plant List'!AC$5</f>
        <v>0.13716666666666666</v>
      </c>
      <c r="J289" s="295">
        <f>'BD Plant List'!G291/12*'BD Feedstock'!J$3*'BD Plant List'!AD$5</f>
        <v>0.90199999999999991</v>
      </c>
      <c r="K289" s="295">
        <f>'BD Plant List'!$H291/12*'BD Feedstock'!K$3*'BD Plant List'!AB$5</f>
        <v>0</v>
      </c>
      <c r="L289" s="295">
        <f>'BD Plant List'!$H291/12*'BD Feedstock'!L$3*'BD Plant List'!AC$5</f>
        <v>0</v>
      </c>
      <c r="M289" s="295">
        <f>'BD Plant List'!$I291/12*'BD Feedstock'!$M$3*'BD Plant List'!AC$5</f>
        <v>3.4291666666666671</v>
      </c>
      <c r="N289" s="295">
        <f>'BD Plant List'!$J291/12*'BD Feedstock'!N$3*'BD Plant List'!AC$5</f>
        <v>0</v>
      </c>
      <c r="O289" s="295">
        <f>'BD Plant List'!$K291/12*'BD Feedstock'!O$3*'BD Plant List'!AC$5</f>
        <v>0</v>
      </c>
      <c r="P289" s="295">
        <f>'BD Plant List'!$L291/12*'BD Feedstock'!P$3*'BD Plant List'!AE$5</f>
        <v>0</v>
      </c>
      <c r="Q289" s="295">
        <f>'BD Plant List'!$M291/12*'BD Feedstock'!Q$3*'BD Plant List'!AE$5</f>
        <v>0.93125000000000002</v>
      </c>
      <c r="R289" s="295">
        <f>'BD Plant List'!$N291/12*'BD Feedstock'!R$3*'BD Plant List'!AE$5</f>
        <v>26.540625000000002</v>
      </c>
      <c r="S289" s="295">
        <f>'BD Plant List'!$N291/12*'BD Feedstock'!S$3*'BD Plant List'!AF$5</f>
        <v>1.40625</v>
      </c>
      <c r="T289" s="295">
        <f>'BD Plant List'!$O291/12*'BD Feedstock'!T$3*'BD Plant List'!AB$5</f>
        <v>8.5732126770944213</v>
      </c>
      <c r="U289" s="295">
        <f>'BD Plant List'!$O291/12*'BD Feedstock'!U$3*'BD Plant List'!AC$5</f>
        <v>3.0347329175263269</v>
      </c>
    </row>
    <row r="290" spans="1:21" ht="18">
      <c r="A290" s="293">
        <v>48519</v>
      </c>
      <c r="B290" s="295">
        <f>'BD Plant List'!B292/12*'BD Plant List'!$AE$5*$B$3</f>
        <v>43.458333333333336</v>
      </c>
      <c r="C290" s="295">
        <f>'BD Plant List'!$C292/12*'BD Plant List'!$AB$5*'BD Feedstock'!$D$3</f>
        <v>2.098958333333333</v>
      </c>
      <c r="D290" s="295">
        <f>'BD Plant List'!$C292/12*'BD Plant List'!$AC$5*'BD Feedstock'!$D$3</f>
        <v>2.2289583333333334</v>
      </c>
      <c r="E290" s="295">
        <f>'BD Plant List'!$D292/12*'BD Plant List'!AB$5*'BD Feedstock'!$E$3</f>
        <v>9.6875</v>
      </c>
      <c r="F290" s="295">
        <f>'BD Plant List'!$D292/12*'BD Plant List'!AC$5*'BD Feedstock'!$F$3</f>
        <v>3.4291666666666671</v>
      </c>
      <c r="G290" s="295">
        <f>'BD Plant List'!$E292/12*'BD Feedstock'!G$3*'BD Plant List'!AB$5</f>
        <v>1.453125</v>
      </c>
      <c r="H290" s="295">
        <f>'BD Plant List'!$E292/12*'BD Feedstock'!H$3*'BD Plant List'!AC$5</f>
        <v>0.51437500000000003</v>
      </c>
      <c r="I290" s="295">
        <f>'BD Plant List'!F292/12*'BD Feedstock'!I$3*'BD Plant List'!AC$5</f>
        <v>0.13716666666666666</v>
      </c>
      <c r="J290" s="295">
        <f>'BD Plant List'!G292/12*'BD Feedstock'!J$3*'BD Plant List'!AD$5</f>
        <v>0.90199999999999991</v>
      </c>
      <c r="K290" s="295">
        <f>'BD Plant List'!$H292/12*'BD Feedstock'!K$3*'BD Plant List'!AB$5</f>
        <v>0</v>
      </c>
      <c r="L290" s="295">
        <f>'BD Plant List'!$H292/12*'BD Feedstock'!L$3*'BD Plant List'!AC$5</f>
        <v>0</v>
      </c>
      <c r="M290" s="295">
        <f>'BD Plant List'!$I292/12*'BD Feedstock'!$M$3*'BD Plant List'!AC$5</f>
        <v>3.4291666666666671</v>
      </c>
      <c r="N290" s="295">
        <f>'BD Plant List'!$J292/12*'BD Feedstock'!N$3*'BD Plant List'!AC$5</f>
        <v>0</v>
      </c>
      <c r="O290" s="295">
        <f>'BD Plant List'!$K292/12*'BD Feedstock'!O$3*'BD Plant List'!AC$5</f>
        <v>0</v>
      </c>
      <c r="P290" s="295">
        <f>'BD Plant List'!$L292/12*'BD Feedstock'!P$3*'BD Plant List'!AE$5</f>
        <v>0</v>
      </c>
      <c r="Q290" s="295">
        <f>'BD Plant List'!$M292/12*'BD Feedstock'!Q$3*'BD Plant List'!AE$5</f>
        <v>0.93125000000000002</v>
      </c>
      <c r="R290" s="295">
        <f>'BD Plant List'!$N292/12*'BD Feedstock'!R$3*'BD Plant List'!AE$5</f>
        <v>26.540625000000002</v>
      </c>
      <c r="S290" s="295">
        <f>'BD Plant List'!$N292/12*'BD Feedstock'!S$3*'BD Plant List'!AF$5</f>
        <v>1.40625</v>
      </c>
      <c r="T290" s="295">
        <f>'BD Plant List'!$O292/12*'BD Feedstock'!T$3*'BD Plant List'!AB$5</f>
        <v>8.5732126770944213</v>
      </c>
      <c r="U290" s="295">
        <f>'BD Plant List'!$O292/12*'BD Feedstock'!U$3*'BD Plant List'!AC$5</f>
        <v>3.0347329175263269</v>
      </c>
    </row>
    <row r="291" spans="1:21" ht="18">
      <c r="A291" s="293">
        <v>48549</v>
      </c>
      <c r="B291" s="295">
        <f>'BD Plant List'!B293/12*'BD Plant List'!$AE$5*$B$3</f>
        <v>43.458333333333336</v>
      </c>
      <c r="C291" s="295">
        <f>'BD Plant List'!$C293/12*'BD Plant List'!$AB$5*'BD Feedstock'!$D$3</f>
        <v>2.098958333333333</v>
      </c>
      <c r="D291" s="295">
        <f>'BD Plant List'!$C293/12*'BD Plant List'!$AC$5*'BD Feedstock'!$D$3</f>
        <v>2.2289583333333334</v>
      </c>
      <c r="E291" s="295">
        <f>'BD Plant List'!$D293/12*'BD Plant List'!AB$5*'BD Feedstock'!$E$3</f>
        <v>9.6875</v>
      </c>
      <c r="F291" s="295">
        <f>'BD Plant List'!$D293/12*'BD Plant List'!AC$5*'BD Feedstock'!$F$3</f>
        <v>3.4291666666666671</v>
      </c>
      <c r="G291" s="295">
        <f>'BD Plant List'!$E293/12*'BD Feedstock'!G$3*'BD Plant List'!AB$5</f>
        <v>1.453125</v>
      </c>
      <c r="H291" s="295">
        <f>'BD Plant List'!$E293/12*'BD Feedstock'!H$3*'BD Plant List'!AC$5</f>
        <v>0.51437500000000003</v>
      </c>
      <c r="I291" s="295">
        <f>'BD Plant List'!F293/12*'BD Feedstock'!I$3*'BD Plant List'!AC$5</f>
        <v>0.13716666666666666</v>
      </c>
      <c r="J291" s="295">
        <f>'BD Plant List'!G293/12*'BD Feedstock'!J$3*'BD Plant List'!AD$5</f>
        <v>0.90199999999999991</v>
      </c>
      <c r="K291" s="295">
        <f>'BD Plant List'!$H293/12*'BD Feedstock'!K$3*'BD Plant List'!AB$5</f>
        <v>0</v>
      </c>
      <c r="L291" s="295">
        <f>'BD Plant List'!$H293/12*'BD Feedstock'!L$3*'BD Plant List'!AC$5</f>
        <v>0</v>
      </c>
      <c r="M291" s="295">
        <f>'BD Plant List'!$I293/12*'BD Feedstock'!$M$3*'BD Plant List'!AC$5</f>
        <v>3.4291666666666671</v>
      </c>
      <c r="N291" s="295">
        <f>'BD Plant List'!$J293/12*'BD Feedstock'!N$3*'BD Plant List'!AC$5</f>
        <v>0</v>
      </c>
      <c r="O291" s="295">
        <f>'BD Plant List'!$K293/12*'BD Feedstock'!O$3*'BD Plant List'!AC$5</f>
        <v>0</v>
      </c>
      <c r="P291" s="295">
        <f>'BD Plant List'!$L293/12*'BD Feedstock'!P$3*'BD Plant List'!AE$5</f>
        <v>0</v>
      </c>
      <c r="Q291" s="295">
        <f>'BD Plant List'!$M293/12*'BD Feedstock'!Q$3*'BD Plant List'!AE$5</f>
        <v>0.93125000000000002</v>
      </c>
      <c r="R291" s="295">
        <f>'BD Plant List'!$N293/12*'BD Feedstock'!R$3*'BD Plant List'!AE$5</f>
        <v>26.540625000000002</v>
      </c>
      <c r="S291" s="295">
        <f>'BD Plant List'!$N293/12*'BD Feedstock'!S$3*'BD Plant List'!AF$5</f>
        <v>1.40625</v>
      </c>
      <c r="T291" s="295">
        <f>'BD Plant List'!$O293/12*'BD Feedstock'!T$3*'BD Plant List'!AB$5</f>
        <v>8.5732126770944213</v>
      </c>
      <c r="U291" s="295">
        <f>'BD Plant List'!$O293/12*'BD Feedstock'!U$3*'BD Plant List'!AC$5</f>
        <v>3.0347329175263269</v>
      </c>
    </row>
    <row r="292" spans="1:21" ht="18">
      <c r="A292" s="293">
        <v>48580</v>
      </c>
      <c r="B292" s="295">
        <f>'BD Plant List'!B294/12*'BD Plant List'!$AE$5*$B$3</f>
        <v>43.458333333333336</v>
      </c>
      <c r="C292" s="295">
        <f>'BD Plant List'!$C294/12*'BD Plant List'!$AB$5*'BD Feedstock'!$D$3</f>
        <v>2.098958333333333</v>
      </c>
      <c r="D292" s="295">
        <f>'BD Plant List'!$C294/12*'BD Plant List'!$AC$5*'BD Feedstock'!$D$3</f>
        <v>2.2289583333333334</v>
      </c>
      <c r="E292" s="295">
        <f>'BD Plant List'!$D294/12*'BD Plant List'!AB$5*'BD Feedstock'!$E$3</f>
        <v>9.6875</v>
      </c>
      <c r="F292" s="295">
        <f>'BD Plant List'!$D294/12*'BD Plant List'!AC$5*'BD Feedstock'!$F$3</f>
        <v>3.4291666666666671</v>
      </c>
      <c r="G292" s="295">
        <f>'BD Plant List'!$E294/12*'BD Feedstock'!G$3*'BD Plant List'!AB$5</f>
        <v>1.453125</v>
      </c>
      <c r="H292" s="295">
        <f>'BD Plant List'!$E294/12*'BD Feedstock'!H$3*'BD Plant List'!AC$5</f>
        <v>0.51437500000000003</v>
      </c>
      <c r="I292" s="295">
        <f>'BD Plant List'!F294/12*'BD Feedstock'!I$3*'BD Plant List'!AC$5</f>
        <v>0.13716666666666666</v>
      </c>
      <c r="J292" s="295">
        <f>'BD Plant List'!G294/12*'BD Feedstock'!J$3*'BD Plant List'!AD$5</f>
        <v>0.90199999999999991</v>
      </c>
      <c r="K292" s="295">
        <f>'BD Plant List'!$H294/12*'BD Feedstock'!K$3*'BD Plant List'!AB$5</f>
        <v>0</v>
      </c>
      <c r="L292" s="295">
        <f>'BD Plant List'!$H294/12*'BD Feedstock'!L$3*'BD Plant List'!AC$5</f>
        <v>0</v>
      </c>
      <c r="M292" s="295">
        <f>'BD Plant List'!$I294/12*'BD Feedstock'!$M$3*'BD Plant List'!AC$5</f>
        <v>3.4291666666666671</v>
      </c>
      <c r="N292" s="295">
        <f>'BD Plant List'!$J294/12*'BD Feedstock'!N$3*'BD Plant List'!AC$5</f>
        <v>0</v>
      </c>
      <c r="O292" s="295">
        <f>'BD Plant List'!$K294/12*'BD Feedstock'!O$3*'BD Plant List'!AC$5</f>
        <v>0</v>
      </c>
      <c r="P292" s="295">
        <f>'BD Plant List'!$L294/12*'BD Feedstock'!P$3*'BD Plant List'!AE$5</f>
        <v>0</v>
      </c>
      <c r="Q292" s="295">
        <f>'BD Plant List'!$M294/12*'BD Feedstock'!Q$3*'BD Plant List'!AE$5</f>
        <v>0.93125000000000002</v>
      </c>
      <c r="R292" s="295">
        <f>'BD Plant List'!$N294/12*'BD Feedstock'!R$3*'BD Plant List'!AE$5</f>
        <v>26.540625000000002</v>
      </c>
      <c r="S292" s="295">
        <f>'BD Plant List'!$N294/12*'BD Feedstock'!S$3*'BD Plant List'!AF$5</f>
        <v>1.40625</v>
      </c>
      <c r="T292" s="295">
        <f>'BD Plant List'!$O294/12*'BD Feedstock'!T$3*'BD Plant List'!AB$5</f>
        <v>8.5732126770944213</v>
      </c>
      <c r="U292" s="295">
        <f>'BD Plant List'!$O294/12*'BD Feedstock'!U$3*'BD Plant List'!AC$5</f>
        <v>3.0347329175263269</v>
      </c>
    </row>
    <row r="293" spans="1:21" ht="18">
      <c r="A293" s="293">
        <v>48611</v>
      </c>
      <c r="B293" s="295">
        <f>'BD Plant List'!B295/12*'BD Plant List'!$AE$5*$B$3</f>
        <v>43.458333333333336</v>
      </c>
      <c r="C293" s="295">
        <f>'BD Plant List'!$C295/12*'BD Plant List'!$AB$5*'BD Feedstock'!$D$3</f>
        <v>2.098958333333333</v>
      </c>
      <c r="D293" s="295">
        <f>'BD Plant List'!$C295/12*'BD Plant List'!$AC$5*'BD Feedstock'!$D$3</f>
        <v>2.2289583333333334</v>
      </c>
      <c r="E293" s="295">
        <f>'BD Plant List'!$D295/12*'BD Plant List'!AB$5*'BD Feedstock'!$E$3</f>
        <v>9.6875</v>
      </c>
      <c r="F293" s="295">
        <f>'BD Plant List'!$D295/12*'BD Plant List'!AC$5*'BD Feedstock'!$F$3</f>
        <v>3.4291666666666671</v>
      </c>
      <c r="G293" s="295">
        <f>'BD Plant List'!$E295/12*'BD Feedstock'!G$3*'BD Plant List'!AB$5</f>
        <v>1.453125</v>
      </c>
      <c r="H293" s="295">
        <f>'BD Plant List'!$E295/12*'BD Feedstock'!H$3*'BD Plant List'!AC$5</f>
        <v>0.51437500000000003</v>
      </c>
      <c r="I293" s="295">
        <f>'BD Plant List'!F295/12*'BD Feedstock'!I$3*'BD Plant List'!AC$5</f>
        <v>0.13716666666666666</v>
      </c>
      <c r="J293" s="295">
        <f>'BD Plant List'!G295/12*'BD Feedstock'!J$3*'BD Plant List'!AD$5</f>
        <v>0.90199999999999991</v>
      </c>
      <c r="K293" s="295">
        <f>'BD Plant List'!$H295/12*'BD Feedstock'!K$3*'BD Plant List'!AB$5</f>
        <v>0</v>
      </c>
      <c r="L293" s="295">
        <f>'BD Plant List'!$H295/12*'BD Feedstock'!L$3*'BD Plant List'!AC$5</f>
        <v>0</v>
      </c>
      <c r="M293" s="295">
        <f>'BD Plant List'!$I295/12*'BD Feedstock'!$M$3*'BD Plant List'!AC$5</f>
        <v>3.4291666666666671</v>
      </c>
      <c r="N293" s="295">
        <f>'BD Plant List'!$J295/12*'BD Feedstock'!N$3*'BD Plant List'!AC$5</f>
        <v>0</v>
      </c>
      <c r="O293" s="295">
        <f>'BD Plant List'!$K295/12*'BD Feedstock'!O$3*'BD Plant List'!AC$5</f>
        <v>0</v>
      </c>
      <c r="P293" s="295">
        <f>'BD Plant List'!$L295/12*'BD Feedstock'!P$3*'BD Plant List'!AE$5</f>
        <v>0</v>
      </c>
      <c r="Q293" s="295">
        <f>'BD Plant List'!$M295/12*'BD Feedstock'!Q$3*'BD Plant List'!AE$5</f>
        <v>0.93125000000000002</v>
      </c>
      <c r="R293" s="295">
        <f>'BD Plant List'!$N295/12*'BD Feedstock'!R$3*'BD Plant List'!AE$5</f>
        <v>26.540625000000002</v>
      </c>
      <c r="S293" s="295">
        <f>'BD Plant List'!$N295/12*'BD Feedstock'!S$3*'BD Plant List'!AF$5</f>
        <v>1.40625</v>
      </c>
      <c r="T293" s="295">
        <f>'BD Plant List'!$O295/12*'BD Feedstock'!T$3*'BD Plant List'!AB$5</f>
        <v>8.5732126770944213</v>
      </c>
      <c r="U293" s="295">
        <f>'BD Plant List'!$O295/12*'BD Feedstock'!U$3*'BD Plant List'!AC$5</f>
        <v>3.0347329175263269</v>
      </c>
    </row>
    <row r="294" spans="1:21" ht="18">
      <c r="A294" s="293">
        <v>48639</v>
      </c>
      <c r="B294" s="295">
        <f>'BD Plant List'!B296/12*'BD Plant List'!$AE$5*$B$3</f>
        <v>43.458333333333336</v>
      </c>
      <c r="C294" s="295">
        <f>'BD Plant List'!$C296/12*'BD Plant List'!$AB$5*'BD Feedstock'!$D$3</f>
        <v>2.098958333333333</v>
      </c>
      <c r="D294" s="295">
        <f>'BD Plant List'!$C296/12*'BD Plant List'!$AC$5*'BD Feedstock'!$D$3</f>
        <v>2.2289583333333334</v>
      </c>
      <c r="E294" s="295">
        <f>'BD Plant List'!$D296/12*'BD Plant List'!AB$5*'BD Feedstock'!$E$3</f>
        <v>9.6875</v>
      </c>
      <c r="F294" s="295">
        <f>'BD Plant List'!$D296/12*'BD Plant List'!AC$5*'BD Feedstock'!$F$3</f>
        <v>3.4291666666666671</v>
      </c>
      <c r="G294" s="295">
        <f>'BD Plant List'!$E296/12*'BD Feedstock'!G$3*'BD Plant List'!AB$5</f>
        <v>1.453125</v>
      </c>
      <c r="H294" s="295">
        <f>'BD Plant List'!$E296/12*'BD Feedstock'!H$3*'BD Plant List'!AC$5</f>
        <v>0.51437500000000003</v>
      </c>
      <c r="I294" s="295">
        <f>'BD Plant List'!F296/12*'BD Feedstock'!I$3*'BD Plant List'!AC$5</f>
        <v>0.13716666666666666</v>
      </c>
      <c r="J294" s="295">
        <f>'BD Plant List'!G296/12*'BD Feedstock'!J$3*'BD Plant List'!AD$5</f>
        <v>0.90199999999999991</v>
      </c>
      <c r="K294" s="295">
        <f>'BD Plant List'!$H296/12*'BD Feedstock'!K$3*'BD Plant List'!AB$5</f>
        <v>0</v>
      </c>
      <c r="L294" s="295">
        <f>'BD Plant List'!$H296/12*'BD Feedstock'!L$3*'BD Plant List'!AC$5</f>
        <v>0</v>
      </c>
      <c r="M294" s="295">
        <f>'BD Plant List'!$I296/12*'BD Feedstock'!$M$3*'BD Plant List'!AC$5</f>
        <v>3.4291666666666671</v>
      </c>
      <c r="N294" s="295">
        <f>'BD Plant List'!$J296/12*'BD Feedstock'!N$3*'BD Plant List'!AC$5</f>
        <v>0</v>
      </c>
      <c r="O294" s="295">
        <f>'BD Plant List'!$K296/12*'BD Feedstock'!O$3*'BD Plant List'!AC$5</f>
        <v>0</v>
      </c>
      <c r="P294" s="295">
        <f>'BD Plant List'!$L296/12*'BD Feedstock'!P$3*'BD Plant List'!AE$5</f>
        <v>0</v>
      </c>
      <c r="Q294" s="295">
        <f>'BD Plant List'!$M296/12*'BD Feedstock'!Q$3*'BD Plant List'!AE$5</f>
        <v>0.93125000000000002</v>
      </c>
      <c r="R294" s="295">
        <f>'BD Plant List'!$N296/12*'BD Feedstock'!R$3*'BD Plant List'!AE$5</f>
        <v>26.540625000000002</v>
      </c>
      <c r="S294" s="295">
        <f>'BD Plant List'!$N296/12*'BD Feedstock'!S$3*'BD Plant List'!AF$5</f>
        <v>1.40625</v>
      </c>
      <c r="T294" s="295">
        <f>'BD Plant List'!$O296/12*'BD Feedstock'!T$3*'BD Plant List'!AB$5</f>
        <v>8.5732126770944213</v>
      </c>
      <c r="U294" s="295">
        <f>'BD Plant List'!$O296/12*'BD Feedstock'!U$3*'BD Plant List'!AC$5</f>
        <v>3.0347329175263269</v>
      </c>
    </row>
    <row r="295" spans="1:21" ht="18">
      <c r="A295" s="293">
        <v>48670</v>
      </c>
      <c r="B295" s="295">
        <f>'BD Plant List'!B297/12*'BD Plant List'!$AE$5*$B$3</f>
        <v>43.458333333333336</v>
      </c>
      <c r="C295" s="295">
        <f>'BD Plant List'!$C297/12*'BD Plant List'!$AB$5*'BD Feedstock'!$D$3</f>
        <v>2.098958333333333</v>
      </c>
      <c r="D295" s="295">
        <f>'BD Plant List'!$C297/12*'BD Plant List'!$AC$5*'BD Feedstock'!$D$3</f>
        <v>2.2289583333333334</v>
      </c>
      <c r="E295" s="295">
        <f>'BD Plant List'!$D297/12*'BD Plant List'!AB$5*'BD Feedstock'!$E$3</f>
        <v>9.6875</v>
      </c>
      <c r="F295" s="295">
        <f>'BD Plant List'!$D297/12*'BD Plant List'!AC$5*'BD Feedstock'!$F$3</f>
        <v>3.4291666666666671</v>
      </c>
      <c r="G295" s="295">
        <f>'BD Plant List'!$E297/12*'BD Feedstock'!G$3*'BD Plant List'!AB$5</f>
        <v>1.453125</v>
      </c>
      <c r="H295" s="295">
        <f>'BD Plant List'!$E297/12*'BD Feedstock'!H$3*'BD Plant List'!AC$5</f>
        <v>0.51437500000000003</v>
      </c>
      <c r="I295" s="295">
        <f>'BD Plant List'!F297/12*'BD Feedstock'!I$3*'BD Plant List'!AC$5</f>
        <v>0.13716666666666666</v>
      </c>
      <c r="J295" s="295">
        <f>'BD Plant List'!G297/12*'BD Feedstock'!J$3*'BD Plant List'!AD$5</f>
        <v>0.90199999999999991</v>
      </c>
      <c r="K295" s="295">
        <f>'BD Plant List'!$H297/12*'BD Feedstock'!K$3*'BD Plant List'!AB$5</f>
        <v>0</v>
      </c>
      <c r="L295" s="295">
        <f>'BD Plant List'!$H297/12*'BD Feedstock'!L$3*'BD Plant List'!AC$5</f>
        <v>0</v>
      </c>
      <c r="M295" s="295">
        <f>'BD Plant List'!$I297/12*'BD Feedstock'!$M$3*'BD Plant List'!AC$5</f>
        <v>3.4291666666666671</v>
      </c>
      <c r="N295" s="295">
        <f>'BD Plant List'!$J297/12*'BD Feedstock'!N$3*'BD Plant List'!AC$5</f>
        <v>0</v>
      </c>
      <c r="O295" s="295">
        <f>'BD Plant List'!$K297/12*'BD Feedstock'!O$3*'BD Plant List'!AC$5</f>
        <v>0</v>
      </c>
      <c r="P295" s="295">
        <f>'BD Plant List'!$L297/12*'BD Feedstock'!P$3*'BD Plant List'!AE$5</f>
        <v>0</v>
      </c>
      <c r="Q295" s="295">
        <f>'BD Plant List'!$M297/12*'BD Feedstock'!Q$3*'BD Plant List'!AE$5</f>
        <v>0.93125000000000002</v>
      </c>
      <c r="R295" s="295">
        <f>'BD Plant List'!$N297/12*'BD Feedstock'!R$3*'BD Plant List'!AE$5</f>
        <v>26.540625000000002</v>
      </c>
      <c r="S295" s="295">
        <f>'BD Plant List'!$N297/12*'BD Feedstock'!S$3*'BD Plant List'!AF$5</f>
        <v>1.40625</v>
      </c>
      <c r="T295" s="295">
        <f>'BD Plant List'!$O297/12*'BD Feedstock'!T$3*'BD Plant List'!AB$5</f>
        <v>8.5732126770944213</v>
      </c>
      <c r="U295" s="295">
        <f>'BD Plant List'!$O297/12*'BD Feedstock'!U$3*'BD Plant List'!AC$5</f>
        <v>3.0347329175263269</v>
      </c>
    </row>
    <row r="296" spans="1:21" ht="18">
      <c r="A296" s="293">
        <v>48700</v>
      </c>
      <c r="B296" s="295">
        <f>'BD Plant List'!B298/12*'BD Plant List'!$AE$5*$B$3</f>
        <v>43.458333333333336</v>
      </c>
      <c r="C296" s="295">
        <f>'BD Plant List'!$C298/12*'BD Plant List'!$AB$5*'BD Feedstock'!$D$3</f>
        <v>2.098958333333333</v>
      </c>
      <c r="D296" s="295">
        <f>'BD Plant List'!$C298/12*'BD Plant List'!$AC$5*'BD Feedstock'!$D$3</f>
        <v>2.2289583333333334</v>
      </c>
      <c r="E296" s="295">
        <f>'BD Plant List'!$D298/12*'BD Plant List'!AB$5*'BD Feedstock'!$E$3</f>
        <v>9.6875</v>
      </c>
      <c r="F296" s="295">
        <f>'BD Plant List'!$D298/12*'BD Plant List'!AC$5*'BD Feedstock'!$F$3</f>
        <v>3.4291666666666671</v>
      </c>
      <c r="G296" s="295">
        <f>'BD Plant List'!$E298/12*'BD Feedstock'!G$3*'BD Plant List'!AB$5</f>
        <v>1.453125</v>
      </c>
      <c r="H296" s="295">
        <f>'BD Plant List'!$E298/12*'BD Feedstock'!H$3*'BD Plant List'!AC$5</f>
        <v>0.51437500000000003</v>
      </c>
      <c r="I296" s="295">
        <f>'BD Plant List'!F298/12*'BD Feedstock'!I$3*'BD Plant List'!AC$5</f>
        <v>0.13716666666666666</v>
      </c>
      <c r="J296" s="295">
        <f>'BD Plant List'!G298/12*'BD Feedstock'!J$3*'BD Plant List'!AD$5</f>
        <v>0.90199999999999991</v>
      </c>
      <c r="K296" s="295">
        <f>'BD Plant List'!$H298/12*'BD Feedstock'!K$3*'BD Plant List'!AB$5</f>
        <v>0</v>
      </c>
      <c r="L296" s="295">
        <f>'BD Plant List'!$H298/12*'BD Feedstock'!L$3*'BD Plant List'!AC$5</f>
        <v>0</v>
      </c>
      <c r="M296" s="295">
        <f>'BD Plant List'!$I298/12*'BD Feedstock'!$M$3*'BD Plant List'!AC$5</f>
        <v>3.4291666666666671</v>
      </c>
      <c r="N296" s="295">
        <f>'BD Plant List'!$J298/12*'BD Feedstock'!N$3*'BD Plant List'!AC$5</f>
        <v>0</v>
      </c>
      <c r="O296" s="295">
        <f>'BD Plant List'!$K298/12*'BD Feedstock'!O$3*'BD Plant List'!AC$5</f>
        <v>0</v>
      </c>
      <c r="P296" s="295">
        <f>'BD Plant List'!$L298/12*'BD Feedstock'!P$3*'BD Plant List'!AE$5</f>
        <v>0</v>
      </c>
      <c r="Q296" s="295">
        <f>'BD Plant List'!$M298/12*'BD Feedstock'!Q$3*'BD Plant List'!AE$5</f>
        <v>0.93125000000000002</v>
      </c>
      <c r="R296" s="295">
        <f>'BD Plant List'!$N298/12*'BD Feedstock'!R$3*'BD Plant List'!AE$5</f>
        <v>26.540625000000002</v>
      </c>
      <c r="S296" s="295">
        <f>'BD Plant List'!$N298/12*'BD Feedstock'!S$3*'BD Plant List'!AF$5</f>
        <v>1.40625</v>
      </c>
      <c r="T296" s="295">
        <f>'BD Plant List'!$O298/12*'BD Feedstock'!T$3*'BD Plant List'!AB$5</f>
        <v>8.5732126770944213</v>
      </c>
      <c r="U296" s="295">
        <f>'BD Plant List'!$O298/12*'BD Feedstock'!U$3*'BD Plant List'!AC$5</f>
        <v>3.0347329175263269</v>
      </c>
    </row>
    <row r="297" spans="1:21" ht="18">
      <c r="A297" s="293">
        <v>48731</v>
      </c>
      <c r="B297" s="295">
        <f>'BD Plant List'!B299/12*'BD Plant List'!$AE$5*$B$3</f>
        <v>43.458333333333336</v>
      </c>
      <c r="C297" s="295">
        <f>'BD Plant List'!$C299/12*'BD Plant List'!$AB$5*'BD Feedstock'!$D$3</f>
        <v>2.098958333333333</v>
      </c>
      <c r="D297" s="295">
        <f>'BD Plant List'!$C299/12*'BD Plant List'!$AC$5*'BD Feedstock'!$D$3</f>
        <v>2.2289583333333334</v>
      </c>
      <c r="E297" s="295">
        <f>'BD Plant List'!$D299/12*'BD Plant List'!AB$5*'BD Feedstock'!$E$3</f>
        <v>9.6875</v>
      </c>
      <c r="F297" s="295">
        <f>'BD Plant List'!$D299/12*'BD Plant List'!AC$5*'BD Feedstock'!$F$3</f>
        <v>3.4291666666666671</v>
      </c>
      <c r="G297" s="295">
        <f>'BD Plant List'!$E299/12*'BD Feedstock'!G$3*'BD Plant List'!AB$5</f>
        <v>1.453125</v>
      </c>
      <c r="H297" s="295">
        <f>'BD Plant List'!$E299/12*'BD Feedstock'!H$3*'BD Plant List'!AC$5</f>
        <v>0.51437500000000003</v>
      </c>
      <c r="I297" s="295">
        <f>'BD Plant List'!F299/12*'BD Feedstock'!I$3*'BD Plant List'!AC$5</f>
        <v>0.13716666666666666</v>
      </c>
      <c r="J297" s="295">
        <f>'BD Plant List'!G299/12*'BD Feedstock'!J$3*'BD Plant List'!AD$5</f>
        <v>0.90199999999999991</v>
      </c>
      <c r="K297" s="295">
        <f>'BD Plant List'!$H299/12*'BD Feedstock'!K$3*'BD Plant List'!AB$5</f>
        <v>0</v>
      </c>
      <c r="L297" s="295">
        <f>'BD Plant List'!$H299/12*'BD Feedstock'!L$3*'BD Plant List'!AC$5</f>
        <v>0</v>
      </c>
      <c r="M297" s="295">
        <f>'BD Plant List'!$I299/12*'BD Feedstock'!$M$3*'BD Plant List'!AC$5</f>
        <v>3.4291666666666671</v>
      </c>
      <c r="N297" s="295">
        <f>'BD Plant List'!$J299/12*'BD Feedstock'!N$3*'BD Plant List'!AC$5</f>
        <v>0</v>
      </c>
      <c r="O297" s="295">
        <f>'BD Plant List'!$K299/12*'BD Feedstock'!O$3*'BD Plant List'!AC$5</f>
        <v>0</v>
      </c>
      <c r="P297" s="295">
        <f>'BD Plant List'!$L299/12*'BD Feedstock'!P$3*'BD Plant List'!AE$5</f>
        <v>0</v>
      </c>
      <c r="Q297" s="295">
        <f>'BD Plant List'!$M299/12*'BD Feedstock'!Q$3*'BD Plant List'!AE$5</f>
        <v>0.93125000000000002</v>
      </c>
      <c r="R297" s="295">
        <f>'BD Plant List'!$N299/12*'BD Feedstock'!R$3*'BD Plant List'!AE$5</f>
        <v>26.540625000000002</v>
      </c>
      <c r="S297" s="295">
        <f>'BD Plant List'!$N299/12*'BD Feedstock'!S$3*'BD Plant List'!AF$5</f>
        <v>1.40625</v>
      </c>
      <c r="T297" s="295">
        <f>'BD Plant List'!$O299/12*'BD Feedstock'!T$3*'BD Plant List'!AB$5</f>
        <v>8.5732126770944213</v>
      </c>
      <c r="U297" s="295">
        <f>'BD Plant List'!$O299/12*'BD Feedstock'!U$3*'BD Plant List'!AC$5</f>
        <v>3.0347329175263269</v>
      </c>
    </row>
    <row r="298" spans="1:21" ht="18">
      <c r="A298" s="293">
        <v>48761</v>
      </c>
      <c r="B298" s="295">
        <f>'BD Plant List'!B300/12*'BD Plant List'!$AE$5*$B$3</f>
        <v>43.458333333333336</v>
      </c>
      <c r="C298" s="295">
        <f>'BD Plant List'!$C300/12*'BD Plant List'!$AB$5*'BD Feedstock'!$D$3</f>
        <v>2.098958333333333</v>
      </c>
      <c r="D298" s="295">
        <f>'BD Plant List'!$C300/12*'BD Plant List'!$AC$5*'BD Feedstock'!$D$3</f>
        <v>2.2289583333333334</v>
      </c>
      <c r="E298" s="295">
        <f>'BD Plant List'!$D300/12*'BD Plant List'!AB$5*'BD Feedstock'!$E$3</f>
        <v>9.6875</v>
      </c>
      <c r="F298" s="295">
        <f>'BD Plant List'!$D300/12*'BD Plant List'!AC$5*'BD Feedstock'!$F$3</f>
        <v>3.4291666666666671</v>
      </c>
      <c r="G298" s="295">
        <f>'BD Plant List'!$E300/12*'BD Feedstock'!G$3*'BD Plant List'!AB$5</f>
        <v>1.453125</v>
      </c>
      <c r="H298" s="295">
        <f>'BD Plant List'!$E300/12*'BD Feedstock'!H$3*'BD Plant List'!AC$5</f>
        <v>0.51437500000000003</v>
      </c>
      <c r="I298" s="295">
        <f>'BD Plant List'!F300/12*'BD Feedstock'!I$3*'BD Plant List'!AC$5</f>
        <v>0.13716666666666666</v>
      </c>
      <c r="J298" s="295">
        <f>'BD Plant List'!G300/12*'BD Feedstock'!J$3*'BD Plant List'!AD$5</f>
        <v>0.90199999999999991</v>
      </c>
      <c r="K298" s="295">
        <f>'BD Plant List'!$H300/12*'BD Feedstock'!K$3*'BD Plant List'!AB$5</f>
        <v>0</v>
      </c>
      <c r="L298" s="295">
        <f>'BD Plant List'!$H300/12*'BD Feedstock'!L$3*'BD Plant List'!AC$5</f>
        <v>0</v>
      </c>
      <c r="M298" s="295">
        <f>'BD Plant List'!$I300/12*'BD Feedstock'!$M$3*'BD Plant List'!AC$5</f>
        <v>3.4291666666666671</v>
      </c>
      <c r="N298" s="295">
        <f>'BD Plant List'!$J300/12*'BD Feedstock'!N$3*'BD Plant List'!AC$5</f>
        <v>0</v>
      </c>
      <c r="O298" s="295">
        <f>'BD Plant List'!$K300/12*'BD Feedstock'!O$3*'BD Plant List'!AC$5</f>
        <v>0</v>
      </c>
      <c r="P298" s="295">
        <f>'BD Plant List'!$L300/12*'BD Feedstock'!P$3*'BD Plant List'!AE$5</f>
        <v>0</v>
      </c>
      <c r="Q298" s="295">
        <f>'BD Plant List'!$M300/12*'BD Feedstock'!Q$3*'BD Plant List'!AE$5</f>
        <v>0.93125000000000002</v>
      </c>
      <c r="R298" s="295">
        <f>'BD Plant List'!$N300/12*'BD Feedstock'!R$3*'BD Plant List'!AE$5</f>
        <v>26.540625000000002</v>
      </c>
      <c r="S298" s="295">
        <f>'BD Plant List'!$N300/12*'BD Feedstock'!S$3*'BD Plant List'!AF$5</f>
        <v>1.40625</v>
      </c>
      <c r="T298" s="295">
        <f>'BD Plant List'!$O300/12*'BD Feedstock'!T$3*'BD Plant List'!AB$5</f>
        <v>8.5732126770944213</v>
      </c>
      <c r="U298" s="295">
        <f>'BD Plant List'!$O300/12*'BD Feedstock'!U$3*'BD Plant List'!AC$5</f>
        <v>3.0347329175263269</v>
      </c>
    </row>
    <row r="299" spans="1:21" ht="18">
      <c r="A299" s="293">
        <v>48792</v>
      </c>
      <c r="B299" s="295">
        <f>'BD Plant List'!B301/12*'BD Plant List'!$AE$5*$B$3</f>
        <v>43.458333333333336</v>
      </c>
      <c r="C299" s="295">
        <f>'BD Plant List'!$C301/12*'BD Plant List'!$AB$5*'BD Feedstock'!$D$3</f>
        <v>2.098958333333333</v>
      </c>
      <c r="D299" s="295">
        <f>'BD Plant List'!$C301/12*'BD Plant List'!$AC$5*'BD Feedstock'!$D$3</f>
        <v>2.2289583333333334</v>
      </c>
      <c r="E299" s="295">
        <f>'BD Plant List'!$D301/12*'BD Plant List'!AB$5*'BD Feedstock'!$E$3</f>
        <v>9.6875</v>
      </c>
      <c r="F299" s="295">
        <f>'BD Plant List'!$D301/12*'BD Plant List'!AC$5*'BD Feedstock'!$F$3</f>
        <v>3.4291666666666671</v>
      </c>
      <c r="G299" s="295">
        <f>'BD Plant List'!$E301/12*'BD Feedstock'!G$3*'BD Plant List'!AB$5</f>
        <v>1.453125</v>
      </c>
      <c r="H299" s="295">
        <f>'BD Plant List'!$E301/12*'BD Feedstock'!H$3*'BD Plant List'!AC$5</f>
        <v>0.51437500000000003</v>
      </c>
      <c r="I299" s="295">
        <f>'BD Plant List'!F301/12*'BD Feedstock'!I$3*'BD Plant List'!AC$5</f>
        <v>0.13716666666666666</v>
      </c>
      <c r="J299" s="295">
        <f>'BD Plant List'!G301/12*'BD Feedstock'!J$3*'BD Plant List'!AD$5</f>
        <v>0.90199999999999991</v>
      </c>
      <c r="K299" s="295">
        <f>'BD Plant List'!$H301/12*'BD Feedstock'!K$3*'BD Plant List'!AB$5</f>
        <v>0</v>
      </c>
      <c r="L299" s="295">
        <f>'BD Plant List'!$H301/12*'BD Feedstock'!L$3*'BD Plant List'!AC$5</f>
        <v>0</v>
      </c>
      <c r="M299" s="295">
        <f>'BD Plant List'!$I301/12*'BD Feedstock'!$M$3*'BD Plant List'!AC$5</f>
        <v>3.4291666666666671</v>
      </c>
      <c r="N299" s="295">
        <f>'BD Plant List'!$J301/12*'BD Feedstock'!N$3*'BD Plant List'!AC$5</f>
        <v>0</v>
      </c>
      <c r="O299" s="295">
        <f>'BD Plant List'!$K301/12*'BD Feedstock'!O$3*'BD Plant List'!AC$5</f>
        <v>0</v>
      </c>
      <c r="P299" s="295">
        <f>'BD Plant List'!$L301/12*'BD Feedstock'!P$3*'BD Plant List'!AE$5</f>
        <v>0</v>
      </c>
      <c r="Q299" s="295">
        <f>'BD Plant List'!$M301/12*'BD Feedstock'!Q$3*'BD Plant List'!AE$5</f>
        <v>0.93125000000000002</v>
      </c>
      <c r="R299" s="295">
        <f>'BD Plant List'!$N301/12*'BD Feedstock'!R$3*'BD Plant List'!AE$5</f>
        <v>26.540625000000002</v>
      </c>
      <c r="S299" s="295">
        <f>'BD Plant List'!$N301/12*'BD Feedstock'!S$3*'BD Plant List'!AF$5</f>
        <v>1.40625</v>
      </c>
      <c r="T299" s="295">
        <f>'BD Plant List'!$O301/12*'BD Feedstock'!T$3*'BD Plant List'!AB$5</f>
        <v>8.5732126770944213</v>
      </c>
      <c r="U299" s="295">
        <f>'BD Plant List'!$O301/12*'BD Feedstock'!U$3*'BD Plant List'!AC$5</f>
        <v>3.0347329175263269</v>
      </c>
    </row>
    <row r="300" spans="1:21" ht="18">
      <c r="A300" s="293">
        <v>48823</v>
      </c>
      <c r="B300" s="295">
        <f>'BD Plant List'!B302/12*'BD Plant List'!$AE$5*$B$3</f>
        <v>43.458333333333336</v>
      </c>
      <c r="C300" s="295">
        <f>'BD Plant List'!$C302/12*'BD Plant List'!$AB$5*'BD Feedstock'!$D$3</f>
        <v>2.098958333333333</v>
      </c>
      <c r="D300" s="295">
        <f>'BD Plant List'!$C302/12*'BD Plant List'!$AC$5*'BD Feedstock'!$D$3</f>
        <v>2.2289583333333334</v>
      </c>
      <c r="E300" s="295">
        <f>'BD Plant List'!$D302/12*'BD Plant List'!AB$5*'BD Feedstock'!$E$3</f>
        <v>9.6875</v>
      </c>
      <c r="F300" s="295">
        <f>'BD Plant List'!$D302/12*'BD Plant List'!AC$5*'BD Feedstock'!$F$3</f>
        <v>3.4291666666666671</v>
      </c>
      <c r="G300" s="295">
        <f>'BD Plant List'!$E302/12*'BD Feedstock'!G$3*'BD Plant List'!AB$5</f>
        <v>1.453125</v>
      </c>
      <c r="H300" s="295">
        <f>'BD Plant List'!$E302/12*'BD Feedstock'!H$3*'BD Plant List'!AC$5</f>
        <v>0.51437500000000003</v>
      </c>
      <c r="I300" s="295">
        <f>'BD Plant List'!F302/12*'BD Feedstock'!I$3*'BD Plant List'!AC$5</f>
        <v>0.13716666666666666</v>
      </c>
      <c r="J300" s="295">
        <f>'BD Plant List'!G302/12*'BD Feedstock'!J$3*'BD Plant List'!AD$5</f>
        <v>0.90199999999999991</v>
      </c>
      <c r="K300" s="295">
        <f>'BD Plant List'!$H302/12*'BD Feedstock'!K$3*'BD Plant List'!AB$5</f>
        <v>0</v>
      </c>
      <c r="L300" s="295">
        <f>'BD Plant List'!$H302/12*'BD Feedstock'!L$3*'BD Plant List'!AC$5</f>
        <v>0</v>
      </c>
      <c r="M300" s="295">
        <f>'BD Plant List'!$I302/12*'BD Feedstock'!$M$3*'BD Plant List'!AC$5</f>
        <v>3.4291666666666671</v>
      </c>
      <c r="N300" s="295">
        <f>'BD Plant List'!$J302/12*'BD Feedstock'!N$3*'BD Plant List'!AC$5</f>
        <v>0</v>
      </c>
      <c r="O300" s="295">
        <f>'BD Plant List'!$K302/12*'BD Feedstock'!O$3*'BD Plant List'!AC$5</f>
        <v>0</v>
      </c>
      <c r="P300" s="295">
        <f>'BD Plant List'!$L302/12*'BD Feedstock'!P$3*'BD Plant List'!AE$5</f>
        <v>0</v>
      </c>
      <c r="Q300" s="295">
        <f>'BD Plant List'!$M302/12*'BD Feedstock'!Q$3*'BD Plant List'!AE$5</f>
        <v>0.93125000000000002</v>
      </c>
      <c r="R300" s="295">
        <f>'BD Plant List'!$N302/12*'BD Feedstock'!R$3*'BD Plant List'!AE$5</f>
        <v>26.540625000000002</v>
      </c>
      <c r="S300" s="295">
        <f>'BD Plant List'!$N302/12*'BD Feedstock'!S$3*'BD Plant List'!AF$5</f>
        <v>1.40625</v>
      </c>
      <c r="T300" s="295">
        <f>'BD Plant List'!$O302/12*'BD Feedstock'!T$3*'BD Plant List'!AB$5</f>
        <v>8.5732126770944213</v>
      </c>
      <c r="U300" s="295">
        <f>'BD Plant List'!$O302/12*'BD Feedstock'!U$3*'BD Plant List'!AC$5</f>
        <v>3.0347329175263269</v>
      </c>
    </row>
    <row r="301" spans="1:21" ht="18">
      <c r="A301" s="293">
        <v>48853</v>
      </c>
      <c r="B301" s="295">
        <f>'BD Plant List'!B303/12*'BD Plant List'!$AE$5*$B$3</f>
        <v>43.458333333333336</v>
      </c>
      <c r="C301" s="295">
        <f>'BD Plant List'!$C303/12*'BD Plant List'!$AB$5*'BD Feedstock'!$D$3</f>
        <v>2.098958333333333</v>
      </c>
      <c r="D301" s="295">
        <f>'BD Plant List'!$C303/12*'BD Plant List'!$AC$5*'BD Feedstock'!$D$3</f>
        <v>2.2289583333333334</v>
      </c>
      <c r="E301" s="295">
        <f>'BD Plant List'!$D303/12*'BD Plant List'!AB$5*'BD Feedstock'!$E$3</f>
        <v>9.6875</v>
      </c>
      <c r="F301" s="295">
        <f>'BD Plant List'!$D303/12*'BD Plant List'!AC$5*'BD Feedstock'!$F$3</f>
        <v>3.4291666666666671</v>
      </c>
      <c r="G301" s="295">
        <f>'BD Plant List'!$E303/12*'BD Feedstock'!G$3*'BD Plant List'!AB$5</f>
        <v>1.453125</v>
      </c>
      <c r="H301" s="295">
        <f>'BD Plant List'!$E303/12*'BD Feedstock'!H$3*'BD Plant List'!AC$5</f>
        <v>0.51437500000000003</v>
      </c>
      <c r="I301" s="295">
        <f>'BD Plant List'!F303/12*'BD Feedstock'!I$3*'BD Plant List'!AC$5</f>
        <v>0.13716666666666666</v>
      </c>
      <c r="J301" s="295">
        <f>'BD Plant List'!G303/12*'BD Feedstock'!J$3*'BD Plant List'!AD$5</f>
        <v>0.90199999999999991</v>
      </c>
      <c r="K301" s="295">
        <f>'BD Plant List'!$H303/12*'BD Feedstock'!K$3*'BD Plant List'!AB$5</f>
        <v>0</v>
      </c>
      <c r="L301" s="295">
        <f>'BD Plant List'!$H303/12*'BD Feedstock'!L$3*'BD Plant List'!AC$5</f>
        <v>0</v>
      </c>
      <c r="M301" s="295">
        <f>'BD Plant List'!$I303/12*'BD Feedstock'!$M$3*'BD Plant List'!AC$5</f>
        <v>3.4291666666666671</v>
      </c>
      <c r="N301" s="295">
        <f>'BD Plant List'!$J303/12*'BD Feedstock'!N$3*'BD Plant List'!AC$5</f>
        <v>0</v>
      </c>
      <c r="O301" s="295">
        <f>'BD Plant List'!$K303/12*'BD Feedstock'!O$3*'BD Plant List'!AC$5</f>
        <v>0</v>
      </c>
      <c r="P301" s="295">
        <f>'BD Plant List'!$L303/12*'BD Feedstock'!P$3*'BD Plant List'!AE$5</f>
        <v>0</v>
      </c>
      <c r="Q301" s="295">
        <f>'BD Plant List'!$M303/12*'BD Feedstock'!Q$3*'BD Plant List'!AE$5</f>
        <v>0.93125000000000002</v>
      </c>
      <c r="R301" s="295">
        <f>'BD Plant List'!$N303/12*'BD Feedstock'!R$3*'BD Plant List'!AE$5</f>
        <v>26.540625000000002</v>
      </c>
      <c r="S301" s="295">
        <f>'BD Plant List'!$N303/12*'BD Feedstock'!S$3*'BD Plant List'!AF$5</f>
        <v>1.40625</v>
      </c>
      <c r="T301" s="295">
        <f>'BD Plant List'!$O303/12*'BD Feedstock'!T$3*'BD Plant List'!AB$5</f>
        <v>8.5732126770944213</v>
      </c>
      <c r="U301" s="295">
        <f>'BD Plant List'!$O303/12*'BD Feedstock'!U$3*'BD Plant List'!AC$5</f>
        <v>3.0347329175263269</v>
      </c>
    </row>
    <row r="302" spans="1:21" ht="18">
      <c r="A302" s="293">
        <v>48884</v>
      </c>
      <c r="B302" s="295">
        <f>'BD Plant List'!B304/12*'BD Plant List'!$AE$5*$B$3</f>
        <v>43.458333333333336</v>
      </c>
      <c r="C302" s="295">
        <f>'BD Plant List'!$C304/12*'BD Plant List'!$AB$5*'BD Feedstock'!$D$3</f>
        <v>2.098958333333333</v>
      </c>
      <c r="D302" s="295">
        <f>'BD Plant List'!$C304/12*'BD Plant List'!$AC$5*'BD Feedstock'!$D$3</f>
        <v>2.2289583333333334</v>
      </c>
      <c r="E302" s="295">
        <f>'BD Plant List'!$D304/12*'BD Plant List'!AB$5*'BD Feedstock'!$E$3</f>
        <v>9.6875</v>
      </c>
      <c r="F302" s="295">
        <f>'BD Plant List'!$D304/12*'BD Plant List'!AC$5*'BD Feedstock'!$F$3</f>
        <v>3.4291666666666671</v>
      </c>
      <c r="G302" s="295">
        <f>'BD Plant List'!$E304/12*'BD Feedstock'!G$3*'BD Plant List'!AB$5</f>
        <v>1.453125</v>
      </c>
      <c r="H302" s="295">
        <f>'BD Plant List'!$E304/12*'BD Feedstock'!H$3*'BD Plant List'!AC$5</f>
        <v>0.51437500000000003</v>
      </c>
      <c r="I302" s="295">
        <f>'BD Plant List'!F304/12*'BD Feedstock'!I$3*'BD Plant List'!AC$5</f>
        <v>0.13716666666666666</v>
      </c>
      <c r="J302" s="295">
        <f>'BD Plant List'!G304/12*'BD Feedstock'!J$3*'BD Plant List'!AD$5</f>
        <v>0.90199999999999991</v>
      </c>
      <c r="K302" s="295">
        <f>'BD Plant List'!$H304/12*'BD Feedstock'!K$3*'BD Plant List'!AB$5</f>
        <v>0</v>
      </c>
      <c r="L302" s="295">
        <f>'BD Plant List'!$H304/12*'BD Feedstock'!L$3*'BD Plant List'!AC$5</f>
        <v>0</v>
      </c>
      <c r="M302" s="295">
        <f>'BD Plant List'!$I304/12*'BD Feedstock'!$M$3*'BD Plant List'!AC$5</f>
        <v>3.4291666666666671</v>
      </c>
      <c r="N302" s="295">
        <f>'BD Plant List'!$J304/12*'BD Feedstock'!N$3*'BD Plant List'!AC$5</f>
        <v>0</v>
      </c>
      <c r="O302" s="295">
        <f>'BD Plant List'!$K304/12*'BD Feedstock'!O$3*'BD Plant List'!AC$5</f>
        <v>0</v>
      </c>
      <c r="P302" s="295">
        <f>'BD Plant List'!$L304/12*'BD Feedstock'!P$3*'BD Plant List'!AE$5</f>
        <v>0</v>
      </c>
      <c r="Q302" s="295">
        <f>'BD Plant List'!$M304/12*'BD Feedstock'!Q$3*'BD Plant List'!AE$5</f>
        <v>0.93125000000000002</v>
      </c>
      <c r="R302" s="295">
        <f>'BD Plant List'!$N304/12*'BD Feedstock'!R$3*'BD Plant List'!AE$5</f>
        <v>26.540625000000002</v>
      </c>
      <c r="S302" s="295">
        <f>'BD Plant List'!$N304/12*'BD Feedstock'!S$3*'BD Plant List'!AF$5</f>
        <v>1.40625</v>
      </c>
      <c r="T302" s="295">
        <f>'BD Plant List'!$O304/12*'BD Feedstock'!T$3*'BD Plant List'!AB$5</f>
        <v>8.5732126770944213</v>
      </c>
      <c r="U302" s="295">
        <f>'BD Plant List'!$O304/12*'BD Feedstock'!U$3*'BD Plant List'!AC$5</f>
        <v>3.0347329175263269</v>
      </c>
    </row>
    <row r="303" spans="1:21" ht="18">
      <c r="A303" s="293">
        <v>48914</v>
      </c>
      <c r="B303" s="295">
        <f>'BD Plant List'!B305/12*'BD Plant List'!$AE$5*$B$3</f>
        <v>43.458333333333336</v>
      </c>
      <c r="C303" s="295">
        <f>'BD Plant List'!$C305/12*'BD Plant List'!$AB$5*'BD Feedstock'!$D$3</f>
        <v>2.098958333333333</v>
      </c>
      <c r="D303" s="295">
        <f>'BD Plant List'!$C305/12*'BD Plant List'!$AC$5*'BD Feedstock'!$D$3</f>
        <v>2.2289583333333334</v>
      </c>
      <c r="E303" s="295">
        <f>'BD Plant List'!$D305/12*'BD Plant List'!AB$5*'BD Feedstock'!$E$3</f>
        <v>9.6875</v>
      </c>
      <c r="F303" s="295">
        <f>'BD Plant List'!$D305/12*'BD Plant List'!AC$5*'BD Feedstock'!$F$3</f>
        <v>3.4291666666666671</v>
      </c>
      <c r="G303" s="295">
        <f>'BD Plant List'!$E305/12*'BD Feedstock'!G$3*'BD Plant List'!AB$5</f>
        <v>1.453125</v>
      </c>
      <c r="H303" s="295">
        <f>'BD Plant List'!$E305/12*'BD Feedstock'!H$3*'BD Plant List'!AC$5</f>
        <v>0.51437500000000003</v>
      </c>
      <c r="I303" s="295">
        <f>'BD Plant List'!F305/12*'BD Feedstock'!I$3*'BD Plant List'!AC$5</f>
        <v>0.13716666666666666</v>
      </c>
      <c r="J303" s="295">
        <f>'BD Plant List'!G305/12*'BD Feedstock'!J$3*'BD Plant List'!AD$5</f>
        <v>0.90199999999999991</v>
      </c>
      <c r="K303" s="295">
        <f>'BD Plant List'!$H305/12*'BD Feedstock'!K$3*'BD Plant List'!AB$5</f>
        <v>0</v>
      </c>
      <c r="L303" s="295">
        <f>'BD Plant List'!$H305/12*'BD Feedstock'!L$3*'BD Plant List'!AC$5</f>
        <v>0</v>
      </c>
      <c r="M303" s="295">
        <f>'BD Plant List'!$I305/12*'BD Feedstock'!$M$3*'BD Plant List'!AC$5</f>
        <v>3.4291666666666671</v>
      </c>
      <c r="N303" s="295">
        <f>'BD Plant List'!$J305/12*'BD Feedstock'!N$3*'BD Plant List'!AC$5</f>
        <v>0</v>
      </c>
      <c r="O303" s="295">
        <f>'BD Plant List'!$K305/12*'BD Feedstock'!O$3*'BD Plant List'!AC$5</f>
        <v>0</v>
      </c>
      <c r="P303" s="295">
        <f>'BD Plant List'!$L305/12*'BD Feedstock'!P$3*'BD Plant List'!AE$5</f>
        <v>0</v>
      </c>
      <c r="Q303" s="295">
        <f>'BD Plant List'!$M305/12*'BD Feedstock'!Q$3*'BD Plant List'!AE$5</f>
        <v>0.93125000000000002</v>
      </c>
      <c r="R303" s="295">
        <f>'BD Plant List'!$N305/12*'BD Feedstock'!R$3*'BD Plant List'!AE$5</f>
        <v>26.540625000000002</v>
      </c>
      <c r="S303" s="295">
        <f>'BD Plant List'!$N305/12*'BD Feedstock'!S$3*'BD Plant List'!AF$5</f>
        <v>1.40625</v>
      </c>
      <c r="T303" s="295">
        <f>'BD Plant List'!$O305/12*'BD Feedstock'!T$3*'BD Plant List'!AB$5</f>
        <v>8.5732126770944213</v>
      </c>
      <c r="U303" s="295">
        <f>'BD Plant List'!$O305/12*'BD Feedstock'!U$3*'BD Plant List'!AC$5</f>
        <v>3.0347329175263269</v>
      </c>
    </row>
    <row r="304" spans="1:21" ht="18">
      <c r="A304" s="293">
        <v>48945</v>
      </c>
      <c r="B304" s="295">
        <f>'BD Plant List'!B306/12*'BD Plant List'!$AE$5*$B$3</f>
        <v>43.458333333333336</v>
      </c>
      <c r="C304" s="295">
        <f>'BD Plant List'!$C306/12*'BD Plant List'!$AB$5*'BD Feedstock'!$D$3</f>
        <v>2.098958333333333</v>
      </c>
      <c r="D304" s="295">
        <f>'BD Plant List'!$C306/12*'BD Plant List'!$AC$5*'BD Feedstock'!$D$3</f>
        <v>2.2289583333333334</v>
      </c>
      <c r="E304" s="295">
        <f>'BD Plant List'!$D306/12*'BD Plant List'!AB$5*'BD Feedstock'!$E$3</f>
        <v>9.6875</v>
      </c>
      <c r="F304" s="295">
        <f>'BD Plant List'!$D306/12*'BD Plant List'!AC$5*'BD Feedstock'!$F$3</f>
        <v>3.4291666666666671</v>
      </c>
      <c r="G304" s="295">
        <f>'BD Plant List'!$E306/12*'BD Feedstock'!G$3*'BD Plant List'!AB$5</f>
        <v>1.453125</v>
      </c>
      <c r="H304" s="295">
        <f>'BD Plant List'!$E306/12*'BD Feedstock'!H$3*'BD Plant List'!AC$5</f>
        <v>0.51437500000000003</v>
      </c>
      <c r="I304" s="295">
        <f>'BD Plant List'!F306/12*'BD Feedstock'!I$3*'BD Plant List'!AC$5</f>
        <v>0.13716666666666666</v>
      </c>
      <c r="J304" s="295">
        <f>'BD Plant List'!G306/12*'BD Feedstock'!J$3*'BD Plant List'!AD$5</f>
        <v>0.90199999999999991</v>
      </c>
      <c r="K304" s="295">
        <f>'BD Plant List'!$H306/12*'BD Feedstock'!K$3*'BD Plant List'!AB$5</f>
        <v>0</v>
      </c>
      <c r="L304" s="295">
        <f>'BD Plant List'!$H306/12*'BD Feedstock'!L$3*'BD Plant List'!AC$5</f>
        <v>0</v>
      </c>
      <c r="M304" s="295">
        <f>'BD Plant List'!$I306/12*'BD Feedstock'!$M$3*'BD Plant List'!AC$5</f>
        <v>3.4291666666666671</v>
      </c>
      <c r="N304" s="295">
        <f>'BD Plant List'!$J306/12*'BD Feedstock'!N$3*'BD Plant List'!AC$5</f>
        <v>0</v>
      </c>
      <c r="O304" s="295">
        <f>'BD Plant List'!$K306/12*'BD Feedstock'!O$3*'BD Plant List'!AC$5</f>
        <v>0</v>
      </c>
      <c r="P304" s="295">
        <f>'BD Plant List'!$L306/12*'BD Feedstock'!P$3*'BD Plant List'!AE$5</f>
        <v>0</v>
      </c>
      <c r="Q304" s="295">
        <f>'BD Plant List'!$M306/12*'BD Feedstock'!Q$3*'BD Plant List'!AE$5</f>
        <v>0.93125000000000002</v>
      </c>
      <c r="R304" s="295">
        <f>'BD Plant List'!$N306/12*'BD Feedstock'!R$3*'BD Plant List'!AE$5</f>
        <v>26.540625000000002</v>
      </c>
      <c r="S304" s="295">
        <f>'BD Plant List'!$N306/12*'BD Feedstock'!S$3*'BD Plant List'!AF$5</f>
        <v>1.40625</v>
      </c>
      <c r="T304" s="295">
        <f>'BD Plant List'!$O306/12*'BD Feedstock'!T$3*'BD Plant List'!AB$5</f>
        <v>8.5732126770944213</v>
      </c>
      <c r="U304" s="295">
        <f>'BD Plant List'!$O306/12*'BD Feedstock'!U$3*'BD Plant List'!AC$5</f>
        <v>3.0347329175263269</v>
      </c>
    </row>
    <row r="305" spans="1:21" ht="18">
      <c r="A305" s="293">
        <v>48976</v>
      </c>
      <c r="B305" s="295">
        <f>'BD Plant List'!B307/12*'BD Plant List'!$AE$5*$B$3</f>
        <v>43.458333333333336</v>
      </c>
      <c r="C305" s="295">
        <f>'BD Plant List'!$C307/12*'BD Plant List'!$AB$5*'BD Feedstock'!$D$3</f>
        <v>2.098958333333333</v>
      </c>
      <c r="D305" s="295">
        <f>'BD Plant List'!$C307/12*'BD Plant List'!$AC$5*'BD Feedstock'!$D$3</f>
        <v>2.2289583333333334</v>
      </c>
      <c r="E305" s="295">
        <f>'BD Plant List'!$D307/12*'BD Plant List'!AB$5*'BD Feedstock'!$E$3</f>
        <v>9.6875</v>
      </c>
      <c r="F305" s="295">
        <f>'BD Plant List'!$D307/12*'BD Plant List'!AC$5*'BD Feedstock'!$F$3</f>
        <v>3.4291666666666671</v>
      </c>
      <c r="G305" s="295">
        <f>'BD Plant List'!$E307/12*'BD Feedstock'!G$3*'BD Plant List'!AB$5</f>
        <v>1.453125</v>
      </c>
      <c r="H305" s="295">
        <f>'BD Plant List'!$E307/12*'BD Feedstock'!H$3*'BD Plant List'!AC$5</f>
        <v>0.51437500000000003</v>
      </c>
      <c r="I305" s="295">
        <f>'BD Plant List'!F307/12*'BD Feedstock'!I$3*'BD Plant List'!AC$5</f>
        <v>0.13716666666666666</v>
      </c>
      <c r="J305" s="295">
        <f>'BD Plant List'!G307/12*'BD Feedstock'!J$3*'BD Plant List'!AD$5</f>
        <v>0.90199999999999991</v>
      </c>
      <c r="K305" s="295">
        <f>'BD Plant List'!$H307/12*'BD Feedstock'!K$3*'BD Plant List'!AB$5</f>
        <v>0</v>
      </c>
      <c r="L305" s="295">
        <f>'BD Plant List'!$H307/12*'BD Feedstock'!L$3*'BD Plant List'!AC$5</f>
        <v>0</v>
      </c>
      <c r="M305" s="295">
        <f>'BD Plant List'!$I307/12*'BD Feedstock'!$M$3*'BD Plant List'!AC$5</f>
        <v>3.4291666666666671</v>
      </c>
      <c r="N305" s="295">
        <f>'BD Plant List'!$J307/12*'BD Feedstock'!N$3*'BD Plant List'!AC$5</f>
        <v>0</v>
      </c>
      <c r="O305" s="295">
        <f>'BD Plant List'!$K307/12*'BD Feedstock'!O$3*'BD Plant List'!AC$5</f>
        <v>0</v>
      </c>
      <c r="P305" s="295">
        <f>'BD Plant List'!$L307/12*'BD Feedstock'!P$3*'BD Plant List'!AE$5</f>
        <v>0</v>
      </c>
      <c r="Q305" s="295">
        <f>'BD Plant List'!$M307/12*'BD Feedstock'!Q$3*'BD Plant List'!AE$5</f>
        <v>0.93125000000000002</v>
      </c>
      <c r="R305" s="295">
        <f>'BD Plant List'!$N307/12*'BD Feedstock'!R$3*'BD Plant List'!AE$5</f>
        <v>26.540625000000002</v>
      </c>
      <c r="S305" s="295">
        <f>'BD Plant List'!$N307/12*'BD Feedstock'!S$3*'BD Plant List'!AF$5</f>
        <v>1.40625</v>
      </c>
      <c r="T305" s="295">
        <f>'BD Plant List'!$O307/12*'BD Feedstock'!T$3*'BD Plant List'!AB$5</f>
        <v>8.5732126770944213</v>
      </c>
      <c r="U305" s="295">
        <f>'BD Plant List'!$O307/12*'BD Feedstock'!U$3*'BD Plant List'!AC$5</f>
        <v>3.0347329175263269</v>
      </c>
    </row>
    <row r="306" spans="1:21" ht="18">
      <c r="A306" s="293">
        <v>49004</v>
      </c>
      <c r="B306" s="295">
        <f>'BD Plant List'!B308/12*'BD Plant List'!$AE$5*$B$3</f>
        <v>43.458333333333336</v>
      </c>
      <c r="C306" s="295">
        <f>'BD Plant List'!$C308/12*'BD Plant List'!$AB$5*'BD Feedstock'!$D$3</f>
        <v>2.098958333333333</v>
      </c>
      <c r="D306" s="295">
        <f>'BD Plant List'!$C308/12*'BD Plant List'!$AC$5*'BD Feedstock'!$D$3</f>
        <v>2.2289583333333334</v>
      </c>
      <c r="E306" s="295">
        <f>'BD Plant List'!$D308/12*'BD Plant List'!AB$5*'BD Feedstock'!$E$3</f>
        <v>9.6875</v>
      </c>
      <c r="F306" s="295">
        <f>'BD Plant List'!$D308/12*'BD Plant List'!AC$5*'BD Feedstock'!$F$3</f>
        <v>3.4291666666666671</v>
      </c>
      <c r="G306" s="295">
        <f>'BD Plant List'!$E308/12*'BD Feedstock'!G$3*'BD Plant List'!AB$5</f>
        <v>1.453125</v>
      </c>
      <c r="H306" s="295">
        <f>'BD Plant List'!$E308/12*'BD Feedstock'!H$3*'BD Plant List'!AC$5</f>
        <v>0.51437500000000003</v>
      </c>
      <c r="I306" s="295">
        <f>'BD Plant List'!F308/12*'BD Feedstock'!I$3*'BD Plant List'!AC$5</f>
        <v>0.13716666666666666</v>
      </c>
      <c r="J306" s="295">
        <f>'BD Plant List'!G308/12*'BD Feedstock'!J$3*'BD Plant List'!AD$5</f>
        <v>0.90199999999999991</v>
      </c>
      <c r="K306" s="295">
        <f>'BD Plant List'!$H308/12*'BD Feedstock'!K$3*'BD Plant List'!AB$5</f>
        <v>0</v>
      </c>
      <c r="L306" s="295">
        <f>'BD Plant List'!$H308/12*'BD Feedstock'!L$3*'BD Plant List'!AC$5</f>
        <v>0</v>
      </c>
      <c r="M306" s="295">
        <f>'BD Plant List'!$I308/12*'BD Feedstock'!$M$3*'BD Plant List'!AC$5</f>
        <v>3.4291666666666671</v>
      </c>
      <c r="N306" s="295">
        <f>'BD Plant List'!$J308/12*'BD Feedstock'!N$3*'BD Plant List'!AC$5</f>
        <v>0</v>
      </c>
      <c r="O306" s="295">
        <f>'BD Plant List'!$K308/12*'BD Feedstock'!O$3*'BD Plant List'!AC$5</f>
        <v>0</v>
      </c>
      <c r="P306" s="295">
        <f>'BD Plant List'!$L308/12*'BD Feedstock'!P$3*'BD Plant List'!AE$5</f>
        <v>0</v>
      </c>
      <c r="Q306" s="295">
        <f>'BD Plant List'!$M308/12*'BD Feedstock'!Q$3*'BD Plant List'!AE$5</f>
        <v>0.93125000000000002</v>
      </c>
      <c r="R306" s="295">
        <f>'BD Plant List'!$N308/12*'BD Feedstock'!R$3*'BD Plant List'!AE$5</f>
        <v>26.540625000000002</v>
      </c>
      <c r="S306" s="295">
        <f>'BD Plant List'!$N308/12*'BD Feedstock'!S$3*'BD Plant List'!AF$5</f>
        <v>1.40625</v>
      </c>
      <c r="T306" s="295">
        <f>'BD Plant List'!$O308/12*'BD Feedstock'!T$3*'BD Plant List'!AB$5</f>
        <v>8.5732126770944213</v>
      </c>
      <c r="U306" s="295">
        <f>'BD Plant List'!$O308/12*'BD Feedstock'!U$3*'BD Plant List'!AC$5</f>
        <v>3.0347329175263269</v>
      </c>
    </row>
    <row r="307" spans="1:21" ht="18">
      <c r="A307" s="293">
        <v>49035</v>
      </c>
      <c r="B307" s="295">
        <f>'BD Plant List'!B309/12*'BD Plant List'!$AE$5*$B$3</f>
        <v>43.458333333333336</v>
      </c>
      <c r="C307" s="295">
        <f>'BD Plant List'!$C309/12*'BD Plant List'!$AB$5*'BD Feedstock'!$D$3</f>
        <v>2.098958333333333</v>
      </c>
      <c r="D307" s="295">
        <f>'BD Plant List'!$C309/12*'BD Plant List'!$AC$5*'BD Feedstock'!$D$3</f>
        <v>2.2289583333333334</v>
      </c>
      <c r="E307" s="295">
        <f>'BD Plant List'!$D309/12*'BD Plant List'!AB$5*'BD Feedstock'!$E$3</f>
        <v>9.6875</v>
      </c>
      <c r="F307" s="295">
        <f>'BD Plant List'!$D309/12*'BD Plant List'!AC$5*'BD Feedstock'!$F$3</f>
        <v>3.4291666666666671</v>
      </c>
      <c r="G307" s="295">
        <f>'BD Plant List'!$E309/12*'BD Feedstock'!G$3*'BD Plant List'!AB$5</f>
        <v>1.453125</v>
      </c>
      <c r="H307" s="295">
        <f>'BD Plant List'!$E309/12*'BD Feedstock'!H$3*'BD Plant List'!AC$5</f>
        <v>0.51437500000000003</v>
      </c>
      <c r="I307" s="295">
        <f>'BD Plant List'!F309/12*'BD Feedstock'!I$3*'BD Plant List'!AC$5</f>
        <v>0.13716666666666666</v>
      </c>
      <c r="J307" s="295">
        <f>'BD Plant List'!G309/12*'BD Feedstock'!J$3*'BD Plant List'!AD$5</f>
        <v>0.90199999999999991</v>
      </c>
      <c r="K307" s="295">
        <f>'BD Plant List'!$H309/12*'BD Feedstock'!K$3*'BD Plant List'!AB$5</f>
        <v>0</v>
      </c>
      <c r="L307" s="295">
        <f>'BD Plant List'!$H309/12*'BD Feedstock'!L$3*'BD Plant List'!AC$5</f>
        <v>0</v>
      </c>
      <c r="M307" s="295">
        <f>'BD Plant List'!$I309/12*'BD Feedstock'!$M$3*'BD Plant List'!AC$5</f>
        <v>3.4291666666666671</v>
      </c>
      <c r="N307" s="295">
        <f>'BD Plant List'!$J309/12*'BD Feedstock'!N$3*'BD Plant List'!AC$5</f>
        <v>0</v>
      </c>
      <c r="O307" s="295">
        <f>'BD Plant List'!$K309/12*'BD Feedstock'!O$3*'BD Plant List'!AC$5</f>
        <v>0</v>
      </c>
      <c r="P307" s="295">
        <f>'BD Plant List'!$L309/12*'BD Feedstock'!P$3*'BD Plant List'!AE$5</f>
        <v>0</v>
      </c>
      <c r="Q307" s="295">
        <f>'BD Plant List'!$M309/12*'BD Feedstock'!Q$3*'BD Plant List'!AE$5</f>
        <v>0.93125000000000002</v>
      </c>
      <c r="R307" s="295">
        <f>'BD Plant List'!$N309/12*'BD Feedstock'!R$3*'BD Plant List'!AE$5</f>
        <v>26.540625000000002</v>
      </c>
      <c r="S307" s="295">
        <f>'BD Plant List'!$N309/12*'BD Feedstock'!S$3*'BD Plant List'!AF$5</f>
        <v>1.40625</v>
      </c>
      <c r="T307" s="295">
        <f>'BD Plant List'!$O309/12*'BD Feedstock'!T$3*'BD Plant List'!AB$5</f>
        <v>8.5732126770944213</v>
      </c>
      <c r="U307" s="295">
        <f>'BD Plant List'!$O309/12*'BD Feedstock'!U$3*'BD Plant List'!AC$5</f>
        <v>3.0347329175263269</v>
      </c>
    </row>
    <row r="308" spans="1:21" ht="18">
      <c r="A308" s="293">
        <v>49065</v>
      </c>
      <c r="B308" s="295">
        <f>'BD Plant List'!B310/12*'BD Plant List'!$AE$5*$B$3</f>
        <v>43.458333333333336</v>
      </c>
      <c r="C308" s="295">
        <f>'BD Plant List'!$C310/12*'BD Plant List'!$AB$5*'BD Feedstock'!$D$3</f>
        <v>2.098958333333333</v>
      </c>
      <c r="D308" s="295">
        <f>'BD Plant List'!$C310/12*'BD Plant List'!$AC$5*'BD Feedstock'!$D$3</f>
        <v>2.2289583333333334</v>
      </c>
      <c r="E308" s="295">
        <f>'BD Plant List'!$D310/12*'BD Plant List'!AB$5*'BD Feedstock'!$E$3</f>
        <v>9.6875</v>
      </c>
      <c r="F308" s="295">
        <f>'BD Plant List'!$D310/12*'BD Plant List'!AC$5*'BD Feedstock'!$F$3</f>
        <v>3.4291666666666671</v>
      </c>
      <c r="G308" s="295">
        <f>'BD Plant List'!$E310/12*'BD Feedstock'!G$3*'BD Plant List'!AB$5</f>
        <v>1.453125</v>
      </c>
      <c r="H308" s="295">
        <f>'BD Plant List'!$E310/12*'BD Feedstock'!H$3*'BD Plant List'!AC$5</f>
        <v>0.51437500000000003</v>
      </c>
      <c r="I308" s="295">
        <f>'BD Plant List'!F310/12*'BD Feedstock'!I$3*'BD Plant List'!AC$5</f>
        <v>0.13716666666666666</v>
      </c>
      <c r="J308" s="295">
        <f>'BD Plant List'!G310/12*'BD Feedstock'!J$3*'BD Plant List'!AD$5</f>
        <v>0.90199999999999991</v>
      </c>
      <c r="K308" s="295">
        <f>'BD Plant List'!$H310/12*'BD Feedstock'!K$3*'BD Plant List'!AB$5</f>
        <v>0</v>
      </c>
      <c r="L308" s="295">
        <f>'BD Plant List'!$H310/12*'BD Feedstock'!L$3*'BD Plant List'!AC$5</f>
        <v>0</v>
      </c>
      <c r="M308" s="295">
        <f>'BD Plant List'!$I310/12*'BD Feedstock'!$M$3*'BD Plant List'!AC$5</f>
        <v>3.4291666666666671</v>
      </c>
      <c r="N308" s="295">
        <f>'BD Plant List'!$J310/12*'BD Feedstock'!N$3*'BD Plant List'!AC$5</f>
        <v>0</v>
      </c>
      <c r="O308" s="295">
        <f>'BD Plant List'!$K310/12*'BD Feedstock'!O$3*'BD Plant List'!AC$5</f>
        <v>0</v>
      </c>
      <c r="P308" s="295">
        <f>'BD Plant List'!$L310/12*'BD Feedstock'!P$3*'BD Plant List'!AE$5</f>
        <v>0</v>
      </c>
      <c r="Q308" s="295">
        <f>'BD Plant List'!$M310/12*'BD Feedstock'!Q$3*'BD Plant List'!AE$5</f>
        <v>0.93125000000000002</v>
      </c>
      <c r="R308" s="295">
        <f>'BD Plant List'!$N310/12*'BD Feedstock'!R$3*'BD Plant List'!AE$5</f>
        <v>26.540625000000002</v>
      </c>
      <c r="S308" s="295">
        <f>'BD Plant List'!$N310/12*'BD Feedstock'!S$3*'BD Plant List'!AF$5</f>
        <v>1.40625</v>
      </c>
      <c r="T308" s="295">
        <f>'BD Plant List'!$O310/12*'BD Feedstock'!T$3*'BD Plant List'!AB$5</f>
        <v>8.5732126770944213</v>
      </c>
      <c r="U308" s="295">
        <f>'BD Plant List'!$O310/12*'BD Feedstock'!U$3*'BD Plant List'!AC$5</f>
        <v>3.0347329175263269</v>
      </c>
    </row>
    <row r="309" spans="1:21" ht="18">
      <c r="A309" s="293">
        <v>49096</v>
      </c>
      <c r="B309" s="295">
        <f>'BD Plant List'!B311/12*'BD Plant List'!$AE$5*$B$3</f>
        <v>43.458333333333336</v>
      </c>
      <c r="C309" s="295">
        <f>'BD Plant List'!$C311/12*'BD Plant List'!$AB$5*'BD Feedstock'!$D$3</f>
        <v>2.098958333333333</v>
      </c>
      <c r="D309" s="295">
        <f>'BD Plant List'!$C311/12*'BD Plant List'!$AC$5*'BD Feedstock'!$D$3</f>
        <v>2.2289583333333334</v>
      </c>
      <c r="E309" s="295">
        <f>'BD Plant List'!$D311/12*'BD Plant List'!AB$5*'BD Feedstock'!$E$3</f>
        <v>9.6875</v>
      </c>
      <c r="F309" s="295">
        <f>'BD Plant List'!$D311/12*'BD Plant List'!AC$5*'BD Feedstock'!$F$3</f>
        <v>3.4291666666666671</v>
      </c>
      <c r="G309" s="295">
        <f>'BD Plant List'!$E311/12*'BD Feedstock'!G$3*'BD Plant List'!AB$5</f>
        <v>1.453125</v>
      </c>
      <c r="H309" s="295">
        <f>'BD Plant List'!$E311/12*'BD Feedstock'!H$3*'BD Plant List'!AC$5</f>
        <v>0.51437500000000003</v>
      </c>
      <c r="I309" s="295">
        <f>'BD Plant List'!F311/12*'BD Feedstock'!I$3*'BD Plant List'!AC$5</f>
        <v>0.13716666666666666</v>
      </c>
      <c r="J309" s="295">
        <f>'BD Plant List'!G311/12*'BD Feedstock'!J$3*'BD Plant List'!AD$5</f>
        <v>0.90199999999999991</v>
      </c>
      <c r="K309" s="295">
        <f>'BD Plant List'!$H311/12*'BD Feedstock'!K$3*'BD Plant List'!AB$5</f>
        <v>0</v>
      </c>
      <c r="L309" s="295">
        <f>'BD Plant List'!$H311/12*'BD Feedstock'!L$3*'BD Plant List'!AC$5</f>
        <v>0</v>
      </c>
      <c r="M309" s="295">
        <f>'BD Plant List'!$I311/12*'BD Feedstock'!$M$3*'BD Plant List'!AC$5</f>
        <v>3.4291666666666671</v>
      </c>
      <c r="N309" s="295">
        <f>'BD Plant List'!$J311/12*'BD Feedstock'!N$3*'BD Plant List'!AC$5</f>
        <v>0</v>
      </c>
      <c r="O309" s="295">
        <f>'BD Plant List'!$K311/12*'BD Feedstock'!O$3*'BD Plant List'!AC$5</f>
        <v>0</v>
      </c>
      <c r="P309" s="295">
        <f>'BD Plant List'!$L311/12*'BD Feedstock'!P$3*'BD Plant List'!AE$5</f>
        <v>0</v>
      </c>
      <c r="Q309" s="295">
        <f>'BD Plant List'!$M311/12*'BD Feedstock'!Q$3*'BD Plant List'!AE$5</f>
        <v>0.93125000000000002</v>
      </c>
      <c r="R309" s="295">
        <f>'BD Plant List'!$N311/12*'BD Feedstock'!R$3*'BD Plant List'!AE$5</f>
        <v>26.540625000000002</v>
      </c>
      <c r="S309" s="295">
        <f>'BD Plant List'!$N311/12*'BD Feedstock'!S$3*'BD Plant List'!AF$5</f>
        <v>1.40625</v>
      </c>
      <c r="T309" s="295">
        <f>'BD Plant List'!$O311/12*'BD Feedstock'!T$3*'BD Plant List'!AB$5</f>
        <v>8.5732126770944213</v>
      </c>
      <c r="U309" s="295">
        <f>'BD Plant List'!$O311/12*'BD Feedstock'!U$3*'BD Plant List'!AC$5</f>
        <v>3.0347329175263269</v>
      </c>
    </row>
    <row r="310" spans="1:21" ht="18">
      <c r="A310" s="293">
        <v>49126</v>
      </c>
      <c r="B310" s="295">
        <f>'BD Plant List'!B312/12*'BD Plant List'!$AE$5*$B$3</f>
        <v>43.458333333333336</v>
      </c>
      <c r="C310" s="295">
        <f>'BD Plant List'!$C312/12*'BD Plant List'!$AB$5*'BD Feedstock'!$D$3</f>
        <v>2.098958333333333</v>
      </c>
      <c r="D310" s="295">
        <f>'BD Plant List'!$C312/12*'BD Plant List'!$AC$5*'BD Feedstock'!$D$3</f>
        <v>2.2289583333333334</v>
      </c>
      <c r="E310" s="295">
        <f>'BD Plant List'!$D312/12*'BD Plant List'!AB$5*'BD Feedstock'!$E$3</f>
        <v>9.6875</v>
      </c>
      <c r="F310" s="295">
        <f>'BD Plant List'!$D312/12*'BD Plant List'!AC$5*'BD Feedstock'!$F$3</f>
        <v>3.4291666666666671</v>
      </c>
      <c r="G310" s="295">
        <f>'BD Plant List'!$E312/12*'BD Feedstock'!G$3*'BD Plant List'!AB$5</f>
        <v>1.453125</v>
      </c>
      <c r="H310" s="295">
        <f>'BD Plant List'!$E312/12*'BD Feedstock'!H$3*'BD Plant List'!AC$5</f>
        <v>0.51437500000000003</v>
      </c>
      <c r="I310" s="295">
        <f>'BD Plant List'!F312/12*'BD Feedstock'!I$3*'BD Plant List'!AC$5</f>
        <v>0.13716666666666666</v>
      </c>
      <c r="J310" s="295">
        <f>'BD Plant List'!G312/12*'BD Feedstock'!J$3*'BD Plant List'!AD$5</f>
        <v>0.90199999999999991</v>
      </c>
      <c r="K310" s="295">
        <f>'BD Plant List'!$H312/12*'BD Feedstock'!K$3*'BD Plant List'!AB$5</f>
        <v>0</v>
      </c>
      <c r="L310" s="295">
        <f>'BD Plant List'!$H312/12*'BD Feedstock'!L$3*'BD Plant List'!AC$5</f>
        <v>0</v>
      </c>
      <c r="M310" s="295">
        <f>'BD Plant List'!$I312/12*'BD Feedstock'!$M$3*'BD Plant List'!AC$5</f>
        <v>3.4291666666666671</v>
      </c>
      <c r="N310" s="295">
        <f>'BD Plant List'!$J312/12*'BD Feedstock'!N$3*'BD Plant List'!AC$5</f>
        <v>0</v>
      </c>
      <c r="O310" s="295">
        <f>'BD Plant List'!$K312/12*'BD Feedstock'!O$3*'BD Plant List'!AC$5</f>
        <v>0</v>
      </c>
      <c r="P310" s="295">
        <f>'BD Plant List'!$L312/12*'BD Feedstock'!P$3*'BD Plant List'!AE$5</f>
        <v>0</v>
      </c>
      <c r="Q310" s="295">
        <f>'BD Plant List'!$M312/12*'BD Feedstock'!Q$3*'BD Plant List'!AE$5</f>
        <v>0.93125000000000002</v>
      </c>
      <c r="R310" s="295">
        <f>'BD Plant List'!$N312/12*'BD Feedstock'!R$3*'BD Plant List'!AE$5</f>
        <v>26.540625000000002</v>
      </c>
      <c r="S310" s="295">
        <f>'BD Plant List'!$N312/12*'BD Feedstock'!S$3*'BD Plant List'!AF$5</f>
        <v>1.40625</v>
      </c>
      <c r="T310" s="295">
        <f>'BD Plant List'!$O312/12*'BD Feedstock'!T$3*'BD Plant List'!AB$5</f>
        <v>8.5732126770944213</v>
      </c>
      <c r="U310" s="295">
        <f>'BD Plant List'!$O312/12*'BD Feedstock'!U$3*'BD Plant List'!AC$5</f>
        <v>3.0347329175263269</v>
      </c>
    </row>
    <row r="311" spans="1:21" ht="18">
      <c r="A311" s="293">
        <v>49157</v>
      </c>
      <c r="B311" s="295">
        <f>'BD Plant List'!B313/12*'BD Plant List'!$AE$5*$B$3</f>
        <v>43.458333333333336</v>
      </c>
      <c r="C311" s="295">
        <f>'BD Plant List'!$C313/12*'BD Plant List'!$AB$5*'BD Feedstock'!$D$3</f>
        <v>2.098958333333333</v>
      </c>
      <c r="D311" s="295">
        <f>'BD Plant List'!$C313/12*'BD Plant List'!$AC$5*'BD Feedstock'!$D$3</f>
        <v>2.2289583333333334</v>
      </c>
      <c r="E311" s="295">
        <f>'BD Plant List'!$D313/12*'BD Plant List'!AB$5*'BD Feedstock'!$E$3</f>
        <v>9.6875</v>
      </c>
      <c r="F311" s="295">
        <f>'BD Plant List'!$D313/12*'BD Plant List'!AC$5*'BD Feedstock'!$F$3</f>
        <v>3.4291666666666671</v>
      </c>
      <c r="G311" s="295">
        <f>'BD Plant List'!$E313/12*'BD Feedstock'!G$3*'BD Plant List'!AB$5</f>
        <v>1.453125</v>
      </c>
      <c r="H311" s="295">
        <f>'BD Plant List'!$E313/12*'BD Feedstock'!H$3*'BD Plant List'!AC$5</f>
        <v>0.51437500000000003</v>
      </c>
      <c r="I311" s="295">
        <f>'BD Plant List'!F313/12*'BD Feedstock'!I$3*'BD Plant List'!AC$5</f>
        <v>0.13716666666666666</v>
      </c>
      <c r="J311" s="295">
        <f>'BD Plant List'!G313/12*'BD Feedstock'!J$3*'BD Plant List'!AD$5</f>
        <v>0.90199999999999991</v>
      </c>
      <c r="K311" s="295">
        <f>'BD Plant List'!$H313/12*'BD Feedstock'!K$3*'BD Plant List'!AB$5</f>
        <v>0</v>
      </c>
      <c r="L311" s="295">
        <f>'BD Plant List'!$H313/12*'BD Feedstock'!L$3*'BD Plant List'!AC$5</f>
        <v>0</v>
      </c>
      <c r="M311" s="295">
        <f>'BD Plant List'!$I313/12*'BD Feedstock'!$M$3*'BD Plant List'!AC$5</f>
        <v>3.4291666666666671</v>
      </c>
      <c r="N311" s="295">
        <f>'BD Plant List'!$J313/12*'BD Feedstock'!N$3*'BD Plant List'!AC$5</f>
        <v>0</v>
      </c>
      <c r="O311" s="295">
        <f>'BD Plant List'!$K313/12*'BD Feedstock'!O$3*'BD Plant List'!AC$5</f>
        <v>0</v>
      </c>
      <c r="P311" s="295">
        <f>'BD Plant List'!$L313/12*'BD Feedstock'!P$3*'BD Plant List'!AE$5</f>
        <v>0</v>
      </c>
      <c r="Q311" s="295">
        <f>'BD Plant List'!$M313/12*'BD Feedstock'!Q$3*'BD Plant List'!AE$5</f>
        <v>0.93125000000000002</v>
      </c>
      <c r="R311" s="295">
        <f>'BD Plant List'!$N313/12*'BD Feedstock'!R$3*'BD Plant List'!AE$5</f>
        <v>26.540625000000002</v>
      </c>
      <c r="S311" s="295">
        <f>'BD Plant List'!$N313/12*'BD Feedstock'!S$3*'BD Plant List'!AF$5</f>
        <v>1.40625</v>
      </c>
      <c r="T311" s="295">
        <f>'BD Plant List'!$O313/12*'BD Feedstock'!T$3*'BD Plant List'!AB$5</f>
        <v>8.5732126770944213</v>
      </c>
      <c r="U311" s="295">
        <f>'BD Plant List'!$O313/12*'BD Feedstock'!U$3*'BD Plant List'!AC$5</f>
        <v>3.0347329175263269</v>
      </c>
    </row>
    <row r="312" spans="1:21" ht="18">
      <c r="A312" s="293">
        <v>49188</v>
      </c>
      <c r="B312" s="295">
        <f>'BD Plant List'!B314/12*'BD Plant List'!$AE$5*$B$3</f>
        <v>43.458333333333336</v>
      </c>
      <c r="C312" s="295">
        <f>'BD Plant List'!$C314/12*'BD Plant List'!$AB$5*'BD Feedstock'!$D$3</f>
        <v>2.098958333333333</v>
      </c>
      <c r="D312" s="295">
        <f>'BD Plant List'!$C314/12*'BD Plant List'!$AC$5*'BD Feedstock'!$D$3</f>
        <v>2.2289583333333334</v>
      </c>
      <c r="E312" s="295">
        <f>'BD Plant List'!$D314/12*'BD Plant List'!AB$5*'BD Feedstock'!$E$3</f>
        <v>9.6875</v>
      </c>
      <c r="F312" s="295">
        <f>'BD Plant List'!$D314/12*'BD Plant List'!AC$5*'BD Feedstock'!$F$3</f>
        <v>3.4291666666666671</v>
      </c>
      <c r="G312" s="295">
        <f>'BD Plant List'!$E314/12*'BD Feedstock'!G$3*'BD Plant List'!AB$5</f>
        <v>1.453125</v>
      </c>
      <c r="H312" s="295">
        <f>'BD Plant List'!$E314/12*'BD Feedstock'!H$3*'BD Plant List'!AC$5</f>
        <v>0.51437500000000003</v>
      </c>
      <c r="I312" s="295">
        <f>'BD Plant List'!F314/12*'BD Feedstock'!I$3*'BD Plant List'!AC$5</f>
        <v>0.13716666666666666</v>
      </c>
      <c r="J312" s="295">
        <f>'BD Plant List'!G314/12*'BD Feedstock'!J$3*'BD Plant List'!AD$5</f>
        <v>0.90199999999999991</v>
      </c>
      <c r="K312" s="295">
        <f>'BD Plant List'!$H314/12*'BD Feedstock'!K$3*'BD Plant List'!AB$5</f>
        <v>0</v>
      </c>
      <c r="L312" s="295">
        <f>'BD Plant List'!$H314/12*'BD Feedstock'!L$3*'BD Plant List'!AC$5</f>
        <v>0</v>
      </c>
      <c r="M312" s="295">
        <f>'BD Plant List'!$I314/12*'BD Feedstock'!$M$3*'BD Plant List'!AC$5</f>
        <v>3.4291666666666671</v>
      </c>
      <c r="N312" s="295">
        <f>'BD Plant List'!$J314/12*'BD Feedstock'!N$3*'BD Plant List'!AC$5</f>
        <v>0</v>
      </c>
      <c r="O312" s="295">
        <f>'BD Plant List'!$K314/12*'BD Feedstock'!O$3*'BD Plant List'!AC$5</f>
        <v>0</v>
      </c>
      <c r="P312" s="295">
        <f>'BD Plant List'!$L314/12*'BD Feedstock'!P$3*'BD Plant List'!AE$5</f>
        <v>0</v>
      </c>
      <c r="Q312" s="295">
        <f>'BD Plant List'!$M314/12*'BD Feedstock'!Q$3*'BD Plant List'!AE$5</f>
        <v>0.93125000000000002</v>
      </c>
      <c r="R312" s="295">
        <f>'BD Plant List'!$N314/12*'BD Feedstock'!R$3*'BD Plant List'!AE$5</f>
        <v>26.540625000000002</v>
      </c>
      <c r="S312" s="295">
        <f>'BD Plant List'!$N314/12*'BD Feedstock'!S$3*'BD Plant List'!AF$5</f>
        <v>1.40625</v>
      </c>
      <c r="T312" s="295">
        <f>'BD Plant List'!$O314/12*'BD Feedstock'!T$3*'BD Plant List'!AB$5</f>
        <v>8.5732126770944213</v>
      </c>
      <c r="U312" s="295">
        <f>'BD Plant List'!$O314/12*'BD Feedstock'!U$3*'BD Plant List'!AC$5</f>
        <v>3.0347329175263269</v>
      </c>
    </row>
    <row r="313" spans="1:21" ht="18">
      <c r="A313" s="293">
        <v>49218</v>
      </c>
      <c r="B313" s="295">
        <f>'BD Plant List'!B315/12*'BD Plant List'!$AE$5*$B$3</f>
        <v>43.458333333333336</v>
      </c>
      <c r="C313" s="295">
        <f>'BD Plant List'!$C315/12*'BD Plant List'!$AB$5*'BD Feedstock'!$D$3</f>
        <v>2.098958333333333</v>
      </c>
      <c r="D313" s="295">
        <f>'BD Plant List'!$C315/12*'BD Plant List'!$AC$5*'BD Feedstock'!$D$3</f>
        <v>2.2289583333333334</v>
      </c>
      <c r="E313" s="295">
        <f>'BD Plant List'!$D315/12*'BD Plant List'!AB$5*'BD Feedstock'!$E$3</f>
        <v>9.6875</v>
      </c>
      <c r="F313" s="295">
        <f>'BD Plant List'!$D315/12*'BD Plant List'!AC$5*'BD Feedstock'!$F$3</f>
        <v>3.4291666666666671</v>
      </c>
      <c r="G313" s="295">
        <f>'BD Plant List'!$E315/12*'BD Feedstock'!G$3*'BD Plant List'!AB$5</f>
        <v>1.453125</v>
      </c>
      <c r="H313" s="295">
        <f>'BD Plant List'!$E315/12*'BD Feedstock'!H$3*'BD Plant List'!AC$5</f>
        <v>0.51437500000000003</v>
      </c>
      <c r="I313" s="295">
        <f>'BD Plant List'!F315/12*'BD Feedstock'!I$3*'BD Plant List'!AC$5</f>
        <v>0.13716666666666666</v>
      </c>
      <c r="J313" s="295">
        <f>'BD Plant List'!G315/12*'BD Feedstock'!J$3*'BD Plant List'!AD$5</f>
        <v>0.90199999999999991</v>
      </c>
      <c r="K313" s="295">
        <f>'BD Plant List'!$H315/12*'BD Feedstock'!K$3*'BD Plant List'!AB$5</f>
        <v>0</v>
      </c>
      <c r="L313" s="295">
        <f>'BD Plant List'!$H315/12*'BD Feedstock'!L$3*'BD Plant List'!AC$5</f>
        <v>0</v>
      </c>
      <c r="M313" s="295">
        <f>'BD Plant List'!$I315/12*'BD Feedstock'!$M$3*'BD Plant List'!AC$5</f>
        <v>3.4291666666666671</v>
      </c>
      <c r="N313" s="295">
        <f>'BD Plant List'!$J315/12*'BD Feedstock'!N$3*'BD Plant List'!AC$5</f>
        <v>0</v>
      </c>
      <c r="O313" s="295">
        <f>'BD Plant List'!$K315/12*'BD Feedstock'!O$3*'BD Plant List'!AC$5</f>
        <v>0</v>
      </c>
      <c r="P313" s="295">
        <f>'BD Plant List'!$L315/12*'BD Feedstock'!P$3*'BD Plant List'!AE$5</f>
        <v>0</v>
      </c>
      <c r="Q313" s="295">
        <f>'BD Plant List'!$M315/12*'BD Feedstock'!Q$3*'BD Plant List'!AE$5</f>
        <v>0.93125000000000002</v>
      </c>
      <c r="R313" s="295">
        <f>'BD Plant List'!$N315/12*'BD Feedstock'!R$3*'BD Plant List'!AE$5</f>
        <v>26.540625000000002</v>
      </c>
      <c r="S313" s="295">
        <f>'BD Plant List'!$N315/12*'BD Feedstock'!S$3*'BD Plant List'!AF$5</f>
        <v>1.40625</v>
      </c>
      <c r="T313" s="295">
        <f>'BD Plant List'!$O315/12*'BD Feedstock'!T$3*'BD Plant List'!AB$5</f>
        <v>8.5732126770944213</v>
      </c>
      <c r="U313" s="295">
        <f>'BD Plant List'!$O315/12*'BD Feedstock'!U$3*'BD Plant List'!AC$5</f>
        <v>3.0347329175263269</v>
      </c>
    </row>
    <row r="314" spans="1:21" ht="18">
      <c r="A314" s="293">
        <v>49249</v>
      </c>
      <c r="B314" s="295">
        <f>'BD Plant List'!B316/12*'BD Plant List'!$AE$5*$B$3</f>
        <v>43.458333333333336</v>
      </c>
      <c r="C314" s="295">
        <f>'BD Plant List'!$C316/12*'BD Plant List'!$AB$5*'BD Feedstock'!$D$3</f>
        <v>2.098958333333333</v>
      </c>
      <c r="D314" s="295">
        <f>'BD Plant List'!$C316/12*'BD Plant List'!$AC$5*'BD Feedstock'!$D$3</f>
        <v>2.2289583333333334</v>
      </c>
      <c r="E314" s="295">
        <f>'BD Plant List'!$D316/12*'BD Plant List'!AB$5*'BD Feedstock'!$E$3</f>
        <v>9.6875</v>
      </c>
      <c r="F314" s="295">
        <f>'BD Plant List'!$D316/12*'BD Plant List'!AC$5*'BD Feedstock'!$F$3</f>
        <v>3.4291666666666671</v>
      </c>
      <c r="G314" s="295">
        <f>'BD Plant List'!$E316/12*'BD Feedstock'!G$3*'BD Plant List'!AB$5</f>
        <v>1.453125</v>
      </c>
      <c r="H314" s="295">
        <f>'BD Plant List'!$E316/12*'BD Feedstock'!H$3*'BD Plant List'!AC$5</f>
        <v>0.51437500000000003</v>
      </c>
      <c r="I314" s="295">
        <f>'BD Plant List'!F316/12*'BD Feedstock'!I$3*'BD Plant List'!AC$5</f>
        <v>0.13716666666666666</v>
      </c>
      <c r="J314" s="295">
        <f>'BD Plant List'!G316/12*'BD Feedstock'!J$3*'BD Plant List'!AD$5</f>
        <v>0.90199999999999991</v>
      </c>
      <c r="K314" s="295">
        <f>'BD Plant List'!$H316/12*'BD Feedstock'!K$3*'BD Plant List'!AB$5</f>
        <v>0</v>
      </c>
      <c r="L314" s="295">
        <f>'BD Plant List'!$H316/12*'BD Feedstock'!L$3*'BD Plant List'!AC$5</f>
        <v>0</v>
      </c>
      <c r="M314" s="295">
        <f>'BD Plant List'!$I316/12*'BD Feedstock'!$M$3*'BD Plant List'!AC$5</f>
        <v>3.4291666666666671</v>
      </c>
      <c r="N314" s="295">
        <f>'BD Plant List'!$J316/12*'BD Feedstock'!N$3*'BD Plant List'!AC$5</f>
        <v>0</v>
      </c>
      <c r="O314" s="295">
        <f>'BD Plant List'!$K316/12*'BD Feedstock'!O$3*'BD Plant List'!AC$5</f>
        <v>0</v>
      </c>
      <c r="P314" s="295">
        <f>'BD Plant List'!$L316/12*'BD Feedstock'!P$3*'BD Plant List'!AE$5</f>
        <v>0</v>
      </c>
      <c r="Q314" s="295">
        <f>'BD Plant List'!$M316/12*'BD Feedstock'!Q$3*'BD Plant List'!AE$5</f>
        <v>0.93125000000000002</v>
      </c>
      <c r="R314" s="295">
        <f>'BD Plant List'!$N316/12*'BD Feedstock'!R$3*'BD Plant List'!AE$5</f>
        <v>26.540625000000002</v>
      </c>
      <c r="S314" s="295">
        <f>'BD Plant List'!$N316/12*'BD Feedstock'!S$3*'BD Plant List'!AF$5</f>
        <v>1.40625</v>
      </c>
      <c r="T314" s="295">
        <f>'BD Plant List'!$O316/12*'BD Feedstock'!T$3*'BD Plant List'!AB$5</f>
        <v>8.5732126770944213</v>
      </c>
      <c r="U314" s="295">
        <f>'BD Plant List'!$O316/12*'BD Feedstock'!U$3*'BD Plant List'!AC$5</f>
        <v>3.0347329175263269</v>
      </c>
    </row>
    <row r="315" spans="1:21" ht="18">
      <c r="A315" s="293">
        <v>49279</v>
      </c>
      <c r="B315" s="295">
        <f>'BD Plant List'!B317/12*'BD Plant List'!$AE$5*$B$3</f>
        <v>43.458333333333336</v>
      </c>
      <c r="C315" s="295">
        <f>'BD Plant List'!$C317/12*'BD Plant List'!$AB$5*'BD Feedstock'!$D$3</f>
        <v>2.098958333333333</v>
      </c>
      <c r="D315" s="295">
        <f>'BD Plant List'!$C317/12*'BD Plant List'!$AC$5*'BD Feedstock'!$D$3</f>
        <v>2.2289583333333334</v>
      </c>
      <c r="E315" s="295">
        <f>'BD Plant List'!$D317/12*'BD Plant List'!AB$5*'BD Feedstock'!$E$3</f>
        <v>9.6875</v>
      </c>
      <c r="F315" s="295">
        <f>'BD Plant List'!$D317/12*'BD Plant List'!AC$5*'BD Feedstock'!$F$3</f>
        <v>3.4291666666666671</v>
      </c>
      <c r="G315" s="295">
        <f>'BD Plant List'!$E317/12*'BD Feedstock'!G$3*'BD Plant List'!AB$5</f>
        <v>1.453125</v>
      </c>
      <c r="H315" s="295">
        <f>'BD Plant List'!$E317/12*'BD Feedstock'!H$3*'BD Plant List'!AC$5</f>
        <v>0.51437500000000003</v>
      </c>
      <c r="I315" s="295">
        <f>'BD Plant List'!F317/12*'BD Feedstock'!I$3*'BD Plant List'!AC$5</f>
        <v>0.13716666666666666</v>
      </c>
      <c r="J315" s="295">
        <f>'BD Plant List'!G317/12*'BD Feedstock'!J$3*'BD Plant List'!AD$5</f>
        <v>0.90199999999999991</v>
      </c>
      <c r="K315" s="295">
        <f>'BD Plant List'!$H317/12*'BD Feedstock'!K$3*'BD Plant List'!AB$5</f>
        <v>0</v>
      </c>
      <c r="L315" s="295">
        <f>'BD Plant List'!$H317/12*'BD Feedstock'!L$3*'BD Plant List'!AC$5</f>
        <v>0</v>
      </c>
      <c r="M315" s="295">
        <f>'BD Plant List'!$I317/12*'BD Feedstock'!$M$3*'BD Plant List'!AC$5</f>
        <v>3.4291666666666671</v>
      </c>
      <c r="N315" s="295">
        <f>'BD Plant List'!$J317/12*'BD Feedstock'!N$3*'BD Plant List'!AC$5</f>
        <v>0</v>
      </c>
      <c r="O315" s="295">
        <f>'BD Plant List'!$K317/12*'BD Feedstock'!O$3*'BD Plant List'!AC$5</f>
        <v>0</v>
      </c>
      <c r="P315" s="295">
        <f>'BD Plant List'!$L317/12*'BD Feedstock'!P$3*'BD Plant List'!AE$5</f>
        <v>0</v>
      </c>
      <c r="Q315" s="295">
        <f>'BD Plant List'!$M317/12*'BD Feedstock'!Q$3*'BD Plant List'!AE$5</f>
        <v>0.93125000000000002</v>
      </c>
      <c r="R315" s="295">
        <f>'BD Plant List'!$N317/12*'BD Feedstock'!R$3*'BD Plant List'!AE$5</f>
        <v>26.540625000000002</v>
      </c>
      <c r="S315" s="295">
        <f>'BD Plant List'!$N317/12*'BD Feedstock'!S$3*'BD Plant List'!AF$5</f>
        <v>1.40625</v>
      </c>
      <c r="T315" s="295">
        <f>'BD Plant List'!$O317/12*'BD Feedstock'!T$3*'BD Plant List'!AB$5</f>
        <v>8.5732126770944213</v>
      </c>
      <c r="U315" s="295">
        <f>'BD Plant List'!$O317/12*'BD Feedstock'!U$3*'BD Plant List'!AC$5</f>
        <v>3.0347329175263269</v>
      </c>
    </row>
    <row r="316" spans="1:21" ht="18">
      <c r="A316" s="293">
        <v>49310</v>
      </c>
      <c r="B316" s="295">
        <f>'BD Plant List'!B318/12*'BD Plant List'!$AE$5*$B$3</f>
        <v>43.458333333333336</v>
      </c>
      <c r="C316" s="295">
        <f>'BD Plant List'!$C318/12*'BD Plant List'!$AB$5*'BD Feedstock'!$D$3</f>
        <v>2.098958333333333</v>
      </c>
      <c r="D316" s="295">
        <f>'BD Plant List'!$C318/12*'BD Plant List'!$AC$5*'BD Feedstock'!$D$3</f>
        <v>2.2289583333333334</v>
      </c>
      <c r="E316" s="295">
        <f>'BD Plant List'!$D318/12*'BD Plant List'!AB$5*'BD Feedstock'!$E$3</f>
        <v>9.6875</v>
      </c>
      <c r="F316" s="295">
        <f>'BD Plant List'!$D318/12*'BD Plant List'!AC$5*'BD Feedstock'!$F$3</f>
        <v>3.4291666666666671</v>
      </c>
      <c r="G316" s="295">
        <f>'BD Plant List'!$E318/12*'BD Feedstock'!G$3*'BD Plant List'!AB$5</f>
        <v>1.453125</v>
      </c>
      <c r="H316" s="295">
        <f>'BD Plant List'!$E318/12*'BD Feedstock'!H$3*'BD Plant List'!AC$5</f>
        <v>0.51437500000000003</v>
      </c>
      <c r="I316" s="295">
        <f>'BD Plant List'!F318/12*'BD Feedstock'!I$3*'BD Plant List'!AC$5</f>
        <v>0.13716666666666666</v>
      </c>
      <c r="J316" s="295">
        <f>'BD Plant List'!G318/12*'BD Feedstock'!J$3*'BD Plant List'!AD$5</f>
        <v>0.90199999999999991</v>
      </c>
      <c r="K316" s="295">
        <f>'BD Plant List'!$H318/12*'BD Feedstock'!K$3*'BD Plant List'!AB$5</f>
        <v>0</v>
      </c>
      <c r="L316" s="295">
        <f>'BD Plant List'!$H318/12*'BD Feedstock'!L$3*'BD Plant List'!AC$5</f>
        <v>0</v>
      </c>
      <c r="M316" s="295">
        <f>'BD Plant List'!$I318/12*'BD Feedstock'!$M$3*'BD Plant List'!AC$5</f>
        <v>3.4291666666666671</v>
      </c>
      <c r="N316" s="295">
        <f>'BD Plant List'!$J318/12*'BD Feedstock'!N$3*'BD Plant List'!AC$5</f>
        <v>0</v>
      </c>
      <c r="O316" s="295">
        <f>'BD Plant List'!$K318/12*'BD Feedstock'!O$3*'BD Plant List'!AC$5</f>
        <v>0</v>
      </c>
      <c r="P316" s="295">
        <f>'BD Plant List'!$L318/12*'BD Feedstock'!P$3*'BD Plant List'!AE$5</f>
        <v>0</v>
      </c>
      <c r="Q316" s="295">
        <f>'BD Plant List'!$M318/12*'BD Feedstock'!Q$3*'BD Plant List'!AE$5</f>
        <v>0.93125000000000002</v>
      </c>
      <c r="R316" s="295">
        <f>'BD Plant List'!$N318/12*'BD Feedstock'!R$3*'BD Plant List'!AE$5</f>
        <v>26.540625000000002</v>
      </c>
      <c r="S316" s="295">
        <f>'BD Plant List'!$N318/12*'BD Feedstock'!S$3*'BD Plant List'!AF$5</f>
        <v>1.40625</v>
      </c>
      <c r="T316" s="295">
        <f>'BD Plant List'!$O318/12*'BD Feedstock'!T$3*'BD Plant List'!AB$5</f>
        <v>8.5732126770944213</v>
      </c>
      <c r="U316" s="295">
        <f>'BD Plant List'!$O318/12*'BD Feedstock'!U$3*'BD Plant List'!AC$5</f>
        <v>3.0347329175263269</v>
      </c>
    </row>
    <row r="317" spans="1:21" ht="18">
      <c r="A317" s="293">
        <v>49341</v>
      </c>
      <c r="B317" s="295">
        <f>'BD Plant List'!B319/12*'BD Plant List'!$AE$5*$B$3</f>
        <v>43.458333333333336</v>
      </c>
      <c r="C317" s="295">
        <f>'BD Plant List'!$C319/12*'BD Plant List'!$AB$5*'BD Feedstock'!$D$3</f>
        <v>2.098958333333333</v>
      </c>
      <c r="D317" s="295">
        <f>'BD Plant List'!$C319/12*'BD Plant List'!$AC$5*'BD Feedstock'!$D$3</f>
        <v>2.2289583333333334</v>
      </c>
      <c r="E317" s="295">
        <f>'BD Plant List'!$D319/12*'BD Plant List'!AB$5*'BD Feedstock'!$E$3</f>
        <v>9.6875</v>
      </c>
      <c r="F317" s="295">
        <f>'BD Plant List'!$D319/12*'BD Plant List'!AC$5*'BD Feedstock'!$F$3</f>
        <v>3.4291666666666671</v>
      </c>
      <c r="G317" s="295">
        <f>'BD Plant List'!$E319/12*'BD Feedstock'!G$3*'BD Plant List'!AB$5</f>
        <v>1.453125</v>
      </c>
      <c r="H317" s="295">
        <f>'BD Plant List'!$E319/12*'BD Feedstock'!H$3*'BD Plant List'!AC$5</f>
        <v>0.51437500000000003</v>
      </c>
      <c r="I317" s="295">
        <f>'BD Plant List'!F319/12*'BD Feedstock'!I$3*'BD Plant List'!AC$5</f>
        <v>0.13716666666666666</v>
      </c>
      <c r="J317" s="295">
        <f>'BD Plant List'!G319/12*'BD Feedstock'!J$3*'BD Plant List'!AD$5</f>
        <v>0.90199999999999991</v>
      </c>
      <c r="K317" s="295">
        <f>'BD Plant List'!$H319/12*'BD Feedstock'!K$3*'BD Plant List'!AB$5</f>
        <v>0</v>
      </c>
      <c r="L317" s="295">
        <f>'BD Plant List'!$H319/12*'BD Feedstock'!L$3*'BD Plant List'!AC$5</f>
        <v>0</v>
      </c>
      <c r="M317" s="295">
        <f>'BD Plant List'!$I319/12*'BD Feedstock'!$M$3*'BD Plant List'!AC$5</f>
        <v>3.4291666666666671</v>
      </c>
      <c r="N317" s="295">
        <f>'BD Plant List'!$J319/12*'BD Feedstock'!N$3*'BD Plant List'!AC$5</f>
        <v>0</v>
      </c>
      <c r="O317" s="295">
        <f>'BD Plant List'!$K319/12*'BD Feedstock'!O$3*'BD Plant List'!AC$5</f>
        <v>0</v>
      </c>
      <c r="P317" s="295">
        <f>'BD Plant List'!$L319/12*'BD Feedstock'!P$3*'BD Plant List'!AE$5</f>
        <v>0</v>
      </c>
      <c r="Q317" s="295">
        <f>'BD Plant List'!$M319/12*'BD Feedstock'!Q$3*'BD Plant List'!AE$5</f>
        <v>0.93125000000000002</v>
      </c>
      <c r="R317" s="295">
        <f>'BD Plant List'!$N319/12*'BD Feedstock'!R$3*'BD Plant List'!AE$5</f>
        <v>26.540625000000002</v>
      </c>
      <c r="S317" s="295">
        <f>'BD Plant List'!$N319/12*'BD Feedstock'!S$3*'BD Plant List'!AF$5</f>
        <v>1.40625</v>
      </c>
      <c r="T317" s="295">
        <f>'BD Plant List'!$O319/12*'BD Feedstock'!T$3*'BD Plant List'!AB$5</f>
        <v>8.5732126770944213</v>
      </c>
      <c r="U317" s="295">
        <f>'BD Plant List'!$O319/12*'BD Feedstock'!U$3*'BD Plant List'!AC$5</f>
        <v>3.0347329175263269</v>
      </c>
    </row>
    <row r="318" spans="1:21" ht="18">
      <c r="A318" s="293">
        <v>49369</v>
      </c>
      <c r="B318" s="295">
        <f>'BD Plant List'!B320/12*'BD Plant List'!$AE$5*$B$3</f>
        <v>43.458333333333336</v>
      </c>
      <c r="C318" s="295">
        <f>'BD Plant List'!$C320/12*'BD Plant List'!$AB$5*'BD Feedstock'!$D$3</f>
        <v>2.098958333333333</v>
      </c>
      <c r="D318" s="295">
        <f>'BD Plant List'!$C320/12*'BD Plant List'!$AC$5*'BD Feedstock'!$D$3</f>
        <v>2.2289583333333334</v>
      </c>
      <c r="E318" s="295">
        <f>'BD Plant List'!$D320/12*'BD Plant List'!AB$5*'BD Feedstock'!$E$3</f>
        <v>9.6875</v>
      </c>
      <c r="F318" s="295">
        <f>'BD Plant List'!$D320/12*'BD Plant List'!AC$5*'BD Feedstock'!$F$3</f>
        <v>3.4291666666666671</v>
      </c>
      <c r="G318" s="295">
        <f>'BD Plant List'!$E320/12*'BD Feedstock'!G$3*'BD Plant List'!AB$5</f>
        <v>1.453125</v>
      </c>
      <c r="H318" s="295">
        <f>'BD Plant List'!$E320/12*'BD Feedstock'!H$3*'BD Plant List'!AC$5</f>
        <v>0.51437500000000003</v>
      </c>
      <c r="I318" s="295">
        <f>'BD Plant List'!F320/12*'BD Feedstock'!I$3*'BD Plant List'!AC$5</f>
        <v>0.13716666666666666</v>
      </c>
      <c r="J318" s="295">
        <f>'BD Plant List'!G320/12*'BD Feedstock'!J$3*'BD Plant List'!AD$5</f>
        <v>0.90199999999999991</v>
      </c>
      <c r="K318" s="295">
        <f>'BD Plant List'!$H320/12*'BD Feedstock'!K$3*'BD Plant List'!AB$5</f>
        <v>0</v>
      </c>
      <c r="L318" s="295">
        <f>'BD Plant List'!$H320/12*'BD Feedstock'!L$3*'BD Plant List'!AC$5</f>
        <v>0</v>
      </c>
      <c r="M318" s="295">
        <f>'BD Plant List'!$I320/12*'BD Feedstock'!$M$3*'BD Plant List'!AC$5</f>
        <v>3.4291666666666671</v>
      </c>
      <c r="N318" s="295">
        <f>'BD Plant List'!$J320/12*'BD Feedstock'!N$3*'BD Plant List'!AC$5</f>
        <v>0</v>
      </c>
      <c r="O318" s="295">
        <f>'BD Plant List'!$K320/12*'BD Feedstock'!O$3*'BD Plant List'!AC$5</f>
        <v>0</v>
      </c>
      <c r="P318" s="295">
        <f>'BD Plant List'!$L320/12*'BD Feedstock'!P$3*'BD Plant List'!AE$5</f>
        <v>0</v>
      </c>
      <c r="Q318" s="295">
        <f>'BD Plant List'!$M320/12*'BD Feedstock'!Q$3*'BD Plant List'!AE$5</f>
        <v>0.93125000000000002</v>
      </c>
      <c r="R318" s="295">
        <f>'BD Plant List'!$N320/12*'BD Feedstock'!R$3*'BD Plant List'!AE$5</f>
        <v>26.540625000000002</v>
      </c>
      <c r="S318" s="295">
        <f>'BD Plant List'!$N320/12*'BD Feedstock'!S$3*'BD Plant List'!AF$5</f>
        <v>1.40625</v>
      </c>
      <c r="T318" s="295">
        <f>'BD Plant List'!$O320/12*'BD Feedstock'!T$3*'BD Plant List'!AB$5</f>
        <v>8.5732126770944213</v>
      </c>
      <c r="U318" s="295">
        <f>'BD Plant List'!$O320/12*'BD Feedstock'!U$3*'BD Plant List'!AC$5</f>
        <v>3.0347329175263269</v>
      </c>
    </row>
    <row r="319" spans="1:21" ht="18">
      <c r="A319" s="293">
        <v>49400</v>
      </c>
      <c r="B319" s="295">
        <f>'BD Plant List'!B321/12*'BD Plant List'!$AE$5*$B$3</f>
        <v>43.458333333333336</v>
      </c>
      <c r="C319" s="295">
        <f>'BD Plant List'!$C321/12*'BD Plant List'!$AB$5*'BD Feedstock'!$D$3</f>
        <v>2.098958333333333</v>
      </c>
      <c r="D319" s="295">
        <f>'BD Plant List'!$C321/12*'BD Plant List'!$AC$5*'BD Feedstock'!$D$3</f>
        <v>2.2289583333333334</v>
      </c>
      <c r="E319" s="295">
        <f>'BD Plant List'!$D321/12*'BD Plant List'!AB$5*'BD Feedstock'!$E$3</f>
        <v>9.6875</v>
      </c>
      <c r="F319" s="295">
        <f>'BD Plant List'!$D321/12*'BD Plant List'!AC$5*'BD Feedstock'!$F$3</f>
        <v>3.4291666666666671</v>
      </c>
      <c r="G319" s="295">
        <f>'BD Plant List'!$E321/12*'BD Feedstock'!G$3*'BD Plant List'!AB$5</f>
        <v>1.453125</v>
      </c>
      <c r="H319" s="295">
        <f>'BD Plant List'!$E321/12*'BD Feedstock'!H$3*'BD Plant List'!AC$5</f>
        <v>0.51437500000000003</v>
      </c>
      <c r="I319" s="295">
        <f>'BD Plant List'!F321/12*'BD Feedstock'!I$3*'BD Plant List'!AC$5</f>
        <v>0.13716666666666666</v>
      </c>
      <c r="J319" s="295">
        <f>'BD Plant List'!G321/12*'BD Feedstock'!J$3*'BD Plant List'!AD$5</f>
        <v>0.90199999999999991</v>
      </c>
      <c r="K319" s="295">
        <f>'BD Plant List'!$H321/12*'BD Feedstock'!K$3*'BD Plant List'!AB$5</f>
        <v>0</v>
      </c>
      <c r="L319" s="295">
        <f>'BD Plant List'!$H321/12*'BD Feedstock'!L$3*'BD Plant List'!AC$5</f>
        <v>0</v>
      </c>
      <c r="M319" s="295">
        <f>'BD Plant List'!$I321/12*'BD Feedstock'!$M$3*'BD Plant List'!AC$5</f>
        <v>3.4291666666666671</v>
      </c>
      <c r="N319" s="295">
        <f>'BD Plant List'!$J321/12*'BD Feedstock'!N$3*'BD Plant List'!AC$5</f>
        <v>0</v>
      </c>
      <c r="O319" s="295">
        <f>'BD Plant List'!$K321/12*'BD Feedstock'!O$3*'BD Plant List'!AC$5</f>
        <v>0</v>
      </c>
      <c r="P319" s="295">
        <f>'BD Plant List'!$L321/12*'BD Feedstock'!P$3*'BD Plant List'!AE$5</f>
        <v>0</v>
      </c>
      <c r="Q319" s="295">
        <f>'BD Plant List'!$M321/12*'BD Feedstock'!Q$3*'BD Plant List'!AE$5</f>
        <v>0.93125000000000002</v>
      </c>
      <c r="R319" s="295">
        <f>'BD Plant List'!$N321/12*'BD Feedstock'!R$3*'BD Plant List'!AE$5</f>
        <v>26.540625000000002</v>
      </c>
      <c r="S319" s="295">
        <f>'BD Plant List'!$N321/12*'BD Feedstock'!S$3*'BD Plant List'!AF$5</f>
        <v>1.40625</v>
      </c>
      <c r="T319" s="295">
        <f>'BD Plant List'!$O321/12*'BD Feedstock'!T$3*'BD Plant List'!AB$5</f>
        <v>8.5732126770944213</v>
      </c>
      <c r="U319" s="295">
        <f>'BD Plant List'!$O321/12*'BD Feedstock'!U$3*'BD Plant List'!AC$5</f>
        <v>3.0347329175263269</v>
      </c>
    </row>
    <row r="320" spans="1:21" ht="18">
      <c r="A320" s="293">
        <v>49430</v>
      </c>
      <c r="B320" s="295">
        <f>'BD Plant List'!B322/12*'BD Plant List'!$AE$5*$B$3</f>
        <v>43.458333333333336</v>
      </c>
      <c r="C320" s="295">
        <f>'BD Plant List'!$C322/12*'BD Plant List'!$AB$5*'BD Feedstock'!$D$3</f>
        <v>2.098958333333333</v>
      </c>
      <c r="D320" s="295">
        <f>'BD Plant List'!$C322/12*'BD Plant List'!$AC$5*'BD Feedstock'!$D$3</f>
        <v>2.2289583333333334</v>
      </c>
      <c r="E320" s="295">
        <f>'BD Plant List'!$D322/12*'BD Plant List'!AB$5*'BD Feedstock'!$E$3</f>
        <v>9.6875</v>
      </c>
      <c r="F320" s="295">
        <f>'BD Plant List'!$D322/12*'BD Plant List'!AC$5*'BD Feedstock'!$F$3</f>
        <v>3.4291666666666671</v>
      </c>
      <c r="G320" s="295">
        <f>'BD Plant List'!$E322/12*'BD Feedstock'!G$3*'BD Plant List'!AB$5</f>
        <v>1.453125</v>
      </c>
      <c r="H320" s="295">
        <f>'BD Plant List'!$E322/12*'BD Feedstock'!H$3*'BD Plant List'!AC$5</f>
        <v>0.51437500000000003</v>
      </c>
      <c r="I320" s="295">
        <f>'BD Plant List'!F322/12*'BD Feedstock'!I$3*'BD Plant List'!AC$5</f>
        <v>0.13716666666666666</v>
      </c>
      <c r="J320" s="295">
        <f>'BD Plant List'!G322/12*'BD Feedstock'!J$3*'BD Plant List'!AD$5</f>
        <v>0.90199999999999991</v>
      </c>
      <c r="K320" s="295">
        <f>'BD Plant List'!$H322/12*'BD Feedstock'!K$3*'BD Plant List'!AB$5</f>
        <v>0</v>
      </c>
      <c r="L320" s="295">
        <f>'BD Plant List'!$H322/12*'BD Feedstock'!L$3*'BD Plant List'!AC$5</f>
        <v>0</v>
      </c>
      <c r="M320" s="295">
        <f>'BD Plant List'!$I322/12*'BD Feedstock'!$M$3*'BD Plant List'!AC$5</f>
        <v>3.4291666666666671</v>
      </c>
      <c r="N320" s="295">
        <f>'BD Plant List'!$J322/12*'BD Feedstock'!N$3*'BD Plant List'!AC$5</f>
        <v>0</v>
      </c>
      <c r="O320" s="295">
        <f>'BD Plant List'!$K322/12*'BD Feedstock'!O$3*'BD Plant List'!AC$5</f>
        <v>0</v>
      </c>
      <c r="P320" s="295">
        <f>'BD Plant List'!$L322/12*'BD Feedstock'!P$3*'BD Plant List'!AE$5</f>
        <v>0</v>
      </c>
      <c r="Q320" s="295">
        <f>'BD Plant List'!$M322/12*'BD Feedstock'!Q$3*'BD Plant List'!AE$5</f>
        <v>0.93125000000000002</v>
      </c>
      <c r="R320" s="295">
        <f>'BD Plant List'!$N322/12*'BD Feedstock'!R$3*'BD Plant List'!AE$5</f>
        <v>26.540625000000002</v>
      </c>
      <c r="S320" s="295">
        <f>'BD Plant List'!$N322/12*'BD Feedstock'!S$3*'BD Plant List'!AF$5</f>
        <v>1.40625</v>
      </c>
      <c r="T320" s="295">
        <f>'BD Plant List'!$O322/12*'BD Feedstock'!T$3*'BD Plant List'!AB$5</f>
        <v>8.5732126770944213</v>
      </c>
      <c r="U320" s="295">
        <f>'BD Plant List'!$O322/12*'BD Feedstock'!U$3*'BD Plant List'!AC$5</f>
        <v>3.0347329175263269</v>
      </c>
    </row>
    <row r="321" spans="1:21" ht="18">
      <c r="A321" s="293">
        <v>49461</v>
      </c>
      <c r="B321" s="295">
        <f>'BD Plant List'!B323/12*'BD Plant List'!$AE$5*$B$3</f>
        <v>43.458333333333336</v>
      </c>
      <c r="C321" s="295">
        <f>'BD Plant List'!$C323/12*'BD Plant List'!$AB$5*'BD Feedstock'!$D$3</f>
        <v>2.098958333333333</v>
      </c>
      <c r="D321" s="295">
        <f>'BD Plant List'!$C323/12*'BD Plant List'!$AC$5*'BD Feedstock'!$D$3</f>
        <v>2.2289583333333334</v>
      </c>
      <c r="E321" s="295">
        <f>'BD Plant List'!$D323/12*'BD Plant List'!AB$5*'BD Feedstock'!$E$3</f>
        <v>9.6875</v>
      </c>
      <c r="F321" s="295">
        <f>'BD Plant List'!$D323/12*'BD Plant List'!AC$5*'BD Feedstock'!$F$3</f>
        <v>3.4291666666666671</v>
      </c>
      <c r="G321" s="295">
        <f>'BD Plant List'!$E323/12*'BD Feedstock'!G$3*'BD Plant List'!AB$5</f>
        <v>1.453125</v>
      </c>
      <c r="H321" s="295">
        <f>'BD Plant List'!$E323/12*'BD Feedstock'!H$3*'BD Plant List'!AC$5</f>
        <v>0.51437500000000003</v>
      </c>
      <c r="I321" s="295">
        <f>'BD Plant List'!F323/12*'BD Feedstock'!I$3*'BD Plant List'!AC$5</f>
        <v>0.13716666666666666</v>
      </c>
      <c r="J321" s="295">
        <f>'BD Plant List'!G323/12*'BD Feedstock'!J$3*'BD Plant List'!AD$5</f>
        <v>0.90199999999999991</v>
      </c>
      <c r="K321" s="295">
        <f>'BD Plant List'!$H323/12*'BD Feedstock'!K$3*'BD Plant List'!AB$5</f>
        <v>0</v>
      </c>
      <c r="L321" s="295">
        <f>'BD Plant List'!$H323/12*'BD Feedstock'!L$3*'BD Plant List'!AC$5</f>
        <v>0</v>
      </c>
      <c r="M321" s="295">
        <f>'BD Plant List'!$I323/12*'BD Feedstock'!$M$3*'BD Plant List'!AC$5</f>
        <v>3.4291666666666671</v>
      </c>
      <c r="N321" s="295">
        <f>'BD Plant List'!$J323/12*'BD Feedstock'!N$3*'BD Plant List'!AC$5</f>
        <v>0</v>
      </c>
      <c r="O321" s="295">
        <f>'BD Plant List'!$K323/12*'BD Feedstock'!O$3*'BD Plant List'!AC$5</f>
        <v>0</v>
      </c>
      <c r="P321" s="295">
        <f>'BD Plant List'!$L323/12*'BD Feedstock'!P$3*'BD Plant List'!AE$5</f>
        <v>0</v>
      </c>
      <c r="Q321" s="295">
        <f>'BD Plant List'!$M323/12*'BD Feedstock'!Q$3*'BD Plant List'!AE$5</f>
        <v>0.93125000000000002</v>
      </c>
      <c r="R321" s="295">
        <f>'BD Plant List'!$N323/12*'BD Feedstock'!R$3*'BD Plant List'!AE$5</f>
        <v>26.540625000000002</v>
      </c>
      <c r="S321" s="295">
        <f>'BD Plant List'!$N323/12*'BD Feedstock'!S$3*'BD Plant List'!AF$5</f>
        <v>1.40625</v>
      </c>
      <c r="T321" s="295">
        <f>'BD Plant List'!$O323/12*'BD Feedstock'!T$3*'BD Plant List'!AB$5</f>
        <v>8.5732126770944213</v>
      </c>
      <c r="U321" s="295">
        <f>'BD Plant List'!$O323/12*'BD Feedstock'!U$3*'BD Plant List'!AC$5</f>
        <v>3.0347329175263269</v>
      </c>
    </row>
    <row r="322" spans="1:21" ht="18">
      <c r="A322" s="293">
        <v>49491</v>
      </c>
      <c r="B322" s="295">
        <f>'BD Plant List'!B324/12*'BD Plant List'!$AE$5*$B$3</f>
        <v>43.458333333333336</v>
      </c>
      <c r="C322" s="295">
        <f>'BD Plant List'!$C324/12*'BD Plant List'!$AB$5*'BD Feedstock'!$D$3</f>
        <v>2.098958333333333</v>
      </c>
      <c r="D322" s="295">
        <f>'BD Plant List'!$C324/12*'BD Plant List'!$AC$5*'BD Feedstock'!$D$3</f>
        <v>2.2289583333333334</v>
      </c>
      <c r="E322" s="295">
        <f>'BD Plant List'!$D324/12*'BD Plant List'!AB$5*'BD Feedstock'!$E$3</f>
        <v>9.6875</v>
      </c>
      <c r="F322" s="295">
        <f>'BD Plant List'!$D324/12*'BD Plant List'!AC$5*'BD Feedstock'!$F$3</f>
        <v>3.4291666666666671</v>
      </c>
      <c r="G322" s="295">
        <f>'BD Plant List'!$E324/12*'BD Feedstock'!G$3*'BD Plant List'!AB$5</f>
        <v>1.453125</v>
      </c>
      <c r="H322" s="295">
        <f>'BD Plant List'!$E324/12*'BD Feedstock'!H$3*'BD Plant List'!AC$5</f>
        <v>0.51437500000000003</v>
      </c>
      <c r="I322" s="295">
        <f>'BD Plant List'!F324/12*'BD Feedstock'!I$3*'BD Plant List'!AC$5</f>
        <v>0.13716666666666666</v>
      </c>
      <c r="J322" s="295">
        <f>'BD Plant List'!G324/12*'BD Feedstock'!J$3*'BD Plant List'!AD$5</f>
        <v>0.90199999999999991</v>
      </c>
      <c r="K322" s="295">
        <f>'BD Plant List'!$H324/12*'BD Feedstock'!K$3*'BD Plant List'!AB$5</f>
        <v>0</v>
      </c>
      <c r="L322" s="295">
        <f>'BD Plant List'!$H324/12*'BD Feedstock'!L$3*'BD Plant List'!AC$5</f>
        <v>0</v>
      </c>
      <c r="M322" s="295">
        <f>'BD Plant List'!$I324/12*'BD Feedstock'!$M$3*'BD Plant List'!AC$5</f>
        <v>3.4291666666666671</v>
      </c>
      <c r="N322" s="295">
        <f>'BD Plant List'!$J324/12*'BD Feedstock'!N$3*'BD Plant List'!AC$5</f>
        <v>0</v>
      </c>
      <c r="O322" s="295">
        <f>'BD Plant List'!$K324/12*'BD Feedstock'!O$3*'BD Plant List'!AC$5</f>
        <v>0</v>
      </c>
      <c r="P322" s="295">
        <f>'BD Plant List'!$L324/12*'BD Feedstock'!P$3*'BD Plant List'!AE$5</f>
        <v>0</v>
      </c>
      <c r="Q322" s="295">
        <f>'BD Plant List'!$M324/12*'BD Feedstock'!Q$3*'BD Plant List'!AE$5</f>
        <v>0.93125000000000002</v>
      </c>
      <c r="R322" s="295">
        <f>'BD Plant List'!$N324/12*'BD Feedstock'!R$3*'BD Plant List'!AE$5</f>
        <v>26.540625000000002</v>
      </c>
      <c r="S322" s="295">
        <f>'BD Plant List'!$N324/12*'BD Feedstock'!S$3*'BD Plant List'!AF$5</f>
        <v>1.40625</v>
      </c>
      <c r="T322" s="295">
        <f>'BD Plant List'!$O324/12*'BD Feedstock'!T$3*'BD Plant List'!AB$5</f>
        <v>8.5732126770944213</v>
      </c>
      <c r="U322" s="295">
        <f>'BD Plant List'!$O324/12*'BD Feedstock'!U$3*'BD Plant List'!AC$5</f>
        <v>3.0347329175263269</v>
      </c>
    </row>
    <row r="323" spans="1:21" ht="18">
      <c r="A323" s="293">
        <v>49522</v>
      </c>
      <c r="B323" s="295">
        <f>'BD Plant List'!B325/12*'BD Plant List'!$AE$5*$B$3</f>
        <v>43.458333333333336</v>
      </c>
      <c r="C323" s="295">
        <f>'BD Plant List'!$C325/12*'BD Plant List'!$AB$5*'BD Feedstock'!$D$3</f>
        <v>2.098958333333333</v>
      </c>
      <c r="D323" s="295">
        <f>'BD Plant List'!$C325/12*'BD Plant List'!$AC$5*'BD Feedstock'!$D$3</f>
        <v>2.2289583333333334</v>
      </c>
      <c r="E323" s="295">
        <f>'BD Plant List'!$D325/12*'BD Plant List'!AB$5*'BD Feedstock'!$E$3</f>
        <v>9.6875</v>
      </c>
      <c r="F323" s="295">
        <f>'BD Plant List'!$D325/12*'BD Plant List'!AC$5*'BD Feedstock'!$F$3</f>
        <v>3.4291666666666671</v>
      </c>
      <c r="G323" s="295">
        <f>'BD Plant List'!$E325/12*'BD Feedstock'!G$3*'BD Plant List'!AB$5</f>
        <v>1.453125</v>
      </c>
      <c r="H323" s="295">
        <f>'BD Plant List'!$E325/12*'BD Feedstock'!H$3*'BD Plant List'!AC$5</f>
        <v>0.51437500000000003</v>
      </c>
      <c r="I323" s="295">
        <f>'BD Plant List'!F325/12*'BD Feedstock'!I$3*'BD Plant List'!AC$5</f>
        <v>0.13716666666666666</v>
      </c>
      <c r="J323" s="295">
        <f>'BD Plant List'!G325/12*'BD Feedstock'!J$3*'BD Plant List'!AD$5</f>
        <v>0.90199999999999991</v>
      </c>
      <c r="K323" s="295">
        <f>'BD Plant List'!$H325/12*'BD Feedstock'!K$3*'BD Plant List'!AB$5</f>
        <v>0</v>
      </c>
      <c r="L323" s="295">
        <f>'BD Plant List'!$H325/12*'BD Feedstock'!L$3*'BD Plant List'!AC$5</f>
        <v>0</v>
      </c>
      <c r="M323" s="295">
        <f>'BD Plant List'!$I325/12*'BD Feedstock'!$M$3*'BD Plant List'!AC$5</f>
        <v>3.4291666666666671</v>
      </c>
      <c r="N323" s="295">
        <f>'BD Plant List'!$J325/12*'BD Feedstock'!N$3*'BD Plant List'!AC$5</f>
        <v>0</v>
      </c>
      <c r="O323" s="295">
        <f>'BD Plant List'!$K325/12*'BD Feedstock'!O$3*'BD Plant List'!AC$5</f>
        <v>0</v>
      </c>
      <c r="P323" s="295">
        <f>'BD Plant List'!$L325/12*'BD Feedstock'!P$3*'BD Plant List'!AE$5</f>
        <v>0</v>
      </c>
      <c r="Q323" s="295">
        <f>'BD Plant List'!$M325/12*'BD Feedstock'!Q$3*'BD Plant List'!AE$5</f>
        <v>0.93125000000000002</v>
      </c>
      <c r="R323" s="295">
        <f>'BD Plant List'!$N325/12*'BD Feedstock'!R$3*'BD Plant List'!AE$5</f>
        <v>26.540625000000002</v>
      </c>
      <c r="S323" s="295">
        <f>'BD Plant List'!$N325/12*'BD Feedstock'!S$3*'BD Plant List'!AF$5</f>
        <v>1.40625</v>
      </c>
      <c r="T323" s="295">
        <f>'BD Plant List'!$O325/12*'BD Feedstock'!T$3*'BD Plant List'!AB$5</f>
        <v>8.5732126770944213</v>
      </c>
      <c r="U323" s="295">
        <f>'BD Plant List'!$O325/12*'BD Feedstock'!U$3*'BD Plant List'!AC$5</f>
        <v>3.0347329175263269</v>
      </c>
    </row>
    <row r="324" spans="1:21" ht="18">
      <c r="A324" s="293">
        <v>49553</v>
      </c>
      <c r="B324" s="295">
        <f>'BD Plant List'!B326/12*'BD Plant List'!$AE$5*$B$3</f>
        <v>43.458333333333336</v>
      </c>
      <c r="C324" s="295">
        <f>'BD Plant List'!$C326/12*'BD Plant List'!$AB$5*'BD Feedstock'!$D$3</f>
        <v>2.098958333333333</v>
      </c>
      <c r="D324" s="295">
        <f>'BD Plant List'!$C326/12*'BD Plant List'!$AC$5*'BD Feedstock'!$D$3</f>
        <v>2.2289583333333334</v>
      </c>
      <c r="E324" s="295">
        <f>'BD Plant List'!$D326/12*'BD Plant List'!AB$5*'BD Feedstock'!$E$3</f>
        <v>9.6875</v>
      </c>
      <c r="F324" s="295">
        <f>'BD Plant List'!$D326/12*'BD Plant List'!AC$5*'BD Feedstock'!$F$3</f>
        <v>3.4291666666666671</v>
      </c>
      <c r="G324" s="295">
        <f>'BD Plant List'!$E326/12*'BD Feedstock'!G$3*'BD Plant List'!AB$5</f>
        <v>1.453125</v>
      </c>
      <c r="H324" s="295">
        <f>'BD Plant List'!$E326/12*'BD Feedstock'!H$3*'BD Plant List'!AC$5</f>
        <v>0.51437500000000003</v>
      </c>
      <c r="I324" s="295">
        <f>'BD Plant List'!F326/12*'BD Feedstock'!I$3*'BD Plant List'!AC$5</f>
        <v>0.13716666666666666</v>
      </c>
      <c r="J324" s="295">
        <f>'BD Plant List'!G326/12*'BD Feedstock'!J$3*'BD Plant List'!AD$5</f>
        <v>0.90199999999999991</v>
      </c>
      <c r="K324" s="295">
        <f>'BD Plant List'!$H326/12*'BD Feedstock'!K$3*'BD Plant List'!AB$5</f>
        <v>0</v>
      </c>
      <c r="L324" s="295">
        <f>'BD Plant List'!$H326/12*'BD Feedstock'!L$3*'BD Plant List'!AC$5</f>
        <v>0</v>
      </c>
      <c r="M324" s="295">
        <f>'BD Plant List'!$I326/12*'BD Feedstock'!$M$3*'BD Plant List'!AC$5</f>
        <v>3.4291666666666671</v>
      </c>
      <c r="N324" s="295">
        <f>'BD Plant List'!$J326/12*'BD Feedstock'!N$3*'BD Plant List'!AC$5</f>
        <v>0</v>
      </c>
      <c r="O324" s="295">
        <f>'BD Plant List'!$K326/12*'BD Feedstock'!O$3*'BD Plant List'!AC$5</f>
        <v>0</v>
      </c>
      <c r="P324" s="295">
        <f>'BD Plant List'!$L326/12*'BD Feedstock'!P$3*'BD Plant List'!AE$5</f>
        <v>0</v>
      </c>
      <c r="Q324" s="295">
        <f>'BD Plant List'!$M326/12*'BD Feedstock'!Q$3*'BD Plant List'!AE$5</f>
        <v>0.93125000000000002</v>
      </c>
      <c r="R324" s="295">
        <f>'BD Plant List'!$N326/12*'BD Feedstock'!R$3*'BD Plant List'!AE$5</f>
        <v>26.540625000000002</v>
      </c>
      <c r="S324" s="295">
        <f>'BD Plant List'!$N326/12*'BD Feedstock'!S$3*'BD Plant List'!AF$5</f>
        <v>1.40625</v>
      </c>
      <c r="T324" s="295">
        <f>'BD Plant List'!$O326/12*'BD Feedstock'!T$3*'BD Plant List'!AB$5</f>
        <v>8.5732126770944213</v>
      </c>
      <c r="U324" s="295">
        <f>'BD Plant List'!$O326/12*'BD Feedstock'!U$3*'BD Plant List'!AC$5</f>
        <v>3.0347329175263269</v>
      </c>
    </row>
    <row r="325" spans="1:21" ht="18">
      <c r="A325" s="293">
        <v>49583</v>
      </c>
      <c r="B325" s="295">
        <f>'BD Plant List'!B327/12*'BD Plant List'!$AE$5*$B$3</f>
        <v>43.458333333333336</v>
      </c>
      <c r="C325" s="295">
        <f>'BD Plant List'!$C327/12*'BD Plant List'!$AB$5*'BD Feedstock'!$D$3</f>
        <v>2.098958333333333</v>
      </c>
      <c r="D325" s="295">
        <f>'BD Plant List'!$C327/12*'BD Plant List'!$AC$5*'BD Feedstock'!$D$3</f>
        <v>2.2289583333333334</v>
      </c>
      <c r="E325" s="295">
        <f>'BD Plant List'!$D327/12*'BD Plant List'!AB$5*'BD Feedstock'!$E$3</f>
        <v>9.6875</v>
      </c>
      <c r="F325" s="295">
        <f>'BD Plant List'!$D327/12*'BD Plant List'!AC$5*'BD Feedstock'!$F$3</f>
        <v>3.4291666666666671</v>
      </c>
      <c r="G325" s="295">
        <f>'BD Plant List'!$E327/12*'BD Feedstock'!G$3*'BD Plant List'!AB$5</f>
        <v>1.453125</v>
      </c>
      <c r="H325" s="295">
        <f>'BD Plant List'!$E327/12*'BD Feedstock'!H$3*'BD Plant List'!AC$5</f>
        <v>0.51437500000000003</v>
      </c>
      <c r="I325" s="295">
        <f>'BD Plant List'!F327/12*'BD Feedstock'!I$3*'BD Plant List'!AC$5</f>
        <v>0.13716666666666666</v>
      </c>
      <c r="J325" s="295">
        <f>'BD Plant List'!G327/12*'BD Feedstock'!J$3*'BD Plant List'!AD$5</f>
        <v>0.90199999999999991</v>
      </c>
      <c r="K325" s="295">
        <f>'BD Plant List'!$H327/12*'BD Feedstock'!K$3*'BD Plant List'!AB$5</f>
        <v>0</v>
      </c>
      <c r="L325" s="295">
        <f>'BD Plant List'!$H327/12*'BD Feedstock'!L$3*'BD Plant List'!AC$5</f>
        <v>0</v>
      </c>
      <c r="M325" s="295">
        <f>'BD Plant List'!$I327/12*'BD Feedstock'!$M$3*'BD Plant List'!AC$5</f>
        <v>3.4291666666666671</v>
      </c>
      <c r="N325" s="295">
        <f>'BD Plant List'!$J327/12*'BD Feedstock'!N$3*'BD Plant List'!AC$5</f>
        <v>0</v>
      </c>
      <c r="O325" s="295">
        <f>'BD Plant List'!$K327/12*'BD Feedstock'!O$3*'BD Plant List'!AC$5</f>
        <v>0</v>
      </c>
      <c r="P325" s="295">
        <f>'BD Plant List'!$L327/12*'BD Feedstock'!P$3*'BD Plant List'!AE$5</f>
        <v>0</v>
      </c>
      <c r="Q325" s="295">
        <f>'BD Plant List'!$M327/12*'BD Feedstock'!Q$3*'BD Plant List'!AE$5</f>
        <v>0.93125000000000002</v>
      </c>
      <c r="R325" s="295">
        <f>'BD Plant List'!$N327/12*'BD Feedstock'!R$3*'BD Plant List'!AE$5</f>
        <v>26.540625000000002</v>
      </c>
      <c r="S325" s="295">
        <f>'BD Plant List'!$N327/12*'BD Feedstock'!S$3*'BD Plant List'!AF$5</f>
        <v>1.40625</v>
      </c>
      <c r="T325" s="295">
        <f>'BD Plant List'!$O327/12*'BD Feedstock'!T$3*'BD Plant List'!AB$5</f>
        <v>8.5732126770944213</v>
      </c>
      <c r="U325" s="295">
        <f>'BD Plant List'!$O327/12*'BD Feedstock'!U$3*'BD Plant List'!AC$5</f>
        <v>3.0347329175263269</v>
      </c>
    </row>
    <row r="326" spans="1:21" ht="18">
      <c r="A326" s="293">
        <v>49614</v>
      </c>
      <c r="B326" s="295">
        <f>'BD Plant List'!B328/12*'BD Plant List'!$AE$5*$B$3</f>
        <v>43.458333333333336</v>
      </c>
      <c r="C326" s="295">
        <f>'BD Plant List'!$C328/12*'BD Plant List'!$AB$5*'BD Feedstock'!$D$3</f>
        <v>2.098958333333333</v>
      </c>
      <c r="D326" s="295">
        <f>'BD Plant List'!$C328/12*'BD Plant List'!$AC$5*'BD Feedstock'!$D$3</f>
        <v>2.2289583333333334</v>
      </c>
      <c r="E326" s="295">
        <f>'BD Plant List'!$D328/12*'BD Plant List'!AB$5*'BD Feedstock'!$E$3</f>
        <v>9.6875</v>
      </c>
      <c r="F326" s="295">
        <f>'BD Plant List'!$D328/12*'BD Plant List'!AC$5*'BD Feedstock'!$F$3</f>
        <v>3.4291666666666671</v>
      </c>
      <c r="G326" s="295">
        <f>'BD Plant List'!$E328/12*'BD Feedstock'!G$3*'BD Plant List'!AB$5</f>
        <v>1.453125</v>
      </c>
      <c r="H326" s="295">
        <f>'BD Plant List'!$E328/12*'BD Feedstock'!H$3*'BD Plant List'!AC$5</f>
        <v>0.51437500000000003</v>
      </c>
      <c r="I326" s="295">
        <f>'BD Plant List'!F328/12*'BD Feedstock'!I$3*'BD Plant List'!AC$5</f>
        <v>0.13716666666666666</v>
      </c>
      <c r="J326" s="295">
        <f>'BD Plant List'!G328/12*'BD Feedstock'!J$3*'BD Plant List'!AD$5</f>
        <v>0.90199999999999991</v>
      </c>
      <c r="K326" s="295">
        <f>'BD Plant List'!$H328/12*'BD Feedstock'!K$3*'BD Plant List'!AB$5</f>
        <v>0</v>
      </c>
      <c r="L326" s="295">
        <f>'BD Plant List'!$H328/12*'BD Feedstock'!L$3*'BD Plant List'!AC$5</f>
        <v>0</v>
      </c>
      <c r="M326" s="295">
        <f>'BD Plant List'!$I328/12*'BD Feedstock'!$M$3*'BD Plant List'!AC$5</f>
        <v>3.4291666666666671</v>
      </c>
      <c r="N326" s="295">
        <f>'BD Plant List'!$J328/12*'BD Feedstock'!N$3*'BD Plant List'!AC$5</f>
        <v>0</v>
      </c>
      <c r="O326" s="295">
        <f>'BD Plant List'!$K328/12*'BD Feedstock'!O$3*'BD Plant List'!AC$5</f>
        <v>0</v>
      </c>
      <c r="P326" s="295">
        <f>'BD Plant List'!$L328/12*'BD Feedstock'!P$3*'BD Plant List'!AE$5</f>
        <v>0</v>
      </c>
      <c r="Q326" s="295">
        <f>'BD Plant List'!$M328/12*'BD Feedstock'!Q$3*'BD Plant List'!AE$5</f>
        <v>0.93125000000000002</v>
      </c>
      <c r="R326" s="295">
        <f>'BD Plant List'!$N328/12*'BD Feedstock'!R$3*'BD Plant List'!AE$5</f>
        <v>26.540625000000002</v>
      </c>
      <c r="S326" s="295">
        <f>'BD Plant List'!$N328/12*'BD Feedstock'!S$3*'BD Plant List'!AF$5</f>
        <v>1.40625</v>
      </c>
      <c r="T326" s="295">
        <f>'BD Plant List'!$O328/12*'BD Feedstock'!T$3*'BD Plant List'!AB$5</f>
        <v>8.5732126770944213</v>
      </c>
      <c r="U326" s="295">
        <f>'BD Plant List'!$O328/12*'BD Feedstock'!U$3*'BD Plant List'!AC$5</f>
        <v>3.0347329175263269</v>
      </c>
    </row>
    <row r="327" spans="1:21" ht="18">
      <c r="A327" s="293">
        <v>49644</v>
      </c>
      <c r="B327" s="295">
        <f>'BD Plant List'!B329/12*'BD Plant List'!$AE$5*$B$3</f>
        <v>43.458333333333336</v>
      </c>
      <c r="C327" s="295">
        <f>'BD Plant List'!$C329/12*'BD Plant List'!$AB$5*'BD Feedstock'!$D$3</f>
        <v>2.098958333333333</v>
      </c>
      <c r="D327" s="295">
        <f>'BD Plant List'!$C329/12*'BD Plant List'!$AC$5*'BD Feedstock'!$D$3</f>
        <v>2.2289583333333334</v>
      </c>
      <c r="E327" s="295">
        <f>'BD Plant List'!$D329/12*'BD Plant List'!AB$5*'BD Feedstock'!$E$3</f>
        <v>9.6875</v>
      </c>
      <c r="F327" s="295">
        <f>'BD Plant List'!$D329/12*'BD Plant List'!AC$5*'BD Feedstock'!$F$3</f>
        <v>3.4291666666666671</v>
      </c>
      <c r="G327" s="295">
        <f>'BD Plant List'!$E329/12*'BD Feedstock'!G$3*'BD Plant List'!AB$5</f>
        <v>1.453125</v>
      </c>
      <c r="H327" s="295">
        <f>'BD Plant List'!$E329/12*'BD Feedstock'!H$3*'BD Plant List'!AC$5</f>
        <v>0.51437500000000003</v>
      </c>
      <c r="I327" s="295">
        <f>'BD Plant List'!F329/12*'BD Feedstock'!I$3*'BD Plant List'!AC$5</f>
        <v>0.13716666666666666</v>
      </c>
      <c r="J327" s="295">
        <f>'BD Plant List'!G329/12*'BD Feedstock'!J$3*'BD Plant List'!AD$5</f>
        <v>0.90199999999999991</v>
      </c>
      <c r="K327" s="295">
        <f>'BD Plant List'!$H329/12*'BD Feedstock'!K$3*'BD Plant List'!AB$5</f>
        <v>0</v>
      </c>
      <c r="L327" s="295">
        <f>'BD Plant List'!$H329/12*'BD Feedstock'!L$3*'BD Plant List'!AC$5</f>
        <v>0</v>
      </c>
      <c r="M327" s="295">
        <f>'BD Plant List'!$I329/12*'BD Feedstock'!$M$3*'BD Plant List'!AC$5</f>
        <v>3.4291666666666671</v>
      </c>
      <c r="N327" s="295">
        <f>'BD Plant List'!$J329/12*'BD Feedstock'!N$3*'BD Plant List'!AC$5</f>
        <v>0</v>
      </c>
      <c r="O327" s="295">
        <f>'BD Plant List'!$K329/12*'BD Feedstock'!O$3*'BD Plant List'!AC$5</f>
        <v>0</v>
      </c>
      <c r="P327" s="295">
        <f>'BD Plant List'!$L329/12*'BD Feedstock'!P$3*'BD Plant List'!AE$5</f>
        <v>0</v>
      </c>
      <c r="Q327" s="295">
        <f>'BD Plant List'!$M329/12*'BD Feedstock'!Q$3*'BD Plant List'!AE$5</f>
        <v>0.93125000000000002</v>
      </c>
      <c r="R327" s="295">
        <f>'BD Plant List'!$N329/12*'BD Feedstock'!R$3*'BD Plant List'!AE$5</f>
        <v>26.540625000000002</v>
      </c>
      <c r="S327" s="295">
        <f>'BD Plant List'!$N329/12*'BD Feedstock'!S$3*'BD Plant List'!AF$5</f>
        <v>1.40625</v>
      </c>
      <c r="T327" s="295">
        <f>'BD Plant List'!$O329/12*'BD Feedstock'!T$3*'BD Plant List'!AB$5</f>
        <v>8.5732126770944213</v>
      </c>
      <c r="U327" s="295">
        <f>'BD Plant List'!$O329/12*'BD Feedstock'!U$3*'BD Plant List'!AC$5</f>
        <v>3.0347329175263269</v>
      </c>
    </row>
    <row r="328" spans="1:21" ht="18">
      <c r="A328" s="293">
        <v>49675</v>
      </c>
      <c r="B328" s="295">
        <f>'BD Plant List'!B330/12*'BD Plant List'!$AE$5*$B$3</f>
        <v>43.458333333333336</v>
      </c>
      <c r="C328" s="295">
        <f>'BD Plant List'!$C330/12*'BD Plant List'!$AB$5*'BD Feedstock'!$D$3</f>
        <v>2.098958333333333</v>
      </c>
      <c r="D328" s="295">
        <f>'BD Plant List'!$C330/12*'BD Plant List'!$AC$5*'BD Feedstock'!$D$3</f>
        <v>2.2289583333333334</v>
      </c>
      <c r="E328" s="295">
        <f>'BD Plant List'!$D330/12*'BD Plant List'!AB$5*'BD Feedstock'!$E$3</f>
        <v>9.6875</v>
      </c>
      <c r="F328" s="295">
        <f>'BD Plant List'!$D330/12*'BD Plant List'!AC$5*'BD Feedstock'!$F$3</f>
        <v>3.4291666666666671</v>
      </c>
      <c r="G328" s="295">
        <f>'BD Plant List'!$E330/12*'BD Feedstock'!G$3*'BD Plant List'!AB$5</f>
        <v>1.453125</v>
      </c>
      <c r="H328" s="295">
        <f>'BD Plant List'!$E330/12*'BD Feedstock'!H$3*'BD Plant List'!AC$5</f>
        <v>0.51437500000000003</v>
      </c>
      <c r="I328" s="295">
        <f>'BD Plant List'!F330/12*'BD Feedstock'!I$3*'BD Plant List'!AC$5</f>
        <v>0.13716666666666666</v>
      </c>
      <c r="J328" s="295">
        <f>'BD Plant List'!G330/12*'BD Feedstock'!J$3*'BD Plant List'!AD$5</f>
        <v>0.90199999999999991</v>
      </c>
      <c r="K328" s="295">
        <f>'BD Plant List'!$H330/12*'BD Feedstock'!K$3*'BD Plant List'!AB$5</f>
        <v>0</v>
      </c>
      <c r="L328" s="295">
        <f>'BD Plant List'!$H330/12*'BD Feedstock'!L$3*'BD Plant List'!AC$5</f>
        <v>0</v>
      </c>
      <c r="M328" s="295">
        <f>'BD Plant List'!$I330/12*'BD Feedstock'!$M$3*'BD Plant List'!AC$5</f>
        <v>3.4291666666666671</v>
      </c>
      <c r="N328" s="295">
        <f>'BD Plant List'!$J330/12*'BD Feedstock'!N$3*'BD Plant List'!AC$5</f>
        <v>0</v>
      </c>
      <c r="O328" s="295">
        <f>'BD Plant List'!$K330/12*'BD Feedstock'!O$3*'BD Plant List'!AC$5</f>
        <v>0</v>
      </c>
      <c r="P328" s="295">
        <f>'BD Plant List'!$L330/12*'BD Feedstock'!P$3*'BD Plant List'!AE$5</f>
        <v>0</v>
      </c>
      <c r="Q328" s="295">
        <f>'BD Plant List'!$M330/12*'BD Feedstock'!Q$3*'BD Plant List'!AE$5</f>
        <v>0.93125000000000002</v>
      </c>
      <c r="R328" s="295">
        <f>'BD Plant List'!$N330/12*'BD Feedstock'!R$3*'BD Plant List'!AE$5</f>
        <v>26.540625000000002</v>
      </c>
      <c r="S328" s="295">
        <f>'BD Plant List'!$N330/12*'BD Feedstock'!S$3*'BD Plant List'!AF$5</f>
        <v>1.40625</v>
      </c>
      <c r="T328" s="295">
        <f>'BD Plant List'!$O330/12*'BD Feedstock'!T$3*'BD Plant List'!AB$5</f>
        <v>8.5732126770944213</v>
      </c>
      <c r="U328" s="295">
        <f>'BD Plant List'!$O330/12*'BD Feedstock'!U$3*'BD Plant List'!AC$5</f>
        <v>3.0347329175263269</v>
      </c>
    </row>
    <row r="329" spans="1:21" ht="18">
      <c r="A329" s="293">
        <v>49706</v>
      </c>
      <c r="B329" s="295">
        <f>'BD Plant List'!B331/12*'BD Plant List'!$AE$5*$B$3</f>
        <v>43.458333333333336</v>
      </c>
      <c r="C329" s="295">
        <f>'BD Plant List'!$C331/12*'BD Plant List'!$AB$5*'BD Feedstock'!$D$3</f>
        <v>2.098958333333333</v>
      </c>
      <c r="D329" s="295">
        <f>'BD Plant List'!$C331/12*'BD Plant List'!$AC$5*'BD Feedstock'!$D$3</f>
        <v>2.2289583333333334</v>
      </c>
      <c r="E329" s="295">
        <f>'BD Plant List'!$D331/12*'BD Plant List'!AB$5*'BD Feedstock'!$E$3</f>
        <v>9.6875</v>
      </c>
      <c r="F329" s="295">
        <f>'BD Plant List'!$D331/12*'BD Plant List'!AC$5*'BD Feedstock'!$F$3</f>
        <v>3.4291666666666671</v>
      </c>
      <c r="G329" s="295">
        <f>'BD Plant List'!$E331/12*'BD Feedstock'!G$3*'BD Plant List'!AB$5</f>
        <v>1.453125</v>
      </c>
      <c r="H329" s="295">
        <f>'BD Plant List'!$E331/12*'BD Feedstock'!H$3*'BD Plant List'!AC$5</f>
        <v>0.51437500000000003</v>
      </c>
      <c r="I329" s="295">
        <f>'BD Plant List'!F331/12*'BD Feedstock'!I$3*'BD Plant List'!AC$5</f>
        <v>0.13716666666666666</v>
      </c>
      <c r="J329" s="295">
        <f>'BD Plant List'!G331/12*'BD Feedstock'!J$3*'BD Plant List'!AD$5</f>
        <v>0.90199999999999991</v>
      </c>
      <c r="K329" s="295">
        <f>'BD Plant List'!$H331/12*'BD Feedstock'!K$3*'BD Plant List'!AB$5</f>
        <v>0</v>
      </c>
      <c r="L329" s="295">
        <f>'BD Plant List'!$H331/12*'BD Feedstock'!L$3*'BD Plant List'!AC$5</f>
        <v>0</v>
      </c>
      <c r="M329" s="295">
        <f>'BD Plant List'!$I331/12*'BD Feedstock'!$M$3*'BD Plant List'!AC$5</f>
        <v>3.4291666666666671</v>
      </c>
      <c r="N329" s="295">
        <f>'BD Plant List'!$J331/12*'BD Feedstock'!N$3*'BD Plant List'!AC$5</f>
        <v>0</v>
      </c>
      <c r="O329" s="295">
        <f>'BD Plant List'!$K331/12*'BD Feedstock'!O$3*'BD Plant List'!AC$5</f>
        <v>0</v>
      </c>
      <c r="P329" s="295">
        <f>'BD Plant List'!$L331/12*'BD Feedstock'!P$3*'BD Plant List'!AE$5</f>
        <v>0</v>
      </c>
      <c r="Q329" s="295">
        <f>'BD Plant List'!$M331/12*'BD Feedstock'!Q$3*'BD Plant List'!AE$5</f>
        <v>0.93125000000000002</v>
      </c>
      <c r="R329" s="295">
        <f>'BD Plant List'!$N331/12*'BD Feedstock'!R$3*'BD Plant List'!AE$5</f>
        <v>26.540625000000002</v>
      </c>
      <c r="S329" s="295">
        <f>'BD Plant List'!$N331/12*'BD Feedstock'!S$3*'BD Plant List'!AF$5</f>
        <v>1.40625</v>
      </c>
      <c r="T329" s="295">
        <f>'BD Plant List'!$O331/12*'BD Feedstock'!T$3*'BD Plant List'!AB$5</f>
        <v>8.5732126770944213</v>
      </c>
      <c r="U329" s="295">
        <f>'BD Plant List'!$O331/12*'BD Feedstock'!U$3*'BD Plant List'!AC$5</f>
        <v>3.0347329175263269</v>
      </c>
    </row>
    <row r="330" spans="1:21" ht="18">
      <c r="A330" s="293">
        <v>49735</v>
      </c>
      <c r="B330" s="295">
        <f>'BD Plant List'!B332/12*'BD Plant List'!$AE$5*$B$3</f>
        <v>43.458333333333336</v>
      </c>
      <c r="C330" s="295">
        <f>'BD Plant List'!$C332/12*'BD Plant List'!$AB$5*'BD Feedstock'!$D$3</f>
        <v>2.098958333333333</v>
      </c>
      <c r="D330" s="295">
        <f>'BD Plant List'!$C332/12*'BD Plant List'!$AC$5*'BD Feedstock'!$D$3</f>
        <v>2.2289583333333334</v>
      </c>
      <c r="E330" s="295">
        <f>'BD Plant List'!$D332/12*'BD Plant List'!AB$5*'BD Feedstock'!$E$3</f>
        <v>9.6875</v>
      </c>
      <c r="F330" s="295">
        <f>'BD Plant List'!$D332/12*'BD Plant List'!AC$5*'BD Feedstock'!$F$3</f>
        <v>3.4291666666666671</v>
      </c>
      <c r="G330" s="295">
        <f>'BD Plant List'!$E332/12*'BD Feedstock'!G$3*'BD Plant List'!AB$5</f>
        <v>1.453125</v>
      </c>
      <c r="H330" s="295">
        <f>'BD Plant List'!$E332/12*'BD Feedstock'!H$3*'BD Plant List'!AC$5</f>
        <v>0.51437500000000003</v>
      </c>
      <c r="I330" s="295">
        <f>'BD Plant List'!F332/12*'BD Feedstock'!I$3*'BD Plant List'!AC$5</f>
        <v>0.13716666666666666</v>
      </c>
      <c r="J330" s="295">
        <f>'BD Plant List'!G332/12*'BD Feedstock'!J$3*'BD Plant List'!AD$5</f>
        <v>0.90199999999999991</v>
      </c>
      <c r="K330" s="295">
        <f>'BD Plant List'!$H332/12*'BD Feedstock'!K$3*'BD Plant List'!AB$5</f>
        <v>0</v>
      </c>
      <c r="L330" s="295">
        <f>'BD Plant List'!$H332/12*'BD Feedstock'!L$3*'BD Plant List'!AC$5</f>
        <v>0</v>
      </c>
      <c r="M330" s="295">
        <f>'BD Plant List'!$I332/12*'BD Feedstock'!$M$3*'BD Plant List'!AC$5</f>
        <v>3.4291666666666671</v>
      </c>
      <c r="N330" s="295">
        <f>'BD Plant List'!$J332/12*'BD Feedstock'!N$3*'BD Plant List'!AC$5</f>
        <v>0</v>
      </c>
      <c r="O330" s="295">
        <f>'BD Plant List'!$K332/12*'BD Feedstock'!O$3*'BD Plant List'!AC$5</f>
        <v>0</v>
      </c>
      <c r="P330" s="295">
        <f>'BD Plant List'!$L332/12*'BD Feedstock'!P$3*'BD Plant List'!AE$5</f>
        <v>0</v>
      </c>
      <c r="Q330" s="295">
        <f>'BD Plant List'!$M332/12*'BD Feedstock'!Q$3*'BD Plant List'!AE$5</f>
        <v>0.93125000000000002</v>
      </c>
      <c r="R330" s="295">
        <f>'BD Plant List'!$N332/12*'BD Feedstock'!R$3*'BD Plant List'!AE$5</f>
        <v>26.540625000000002</v>
      </c>
      <c r="S330" s="295">
        <f>'BD Plant List'!$N332/12*'BD Feedstock'!S$3*'BD Plant List'!AF$5</f>
        <v>1.40625</v>
      </c>
      <c r="T330" s="295">
        <f>'BD Plant List'!$O332/12*'BD Feedstock'!T$3*'BD Plant List'!AB$5</f>
        <v>8.5732126770944213</v>
      </c>
      <c r="U330" s="295">
        <f>'BD Plant List'!$O332/12*'BD Feedstock'!U$3*'BD Plant List'!AC$5</f>
        <v>3.0347329175263269</v>
      </c>
    </row>
    <row r="331" spans="1:21" ht="18">
      <c r="A331" s="293">
        <v>49766</v>
      </c>
      <c r="B331" s="295">
        <f>'BD Plant List'!B333/12*'BD Plant List'!$AE$5*$B$3</f>
        <v>43.458333333333336</v>
      </c>
      <c r="C331" s="295">
        <f>'BD Plant List'!$C333/12*'BD Plant List'!$AB$5*'BD Feedstock'!$D$3</f>
        <v>2.098958333333333</v>
      </c>
      <c r="D331" s="295">
        <f>'BD Plant List'!$C333/12*'BD Plant List'!$AC$5*'BD Feedstock'!$D$3</f>
        <v>2.2289583333333334</v>
      </c>
      <c r="E331" s="295">
        <f>'BD Plant List'!$D333/12*'BD Plant List'!AB$5*'BD Feedstock'!$E$3</f>
        <v>9.6875</v>
      </c>
      <c r="F331" s="295">
        <f>'BD Plant List'!$D333/12*'BD Plant List'!AC$5*'BD Feedstock'!$F$3</f>
        <v>3.4291666666666671</v>
      </c>
      <c r="G331" s="295">
        <f>'BD Plant List'!$E333/12*'BD Feedstock'!G$3*'BD Plant List'!AB$5</f>
        <v>1.453125</v>
      </c>
      <c r="H331" s="295">
        <f>'BD Plant List'!$E333/12*'BD Feedstock'!H$3*'BD Plant List'!AC$5</f>
        <v>0.51437500000000003</v>
      </c>
      <c r="I331" s="295">
        <f>'BD Plant List'!F333/12*'BD Feedstock'!I$3*'BD Plant List'!AC$5</f>
        <v>0.13716666666666666</v>
      </c>
      <c r="J331" s="295">
        <f>'BD Plant List'!G333/12*'BD Feedstock'!J$3*'BD Plant List'!AD$5</f>
        <v>0.90199999999999991</v>
      </c>
      <c r="K331" s="295">
        <f>'BD Plant List'!$H333/12*'BD Feedstock'!K$3*'BD Plant List'!AB$5</f>
        <v>0</v>
      </c>
      <c r="L331" s="295">
        <f>'BD Plant List'!$H333/12*'BD Feedstock'!L$3*'BD Plant List'!AC$5</f>
        <v>0</v>
      </c>
      <c r="M331" s="295">
        <f>'BD Plant List'!$I333/12*'BD Feedstock'!$M$3*'BD Plant List'!AC$5</f>
        <v>3.4291666666666671</v>
      </c>
      <c r="N331" s="295">
        <f>'BD Plant List'!$J333/12*'BD Feedstock'!N$3*'BD Plant List'!AC$5</f>
        <v>0</v>
      </c>
      <c r="O331" s="295">
        <f>'BD Plant List'!$K333/12*'BD Feedstock'!O$3*'BD Plant List'!AC$5</f>
        <v>0</v>
      </c>
      <c r="P331" s="295">
        <f>'BD Plant List'!$L333/12*'BD Feedstock'!P$3*'BD Plant List'!AE$5</f>
        <v>0</v>
      </c>
      <c r="Q331" s="295">
        <f>'BD Plant List'!$M333/12*'BD Feedstock'!Q$3*'BD Plant List'!AE$5</f>
        <v>0.93125000000000002</v>
      </c>
      <c r="R331" s="295">
        <f>'BD Plant List'!$N333/12*'BD Feedstock'!R$3*'BD Plant List'!AE$5</f>
        <v>26.540625000000002</v>
      </c>
      <c r="S331" s="295">
        <f>'BD Plant List'!$N333/12*'BD Feedstock'!S$3*'BD Plant List'!AF$5</f>
        <v>1.40625</v>
      </c>
      <c r="T331" s="295">
        <f>'BD Plant List'!$O333/12*'BD Feedstock'!T$3*'BD Plant List'!AB$5</f>
        <v>8.5732126770944213</v>
      </c>
      <c r="U331" s="295">
        <f>'BD Plant List'!$O333/12*'BD Feedstock'!U$3*'BD Plant List'!AC$5</f>
        <v>3.0347329175263269</v>
      </c>
    </row>
    <row r="332" spans="1:21" ht="18">
      <c r="A332" s="293">
        <v>49796</v>
      </c>
      <c r="B332" s="295">
        <f>'BD Plant List'!B334/12*'BD Plant List'!$AE$5*$B$3</f>
        <v>43.458333333333336</v>
      </c>
      <c r="C332" s="295">
        <f>'BD Plant List'!$C334/12*'BD Plant List'!$AB$5*'BD Feedstock'!$D$3</f>
        <v>2.098958333333333</v>
      </c>
      <c r="D332" s="295">
        <f>'BD Plant List'!$C334/12*'BD Plant List'!$AC$5*'BD Feedstock'!$D$3</f>
        <v>2.2289583333333334</v>
      </c>
      <c r="E332" s="295">
        <f>'BD Plant List'!$D334/12*'BD Plant List'!AB$5*'BD Feedstock'!$E$3</f>
        <v>9.6875</v>
      </c>
      <c r="F332" s="295">
        <f>'BD Plant List'!$D334/12*'BD Plant List'!AC$5*'BD Feedstock'!$F$3</f>
        <v>3.4291666666666671</v>
      </c>
      <c r="G332" s="295">
        <f>'BD Plant List'!$E334/12*'BD Feedstock'!G$3*'BD Plant List'!AB$5</f>
        <v>1.453125</v>
      </c>
      <c r="H332" s="295">
        <f>'BD Plant List'!$E334/12*'BD Feedstock'!H$3*'BD Plant List'!AC$5</f>
        <v>0.51437500000000003</v>
      </c>
      <c r="I332" s="295">
        <f>'BD Plant List'!F334/12*'BD Feedstock'!I$3*'BD Plant List'!AC$5</f>
        <v>0.13716666666666666</v>
      </c>
      <c r="J332" s="295">
        <f>'BD Plant List'!G334/12*'BD Feedstock'!J$3*'BD Plant List'!AD$5</f>
        <v>0.90199999999999991</v>
      </c>
      <c r="K332" s="295">
        <f>'BD Plant List'!$H334/12*'BD Feedstock'!K$3*'BD Plant List'!AB$5</f>
        <v>0</v>
      </c>
      <c r="L332" s="295">
        <f>'BD Plant List'!$H334/12*'BD Feedstock'!L$3*'BD Plant List'!AC$5</f>
        <v>0</v>
      </c>
      <c r="M332" s="295">
        <f>'BD Plant List'!$I334/12*'BD Feedstock'!$M$3*'BD Plant List'!AC$5</f>
        <v>3.4291666666666671</v>
      </c>
      <c r="N332" s="295">
        <f>'BD Plant List'!$J334/12*'BD Feedstock'!N$3*'BD Plant List'!AC$5</f>
        <v>0</v>
      </c>
      <c r="O332" s="295">
        <f>'BD Plant List'!$K334/12*'BD Feedstock'!O$3*'BD Plant List'!AC$5</f>
        <v>0</v>
      </c>
      <c r="P332" s="295">
        <f>'BD Plant List'!$L334/12*'BD Feedstock'!P$3*'BD Plant List'!AE$5</f>
        <v>0</v>
      </c>
      <c r="Q332" s="295">
        <f>'BD Plant List'!$M334/12*'BD Feedstock'!Q$3*'BD Plant List'!AE$5</f>
        <v>0.93125000000000002</v>
      </c>
      <c r="R332" s="295">
        <f>'BD Plant List'!$N334/12*'BD Feedstock'!R$3*'BD Plant List'!AE$5</f>
        <v>26.540625000000002</v>
      </c>
      <c r="S332" s="295">
        <f>'BD Plant List'!$N334/12*'BD Feedstock'!S$3*'BD Plant List'!AF$5</f>
        <v>1.40625</v>
      </c>
      <c r="T332" s="295">
        <f>'BD Plant List'!$O334/12*'BD Feedstock'!T$3*'BD Plant List'!AB$5</f>
        <v>8.5732126770944213</v>
      </c>
      <c r="U332" s="295">
        <f>'BD Plant List'!$O334/12*'BD Feedstock'!U$3*'BD Plant List'!AC$5</f>
        <v>3.0347329175263269</v>
      </c>
    </row>
    <row r="333" spans="1:21" ht="18">
      <c r="A333" s="293">
        <v>49827</v>
      </c>
      <c r="B333" s="295">
        <f>'BD Plant List'!B335/12*'BD Plant List'!$AE$5*$B$3</f>
        <v>43.458333333333336</v>
      </c>
      <c r="C333" s="295">
        <f>'BD Plant List'!$C335/12*'BD Plant List'!$AB$5*'BD Feedstock'!$D$3</f>
        <v>2.098958333333333</v>
      </c>
      <c r="D333" s="295">
        <f>'BD Plant List'!$C335/12*'BD Plant List'!$AC$5*'BD Feedstock'!$D$3</f>
        <v>2.2289583333333334</v>
      </c>
      <c r="E333" s="295">
        <f>'BD Plant List'!$D335/12*'BD Plant List'!AB$5*'BD Feedstock'!$E$3</f>
        <v>9.6875</v>
      </c>
      <c r="F333" s="295">
        <f>'BD Plant List'!$D335/12*'BD Plant List'!AC$5*'BD Feedstock'!$F$3</f>
        <v>3.4291666666666671</v>
      </c>
      <c r="G333" s="295">
        <f>'BD Plant List'!$E335/12*'BD Feedstock'!G$3*'BD Plant List'!AB$5</f>
        <v>1.453125</v>
      </c>
      <c r="H333" s="295">
        <f>'BD Plant List'!$E335/12*'BD Feedstock'!H$3*'BD Plant List'!AC$5</f>
        <v>0.51437500000000003</v>
      </c>
      <c r="I333" s="295">
        <f>'BD Plant List'!F335/12*'BD Feedstock'!I$3*'BD Plant List'!AC$5</f>
        <v>0.13716666666666666</v>
      </c>
      <c r="J333" s="295">
        <f>'BD Plant List'!G335/12*'BD Feedstock'!J$3*'BD Plant List'!AD$5</f>
        <v>0.90199999999999991</v>
      </c>
      <c r="K333" s="295">
        <f>'BD Plant List'!$H335/12*'BD Feedstock'!K$3*'BD Plant List'!AB$5</f>
        <v>0</v>
      </c>
      <c r="L333" s="295">
        <f>'BD Plant List'!$H335/12*'BD Feedstock'!L$3*'BD Plant List'!AC$5</f>
        <v>0</v>
      </c>
      <c r="M333" s="295">
        <f>'BD Plant List'!$I335/12*'BD Feedstock'!$M$3*'BD Plant List'!AC$5</f>
        <v>3.4291666666666671</v>
      </c>
      <c r="N333" s="295">
        <f>'BD Plant List'!$J335/12*'BD Feedstock'!N$3*'BD Plant List'!AC$5</f>
        <v>0</v>
      </c>
      <c r="O333" s="295">
        <f>'BD Plant List'!$K335/12*'BD Feedstock'!O$3*'BD Plant List'!AC$5</f>
        <v>0</v>
      </c>
      <c r="P333" s="295">
        <f>'BD Plant List'!$L335/12*'BD Feedstock'!P$3*'BD Plant List'!AE$5</f>
        <v>0</v>
      </c>
      <c r="Q333" s="295">
        <f>'BD Plant List'!$M335/12*'BD Feedstock'!Q$3*'BD Plant List'!AE$5</f>
        <v>0.93125000000000002</v>
      </c>
      <c r="R333" s="295">
        <f>'BD Plant List'!$N335/12*'BD Feedstock'!R$3*'BD Plant List'!AE$5</f>
        <v>26.540625000000002</v>
      </c>
      <c r="S333" s="295">
        <f>'BD Plant List'!$N335/12*'BD Feedstock'!S$3*'BD Plant List'!AF$5</f>
        <v>1.40625</v>
      </c>
      <c r="T333" s="295">
        <f>'BD Plant List'!$O335/12*'BD Feedstock'!T$3*'BD Plant List'!AB$5</f>
        <v>8.5732126770944213</v>
      </c>
      <c r="U333" s="295">
        <f>'BD Plant List'!$O335/12*'BD Feedstock'!U$3*'BD Plant List'!AC$5</f>
        <v>3.0347329175263269</v>
      </c>
    </row>
    <row r="334" spans="1:21" ht="18">
      <c r="A334" s="293">
        <v>49857</v>
      </c>
      <c r="B334" s="295">
        <f>'BD Plant List'!B336/12*'BD Plant List'!$AE$5*$B$3</f>
        <v>43.458333333333336</v>
      </c>
      <c r="C334" s="295">
        <f>'BD Plant List'!$C336/12*'BD Plant List'!$AB$5*'BD Feedstock'!$D$3</f>
        <v>2.098958333333333</v>
      </c>
      <c r="D334" s="295">
        <f>'BD Plant List'!$C336/12*'BD Plant List'!$AC$5*'BD Feedstock'!$D$3</f>
        <v>2.2289583333333334</v>
      </c>
      <c r="E334" s="295">
        <f>'BD Plant List'!$D336/12*'BD Plant List'!AB$5*'BD Feedstock'!$E$3</f>
        <v>9.6875</v>
      </c>
      <c r="F334" s="295">
        <f>'BD Plant List'!$D336/12*'BD Plant List'!AC$5*'BD Feedstock'!$F$3</f>
        <v>3.4291666666666671</v>
      </c>
      <c r="G334" s="295">
        <f>'BD Plant List'!$E336/12*'BD Feedstock'!G$3*'BD Plant List'!AB$5</f>
        <v>1.453125</v>
      </c>
      <c r="H334" s="295">
        <f>'BD Plant List'!$E336/12*'BD Feedstock'!H$3*'BD Plant List'!AC$5</f>
        <v>0.51437500000000003</v>
      </c>
      <c r="I334" s="295">
        <f>'BD Plant List'!F336/12*'BD Feedstock'!I$3*'BD Plant List'!AC$5</f>
        <v>0.13716666666666666</v>
      </c>
      <c r="J334" s="295">
        <f>'BD Plant List'!G336/12*'BD Feedstock'!J$3*'BD Plant List'!AD$5</f>
        <v>0.90199999999999991</v>
      </c>
      <c r="K334" s="295">
        <f>'BD Plant List'!$H336/12*'BD Feedstock'!K$3*'BD Plant List'!AB$5</f>
        <v>0</v>
      </c>
      <c r="L334" s="295">
        <f>'BD Plant List'!$H336/12*'BD Feedstock'!L$3*'BD Plant List'!AC$5</f>
        <v>0</v>
      </c>
      <c r="M334" s="295">
        <f>'BD Plant List'!$I336/12*'BD Feedstock'!$M$3*'BD Plant List'!AC$5</f>
        <v>3.4291666666666671</v>
      </c>
      <c r="N334" s="295">
        <f>'BD Plant List'!$J336/12*'BD Feedstock'!N$3*'BD Plant List'!AC$5</f>
        <v>0</v>
      </c>
      <c r="O334" s="295">
        <f>'BD Plant List'!$K336/12*'BD Feedstock'!O$3*'BD Plant List'!AC$5</f>
        <v>0</v>
      </c>
      <c r="P334" s="295">
        <f>'BD Plant List'!$L336/12*'BD Feedstock'!P$3*'BD Plant List'!AE$5</f>
        <v>0</v>
      </c>
      <c r="Q334" s="295">
        <f>'BD Plant List'!$M336/12*'BD Feedstock'!Q$3*'BD Plant List'!AE$5</f>
        <v>0.93125000000000002</v>
      </c>
      <c r="R334" s="295">
        <f>'BD Plant List'!$N336/12*'BD Feedstock'!R$3*'BD Plant List'!AE$5</f>
        <v>26.540625000000002</v>
      </c>
      <c r="S334" s="295">
        <f>'BD Plant List'!$N336/12*'BD Feedstock'!S$3*'BD Plant List'!AF$5</f>
        <v>1.40625</v>
      </c>
      <c r="T334" s="295">
        <f>'BD Plant List'!$O336/12*'BD Feedstock'!T$3*'BD Plant List'!AB$5</f>
        <v>8.5732126770944213</v>
      </c>
      <c r="U334" s="295">
        <f>'BD Plant List'!$O336/12*'BD Feedstock'!U$3*'BD Plant List'!AC$5</f>
        <v>3.0347329175263269</v>
      </c>
    </row>
    <row r="335" spans="1:21" ht="18">
      <c r="A335" s="293">
        <v>49888</v>
      </c>
      <c r="B335" s="295">
        <f>'BD Plant List'!B337/12*'BD Plant List'!$AE$5*$B$3</f>
        <v>43.458333333333336</v>
      </c>
      <c r="C335" s="295">
        <f>'BD Plant List'!$C337/12*'BD Plant List'!$AB$5*'BD Feedstock'!$D$3</f>
        <v>2.098958333333333</v>
      </c>
      <c r="D335" s="295">
        <f>'BD Plant List'!$C337/12*'BD Plant List'!$AC$5*'BD Feedstock'!$D$3</f>
        <v>2.2289583333333334</v>
      </c>
      <c r="E335" s="295">
        <f>'BD Plant List'!$D337/12*'BD Plant List'!AB$5*'BD Feedstock'!$E$3</f>
        <v>9.6875</v>
      </c>
      <c r="F335" s="295">
        <f>'BD Plant List'!$D337/12*'BD Plant List'!AC$5*'BD Feedstock'!$F$3</f>
        <v>3.4291666666666671</v>
      </c>
      <c r="G335" s="295">
        <f>'BD Plant List'!$E337/12*'BD Feedstock'!G$3*'BD Plant List'!AB$5</f>
        <v>1.453125</v>
      </c>
      <c r="H335" s="295">
        <f>'BD Plant List'!$E337/12*'BD Feedstock'!H$3*'BD Plant List'!AC$5</f>
        <v>0.51437500000000003</v>
      </c>
      <c r="I335" s="295">
        <f>'BD Plant List'!F337/12*'BD Feedstock'!I$3*'BD Plant List'!AC$5</f>
        <v>0.13716666666666666</v>
      </c>
      <c r="J335" s="295">
        <f>'BD Plant List'!G337/12*'BD Feedstock'!J$3*'BD Plant List'!AD$5</f>
        <v>0.90199999999999991</v>
      </c>
      <c r="K335" s="295">
        <f>'BD Plant List'!$H337/12*'BD Feedstock'!K$3*'BD Plant List'!AB$5</f>
        <v>0</v>
      </c>
      <c r="L335" s="295">
        <f>'BD Plant List'!$H337/12*'BD Feedstock'!L$3*'BD Plant List'!AC$5</f>
        <v>0</v>
      </c>
      <c r="M335" s="295">
        <f>'BD Plant List'!$I337/12*'BD Feedstock'!$M$3*'BD Plant List'!AC$5</f>
        <v>3.4291666666666671</v>
      </c>
      <c r="N335" s="295">
        <f>'BD Plant List'!$J337/12*'BD Feedstock'!N$3*'BD Plant List'!AC$5</f>
        <v>0</v>
      </c>
      <c r="O335" s="295">
        <f>'BD Plant List'!$K337/12*'BD Feedstock'!O$3*'BD Plant List'!AC$5</f>
        <v>0</v>
      </c>
      <c r="P335" s="295">
        <f>'BD Plant List'!$L337/12*'BD Feedstock'!P$3*'BD Plant List'!AE$5</f>
        <v>0</v>
      </c>
      <c r="Q335" s="295">
        <f>'BD Plant List'!$M337/12*'BD Feedstock'!Q$3*'BD Plant List'!AE$5</f>
        <v>0.93125000000000002</v>
      </c>
      <c r="R335" s="295">
        <f>'BD Plant List'!$N337/12*'BD Feedstock'!R$3*'BD Plant List'!AE$5</f>
        <v>26.540625000000002</v>
      </c>
      <c r="S335" s="295">
        <f>'BD Plant List'!$N337/12*'BD Feedstock'!S$3*'BD Plant List'!AF$5</f>
        <v>1.40625</v>
      </c>
      <c r="T335" s="295">
        <f>'BD Plant List'!$O337/12*'BD Feedstock'!T$3*'BD Plant List'!AB$5</f>
        <v>8.5732126770944213</v>
      </c>
      <c r="U335" s="295">
        <f>'BD Plant List'!$O337/12*'BD Feedstock'!U$3*'BD Plant List'!AC$5</f>
        <v>3.0347329175263269</v>
      </c>
    </row>
    <row r="336" spans="1:21" ht="18">
      <c r="A336" s="293">
        <v>49919</v>
      </c>
      <c r="B336" s="295">
        <f>'BD Plant List'!B338/12*'BD Plant List'!$AE$5*$B$3</f>
        <v>43.458333333333336</v>
      </c>
      <c r="C336" s="295">
        <f>'BD Plant List'!$C338/12*'BD Plant List'!$AB$5*'BD Feedstock'!$D$3</f>
        <v>2.098958333333333</v>
      </c>
      <c r="D336" s="295">
        <f>'BD Plant List'!$C338/12*'BD Plant List'!$AC$5*'BD Feedstock'!$D$3</f>
        <v>2.2289583333333334</v>
      </c>
      <c r="E336" s="295">
        <f>'BD Plant List'!$D338/12*'BD Plant List'!AB$5*'BD Feedstock'!$E$3</f>
        <v>9.6875</v>
      </c>
      <c r="F336" s="295">
        <f>'BD Plant List'!$D338/12*'BD Plant List'!AC$5*'BD Feedstock'!$F$3</f>
        <v>3.4291666666666671</v>
      </c>
      <c r="G336" s="295">
        <f>'BD Plant List'!$E338/12*'BD Feedstock'!G$3*'BD Plant List'!AB$5</f>
        <v>1.453125</v>
      </c>
      <c r="H336" s="295">
        <f>'BD Plant List'!$E338/12*'BD Feedstock'!H$3*'BD Plant List'!AC$5</f>
        <v>0.51437500000000003</v>
      </c>
      <c r="I336" s="295">
        <f>'BD Plant List'!F338/12*'BD Feedstock'!I$3*'BD Plant List'!AC$5</f>
        <v>0.13716666666666666</v>
      </c>
      <c r="J336" s="295">
        <f>'BD Plant List'!G338/12*'BD Feedstock'!J$3*'BD Plant List'!AD$5</f>
        <v>0.90199999999999991</v>
      </c>
      <c r="K336" s="295">
        <f>'BD Plant List'!$H338/12*'BD Feedstock'!K$3*'BD Plant List'!AB$5</f>
        <v>0</v>
      </c>
      <c r="L336" s="295">
        <f>'BD Plant List'!$H338/12*'BD Feedstock'!L$3*'BD Plant List'!AC$5</f>
        <v>0</v>
      </c>
      <c r="M336" s="295">
        <f>'BD Plant List'!$I338/12*'BD Feedstock'!$M$3*'BD Plant List'!AC$5</f>
        <v>3.4291666666666671</v>
      </c>
      <c r="N336" s="295">
        <f>'BD Plant List'!$J338/12*'BD Feedstock'!N$3*'BD Plant List'!AC$5</f>
        <v>0</v>
      </c>
      <c r="O336" s="295">
        <f>'BD Plant List'!$K338/12*'BD Feedstock'!O$3*'BD Plant List'!AC$5</f>
        <v>0</v>
      </c>
      <c r="P336" s="295">
        <f>'BD Plant List'!$L338/12*'BD Feedstock'!P$3*'BD Plant List'!AE$5</f>
        <v>0</v>
      </c>
      <c r="Q336" s="295">
        <f>'BD Plant List'!$M338/12*'BD Feedstock'!Q$3*'BD Plant List'!AE$5</f>
        <v>0.93125000000000002</v>
      </c>
      <c r="R336" s="295">
        <f>'BD Plant List'!$N338/12*'BD Feedstock'!R$3*'BD Plant List'!AE$5</f>
        <v>26.540625000000002</v>
      </c>
      <c r="S336" s="295">
        <f>'BD Plant List'!$N338/12*'BD Feedstock'!S$3*'BD Plant List'!AF$5</f>
        <v>1.40625</v>
      </c>
      <c r="T336" s="295">
        <f>'BD Plant List'!$O338/12*'BD Feedstock'!T$3*'BD Plant List'!AB$5</f>
        <v>8.5732126770944213</v>
      </c>
      <c r="U336" s="295">
        <f>'BD Plant List'!$O338/12*'BD Feedstock'!U$3*'BD Plant List'!AC$5</f>
        <v>3.0347329175263269</v>
      </c>
    </row>
    <row r="337" spans="1:21" ht="18">
      <c r="A337" s="293">
        <v>49949</v>
      </c>
      <c r="B337" s="295">
        <f>'BD Plant List'!B339/12*'BD Plant List'!$AE$5*$B$3</f>
        <v>43.458333333333336</v>
      </c>
      <c r="C337" s="295">
        <f>'BD Plant List'!$C339/12*'BD Plant List'!$AB$5*'BD Feedstock'!$D$3</f>
        <v>2.098958333333333</v>
      </c>
      <c r="D337" s="295">
        <f>'BD Plant List'!$C339/12*'BD Plant List'!$AC$5*'BD Feedstock'!$D$3</f>
        <v>2.2289583333333334</v>
      </c>
      <c r="E337" s="295">
        <f>'BD Plant List'!$D339/12*'BD Plant List'!AB$5*'BD Feedstock'!$E$3</f>
        <v>9.6875</v>
      </c>
      <c r="F337" s="295">
        <f>'BD Plant List'!$D339/12*'BD Plant List'!AC$5*'BD Feedstock'!$F$3</f>
        <v>3.4291666666666671</v>
      </c>
      <c r="G337" s="295">
        <f>'BD Plant List'!$E339/12*'BD Feedstock'!G$3*'BD Plant List'!AB$5</f>
        <v>1.453125</v>
      </c>
      <c r="H337" s="295">
        <f>'BD Plant List'!$E339/12*'BD Feedstock'!H$3*'BD Plant List'!AC$5</f>
        <v>0.51437500000000003</v>
      </c>
      <c r="I337" s="295">
        <f>'BD Plant List'!F339/12*'BD Feedstock'!I$3*'BD Plant List'!AC$5</f>
        <v>0.13716666666666666</v>
      </c>
      <c r="J337" s="295">
        <f>'BD Plant List'!G339/12*'BD Feedstock'!J$3*'BD Plant List'!AD$5</f>
        <v>0.90199999999999991</v>
      </c>
      <c r="K337" s="295">
        <f>'BD Plant List'!$H339/12*'BD Feedstock'!K$3*'BD Plant List'!AB$5</f>
        <v>0</v>
      </c>
      <c r="L337" s="295">
        <f>'BD Plant List'!$H339/12*'BD Feedstock'!L$3*'BD Plant List'!AC$5</f>
        <v>0</v>
      </c>
      <c r="M337" s="295">
        <f>'BD Plant List'!$I339/12*'BD Feedstock'!$M$3*'BD Plant List'!AC$5</f>
        <v>3.4291666666666671</v>
      </c>
      <c r="N337" s="295">
        <f>'BD Plant List'!$J339/12*'BD Feedstock'!N$3*'BD Plant List'!AC$5</f>
        <v>0</v>
      </c>
      <c r="O337" s="295">
        <f>'BD Plant List'!$K339/12*'BD Feedstock'!O$3*'BD Plant List'!AC$5</f>
        <v>0</v>
      </c>
      <c r="P337" s="295">
        <f>'BD Plant List'!$L339/12*'BD Feedstock'!P$3*'BD Plant List'!AE$5</f>
        <v>0</v>
      </c>
      <c r="Q337" s="295">
        <f>'BD Plant List'!$M339/12*'BD Feedstock'!Q$3*'BD Plant List'!AE$5</f>
        <v>0.93125000000000002</v>
      </c>
      <c r="R337" s="295">
        <f>'BD Plant List'!$N339/12*'BD Feedstock'!R$3*'BD Plant List'!AE$5</f>
        <v>26.540625000000002</v>
      </c>
      <c r="S337" s="295">
        <f>'BD Plant List'!$N339/12*'BD Feedstock'!S$3*'BD Plant List'!AF$5</f>
        <v>1.40625</v>
      </c>
      <c r="T337" s="295">
        <f>'BD Plant List'!$O339/12*'BD Feedstock'!T$3*'BD Plant List'!AB$5</f>
        <v>8.5732126770944213</v>
      </c>
      <c r="U337" s="295">
        <f>'BD Plant List'!$O339/12*'BD Feedstock'!U$3*'BD Plant List'!AC$5</f>
        <v>3.0347329175263269</v>
      </c>
    </row>
    <row r="338" spans="1:21" ht="18">
      <c r="A338" s="293">
        <v>49980</v>
      </c>
      <c r="B338" s="295">
        <f>'BD Plant List'!B340/12*'BD Plant List'!$AE$5*$B$3</f>
        <v>43.458333333333336</v>
      </c>
      <c r="C338" s="295">
        <f>'BD Plant List'!$C340/12*'BD Plant List'!$AB$5*'BD Feedstock'!$D$3</f>
        <v>2.098958333333333</v>
      </c>
      <c r="D338" s="295">
        <f>'BD Plant List'!$C340/12*'BD Plant List'!$AC$5*'BD Feedstock'!$D$3</f>
        <v>2.2289583333333334</v>
      </c>
      <c r="E338" s="295">
        <f>'BD Plant List'!$D340/12*'BD Plant List'!AB$5*'BD Feedstock'!$E$3</f>
        <v>9.6875</v>
      </c>
      <c r="F338" s="295">
        <f>'BD Plant List'!$D340/12*'BD Plant List'!AC$5*'BD Feedstock'!$F$3</f>
        <v>3.4291666666666671</v>
      </c>
      <c r="G338" s="295">
        <f>'BD Plant List'!$E340/12*'BD Feedstock'!G$3*'BD Plant List'!AB$5</f>
        <v>1.453125</v>
      </c>
      <c r="H338" s="295">
        <f>'BD Plant List'!$E340/12*'BD Feedstock'!H$3*'BD Plant List'!AC$5</f>
        <v>0.51437500000000003</v>
      </c>
      <c r="I338" s="295">
        <f>'BD Plant List'!F340/12*'BD Feedstock'!I$3*'BD Plant List'!AC$5</f>
        <v>0.13716666666666666</v>
      </c>
      <c r="J338" s="295">
        <f>'BD Plant List'!G340/12*'BD Feedstock'!J$3*'BD Plant List'!AD$5</f>
        <v>0.90199999999999991</v>
      </c>
      <c r="K338" s="295">
        <f>'BD Plant List'!$H340/12*'BD Feedstock'!K$3*'BD Plant List'!AB$5</f>
        <v>0</v>
      </c>
      <c r="L338" s="295">
        <f>'BD Plant List'!$H340/12*'BD Feedstock'!L$3*'BD Plant List'!AC$5</f>
        <v>0</v>
      </c>
      <c r="M338" s="295">
        <f>'BD Plant List'!$I340/12*'BD Feedstock'!$M$3*'BD Plant List'!AC$5</f>
        <v>3.4291666666666671</v>
      </c>
      <c r="N338" s="295">
        <f>'BD Plant List'!$J340/12*'BD Feedstock'!N$3*'BD Plant List'!AC$5</f>
        <v>0</v>
      </c>
      <c r="O338" s="295">
        <f>'BD Plant List'!$K340/12*'BD Feedstock'!O$3*'BD Plant List'!AC$5</f>
        <v>0</v>
      </c>
      <c r="P338" s="295">
        <f>'BD Plant List'!$L340/12*'BD Feedstock'!P$3*'BD Plant List'!AE$5</f>
        <v>0</v>
      </c>
      <c r="Q338" s="295">
        <f>'BD Plant List'!$M340/12*'BD Feedstock'!Q$3*'BD Plant List'!AE$5</f>
        <v>0.93125000000000002</v>
      </c>
      <c r="R338" s="295">
        <f>'BD Plant List'!$N340/12*'BD Feedstock'!R$3*'BD Plant List'!AE$5</f>
        <v>26.540625000000002</v>
      </c>
      <c r="S338" s="295">
        <f>'BD Plant List'!$N340/12*'BD Feedstock'!S$3*'BD Plant List'!AF$5</f>
        <v>1.40625</v>
      </c>
      <c r="T338" s="295">
        <f>'BD Plant List'!$O340/12*'BD Feedstock'!T$3*'BD Plant List'!AB$5</f>
        <v>8.5732126770944213</v>
      </c>
      <c r="U338" s="295">
        <f>'BD Plant List'!$O340/12*'BD Feedstock'!U$3*'BD Plant List'!AC$5</f>
        <v>3.0347329175263269</v>
      </c>
    </row>
    <row r="339" spans="1:21" ht="18">
      <c r="A339" s="293">
        <v>50010</v>
      </c>
      <c r="B339" s="295">
        <f>'BD Plant List'!B341/12*'BD Plant List'!$AE$5*$B$3</f>
        <v>43.458333333333336</v>
      </c>
      <c r="C339" s="295">
        <f>'BD Plant List'!$C341/12*'BD Plant List'!$AB$5*'BD Feedstock'!$D$3</f>
        <v>2.098958333333333</v>
      </c>
      <c r="D339" s="295">
        <f>'BD Plant List'!$C341/12*'BD Plant List'!$AC$5*'BD Feedstock'!$D$3</f>
        <v>2.2289583333333334</v>
      </c>
      <c r="E339" s="295">
        <f>'BD Plant List'!$D341/12*'BD Plant List'!AB$5*'BD Feedstock'!$E$3</f>
        <v>9.6875</v>
      </c>
      <c r="F339" s="295">
        <f>'BD Plant List'!$D341/12*'BD Plant List'!AC$5*'BD Feedstock'!$F$3</f>
        <v>3.4291666666666671</v>
      </c>
      <c r="G339" s="295">
        <f>'BD Plant List'!$E341/12*'BD Feedstock'!G$3*'BD Plant List'!AB$5</f>
        <v>1.453125</v>
      </c>
      <c r="H339" s="295">
        <f>'BD Plant List'!$E341/12*'BD Feedstock'!H$3*'BD Plant List'!AC$5</f>
        <v>0.51437500000000003</v>
      </c>
      <c r="I339" s="295">
        <f>'BD Plant List'!F341/12*'BD Feedstock'!I$3*'BD Plant List'!AC$5</f>
        <v>0.13716666666666666</v>
      </c>
      <c r="J339" s="295">
        <f>'BD Plant List'!G341/12*'BD Feedstock'!J$3*'BD Plant List'!AD$5</f>
        <v>0.90199999999999991</v>
      </c>
      <c r="K339" s="295">
        <f>'BD Plant List'!$H341/12*'BD Feedstock'!K$3*'BD Plant List'!AB$5</f>
        <v>0</v>
      </c>
      <c r="L339" s="295">
        <f>'BD Plant List'!$H341/12*'BD Feedstock'!L$3*'BD Plant List'!AC$5</f>
        <v>0</v>
      </c>
      <c r="M339" s="295">
        <f>'BD Plant List'!$I341/12*'BD Feedstock'!$M$3*'BD Plant List'!AC$5</f>
        <v>3.4291666666666671</v>
      </c>
      <c r="N339" s="295">
        <f>'BD Plant List'!$J341/12*'BD Feedstock'!N$3*'BD Plant List'!AC$5</f>
        <v>0</v>
      </c>
      <c r="O339" s="295">
        <f>'BD Plant List'!$K341/12*'BD Feedstock'!O$3*'BD Plant List'!AC$5</f>
        <v>0</v>
      </c>
      <c r="P339" s="295">
        <f>'BD Plant List'!$L341/12*'BD Feedstock'!P$3*'BD Plant List'!AE$5</f>
        <v>0</v>
      </c>
      <c r="Q339" s="295">
        <f>'BD Plant List'!$M341/12*'BD Feedstock'!Q$3*'BD Plant List'!AE$5</f>
        <v>0.93125000000000002</v>
      </c>
      <c r="R339" s="295">
        <f>'BD Plant List'!$N341/12*'BD Feedstock'!R$3*'BD Plant List'!AE$5</f>
        <v>26.540625000000002</v>
      </c>
      <c r="S339" s="295">
        <f>'BD Plant List'!$N341/12*'BD Feedstock'!S$3*'BD Plant List'!AF$5</f>
        <v>1.40625</v>
      </c>
      <c r="T339" s="295">
        <f>'BD Plant List'!$O341/12*'BD Feedstock'!T$3*'BD Plant List'!AB$5</f>
        <v>8.5732126770944213</v>
      </c>
      <c r="U339" s="295">
        <f>'BD Plant List'!$O341/12*'BD Feedstock'!U$3*'BD Plant List'!AC$5</f>
        <v>3.0347329175263269</v>
      </c>
    </row>
    <row r="340" spans="1:21" ht="18">
      <c r="A340" s="293">
        <v>50041</v>
      </c>
      <c r="B340" s="295">
        <f>'BD Plant List'!B342/12*'BD Plant List'!$AE$5*$B$3</f>
        <v>43.458333333333336</v>
      </c>
      <c r="C340" s="295">
        <f>'BD Plant List'!$C342/12*'BD Plant List'!$AB$5*'BD Feedstock'!$D$3</f>
        <v>2.098958333333333</v>
      </c>
      <c r="D340" s="295">
        <f>'BD Plant List'!$C342/12*'BD Plant List'!$AC$5*'BD Feedstock'!$D$3</f>
        <v>2.2289583333333334</v>
      </c>
      <c r="E340" s="295">
        <f>'BD Plant List'!$D342/12*'BD Plant List'!AB$5*'BD Feedstock'!$E$3</f>
        <v>9.6875</v>
      </c>
      <c r="F340" s="295">
        <f>'BD Plant List'!$D342/12*'BD Plant List'!AC$5*'BD Feedstock'!$F$3</f>
        <v>3.4291666666666671</v>
      </c>
      <c r="G340" s="295">
        <f>'BD Plant List'!$E342/12*'BD Feedstock'!G$3*'BD Plant List'!AB$5</f>
        <v>1.453125</v>
      </c>
      <c r="H340" s="295">
        <f>'BD Plant List'!$E342/12*'BD Feedstock'!H$3*'BD Plant List'!AC$5</f>
        <v>0.51437500000000003</v>
      </c>
      <c r="I340" s="295">
        <f>'BD Plant List'!F342/12*'BD Feedstock'!I$3*'BD Plant List'!AC$5</f>
        <v>0.13716666666666666</v>
      </c>
      <c r="J340" s="295">
        <f>'BD Plant List'!G342/12*'BD Feedstock'!J$3*'BD Plant List'!AD$5</f>
        <v>0.90199999999999991</v>
      </c>
      <c r="K340" s="295">
        <f>'BD Plant List'!$H342/12*'BD Feedstock'!K$3*'BD Plant List'!AB$5</f>
        <v>0</v>
      </c>
      <c r="L340" s="295">
        <f>'BD Plant List'!$H342/12*'BD Feedstock'!L$3*'BD Plant List'!AC$5</f>
        <v>0</v>
      </c>
      <c r="M340" s="295">
        <f>'BD Plant List'!$I342/12*'BD Feedstock'!$M$3*'BD Plant List'!AC$5</f>
        <v>3.4291666666666671</v>
      </c>
      <c r="N340" s="295">
        <f>'BD Plant List'!$J342/12*'BD Feedstock'!N$3*'BD Plant List'!AC$5</f>
        <v>0</v>
      </c>
      <c r="O340" s="295">
        <f>'BD Plant List'!$K342/12*'BD Feedstock'!O$3*'BD Plant List'!AC$5</f>
        <v>0</v>
      </c>
      <c r="P340" s="295">
        <f>'BD Plant List'!$L342/12*'BD Feedstock'!P$3*'BD Plant List'!AE$5</f>
        <v>0</v>
      </c>
      <c r="Q340" s="295">
        <f>'BD Plant List'!$M342/12*'BD Feedstock'!Q$3*'BD Plant List'!AE$5</f>
        <v>0.93125000000000002</v>
      </c>
      <c r="R340" s="295">
        <f>'BD Plant List'!$N342/12*'BD Feedstock'!R$3*'BD Plant List'!AE$5</f>
        <v>26.540625000000002</v>
      </c>
      <c r="S340" s="295">
        <f>'BD Plant List'!$N342/12*'BD Feedstock'!S$3*'BD Plant List'!AF$5</f>
        <v>1.40625</v>
      </c>
      <c r="T340" s="295">
        <f>'BD Plant List'!$O342/12*'BD Feedstock'!T$3*'BD Plant List'!AB$5</f>
        <v>8.5732126770944213</v>
      </c>
      <c r="U340" s="295">
        <f>'BD Plant List'!$O342/12*'BD Feedstock'!U$3*'BD Plant List'!AC$5</f>
        <v>3.0347329175263269</v>
      </c>
    </row>
    <row r="341" spans="1:21" ht="18">
      <c r="A341" s="293">
        <v>50072</v>
      </c>
      <c r="B341" s="295">
        <f>'BD Plant List'!B343/12*'BD Plant List'!$AE$5*$B$3</f>
        <v>43.458333333333336</v>
      </c>
      <c r="C341" s="295">
        <f>'BD Plant List'!$C343/12*'BD Plant List'!$AB$5*'BD Feedstock'!$D$3</f>
        <v>2.098958333333333</v>
      </c>
      <c r="D341" s="295">
        <f>'BD Plant List'!$C343/12*'BD Plant List'!$AC$5*'BD Feedstock'!$D$3</f>
        <v>2.2289583333333334</v>
      </c>
      <c r="E341" s="295">
        <f>'BD Plant List'!$D343/12*'BD Plant List'!AB$5*'BD Feedstock'!$E$3</f>
        <v>9.6875</v>
      </c>
      <c r="F341" s="295">
        <f>'BD Plant List'!$D343/12*'BD Plant List'!AC$5*'BD Feedstock'!$F$3</f>
        <v>3.4291666666666671</v>
      </c>
      <c r="G341" s="295">
        <f>'BD Plant List'!$E343/12*'BD Feedstock'!G$3*'BD Plant List'!AB$5</f>
        <v>1.453125</v>
      </c>
      <c r="H341" s="295">
        <f>'BD Plant List'!$E343/12*'BD Feedstock'!H$3*'BD Plant List'!AC$5</f>
        <v>0.51437500000000003</v>
      </c>
      <c r="I341" s="295">
        <f>'BD Plant List'!F343/12*'BD Feedstock'!I$3*'BD Plant List'!AC$5</f>
        <v>0.13716666666666666</v>
      </c>
      <c r="J341" s="295">
        <f>'BD Plant List'!G343/12*'BD Feedstock'!J$3*'BD Plant List'!AD$5</f>
        <v>0.90199999999999991</v>
      </c>
      <c r="K341" s="295">
        <f>'BD Plant List'!$H343/12*'BD Feedstock'!K$3*'BD Plant List'!AB$5</f>
        <v>0</v>
      </c>
      <c r="L341" s="295">
        <f>'BD Plant List'!$H343/12*'BD Feedstock'!L$3*'BD Plant List'!AC$5</f>
        <v>0</v>
      </c>
      <c r="M341" s="295">
        <f>'BD Plant List'!$I343/12*'BD Feedstock'!$M$3*'BD Plant List'!AC$5</f>
        <v>3.4291666666666671</v>
      </c>
      <c r="N341" s="295">
        <f>'BD Plant List'!$J343/12*'BD Feedstock'!N$3*'BD Plant List'!AC$5</f>
        <v>0</v>
      </c>
      <c r="O341" s="295">
        <f>'BD Plant List'!$K343/12*'BD Feedstock'!O$3*'BD Plant List'!AC$5</f>
        <v>0</v>
      </c>
      <c r="P341" s="295">
        <f>'BD Plant List'!$L343/12*'BD Feedstock'!P$3*'BD Plant List'!AE$5</f>
        <v>0</v>
      </c>
      <c r="Q341" s="295">
        <f>'BD Plant List'!$M343/12*'BD Feedstock'!Q$3*'BD Plant List'!AE$5</f>
        <v>0.93125000000000002</v>
      </c>
      <c r="R341" s="295">
        <f>'BD Plant List'!$N343/12*'BD Feedstock'!R$3*'BD Plant List'!AE$5</f>
        <v>26.540625000000002</v>
      </c>
      <c r="S341" s="295">
        <f>'BD Plant List'!$N343/12*'BD Feedstock'!S$3*'BD Plant List'!AF$5</f>
        <v>1.40625</v>
      </c>
      <c r="T341" s="295">
        <f>'BD Plant List'!$O343/12*'BD Feedstock'!T$3*'BD Plant List'!AB$5</f>
        <v>8.5732126770944213</v>
      </c>
      <c r="U341" s="295">
        <f>'BD Plant List'!$O343/12*'BD Feedstock'!U$3*'BD Plant List'!AC$5</f>
        <v>3.0347329175263269</v>
      </c>
    </row>
    <row r="342" spans="1:21" ht="18">
      <c r="A342" s="293">
        <v>50100</v>
      </c>
      <c r="B342" s="295">
        <f>'BD Plant List'!B344/12*'BD Plant List'!$AE$5*$B$3</f>
        <v>43.458333333333336</v>
      </c>
      <c r="C342" s="295">
        <f>'BD Plant List'!$C344/12*'BD Plant List'!$AB$5*'BD Feedstock'!$D$3</f>
        <v>2.098958333333333</v>
      </c>
      <c r="D342" s="295">
        <f>'BD Plant List'!$C344/12*'BD Plant List'!$AC$5*'BD Feedstock'!$D$3</f>
        <v>2.2289583333333334</v>
      </c>
      <c r="E342" s="295">
        <f>'BD Plant List'!$D344/12*'BD Plant List'!AB$5*'BD Feedstock'!$E$3</f>
        <v>9.6875</v>
      </c>
      <c r="F342" s="295">
        <f>'BD Plant List'!$D344/12*'BD Plant List'!AC$5*'BD Feedstock'!$F$3</f>
        <v>3.4291666666666671</v>
      </c>
      <c r="G342" s="295">
        <f>'BD Plant List'!$E344/12*'BD Feedstock'!G$3*'BD Plant List'!AB$5</f>
        <v>1.453125</v>
      </c>
      <c r="H342" s="295">
        <f>'BD Plant List'!$E344/12*'BD Feedstock'!H$3*'BD Plant List'!AC$5</f>
        <v>0.51437500000000003</v>
      </c>
      <c r="I342" s="295">
        <f>'BD Plant List'!F344/12*'BD Feedstock'!I$3*'BD Plant List'!AC$5</f>
        <v>0.13716666666666666</v>
      </c>
      <c r="J342" s="295">
        <f>'BD Plant List'!G344/12*'BD Feedstock'!J$3*'BD Plant List'!AD$5</f>
        <v>0.90199999999999991</v>
      </c>
      <c r="K342" s="295">
        <f>'BD Plant List'!$H344/12*'BD Feedstock'!K$3*'BD Plant List'!AB$5</f>
        <v>0</v>
      </c>
      <c r="L342" s="295">
        <f>'BD Plant List'!$H344/12*'BD Feedstock'!L$3*'BD Plant List'!AC$5</f>
        <v>0</v>
      </c>
      <c r="M342" s="295">
        <f>'BD Plant List'!$I344/12*'BD Feedstock'!$M$3*'BD Plant List'!AC$5</f>
        <v>3.4291666666666671</v>
      </c>
      <c r="N342" s="295">
        <f>'BD Plant List'!$J344/12*'BD Feedstock'!N$3*'BD Plant List'!AC$5</f>
        <v>0</v>
      </c>
      <c r="O342" s="295">
        <f>'BD Plant List'!$K344/12*'BD Feedstock'!O$3*'BD Plant List'!AC$5</f>
        <v>0</v>
      </c>
      <c r="P342" s="295">
        <f>'BD Plant List'!$L344/12*'BD Feedstock'!P$3*'BD Plant List'!AE$5</f>
        <v>0</v>
      </c>
      <c r="Q342" s="295">
        <f>'BD Plant List'!$M344/12*'BD Feedstock'!Q$3*'BD Plant List'!AE$5</f>
        <v>0.93125000000000002</v>
      </c>
      <c r="R342" s="295">
        <f>'BD Plant List'!$N344/12*'BD Feedstock'!R$3*'BD Plant List'!AE$5</f>
        <v>26.540625000000002</v>
      </c>
      <c r="S342" s="295">
        <f>'BD Plant List'!$N344/12*'BD Feedstock'!S$3*'BD Plant List'!AF$5</f>
        <v>1.40625</v>
      </c>
      <c r="T342" s="295">
        <f>'BD Plant List'!$O344/12*'BD Feedstock'!T$3*'BD Plant List'!AB$5</f>
        <v>8.5732126770944213</v>
      </c>
      <c r="U342" s="295">
        <f>'BD Plant List'!$O344/12*'BD Feedstock'!U$3*'BD Plant List'!AC$5</f>
        <v>3.0347329175263269</v>
      </c>
    </row>
    <row r="343" spans="1:21" ht="18">
      <c r="A343" s="293">
        <v>50131</v>
      </c>
      <c r="B343" s="295">
        <f>'BD Plant List'!B345/12*'BD Plant List'!$AE$5*$B$3</f>
        <v>43.458333333333336</v>
      </c>
      <c r="C343" s="295">
        <f>'BD Plant List'!$C345/12*'BD Plant List'!$AB$5*'BD Feedstock'!$D$3</f>
        <v>2.098958333333333</v>
      </c>
      <c r="D343" s="295">
        <f>'BD Plant List'!$C345/12*'BD Plant List'!$AC$5*'BD Feedstock'!$D$3</f>
        <v>2.2289583333333334</v>
      </c>
      <c r="E343" s="295">
        <f>'BD Plant List'!$D345/12*'BD Plant List'!AB$5*'BD Feedstock'!$E$3</f>
        <v>9.6875</v>
      </c>
      <c r="F343" s="295">
        <f>'BD Plant List'!$D345/12*'BD Plant List'!AC$5*'BD Feedstock'!$F$3</f>
        <v>3.4291666666666671</v>
      </c>
      <c r="G343" s="295">
        <f>'BD Plant List'!$E345/12*'BD Feedstock'!G$3*'BD Plant List'!AB$5</f>
        <v>1.453125</v>
      </c>
      <c r="H343" s="295">
        <f>'BD Plant List'!$E345/12*'BD Feedstock'!H$3*'BD Plant List'!AC$5</f>
        <v>0.51437500000000003</v>
      </c>
      <c r="I343" s="295">
        <f>'BD Plant List'!F345/12*'BD Feedstock'!I$3*'BD Plant List'!AC$5</f>
        <v>0.13716666666666666</v>
      </c>
      <c r="J343" s="295">
        <f>'BD Plant List'!G345/12*'BD Feedstock'!J$3*'BD Plant List'!AD$5</f>
        <v>0.90199999999999991</v>
      </c>
      <c r="K343" s="295">
        <f>'BD Plant List'!$H345/12*'BD Feedstock'!K$3*'BD Plant List'!AB$5</f>
        <v>0</v>
      </c>
      <c r="L343" s="295">
        <f>'BD Plant List'!$H345/12*'BD Feedstock'!L$3*'BD Plant List'!AC$5</f>
        <v>0</v>
      </c>
      <c r="M343" s="295">
        <f>'BD Plant List'!$I345/12*'BD Feedstock'!$M$3*'BD Plant List'!AC$5</f>
        <v>3.4291666666666671</v>
      </c>
      <c r="N343" s="295">
        <f>'BD Plant List'!$J345/12*'BD Feedstock'!N$3*'BD Plant List'!AC$5</f>
        <v>0</v>
      </c>
      <c r="O343" s="295">
        <f>'BD Plant List'!$K345/12*'BD Feedstock'!O$3*'BD Plant List'!AC$5</f>
        <v>0</v>
      </c>
      <c r="P343" s="295">
        <f>'BD Plant List'!$L345/12*'BD Feedstock'!P$3*'BD Plant List'!AE$5</f>
        <v>0</v>
      </c>
      <c r="Q343" s="295">
        <f>'BD Plant List'!$M345/12*'BD Feedstock'!Q$3*'BD Plant List'!AE$5</f>
        <v>0.93125000000000002</v>
      </c>
      <c r="R343" s="295">
        <f>'BD Plant List'!$N345/12*'BD Feedstock'!R$3*'BD Plant List'!AE$5</f>
        <v>26.540625000000002</v>
      </c>
      <c r="S343" s="295">
        <f>'BD Plant List'!$N345/12*'BD Feedstock'!S$3*'BD Plant List'!AF$5</f>
        <v>1.40625</v>
      </c>
      <c r="T343" s="295">
        <f>'BD Plant List'!$O345/12*'BD Feedstock'!T$3*'BD Plant List'!AB$5</f>
        <v>8.5732126770944213</v>
      </c>
      <c r="U343" s="295">
        <f>'BD Plant List'!$O345/12*'BD Feedstock'!U$3*'BD Plant List'!AC$5</f>
        <v>3.0347329175263269</v>
      </c>
    </row>
    <row r="344" spans="1:21" ht="18">
      <c r="A344" s="293">
        <v>50161</v>
      </c>
      <c r="B344" s="295">
        <f>'BD Plant List'!B346/12*'BD Plant List'!$AE$5*$B$3</f>
        <v>43.458333333333336</v>
      </c>
      <c r="C344" s="295">
        <f>'BD Plant List'!$C346/12*'BD Plant List'!$AB$5*'BD Feedstock'!$D$3</f>
        <v>2.098958333333333</v>
      </c>
      <c r="D344" s="295">
        <f>'BD Plant List'!$C346/12*'BD Plant List'!$AC$5*'BD Feedstock'!$D$3</f>
        <v>2.2289583333333334</v>
      </c>
      <c r="E344" s="295">
        <f>'BD Plant List'!$D346/12*'BD Plant List'!AB$5*'BD Feedstock'!$E$3</f>
        <v>9.6875</v>
      </c>
      <c r="F344" s="295">
        <f>'BD Plant List'!$D346/12*'BD Plant List'!AC$5*'BD Feedstock'!$F$3</f>
        <v>3.4291666666666671</v>
      </c>
      <c r="G344" s="295">
        <f>'BD Plant List'!$E346/12*'BD Feedstock'!G$3*'BD Plant List'!AB$5</f>
        <v>1.453125</v>
      </c>
      <c r="H344" s="295">
        <f>'BD Plant List'!$E346/12*'BD Feedstock'!H$3*'BD Plant List'!AC$5</f>
        <v>0.51437500000000003</v>
      </c>
      <c r="I344" s="295">
        <f>'BD Plant List'!F346/12*'BD Feedstock'!I$3*'BD Plant List'!AC$5</f>
        <v>0.13716666666666666</v>
      </c>
      <c r="J344" s="295">
        <f>'BD Plant List'!G346/12*'BD Feedstock'!J$3*'BD Plant List'!AD$5</f>
        <v>0.90199999999999991</v>
      </c>
      <c r="K344" s="295">
        <f>'BD Plant List'!$H346/12*'BD Feedstock'!K$3*'BD Plant List'!AB$5</f>
        <v>0</v>
      </c>
      <c r="L344" s="295">
        <f>'BD Plant List'!$H346/12*'BD Feedstock'!L$3*'BD Plant List'!AC$5</f>
        <v>0</v>
      </c>
      <c r="M344" s="295">
        <f>'BD Plant List'!$I346/12*'BD Feedstock'!$M$3*'BD Plant List'!AC$5</f>
        <v>3.4291666666666671</v>
      </c>
      <c r="N344" s="295">
        <f>'BD Plant List'!$J346/12*'BD Feedstock'!N$3*'BD Plant List'!AC$5</f>
        <v>0</v>
      </c>
      <c r="O344" s="295">
        <f>'BD Plant List'!$K346/12*'BD Feedstock'!O$3*'BD Plant List'!AC$5</f>
        <v>0</v>
      </c>
      <c r="P344" s="295">
        <f>'BD Plant List'!$L346/12*'BD Feedstock'!P$3*'BD Plant List'!AE$5</f>
        <v>0</v>
      </c>
      <c r="Q344" s="295">
        <f>'BD Plant List'!$M346/12*'BD Feedstock'!Q$3*'BD Plant List'!AE$5</f>
        <v>0.93125000000000002</v>
      </c>
      <c r="R344" s="295">
        <f>'BD Plant List'!$N346/12*'BD Feedstock'!R$3*'BD Plant List'!AE$5</f>
        <v>26.540625000000002</v>
      </c>
      <c r="S344" s="295">
        <f>'BD Plant List'!$N346/12*'BD Feedstock'!S$3*'BD Plant List'!AF$5</f>
        <v>1.40625</v>
      </c>
      <c r="T344" s="295">
        <f>'BD Plant List'!$O346/12*'BD Feedstock'!T$3*'BD Plant List'!AB$5</f>
        <v>8.5732126770944213</v>
      </c>
      <c r="U344" s="295">
        <f>'BD Plant List'!$O346/12*'BD Feedstock'!U$3*'BD Plant List'!AC$5</f>
        <v>3.0347329175263269</v>
      </c>
    </row>
    <row r="345" spans="1:21" ht="18">
      <c r="A345" s="293">
        <v>50192</v>
      </c>
      <c r="B345" s="295">
        <f>'BD Plant List'!B347/12*'BD Plant List'!$AE$5*$B$3</f>
        <v>43.458333333333336</v>
      </c>
      <c r="C345" s="295">
        <f>'BD Plant List'!$C347/12*'BD Plant List'!$AB$5*'BD Feedstock'!$D$3</f>
        <v>2.098958333333333</v>
      </c>
      <c r="D345" s="295">
        <f>'BD Plant List'!$C347/12*'BD Plant List'!$AC$5*'BD Feedstock'!$D$3</f>
        <v>2.2289583333333334</v>
      </c>
      <c r="E345" s="295">
        <f>'BD Plant List'!$D347/12*'BD Plant List'!AB$5*'BD Feedstock'!$E$3</f>
        <v>9.6875</v>
      </c>
      <c r="F345" s="295">
        <f>'BD Plant List'!$D347/12*'BD Plant List'!AC$5*'BD Feedstock'!$F$3</f>
        <v>3.4291666666666671</v>
      </c>
      <c r="G345" s="295">
        <f>'BD Plant List'!$E347/12*'BD Feedstock'!G$3*'BD Plant List'!AB$5</f>
        <v>1.453125</v>
      </c>
      <c r="H345" s="295">
        <f>'BD Plant List'!$E347/12*'BD Feedstock'!H$3*'BD Plant List'!AC$5</f>
        <v>0.51437500000000003</v>
      </c>
      <c r="I345" s="295">
        <f>'BD Plant List'!F347/12*'BD Feedstock'!I$3*'BD Plant List'!AC$5</f>
        <v>0.13716666666666666</v>
      </c>
      <c r="J345" s="295">
        <f>'BD Plant List'!G347/12*'BD Feedstock'!J$3*'BD Plant List'!AD$5</f>
        <v>0.90199999999999991</v>
      </c>
      <c r="K345" s="295">
        <f>'BD Plant List'!$H347/12*'BD Feedstock'!K$3*'BD Plant List'!AB$5</f>
        <v>0</v>
      </c>
      <c r="L345" s="295">
        <f>'BD Plant List'!$H347/12*'BD Feedstock'!L$3*'BD Plant List'!AC$5</f>
        <v>0</v>
      </c>
      <c r="M345" s="295">
        <f>'BD Plant List'!$I347/12*'BD Feedstock'!$M$3*'BD Plant List'!AC$5</f>
        <v>3.4291666666666671</v>
      </c>
      <c r="N345" s="295">
        <f>'BD Plant List'!$J347/12*'BD Feedstock'!N$3*'BD Plant List'!AC$5</f>
        <v>0</v>
      </c>
      <c r="O345" s="295">
        <f>'BD Plant List'!$K347/12*'BD Feedstock'!O$3*'BD Plant List'!AC$5</f>
        <v>0</v>
      </c>
      <c r="P345" s="295">
        <f>'BD Plant List'!$L347/12*'BD Feedstock'!P$3*'BD Plant List'!AE$5</f>
        <v>0</v>
      </c>
      <c r="Q345" s="295">
        <f>'BD Plant List'!$M347/12*'BD Feedstock'!Q$3*'BD Plant List'!AE$5</f>
        <v>0.93125000000000002</v>
      </c>
      <c r="R345" s="295">
        <f>'BD Plant List'!$N347/12*'BD Feedstock'!R$3*'BD Plant List'!AE$5</f>
        <v>26.540625000000002</v>
      </c>
      <c r="S345" s="295">
        <f>'BD Plant List'!$N347/12*'BD Feedstock'!S$3*'BD Plant List'!AF$5</f>
        <v>1.40625</v>
      </c>
      <c r="T345" s="295">
        <f>'BD Plant List'!$O347/12*'BD Feedstock'!T$3*'BD Plant List'!AB$5</f>
        <v>8.5732126770944213</v>
      </c>
      <c r="U345" s="295">
        <f>'BD Plant List'!$O347/12*'BD Feedstock'!U$3*'BD Plant List'!AC$5</f>
        <v>3.0347329175263269</v>
      </c>
    </row>
    <row r="346" spans="1:21" ht="18">
      <c r="A346" s="293">
        <v>50222</v>
      </c>
      <c r="B346" s="295">
        <f>'BD Plant List'!B348/12*'BD Plant List'!$AE$5*$B$3</f>
        <v>43.458333333333336</v>
      </c>
      <c r="C346" s="295">
        <f>'BD Plant List'!$C348/12*'BD Plant List'!$AB$5*'BD Feedstock'!$D$3</f>
        <v>2.098958333333333</v>
      </c>
      <c r="D346" s="295">
        <f>'BD Plant List'!$C348/12*'BD Plant List'!$AC$5*'BD Feedstock'!$D$3</f>
        <v>2.2289583333333334</v>
      </c>
      <c r="E346" s="295">
        <f>'BD Plant List'!$D348/12*'BD Plant List'!AB$5*'BD Feedstock'!$E$3</f>
        <v>9.6875</v>
      </c>
      <c r="F346" s="295">
        <f>'BD Plant List'!$D348/12*'BD Plant List'!AC$5*'BD Feedstock'!$F$3</f>
        <v>3.4291666666666671</v>
      </c>
      <c r="G346" s="295">
        <f>'BD Plant List'!$E348/12*'BD Feedstock'!G$3*'BD Plant List'!AB$5</f>
        <v>1.453125</v>
      </c>
      <c r="H346" s="295">
        <f>'BD Plant List'!$E348/12*'BD Feedstock'!H$3*'BD Plant List'!AC$5</f>
        <v>0.51437500000000003</v>
      </c>
      <c r="I346" s="295">
        <f>'BD Plant List'!F348/12*'BD Feedstock'!I$3*'BD Plant List'!AC$5</f>
        <v>0.13716666666666666</v>
      </c>
      <c r="J346" s="295">
        <f>'BD Plant List'!G348/12*'BD Feedstock'!J$3*'BD Plant List'!AD$5</f>
        <v>0.90199999999999991</v>
      </c>
      <c r="K346" s="295">
        <f>'BD Plant List'!$H348/12*'BD Feedstock'!K$3*'BD Plant List'!AB$5</f>
        <v>0</v>
      </c>
      <c r="L346" s="295">
        <f>'BD Plant List'!$H348/12*'BD Feedstock'!L$3*'BD Plant List'!AC$5</f>
        <v>0</v>
      </c>
      <c r="M346" s="295">
        <f>'BD Plant List'!$I348/12*'BD Feedstock'!$M$3*'BD Plant List'!AC$5</f>
        <v>3.4291666666666671</v>
      </c>
      <c r="N346" s="295">
        <f>'BD Plant List'!$J348/12*'BD Feedstock'!N$3*'BD Plant List'!AC$5</f>
        <v>0</v>
      </c>
      <c r="O346" s="295">
        <f>'BD Plant List'!$K348/12*'BD Feedstock'!O$3*'BD Plant List'!AC$5</f>
        <v>0</v>
      </c>
      <c r="P346" s="295">
        <f>'BD Plant List'!$L348/12*'BD Feedstock'!P$3*'BD Plant List'!AE$5</f>
        <v>0</v>
      </c>
      <c r="Q346" s="295">
        <f>'BD Plant List'!$M348/12*'BD Feedstock'!Q$3*'BD Plant List'!AE$5</f>
        <v>0.93125000000000002</v>
      </c>
      <c r="R346" s="295">
        <f>'BD Plant List'!$N348/12*'BD Feedstock'!R$3*'BD Plant List'!AE$5</f>
        <v>26.540625000000002</v>
      </c>
      <c r="S346" s="295">
        <f>'BD Plant List'!$N348/12*'BD Feedstock'!S$3*'BD Plant List'!AF$5</f>
        <v>1.40625</v>
      </c>
      <c r="T346" s="295">
        <f>'BD Plant List'!$O348/12*'BD Feedstock'!T$3*'BD Plant List'!AB$5</f>
        <v>8.5732126770944213</v>
      </c>
      <c r="U346" s="295">
        <f>'BD Plant List'!$O348/12*'BD Feedstock'!U$3*'BD Plant List'!AC$5</f>
        <v>3.0347329175263269</v>
      </c>
    </row>
    <row r="347" spans="1:21" ht="18">
      <c r="A347" s="293">
        <v>50253</v>
      </c>
      <c r="B347" s="295">
        <f>'BD Plant List'!B349/12*'BD Plant List'!$AE$5*$B$3</f>
        <v>43.458333333333336</v>
      </c>
      <c r="C347" s="295">
        <f>'BD Plant List'!$C349/12*'BD Plant List'!$AB$5*'BD Feedstock'!$D$3</f>
        <v>2.098958333333333</v>
      </c>
      <c r="D347" s="295">
        <f>'BD Plant List'!$C349/12*'BD Plant List'!$AC$5*'BD Feedstock'!$D$3</f>
        <v>2.2289583333333334</v>
      </c>
      <c r="E347" s="295">
        <f>'BD Plant List'!$D349/12*'BD Plant List'!AB$5*'BD Feedstock'!$E$3</f>
        <v>9.6875</v>
      </c>
      <c r="F347" s="295">
        <f>'BD Plant List'!$D349/12*'BD Plant List'!AC$5*'BD Feedstock'!$F$3</f>
        <v>3.4291666666666671</v>
      </c>
      <c r="G347" s="295">
        <f>'BD Plant List'!$E349/12*'BD Feedstock'!G$3*'BD Plant List'!AB$5</f>
        <v>1.453125</v>
      </c>
      <c r="H347" s="295">
        <f>'BD Plant List'!$E349/12*'BD Feedstock'!H$3*'BD Plant List'!AC$5</f>
        <v>0.51437500000000003</v>
      </c>
      <c r="I347" s="295">
        <f>'BD Plant List'!F349/12*'BD Feedstock'!I$3*'BD Plant List'!AC$5</f>
        <v>0.13716666666666666</v>
      </c>
      <c r="J347" s="295">
        <f>'BD Plant List'!G349/12*'BD Feedstock'!J$3*'BD Plant List'!AD$5</f>
        <v>0.90199999999999991</v>
      </c>
      <c r="K347" s="295">
        <f>'BD Plant List'!$H349/12*'BD Feedstock'!K$3*'BD Plant List'!AB$5</f>
        <v>0</v>
      </c>
      <c r="L347" s="295">
        <f>'BD Plant List'!$H349/12*'BD Feedstock'!L$3*'BD Plant List'!AC$5</f>
        <v>0</v>
      </c>
      <c r="M347" s="295">
        <f>'BD Plant List'!$I349/12*'BD Feedstock'!$M$3*'BD Plant List'!AC$5</f>
        <v>3.4291666666666671</v>
      </c>
      <c r="N347" s="295">
        <f>'BD Plant List'!$J349/12*'BD Feedstock'!N$3*'BD Plant List'!AC$5</f>
        <v>0</v>
      </c>
      <c r="O347" s="295">
        <f>'BD Plant List'!$K349/12*'BD Feedstock'!O$3*'BD Plant List'!AC$5</f>
        <v>0</v>
      </c>
      <c r="P347" s="295">
        <f>'BD Plant List'!$L349/12*'BD Feedstock'!P$3*'BD Plant List'!AE$5</f>
        <v>0</v>
      </c>
      <c r="Q347" s="295">
        <f>'BD Plant List'!$M349/12*'BD Feedstock'!Q$3*'BD Plant List'!AE$5</f>
        <v>0.93125000000000002</v>
      </c>
      <c r="R347" s="295">
        <f>'BD Plant List'!$N349/12*'BD Feedstock'!R$3*'BD Plant List'!AE$5</f>
        <v>26.540625000000002</v>
      </c>
      <c r="S347" s="295">
        <f>'BD Plant List'!$N349/12*'BD Feedstock'!S$3*'BD Plant List'!AF$5</f>
        <v>1.40625</v>
      </c>
      <c r="T347" s="295">
        <f>'BD Plant List'!$O349/12*'BD Feedstock'!T$3*'BD Plant List'!AB$5</f>
        <v>8.5732126770944213</v>
      </c>
      <c r="U347" s="295">
        <f>'BD Plant List'!$O349/12*'BD Feedstock'!U$3*'BD Plant List'!AC$5</f>
        <v>3.0347329175263269</v>
      </c>
    </row>
    <row r="348" spans="1:21" ht="18">
      <c r="A348" s="293">
        <v>50284</v>
      </c>
      <c r="B348" s="295">
        <f>'BD Plant List'!B350/12*'BD Plant List'!$AE$5*$B$3</f>
        <v>43.458333333333336</v>
      </c>
      <c r="C348" s="295">
        <f>'BD Plant List'!$C350/12*'BD Plant List'!$AB$5*'BD Feedstock'!$D$3</f>
        <v>2.098958333333333</v>
      </c>
      <c r="D348" s="295">
        <f>'BD Plant List'!$C350/12*'BD Plant List'!$AC$5*'BD Feedstock'!$D$3</f>
        <v>2.2289583333333334</v>
      </c>
      <c r="E348" s="295">
        <f>'BD Plant List'!$D350/12*'BD Plant List'!AB$5*'BD Feedstock'!$E$3</f>
        <v>9.6875</v>
      </c>
      <c r="F348" s="295">
        <f>'BD Plant List'!$D350/12*'BD Plant List'!AC$5*'BD Feedstock'!$F$3</f>
        <v>3.4291666666666671</v>
      </c>
      <c r="G348" s="295">
        <f>'BD Plant List'!$E350/12*'BD Feedstock'!G$3*'BD Plant List'!AB$5</f>
        <v>1.453125</v>
      </c>
      <c r="H348" s="295">
        <f>'BD Plant List'!$E350/12*'BD Feedstock'!H$3*'BD Plant List'!AC$5</f>
        <v>0.51437500000000003</v>
      </c>
      <c r="I348" s="295">
        <f>'BD Plant List'!F350/12*'BD Feedstock'!I$3*'BD Plant List'!AC$5</f>
        <v>0.13716666666666666</v>
      </c>
      <c r="J348" s="295">
        <f>'BD Plant List'!G350/12*'BD Feedstock'!J$3*'BD Plant List'!AD$5</f>
        <v>0.90199999999999991</v>
      </c>
      <c r="K348" s="295">
        <f>'BD Plant List'!$H350/12*'BD Feedstock'!K$3*'BD Plant List'!AB$5</f>
        <v>0</v>
      </c>
      <c r="L348" s="295">
        <f>'BD Plant List'!$H350/12*'BD Feedstock'!L$3*'BD Plant List'!AC$5</f>
        <v>0</v>
      </c>
      <c r="M348" s="295">
        <f>'BD Plant List'!$I350/12*'BD Feedstock'!$M$3*'BD Plant List'!AC$5</f>
        <v>3.4291666666666671</v>
      </c>
      <c r="N348" s="295">
        <f>'BD Plant List'!$J350/12*'BD Feedstock'!N$3*'BD Plant List'!AC$5</f>
        <v>0</v>
      </c>
      <c r="O348" s="295">
        <f>'BD Plant List'!$K350/12*'BD Feedstock'!O$3*'BD Plant List'!AC$5</f>
        <v>0</v>
      </c>
      <c r="P348" s="295">
        <f>'BD Plant List'!$L350/12*'BD Feedstock'!P$3*'BD Plant List'!AE$5</f>
        <v>0</v>
      </c>
      <c r="Q348" s="295">
        <f>'BD Plant List'!$M350/12*'BD Feedstock'!Q$3*'BD Plant List'!AE$5</f>
        <v>0.93125000000000002</v>
      </c>
      <c r="R348" s="295">
        <f>'BD Plant List'!$N350/12*'BD Feedstock'!R$3*'BD Plant List'!AE$5</f>
        <v>26.540625000000002</v>
      </c>
      <c r="S348" s="295">
        <f>'BD Plant List'!$N350/12*'BD Feedstock'!S$3*'BD Plant List'!AF$5</f>
        <v>1.40625</v>
      </c>
      <c r="T348" s="295">
        <f>'BD Plant List'!$O350/12*'BD Feedstock'!T$3*'BD Plant List'!AB$5</f>
        <v>8.5732126770944213</v>
      </c>
      <c r="U348" s="295">
        <f>'BD Plant List'!$O350/12*'BD Feedstock'!U$3*'BD Plant List'!AC$5</f>
        <v>3.0347329175263269</v>
      </c>
    </row>
    <row r="349" spans="1:21" ht="18">
      <c r="A349" s="293">
        <v>50314</v>
      </c>
      <c r="B349" s="295">
        <f>'BD Plant List'!B351/12*'BD Plant List'!$AE$5*$B$3</f>
        <v>43.458333333333336</v>
      </c>
      <c r="C349" s="295">
        <f>'BD Plant List'!$C351/12*'BD Plant List'!$AB$5*'BD Feedstock'!$D$3</f>
        <v>2.098958333333333</v>
      </c>
      <c r="D349" s="295">
        <f>'BD Plant List'!$C351/12*'BD Plant List'!$AC$5*'BD Feedstock'!$D$3</f>
        <v>2.2289583333333334</v>
      </c>
      <c r="E349" s="295">
        <f>'BD Plant List'!$D351/12*'BD Plant List'!AB$5*'BD Feedstock'!$E$3</f>
        <v>9.6875</v>
      </c>
      <c r="F349" s="295">
        <f>'BD Plant List'!$D351/12*'BD Plant List'!AC$5*'BD Feedstock'!$F$3</f>
        <v>3.4291666666666671</v>
      </c>
      <c r="G349" s="295">
        <f>'BD Plant List'!$E351/12*'BD Feedstock'!G$3*'BD Plant List'!AB$5</f>
        <v>1.453125</v>
      </c>
      <c r="H349" s="295">
        <f>'BD Plant List'!$E351/12*'BD Feedstock'!H$3*'BD Plant List'!AC$5</f>
        <v>0.51437500000000003</v>
      </c>
      <c r="I349" s="295">
        <f>'BD Plant List'!F351/12*'BD Feedstock'!I$3*'BD Plant List'!AC$5</f>
        <v>0.13716666666666666</v>
      </c>
      <c r="J349" s="295">
        <f>'BD Plant List'!G351/12*'BD Feedstock'!J$3*'BD Plant List'!AD$5</f>
        <v>0.90199999999999991</v>
      </c>
      <c r="K349" s="295">
        <f>'BD Plant List'!$H351/12*'BD Feedstock'!K$3*'BD Plant List'!AB$5</f>
        <v>0</v>
      </c>
      <c r="L349" s="295">
        <f>'BD Plant List'!$H351/12*'BD Feedstock'!L$3*'BD Plant List'!AC$5</f>
        <v>0</v>
      </c>
      <c r="M349" s="295">
        <f>'BD Plant List'!$I351/12*'BD Feedstock'!$M$3*'BD Plant List'!AC$5</f>
        <v>3.4291666666666671</v>
      </c>
      <c r="N349" s="295">
        <f>'BD Plant List'!$J351/12*'BD Feedstock'!N$3*'BD Plant List'!AC$5</f>
        <v>0</v>
      </c>
      <c r="O349" s="295">
        <f>'BD Plant List'!$K351/12*'BD Feedstock'!O$3*'BD Plant List'!AC$5</f>
        <v>0</v>
      </c>
      <c r="P349" s="295">
        <f>'BD Plant List'!$L351/12*'BD Feedstock'!P$3*'BD Plant List'!AE$5</f>
        <v>0</v>
      </c>
      <c r="Q349" s="295">
        <f>'BD Plant List'!$M351/12*'BD Feedstock'!Q$3*'BD Plant List'!AE$5</f>
        <v>0.93125000000000002</v>
      </c>
      <c r="R349" s="295">
        <f>'BD Plant List'!$N351/12*'BD Feedstock'!R$3*'BD Plant List'!AE$5</f>
        <v>26.540625000000002</v>
      </c>
      <c r="S349" s="295">
        <f>'BD Plant List'!$N351/12*'BD Feedstock'!S$3*'BD Plant List'!AF$5</f>
        <v>1.40625</v>
      </c>
      <c r="T349" s="295">
        <f>'BD Plant List'!$O351/12*'BD Feedstock'!T$3*'BD Plant List'!AB$5</f>
        <v>8.5732126770944213</v>
      </c>
      <c r="U349" s="295">
        <f>'BD Plant List'!$O351/12*'BD Feedstock'!U$3*'BD Plant List'!AC$5</f>
        <v>3.0347329175263269</v>
      </c>
    </row>
    <row r="350" spans="1:21" ht="18">
      <c r="A350" s="293">
        <v>50345</v>
      </c>
      <c r="B350" s="295">
        <f>'BD Plant List'!B352/12*'BD Plant List'!$AE$5*$B$3</f>
        <v>43.458333333333336</v>
      </c>
      <c r="C350" s="295">
        <f>'BD Plant List'!$C352/12*'BD Plant List'!$AB$5*'BD Feedstock'!$D$3</f>
        <v>2.098958333333333</v>
      </c>
      <c r="D350" s="295">
        <f>'BD Plant List'!$C352/12*'BD Plant List'!$AC$5*'BD Feedstock'!$D$3</f>
        <v>2.2289583333333334</v>
      </c>
      <c r="E350" s="295">
        <f>'BD Plant List'!$D352/12*'BD Plant List'!AB$5*'BD Feedstock'!$E$3</f>
        <v>9.6875</v>
      </c>
      <c r="F350" s="295">
        <f>'BD Plant List'!$D352/12*'BD Plant List'!AC$5*'BD Feedstock'!$F$3</f>
        <v>3.4291666666666671</v>
      </c>
      <c r="G350" s="295">
        <f>'BD Plant List'!$E352/12*'BD Feedstock'!G$3*'BD Plant List'!AB$5</f>
        <v>1.453125</v>
      </c>
      <c r="H350" s="295">
        <f>'BD Plant List'!$E352/12*'BD Feedstock'!H$3*'BD Plant List'!AC$5</f>
        <v>0.51437500000000003</v>
      </c>
      <c r="I350" s="295">
        <f>'BD Plant List'!F352/12*'BD Feedstock'!I$3*'BD Plant List'!AC$5</f>
        <v>0.13716666666666666</v>
      </c>
      <c r="J350" s="295">
        <f>'BD Plant List'!G352/12*'BD Feedstock'!J$3*'BD Plant List'!AD$5</f>
        <v>0.90199999999999991</v>
      </c>
      <c r="K350" s="295">
        <f>'BD Plant List'!$H352/12*'BD Feedstock'!K$3*'BD Plant List'!AB$5</f>
        <v>0</v>
      </c>
      <c r="L350" s="295">
        <f>'BD Plant List'!$H352/12*'BD Feedstock'!L$3*'BD Plant List'!AC$5</f>
        <v>0</v>
      </c>
      <c r="M350" s="295">
        <f>'BD Plant List'!$I352/12*'BD Feedstock'!$M$3*'BD Plant List'!AC$5</f>
        <v>3.4291666666666671</v>
      </c>
      <c r="N350" s="295">
        <f>'BD Plant List'!$J352/12*'BD Feedstock'!N$3*'BD Plant List'!AC$5</f>
        <v>0</v>
      </c>
      <c r="O350" s="295">
        <f>'BD Plant List'!$K352/12*'BD Feedstock'!O$3*'BD Plant List'!AC$5</f>
        <v>0</v>
      </c>
      <c r="P350" s="295">
        <f>'BD Plant List'!$L352/12*'BD Feedstock'!P$3*'BD Plant List'!AE$5</f>
        <v>0</v>
      </c>
      <c r="Q350" s="295">
        <f>'BD Plant List'!$M352/12*'BD Feedstock'!Q$3*'BD Plant List'!AE$5</f>
        <v>0.93125000000000002</v>
      </c>
      <c r="R350" s="295">
        <f>'BD Plant List'!$N352/12*'BD Feedstock'!R$3*'BD Plant List'!AE$5</f>
        <v>26.540625000000002</v>
      </c>
      <c r="S350" s="295">
        <f>'BD Plant List'!$N352/12*'BD Feedstock'!S$3*'BD Plant List'!AF$5</f>
        <v>1.40625</v>
      </c>
      <c r="T350" s="295">
        <f>'BD Plant List'!$O352/12*'BD Feedstock'!T$3*'BD Plant List'!AB$5</f>
        <v>8.5732126770944213</v>
      </c>
      <c r="U350" s="295">
        <f>'BD Plant List'!$O352/12*'BD Feedstock'!U$3*'BD Plant List'!AC$5</f>
        <v>3.0347329175263269</v>
      </c>
    </row>
    <row r="351" spans="1:21" ht="18">
      <c r="A351" s="293">
        <v>50375</v>
      </c>
      <c r="B351" s="295">
        <f>'BD Plant List'!B353/12*'BD Plant List'!$AE$5*$B$3</f>
        <v>43.458333333333336</v>
      </c>
      <c r="C351" s="295">
        <f>'BD Plant List'!$C353/12*'BD Plant List'!$AB$5*'BD Feedstock'!$D$3</f>
        <v>2.098958333333333</v>
      </c>
      <c r="D351" s="295">
        <f>'BD Plant List'!$C353/12*'BD Plant List'!$AC$5*'BD Feedstock'!$D$3</f>
        <v>2.2289583333333334</v>
      </c>
      <c r="E351" s="295">
        <f>'BD Plant List'!$D353/12*'BD Plant List'!AB$5*'BD Feedstock'!$E$3</f>
        <v>9.6875</v>
      </c>
      <c r="F351" s="295">
        <f>'BD Plant List'!$D353/12*'BD Plant List'!AC$5*'BD Feedstock'!$F$3</f>
        <v>3.4291666666666671</v>
      </c>
      <c r="G351" s="295">
        <f>'BD Plant List'!$E353/12*'BD Feedstock'!G$3*'BD Plant List'!AB$5</f>
        <v>1.453125</v>
      </c>
      <c r="H351" s="295">
        <f>'BD Plant List'!$E353/12*'BD Feedstock'!H$3*'BD Plant List'!AC$5</f>
        <v>0.51437500000000003</v>
      </c>
      <c r="I351" s="295">
        <f>'BD Plant List'!F353/12*'BD Feedstock'!I$3*'BD Plant List'!AC$5</f>
        <v>0.13716666666666666</v>
      </c>
      <c r="J351" s="295">
        <f>'BD Plant List'!G353/12*'BD Feedstock'!J$3*'BD Plant List'!AD$5</f>
        <v>0.90199999999999991</v>
      </c>
      <c r="K351" s="295">
        <f>'BD Plant List'!$H353/12*'BD Feedstock'!K$3*'BD Plant List'!AB$5</f>
        <v>0</v>
      </c>
      <c r="L351" s="295">
        <f>'BD Plant List'!$H353/12*'BD Feedstock'!L$3*'BD Plant List'!AC$5</f>
        <v>0</v>
      </c>
      <c r="M351" s="295">
        <f>'BD Plant List'!$I353/12*'BD Feedstock'!$M$3*'BD Plant List'!AC$5</f>
        <v>3.4291666666666671</v>
      </c>
      <c r="N351" s="295">
        <f>'BD Plant List'!$J353/12*'BD Feedstock'!N$3*'BD Plant List'!AC$5</f>
        <v>0</v>
      </c>
      <c r="O351" s="295">
        <f>'BD Plant List'!$K353/12*'BD Feedstock'!O$3*'BD Plant List'!AC$5</f>
        <v>0</v>
      </c>
      <c r="P351" s="295">
        <f>'BD Plant List'!$L353/12*'BD Feedstock'!P$3*'BD Plant List'!AE$5</f>
        <v>0</v>
      </c>
      <c r="Q351" s="295">
        <f>'BD Plant List'!$M353/12*'BD Feedstock'!Q$3*'BD Plant List'!AE$5</f>
        <v>0.93125000000000002</v>
      </c>
      <c r="R351" s="295">
        <f>'BD Plant List'!$N353/12*'BD Feedstock'!R$3*'BD Plant List'!AE$5</f>
        <v>26.540625000000002</v>
      </c>
      <c r="S351" s="295">
        <f>'BD Plant List'!$N353/12*'BD Feedstock'!S$3*'BD Plant List'!AF$5</f>
        <v>1.40625</v>
      </c>
      <c r="T351" s="295">
        <f>'BD Plant List'!$O353/12*'BD Feedstock'!T$3*'BD Plant List'!AB$5</f>
        <v>8.5732126770944213</v>
      </c>
      <c r="U351" s="295">
        <f>'BD Plant List'!$O353/12*'BD Feedstock'!U$3*'BD Plant List'!AC$5</f>
        <v>3.0347329175263269</v>
      </c>
    </row>
    <row r="352" spans="1:21" ht="18">
      <c r="A352" s="293">
        <v>50406</v>
      </c>
      <c r="B352" s="295">
        <f>'BD Plant List'!B354/12*'BD Plant List'!$AE$5*$B$3</f>
        <v>43.458333333333336</v>
      </c>
      <c r="C352" s="295">
        <f>'BD Plant List'!$C354/12*'BD Plant List'!$AB$5*'BD Feedstock'!$D$3</f>
        <v>2.098958333333333</v>
      </c>
      <c r="D352" s="295">
        <f>'BD Plant List'!$C354/12*'BD Plant List'!$AC$5*'BD Feedstock'!$D$3</f>
        <v>2.2289583333333334</v>
      </c>
      <c r="E352" s="295">
        <f>'BD Plant List'!$D354/12*'BD Plant List'!AB$5*'BD Feedstock'!$E$3</f>
        <v>9.6875</v>
      </c>
      <c r="F352" s="295">
        <f>'BD Plant List'!$D354/12*'BD Plant List'!AC$5*'BD Feedstock'!$F$3</f>
        <v>3.4291666666666671</v>
      </c>
      <c r="G352" s="295">
        <f>'BD Plant List'!$E354/12*'BD Feedstock'!G$3*'BD Plant List'!AB$5</f>
        <v>1.453125</v>
      </c>
      <c r="H352" s="295">
        <f>'BD Plant List'!$E354/12*'BD Feedstock'!H$3*'BD Plant List'!AC$5</f>
        <v>0.51437500000000003</v>
      </c>
      <c r="I352" s="295">
        <f>'BD Plant List'!F354/12*'BD Feedstock'!I$3*'BD Plant List'!AC$5</f>
        <v>0.13716666666666666</v>
      </c>
      <c r="J352" s="295">
        <f>'BD Plant List'!G354/12*'BD Feedstock'!J$3*'BD Plant List'!AD$5</f>
        <v>0.90199999999999991</v>
      </c>
      <c r="K352" s="295">
        <f>'BD Plant List'!$H354/12*'BD Feedstock'!K$3*'BD Plant List'!AB$5</f>
        <v>0</v>
      </c>
      <c r="L352" s="295">
        <f>'BD Plant List'!$H354/12*'BD Feedstock'!L$3*'BD Plant List'!AC$5</f>
        <v>0</v>
      </c>
      <c r="M352" s="295">
        <f>'BD Plant List'!$I354/12*'BD Feedstock'!$M$3*'BD Plant List'!AC$5</f>
        <v>3.4291666666666671</v>
      </c>
      <c r="N352" s="295">
        <f>'BD Plant List'!$J354/12*'BD Feedstock'!N$3*'BD Plant List'!AC$5</f>
        <v>0</v>
      </c>
      <c r="O352" s="295">
        <f>'BD Plant List'!$K354/12*'BD Feedstock'!O$3*'BD Plant List'!AC$5</f>
        <v>0</v>
      </c>
      <c r="P352" s="295">
        <f>'BD Plant List'!$L354/12*'BD Feedstock'!P$3*'BD Plant List'!AE$5</f>
        <v>0</v>
      </c>
      <c r="Q352" s="295">
        <f>'BD Plant List'!$M354/12*'BD Feedstock'!Q$3*'BD Plant List'!AE$5</f>
        <v>0.93125000000000002</v>
      </c>
      <c r="R352" s="295">
        <f>'BD Plant List'!$N354/12*'BD Feedstock'!R$3*'BD Plant List'!AE$5</f>
        <v>26.540625000000002</v>
      </c>
      <c r="S352" s="295">
        <f>'BD Plant List'!$N354/12*'BD Feedstock'!S$3*'BD Plant List'!AF$5</f>
        <v>1.40625</v>
      </c>
      <c r="T352" s="295">
        <f>'BD Plant List'!$O354/12*'BD Feedstock'!T$3*'BD Plant List'!AB$5</f>
        <v>8.5732126770944213</v>
      </c>
      <c r="U352" s="295">
        <f>'BD Plant List'!$O354/12*'BD Feedstock'!U$3*'BD Plant List'!AC$5</f>
        <v>3.0347329175263269</v>
      </c>
    </row>
    <row r="353" spans="1:21" ht="18">
      <c r="A353" s="293">
        <v>50437</v>
      </c>
      <c r="B353" s="295">
        <f>'BD Plant List'!B355/12*'BD Plant List'!$AE$5*$B$3</f>
        <v>43.458333333333336</v>
      </c>
      <c r="C353" s="295">
        <f>'BD Plant List'!$C355/12*'BD Plant List'!$AB$5*'BD Feedstock'!$D$3</f>
        <v>2.098958333333333</v>
      </c>
      <c r="D353" s="295">
        <f>'BD Plant List'!$C355/12*'BD Plant List'!$AC$5*'BD Feedstock'!$D$3</f>
        <v>2.2289583333333334</v>
      </c>
      <c r="E353" s="295">
        <f>'BD Plant List'!$D355/12*'BD Plant List'!AB$5*'BD Feedstock'!$E$3</f>
        <v>9.6875</v>
      </c>
      <c r="F353" s="295">
        <f>'BD Plant List'!$D355/12*'BD Plant List'!AC$5*'BD Feedstock'!$F$3</f>
        <v>3.4291666666666671</v>
      </c>
      <c r="G353" s="295">
        <f>'BD Plant List'!$E355/12*'BD Feedstock'!G$3*'BD Plant List'!AB$5</f>
        <v>1.453125</v>
      </c>
      <c r="H353" s="295">
        <f>'BD Plant List'!$E355/12*'BD Feedstock'!H$3*'BD Plant List'!AC$5</f>
        <v>0.51437500000000003</v>
      </c>
      <c r="I353" s="295">
        <f>'BD Plant List'!F355/12*'BD Feedstock'!I$3*'BD Plant List'!AC$5</f>
        <v>0.13716666666666666</v>
      </c>
      <c r="J353" s="295">
        <f>'BD Plant List'!G355/12*'BD Feedstock'!J$3*'BD Plant List'!AD$5</f>
        <v>0.90199999999999991</v>
      </c>
      <c r="K353" s="295">
        <f>'BD Plant List'!$H355/12*'BD Feedstock'!K$3*'BD Plant List'!AB$5</f>
        <v>0</v>
      </c>
      <c r="L353" s="295">
        <f>'BD Plant List'!$H355/12*'BD Feedstock'!L$3*'BD Plant List'!AC$5</f>
        <v>0</v>
      </c>
      <c r="M353" s="295">
        <f>'BD Plant List'!$I355/12*'BD Feedstock'!$M$3*'BD Plant List'!AC$5</f>
        <v>3.4291666666666671</v>
      </c>
      <c r="N353" s="295">
        <f>'BD Plant List'!$J355/12*'BD Feedstock'!N$3*'BD Plant List'!AC$5</f>
        <v>0</v>
      </c>
      <c r="O353" s="295">
        <f>'BD Plant List'!$K355/12*'BD Feedstock'!O$3*'BD Plant List'!AC$5</f>
        <v>0</v>
      </c>
      <c r="P353" s="295">
        <f>'BD Plant List'!$L355/12*'BD Feedstock'!P$3*'BD Plant List'!AE$5</f>
        <v>0</v>
      </c>
      <c r="Q353" s="295">
        <f>'BD Plant List'!$M355/12*'BD Feedstock'!Q$3*'BD Plant List'!AE$5</f>
        <v>0.93125000000000002</v>
      </c>
      <c r="R353" s="295">
        <f>'BD Plant List'!$N355/12*'BD Feedstock'!R$3*'BD Plant List'!AE$5</f>
        <v>26.540625000000002</v>
      </c>
      <c r="S353" s="295">
        <f>'BD Plant List'!$N355/12*'BD Feedstock'!S$3*'BD Plant List'!AF$5</f>
        <v>1.40625</v>
      </c>
      <c r="T353" s="295">
        <f>'BD Plant List'!$O355/12*'BD Feedstock'!T$3*'BD Plant List'!AB$5</f>
        <v>8.5732126770944213</v>
      </c>
      <c r="U353" s="295">
        <f>'BD Plant List'!$O355/12*'BD Feedstock'!U$3*'BD Plant List'!AC$5</f>
        <v>3.0347329175263269</v>
      </c>
    </row>
    <row r="354" spans="1:21" ht="18">
      <c r="A354" s="293">
        <v>50465</v>
      </c>
      <c r="B354" s="295">
        <f>'BD Plant List'!B356/12*'BD Plant List'!$AE$5*$B$3</f>
        <v>43.458333333333336</v>
      </c>
      <c r="C354" s="295">
        <f>'BD Plant List'!$C356/12*'BD Plant List'!$AB$5*'BD Feedstock'!$D$3</f>
        <v>2.098958333333333</v>
      </c>
      <c r="D354" s="295">
        <f>'BD Plant List'!$C356/12*'BD Plant List'!$AC$5*'BD Feedstock'!$D$3</f>
        <v>2.2289583333333334</v>
      </c>
      <c r="E354" s="295">
        <f>'BD Plant List'!$D356/12*'BD Plant List'!AB$5*'BD Feedstock'!$E$3</f>
        <v>9.6875</v>
      </c>
      <c r="F354" s="295">
        <f>'BD Plant List'!$D356/12*'BD Plant List'!AC$5*'BD Feedstock'!$F$3</f>
        <v>3.4291666666666671</v>
      </c>
      <c r="G354" s="295">
        <f>'BD Plant List'!$E356/12*'BD Feedstock'!G$3*'BD Plant List'!AB$5</f>
        <v>1.453125</v>
      </c>
      <c r="H354" s="295">
        <f>'BD Plant List'!$E356/12*'BD Feedstock'!H$3*'BD Plant List'!AC$5</f>
        <v>0.51437500000000003</v>
      </c>
      <c r="I354" s="295">
        <f>'BD Plant List'!F356/12*'BD Feedstock'!I$3*'BD Plant List'!AC$5</f>
        <v>0.13716666666666666</v>
      </c>
      <c r="J354" s="295">
        <f>'BD Plant List'!G356/12*'BD Feedstock'!J$3*'BD Plant List'!AD$5</f>
        <v>0.90199999999999991</v>
      </c>
      <c r="K354" s="295">
        <f>'BD Plant List'!$H356/12*'BD Feedstock'!K$3*'BD Plant List'!AB$5</f>
        <v>0</v>
      </c>
      <c r="L354" s="295">
        <f>'BD Plant List'!$H356/12*'BD Feedstock'!L$3*'BD Plant List'!AC$5</f>
        <v>0</v>
      </c>
      <c r="M354" s="295">
        <f>'BD Plant List'!$I356/12*'BD Feedstock'!$M$3*'BD Plant List'!AC$5</f>
        <v>3.4291666666666671</v>
      </c>
      <c r="N354" s="295">
        <f>'BD Plant List'!$J356/12*'BD Feedstock'!N$3*'BD Plant List'!AC$5</f>
        <v>0</v>
      </c>
      <c r="O354" s="295">
        <f>'BD Plant List'!$K356/12*'BD Feedstock'!O$3*'BD Plant List'!AC$5</f>
        <v>0</v>
      </c>
      <c r="P354" s="295">
        <f>'BD Plant List'!$L356/12*'BD Feedstock'!P$3*'BD Plant List'!AE$5</f>
        <v>0</v>
      </c>
      <c r="Q354" s="295">
        <f>'BD Plant List'!$M356/12*'BD Feedstock'!Q$3*'BD Plant List'!AE$5</f>
        <v>0.93125000000000002</v>
      </c>
      <c r="R354" s="295">
        <f>'BD Plant List'!$N356/12*'BD Feedstock'!R$3*'BD Plant List'!AE$5</f>
        <v>26.540625000000002</v>
      </c>
      <c r="S354" s="295">
        <f>'BD Plant List'!$N356/12*'BD Feedstock'!S$3*'BD Plant List'!AF$5</f>
        <v>1.40625</v>
      </c>
      <c r="T354" s="295">
        <f>'BD Plant List'!$O356/12*'BD Feedstock'!T$3*'BD Plant List'!AB$5</f>
        <v>8.5732126770944213</v>
      </c>
      <c r="U354" s="295">
        <f>'BD Plant List'!$O356/12*'BD Feedstock'!U$3*'BD Plant List'!AC$5</f>
        <v>3.0347329175263269</v>
      </c>
    </row>
    <row r="355" spans="1:21" ht="18">
      <c r="A355" s="293">
        <v>50496</v>
      </c>
      <c r="B355" s="295">
        <f>'BD Plant List'!B357/12*'BD Plant List'!$AE$5*$B$3</f>
        <v>43.458333333333336</v>
      </c>
      <c r="C355" s="295">
        <f>'BD Plant List'!$C357/12*'BD Plant List'!$AB$5*'BD Feedstock'!$D$3</f>
        <v>2.098958333333333</v>
      </c>
      <c r="D355" s="295">
        <f>'BD Plant List'!$C357/12*'BD Plant List'!$AC$5*'BD Feedstock'!$D$3</f>
        <v>2.2289583333333334</v>
      </c>
      <c r="E355" s="295">
        <f>'BD Plant List'!$D357/12*'BD Plant List'!AB$5*'BD Feedstock'!$E$3</f>
        <v>9.6875</v>
      </c>
      <c r="F355" s="295">
        <f>'BD Plant List'!$D357/12*'BD Plant List'!AC$5*'BD Feedstock'!$F$3</f>
        <v>3.4291666666666671</v>
      </c>
      <c r="G355" s="295">
        <f>'BD Plant List'!$E357/12*'BD Feedstock'!G$3*'BD Plant List'!AB$5</f>
        <v>1.453125</v>
      </c>
      <c r="H355" s="295">
        <f>'BD Plant List'!$E357/12*'BD Feedstock'!H$3*'BD Plant List'!AC$5</f>
        <v>0.51437500000000003</v>
      </c>
      <c r="I355" s="295">
        <f>'BD Plant List'!F357/12*'BD Feedstock'!I$3*'BD Plant List'!AC$5</f>
        <v>0.13716666666666666</v>
      </c>
      <c r="J355" s="295">
        <f>'BD Plant List'!G357/12*'BD Feedstock'!J$3*'BD Plant List'!AD$5</f>
        <v>0.90199999999999991</v>
      </c>
      <c r="K355" s="295">
        <f>'BD Plant List'!$H357/12*'BD Feedstock'!K$3*'BD Plant List'!AB$5</f>
        <v>0</v>
      </c>
      <c r="L355" s="295">
        <f>'BD Plant List'!$H357/12*'BD Feedstock'!L$3*'BD Plant List'!AC$5</f>
        <v>0</v>
      </c>
      <c r="M355" s="295">
        <f>'BD Plant List'!$I357/12*'BD Feedstock'!$M$3*'BD Plant List'!AC$5</f>
        <v>3.4291666666666671</v>
      </c>
      <c r="N355" s="295">
        <f>'BD Plant List'!$J357/12*'BD Feedstock'!N$3*'BD Plant List'!AC$5</f>
        <v>0</v>
      </c>
      <c r="O355" s="295">
        <f>'BD Plant List'!$K357/12*'BD Feedstock'!O$3*'BD Plant List'!AC$5</f>
        <v>0</v>
      </c>
      <c r="P355" s="295">
        <f>'BD Plant List'!$L357/12*'BD Feedstock'!P$3*'BD Plant List'!AE$5</f>
        <v>0</v>
      </c>
      <c r="Q355" s="295">
        <f>'BD Plant List'!$M357/12*'BD Feedstock'!Q$3*'BD Plant List'!AE$5</f>
        <v>0.93125000000000002</v>
      </c>
      <c r="R355" s="295">
        <f>'BD Plant List'!$N357/12*'BD Feedstock'!R$3*'BD Plant List'!AE$5</f>
        <v>26.540625000000002</v>
      </c>
      <c r="S355" s="295">
        <f>'BD Plant List'!$N357/12*'BD Feedstock'!S$3*'BD Plant List'!AF$5</f>
        <v>1.40625</v>
      </c>
      <c r="T355" s="295">
        <f>'BD Plant List'!$O357/12*'BD Feedstock'!T$3*'BD Plant List'!AB$5</f>
        <v>8.5732126770944213</v>
      </c>
      <c r="U355" s="295">
        <f>'BD Plant List'!$O357/12*'BD Feedstock'!U$3*'BD Plant List'!AC$5</f>
        <v>3.0347329175263269</v>
      </c>
    </row>
    <row r="356" spans="1:21" ht="18">
      <c r="A356" s="293">
        <v>50526</v>
      </c>
      <c r="B356" s="295">
        <f>'BD Plant List'!B358/12*'BD Plant List'!$AE$5*$B$3</f>
        <v>43.458333333333336</v>
      </c>
      <c r="C356" s="295">
        <f>'BD Plant List'!$C358/12*'BD Plant List'!$AB$5*'BD Feedstock'!$D$3</f>
        <v>2.098958333333333</v>
      </c>
      <c r="D356" s="295">
        <f>'BD Plant List'!$C358/12*'BD Plant List'!$AC$5*'BD Feedstock'!$D$3</f>
        <v>2.2289583333333334</v>
      </c>
      <c r="E356" s="295">
        <f>'BD Plant List'!$D358/12*'BD Plant List'!AB$5*'BD Feedstock'!$E$3</f>
        <v>9.6875</v>
      </c>
      <c r="F356" s="295">
        <f>'BD Plant List'!$D358/12*'BD Plant List'!AC$5*'BD Feedstock'!$F$3</f>
        <v>3.4291666666666671</v>
      </c>
      <c r="G356" s="295">
        <f>'BD Plant List'!$E358/12*'BD Feedstock'!G$3*'BD Plant List'!AB$5</f>
        <v>1.453125</v>
      </c>
      <c r="H356" s="295">
        <f>'BD Plant List'!$E358/12*'BD Feedstock'!H$3*'BD Plant List'!AC$5</f>
        <v>0.51437500000000003</v>
      </c>
      <c r="I356" s="295">
        <f>'BD Plant List'!F358/12*'BD Feedstock'!I$3*'BD Plant List'!AC$5</f>
        <v>0.13716666666666666</v>
      </c>
      <c r="J356" s="295">
        <f>'BD Plant List'!G358/12*'BD Feedstock'!J$3*'BD Plant List'!AD$5</f>
        <v>0.90199999999999991</v>
      </c>
      <c r="K356" s="295">
        <f>'BD Plant List'!$H358/12*'BD Feedstock'!K$3*'BD Plant List'!AB$5</f>
        <v>0</v>
      </c>
      <c r="L356" s="295">
        <f>'BD Plant List'!$H358/12*'BD Feedstock'!L$3*'BD Plant List'!AC$5</f>
        <v>0</v>
      </c>
      <c r="M356" s="295">
        <f>'BD Plant List'!$I358/12*'BD Feedstock'!$M$3*'BD Plant List'!AC$5</f>
        <v>3.4291666666666671</v>
      </c>
      <c r="N356" s="295">
        <f>'BD Plant List'!$J358/12*'BD Feedstock'!N$3*'BD Plant List'!AC$5</f>
        <v>0</v>
      </c>
      <c r="O356" s="295">
        <f>'BD Plant List'!$K358/12*'BD Feedstock'!O$3*'BD Plant List'!AC$5</f>
        <v>0</v>
      </c>
      <c r="P356" s="295">
        <f>'BD Plant List'!$L358/12*'BD Feedstock'!P$3*'BD Plant List'!AE$5</f>
        <v>0</v>
      </c>
      <c r="Q356" s="295">
        <f>'BD Plant List'!$M358/12*'BD Feedstock'!Q$3*'BD Plant List'!AE$5</f>
        <v>0.93125000000000002</v>
      </c>
      <c r="R356" s="295">
        <f>'BD Plant List'!$N358/12*'BD Feedstock'!R$3*'BD Plant List'!AE$5</f>
        <v>26.540625000000002</v>
      </c>
      <c r="S356" s="295">
        <f>'BD Plant List'!$N358/12*'BD Feedstock'!S$3*'BD Plant List'!AF$5</f>
        <v>1.40625</v>
      </c>
      <c r="T356" s="295">
        <f>'BD Plant List'!$O358/12*'BD Feedstock'!T$3*'BD Plant List'!AB$5</f>
        <v>8.5732126770944213</v>
      </c>
      <c r="U356" s="295">
        <f>'BD Plant List'!$O358/12*'BD Feedstock'!U$3*'BD Plant List'!AC$5</f>
        <v>3.0347329175263269</v>
      </c>
    </row>
    <row r="357" spans="1:21" ht="18">
      <c r="A357" s="293">
        <v>50557</v>
      </c>
      <c r="B357" s="295">
        <f>'BD Plant List'!B359/12*'BD Plant List'!$AE$5*$B$3</f>
        <v>43.458333333333336</v>
      </c>
      <c r="C357" s="295">
        <f>'BD Plant List'!$C359/12*'BD Plant List'!$AB$5*'BD Feedstock'!$D$3</f>
        <v>2.098958333333333</v>
      </c>
      <c r="D357" s="295">
        <f>'BD Plant List'!$C359/12*'BD Plant List'!$AC$5*'BD Feedstock'!$D$3</f>
        <v>2.2289583333333334</v>
      </c>
      <c r="E357" s="295">
        <f>'BD Plant List'!$D359/12*'BD Plant List'!AB$5*'BD Feedstock'!$E$3</f>
        <v>9.6875</v>
      </c>
      <c r="F357" s="295">
        <f>'BD Plant List'!$D359/12*'BD Plant List'!AC$5*'BD Feedstock'!$F$3</f>
        <v>3.4291666666666671</v>
      </c>
      <c r="G357" s="295">
        <f>'BD Plant List'!$E359/12*'BD Feedstock'!G$3*'BD Plant List'!AB$5</f>
        <v>1.453125</v>
      </c>
      <c r="H357" s="295">
        <f>'BD Plant List'!$E359/12*'BD Feedstock'!H$3*'BD Plant List'!AC$5</f>
        <v>0.51437500000000003</v>
      </c>
      <c r="I357" s="295">
        <f>'BD Plant List'!F359/12*'BD Feedstock'!I$3*'BD Plant List'!AC$5</f>
        <v>0.13716666666666666</v>
      </c>
      <c r="J357" s="295">
        <f>'BD Plant List'!G359/12*'BD Feedstock'!J$3*'BD Plant List'!AD$5</f>
        <v>0.90199999999999991</v>
      </c>
      <c r="K357" s="295">
        <f>'BD Plant List'!$H359/12*'BD Feedstock'!K$3*'BD Plant List'!AB$5</f>
        <v>0</v>
      </c>
      <c r="L357" s="295">
        <f>'BD Plant List'!$H359/12*'BD Feedstock'!L$3*'BD Plant List'!AC$5</f>
        <v>0</v>
      </c>
      <c r="M357" s="295">
        <f>'BD Plant List'!$I359/12*'BD Feedstock'!$M$3*'BD Plant List'!AC$5</f>
        <v>3.4291666666666671</v>
      </c>
      <c r="N357" s="295">
        <f>'BD Plant List'!$J359/12*'BD Feedstock'!N$3*'BD Plant List'!AC$5</f>
        <v>0</v>
      </c>
      <c r="O357" s="295">
        <f>'BD Plant List'!$K359/12*'BD Feedstock'!O$3*'BD Plant List'!AC$5</f>
        <v>0</v>
      </c>
      <c r="P357" s="295">
        <f>'BD Plant List'!$L359/12*'BD Feedstock'!P$3*'BD Plant List'!AE$5</f>
        <v>0</v>
      </c>
      <c r="Q357" s="295">
        <f>'BD Plant List'!$M359/12*'BD Feedstock'!Q$3*'BD Plant List'!AE$5</f>
        <v>0.93125000000000002</v>
      </c>
      <c r="R357" s="295">
        <f>'BD Plant List'!$N359/12*'BD Feedstock'!R$3*'BD Plant List'!AE$5</f>
        <v>26.540625000000002</v>
      </c>
      <c r="S357" s="295">
        <f>'BD Plant List'!$N359/12*'BD Feedstock'!S$3*'BD Plant List'!AF$5</f>
        <v>1.40625</v>
      </c>
      <c r="T357" s="295">
        <f>'BD Plant List'!$O359/12*'BD Feedstock'!T$3*'BD Plant List'!AB$5</f>
        <v>8.5732126770944213</v>
      </c>
      <c r="U357" s="295">
        <f>'BD Plant List'!$O359/12*'BD Feedstock'!U$3*'BD Plant List'!AC$5</f>
        <v>3.0347329175263269</v>
      </c>
    </row>
    <row r="358" spans="1:21" ht="18">
      <c r="A358" s="293">
        <v>50587</v>
      </c>
      <c r="B358" s="295">
        <f>'BD Plant List'!B360/12*'BD Plant List'!$AE$5*$B$3</f>
        <v>43.458333333333336</v>
      </c>
      <c r="C358" s="295">
        <f>'BD Plant List'!$C360/12*'BD Plant List'!$AB$5*'BD Feedstock'!$D$3</f>
        <v>2.098958333333333</v>
      </c>
      <c r="D358" s="295">
        <f>'BD Plant List'!$C360/12*'BD Plant List'!$AC$5*'BD Feedstock'!$D$3</f>
        <v>2.2289583333333334</v>
      </c>
      <c r="E358" s="295">
        <f>'BD Plant List'!$D360/12*'BD Plant List'!AB$5*'BD Feedstock'!$E$3</f>
        <v>9.6875</v>
      </c>
      <c r="F358" s="295">
        <f>'BD Plant List'!$D360/12*'BD Plant List'!AC$5*'BD Feedstock'!$F$3</f>
        <v>3.4291666666666671</v>
      </c>
      <c r="G358" s="295">
        <f>'BD Plant List'!$E360/12*'BD Feedstock'!G$3*'BD Plant List'!AB$5</f>
        <v>1.453125</v>
      </c>
      <c r="H358" s="295">
        <f>'BD Plant List'!$E360/12*'BD Feedstock'!H$3*'BD Plant List'!AC$5</f>
        <v>0.51437500000000003</v>
      </c>
      <c r="I358" s="295">
        <f>'BD Plant List'!F360/12*'BD Feedstock'!I$3*'BD Plant List'!AC$5</f>
        <v>0.13716666666666666</v>
      </c>
      <c r="J358" s="295">
        <f>'BD Plant List'!G360/12*'BD Feedstock'!J$3*'BD Plant List'!AD$5</f>
        <v>0.90199999999999991</v>
      </c>
      <c r="K358" s="295">
        <f>'BD Plant List'!$H360/12*'BD Feedstock'!K$3*'BD Plant List'!AB$5</f>
        <v>0</v>
      </c>
      <c r="L358" s="295">
        <f>'BD Plant List'!$H360/12*'BD Feedstock'!L$3*'BD Plant List'!AC$5</f>
        <v>0</v>
      </c>
      <c r="M358" s="295">
        <f>'BD Plant List'!$I360/12*'BD Feedstock'!$M$3*'BD Plant List'!AC$5</f>
        <v>3.4291666666666671</v>
      </c>
      <c r="N358" s="295">
        <f>'BD Plant List'!$J360/12*'BD Feedstock'!N$3*'BD Plant List'!AC$5</f>
        <v>0</v>
      </c>
      <c r="O358" s="295">
        <f>'BD Plant List'!$K360/12*'BD Feedstock'!O$3*'BD Plant List'!AC$5</f>
        <v>0</v>
      </c>
      <c r="P358" s="295">
        <f>'BD Plant List'!$L360/12*'BD Feedstock'!P$3*'BD Plant List'!AE$5</f>
        <v>0</v>
      </c>
      <c r="Q358" s="295">
        <f>'BD Plant List'!$M360/12*'BD Feedstock'!Q$3*'BD Plant List'!AE$5</f>
        <v>0.93125000000000002</v>
      </c>
      <c r="R358" s="295">
        <f>'BD Plant List'!$N360/12*'BD Feedstock'!R$3*'BD Plant List'!AE$5</f>
        <v>26.540625000000002</v>
      </c>
      <c r="S358" s="295">
        <f>'BD Plant List'!$N360/12*'BD Feedstock'!S$3*'BD Plant List'!AF$5</f>
        <v>1.40625</v>
      </c>
      <c r="T358" s="295">
        <f>'BD Plant List'!$O360/12*'BD Feedstock'!T$3*'BD Plant List'!AB$5</f>
        <v>8.5732126770944213</v>
      </c>
      <c r="U358" s="295">
        <f>'BD Plant List'!$O360/12*'BD Feedstock'!U$3*'BD Plant List'!AC$5</f>
        <v>3.0347329175263269</v>
      </c>
    </row>
    <row r="359" spans="1:21" ht="18">
      <c r="A359" s="293">
        <v>50618</v>
      </c>
      <c r="B359" s="295">
        <f>'BD Plant List'!B361/12*'BD Plant List'!$AE$5*$B$3</f>
        <v>43.458333333333336</v>
      </c>
      <c r="C359" s="295">
        <f>'BD Plant List'!$C361/12*'BD Plant List'!$AB$5*'BD Feedstock'!$D$3</f>
        <v>2.098958333333333</v>
      </c>
      <c r="D359" s="295">
        <f>'BD Plant List'!$C361/12*'BD Plant List'!$AC$5*'BD Feedstock'!$D$3</f>
        <v>2.2289583333333334</v>
      </c>
      <c r="E359" s="295">
        <f>'BD Plant List'!$D361/12*'BD Plant List'!AB$5*'BD Feedstock'!$E$3</f>
        <v>9.6875</v>
      </c>
      <c r="F359" s="295">
        <f>'BD Plant List'!$D361/12*'BD Plant List'!AC$5*'BD Feedstock'!$F$3</f>
        <v>3.4291666666666671</v>
      </c>
      <c r="G359" s="295">
        <f>'BD Plant List'!$E361/12*'BD Feedstock'!G$3*'BD Plant List'!AB$5</f>
        <v>1.453125</v>
      </c>
      <c r="H359" s="295">
        <f>'BD Plant List'!$E361/12*'BD Feedstock'!H$3*'BD Plant List'!AC$5</f>
        <v>0.51437500000000003</v>
      </c>
      <c r="I359" s="295">
        <f>'BD Plant List'!F361/12*'BD Feedstock'!I$3*'BD Plant List'!AC$5</f>
        <v>0.13716666666666666</v>
      </c>
      <c r="J359" s="295">
        <f>'BD Plant List'!G361/12*'BD Feedstock'!J$3*'BD Plant List'!AD$5</f>
        <v>0.90199999999999991</v>
      </c>
      <c r="K359" s="295">
        <f>'BD Plant List'!$H361/12*'BD Feedstock'!K$3*'BD Plant List'!AB$5</f>
        <v>0</v>
      </c>
      <c r="L359" s="295">
        <f>'BD Plant List'!$H361/12*'BD Feedstock'!L$3*'BD Plant List'!AC$5</f>
        <v>0</v>
      </c>
      <c r="M359" s="295">
        <f>'BD Plant List'!$I361/12*'BD Feedstock'!$M$3*'BD Plant List'!AC$5</f>
        <v>3.4291666666666671</v>
      </c>
      <c r="N359" s="295">
        <f>'BD Plant List'!$J361/12*'BD Feedstock'!N$3*'BD Plant List'!AC$5</f>
        <v>0</v>
      </c>
      <c r="O359" s="295">
        <f>'BD Plant List'!$K361/12*'BD Feedstock'!O$3*'BD Plant List'!AC$5</f>
        <v>0</v>
      </c>
      <c r="P359" s="295">
        <f>'BD Plant List'!$L361/12*'BD Feedstock'!P$3*'BD Plant List'!AE$5</f>
        <v>0</v>
      </c>
      <c r="Q359" s="295">
        <f>'BD Plant List'!$M361/12*'BD Feedstock'!Q$3*'BD Plant List'!AE$5</f>
        <v>0.93125000000000002</v>
      </c>
      <c r="R359" s="295">
        <f>'BD Plant List'!$N361/12*'BD Feedstock'!R$3*'BD Plant List'!AE$5</f>
        <v>26.540625000000002</v>
      </c>
      <c r="S359" s="295">
        <f>'BD Plant List'!$N361/12*'BD Feedstock'!S$3*'BD Plant List'!AF$5</f>
        <v>1.40625</v>
      </c>
      <c r="T359" s="295">
        <f>'BD Plant List'!$O361/12*'BD Feedstock'!T$3*'BD Plant List'!AB$5</f>
        <v>8.5732126770944213</v>
      </c>
      <c r="U359" s="295">
        <f>'BD Plant List'!$O361/12*'BD Feedstock'!U$3*'BD Plant List'!AC$5</f>
        <v>3.0347329175263269</v>
      </c>
    </row>
    <row r="360" spans="1:21" ht="18">
      <c r="A360" s="293">
        <v>50649</v>
      </c>
      <c r="B360" s="295">
        <f>'BD Plant List'!B362/12*'BD Plant List'!$AE$5*$B$3</f>
        <v>43.458333333333336</v>
      </c>
      <c r="C360" s="295">
        <f>'BD Plant List'!$C362/12*'BD Plant List'!$AB$5*'BD Feedstock'!$D$3</f>
        <v>2.098958333333333</v>
      </c>
      <c r="D360" s="295">
        <f>'BD Plant List'!$C362/12*'BD Plant List'!$AC$5*'BD Feedstock'!$D$3</f>
        <v>2.2289583333333334</v>
      </c>
      <c r="E360" s="295">
        <f>'BD Plant List'!$D362/12*'BD Plant List'!AB$5*'BD Feedstock'!$E$3</f>
        <v>9.6875</v>
      </c>
      <c r="F360" s="295">
        <f>'BD Plant List'!$D362/12*'BD Plant List'!AC$5*'BD Feedstock'!$F$3</f>
        <v>3.4291666666666671</v>
      </c>
      <c r="G360" s="295">
        <f>'BD Plant List'!$E362/12*'BD Feedstock'!G$3*'BD Plant List'!AB$5</f>
        <v>1.453125</v>
      </c>
      <c r="H360" s="295">
        <f>'BD Plant List'!$E362/12*'BD Feedstock'!H$3*'BD Plant List'!AC$5</f>
        <v>0.51437500000000003</v>
      </c>
      <c r="I360" s="295">
        <f>'BD Plant List'!F362/12*'BD Feedstock'!I$3*'BD Plant List'!AC$5</f>
        <v>0.13716666666666666</v>
      </c>
      <c r="J360" s="295">
        <f>'BD Plant List'!G362/12*'BD Feedstock'!J$3*'BD Plant List'!AD$5</f>
        <v>0.90199999999999991</v>
      </c>
      <c r="K360" s="295">
        <f>'BD Plant List'!$H362/12*'BD Feedstock'!K$3*'BD Plant List'!AB$5</f>
        <v>0</v>
      </c>
      <c r="L360" s="295">
        <f>'BD Plant List'!$H362/12*'BD Feedstock'!L$3*'BD Plant List'!AC$5</f>
        <v>0</v>
      </c>
      <c r="M360" s="295">
        <f>'BD Plant List'!$I362/12*'BD Feedstock'!$M$3*'BD Plant List'!AC$5</f>
        <v>3.4291666666666671</v>
      </c>
      <c r="N360" s="295">
        <f>'BD Plant List'!$J362/12*'BD Feedstock'!N$3*'BD Plant List'!AC$5</f>
        <v>0</v>
      </c>
      <c r="O360" s="295">
        <f>'BD Plant List'!$K362/12*'BD Feedstock'!O$3*'BD Plant List'!AC$5</f>
        <v>0</v>
      </c>
      <c r="P360" s="295">
        <f>'BD Plant List'!$L362/12*'BD Feedstock'!P$3*'BD Plant List'!AE$5</f>
        <v>0</v>
      </c>
      <c r="Q360" s="295">
        <f>'BD Plant List'!$M362/12*'BD Feedstock'!Q$3*'BD Plant List'!AE$5</f>
        <v>0.93125000000000002</v>
      </c>
      <c r="R360" s="295">
        <f>'BD Plant List'!$N362/12*'BD Feedstock'!R$3*'BD Plant List'!AE$5</f>
        <v>26.540625000000002</v>
      </c>
      <c r="S360" s="295">
        <f>'BD Plant List'!$N362/12*'BD Feedstock'!S$3*'BD Plant List'!AF$5</f>
        <v>1.40625</v>
      </c>
      <c r="T360" s="295">
        <f>'BD Plant List'!$O362/12*'BD Feedstock'!T$3*'BD Plant List'!AB$5</f>
        <v>8.5732126770944213</v>
      </c>
      <c r="U360" s="295">
        <f>'BD Plant List'!$O362/12*'BD Feedstock'!U$3*'BD Plant List'!AC$5</f>
        <v>3.0347329175263269</v>
      </c>
    </row>
    <row r="361" spans="1:21" ht="18">
      <c r="A361" s="293">
        <v>50679</v>
      </c>
      <c r="B361" s="295">
        <f>'BD Plant List'!B363/12*'BD Plant List'!$AE$5*$B$3</f>
        <v>43.458333333333336</v>
      </c>
      <c r="C361" s="295">
        <f>'BD Plant List'!$C363/12*'BD Plant List'!$AB$5*'BD Feedstock'!$D$3</f>
        <v>2.098958333333333</v>
      </c>
      <c r="D361" s="295">
        <f>'BD Plant List'!$C363/12*'BD Plant List'!$AC$5*'BD Feedstock'!$D$3</f>
        <v>2.2289583333333334</v>
      </c>
      <c r="E361" s="295">
        <f>'BD Plant List'!$D363/12*'BD Plant List'!AB$5*'BD Feedstock'!$E$3</f>
        <v>9.6875</v>
      </c>
      <c r="F361" s="295">
        <f>'BD Plant List'!$D363/12*'BD Plant List'!AC$5*'BD Feedstock'!$F$3</f>
        <v>3.4291666666666671</v>
      </c>
      <c r="G361" s="295">
        <f>'BD Plant List'!$E363/12*'BD Feedstock'!G$3*'BD Plant List'!AB$5</f>
        <v>1.453125</v>
      </c>
      <c r="H361" s="295">
        <f>'BD Plant List'!$E363/12*'BD Feedstock'!H$3*'BD Plant List'!AC$5</f>
        <v>0.51437500000000003</v>
      </c>
      <c r="I361" s="295">
        <f>'BD Plant List'!F363/12*'BD Feedstock'!I$3*'BD Plant List'!AC$5</f>
        <v>0.13716666666666666</v>
      </c>
      <c r="J361" s="295">
        <f>'BD Plant List'!G363/12*'BD Feedstock'!J$3*'BD Plant List'!AD$5</f>
        <v>0.90199999999999991</v>
      </c>
      <c r="K361" s="295">
        <f>'BD Plant List'!$H363/12*'BD Feedstock'!K$3*'BD Plant List'!AB$5</f>
        <v>0</v>
      </c>
      <c r="L361" s="295">
        <f>'BD Plant List'!$H363/12*'BD Feedstock'!L$3*'BD Plant List'!AC$5</f>
        <v>0</v>
      </c>
      <c r="M361" s="295">
        <f>'BD Plant List'!$I363/12*'BD Feedstock'!$M$3*'BD Plant List'!AC$5</f>
        <v>3.4291666666666671</v>
      </c>
      <c r="N361" s="295">
        <f>'BD Plant List'!$J363/12*'BD Feedstock'!N$3*'BD Plant List'!AC$5</f>
        <v>0</v>
      </c>
      <c r="O361" s="295">
        <f>'BD Plant List'!$K363/12*'BD Feedstock'!O$3*'BD Plant List'!AC$5</f>
        <v>0</v>
      </c>
      <c r="P361" s="295">
        <f>'BD Plant List'!$L363/12*'BD Feedstock'!P$3*'BD Plant List'!AE$5</f>
        <v>0</v>
      </c>
      <c r="Q361" s="295">
        <f>'BD Plant List'!$M363/12*'BD Feedstock'!Q$3*'BD Plant List'!AE$5</f>
        <v>0.93125000000000002</v>
      </c>
      <c r="R361" s="295">
        <f>'BD Plant List'!$N363/12*'BD Feedstock'!R$3*'BD Plant List'!AE$5</f>
        <v>26.540625000000002</v>
      </c>
      <c r="S361" s="295">
        <f>'BD Plant List'!$N363/12*'BD Feedstock'!S$3*'BD Plant List'!AF$5</f>
        <v>1.40625</v>
      </c>
      <c r="T361" s="295">
        <f>'BD Plant List'!$O363/12*'BD Feedstock'!T$3*'BD Plant List'!AB$5</f>
        <v>8.5732126770944213</v>
      </c>
      <c r="U361" s="295">
        <f>'BD Plant List'!$O363/12*'BD Feedstock'!U$3*'BD Plant List'!AC$5</f>
        <v>3.0347329175263269</v>
      </c>
    </row>
    <row r="362" spans="1:21" ht="18">
      <c r="A362" s="293">
        <v>50710</v>
      </c>
      <c r="B362" s="295">
        <f>'BD Plant List'!B364/12*'BD Plant List'!$AE$5*$B$3</f>
        <v>43.458333333333336</v>
      </c>
      <c r="C362" s="295">
        <f>'BD Plant List'!$C364/12*'BD Plant List'!$AB$5*'BD Feedstock'!$D$3</f>
        <v>2.098958333333333</v>
      </c>
      <c r="D362" s="295">
        <f>'BD Plant List'!$C364/12*'BD Plant List'!$AC$5*'BD Feedstock'!$D$3</f>
        <v>2.2289583333333334</v>
      </c>
      <c r="E362" s="295">
        <f>'BD Plant List'!$D364/12*'BD Plant List'!AB$5*'BD Feedstock'!$E$3</f>
        <v>9.6875</v>
      </c>
      <c r="F362" s="295">
        <f>'BD Plant List'!$D364/12*'BD Plant List'!AC$5*'BD Feedstock'!$F$3</f>
        <v>3.4291666666666671</v>
      </c>
      <c r="G362" s="295">
        <f>'BD Plant List'!$E364/12*'BD Feedstock'!G$3*'BD Plant List'!AB$5</f>
        <v>1.453125</v>
      </c>
      <c r="H362" s="295">
        <f>'BD Plant List'!$E364/12*'BD Feedstock'!H$3*'BD Plant List'!AC$5</f>
        <v>0.51437500000000003</v>
      </c>
      <c r="I362" s="295">
        <f>'BD Plant List'!F364/12*'BD Feedstock'!I$3*'BD Plant List'!AC$5</f>
        <v>0.13716666666666666</v>
      </c>
      <c r="J362" s="295">
        <f>'BD Plant List'!G364/12*'BD Feedstock'!J$3*'BD Plant List'!AD$5</f>
        <v>0.90199999999999991</v>
      </c>
      <c r="K362" s="295">
        <f>'BD Plant List'!$H364/12*'BD Feedstock'!K$3*'BD Plant List'!AB$5</f>
        <v>0</v>
      </c>
      <c r="L362" s="295">
        <f>'BD Plant List'!$H364/12*'BD Feedstock'!L$3*'BD Plant List'!AC$5</f>
        <v>0</v>
      </c>
      <c r="M362" s="295">
        <f>'BD Plant List'!$I364/12*'BD Feedstock'!$M$3*'BD Plant List'!AC$5</f>
        <v>3.4291666666666671</v>
      </c>
      <c r="N362" s="295">
        <f>'BD Plant List'!$J364/12*'BD Feedstock'!N$3*'BD Plant List'!AC$5</f>
        <v>0</v>
      </c>
      <c r="O362" s="295">
        <f>'BD Plant List'!$K364/12*'BD Feedstock'!O$3*'BD Plant List'!AC$5</f>
        <v>0</v>
      </c>
      <c r="P362" s="295">
        <f>'BD Plant List'!$L364/12*'BD Feedstock'!P$3*'BD Plant List'!AE$5</f>
        <v>0</v>
      </c>
      <c r="Q362" s="295">
        <f>'BD Plant List'!$M364/12*'BD Feedstock'!Q$3*'BD Plant List'!AE$5</f>
        <v>0.93125000000000002</v>
      </c>
      <c r="R362" s="295">
        <f>'BD Plant List'!$N364/12*'BD Feedstock'!R$3*'BD Plant List'!AE$5</f>
        <v>26.540625000000002</v>
      </c>
      <c r="S362" s="295">
        <f>'BD Plant List'!$N364/12*'BD Feedstock'!S$3*'BD Plant List'!AF$5</f>
        <v>1.40625</v>
      </c>
      <c r="T362" s="295">
        <f>'BD Plant List'!$O364/12*'BD Feedstock'!T$3*'BD Plant List'!AB$5</f>
        <v>8.5732126770944213</v>
      </c>
      <c r="U362" s="295">
        <f>'BD Plant List'!$O364/12*'BD Feedstock'!U$3*'BD Plant List'!AC$5</f>
        <v>3.0347329175263269</v>
      </c>
    </row>
    <row r="363" spans="1:21" ht="18">
      <c r="A363" s="293">
        <v>50740</v>
      </c>
      <c r="B363" s="295">
        <f>'BD Plant List'!B365/12*'BD Plant List'!$AE$5*$B$3</f>
        <v>43.458333333333336</v>
      </c>
      <c r="C363" s="295">
        <f>'BD Plant List'!$C365/12*'BD Plant List'!$AB$5*'BD Feedstock'!$D$3</f>
        <v>2.098958333333333</v>
      </c>
      <c r="D363" s="295">
        <f>'BD Plant List'!$C365/12*'BD Plant List'!$AC$5*'BD Feedstock'!$D$3</f>
        <v>2.2289583333333334</v>
      </c>
      <c r="E363" s="295">
        <f>'BD Plant List'!$D365/12*'BD Plant List'!AB$5*'BD Feedstock'!$E$3</f>
        <v>9.6875</v>
      </c>
      <c r="F363" s="295">
        <f>'BD Plant List'!$D365/12*'BD Plant List'!AC$5*'BD Feedstock'!$F$3</f>
        <v>3.4291666666666671</v>
      </c>
      <c r="G363" s="295">
        <f>'BD Plant List'!$E365/12*'BD Feedstock'!G$3*'BD Plant List'!AB$5</f>
        <v>1.453125</v>
      </c>
      <c r="H363" s="295">
        <f>'BD Plant List'!$E365/12*'BD Feedstock'!H$3*'BD Plant List'!AC$5</f>
        <v>0.51437500000000003</v>
      </c>
      <c r="I363" s="295">
        <f>'BD Plant List'!F365/12*'BD Feedstock'!I$3*'BD Plant List'!AC$5</f>
        <v>0.13716666666666666</v>
      </c>
      <c r="J363" s="295">
        <f>'BD Plant List'!G365/12*'BD Feedstock'!J$3*'BD Plant List'!AD$5</f>
        <v>0.90199999999999991</v>
      </c>
      <c r="K363" s="295">
        <f>'BD Plant List'!$H365/12*'BD Feedstock'!K$3*'BD Plant List'!AB$5</f>
        <v>0</v>
      </c>
      <c r="L363" s="295">
        <f>'BD Plant List'!$H365/12*'BD Feedstock'!L$3*'BD Plant List'!AC$5</f>
        <v>0</v>
      </c>
      <c r="M363" s="295">
        <f>'BD Plant List'!$I365/12*'BD Feedstock'!$M$3*'BD Plant List'!AC$5</f>
        <v>3.4291666666666671</v>
      </c>
      <c r="N363" s="295">
        <f>'BD Plant List'!$J365/12*'BD Feedstock'!N$3*'BD Plant List'!AC$5</f>
        <v>0</v>
      </c>
      <c r="O363" s="295">
        <f>'BD Plant List'!$K365/12*'BD Feedstock'!O$3*'BD Plant List'!AC$5</f>
        <v>0</v>
      </c>
      <c r="P363" s="295">
        <f>'BD Plant List'!$L365/12*'BD Feedstock'!P$3*'BD Plant List'!AE$5</f>
        <v>0</v>
      </c>
      <c r="Q363" s="295">
        <f>'BD Plant List'!$M365/12*'BD Feedstock'!Q$3*'BD Plant List'!AE$5</f>
        <v>0.93125000000000002</v>
      </c>
      <c r="R363" s="295">
        <f>'BD Plant List'!$N365/12*'BD Feedstock'!R$3*'BD Plant List'!AE$5</f>
        <v>26.540625000000002</v>
      </c>
      <c r="S363" s="295">
        <f>'BD Plant List'!$N365/12*'BD Feedstock'!S$3*'BD Plant List'!AF$5</f>
        <v>1.40625</v>
      </c>
      <c r="T363" s="295">
        <f>'BD Plant List'!$O365/12*'BD Feedstock'!T$3*'BD Plant List'!AB$5</f>
        <v>8.5732126770944213</v>
      </c>
      <c r="U363" s="295">
        <f>'BD Plant List'!$O365/12*'BD Feedstock'!U$3*'BD Plant List'!AC$5</f>
        <v>3.0347329175263269</v>
      </c>
    </row>
    <row r="364" spans="1:21" ht="18">
      <c r="A364" s="293">
        <v>50771</v>
      </c>
      <c r="B364" s="295">
        <f>'BD Plant List'!B366/12*'BD Plant List'!$AE$5*$B$3</f>
        <v>43.458333333333336</v>
      </c>
      <c r="C364" s="295">
        <f>'BD Plant List'!$C366/12*'BD Plant List'!$AB$5*'BD Feedstock'!$D$3</f>
        <v>2.098958333333333</v>
      </c>
      <c r="D364" s="295">
        <f>'BD Plant List'!$C366/12*'BD Plant List'!$AC$5*'BD Feedstock'!$D$3</f>
        <v>2.2289583333333334</v>
      </c>
      <c r="E364" s="295">
        <f>'BD Plant List'!$D366/12*'BD Plant List'!AB$5*'BD Feedstock'!$E$3</f>
        <v>9.6875</v>
      </c>
      <c r="F364" s="295">
        <f>'BD Plant List'!$D366/12*'BD Plant List'!AC$5*'BD Feedstock'!$F$3</f>
        <v>3.4291666666666671</v>
      </c>
      <c r="G364" s="295">
        <f>'BD Plant List'!$E366/12*'BD Feedstock'!G$3*'BD Plant List'!AB$5</f>
        <v>1.453125</v>
      </c>
      <c r="H364" s="295">
        <f>'BD Plant List'!$E366/12*'BD Feedstock'!H$3*'BD Plant List'!AC$5</f>
        <v>0.51437500000000003</v>
      </c>
      <c r="I364" s="295">
        <f>'BD Plant List'!F366/12*'BD Feedstock'!I$3*'BD Plant List'!AC$5</f>
        <v>0.13716666666666666</v>
      </c>
      <c r="J364" s="295">
        <f>'BD Plant List'!G366/12*'BD Feedstock'!J$3*'BD Plant List'!AD$5</f>
        <v>0.90199999999999991</v>
      </c>
      <c r="K364" s="295">
        <f>'BD Plant List'!$H366/12*'BD Feedstock'!K$3*'BD Plant List'!AB$5</f>
        <v>0</v>
      </c>
      <c r="L364" s="295">
        <f>'BD Plant List'!$H366/12*'BD Feedstock'!L$3*'BD Plant List'!AC$5</f>
        <v>0</v>
      </c>
      <c r="M364" s="295">
        <f>'BD Plant List'!$I366/12*'BD Feedstock'!$M$3*'BD Plant List'!AC$5</f>
        <v>3.4291666666666671</v>
      </c>
      <c r="N364" s="295">
        <f>'BD Plant List'!$J366/12*'BD Feedstock'!N$3*'BD Plant List'!AC$5</f>
        <v>0</v>
      </c>
      <c r="O364" s="295">
        <f>'BD Plant List'!$K366/12*'BD Feedstock'!O$3*'BD Plant List'!AC$5</f>
        <v>0</v>
      </c>
      <c r="P364" s="295">
        <f>'BD Plant List'!$L366/12*'BD Feedstock'!P$3*'BD Plant List'!AE$5</f>
        <v>0</v>
      </c>
      <c r="Q364" s="295">
        <f>'BD Plant List'!$M366/12*'BD Feedstock'!Q$3*'BD Plant List'!AE$5</f>
        <v>0.93125000000000002</v>
      </c>
      <c r="R364" s="295">
        <f>'BD Plant List'!$N366/12*'BD Feedstock'!R$3*'BD Plant List'!AE$5</f>
        <v>26.540625000000002</v>
      </c>
      <c r="S364" s="295">
        <f>'BD Plant List'!$N366/12*'BD Feedstock'!S$3*'BD Plant List'!AF$5</f>
        <v>1.40625</v>
      </c>
      <c r="T364" s="295">
        <f>'BD Plant List'!$O366/12*'BD Feedstock'!T$3*'BD Plant List'!AB$5</f>
        <v>8.5732126770944213</v>
      </c>
      <c r="U364" s="295">
        <f>'BD Plant List'!$O366/12*'BD Feedstock'!U$3*'BD Plant List'!AC$5</f>
        <v>3.0347329175263269</v>
      </c>
    </row>
    <row r="365" spans="1:21" ht="18">
      <c r="A365" s="293">
        <v>50802</v>
      </c>
      <c r="B365" s="295">
        <f>'BD Plant List'!B367/12*'BD Plant List'!$AE$5*$B$3</f>
        <v>43.458333333333336</v>
      </c>
      <c r="C365" s="295">
        <f>'BD Plant List'!$C367/12*'BD Plant List'!$AB$5*'BD Feedstock'!$D$3</f>
        <v>2.098958333333333</v>
      </c>
      <c r="D365" s="295">
        <f>'BD Plant List'!$C367/12*'BD Plant List'!$AC$5*'BD Feedstock'!$D$3</f>
        <v>2.2289583333333334</v>
      </c>
      <c r="E365" s="295">
        <f>'BD Plant List'!$D367/12*'BD Plant List'!AB$5*'BD Feedstock'!$E$3</f>
        <v>9.6875</v>
      </c>
      <c r="F365" s="295">
        <f>'BD Plant List'!$D367/12*'BD Plant List'!AC$5*'BD Feedstock'!$F$3</f>
        <v>3.4291666666666671</v>
      </c>
      <c r="G365" s="295">
        <f>'BD Plant List'!$E367/12*'BD Feedstock'!G$3*'BD Plant List'!AB$5</f>
        <v>1.453125</v>
      </c>
      <c r="H365" s="295">
        <f>'BD Plant List'!$E367/12*'BD Feedstock'!H$3*'BD Plant List'!AC$5</f>
        <v>0.51437500000000003</v>
      </c>
      <c r="I365" s="295">
        <f>'BD Plant List'!F367/12*'BD Feedstock'!I$3*'BD Plant List'!AC$5</f>
        <v>0.13716666666666666</v>
      </c>
      <c r="J365" s="295">
        <f>'BD Plant List'!G367/12*'BD Feedstock'!J$3*'BD Plant List'!AD$5</f>
        <v>0.90199999999999991</v>
      </c>
      <c r="K365" s="295">
        <f>'BD Plant List'!$H367/12*'BD Feedstock'!K$3*'BD Plant List'!AB$5</f>
        <v>0</v>
      </c>
      <c r="L365" s="295">
        <f>'BD Plant List'!$H367/12*'BD Feedstock'!L$3*'BD Plant List'!AC$5</f>
        <v>0</v>
      </c>
      <c r="M365" s="295">
        <f>'BD Plant List'!$I367/12*'BD Feedstock'!$M$3*'BD Plant List'!AC$5</f>
        <v>3.4291666666666671</v>
      </c>
      <c r="N365" s="295">
        <f>'BD Plant List'!$J367/12*'BD Feedstock'!N$3*'BD Plant List'!AC$5</f>
        <v>0</v>
      </c>
      <c r="O365" s="295">
        <f>'BD Plant List'!$K367/12*'BD Feedstock'!O$3*'BD Plant List'!AC$5</f>
        <v>0</v>
      </c>
      <c r="P365" s="295">
        <f>'BD Plant List'!$L367/12*'BD Feedstock'!P$3*'BD Plant List'!AE$5</f>
        <v>0</v>
      </c>
      <c r="Q365" s="295">
        <f>'BD Plant List'!$M367/12*'BD Feedstock'!Q$3*'BD Plant List'!AE$5</f>
        <v>0.93125000000000002</v>
      </c>
      <c r="R365" s="295">
        <f>'BD Plant List'!$N367/12*'BD Feedstock'!R$3*'BD Plant List'!AE$5</f>
        <v>26.540625000000002</v>
      </c>
      <c r="S365" s="295">
        <f>'BD Plant List'!$N367/12*'BD Feedstock'!S$3*'BD Plant List'!AF$5</f>
        <v>1.40625</v>
      </c>
      <c r="T365" s="295">
        <f>'BD Plant List'!$O367/12*'BD Feedstock'!T$3*'BD Plant List'!AB$5</f>
        <v>8.5732126770944213</v>
      </c>
      <c r="U365" s="295">
        <f>'BD Plant List'!$O367/12*'BD Feedstock'!U$3*'BD Plant List'!AC$5</f>
        <v>3.0347329175263269</v>
      </c>
    </row>
    <row r="366" spans="1:21" ht="18">
      <c r="A366" s="293">
        <v>50830</v>
      </c>
      <c r="B366" s="295">
        <f>'BD Plant List'!B368/12*'BD Plant List'!$AE$5*$B$3</f>
        <v>43.458333333333336</v>
      </c>
      <c r="C366" s="295">
        <f>'BD Plant List'!$C368/12*'BD Plant List'!$AB$5*'BD Feedstock'!$D$3</f>
        <v>2.098958333333333</v>
      </c>
      <c r="D366" s="295">
        <f>'BD Plant List'!$C368/12*'BD Plant List'!$AC$5*'BD Feedstock'!$D$3</f>
        <v>2.2289583333333334</v>
      </c>
      <c r="E366" s="295">
        <f>'BD Plant List'!$D368/12*'BD Plant List'!AB$5*'BD Feedstock'!$E$3</f>
        <v>9.6875</v>
      </c>
      <c r="F366" s="295">
        <f>'BD Plant List'!$D368/12*'BD Plant List'!AC$5*'BD Feedstock'!$F$3</f>
        <v>3.4291666666666671</v>
      </c>
      <c r="G366" s="295">
        <f>'BD Plant List'!$E368/12*'BD Feedstock'!G$3*'BD Plant List'!AB$5</f>
        <v>1.453125</v>
      </c>
      <c r="H366" s="295">
        <f>'BD Plant List'!$E368/12*'BD Feedstock'!H$3*'BD Plant List'!AC$5</f>
        <v>0.51437500000000003</v>
      </c>
      <c r="I366" s="295">
        <f>'BD Plant List'!F368/12*'BD Feedstock'!I$3*'BD Plant List'!AC$5</f>
        <v>0.13716666666666666</v>
      </c>
      <c r="J366" s="295">
        <f>'BD Plant List'!G368/12*'BD Feedstock'!J$3*'BD Plant List'!AD$5</f>
        <v>0.90199999999999991</v>
      </c>
      <c r="K366" s="295">
        <f>'BD Plant List'!$H368/12*'BD Feedstock'!K$3*'BD Plant List'!AB$5</f>
        <v>0</v>
      </c>
      <c r="L366" s="295">
        <f>'BD Plant List'!$H368/12*'BD Feedstock'!L$3*'BD Plant List'!AC$5</f>
        <v>0</v>
      </c>
      <c r="M366" s="295">
        <f>'BD Plant List'!$I368/12*'BD Feedstock'!$M$3*'BD Plant List'!AC$5</f>
        <v>3.4291666666666671</v>
      </c>
      <c r="N366" s="295">
        <f>'BD Plant List'!$J368/12*'BD Feedstock'!N$3*'BD Plant List'!AC$5</f>
        <v>0</v>
      </c>
      <c r="O366" s="295">
        <f>'BD Plant List'!$K368/12*'BD Feedstock'!O$3*'BD Plant List'!AC$5</f>
        <v>0</v>
      </c>
      <c r="P366" s="295">
        <f>'BD Plant List'!$L368/12*'BD Feedstock'!P$3*'BD Plant List'!AE$5</f>
        <v>0</v>
      </c>
      <c r="Q366" s="295">
        <f>'BD Plant List'!$M368/12*'BD Feedstock'!Q$3*'BD Plant List'!AE$5</f>
        <v>0.93125000000000002</v>
      </c>
      <c r="R366" s="295">
        <f>'BD Plant List'!$N368/12*'BD Feedstock'!R$3*'BD Plant List'!AE$5</f>
        <v>26.540625000000002</v>
      </c>
      <c r="S366" s="295">
        <f>'BD Plant List'!$N368/12*'BD Feedstock'!S$3*'BD Plant List'!AF$5</f>
        <v>1.40625</v>
      </c>
      <c r="T366" s="295">
        <f>'BD Plant List'!$O368/12*'BD Feedstock'!T$3*'BD Plant List'!AB$5</f>
        <v>8.5732126770944213</v>
      </c>
      <c r="U366" s="295">
        <f>'BD Plant List'!$O368/12*'BD Feedstock'!U$3*'BD Plant List'!AC$5</f>
        <v>3.0347329175263269</v>
      </c>
    </row>
    <row r="367" spans="1:21" ht="18">
      <c r="A367" s="293">
        <v>50861</v>
      </c>
      <c r="B367" s="295">
        <f>'BD Plant List'!B369/12*'BD Plant List'!$AE$5*$B$3</f>
        <v>43.458333333333336</v>
      </c>
      <c r="C367" s="295">
        <f>'BD Plant List'!$C369/12*'BD Plant List'!$AB$5*'BD Feedstock'!$D$3</f>
        <v>2.098958333333333</v>
      </c>
      <c r="D367" s="295">
        <f>'BD Plant List'!$C369/12*'BD Plant List'!$AC$5*'BD Feedstock'!$D$3</f>
        <v>2.2289583333333334</v>
      </c>
      <c r="E367" s="295">
        <f>'BD Plant List'!$D369/12*'BD Plant List'!AB$5*'BD Feedstock'!$E$3</f>
        <v>9.6875</v>
      </c>
      <c r="F367" s="295">
        <f>'BD Plant List'!$D369/12*'BD Plant List'!AC$5*'BD Feedstock'!$F$3</f>
        <v>3.4291666666666671</v>
      </c>
      <c r="G367" s="295">
        <f>'BD Plant List'!$E369/12*'BD Feedstock'!G$3*'BD Plant List'!AB$5</f>
        <v>1.453125</v>
      </c>
      <c r="H367" s="295">
        <f>'BD Plant List'!$E369/12*'BD Feedstock'!H$3*'BD Plant List'!AC$5</f>
        <v>0.51437500000000003</v>
      </c>
      <c r="I367" s="295">
        <f>'BD Plant List'!F369/12*'BD Feedstock'!I$3*'BD Plant List'!AC$5</f>
        <v>0.13716666666666666</v>
      </c>
      <c r="J367" s="295">
        <f>'BD Plant List'!G369/12*'BD Feedstock'!J$3*'BD Plant List'!AD$5</f>
        <v>0.90199999999999991</v>
      </c>
      <c r="K367" s="295">
        <f>'BD Plant List'!$H369/12*'BD Feedstock'!K$3*'BD Plant List'!AB$5</f>
        <v>0</v>
      </c>
      <c r="L367" s="295">
        <f>'BD Plant List'!$H369/12*'BD Feedstock'!L$3*'BD Plant List'!AC$5</f>
        <v>0</v>
      </c>
      <c r="M367" s="295">
        <f>'BD Plant List'!$I369/12*'BD Feedstock'!$M$3*'BD Plant List'!AC$5</f>
        <v>3.4291666666666671</v>
      </c>
      <c r="N367" s="295">
        <f>'BD Plant List'!$J369/12*'BD Feedstock'!N$3*'BD Plant List'!AC$5</f>
        <v>0</v>
      </c>
      <c r="O367" s="295">
        <f>'BD Plant List'!$K369/12*'BD Feedstock'!O$3*'BD Plant List'!AC$5</f>
        <v>0</v>
      </c>
      <c r="P367" s="295">
        <f>'BD Plant List'!$L369/12*'BD Feedstock'!P$3*'BD Plant List'!AE$5</f>
        <v>0</v>
      </c>
      <c r="Q367" s="295">
        <f>'BD Plant List'!$M369/12*'BD Feedstock'!Q$3*'BD Plant List'!AE$5</f>
        <v>0.93125000000000002</v>
      </c>
      <c r="R367" s="295">
        <f>'BD Plant List'!$N369/12*'BD Feedstock'!R$3*'BD Plant List'!AE$5</f>
        <v>26.540625000000002</v>
      </c>
      <c r="S367" s="295">
        <f>'BD Plant List'!$N369/12*'BD Feedstock'!S$3*'BD Plant List'!AF$5</f>
        <v>1.40625</v>
      </c>
      <c r="T367" s="295">
        <f>'BD Plant List'!$O369/12*'BD Feedstock'!T$3*'BD Plant List'!AB$5</f>
        <v>8.5732126770944213</v>
      </c>
      <c r="U367" s="295">
        <f>'BD Plant List'!$O369/12*'BD Feedstock'!U$3*'BD Plant List'!AC$5</f>
        <v>3.0347329175263269</v>
      </c>
    </row>
    <row r="368" spans="1:21" ht="18">
      <c r="A368" s="293">
        <v>50891</v>
      </c>
      <c r="B368" s="295">
        <f>'BD Plant List'!B370/12*'BD Plant List'!$AE$5*$B$3</f>
        <v>43.458333333333336</v>
      </c>
      <c r="C368" s="295">
        <f>'BD Plant List'!$C370/12*'BD Plant List'!$AB$5*'BD Feedstock'!$D$3</f>
        <v>2.098958333333333</v>
      </c>
      <c r="D368" s="295">
        <f>'BD Plant List'!$C370/12*'BD Plant List'!$AC$5*'BD Feedstock'!$D$3</f>
        <v>2.2289583333333334</v>
      </c>
      <c r="E368" s="295">
        <f>'BD Plant List'!$D370/12*'BD Plant List'!AB$5*'BD Feedstock'!$E$3</f>
        <v>9.6875</v>
      </c>
      <c r="F368" s="295">
        <f>'BD Plant List'!$D370/12*'BD Plant List'!AC$5*'BD Feedstock'!$F$3</f>
        <v>3.4291666666666671</v>
      </c>
      <c r="G368" s="295">
        <f>'BD Plant List'!$E370/12*'BD Feedstock'!G$3*'BD Plant List'!AB$5</f>
        <v>1.453125</v>
      </c>
      <c r="H368" s="295">
        <f>'BD Plant List'!$E370/12*'BD Feedstock'!H$3*'BD Plant List'!AC$5</f>
        <v>0.51437500000000003</v>
      </c>
      <c r="I368" s="295">
        <f>'BD Plant List'!F370/12*'BD Feedstock'!I$3*'BD Plant List'!AC$5</f>
        <v>0.13716666666666666</v>
      </c>
      <c r="J368" s="295">
        <f>'BD Plant List'!G370/12*'BD Feedstock'!J$3*'BD Plant List'!AD$5</f>
        <v>0.90199999999999991</v>
      </c>
      <c r="K368" s="295">
        <f>'BD Plant List'!$H370/12*'BD Feedstock'!K$3*'BD Plant List'!AB$5</f>
        <v>0</v>
      </c>
      <c r="L368" s="295">
        <f>'BD Plant List'!$H370/12*'BD Feedstock'!L$3*'BD Plant List'!AC$5</f>
        <v>0</v>
      </c>
      <c r="M368" s="295">
        <f>'BD Plant List'!$I370/12*'BD Feedstock'!$M$3*'BD Plant List'!AC$5</f>
        <v>3.4291666666666671</v>
      </c>
      <c r="N368" s="295">
        <f>'BD Plant List'!$J370/12*'BD Feedstock'!N$3*'BD Plant List'!AC$5</f>
        <v>0</v>
      </c>
      <c r="O368" s="295">
        <f>'BD Plant List'!$K370/12*'BD Feedstock'!O$3*'BD Plant List'!AC$5</f>
        <v>0</v>
      </c>
      <c r="P368" s="295">
        <f>'BD Plant List'!$L370/12*'BD Feedstock'!P$3*'BD Plant List'!AE$5</f>
        <v>0</v>
      </c>
      <c r="Q368" s="295">
        <f>'BD Plant List'!$M370/12*'BD Feedstock'!Q$3*'BD Plant List'!AE$5</f>
        <v>0.93125000000000002</v>
      </c>
      <c r="R368" s="295">
        <f>'BD Plant List'!$N370/12*'BD Feedstock'!R$3*'BD Plant List'!AE$5</f>
        <v>26.540625000000002</v>
      </c>
      <c r="S368" s="295">
        <f>'BD Plant List'!$N370/12*'BD Feedstock'!S$3*'BD Plant List'!AF$5</f>
        <v>1.40625</v>
      </c>
      <c r="T368" s="295">
        <f>'BD Plant List'!$O370/12*'BD Feedstock'!T$3*'BD Plant List'!AB$5</f>
        <v>8.5732126770944213</v>
      </c>
      <c r="U368" s="295">
        <f>'BD Plant List'!$O370/12*'BD Feedstock'!U$3*'BD Plant List'!AC$5</f>
        <v>3.0347329175263269</v>
      </c>
    </row>
    <row r="369" spans="1:21" ht="18">
      <c r="A369" s="293">
        <v>50922</v>
      </c>
      <c r="B369" s="295">
        <f>'BD Plant List'!B371/12*'BD Plant List'!$AE$5*$B$3</f>
        <v>43.458333333333336</v>
      </c>
      <c r="C369" s="295">
        <f>'BD Plant List'!$C371/12*'BD Plant List'!$AB$5*'BD Feedstock'!$D$3</f>
        <v>2.098958333333333</v>
      </c>
      <c r="D369" s="295">
        <f>'BD Plant List'!$C371/12*'BD Plant List'!$AC$5*'BD Feedstock'!$D$3</f>
        <v>2.2289583333333334</v>
      </c>
      <c r="E369" s="295">
        <f>'BD Plant List'!$D371/12*'BD Plant List'!AB$5*'BD Feedstock'!$E$3</f>
        <v>9.6875</v>
      </c>
      <c r="F369" s="295">
        <f>'BD Plant List'!$D371/12*'BD Plant List'!AC$5*'BD Feedstock'!$F$3</f>
        <v>3.4291666666666671</v>
      </c>
      <c r="G369" s="295">
        <f>'BD Plant List'!$E371/12*'BD Feedstock'!G$3*'BD Plant List'!AB$5</f>
        <v>1.453125</v>
      </c>
      <c r="H369" s="295">
        <f>'BD Plant List'!$E371/12*'BD Feedstock'!H$3*'BD Plant List'!AC$5</f>
        <v>0.51437500000000003</v>
      </c>
      <c r="I369" s="295">
        <f>'BD Plant List'!F371/12*'BD Feedstock'!I$3*'BD Plant List'!AC$5</f>
        <v>0.13716666666666666</v>
      </c>
      <c r="J369" s="295">
        <f>'BD Plant List'!G371/12*'BD Feedstock'!J$3*'BD Plant List'!AD$5</f>
        <v>0.90199999999999991</v>
      </c>
      <c r="K369" s="295">
        <f>'BD Plant List'!$H371/12*'BD Feedstock'!K$3*'BD Plant List'!AB$5</f>
        <v>0</v>
      </c>
      <c r="L369" s="295">
        <f>'BD Plant List'!$H371/12*'BD Feedstock'!L$3*'BD Plant List'!AC$5</f>
        <v>0</v>
      </c>
      <c r="M369" s="295">
        <f>'BD Plant List'!$I371/12*'BD Feedstock'!$M$3*'BD Plant List'!AC$5</f>
        <v>3.4291666666666671</v>
      </c>
      <c r="N369" s="295">
        <f>'BD Plant List'!$J371/12*'BD Feedstock'!N$3*'BD Plant List'!AC$5</f>
        <v>0</v>
      </c>
      <c r="O369" s="295">
        <f>'BD Plant List'!$K371/12*'BD Feedstock'!O$3*'BD Plant List'!AC$5</f>
        <v>0</v>
      </c>
      <c r="P369" s="295">
        <f>'BD Plant List'!$L371/12*'BD Feedstock'!P$3*'BD Plant List'!AE$5</f>
        <v>0</v>
      </c>
      <c r="Q369" s="295">
        <f>'BD Plant List'!$M371/12*'BD Feedstock'!Q$3*'BD Plant List'!AE$5</f>
        <v>0.93125000000000002</v>
      </c>
      <c r="R369" s="295">
        <f>'BD Plant List'!$N371/12*'BD Feedstock'!R$3*'BD Plant List'!AE$5</f>
        <v>26.540625000000002</v>
      </c>
      <c r="S369" s="295">
        <f>'BD Plant List'!$N371/12*'BD Feedstock'!S$3*'BD Plant List'!AF$5</f>
        <v>1.40625</v>
      </c>
      <c r="T369" s="295">
        <f>'BD Plant List'!$O371/12*'BD Feedstock'!T$3*'BD Plant List'!AB$5</f>
        <v>8.5732126770944213</v>
      </c>
      <c r="U369" s="295">
        <f>'BD Plant List'!$O371/12*'BD Feedstock'!U$3*'BD Plant List'!AC$5</f>
        <v>3.0347329175263269</v>
      </c>
    </row>
    <row r="370" spans="1:21" ht="18">
      <c r="A370" s="293">
        <v>50952</v>
      </c>
      <c r="B370" s="295">
        <f>'BD Plant List'!B372/12*'BD Plant List'!$AE$5*$B$3</f>
        <v>43.458333333333336</v>
      </c>
      <c r="C370" s="295">
        <f>'BD Plant List'!$C372/12*'BD Plant List'!$AB$5*'BD Feedstock'!$D$3</f>
        <v>2.098958333333333</v>
      </c>
      <c r="D370" s="295">
        <f>'BD Plant List'!$C372/12*'BD Plant List'!$AC$5*'BD Feedstock'!$D$3</f>
        <v>2.2289583333333334</v>
      </c>
      <c r="E370" s="295">
        <f>'BD Plant List'!$D372/12*'BD Plant List'!AB$5*'BD Feedstock'!$E$3</f>
        <v>9.6875</v>
      </c>
      <c r="F370" s="295">
        <f>'BD Plant List'!$D372/12*'BD Plant List'!AC$5*'BD Feedstock'!$F$3</f>
        <v>3.4291666666666671</v>
      </c>
      <c r="G370" s="295">
        <f>'BD Plant List'!$E372/12*'BD Feedstock'!G$3*'BD Plant List'!AB$5</f>
        <v>1.453125</v>
      </c>
      <c r="H370" s="295">
        <f>'BD Plant List'!$E372/12*'BD Feedstock'!H$3*'BD Plant List'!AC$5</f>
        <v>0.51437500000000003</v>
      </c>
      <c r="I370" s="295">
        <f>'BD Plant List'!F372/12*'BD Feedstock'!I$3*'BD Plant List'!AC$5</f>
        <v>0.13716666666666666</v>
      </c>
      <c r="J370" s="295">
        <f>'BD Plant List'!G372/12*'BD Feedstock'!J$3*'BD Plant List'!AD$5</f>
        <v>0.90199999999999991</v>
      </c>
      <c r="K370" s="295">
        <f>'BD Plant List'!$H372/12*'BD Feedstock'!K$3*'BD Plant List'!AB$5</f>
        <v>0</v>
      </c>
      <c r="L370" s="295">
        <f>'BD Plant List'!$H372/12*'BD Feedstock'!L$3*'BD Plant List'!AC$5</f>
        <v>0</v>
      </c>
      <c r="M370" s="295">
        <f>'BD Plant List'!$I372/12*'BD Feedstock'!$M$3*'BD Plant List'!AC$5</f>
        <v>3.4291666666666671</v>
      </c>
      <c r="N370" s="295">
        <f>'BD Plant List'!$J372/12*'BD Feedstock'!N$3*'BD Plant List'!AC$5</f>
        <v>0</v>
      </c>
      <c r="O370" s="295">
        <f>'BD Plant List'!$K372/12*'BD Feedstock'!O$3*'BD Plant List'!AC$5</f>
        <v>0</v>
      </c>
      <c r="P370" s="295">
        <f>'BD Plant List'!$L372/12*'BD Feedstock'!P$3*'BD Plant List'!AE$5</f>
        <v>0</v>
      </c>
      <c r="Q370" s="295">
        <f>'BD Plant List'!$M372/12*'BD Feedstock'!Q$3*'BD Plant List'!AE$5</f>
        <v>0.93125000000000002</v>
      </c>
      <c r="R370" s="295">
        <f>'BD Plant List'!$N372/12*'BD Feedstock'!R$3*'BD Plant List'!AE$5</f>
        <v>26.540625000000002</v>
      </c>
      <c r="S370" s="295">
        <f>'BD Plant List'!$N372/12*'BD Feedstock'!S$3*'BD Plant List'!AF$5</f>
        <v>1.40625</v>
      </c>
      <c r="T370" s="295">
        <f>'BD Plant List'!$O372/12*'BD Feedstock'!T$3*'BD Plant List'!AB$5</f>
        <v>8.5732126770944213</v>
      </c>
      <c r="U370" s="295">
        <f>'BD Plant List'!$O372/12*'BD Feedstock'!U$3*'BD Plant List'!AC$5</f>
        <v>3.0347329175263269</v>
      </c>
    </row>
    <row r="371" spans="1:21" ht="18">
      <c r="A371" s="293">
        <v>50983</v>
      </c>
      <c r="B371" s="295">
        <f>'BD Plant List'!B373/12*'BD Plant List'!$AE$5*$B$3</f>
        <v>43.458333333333336</v>
      </c>
      <c r="C371" s="295">
        <f>'BD Plant List'!$C373/12*'BD Plant List'!$AB$5*'BD Feedstock'!$D$3</f>
        <v>2.098958333333333</v>
      </c>
      <c r="D371" s="295">
        <f>'BD Plant List'!$C373/12*'BD Plant List'!$AC$5*'BD Feedstock'!$D$3</f>
        <v>2.2289583333333334</v>
      </c>
      <c r="E371" s="295">
        <f>'BD Plant List'!$D373/12*'BD Plant List'!AB$5*'BD Feedstock'!$E$3</f>
        <v>9.6875</v>
      </c>
      <c r="F371" s="295">
        <f>'BD Plant List'!$D373/12*'BD Plant List'!AC$5*'BD Feedstock'!$F$3</f>
        <v>3.4291666666666671</v>
      </c>
      <c r="G371" s="295">
        <f>'BD Plant List'!$E373/12*'BD Feedstock'!G$3*'BD Plant List'!AB$5</f>
        <v>1.453125</v>
      </c>
      <c r="H371" s="295">
        <f>'BD Plant List'!$E373/12*'BD Feedstock'!H$3*'BD Plant List'!AC$5</f>
        <v>0.51437500000000003</v>
      </c>
      <c r="I371" s="295">
        <f>'BD Plant List'!F373/12*'BD Feedstock'!I$3*'BD Plant List'!AC$5</f>
        <v>0.13716666666666666</v>
      </c>
      <c r="J371" s="295">
        <f>'BD Plant List'!G373/12*'BD Feedstock'!J$3*'BD Plant List'!AD$5</f>
        <v>0.90199999999999991</v>
      </c>
      <c r="K371" s="295">
        <f>'BD Plant List'!$H373/12*'BD Feedstock'!K$3*'BD Plant List'!AB$5</f>
        <v>0</v>
      </c>
      <c r="L371" s="295">
        <f>'BD Plant List'!$H373/12*'BD Feedstock'!L$3*'BD Plant List'!AC$5</f>
        <v>0</v>
      </c>
      <c r="M371" s="295">
        <f>'BD Plant List'!$I373/12*'BD Feedstock'!$M$3*'BD Plant List'!AC$5</f>
        <v>3.4291666666666671</v>
      </c>
      <c r="N371" s="295">
        <f>'BD Plant List'!$J373/12*'BD Feedstock'!N$3*'BD Plant List'!AC$5</f>
        <v>0</v>
      </c>
      <c r="O371" s="295">
        <f>'BD Plant List'!$K373/12*'BD Feedstock'!O$3*'BD Plant List'!AC$5</f>
        <v>0</v>
      </c>
      <c r="P371" s="295">
        <f>'BD Plant List'!$L373/12*'BD Feedstock'!P$3*'BD Plant List'!AE$5</f>
        <v>0</v>
      </c>
      <c r="Q371" s="295">
        <f>'BD Plant List'!$M373/12*'BD Feedstock'!Q$3*'BD Plant List'!AE$5</f>
        <v>0.93125000000000002</v>
      </c>
      <c r="R371" s="295">
        <f>'BD Plant List'!$N373/12*'BD Feedstock'!R$3*'BD Plant List'!AE$5</f>
        <v>26.540625000000002</v>
      </c>
      <c r="S371" s="295">
        <f>'BD Plant List'!$N373/12*'BD Feedstock'!S$3*'BD Plant List'!AF$5</f>
        <v>1.40625</v>
      </c>
      <c r="T371" s="295">
        <f>'BD Plant List'!$O373/12*'BD Feedstock'!T$3*'BD Plant List'!AB$5</f>
        <v>8.5732126770944213</v>
      </c>
      <c r="U371" s="295">
        <f>'BD Plant List'!$O373/12*'BD Feedstock'!U$3*'BD Plant List'!AC$5</f>
        <v>3.0347329175263269</v>
      </c>
    </row>
    <row r="372" spans="1:21" ht="18">
      <c r="A372" s="293">
        <v>51014</v>
      </c>
      <c r="B372" s="295">
        <f>'BD Plant List'!B374/12*'BD Plant List'!$AE$5*$B$3</f>
        <v>43.458333333333336</v>
      </c>
      <c r="C372" s="295">
        <f>'BD Plant List'!$C374/12*'BD Plant List'!$AB$5*'BD Feedstock'!$D$3</f>
        <v>2.098958333333333</v>
      </c>
      <c r="D372" s="295">
        <f>'BD Plant List'!$C374/12*'BD Plant List'!$AC$5*'BD Feedstock'!$D$3</f>
        <v>2.2289583333333334</v>
      </c>
      <c r="E372" s="295">
        <f>'BD Plant List'!$D374/12*'BD Plant List'!AB$5*'BD Feedstock'!$E$3</f>
        <v>9.6875</v>
      </c>
      <c r="F372" s="295">
        <f>'BD Plant List'!$D374/12*'BD Plant List'!AC$5*'BD Feedstock'!$F$3</f>
        <v>3.4291666666666671</v>
      </c>
      <c r="G372" s="295">
        <f>'BD Plant List'!$E374/12*'BD Feedstock'!G$3*'BD Plant List'!AB$5</f>
        <v>1.453125</v>
      </c>
      <c r="H372" s="295">
        <f>'BD Plant List'!$E374/12*'BD Feedstock'!H$3*'BD Plant List'!AC$5</f>
        <v>0.51437500000000003</v>
      </c>
      <c r="I372" s="295">
        <f>'BD Plant List'!F374/12*'BD Feedstock'!I$3*'BD Plant List'!AC$5</f>
        <v>0.13716666666666666</v>
      </c>
      <c r="J372" s="295">
        <f>'BD Plant List'!G374/12*'BD Feedstock'!J$3*'BD Plant List'!AD$5</f>
        <v>0.90199999999999991</v>
      </c>
      <c r="K372" s="295">
        <f>'BD Plant List'!$H374/12*'BD Feedstock'!K$3*'BD Plant List'!AB$5</f>
        <v>0</v>
      </c>
      <c r="L372" s="295">
        <f>'BD Plant List'!$H374/12*'BD Feedstock'!L$3*'BD Plant List'!AC$5</f>
        <v>0</v>
      </c>
      <c r="M372" s="295">
        <f>'BD Plant List'!$I374/12*'BD Feedstock'!$M$3*'BD Plant List'!AC$5</f>
        <v>3.4291666666666671</v>
      </c>
      <c r="N372" s="295">
        <f>'BD Plant List'!$J374/12*'BD Feedstock'!N$3*'BD Plant List'!AC$5</f>
        <v>0</v>
      </c>
      <c r="O372" s="295">
        <f>'BD Plant List'!$K374/12*'BD Feedstock'!O$3*'BD Plant List'!AC$5</f>
        <v>0</v>
      </c>
      <c r="P372" s="295">
        <f>'BD Plant List'!$L374/12*'BD Feedstock'!P$3*'BD Plant List'!AE$5</f>
        <v>0</v>
      </c>
      <c r="Q372" s="295">
        <f>'BD Plant List'!$M374/12*'BD Feedstock'!Q$3*'BD Plant List'!AE$5</f>
        <v>0.93125000000000002</v>
      </c>
      <c r="R372" s="295">
        <f>'BD Plant List'!$N374/12*'BD Feedstock'!R$3*'BD Plant List'!AE$5</f>
        <v>26.540625000000002</v>
      </c>
      <c r="S372" s="295">
        <f>'BD Plant List'!$N374/12*'BD Feedstock'!S$3*'BD Plant List'!AF$5</f>
        <v>1.40625</v>
      </c>
      <c r="T372" s="295">
        <f>'BD Plant List'!$O374/12*'BD Feedstock'!T$3*'BD Plant List'!AB$5</f>
        <v>8.5732126770944213</v>
      </c>
      <c r="U372" s="295">
        <f>'BD Plant List'!$O374/12*'BD Feedstock'!U$3*'BD Plant List'!AC$5</f>
        <v>3.0347329175263269</v>
      </c>
    </row>
    <row r="373" spans="1:21" ht="18">
      <c r="A373" s="293">
        <v>51044</v>
      </c>
      <c r="B373" s="295">
        <f>'BD Plant List'!B375/12*'BD Plant List'!$AE$5*$B$3</f>
        <v>43.458333333333336</v>
      </c>
      <c r="C373" s="295">
        <f>'BD Plant List'!$C375/12*'BD Plant List'!$AB$5*'BD Feedstock'!$D$3</f>
        <v>2.098958333333333</v>
      </c>
      <c r="D373" s="295">
        <f>'BD Plant List'!$C375/12*'BD Plant List'!$AC$5*'BD Feedstock'!$D$3</f>
        <v>2.2289583333333334</v>
      </c>
      <c r="E373" s="295">
        <f>'BD Plant List'!$D375/12*'BD Plant List'!AB$5*'BD Feedstock'!$E$3</f>
        <v>9.6875</v>
      </c>
      <c r="F373" s="295">
        <f>'BD Plant List'!$D375/12*'BD Plant List'!AC$5*'BD Feedstock'!$F$3</f>
        <v>3.4291666666666671</v>
      </c>
      <c r="G373" s="295">
        <f>'BD Plant List'!$E375/12*'BD Feedstock'!G$3*'BD Plant List'!AB$5</f>
        <v>1.453125</v>
      </c>
      <c r="H373" s="295">
        <f>'BD Plant List'!$E375/12*'BD Feedstock'!H$3*'BD Plant List'!AC$5</f>
        <v>0.51437500000000003</v>
      </c>
      <c r="I373" s="295">
        <f>'BD Plant List'!F375/12*'BD Feedstock'!I$3*'BD Plant List'!AC$5</f>
        <v>0.13716666666666666</v>
      </c>
      <c r="J373" s="295">
        <f>'BD Plant List'!G375/12*'BD Feedstock'!J$3*'BD Plant List'!AD$5</f>
        <v>0.90199999999999991</v>
      </c>
      <c r="K373" s="295">
        <f>'BD Plant List'!$H375/12*'BD Feedstock'!K$3*'BD Plant List'!AB$5</f>
        <v>0</v>
      </c>
      <c r="L373" s="295">
        <f>'BD Plant List'!$H375/12*'BD Feedstock'!L$3*'BD Plant List'!AC$5</f>
        <v>0</v>
      </c>
      <c r="M373" s="295">
        <f>'BD Plant List'!$I375/12*'BD Feedstock'!$M$3*'BD Plant List'!AC$5</f>
        <v>3.4291666666666671</v>
      </c>
      <c r="N373" s="295">
        <f>'BD Plant List'!$J375/12*'BD Feedstock'!N$3*'BD Plant List'!AC$5</f>
        <v>0</v>
      </c>
      <c r="O373" s="295">
        <f>'BD Plant List'!$K375/12*'BD Feedstock'!O$3*'BD Plant List'!AC$5</f>
        <v>0</v>
      </c>
      <c r="P373" s="295">
        <f>'BD Plant List'!$L375/12*'BD Feedstock'!P$3*'BD Plant List'!AE$5</f>
        <v>0</v>
      </c>
      <c r="Q373" s="295">
        <f>'BD Plant List'!$M375/12*'BD Feedstock'!Q$3*'BD Plant List'!AE$5</f>
        <v>0.93125000000000002</v>
      </c>
      <c r="R373" s="295">
        <f>'BD Plant List'!$N375/12*'BD Feedstock'!R$3*'BD Plant List'!AE$5</f>
        <v>26.540625000000002</v>
      </c>
      <c r="S373" s="295">
        <f>'BD Plant List'!$N375/12*'BD Feedstock'!S$3*'BD Plant List'!AF$5</f>
        <v>1.40625</v>
      </c>
      <c r="T373" s="295">
        <f>'BD Plant List'!$O375/12*'BD Feedstock'!T$3*'BD Plant List'!AB$5</f>
        <v>8.5732126770944213</v>
      </c>
      <c r="U373" s="295">
        <f>'BD Plant List'!$O375/12*'BD Feedstock'!U$3*'BD Plant List'!AC$5</f>
        <v>3.0347329175263269</v>
      </c>
    </row>
    <row r="374" spans="1:21" ht="18">
      <c r="A374" s="293">
        <v>51075</v>
      </c>
      <c r="B374" s="295">
        <f>'BD Plant List'!B376/12*'BD Plant List'!$AE$5*$B$3</f>
        <v>43.458333333333336</v>
      </c>
      <c r="C374" s="295">
        <f>'BD Plant List'!$C376/12*'BD Plant List'!$AB$5*'BD Feedstock'!$D$3</f>
        <v>2.098958333333333</v>
      </c>
      <c r="D374" s="295">
        <f>'BD Plant List'!$C376/12*'BD Plant List'!$AC$5*'BD Feedstock'!$D$3</f>
        <v>2.2289583333333334</v>
      </c>
      <c r="E374" s="295">
        <f>'BD Plant List'!$D376/12*'BD Plant List'!AB$5*'BD Feedstock'!$E$3</f>
        <v>9.6875</v>
      </c>
      <c r="F374" s="295">
        <f>'BD Plant List'!$D376/12*'BD Plant List'!AC$5*'BD Feedstock'!$F$3</f>
        <v>3.4291666666666671</v>
      </c>
      <c r="G374" s="295">
        <f>'BD Plant List'!$E376/12*'BD Feedstock'!G$3*'BD Plant List'!AB$5</f>
        <v>1.453125</v>
      </c>
      <c r="H374" s="295">
        <f>'BD Plant List'!$E376/12*'BD Feedstock'!H$3*'BD Plant List'!AC$5</f>
        <v>0.51437500000000003</v>
      </c>
      <c r="I374" s="295">
        <f>'BD Plant List'!F376/12*'BD Feedstock'!I$3*'BD Plant List'!AC$5</f>
        <v>0.13716666666666666</v>
      </c>
      <c r="J374" s="295">
        <f>'BD Plant List'!G376/12*'BD Feedstock'!J$3*'BD Plant List'!AD$5</f>
        <v>0.90199999999999991</v>
      </c>
      <c r="K374" s="295">
        <f>'BD Plant List'!$H376/12*'BD Feedstock'!K$3*'BD Plant List'!AB$5</f>
        <v>0</v>
      </c>
      <c r="L374" s="295">
        <f>'BD Plant List'!$H376/12*'BD Feedstock'!L$3*'BD Plant List'!AC$5</f>
        <v>0</v>
      </c>
      <c r="M374" s="295">
        <f>'BD Plant List'!$I376/12*'BD Feedstock'!$M$3*'BD Plant List'!AC$5</f>
        <v>3.4291666666666671</v>
      </c>
      <c r="N374" s="295">
        <f>'BD Plant List'!$J376/12*'BD Feedstock'!N$3*'BD Plant List'!AC$5</f>
        <v>0</v>
      </c>
      <c r="O374" s="295">
        <f>'BD Plant List'!$K376/12*'BD Feedstock'!O$3*'BD Plant List'!AC$5</f>
        <v>0</v>
      </c>
      <c r="P374" s="295">
        <f>'BD Plant List'!$L376/12*'BD Feedstock'!P$3*'BD Plant List'!AE$5</f>
        <v>0</v>
      </c>
      <c r="Q374" s="295">
        <f>'BD Plant List'!$M376/12*'BD Feedstock'!Q$3*'BD Plant List'!AE$5</f>
        <v>0.93125000000000002</v>
      </c>
      <c r="R374" s="295">
        <f>'BD Plant List'!$N376/12*'BD Feedstock'!R$3*'BD Plant List'!AE$5</f>
        <v>26.540625000000002</v>
      </c>
      <c r="S374" s="295">
        <f>'BD Plant List'!$N376/12*'BD Feedstock'!S$3*'BD Plant List'!AF$5</f>
        <v>1.40625</v>
      </c>
      <c r="T374" s="295">
        <f>'BD Plant List'!$O376/12*'BD Feedstock'!T$3*'BD Plant List'!AB$5</f>
        <v>8.5732126770944213</v>
      </c>
      <c r="U374" s="295">
        <f>'BD Plant List'!$O376/12*'BD Feedstock'!U$3*'BD Plant List'!AC$5</f>
        <v>3.0347329175263269</v>
      </c>
    </row>
    <row r="375" spans="1:21" ht="18">
      <c r="A375" s="293">
        <v>51105</v>
      </c>
      <c r="B375" s="295">
        <f>'BD Plant List'!B377/12*'BD Plant List'!$AE$5*$B$3</f>
        <v>43.458333333333336</v>
      </c>
      <c r="C375" s="295">
        <f>'BD Plant List'!$C377/12*'BD Plant List'!$AB$5*'BD Feedstock'!$D$3</f>
        <v>2.098958333333333</v>
      </c>
      <c r="D375" s="295">
        <f>'BD Plant List'!$C377/12*'BD Plant List'!$AC$5*'BD Feedstock'!$D$3</f>
        <v>2.2289583333333334</v>
      </c>
      <c r="E375" s="295">
        <f>'BD Plant List'!$D377/12*'BD Plant List'!AB$5*'BD Feedstock'!$E$3</f>
        <v>9.6875</v>
      </c>
      <c r="F375" s="295">
        <f>'BD Plant List'!$D377/12*'BD Plant List'!AC$5*'BD Feedstock'!$F$3</f>
        <v>3.4291666666666671</v>
      </c>
      <c r="G375" s="295">
        <f>'BD Plant List'!$E377/12*'BD Feedstock'!G$3*'BD Plant List'!AB$5</f>
        <v>1.453125</v>
      </c>
      <c r="H375" s="295">
        <f>'BD Plant List'!$E377/12*'BD Feedstock'!H$3*'BD Plant List'!AC$5</f>
        <v>0.51437500000000003</v>
      </c>
      <c r="I375" s="295">
        <f>'BD Plant List'!F377/12*'BD Feedstock'!I$3*'BD Plant List'!AC$5</f>
        <v>0.13716666666666666</v>
      </c>
      <c r="J375" s="295">
        <f>'BD Plant List'!G377/12*'BD Feedstock'!J$3*'BD Plant List'!AD$5</f>
        <v>0.90199999999999991</v>
      </c>
      <c r="K375" s="295">
        <f>'BD Plant List'!$H377/12*'BD Feedstock'!K$3*'BD Plant List'!AB$5</f>
        <v>0</v>
      </c>
      <c r="L375" s="295">
        <f>'BD Plant List'!$H377/12*'BD Feedstock'!L$3*'BD Plant List'!AC$5</f>
        <v>0</v>
      </c>
      <c r="M375" s="295">
        <f>'BD Plant List'!$I377/12*'BD Feedstock'!$M$3*'BD Plant List'!AC$5</f>
        <v>3.4291666666666671</v>
      </c>
      <c r="N375" s="295">
        <f>'BD Plant List'!$J377/12*'BD Feedstock'!N$3*'BD Plant List'!AC$5</f>
        <v>0</v>
      </c>
      <c r="O375" s="295">
        <f>'BD Plant List'!$K377/12*'BD Feedstock'!O$3*'BD Plant List'!AC$5</f>
        <v>0</v>
      </c>
      <c r="P375" s="295">
        <f>'BD Plant List'!$L377/12*'BD Feedstock'!P$3*'BD Plant List'!AE$5</f>
        <v>0</v>
      </c>
      <c r="Q375" s="295">
        <f>'BD Plant List'!$M377/12*'BD Feedstock'!Q$3*'BD Plant List'!AE$5</f>
        <v>0.93125000000000002</v>
      </c>
      <c r="R375" s="295">
        <f>'BD Plant List'!$N377/12*'BD Feedstock'!R$3*'BD Plant List'!AE$5</f>
        <v>26.540625000000002</v>
      </c>
      <c r="S375" s="295">
        <f>'BD Plant List'!$N377/12*'BD Feedstock'!S$3*'BD Plant List'!AF$5</f>
        <v>1.40625</v>
      </c>
      <c r="T375" s="295">
        <f>'BD Plant List'!$O377/12*'BD Feedstock'!T$3*'BD Plant List'!AB$5</f>
        <v>8.5732126770944213</v>
      </c>
      <c r="U375" s="295">
        <f>'BD Plant List'!$O377/12*'BD Feedstock'!U$3*'BD Plant List'!AC$5</f>
        <v>3.0347329175263269</v>
      </c>
    </row>
    <row r="376" spans="1:21" ht="18">
      <c r="A376" s="293">
        <v>51136</v>
      </c>
      <c r="B376" s="295">
        <f>'BD Plant List'!B378/12*'BD Plant List'!$AE$5*$B$3</f>
        <v>43.458333333333336</v>
      </c>
      <c r="C376" s="295">
        <f>'BD Plant List'!$C378/12*'BD Plant List'!$AB$5*'BD Feedstock'!$D$3</f>
        <v>2.098958333333333</v>
      </c>
      <c r="D376" s="295">
        <f>'BD Plant List'!$C378/12*'BD Plant List'!$AC$5*'BD Feedstock'!$D$3</f>
        <v>2.2289583333333334</v>
      </c>
      <c r="E376" s="295">
        <f>'BD Plant List'!$D378/12*'BD Plant List'!AB$5*'BD Feedstock'!$E$3</f>
        <v>9.6875</v>
      </c>
      <c r="F376" s="295">
        <f>'BD Plant List'!$D378/12*'BD Plant List'!AC$5*'BD Feedstock'!$F$3</f>
        <v>3.4291666666666671</v>
      </c>
      <c r="G376" s="295">
        <f>'BD Plant List'!$E378/12*'BD Feedstock'!G$3*'BD Plant List'!AB$5</f>
        <v>1.453125</v>
      </c>
      <c r="H376" s="295">
        <f>'BD Plant List'!$E378/12*'BD Feedstock'!H$3*'BD Plant List'!AC$5</f>
        <v>0.51437500000000003</v>
      </c>
      <c r="I376" s="295">
        <f>'BD Plant List'!F378/12*'BD Feedstock'!I$3*'BD Plant List'!AC$5</f>
        <v>0.13716666666666666</v>
      </c>
      <c r="J376" s="295">
        <f>'BD Plant List'!G378/12*'BD Feedstock'!J$3*'BD Plant List'!AD$5</f>
        <v>0.90199999999999991</v>
      </c>
      <c r="K376" s="295">
        <f>'BD Plant List'!$H378/12*'BD Feedstock'!K$3*'BD Plant List'!AB$5</f>
        <v>0</v>
      </c>
      <c r="L376" s="295">
        <f>'BD Plant List'!$H378/12*'BD Feedstock'!L$3*'BD Plant List'!AC$5</f>
        <v>0</v>
      </c>
      <c r="M376" s="295">
        <f>'BD Plant List'!$I378/12*'BD Feedstock'!$M$3*'BD Plant List'!AC$5</f>
        <v>3.4291666666666671</v>
      </c>
      <c r="N376" s="295">
        <f>'BD Plant List'!$J378/12*'BD Feedstock'!N$3*'BD Plant List'!AC$5</f>
        <v>0</v>
      </c>
      <c r="O376" s="295">
        <f>'BD Plant List'!$K378/12*'BD Feedstock'!O$3*'BD Plant List'!AC$5</f>
        <v>0</v>
      </c>
      <c r="P376" s="295">
        <f>'BD Plant List'!$L378/12*'BD Feedstock'!P$3*'BD Plant List'!AE$5</f>
        <v>0</v>
      </c>
      <c r="Q376" s="295">
        <f>'BD Plant List'!$M378/12*'BD Feedstock'!Q$3*'BD Plant List'!AE$5</f>
        <v>0.93125000000000002</v>
      </c>
      <c r="R376" s="295">
        <f>'BD Plant List'!$N378/12*'BD Feedstock'!R$3*'BD Plant List'!AE$5</f>
        <v>26.540625000000002</v>
      </c>
      <c r="S376" s="295">
        <f>'BD Plant List'!$N378/12*'BD Feedstock'!S$3*'BD Plant List'!AF$5</f>
        <v>1.40625</v>
      </c>
      <c r="T376" s="295">
        <f>'BD Plant List'!$O378/12*'BD Feedstock'!T$3*'BD Plant List'!AB$5</f>
        <v>8.5732126770944213</v>
      </c>
      <c r="U376" s="295">
        <f>'BD Plant List'!$O378/12*'BD Feedstock'!U$3*'BD Plant List'!AC$5</f>
        <v>3.0347329175263269</v>
      </c>
    </row>
    <row r="377" spans="1:21" ht="18">
      <c r="A377" s="293">
        <v>51167</v>
      </c>
      <c r="B377" s="295">
        <f>'BD Plant List'!B379/12*'BD Plant List'!$AE$5*$B$3</f>
        <v>43.458333333333336</v>
      </c>
      <c r="C377" s="295">
        <f>'BD Plant List'!$C379/12*'BD Plant List'!$AB$5*'BD Feedstock'!$D$3</f>
        <v>2.098958333333333</v>
      </c>
      <c r="D377" s="295">
        <f>'BD Plant List'!$C379/12*'BD Plant List'!$AC$5*'BD Feedstock'!$D$3</f>
        <v>2.2289583333333334</v>
      </c>
      <c r="E377" s="295">
        <f>'BD Plant List'!$D379/12*'BD Plant List'!AB$5*'BD Feedstock'!$E$3</f>
        <v>9.6875</v>
      </c>
      <c r="F377" s="295">
        <f>'BD Plant List'!$D379/12*'BD Plant List'!AC$5*'BD Feedstock'!$F$3</f>
        <v>3.4291666666666671</v>
      </c>
      <c r="G377" s="295">
        <f>'BD Plant List'!$E379/12*'BD Feedstock'!G$3*'BD Plant List'!AB$5</f>
        <v>1.453125</v>
      </c>
      <c r="H377" s="295">
        <f>'BD Plant List'!$E379/12*'BD Feedstock'!H$3*'BD Plant List'!AC$5</f>
        <v>0.51437500000000003</v>
      </c>
      <c r="I377" s="295">
        <f>'BD Plant List'!F379/12*'BD Feedstock'!I$3*'BD Plant List'!AC$5</f>
        <v>0.13716666666666666</v>
      </c>
      <c r="J377" s="295">
        <f>'BD Plant List'!G379/12*'BD Feedstock'!J$3*'BD Plant List'!AD$5</f>
        <v>0.90199999999999991</v>
      </c>
      <c r="K377" s="295">
        <f>'BD Plant List'!$H379/12*'BD Feedstock'!K$3*'BD Plant List'!AB$5</f>
        <v>0</v>
      </c>
      <c r="L377" s="295">
        <f>'BD Plant List'!$H379/12*'BD Feedstock'!L$3*'BD Plant List'!AC$5</f>
        <v>0</v>
      </c>
      <c r="M377" s="295">
        <f>'BD Plant List'!$I379/12*'BD Feedstock'!$M$3*'BD Plant List'!AC$5</f>
        <v>3.4291666666666671</v>
      </c>
      <c r="N377" s="295">
        <f>'BD Plant List'!$J379/12*'BD Feedstock'!N$3*'BD Plant List'!AC$5</f>
        <v>0</v>
      </c>
      <c r="O377" s="295">
        <f>'BD Plant List'!$K379/12*'BD Feedstock'!O$3*'BD Plant List'!AC$5</f>
        <v>0</v>
      </c>
      <c r="P377" s="295">
        <f>'BD Plant List'!$L379/12*'BD Feedstock'!P$3*'BD Plant List'!AE$5</f>
        <v>0</v>
      </c>
      <c r="Q377" s="295">
        <f>'BD Plant List'!$M379/12*'BD Feedstock'!Q$3*'BD Plant List'!AE$5</f>
        <v>0.93125000000000002</v>
      </c>
      <c r="R377" s="295">
        <f>'BD Plant List'!$N379/12*'BD Feedstock'!R$3*'BD Plant List'!AE$5</f>
        <v>26.540625000000002</v>
      </c>
      <c r="S377" s="295">
        <f>'BD Plant List'!$N379/12*'BD Feedstock'!S$3*'BD Plant List'!AF$5</f>
        <v>1.40625</v>
      </c>
      <c r="T377" s="295">
        <f>'BD Plant List'!$O379/12*'BD Feedstock'!T$3*'BD Plant List'!AB$5</f>
        <v>8.5732126770944213</v>
      </c>
      <c r="U377" s="295">
        <f>'BD Plant List'!$O379/12*'BD Feedstock'!U$3*'BD Plant List'!AC$5</f>
        <v>3.0347329175263269</v>
      </c>
    </row>
    <row r="378" spans="1:21" ht="18">
      <c r="A378" s="293">
        <v>51196</v>
      </c>
      <c r="B378" s="295">
        <f>'BD Plant List'!B380/12*'BD Plant List'!$AE$5*$B$3</f>
        <v>43.458333333333336</v>
      </c>
      <c r="C378" s="295">
        <f>'BD Plant List'!$C380/12*'BD Plant List'!$AB$5*'BD Feedstock'!$D$3</f>
        <v>2.098958333333333</v>
      </c>
      <c r="D378" s="295">
        <f>'BD Plant List'!$C380/12*'BD Plant List'!$AC$5*'BD Feedstock'!$D$3</f>
        <v>2.2289583333333334</v>
      </c>
      <c r="E378" s="295">
        <f>'BD Plant List'!$D380/12*'BD Plant List'!AB$5*'BD Feedstock'!$E$3</f>
        <v>9.6875</v>
      </c>
      <c r="F378" s="295">
        <f>'BD Plant List'!$D380/12*'BD Plant List'!AC$5*'BD Feedstock'!$F$3</f>
        <v>3.4291666666666671</v>
      </c>
      <c r="G378" s="295">
        <f>'BD Plant List'!$E380/12*'BD Feedstock'!G$3*'BD Plant List'!AB$5</f>
        <v>1.453125</v>
      </c>
      <c r="H378" s="295">
        <f>'BD Plant List'!$E380/12*'BD Feedstock'!H$3*'BD Plant List'!AC$5</f>
        <v>0.51437500000000003</v>
      </c>
      <c r="I378" s="295">
        <f>'BD Plant List'!F380/12*'BD Feedstock'!I$3*'BD Plant List'!AC$5</f>
        <v>0.13716666666666666</v>
      </c>
      <c r="J378" s="295">
        <f>'BD Plant List'!G380/12*'BD Feedstock'!J$3*'BD Plant List'!AD$5</f>
        <v>0.90199999999999991</v>
      </c>
      <c r="K378" s="295">
        <f>'BD Plant List'!$H380/12*'BD Feedstock'!K$3*'BD Plant List'!AB$5</f>
        <v>0</v>
      </c>
      <c r="L378" s="295">
        <f>'BD Plant List'!$H380/12*'BD Feedstock'!L$3*'BD Plant List'!AC$5</f>
        <v>0</v>
      </c>
      <c r="M378" s="295">
        <f>'BD Plant List'!$I380/12*'BD Feedstock'!$M$3*'BD Plant List'!AC$5</f>
        <v>3.4291666666666671</v>
      </c>
      <c r="N378" s="295">
        <f>'BD Plant List'!$J380/12*'BD Feedstock'!N$3*'BD Plant List'!AC$5</f>
        <v>0</v>
      </c>
      <c r="O378" s="295">
        <f>'BD Plant List'!$K380/12*'BD Feedstock'!O$3*'BD Plant List'!AC$5</f>
        <v>0</v>
      </c>
      <c r="P378" s="295">
        <f>'BD Plant List'!$L380/12*'BD Feedstock'!P$3*'BD Plant List'!AE$5</f>
        <v>0</v>
      </c>
      <c r="Q378" s="295">
        <f>'BD Plant List'!$M380/12*'BD Feedstock'!Q$3*'BD Plant List'!AE$5</f>
        <v>0.93125000000000002</v>
      </c>
      <c r="R378" s="295">
        <f>'BD Plant List'!$N380/12*'BD Feedstock'!R$3*'BD Plant List'!AE$5</f>
        <v>26.540625000000002</v>
      </c>
      <c r="S378" s="295">
        <f>'BD Plant List'!$N380/12*'BD Feedstock'!S$3*'BD Plant List'!AF$5</f>
        <v>1.40625</v>
      </c>
      <c r="T378" s="295">
        <f>'BD Plant List'!$O380/12*'BD Feedstock'!T$3*'BD Plant List'!AB$5</f>
        <v>8.5732126770944213</v>
      </c>
      <c r="U378" s="295">
        <f>'BD Plant List'!$O380/12*'BD Feedstock'!U$3*'BD Plant List'!AC$5</f>
        <v>3.0347329175263269</v>
      </c>
    </row>
    <row r="379" spans="1:21" ht="18">
      <c r="A379" s="293">
        <v>51227</v>
      </c>
      <c r="B379" s="295">
        <f>'BD Plant List'!B381/12*'BD Plant List'!$AE$5*$B$3</f>
        <v>43.458333333333336</v>
      </c>
      <c r="C379" s="295">
        <f>'BD Plant List'!$C381/12*'BD Plant List'!$AB$5*'BD Feedstock'!$D$3</f>
        <v>2.098958333333333</v>
      </c>
      <c r="D379" s="295">
        <f>'BD Plant List'!$C381/12*'BD Plant List'!$AC$5*'BD Feedstock'!$D$3</f>
        <v>2.2289583333333334</v>
      </c>
      <c r="E379" s="295">
        <f>'BD Plant List'!$D381/12*'BD Plant List'!AB$5*'BD Feedstock'!$E$3</f>
        <v>9.6875</v>
      </c>
      <c r="F379" s="295">
        <f>'BD Plant List'!$D381/12*'BD Plant List'!AC$5*'BD Feedstock'!$F$3</f>
        <v>3.4291666666666671</v>
      </c>
      <c r="G379" s="295">
        <f>'BD Plant List'!$E381/12*'BD Feedstock'!G$3*'BD Plant List'!AB$5</f>
        <v>1.453125</v>
      </c>
      <c r="H379" s="295">
        <f>'BD Plant List'!$E381/12*'BD Feedstock'!H$3*'BD Plant List'!AC$5</f>
        <v>0.51437500000000003</v>
      </c>
      <c r="I379" s="295">
        <f>'BD Plant List'!F381/12*'BD Feedstock'!I$3*'BD Plant List'!AC$5</f>
        <v>0.13716666666666666</v>
      </c>
      <c r="J379" s="295">
        <f>'BD Plant List'!G381/12*'BD Feedstock'!J$3*'BD Plant List'!AD$5</f>
        <v>0.90199999999999991</v>
      </c>
      <c r="K379" s="295">
        <f>'BD Plant List'!$H381/12*'BD Feedstock'!K$3*'BD Plant List'!AB$5</f>
        <v>0</v>
      </c>
      <c r="L379" s="295">
        <f>'BD Plant List'!$H381/12*'BD Feedstock'!L$3*'BD Plant List'!AC$5</f>
        <v>0</v>
      </c>
      <c r="M379" s="295">
        <f>'BD Plant List'!$I381/12*'BD Feedstock'!$M$3*'BD Plant List'!AC$5</f>
        <v>3.4291666666666671</v>
      </c>
      <c r="N379" s="295">
        <f>'BD Plant List'!$J381/12*'BD Feedstock'!N$3*'BD Plant List'!AC$5</f>
        <v>0</v>
      </c>
      <c r="O379" s="295">
        <f>'BD Plant List'!$K381/12*'BD Feedstock'!O$3*'BD Plant List'!AC$5</f>
        <v>0</v>
      </c>
      <c r="P379" s="295">
        <f>'BD Plant List'!$L381/12*'BD Feedstock'!P$3*'BD Plant List'!AE$5</f>
        <v>0</v>
      </c>
      <c r="Q379" s="295">
        <f>'BD Plant List'!$M381/12*'BD Feedstock'!Q$3*'BD Plant List'!AE$5</f>
        <v>0.93125000000000002</v>
      </c>
      <c r="R379" s="295">
        <f>'BD Plant List'!$N381/12*'BD Feedstock'!R$3*'BD Plant List'!AE$5</f>
        <v>26.540625000000002</v>
      </c>
      <c r="S379" s="295">
        <f>'BD Plant List'!$N381/12*'BD Feedstock'!S$3*'BD Plant List'!AF$5</f>
        <v>1.40625</v>
      </c>
      <c r="T379" s="295">
        <f>'BD Plant List'!$O381/12*'BD Feedstock'!T$3*'BD Plant List'!AB$5</f>
        <v>8.5732126770944213</v>
      </c>
      <c r="U379" s="295">
        <f>'BD Plant List'!$O381/12*'BD Feedstock'!U$3*'BD Plant List'!AC$5</f>
        <v>3.0347329175263269</v>
      </c>
    </row>
    <row r="380" spans="1:21" ht="18">
      <c r="A380" s="293">
        <v>51257</v>
      </c>
      <c r="B380" s="295">
        <f>'BD Plant List'!B382/12*'BD Plant List'!$AE$5*$B$3</f>
        <v>43.458333333333336</v>
      </c>
      <c r="C380" s="295">
        <f>'BD Plant List'!$C382/12*'BD Plant List'!$AB$5*'BD Feedstock'!$D$3</f>
        <v>2.098958333333333</v>
      </c>
      <c r="D380" s="295">
        <f>'BD Plant List'!$C382/12*'BD Plant List'!$AC$5*'BD Feedstock'!$D$3</f>
        <v>2.2289583333333334</v>
      </c>
      <c r="E380" s="295">
        <f>'BD Plant List'!$D382/12*'BD Plant List'!AB$5*'BD Feedstock'!$E$3</f>
        <v>9.6875</v>
      </c>
      <c r="F380" s="295">
        <f>'BD Plant List'!$D382/12*'BD Plant List'!AC$5*'BD Feedstock'!$F$3</f>
        <v>3.4291666666666671</v>
      </c>
      <c r="G380" s="295">
        <f>'BD Plant List'!$E382/12*'BD Feedstock'!G$3*'BD Plant List'!AB$5</f>
        <v>1.453125</v>
      </c>
      <c r="H380" s="295">
        <f>'BD Plant List'!$E382/12*'BD Feedstock'!H$3*'BD Plant List'!AC$5</f>
        <v>0.51437500000000003</v>
      </c>
      <c r="I380" s="295">
        <f>'BD Plant List'!F382/12*'BD Feedstock'!I$3*'BD Plant List'!AC$5</f>
        <v>0.13716666666666666</v>
      </c>
      <c r="J380" s="295">
        <f>'BD Plant List'!G382/12*'BD Feedstock'!J$3*'BD Plant List'!AD$5</f>
        <v>0.90199999999999991</v>
      </c>
      <c r="K380" s="295">
        <f>'BD Plant List'!$H382/12*'BD Feedstock'!K$3*'BD Plant List'!AB$5</f>
        <v>0</v>
      </c>
      <c r="L380" s="295">
        <f>'BD Plant List'!$H382/12*'BD Feedstock'!L$3*'BD Plant List'!AC$5</f>
        <v>0</v>
      </c>
      <c r="M380" s="295">
        <f>'BD Plant List'!$I382/12*'BD Feedstock'!$M$3*'BD Plant List'!AC$5</f>
        <v>3.4291666666666671</v>
      </c>
      <c r="N380" s="295">
        <f>'BD Plant List'!$J382/12*'BD Feedstock'!N$3*'BD Plant List'!AC$5</f>
        <v>0</v>
      </c>
      <c r="O380" s="295">
        <f>'BD Plant List'!$K382/12*'BD Feedstock'!O$3*'BD Plant List'!AC$5</f>
        <v>0</v>
      </c>
      <c r="P380" s="295">
        <f>'BD Plant List'!$L382/12*'BD Feedstock'!P$3*'BD Plant List'!AE$5</f>
        <v>0</v>
      </c>
      <c r="Q380" s="295">
        <f>'BD Plant List'!$M382/12*'BD Feedstock'!Q$3*'BD Plant List'!AE$5</f>
        <v>0.93125000000000002</v>
      </c>
      <c r="R380" s="295">
        <f>'BD Plant List'!$N382/12*'BD Feedstock'!R$3*'BD Plant List'!AE$5</f>
        <v>26.540625000000002</v>
      </c>
      <c r="S380" s="295">
        <f>'BD Plant List'!$N382/12*'BD Feedstock'!S$3*'BD Plant List'!AF$5</f>
        <v>1.40625</v>
      </c>
      <c r="T380" s="295">
        <f>'BD Plant List'!$O382/12*'BD Feedstock'!T$3*'BD Plant List'!AB$5</f>
        <v>8.5732126770944213</v>
      </c>
      <c r="U380" s="295">
        <f>'BD Plant List'!$O382/12*'BD Feedstock'!U$3*'BD Plant List'!AC$5</f>
        <v>3.0347329175263269</v>
      </c>
    </row>
    <row r="381" spans="1:21" ht="18">
      <c r="A381" s="293">
        <v>51288</v>
      </c>
      <c r="B381" s="295">
        <f>'BD Plant List'!B383/12*'BD Plant List'!$AE$5*$B$3</f>
        <v>43.458333333333336</v>
      </c>
      <c r="C381" s="295">
        <f>'BD Plant List'!$C383/12*'BD Plant List'!$AB$5*'BD Feedstock'!$D$3</f>
        <v>2.098958333333333</v>
      </c>
      <c r="D381" s="295">
        <f>'BD Plant List'!$C383/12*'BD Plant List'!$AC$5*'BD Feedstock'!$D$3</f>
        <v>2.2289583333333334</v>
      </c>
      <c r="E381" s="295">
        <f>'BD Plant List'!$D383/12*'BD Plant List'!AB$5*'BD Feedstock'!$E$3</f>
        <v>9.6875</v>
      </c>
      <c r="F381" s="295">
        <f>'BD Plant List'!$D383/12*'BD Plant List'!AC$5*'BD Feedstock'!$F$3</f>
        <v>3.4291666666666671</v>
      </c>
      <c r="G381" s="295">
        <f>'BD Plant List'!$E383/12*'BD Feedstock'!G$3*'BD Plant List'!AB$5</f>
        <v>1.453125</v>
      </c>
      <c r="H381" s="295">
        <f>'BD Plant List'!$E383/12*'BD Feedstock'!H$3*'BD Plant List'!AC$5</f>
        <v>0.51437500000000003</v>
      </c>
      <c r="I381" s="295">
        <f>'BD Plant List'!F383/12*'BD Feedstock'!I$3*'BD Plant List'!AC$5</f>
        <v>0.13716666666666666</v>
      </c>
      <c r="J381" s="295">
        <f>'BD Plant List'!G383/12*'BD Feedstock'!J$3*'BD Plant List'!AD$5</f>
        <v>0.90199999999999991</v>
      </c>
      <c r="K381" s="295">
        <f>'BD Plant List'!$H383/12*'BD Feedstock'!K$3*'BD Plant List'!AB$5</f>
        <v>0</v>
      </c>
      <c r="L381" s="295">
        <f>'BD Plant List'!$H383/12*'BD Feedstock'!L$3*'BD Plant List'!AC$5</f>
        <v>0</v>
      </c>
      <c r="M381" s="295">
        <f>'BD Plant List'!$I383/12*'BD Feedstock'!$M$3*'BD Plant List'!AC$5</f>
        <v>3.4291666666666671</v>
      </c>
      <c r="N381" s="295">
        <f>'BD Plant List'!$J383/12*'BD Feedstock'!N$3*'BD Plant List'!AC$5</f>
        <v>0</v>
      </c>
      <c r="O381" s="295">
        <f>'BD Plant List'!$K383/12*'BD Feedstock'!O$3*'BD Plant List'!AC$5</f>
        <v>0</v>
      </c>
      <c r="P381" s="295">
        <f>'BD Plant List'!$L383/12*'BD Feedstock'!P$3*'BD Plant List'!AE$5</f>
        <v>0</v>
      </c>
      <c r="Q381" s="295">
        <f>'BD Plant List'!$M383/12*'BD Feedstock'!Q$3*'BD Plant List'!AE$5</f>
        <v>0.93125000000000002</v>
      </c>
      <c r="R381" s="295">
        <f>'BD Plant List'!$N383/12*'BD Feedstock'!R$3*'BD Plant List'!AE$5</f>
        <v>26.540625000000002</v>
      </c>
      <c r="S381" s="295">
        <f>'BD Plant List'!$N383/12*'BD Feedstock'!S$3*'BD Plant List'!AF$5</f>
        <v>1.40625</v>
      </c>
      <c r="T381" s="295">
        <f>'BD Plant List'!$O383/12*'BD Feedstock'!T$3*'BD Plant List'!AB$5</f>
        <v>8.5732126770944213</v>
      </c>
      <c r="U381" s="295">
        <f>'BD Plant List'!$O383/12*'BD Feedstock'!U$3*'BD Plant List'!AC$5</f>
        <v>3.0347329175263269</v>
      </c>
    </row>
    <row r="382" spans="1:21" ht="18">
      <c r="A382" s="293">
        <v>51318</v>
      </c>
      <c r="B382" s="295">
        <f>'BD Plant List'!B384/12*'BD Plant List'!$AE$5*$B$3</f>
        <v>43.458333333333336</v>
      </c>
      <c r="C382" s="295">
        <f>'BD Plant List'!$C384/12*'BD Plant List'!$AB$5*'BD Feedstock'!$D$3</f>
        <v>2.098958333333333</v>
      </c>
      <c r="D382" s="295">
        <f>'BD Plant List'!$C384/12*'BD Plant List'!$AC$5*'BD Feedstock'!$D$3</f>
        <v>2.2289583333333334</v>
      </c>
      <c r="E382" s="295">
        <f>'BD Plant List'!$D384/12*'BD Plant List'!AB$5*'BD Feedstock'!$E$3</f>
        <v>9.6875</v>
      </c>
      <c r="F382" s="295">
        <f>'BD Plant List'!$D384/12*'BD Plant List'!AC$5*'BD Feedstock'!$F$3</f>
        <v>3.4291666666666671</v>
      </c>
      <c r="G382" s="295">
        <f>'BD Plant List'!$E384/12*'BD Feedstock'!G$3*'BD Plant List'!AB$5</f>
        <v>1.453125</v>
      </c>
      <c r="H382" s="295">
        <f>'BD Plant List'!$E384/12*'BD Feedstock'!H$3*'BD Plant List'!AC$5</f>
        <v>0.51437500000000003</v>
      </c>
      <c r="I382" s="295">
        <f>'BD Plant List'!F384/12*'BD Feedstock'!I$3*'BD Plant List'!AC$5</f>
        <v>0.13716666666666666</v>
      </c>
      <c r="J382" s="295">
        <f>'BD Plant List'!G384/12*'BD Feedstock'!J$3*'BD Plant List'!AD$5</f>
        <v>0.90199999999999991</v>
      </c>
      <c r="K382" s="295">
        <f>'BD Plant List'!$H384/12*'BD Feedstock'!K$3*'BD Plant List'!AB$5</f>
        <v>0</v>
      </c>
      <c r="L382" s="295">
        <f>'BD Plant List'!$H384/12*'BD Feedstock'!L$3*'BD Plant List'!AC$5</f>
        <v>0</v>
      </c>
      <c r="M382" s="295">
        <f>'BD Plant List'!$I384/12*'BD Feedstock'!$M$3*'BD Plant List'!AC$5</f>
        <v>3.4291666666666671</v>
      </c>
      <c r="N382" s="295">
        <f>'BD Plant List'!$J384/12*'BD Feedstock'!N$3*'BD Plant List'!AC$5</f>
        <v>0</v>
      </c>
      <c r="O382" s="295">
        <f>'BD Plant List'!$K384/12*'BD Feedstock'!O$3*'BD Plant List'!AC$5</f>
        <v>0</v>
      </c>
      <c r="P382" s="295">
        <f>'BD Plant List'!$L384/12*'BD Feedstock'!P$3*'BD Plant List'!AE$5</f>
        <v>0</v>
      </c>
      <c r="Q382" s="295">
        <f>'BD Plant List'!$M384/12*'BD Feedstock'!Q$3*'BD Plant List'!AE$5</f>
        <v>0.93125000000000002</v>
      </c>
      <c r="R382" s="295">
        <f>'BD Plant List'!$N384/12*'BD Feedstock'!R$3*'BD Plant List'!AE$5</f>
        <v>26.540625000000002</v>
      </c>
      <c r="S382" s="295">
        <f>'BD Plant List'!$N384/12*'BD Feedstock'!S$3*'BD Plant List'!AF$5</f>
        <v>1.40625</v>
      </c>
      <c r="T382" s="295">
        <f>'BD Plant List'!$O384/12*'BD Feedstock'!T$3*'BD Plant List'!AB$5</f>
        <v>8.5732126770944213</v>
      </c>
      <c r="U382" s="295">
        <f>'BD Plant List'!$O384/12*'BD Feedstock'!U$3*'BD Plant List'!AC$5</f>
        <v>3.0347329175263269</v>
      </c>
    </row>
    <row r="383" spans="1:21" ht="18">
      <c r="A383" s="293">
        <v>51349</v>
      </c>
      <c r="B383" s="295">
        <f>'BD Plant List'!B385/12*'BD Plant List'!$AE$5*$B$3</f>
        <v>43.458333333333336</v>
      </c>
      <c r="C383" s="295">
        <f>'BD Plant List'!$C385/12*'BD Plant List'!$AB$5*'BD Feedstock'!$D$3</f>
        <v>2.098958333333333</v>
      </c>
      <c r="D383" s="295">
        <f>'BD Plant List'!$C385/12*'BD Plant List'!$AC$5*'BD Feedstock'!$D$3</f>
        <v>2.2289583333333334</v>
      </c>
      <c r="E383" s="295">
        <f>'BD Plant List'!$D385/12*'BD Plant List'!AB$5*'BD Feedstock'!$E$3</f>
        <v>9.6875</v>
      </c>
      <c r="F383" s="295">
        <f>'BD Plant List'!$D385/12*'BD Plant List'!AC$5*'BD Feedstock'!$F$3</f>
        <v>3.4291666666666671</v>
      </c>
      <c r="G383" s="295">
        <f>'BD Plant List'!$E385/12*'BD Feedstock'!G$3*'BD Plant List'!AB$5</f>
        <v>1.453125</v>
      </c>
      <c r="H383" s="295">
        <f>'BD Plant List'!$E385/12*'BD Feedstock'!H$3*'BD Plant List'!AC$5</f>
        <v>0.51437500000000003</v>
      </c>
      <c r="I383" s="295">
        <f>'BD Plant List'!F385/12*'BD Feedstock'!I$3*'BD Plant List'!AC$5</f>
        <v>0.13716666666666666</v>
      </c>
      <c r="J383" s="295">
        <f>'BD Plant List'!G385/12*'BD Feedstock'!J$3*'BD Plant List'!AD$5</f>
        <v>0.90199999999999991</v>
      </c>
      <c r="K383" s="295">
        <f>'BD Plant List'!$H385/12*'BD Feedstock'!K$3*'BD Plant List'!AB$5</f>
        <v>0</v>
      </c>
      <c r="L383" s="295">
        <f>'BD Plant List'!$H385/12*'BD Feedstock'!L$3*'BD Plant List'!AC$5</f>
        <v>0</v>
      </c>
      <c r="M383" s="295">
        <f>'BD Plant List'!$I385/12*'BD Feedstock'!$M$3*'BD Plant List'!AC$5</f>
        <v>3.4291666666666671</v>
      </c>
      <c r="N383" s="295">
        <f>'BD Plant List'!$J385/12*'BD Feedstock'!N$3*'BD Plant List'!AC$5</f>
        <v>0</v>
      </c>
      <c r="O383" s="295">
        <f>'BD Plant List'!$K385/12*'BD Feedstock'!O$3*'BD Plant List'!AC$5</f>
        <v>0</v>
      </c>
      <c r="P383" s="295">
        <f>'BD Plant List'!$L385/12*'BD Feedstock'!P$3*'BD Plant List'!AE$5</f>
        <v>0</v>
      </c>
      <c r="Q383" s="295">
        <f>'BD Plant List'!$M385/12*'BD Feedstock'!Q$3*'BD Plant List'!AE$5</f>
        <v>0.93125000000000002</v>
      </c>
      <c r="R383" s="295">
        <f>'BD Plant List'!$N385/12*'BD Feedstock'!R$3*'BD Plant List'!AE$5</f>
        <v>26.540625000000002</v>
      </c>
      <c r="S383" s="295">
        <f>'BD Plant List'!$N385/12*'BD Feedstock'!S$3*'BD Plant List'!AF$5</f>
        <v>1.40625</v>
      </c>
      <c r="T383" s="295">
        <f>'BD Plant List'!$O385/12*'BD Feedstock'!T$3*'BD Plant List'!AB$5</f>
        <v>8.5732126770944213</v>
      </c>
      <c r="U383" s="295">
        <f>'BD Plant List'!$O385/12*'BD Feedstock'!U$3*'BD Plant List'!AC$5</f>
        <v>3.0347329175263269</v>
      </c>
    </row>
    <row r="384" spans="1:21" ht="18">
      <c r="A384" s="293">
        <v>51380</v>
      </c>
      <c r="B384" s="295">
        <f>'BD Plant List'!B386/12*'BD Plant List'!$AE$5*$B$3</f>
        <v>43.458333333333336</v>
      </c>
      <c r="C384" s="295">
        <f>'BD Plant List'!$C386/12*'BD Plant List'!$AB$5*'BD Feedstock'!$D$3</f>
        <v>2.098958333333333</v>
      </c>
      <c r="D384" s="295">
        <f>'BD Plant List'!$C386/12*'BD Plant List'!$AC$5*'BD Feedstock'!$D$3</f>
        <v>2.2289583333333334</v>
      </c>
      <c r="E384" s="295">
        <f>'BD Plant List'!$D386/12*'BD Plant List'!AB$5*'BD Feedstock'!$E$3</f>
        <v>9.6875</v>
      </c>
      <c r="F384" s="295">
        <f>'BD Plant List'!$D386/12*'BD Plant List'!AC$5*'BD Feedstock'!$F$3</f>
        <v>3.4291666666666671</v>
      </c>
      <c r="G384" s="295">
        <f>'BD Plant List'!$E386/12*'BD Feedstock'!G$3*'BD Plant List'!AB$5</f>
        <v>1.453125</v>
      </c>
      <c r="H384" s="295">
        <f>'BD Plant List'!$E386/12*'BD Feedstock'!H$3*'BD Plant List'!AC$5</f>
        <v>0.51437500000000003</v>
      </c>
      <c r="I384" s="295">
        <f>'BD Plant List'!F386/12*'BD Feedstock'!I$3*'BD Plant List'!AC$5</f>
        <v>0.13716666666666666</v>
      </c>
      <c r="J384" s="295">
        <f>'BD Plant List'!G386/12*'BD Feedstock'!J$3*'BD Plant List'!AD$5</f>
        <v>0.90199999999999991</v>
      </c>
      <c r="K384" s="295">
        <f>'BD Plant List'!$H386/12*'BD Feedstock'!K$3*'BD Plant List'!AB$5</f>
        <v>0</v>
      </c>
      <c r="L384" s="295">
        <f>'BD Plant List'!$H386/12*'BD Feedstock'!L$3*'BD Plant List'!AC$5</f>
        <v>0</v>
      </c>
      <c r="M384" s="295">
        <f>'BD Plant List'!$I386/12*'BD Feedstock'!$M$3*'BD Plant List'!AC$5</f>
        <v>3.4291666666666671</v>
      </c>
      <c r="N384" s="295">
        <f>'BD Plant List'!$J386/12*'BD Feedstock'!N$3*'BD Plant List'!AC$5</f>
        <v>0</v>
      </c>
      <c r="O384" s="295">
        <f>'BD Plant List'!$K386/12*'BD Feedstock'!O$3*'BD Plant List'!AC$5</f>
        <v>0</v>
      </c>
      <c r="P384" s="295">
        <f>'BD Plant List'!$L386/12*'BD Feedstock'!P$3*'BD Plant List'!AE$5</f>
        <v>0</v>
      </c>
      <c r="Q384" s="295">
        <f>'BD Plant List'!$M386/12*'BD Feedstock'!Q$3*'BD Plant List'!AE$5</f>
        <v>0.93125000000000002</v>
      </c>
      <c r="R384" s="295">
        <f>'BD Plant List'!$N386/12*'BD Feedstock'!R$3*'BD Plant List'!AE$5</f>
        <v>26.540625000000002</v>
      </c>
      <c r="S384" s="295">
        <f>'BD Plant List'!$N386/12*'BD Feedstock'!S$3*'BD Plant List'!AF$5</f>
        <v>1.40625</v>
      </c>
      <c r="T384" s="295">
        <f>'BD Plant List'!$O386/12*'BD Feedstock'!T$3*'BD Plant List'!AB$5</f>
        <v>8.5732126770944213</v>
      </c>
      <c r="U384" s="295">
        <f>'BD Plant List'!$O386/12*'BD Feedstock'!U$3*'BD Plant List'!AC$5</f>
        <v>3.0347329175263269</v>
      </c>
    </row>
    <row r="385" spans="1:21" ht="18">
      <c r="A385" s="293">
        <v>51410</v>
      </c>
      <c r="B385" s="295">
        <f>'BD Plant List'!B387/12*'BD Plant List'!$AE$5*$B$3</f>
        <v>43.458333333333336</v>
      </c>
      <c r="C385" s="295">
        <f>'BD Plant List'!$C387/12*'BD Plant List'!$AB$5*'BD Feedstock'!$D$3</f>
        <v>2.098958333333333</v>
      </c>
      <c r="D385" s="295">
        <f>'BD Plant List'!$C387/12*'BD Plant List'!$AC$5*'BD Feedstock'!$D$3</f>
        <v>2.2289583333333334</v>
      </c>
      <c r="E385" s="295">
        <f>'BD Plant List'!$D387/12*'BD Plant List'!AB$5*'BD Feedstock'!$E$3</f>
        <v>9.6875</v>
      </c>
      <c r="F385" s="295">
        <f>'BD Plant List'!$D387/12*'BD Plant List'!AC$5*'BD Feedstock'!$F$3</f>
        <v>3.4291666666666671</v>
      </c>
      <c r="G385" s="295">
        <f>'BD Plant List'!$E387/12*'BD Feedstock'!G$3*'BD Plant List'!AB$5</f>
        <v>1.453125</v>
      </c>
      <c r="H385" s="295">
        <f>'BD Plant List'!$E387/12*'BD Feedstock'!H$3*'BD Plant List'!AC$5</f>
        <v>0.51437500000000003</v>
      </c>
      <c r="I385" s="295">
        <f>'BD Plant List'!F387/12*'BD Feedstock'!I$3*'BD Plant List'!AC$5</f>
        <v>0.13716666666666666</v>
      </c>
      <c r="J385" s="295">
        <f>'BD Plant List'!G387/12*'BD Feedstock'!J$3*'BD Plant List'!AD$5</f>
        <v>0.90199999999999991</v>
      </c>
      <c r="K385" s="295">
        <f>'BD Plant List'!$H387/12*'BD Feedstock'!K$3*'BD Plant List'!AB$5</f>
        <v>0</v>
      </c>
      <c r="L385" s="295">
        <f>'BD Plant List'!$H387/12*'BD Feedstock'!L$3*'BD Plant List'!AC$5</f>
        <v>0</v>
      </c>
      <c r="M385" s="295">
        <f>'BD Plant List'!$I387/12*'BD Feedstock'!$M$3*'BD Plant List'!AC$5</f>
        <v>3.4291666666666671</v>
      </c>
      <c r="N385" s="295">
        <f>'BD Plant List'!$J387/12*'BD Feedstock'!N$3*'BD Plant List'!AC$5</f>
        <v>0</v>
      </c>
      <c r="O385" s="295">
        <f>'BD Plant List'!$K387/12*'BD Feedstock'!O$3*'BD Plant List'!AC$5</f>
        <v>0</v>
      </c>
      <c r="P385" s="295">
        <f>'BD Plant List'!$L387/12*'BD Feedstock'!P$3*'BD Plant List'!AE$5</f>
        <v>0</v>
      </c>
      <c r="Q385" s="295">
        <f>'BD Plant List'!$M387/12*'BD Feedstock'!Q$3*'BD Plant List'!AE$5</f>
        <v>0.93125000000000002</v>
      </c>
      <c r="R385" s="295">
        <f>'BD Plant List'!$N387/12*'BD Feedstock'!R$3*'BD Plant List'!AE$5</f>
        <v>26.540625000000002</v>
      </c>
      <c r="S385" s="295">
        <f>'BD Plant List'!$N387/12*'BD Feedstock'!S$3*'BD Plant List'!AF$5</f>
        <v>1.40625</v>
      </c>
      <c r="T385" s="295">
        <f>'BD Plant List'!$O387/12*'BD Feedstock'!T$3*'BD Plant List'!AB$5</f>
        <v>8.5732126770944213</v>
      </c>
      <c r="U385" s="295">
        <f>'BD Plant List'!$O387/12*'BD Feedstock'!U$3*'BD Plant List'!AC$5</f>
        <v>3.0347329175263269</v>
      </c>
    </row>
    <row r="386" spans="1:21" ht="18">
      <c r="A386" s="293">
        <v>51441</v>
      </c>
      <c r="B386" s="295">
        <f>'BD Plant List'!B388/12*'BD Plant List'!$AE$5*$B$3</f>
        <v>43.458333333333336</v>
      </c>
      <c r="C386" s="295">
        <f>'BD Plant List'!$C388/12*'BD Plant List'!$AB$5*'BD Feedstock'!$D$3</f>
        <v>2.098958333333333</v>
      </c>
      <c r="D386" s="295">
        <f>'BD Plant List'!$C388/12*'BD Plant List'!$AC$5*'BD Feedstock'!$D$3</f>
        <v>2.2289583333333334</v>
      </c>
      <c r="E386" s="295">
        <f>'BD Plant List'!$D388/12*'BD Plant List'!AB$5*'BD Feedstock'!$E$3</f>
        <v>9.6875</v>
      </c>
      <c r="F386" s="295">
        <f>'BD Plant List'!$D388/12*'BD Plant List'!AC$5*'BD Feedstock'!$F$3</f>
        <v>3.4291666666666671</v>
      </c>
      <c r="G386" s="295">
        <f>'BD Plant List'!$E388/12*'BD Feedstock'!G$3*'BD Plant List'!AB$5</f>
        <v>1.453125</v>
      </c>
      <c r="H386" s="295">
        <f>'BD Plant List'!$E388/12*'BD Feedstock'!H$3*'BD Plant List'!AC$5</f>
        <v>0.51437500000000003</v>
      </c>
      <c r="I386" s="295">
        <f>'BD Plant List'!F388/12*'BD Feedstock'!I$3*'BD Plant List'!AC$5</f>
        <v>0.13716666666666666</v>
      </c>
      <c r="J386" s="295">
        <f>'BD Plant List'!G388/12*'BD Feedstock'!J$3*'BD Plant List'!AD$5</f>
        <v>0.90199999999999991</v>
      </c>
      <c r="K386" s="295">
        <f>'BD Plant List'!$H388/12*'BD Feedstock'!K$3*'BD Plant List'!AB$5</f>
        <v>0</v>
      </c>
      <c r="L386" s="295">
        <f>'BD Plant List'!$H388/12*'BD Feedstock'!L$3*'BD Plant List'!AC$5</f>
        <v>0</v>
      </c>
      <c r="M386" s="295">
        <f>'BD Plant List'!$I388/12*'BD Feedstock'!$M$3*'BD Plant List'!AC$5</f>
        <v>3.4291666666666671</v>
      </c>
      <c r="N386" s="295">
        <f>'BD Plant List'!$J388/12*'BD Feedstock'!N$3*'BD Plant List'!AC$5</f>
        <v>0</v>
      </c>
      <c r="O386" s="295">
        <f>'BD Plant List'!$K388/12*'BD Feedstock'!O$3*'BD Plant List'!AC$5</f>
        <v>0</v>
      </c>
      <c r="P386" s="295">
        <f>'BD Plant List'!$L388/12*'BD Feedstock'!P$3*'BD Plant List'!AE$5</f>
        <v>0</v>
      </c>
      <c r="Q386" s="295">
        <f>'BD Plant List'!$M388/12*'BD Feedstock'!Q$3*'BD Plant List'!AE$5</f>
        <v>0.93125000000000002</v>
      </c>
      <c r="R386" s="295">
        <f>'BD Plant List'!$N388/12*'BD Feedstock'!R$3*'BD Plant List'!AE$5</f>
        <v>26.540625000000002</v>
      </c>
      <c r="S386" s="295">
        <f>'BD Plant List'!$N388/12*'BD Feedstock'!S$3*'BD Plant List'!AF$5</f>
        <v>1.40625</v>
      </c>
      <c r="T386" s="295">
        <f>'BD Plant List'!$O388/12*'BD Feedstock'!T$3*'BD Plant List'!AB$5</f>
        <v>8.5732126770944213</v>
      </c>
      <c r="U386" s="295">
        <f>'BD Plant List'!$O388/12*'BD Feedstock'!U$3*'BD Plant List'!AC$5</f>
        <v>3.0347329175263269</v>
      </c>
    </row>
    <row r="387" spans="1:21" ht="18">
      <c r="A387" s="293">
        <v>51471</v>
      </c>
      <c r="B387" s="295">
        <f>'BD Plant List'!B389/12*'BD Plant List'!$AE$5*$B$3</f>
        <v>43.458333333333336</v>
      </c>
      <c r="C387" s="295">
        <f>'BD Plant List'!$C389/12*'BD Plant List'!$AB$5*'BD Feedstock'!$D$3</f>
        <v>2.098958333333333</v>
      </c>
      <c r="D387" s="295">
        <f>'BD Plant List'!$C389/12*'BD Plant List'!$AC$5*'BD Feedstock'!$D$3</f>
        <v>2.2289583333333334</v>
      </c>
      <c r="E387" s="295">
        <f>'BD Plant List'!$D389/12*'BD Plant List'!AB$5*'BD Feedstock'!$E$3</f>
        <v>9.6875</v>
      </c>
      <c r="F387" s="295">
        <f>'BD Plant List'!$D389/12*'BD Plant List'!AC$5*'BD Feedstock'!$F$3</f>
        <v>3.4291666666666671</v>
      </c>
      <c r="G387" s="295">
        <f>'BD Plant List'!$E389/12*'BD Feedstock'!G$3*'BD Plant List'!AB$5</f>
        <v>1.453125</v>
      </c>
      <c r="H387" s="295">
        <f>'BD Plant List'!$E389/12*'BD Feedstock'!H$3*'BD Plant List'!AC$5</f>
        <v>0.51437500000000003</v>
      </c>
      <c r="I387" s="295">
        <f>'BD Plant List'!F389/12*'BD Feedstock'!I$3*'BD Plant List'!AC$5</f>
        <v>0.13716666666666666</v>
      </c>
      <c r="J387" s="295">
        <f>'BD Plant List'!G389/12*'BD Feedstock'!J$3*'BD Plant List'!AD$5</f>
        <v>0.90199999999999991</v>
      </c>
      <c r="K387" s="295">
        <f>'BD Plant List'!$H389/12*'BD Feedstock'!K$3*'BD Plant List'!AB$5</f>
        <v>0</v>
      </c>
      <c r="L387" s="295">
        <f>'BD Plant List'!$H389/12*'BD Feedstock'!L$3*'BD Plant List'!AC$5</f>
        <v>0</v>
      </c>
      <c r="M387" s="295">
        <f>'BD Plant List'!$I389/12*'BD Feedstock'!$M$3*'BD Plant List'!AC$5</f>
        <v>3.4291666666666671</v>
      </c>
      <c r="N387" s="295">
        <f>'BD Plant List'!$J389/12*'BD Feedstock'!N$3*'BD Plant List'!AC$5</f>
        <v>0</v>
      </c>
      <c r="O387" s="295">
        <f>'BD Plant List'!$K389/12*'BD Feedstock'!O$3*'BD Plant List'!AC$5</f>
        <v>0</v>
      </c>
      <c r="P387" s="295">
        <f>'BD Plant List'!$L389/12*'BD Feedstock'!P$3*'BD Plant List'!AE$5</f>
        <v>0</v>
      </c>
      <c r="Q387" s="295">
        <f>'BD Plant List'!$M389/12*'BD Feedstock'!Q$3*'BD Plant List'!AE$5</f>
        <v>0.93125000000000002</v>
      </c>
      <c r="R387" s="295">
        <f>'BD Plant List'!$N389/12*'BD Feedstock'!R$3*'BD Plant List'!AE$5</f>
        <v>26.540625000000002</v>
      </c>
      <c r="S387" s="295">
        <f>'BD Plant List'!$N389/12*'BD Feedstock'!S$3*'BD Plant List'!AF$5</f>
        <v>1.40625</v>
      </c>
      <c r="T387" s="295">
        <f>'BD Plant List'!$O389/12*'BD Feedstock'!T$3*'BD Plant List'!AB$5</f>
        <v>8.5732126770944213</v>
      </c>
      <c r="U387" s="295">
        <f>'BD Plant List'!$O389/12*'BD Feedstock'!U$3*'BD Plant List'!AC$5</f>
        <v>3.0347329175263269</v>
      </c>
    </row>
    <row r="388" spans="1:21" ht="18">
      <c r="A388" s="293">
        <v>51502</v>
      </c>
      <c r="B388" s="295">
        <f>'BD Plant List'!B390/12*'BD Plant List'!$AE$5*$B$3</f>
        <v>43.458333333333336</v>
      </c>
      <c r="C388" s="295">
        <f>'BD Plant List'!$C390/12*'BD Plant List'!$AB$5*'BD Feedstock'!$D$3</f>
        <v>2.098958333333333</v>
      </c>
      <c r="D388" s="295">
        <f>'BD Plant List'!$C390/12*'BD Plant List'!$AC$5*'BD Feedstock'!$D$3</f>
        <v>2.2289583333333334</v>
      </c>
      <c r="E388" s="295">
        <f>'BD Plant List'!$D390/12*'BD Plant List'!AB$5*'BD Feedstock'!$E$3</f>
        <v>9.6875</v>
      </c>
      <c r="F388" s="295">
        <f>'BD Plant List'!$D390/12*'BD Plant List'!AC$5*'BD Feedstock'!$F$3</f>
        <v>3.4291666666666671</v>
      </c>
      <c r="G388" s="295">
        <f>'BD Plant List'!$E390/12*'BD Feedstock'!G$3*'BD Plant List'!AB$5</f>
        <v>1.453125</v>
      </c>
      <c r="H388" s="295">
        <f>'BD Plant List'!$E390/12*'BD Feedstock'!H$3*'BD Plant List'!AC$5</f>
        <v>0.51437500000000003</v>
      </c>
      <c r="I388" s="295">
        <f>'BD Plant List'!F390/12*'BD Feedstock'!I$3*'BD Plant List'!AC$5</f>
        <v>0.13716666666666666</v>
      </c>
      <c r="J388" s="295">
        <f>'BD Plant List'!G390/12*'BD Feedstock'!J$3*'BD Plant List'!AD$5</f>
        <v>0.90199999999999991</v>
      </c>
      <c r="K388" s="295">
        <f>'BD Plant List'!$H390/12*'BD Feedstock'!K$3*'BD Plant List'!AB$5</f>
        <v>0</v>
      </c>
      <c r="L388" s="295">
        <f>'BD Plant List'!$H390/12*'BD Feedstock'!L$3*'BD Plant List'!AC$5</f>
        <v>0</v>
      </c>
      <c r="M388" s="295">
        <f>'BD Plant List'!$I390/12*'BD Feedstock'!$M$3*'BD Plant List'!AC$5</f>
        <v>3.4291666666666671</v>
      </c>
      <c r="N388" s="295">
        <f>'BD Plant List'!$J390/12*'BD Feedstock'!N$3*'BD Plant List'!AC$5</f>
        <v>0</v>
      </c>
      <c r="O388" s="295">
        <f>'BD Plant List'!$K390/12*'BD Feedstock'!O$3*'BD Plant List'!AC$5</f>
        <v>0</v>
      </c>
      <c r="P388" s="295">
        <f>'BD Plant List'!$L390/12*'BD Feedstock'!P$3*'BD Plant List'!AE$5</f>
        <v>0</v>
      </c>
      <c r="Q388" s="295">
        <f>'BD Plant List'!$M390/12*'BD Feedstock'!Q$3*'BD Plant List'!AE$5</f>
        <v>0.93125000000000002</v>
      </c>
      <c r="R388" s="295">
        <f>'BD Plant List'!$N390/12*'BD Feedstock'!R$3*'BD Plant List'!AE$5</f>
        <v>26.540625000000002</v>
      </c>
      <c r="S388" s="295">
        <f>'BD Plant List'!$N390/12*'BD Feedstock'!S$3*'BD Plant List'!AF$5</f>
        <v>1.40625</v>
      </c>
      <c r="T388" s="295">
        <f>'BD Plant List'!$O390/12*'BD Feedstock'!T$3*'BD Plant List'!AB$5</f>
        <v>8.5732126770944213</v>
      </c>
      <c r="U388" s="295">
        <f>'BD Plant List'!$O390/12*'BD Feedstock'!U$3*'BD Plant List'!AC$5</f>
        <v>3.0347329175263269</v>
      </c>
    </row>
    <row r="389" spans="1:21" ht="18">
      <c r="A389" s="293">
        <v>51533</v>
      </c>
      <c r="B389" s="295">
        <f>'BD Plant List'!B391/12*'BD Plant List'!$AE$5*$B$3</f>
        <v>43.458333333333336</v>
      </c>
      <c r="C389" s="295">
        <f>'BD Plant List'!$C391/12*'BD Plant List'!$AB$5*'BD Feedstock'!$D$3</f>
        <v>2.098958333333333</v>
      </c>
      <c r="D389" s="295">
        <f>'BD Plant List'!$C391/12*'BD Plant List'!$AC$5*'BD Feedstock'!$D$3</f>
        <v>2.2289583333333334</v>
      </c>
      <c r="E389" s="295">
        <f>'BD Plant List'!$D391/12*'BD Plant List'!AB$5*'BD Feedstock'!$E$3</f>
        <v>9.6875</v>
      </c>
      <c r="F389" s="295">
        <f>'BD Plant List'!$D391/12*'BD Plant List'!AC$5*'BD Feedstock'!$F$3</f>
        <v>3.4291666666666671</v>
      </c>
      <c r="G389" s="295">
        <f>'BD Plant List'!$E391/12*'BD Feedstock'!G$3*'BD Plant List'!AB$5</f>
        <v>1.453125</v>
      </c>
      <c r="H389" s="295">
        <f>'BD Plant List'!$E391/12*'BD Feedstock'!H$3*'BD Plant List'!AC$5</f>
        <v>0.51437500000000003</v>
      </c>
      <c r="I389" s="295">
        <f>'BD Plant List'!F391/12*'BD Feedstock'!I$3*'BD Plant List'!AC$5</f>
        <v>0.13716666666666666</v>
      </c>
      <c r="J389" s="295">
        <f>'BD Plant List'!G391/12*'BD Feedstock'!J$3*'BD Plant List'!AD$5</f>
        <v>0.90199999999999991</v>
      </c>
      <c r="K389" s="295">
        <f>'BD Plant List'!$H391/12*'BD Feedstock'!K$3*'BD Plant List'!AB$5</f>
        <v>0</v>
      </c>
      <c r="L389" s="295">
        <f>'BD Plant List'!$H391/12*'BD Feedstock'!L$3*'BD Plant List'!AC$5</f>
        <v>0</v>
      </c>
      <c r="M389" s="295">
        <f>'BD Plant List'!$I391/12*'BD Feedstock'!$M$3*'BD Plant List'!AC$5</f>
        <v>3.4291666666666671</v>
      </c>
      <c r="N389" s="295">
        <f>'BD Plant List'!$J391/12*'BD Feedstock'!N$3*'BD Plant List'!AC$5</f>
        <v>0</v>
      </c>
      <c r="O389" s="295">
        <f>'BD Plant List'!$K391/12*'BD Feedstock'!O$3*'BD Plant List'!AC$5</f>
        <v>0</v>
      </c>
      <c r="P389" s="295">
        <f>'BD Plant List'!$L391/12*'BD Feedstock'!P$3*'BD Plant List'!AE$5</f>
        <v>0</v>
      </c>
      <c r="Q389" s="295">
        <f>'BD Plant List'!$M391/12*'BD Feedstock'!Q$3*'BD Plant List'!AE$5</f>
        <v>0.93125000000000002</v>
      </c>
      <c r="R389" s="295">
        <f>'BD Plant List'!$N391/12*'BD Feedstock'!R$3*'BD Plant List'!AE$5</f>
        <v>26.540625000000002</v>
      </c>
      <c r="S389" s="295">
        <f>'BD Plant List'!$N391/12*'BD Feedstock'!S$3*'BD Plant List'!AF$5</f>
        <v>1.40625</v>
      </c>
      <c r="T389" s="295">
        <f>'BD Plant List'!$O391/12*'BD Feedstock'!T$3*'BD Plant List'!AB$5</f>
        <v>8.5732126770944213</v>
      </c>
      <c r="U389" s="295">
        <f>'BD Plant List'!$O391/12*'BD Feedstock'!U$3*'BD Plant List'!AC$5</f>
        <v>3.0347329175263269</v>
      </c>
    </row>
    <row r="390" spans="1:21" ht="18">
      <c r="A390" s="293">
        <v>51561</v>
      </c>
      <c r="B390" s="295">
        <f>'BD Plant List'!B392/12*'BD Plant List'!$AE$5*$B$3</f>
        <v>43.458333333333336</v>
      </c>
      <c r="C390" s="295">
        <f>'BD Plant List'!$C392/12*'BD Plant List'!$AB$5*'BD Feedstock'!$D$3</f>
        <v>2.098958333333333</v>
      </c>
      <c r="D390" s="295">
        <f>'BD Plant List'!$C392/12*'BD Plant List'!$AC$5*'BD Feedstock'!$D$3</f>
        <v>2.2289583333333334</v>
      </c>
      <c r="E390" s="295">
        <f>'BD Plant List'!$D392/12*'BD Plant List'!AB$5*'BD Feedstock'!$E$3</f>
        <v>9.6875</v>
      </c>
      <c r="F390" s="295">
        <f>'BD Plant List'!$D392/12*'BD Plant List'!AC$5*'BD Feedstock'!$F$3</f>
        <v>3.4291666666666671</v>
      </c>
      <c r="G390" s="295">
        <f>'BD Plant List'!$E392/12*'BD Feedstock'!G$3*'BD Plant List'!AB$5</f>
        <v>1.453125</v>
      </c>
      <c r="H390" s="295">
        <f>'BD Plant List'!$E392/12*'BD Feedstock'!H$3*'BD Plant List'!AC$5</f>
        <v>0.51437500000000003</v>
      </c>
      <c r="I390" s="295">
        <f>'BD Plant List'!F392/12*'BD Feedstock'!I$3*'BD Plant List'!AC$5</f>
        <v>0.13716666666666666</v>
      </c>
      <c r="J390" s="295">
        <f>'BD Plant List'!G392/12*'BD Feedstock'!J$3*'BD Plant List'!AD$5</f>
        <v>0.90199999999999991</v>
      </c>
      <c r="K390" s="295">
        <f>'BD Plant List'!$H392/12*'BD Feedstock'!K$3*'BD Plant List'!AB$5</f>
        <v>0</v>
      </c>
      <c r="L390" s="295">
        <f>'BD Plant List'!$H392/12*'BD Feedstock'!L$3*'BD Plant List'!AC$5</f>
        <v>0</v>
      </c>
      <c r="M390" s="295">
        <f>'BD Plant List'!$I392/12*'BD Feedstock'!$M$3*'BD Plant List'!AC$5</f>
        <v>3.4291666666666671</v>
      </c>
      <c r="N390" s="295">
        <f>'BD Plant List'!$J392/12*'BD Feedstock'!N$3*'BD Plant List'!AC$5</f>
        <v>0</v>
      </c>
      <c r="O390" s="295">
        <f>'BD Plant List'!$K392/12*'BD Feedstock'!O$3*'BD Plant List'!AC$5</f>
        <v>0</v>
      </c>
      <c r="P390" s="295">
        <f>'BD Plant List'!$L392/12*'BD Feedstock'!P$3*'BD Plant List'!AE$5</f>
        <v>0</v>
      </c>
      <c r="Q390" s="295">
        <f>'BD Plant List'!$M392/12*'BD Feedstock'!Q$3*'BD Plant List'!AE$5</f>
        <v>0.93125000000000002</v>
      </c>
      <c r="R390" s="295">
        <f>'BD Plant List'!$N392/12*'BD Feedstock'!R$3*'BD Plant List'!AE$5</f>
        <v>26.540625000000002</v>
      </c>
      <c r="S390" s="295">
        <f>'BD Plant List'!$N392/12*'BD Feedstock'!S$3*'BD Plant List'!AF$5</f>
        <v>1.40625</v>
      </c>
      <c r="T390" s="295">
        <f>'BD Plant List'!$O392/12*'BD Feedstock'!T$3*'BD Plant List'!AB$5</f>
        <v>8.5732126770944213</v>
      </c>
      <c r="U390" s="295">
        <f>'BD Plant List'!$O392/12*'BD Feedstock'!U$3*'BD Plant List'!AC$5</f>
        <v>3.0347329175263269</v>
      </c>
    </row>
    <row r="391" spans="1:21" ht="18">
      <c r="A391" s="293">
        <v>51592</v>
      </c>
      <c r="B391" s="295">
        <f>'BD Plant List'!B393/12*'BD Plant List'!$AE$5*$B$3</f>
        <v>43.458333333333336</v>
      </c>
      <c r="C391" s="295">
        <f>'BD Plant List'!$C393/12*'BD Plant List'!$AB$5*'BD Feedstock'!$D$3</f>
        <v>2.098958333333333</v>
      </c>
      <c r="D391" s="295">
        <f>'BD Plant List'!$C393/12*'BD Plant List'!$AC$5*'BD Feedstock'!$D$3</f>
        <v>2.2289583333333334</v>
      </c>
      <c r="E391" s="295">
        <f>'BD Plant List'!$D393/12*'BD Plant List'!AB$5*'BD Feedstock'!$E$3</f>
        <v>9.6875</v>
      </c>
      <c r="F391" s="295">
        <f>'BD Plant List'!$D393/12*'BD Plant List'!AC$5*'BD Feedstock'!$F$3</f>
        <v>3.4291666666666671</v>
      </c>
      <c r="G391" s="295">
        <f>'BD Plant List'!$E393/12*'BD Feedstock'!G$3*'BD Plant List'!AB$5</f>
        <v>1.453125</v>
      </c>
      <c r="H391" s="295">
        <f>'BD Plant List'!$E393/12*'BD Feedstock'!H$3*'BD Plant List'!AC$5</f>
        <v>0.51437500000000003</v>
      </c>
      <c r="I391" s="295">
        <f>'BD Plant List'!F393/12*'BD Feedstock'!I$3*'BD Plant List'!AC$5</f>
        <v>0.13716666666666666</v>
      </c>
      <c r="J391" s="295">
        <f>'BD Plant List'!G393/12*'BD Feedstock'!J$3*'BD Plant List'!AD$5</f>
        <v>0.90199999999999991</v>
      </c>
      <c r="K391" s="295">
        <f>'BD Plant List'!$H393/12*'BD Feedstock'!K$3*'BD Plant List'!AB$5</f>
        <v>0</v>
      </c>
      <c r="L391" s="295">
        <f>'BD Plant List'!$H393/12*'BD Feedstock'!L$3*'BD Plant List'!AC$5</f>
        <v>0</v>
      </c>
      <c r="M391" s="295">
        <f>'BD Plant List'!$I393/12*'BD Feedstock'!$M$3*'BD Plant List'!AC$5</f>
        <v>3.4291666666666671</v>
      </c>
      <c r="N391" s="295">
        <f>'BD Plant List'!$J393/12*'BD Feedstock'!N$3*'BD Plant List'!AC$5</f>
        <v>0</v>
      </c>
      <c r="O391" s="295">
        <f>'BD Plant List'!$K393/12*'BD Feedstock'!O$3*'BD Plant List'!AC$5</f>
        <v>0</v>
      </c>
      <c r="P391" s="295">
        <f>'BD Plant List'!$L393/12*'BD Feedstock'!P$3*'BD Plant List'!AE$5</f>
        <v>0</v>
      </c>
      <c r="Q391" s="295">
        <f>'BD Plant List'!$M393/12*'BD Feedstock'!Q$3*'BD Plant List'!AE$5</f>
        <v>0.93125000000000002</v>
      </c>
      <c r="R391" s="295">
        <f>'BD Plant List'!$N393/12*'BD Feedstock'!R$3*'BD Plant List'!AE$5</f>
        <v>26.540625000000002</v>
      </c>
      <c r="S391" s="295">
        <f>'BD Plant List'!$N393/12*'BD Feedstock'!S$3*'BD Plant List'!AF$5</f>
        <v>1.40625</v>
      </c>
      <c r="T391" s="295">
        <f>'BD Plant List'!$O393/12*'BD Feedstock'!T$3*'BD Plant List'!AB$5</f>
        <v>8.5732126770944213</v>
      </c>
      <c r="U391" s="295">
        <f>'BD Plant List'!$O393/12*'BD Feedstock'!U$3*'BD Plant List'!AC$5</f>
        <v>3.0347329175263269</v>
      </c>
    </row>
    <row r="392" spans="1:21" ht="18">
      <c r="A392" s="293">
        <v>51622</v>
      </c>
      <c r="B392" s="295">
        <f>'BD Plant List'!B394/12*'BD Plant List'!$AE$5*$B$3</f>
        <v>43.458333333333336</v>
      </c>
      <c r="C392" s="295">
        <f>'BD Plant List'!$C394/12*'BD Plant List'!$AB$5*'BD Feedstock'!$D$3</f>
        <v>2.098958333333333</v>
      </c>
      <c r="D392" s="295">
        <f>'BD Plant List'!$C394/12*'BD Plant List'!$AC$5*'BD Feedstock'!$D$3</f>
        <v>2.2289583333333334</v>
      </c>
      <c r="E392" s="295">
        <f>'BD Plant List'!$D394/12*'BD Plant List'!AB$5*'BD Feedstock'!$E$3</f>
        <v>9.6875</v>
      </c>
      <c r="F392" s="295">
        <f>'BD Plant List'!$D394/12*'BD Plant List'!AC$5*'BD Feedstock'!$F$3</f>
        <v>3.4291666666666671</v>
      </c>
      <c r="G392" s="295">
        <f>'BD Plant List'!$E394/12*'BD Feedstock'!G$3*'BD Plant List'!AB$5</f>
        <v>1.453125</v>
      </c>
      <c r="H392" s="295">
        <f>'BD Plant List'!$E394/12*'BD Feedstock'!H$3*'BD Plant List'!AC$5</f>
        <v>0.51437500000000003</v>
      </c>
      <c r="I392" s="295">
        <f>'BD Plant List'!F394/12*'BD Feedstock'!I$3*'BD Plant List'!AC$5</f>
        <v>0.13716666666666666</v>
      </c>
      <c r="J392" s="295">
        <f>'BD Plant List'!G394/12*'BD Feedstock'!J$3*'BD Plant List'!AD$5</f>
        <v>0.90199999999999991</v>
      </c>
      <c r="K392" s="295">
        <f>'BD Plant List'!$H394/12*'BD Feedstock'!K$3*'BD Plant List'!AB$5</f>
        <v>0</v>
      </c>
      <c r="L392" s="295">
        <f>'BD Plant List'!$H394/12*'BD Feedstock'!L$3*'BD Plant List'!AC$5</f>
        <v>0</v>
      </c>
      <c r="M392" s="295">
        <f>'BD Plant List'!$I394/12*'BD Feedstock'!$M$3*'BD Plant List'!AC$5</f>
        <v>3.4291666666666671</v>
      </c>
      <c r="N392" s="295">
        <f>'BD Plant List'!$J394/12*'BD Feedstock'!N$3*'BD Plant List'!AC$5</f>
        <v>0</v>
      </c>
      <c r="O392" s="295">
        <f>'BD Plant List'!$K394/12*'BD Feedstock'!O$3*'BD Plant List'!AC$5</f>
        <v>0</v>
      </c>
      <c r="P392" s="295">
        <f>'BD Plant List'!$L394/12*'BD Feedstock'!P$3*'BD Plant List'!AE$5</f>
        <v>0</v>
      </c>
      <c r="Q392" s="295">
        <f>'BD Plant List'!$M394/12*'BD Feedstock'!Q$3*'BD Plant List'!AE$5</f>
        <v>0.93125000000000002</v>
      </c>
      <c r="R392" s="295">
        <f>'BD Plant List'!$N394/12*'BD Feedstock'!R$3*'BD Plant List'!AE$5</f>
        <v>26.540625000000002</v>
      </c>
      <c r="S392" s="295">
        <f>'BD Plant List'!$N394/12*'BD Feedstock'!S$3*'BD Plant List'!AF$5</f>
        <v>1.40625</v>
      </c>
      <c r="T392" s="295">
        <f>'BD Plant List'!$O394/12*'BD Feedstock'!T$3*'BD Plant List'!AB$5</f>
        <v>8.5732126770944213</v>
      </c>
      <c r="U392" s="295">
        <f>'BD Plant List'!$O394/12*'BD Feedstock'!U$3*'BD Plant List'!AC$5</f>
        <v>3.0347329175263269</v>
      </c>
    </row>
    <row r="393" spans="1:21" ht="18">
      <c r="A393" s="293">
        <v>51653</v>
      </c>
      <c r="B393" s="295">
        <f>'BD Plant List'!B395/12*'BD Plant List'!$AE$5*$B$3</f>
        <v>43.458333333333336</v>
      </c>
      <c r="C393" s="295">
        <f>'BD Plant List'!$C395/12*'BD Plant List'!$AB$5*'BD Feedstock'!$D$3</f>
        <v>2.098958333333333</v>
      </c>
      <c r="D393" s="295">
        <f>'BD Plant List'!$C395/12*'BD Plant List'!$AC$5*'BD Feedstock'!$D$3</f>
        <v>2.2289583333333334</v>
      </c>
      <c r="E393" s="295">
        <f>'BD Plant List'!$D395/12*'BD Plant List'!AB$5*'BD Feedstock'!$E$3</f>
        <v>9.6875</v>
      </c>
      <c r="F393" s="295">
        <f>'BD Plant List'!$D395/12*'BD Plant List'!AC$5*'BD Feedstock'!$F$3</f>
        <v>3.4291666666666671</v>
      </c>
      <c r="G393" s="295">
        <f>'BD Plant List'!$E395/12*'BD Feedstock'!G$3*'BD Plant List'!AB$5</f>
        <v>1.453125</v>
      </c>
      <c r="H393" s="295">
        <f>'BD Plant List'!$E395/12*'BD Feedstock'!H$3*'BD Plant List'!AC$5</f>
        <v>0.51437500000000003</v>
      </c>
      <c r="I393" s="295">
        <f>'BD Plant List'!F395/12*'BD Feedstock'!I$3*'BD Plant List'!AC$5</f>
        <v>0.13716666666666666</v>
      </c>
      <c r="J393" s="295">
        <f>'BD Plant List'!G395/12*'BD Feedstock'!J$3*'BD Plant List'!AD$5</f>
        <v>0.90199999999999991</v>
      </c>
      <c r="K393" s="295">
        <f>'BD Plant List'!$H395/12*'BD Feedstock'!K$3*'BD Plant List'!AB$5</f>
        <v>0</v>
      </c>
      <c r="L393" s="295">
        <f>'BD Plant List'!$H395/12*'BD Feedstock'!L$3*'BD Plant List'!AC$5</f>
        <v>0</v>
      </c>
      <c r="M393" s="295">
        <f>'BD Plant List'!$I395/12*'BD Feedstock'!$M$3*'BD Plant List'!AC$5</f>
        <v>3.4291666666666671</v>
      </c>
      <c r="N393" s="295">
        <f>'BD Plant List'!$J395/12*'BD Feedstock'!N$3*'BD Plant List'!AC$5</f>
        <v>0</v>
      </c>
      <c r="O393" s="295">
        <f>'BD Plant List'!$K395/12*'BD Feedstock'!O$3*'BD Plant List'!AC$5</f>
        <v>0</v>
      </c>
      <c r="P393" s="295">
        <f>'BD Plant List'!$L395/12*'BD Feedstock'!P$3*'BD Plant List'!AE$5</f>
        <v>0</v>
      </c>
      <c r="Q393" s="295">
        <f>'BD Plant List'!$M395/12*'BD Feedstock'!Q$3*'BD Plant List'!AE$5</f>
        <v>0.93125000000000002</v>
      </c>
      <c r="R393" s="295">
        <f>'BD Plant List'!$N395/12*'BD Feedstock'!R$3*'BD Plant List'!AE$5</f>
        <v>26.540625000000002</v>
      </c>
      <c r="S393" s="295">
        <f>'BD Plant List'!$N395/12*'BD Feedstock'!S$3*'BD Plant List'!AF$5</f>
        <v>1.40625</v>
      </c>
      <c r="T393" s="295">
        <f>'BD Plant List'!$O395/12*'BD Feedstock'!T$3*'BD Plant List'!AB$5</f>
        <v>8.5732126770944213</v>
      </c>
      <c r="U393" s="295">
        <f>'BD Plant List'!$O395/12*'BD Feedstock'!U$3*'BD Plant List'!AC$5</f>
        <v>3.0347329175263269</v>
      </c>
    </row>
    <row r="394" spans="1:21" ht="18">
      <c r="A394" s="293">
        <v>51683</v>
      </c>
      <c r="B394" s="295">
        <f>'BD Plant List'!B396/12*'BD Plant List'!$AE$5*$B$3</f>
        <v>43.458333333333336</v>
      </c>
      <c r="C394" s="295">
        <f>'BD Plant List'!$C396/12*'BD Plant List'!$AB$5*'BD Feedstock'!$D$3</f>
        <v>2.098958333333333</v>
      </c>
      <c r="D394" s="295">
        <f>'BD Plant List'!$C396/12*'BD Plant List'!$AC$5*'BD Feedstock'!$D$3</f>
        <v>2.2289583333333334</v>
      </c>
      <c r="E394" s="295">
        <f>'BD Plant List'!$D396/12*'BD Plant List'!AB$5*'BD Feedstock'!$E$3</f>
        <v>9.6875</v>
      </c>
      <c r="F394" s="295">
        <f>'BD Plant List'!$D396/12*'BD Plant List'!AC$5*'BD Feedstock'!$F$3</f>
        <v>3.4291666666666671</v>
      </c>
      <c r="G394" s="295">
        <f>'BD Plant List'!$E396/12*'BD Feedstock'!G$3*'BD Plant List'!AB$5</f>
        <v>1.453125</v>
      </c>
      <c r="H394" s="295">
        <f>'BD Plant List'!$E396/12*'BD Feedstock'!H$3*'BD Plant List'!AC$5</f>
        <v>0.51437500000000003</v>
      </c>
      <c r="I394" s="295">
        <f>'BD Plant List'!F396/12*'BD Feedstock'!I$3*'BD Plant List'!AC$5</f>
        <v>0.13716666666666666</v>
      </c>
      <c r="J394" s="295">
        <f>'BD Plant List'!G396/12*'BD Feedstock'!J$3*'BD Plant List'!AD$5</f>
        <v>0.90199999999999991</v>
      </c>
      <c r="K394" s="295">
        <f>'BD Plant List'!$H396/12*'BD Feedstock'!K$3*'BD Plant List'!AB$5</f>
        <v>0</v>
      </c>
      <c r="L394" s="295">
        <f>'BD Plant List'!$H396/12*'BD Feedstock'!L$3*'BD Plant List'!AC$5</f>
        <v>0</v>
      </c>
      <c r="M394" s="295">
        <f>'BD Plant List'!$I396/12*'BD Feedstock'!$M$3*'BD Plant List'!AC$5</f>
        <v>3.4291666666666671</v>
      </c>
      <c r="N394" s="295">
        <f>'BD Plant List'!$J396/12*'BD Feedstock'!N$3*'BD Plant List'!AC$5</f>
        <v>0</v>
      </c>
      <c r="O394" s="295">
        <f>'BD Plant List'!$K396/12*'BD Feedstock'!O$3*'BD Plant List'!AC$5</f>
        <v>0</v>
      </c>
      <c r="P394" s="295">
        <f>'BD Plant List'!$L396/12*'BD Feedstock'!P$3*'BD Plant List'!AE$5</f>
        <v>0</v>
      </c>
      <c r="Q394" s="295">
        <f>'BD Plant List'!$M396/12*'BD Feedstock'!Q$3*'BD Plant List'!AE$5</f>
        <v>0.93125000000000002</v>
      </c>
      <c r="R394" s="295">
        <f>'BD Plant List'!$N396/12*'BD Feedstock'!R$3*'BD Plant List'!AE$5</f>
        <v>26.540625000000002</v>
      </c>
      <c r="S394" s="295">
        <f>'BD Plant List'!$N396/12*'BD Feedstock'!S$3*'BD Plant List'!AF$5</f>
        <v>1.40625</v>
      </c>
      <c r="T394" s="295">
        <f>'BD Plant List'!$O396/12*'BD Feedstock'!T$3*'BD Plant List'!AB$5</f>
        <v>8.5732126770944213</v>
      </c>
      <c r="U394" s="295">
        <f>'BD Plant List'!$O396/12*'BD Feedstock'!U$3*'BD Plant List'!AC$5</f>
        <v>3.0347329175263269</v>
      </c>
    </row>
    <row r="395" spans="1:21" ht="18">
      <c r="A395" s="293">
        <v>51714</v>
      </c>
      <c r="B395" s="295">
        <f>'BD Plant List'!B397/12*'BD Plant List'!$AE$5*$B$3</f>
        <v>43.458333333333336</v>
      </c>
      <c r="C395" s="295">
        <f>'BD Plant List'!$C397/12*'BD Plant List'!$AB$5*'BD Feedstock'!$D$3</f>
        <v>2.098958333333333</v>
      </c>
      <c r="D395" s="295">
        <f>'BD Plant List'!$C397/12*'BD Plant List'!$AC$5*'BD Feedstock'!$D$3</f>
        <v>2.2289583333333334</v>
      </c>
      <c r="E395" s="295">
        <f>'BD Plant List'!$D397/12*'BD Plant List'!AB$5*'BD Feedstock'!$E$3</f>
        <v>9.6875</v>
      </c>
      <c r="F395" s="295">
        <f>'BD Plant List'!$D397/12*'BD Plant List'!AC$5*'BD Feedstock'!$F$3</f>
        <v>3.4291666666666671</v>
      </c>
      <c r="G395" s="295">
        <f>'BD Plant List'!$E397/12*'BD Feedstock'!G$3*'BD Plant List'!AB$5</f>
        <v>1.453125</v>
      </c>
      <c r="H395" s="295">
        <f>'BD Plant List'!$E397/12*'BD Feedstock'!H$3*'BD Plant List'!AC$5</f>
        <v>0.51437500000000003</v>
      </c>
      <c r="I395" s="295">
        <f>'BD Plant List'!F397/12*'BD Feedstock'!I$3*'BD Plant List'!AC$5</f>
        <v>0.13716666666666666</v>
      </c>
      <c r="J395" s="295">
        <f>'BD Plant List'!G397/12*'BD Feedstock'!J$3*'BD Plant List'!AD$5</f>
        <v>0.90199999999999991</v>
      </c>
      <c r="K395" s="295">
        <f>'BD Plant List'!$H397/12*'BD Feedstock'!K$3*'BD Plant List'!AB$5</f>
        <v>0</v>
      </c>
      <c r="L395" s="295">
        <f>'BD Plant List'!$H397/12*'BD Feedstock'!L$3*'BD Plant List'!AC$5</f>
        <v>0</v>
      </c>
      <c r="M395" s="295">
        <f>'BD Plant List'!$I397/12*'BD Feedstock'!$M$3*'BD Plant List'!AC$5</f>
        <v>3.4291666666666671</v>
      </c>
      <c r="N395" s="295">
        <f>'BD Plant List'!$J397/12*'BD Feedstock'!N$3*'BD Plant List'!AC$5</f>
        <v>0</v>
      </c>
      <c r="O395" s="295">
        <f>'BD Plant List'!$K397/12*'BD Feedstock'!O$3*'BD Plant List'!AC$5</f>
        <v>0</v>
      </c>
      <c r="P395" s="295">
        <f>'BD Plant List'!$L397/12*'BD Feedstock'!P$3*'BD Plant List'!AE$5</f>
        <v>0</v>
      </c>
      <c r="Q395" s="295">
        <f>'BD Plant List'!$M397/12*'BD Feedstock'!Q$3*'BD Plant List'!AE$5</f>
        <v>0.93125000000000002</v>
      </c>
      <c r="R395" s="295">
        <f>'BD Plant List'!$N397/12*'BD Feedstock'!R$3*'BD Plant List'!AE$5</f>
        <v>26.540625000000002</v>
      </c>
      <c r="S395" s="295">
        <f>'BD Plant List'!$N397/12*'BD Feedstock'!S$3*'BD Plant List'!AF$5</f>
        <v>1.40625</v>
      </c>
      <c r="T395" s="295">
        <f>'BD Plant List'!$O397/12*'BD Feedstock'!T$3*'BD Plant List'!AB$5</f>
        <v>8.5732126770944213</v>
      </c>
      <c r="U395" s="295">
        <f>'BD Plant List'!$O397/12*'BD Feedstock'!U$3*'BD Plant List'!AC$5</f>
        <v>3.0347329175263269</v>
      </c>
    </row>
    <row r="396" spans="1:21" ht="18">
      <c r="A396" s="293">
        <v>51745</v>
      </c>
      <c r="B396" s="295">
        <f>'BD Plant List'!B398/12*'BD Plant List'!$AE$5*$B$3</f>
        <v>43.458333333333336</v>
      </c>
      <c r="C396" s="295">
        <f>'BD Plant List'!$C398/12*'BD Plant List'!$AB$5*'BD Feedstock'!$D$3</f>
        <v>2.098958333333333</v>
      </c>
      <c r="D396" s="295">
        <f>'BD Plant List'!$C398/12*'BD Plant List'!$AC$5*'BD Feedstock'!$D$3</f>
        <v>2.2289583333333334</v>
      </c>
      <c r="E396" s="295">
        <f>'BD Plant List'!$D398/12*'BD Plant List'!AB$5*'BD Feedstock'!$E$3</f>
        <v>9.6875</v>
      </c>
      <c r="F396" s="295">
        <f>'BD Plant List'!$D398/12*'BD Plant List'!AC$5*'BD Feedstock'!$F$3</f>
        <v>3.4291666666666671</v>
      </c>
      <c r="G396" s="295">
        <f>'BD Plant List'!$E398/12*'BD Feedstock'!G$3*'BD Plant List'!AB$5</f>
        <v>1.453125</v>
      </c>
      <c r="H396" s="295">
        <f>'BD Plant List'!$E398/12*'BD Feedstock'!H$3*'BD Plant List'!AC$5</f>
        <v>0.51437500000000003</v>
      </c>
      <c r="I396" s="295">
        <f>'BD Plant List'!F398/12*'BD Feedstock'!I$3*'BD Plant List'!AC$5</f>
        <v>0.13716666666666666</v>
      </c>
      <c r="J396" s="295">
        <f>'BD Plant List'!G398/12*'BD Feedstock'!J$3*'BD Plant List'!AD$5</f>
        <v>0.90199999999999991</v>
      </c>
      <c r="K396" s="295">
        <f>'BD Plant List'!$H398/12*'BD Feedstock'!K$3*'BD Plant List'!AB$5</f>
        <v>0</v>
      </c>
      <c r="L396" s="295">
        <f>'BD Plant List'!$H398/12*'BD Feedstock'!L$3*'BD Plant List'!AC$5</f>
        <v>0</v>
      </c>
      <c r="M396" s="295">
        <f>'BD Plant List'!$I398/12*'BD Feedstock'!$M$3*'BD Plant List'!AC$5</f>
        <v>3.4291666666666671</v>
      </c>
      <c r="N396" s="295">
        <f>'BD Plant List'!$J398/12*'BD Feedstock'!N$3*'BD Plant List'!AC$5</f>
        <v>0</v>
      </c>
      <c r="O396" s="295">
        <f>'BD Plant List'!$K398/12*'BD Feedstock'!O$3*'BD Plant List'!AC$5</f>
        <v>0</v>
      </c>
      <c r="P396" s="295">
        <f>'BD Plant List'!$L398/12*'BD Feedstock'!P$3*'BD Plant List'!AE$5</f>
        <v>0</v>
      </c>
      <c r="Q396" s="295">
        <f>'BD Plant List'!$M398/12*'BD Feedstock'!Q$3*'BD Plant List'!AE$5</f>
        <v>0.93125000000000002</v>
      </c>
      <c r="R396" s="295">
        <f>'BD Plant List'!$N398/12*'BD Feedstock'!R$3*'BD Plant List'!AE$5</f>
        <v>26.540625000000002</v>
      </c>
      <c r="S396" s="295">
        <f>'BD Plant List'!$N398/12*'BD Feedstock'!S$3*'BD Plant List'!AF$5</f>
        <v>1.40625</v>
      </c>
      <c r="T396" s="295">
        <f>'BD Plant List'!$O398/12*'BD Feedstock'!T$3*'BD Plant List'!AB$5</f>
        <v>8.5732126770944213</v>
      </c>
      <c r="U396" s="295">
        <f>'BD Plant List'!$O398/12*'BD Feedstock'!U$3*'BD Plant List'!AC$5</f>
        <v>3.0347329175263269</v>
      </c>
    </row>
    <row r="397" spans="1:21" ht="18">
      <c r="A397" s="293">
        <v>51775</v>
      </c>
      <c r="B397" s="295">
        <f>'BD Plant List'!B399/12*'BD Plant List'!$AE$5*$B$3</f>
        <v>43.458333333333336</v>
      </c>
      <c r="C397" s="295">
        <f>'BD Plant List'!$C399/12*'BD Plant List'!$AB$5*'BD Feedstock'!$D$3</f>
        <v>2.098958333333333</v>
      </c>
      <c r="D397" s="295">
        <f>'BD Plant List'!$C399/12*'BD Plant List'!$AC$5*'BD Feedstock'!$D$3</f>
        <v>2.2289583333333334</v>
      </c>
      <c r="E397" s="295">
        <f>'BD Plant List'!$D399/12*'BD Plant List'!AB$5*'BD Feedstock'!$E$3</f>
        <v>9.6875</v>
      </c>
      <c r="F397" s="295">
        <f>'BD Plant List'!$D399/12*'BD Plant List'!AC$5*'BD Feedstock'!$F$3</f>
        <v>3.4291666666666671</v>
      </c>
      <c r="G397" s="295">
        <f>'BD Plant List'!$E399/12*'BD Feedstock'!G$3*'BD Plant List'!AB$5</f>
        <v>1.453125</v>
      </c>
      <c r="H397" s="295">
        <f>'BD Plant List'!$E399/12*'BD Feedstock'!H$3*'BD Plant List'!AC$5</f>
        <v>0.51437500000000003</v>
      </c>
      <c r="I397" s="295">
        <f>'BD Plant List'!F399/12*'BD Feedstock'!I$3*'BD Plant List'!AC$5</f>
        <v>0.13716666666666666</v>
      </c>
      <c r="J397" s="295">
        <f>'BD Plant List'!G399/12*'BD Feedstock'!J$3*'BD Plant List'!AD$5</f>
        <v>0.90199999999999991</v>
      </c>
      <c r="K397" s="295">
        <f>'BD Plant List'!$H399/12*'BD Feedstock'!K$3*'BD Plant List'!AB$5</f>
        <v>0</v>
      </c>
      <c r="L397" s="295">
        <f>'BD Plant List'!$H399/12*'BD Feedstock'!L$3*'BD Plant List'!AC$5</f>
        <v>0</v>
      </c>
      <c r="M397" s="295">
        <f>'BD Plant List'!$I399/12*'BD Feedstock'!$M$3*'BD Plant List'!AC$5</f>
        <v>3.4291666666666671</v>
      </c>
      <c r="N397" s="295">
        <f>'BD Plant List'!$J399/12*'BD Feedstock'!N$3*'BD Plant List'!AC$5</f>
        <v>0</v>
      </c>
      <c r="O397" s="295">
        <f>'BD Plant List'!$K399/12*'BD Feedstock'!O$3*'BD Plant List'!AC$5</f>
        <v>0</v>
      </c>
      <c r="P397" s="295">
        <f>'BD Plant List'!$L399/12*'BD Feedstock'!P$3*'BD Plant List'!AE$5</f>
        <v>0</v>
      </c>
      <c r="Q397" s="295">
        <f>'BD Plant List'!$M399/12*'BD Feedstock'!Q$3*'BD Plant List'!AE$5</f>
        <v>0.93125000000000002</v>
      </c>
      <c r="R397" s="295">
        <f>'BD Plant List'!$N399/12*'BD Feedstock'!R$3*'BD Plant List'!AE$5</f>
        <v>26.540625000000002</v>
      </c>
      <c r="S397" s="295">
        <f>'BD Plant List'!$N399/12*'BD Feedstock'!S$3*'BD Plant List'!AF$5</f>
        <v>1.40625</v>
      </c>
      <c r="T397" s="295">
        <f>'BD Plant List'!$O399/12*'BD Feedstock'!T$3*'BD Plant List'!AB$5</f>
        <v>8.5732126770944213</v>
      </c>
      <c r="U397" s="295">
        <f>'BD Plant List'!$O399/12*'BD Feedstock'!U$3*'BD Plant List'!AC$5</f>
        <v>3.0347329175263269</v>
      </c>
    </row>
    <row r="398" spans="1:21" ht="18">
      <c r="A398" s="293">
        <v>51806</v>
      </c>
      <c r="B398" s="295">
        <f>'BD Plant List'!B400/12*'BD Plant List'!$AE$5*$B$3</f>
        <v>43.458333333333336</v>
      </c>
      <c r="C398" s="295">
        <f>'BD Plant List'!$C400/12*'BD Plant List'!$AB$5*'BD Feedstock'!$D$3</f>
        <v>2.098958333333333</v>
      </c>
      <c r="D398" s="295">
        <f>'BD Plant List'!$C400/12*'BD Plant List'!$AC$5*'BD Feedstock'!$D$3</f>
        <v>2.2289583333333334</v>
      </c>
      <c r="E398" s="295">
        <f>'BD Plant List'!$D400/12*'BD Plant List'!AB$5*'BD Feedstock'!$E$3</f>
        <v>9.6875</v>
      </c>
      <c r="F398" s="295">
        <f>'BD Plant List'!$D400/12*'BD Plant List'!AC$5*'BD Feedstock'!$F$3</f>
        <v>3.4291666666666671</v>
      </c>
      <c r="G398" s="295">
        <f>'BD Plant List'!$E400/12*'BD Feedstock'!G$3*'BD Plant List'!AB$5</f>
        <v>1.453125</v>
      </c>
      <c r="H398" s="295">
        <f>'BD Plant List'!$E400/12*'BD Feedstock'!H$3*'BD Plant List'!AC$5</f>
        <v>0.51437500000000003</v>
      </c>
      <c r="I398" s="295">
        <f>'BD Plant List'!F400/12*'BD Feedstock'!I$3*'BD Plant List'!AC$5</f>
        <v>0.13716666666666666</v>
      </c>
      <c r="J398" s="295">
        <f>'BD Plant List'!G400/12*'BD Feedstock'!J$3*'BD Plant List'!AD$5</f>
        <v>0.90199999999999991</v>
      </c>
      <c r="K398" s="295">
        <f>'BD Plant List'!$H400/12*'BD Feedstock'!K$3*'BD Plant List'!AB$5</f>
        <v>0</v>
      </c>
      <c r="L398" s="295">
        <f>'BD Plant List'!$H400/12*'BD Feedstock'!L$3*'BD Plant List'!AC$5</f>
        <v>0</v>
      </c>
      <c r="M398" s="295">
        <f>'BD Plant List'!$I400/12*'BD Feedstock'!$M$3*'BD Plant List'!AC$5</f>
        <v>3.4291666666666671</v>
      </c>
      <c r="N398" s="295">
        <f>'BD Plant List'!$J400/12*'BD Feedstock'!N$3*'BD Plant List'!AC$5</f>
        <v>0</v>
      </c>
      <c r="O398" s="295">
        <f>'BD Plant List'!$K400/12*'BD Feedstock'!O$3*'BD Plant List'!AC$5</f>
        <v>0</v>
      </c>
      <c r="P398" s="295">
        <f>'BD Plant List'!$L400/12*'BD Feedstock'!P$3*'BD Plant List'!AE$5</f>
        <v>0</v>
      </c>
      <c r="Q398" s="295">
        <f>'BD Plant List'!$M400/12*'BD Feedstock'!Q$3*'BD Plant List'!AE$5</f>
        <v>0.93125000000000002</v>
      </c>
      <c r="R398" s="295">
        <f>'BD Plant List'!$N400/12*'BD Feedstock'!R$3*'BD Plant List'!AE$5</f>
        <v>26.540625000000002</v>
      </c>
      <c r="S398" s="295">
        <f>'BD Plant List'!$N400/12*'BD Feedstock'!S$3*'BD Plant List'!AF$5</f>
        <v>1.40625</v>
      </c>
      <c r="T398" s="295">
        <f>'BD Plant List'!$O400/12*'BD Feedstock'!T$3*'BD Plant List'!AB$5</f>
        <v>8.5732126770944213</v>
      </c>
      <c r="U398" s="295">
        <f>'BD Plant List'!$O400/12*'BD Feedstock'!U$3*'BD Plant List'!AC$5</f>
        <v>3.0347329175263269</v>
      </c>
    </row>
    <row r="399" spans="1:21" ht="18">
      <c r="A399" s="293">
        <v>51836</v>
      </c>
      <c r="B399" s="295">
        <f>'BD Plant List'!B401/12*'BD Plant List'!$AE$5*$B$3</f>
        <v>43.458333333333336</v>
      </c>
      <c r="C399" s="295">
        <f>'BD Plant List'!$C401/12*'BD Plant List'!$AB$5*'BD Feedstock'!$D$3</f>
        <v>2.098958333333333</v>
      </c>
      <c r="D399" s="295">
        <f>'BD Plant List'!$C401/12*'BD Plant List'!$AC$5*'BD Feedstock'!$D$3</f>
        <v>2.2289583333333334</v>
      </c>
      <c r="E399" s="295">
        <f>'BD Plant List'!$D401/12*'BD Plant List'!AB$5*'BD Feedstock'!$E$3</f>
        <v>9.6875</v>
      </c>
      <c r="F399" s="295">
        <f>'BD Plant List'!$D401/12*'BD Plant List'!AC$5*'BD Feedstock'!$F$3</f>
        <v>3.4291666666666671</v>
      </c>
      <c r="G399" s="295">
        <f>'BD Plant List'!$E401/12*'BD Feedstock'!G$3*'BD Plant List'!AB$5</f>
        <v>1.453125</v>
      </c>
      <c r="H399" s="295">
        <f>'BD Plant List'!$E401/12*'BD Feedstock'!H$3*'BD Plant List'!AC$5</f>
        <v>0.51437500000000003</v>
      </c>
      <c r="I399" s="295">
        <f>'BD Plant List'!F401/12*'BD Feedstock'!I$3*'BD Plant List'!AC$5</f>
        <v>0.13716666666666666</v>
      </c>
      <c r="J399" s="295">
        <f>'BD Plant List'!G401/12*'BD Feedstock'!J$3*'BD Plant List'!AD$5</f>
        <v>0.90199999999999991</v>
      </c>
      <c r="K399" s="295">
        <f>'BD Plant List'!$H401/12*'BD Feedstock'!K$3*'BD Plant List'!AB$5</f>
        <v>0</v>
      </c>
      <c r="L399" s="295">
        <f>'BD Plant List'!$H401/12*'BD Feedstock'!L$3*'BD Plant List'!AC$5</f>
        <v>0</v>
      </c>
      <c r="M399" s="295">
        <f>'BD Plant List'!$I401/12*'BD Feedstock'!$M$3*'BD Plant List'!AC$5</f>
        <v>3.4291666666666671</v>
      </c>
      <c r="N399" s="295">
        <f>'BD Plant List'!$J401/12*'BD Feedstock'!N$3*'BD Plant List'!AC$5</f>
        <v>0</v>
      </c>
      <c r="O399" s="295">
        <f>'BD Plant List'!$K401/12*'BD Feedstock'!O$3*'BD Plant List'!AC$5</f>
        <v>0</v>
      </c>
      <c r="P399" s="295">
        <f>'BD Plant List'!$L401/12*'BD Feedstock'!P$3*'BD Plant List'!AE$5</f>
        <v>0</v>
      </c>
      <c r="Q399" s="295">
        <f>'BD Plant List'!$M401/12*'BD Feedstock'!Q$3*'BD Plant List'!AE$5</f>
        <v>0.93125000000000002</v>
      </c>
      <c r="R399" s="295">
        <f>'BD Plant List'!$N401/12*'BD Feedstock'!R$3*'BD Plant List'!AE$5</f>
        <v>26.540625000000002</v>
      </c>
      <c r="S399" s="295">
        <f>'BD Plant List'!$N401/12*'BD Feedstock'!S$3*'BD Plant List'!AF$5</f>
        <v>1.40625</v>
      </c>
      <c r="T399" s="295">
        <f>'BD Plant List'!$O401/12*'BD Feedstock'!T$3*'BD Plant List'!AB$5</f>
        <v>8.5732126770944213</v>
      </c>
      <c r="U399" s="295">
        <f>'BD Plant List'!$O401/12*'BD Feedstock'!U$3*'BD Plant List'!AC$5</f>
        <v>3.0347329175263269</v>
      </c>
    </row>
    <row r="400" spans="1:21" ht="18">
      <c r="A400" s="293">
        <v>51867</v>
      </c>
      <c r="B400" s="295">
        <f>'BD Plant List'!B402/12*'BD Plant List'!$AE$5*$B$3</f>
        <v>43.458333333333336</v>
      </c>
      <c r="C400" s="295">
        <f>'BD Plant List'!$C402/12*'BD Plant List'!$AB$5*'BD Feedstock'!$D$3</f>
        <v>2.098958333333333</v>
      </c>
      <c r="D400" s="295">
        <f>'BD Plant List'!$C402/12*'BD Plant List'!$AC$5*'BD Feedstock'!$D$3</f>
        <v>2.2289583333333334</v>
      </c>
      <c r="E400" s="295">
        <f>'BD Plant List'!$D402/12*'BD Plant List'!AB$5*'BD Feedstock'!$E$3</f>
        <v>9.6875</v>
      </c>
      <c r="F400" s="295">
        <f>'BD Plant List'!$D402/12*'BD Plant List'!AC$5*'BD Feedstock'!$F$3</f>
        <v>3.4291666666666671</v>
      </c>
      <c r="G400" s="295">
        <f>'BD Plant List'!$E402/12*'BD Feedstock'!G$3*'BD Plant List'!AB$5</f>
        <v>1.453125</v>
      </c>
      <c r="H400" s="295">
        <f>'BD Plant List'!$E402/12*'BD Feedstock'!H$3*'BD Plant List'!AC$5</f>
        <v>0.51437500000000003</v>
      </c>
      <c r="I400" s="295">
        <f>'BD Plant List'!F402/12*'BD Feedstock'!I$3*'BD Plant List'!AC$5</f>
        <v>0.13716666666666666</v>
      </c>
      <c r="J400" s="295">
        <f>'BD Plant List'!G402/12*'BD Feedstock'!J$3*'BD Plant List'!AD$5</f>
        <v>0.90199999999999991</v>
      </c>
      <c r="K400" s="295">
        <f>'BD Plant List'!$H402/12*'BD Feedstock'!K$3*'BD Plant List'!AB$5</f>
        <v>0</v>
      </c>
      <c r="L400" s="295">
        <f>'BD Plant List'!$H402/12*'BD Feedstock'!L$3*'BD Plant List'!AC$5</f>
        <v>0</v>
      </c>
      <c r="M400" s="295">
        <f>'BD Plant List'!$I402/12*'BD Feedstock'!$M$3*'BD Plant List'!AC$5</f>
        <v>3.4291666666666671</v>
      </c>
      <c r="N400" s="295">
        <f>'BD Plant List'!$J402/12*'BD Feedstock'!N$3*'BD Plant List'!AC$5</f>
        <v>0</v>
      </c>
      <c r="O400" s="295">
        <f>'BD Plant List'!$K402/12*'BD Feedstock'!O$3*'BD Plant List'!AC$5</f>
        <v>0</v>
      </c>
      <c r="P400" s="295">
        <f>'BD Plant List'!$L402/12*'BD Feedstock'!P$3*'BD Plant List'!AE$5</f>
        <v>0</v>
      </c>
      <c r="Q400" s="295">
        <f>'BD Plant List'!$M402/12*'BD Feedstock'!Q$3*'BD Plant List'!AE$5</f>
        <v>0.93125000000000002</v>
      </c>
      <c r="R400" s="295">
        <f>'BD Plant List'!$N402/12*'BD Feedstock'!R$3*'BD Plant List'!AE$5</f>
        <v>26.540625000000002</v>
      </c>
      <c r="S400" s="295">
        <f>'BD Plant List'!$N402/12*'BD Feedstock'!S$3*'BD Plant List'!AF$5</f>
        <v>1.40625</v>
      </c>
      <c r="T400" s="295">
        <f>'BD Plant List'!$O402/12*'BD Feedstock'!T$3*'BD Plant List'!AB$5</f>
        <v>8.5732126770944213</v>
      </c>
      <c r="U400" s="295">
        <f>'BD Plant List'!$O402/12*'BD Feedstock'!U$3*'BD Plant List'!AC$5</f>
        <v>3.0347329175263269</v>
      </c>
    </row>
    <row r="401" spans="1:21" ht="18">
      <c r="A401" s="293">
        <v>51898</v>
      </c>
      <c r="B401" s="295">
        <f>'BD Plant List'!B403/12*'BD Plant List'!$AE$5*$B$3</f>
        <v>43.458333333333336</v>
      </c>
      <c r="C401" s="295">
        <f>'BD Plant List'!$C403/12*'BD Plant List'!$AB$5*'BD Feedstock'!$D$3</f>
        <v>2.098958333333333</v>
      </c>
      <c r="D401" s="295">
        <f>'BD Plant List'!$C403/12*'BD Plant List'!$AC$5*'BD Feedstock'!$D$3</f>
        <v>2.2289583333333334</v>
      </c>
      <c r="E401" s="295">
        <f>'BD Plant List'!$D403/12*'BD Plant List'!AB$5*'BD Feedstock'!$E$3</f>
        <v>9.6875</v>
      </c>
      <c r="F401" s="295">
        <f>'BD Plant List'!$D403/12*'BD Plant List'!AC$5*'BD Feedstock'!$F$3</f>
        <v>3.4291666666666671</v>
      </c>
      <c r="G401" s="295">
        <f>'BD Plant List'!$E403/12*'BD Feedstock'!G$3*'BD Plant List'!AB$5</f>
        <v>1.453125</v>
      </c>
      <c r="H401" s="295">
        <f>'BD Plant List'!$E403/12*'BD Feedstock'!H$3*'BD Plant List'!AC$5</f>
        <v>0.51437500000000003</v>
      </c>
      <c r="I401" s="295">
        <f>'BD Plant List'!F403/12*'BD Feedstock'!I$3*'BD Plant List'!AC$5</f>
        <v>0.13716666666666666</v>
      </c>
      <c r="J401" s="295">
        <f>'BD Plant List'!G403/12*'BD Feedstock'!J$3*'BD Plant List'!AD$5</f>
        <v>0.90199999999999991</v>
      </c>
      <c r="K401" s="295">
        <f>'BD Plant List'!$H403/12*'BD Feedstock'!K$3*'BD Plant List'!AB$5</f>
        <v>0</v>
      </c>
      <c r="L401" s="295">
        <f>'BD Plant List'!$H403/12*'BD Feedstock'!L$3*'BD Plant List'!AC$5</f>
        <v>0</v>
      </c>
      <c r="M401" s="295">
        <f>'BD Plant List'!$I403/12*'BD Feedstock'!$M$3*'BD Plant List'!AC$5</f>
        <v>3.4291666666666671</v>
      </c>
      <c r="N401" s="295">
        <f>'BD Plant List'!$J403/12*'BD Feedstock'!N$3*'BD Plant List'!AC$5</f>
        <v>0</v>
      </c>
      <c r="O401" s="295">
        <f>'BD Plant List'!$K403/12*'BD Feedstock'!O$3*'BD Plant List'!AC$5</f>
        <v>0</v>
      </c>
      <c r="P401" s="295">
        <f>'BD Plant List'!$L403/12*'BD Feedstock'!P$3*'BD Plant List'!AE$5</f>
        <v>0</v>
      </c>
      <c r="Q401" s="295">
        <f>'BD Plant List'!$M403/12*'BD Feedstock'!Q$3*'BD Plant List'!AE$5</f>
        <v>0.93125000000000002</v>
      </c>
      <c r="R401" s="295">
        <f>'BD Plant List'!$N403/12*'BD Feedstock'!R$3*'BD Plant List'!AE$5</f>
        <v>26.540625000000002</v>
      </c>
      <c r="S401" s="295">
        <f>'BD Plant List'!$N403/12*'BD Feedstock'!S$3*'BD Plant List'!AF$5</f>
        <v>1.40625</v>
      </c>
      <c r="T401" s="295">
        <f>'BD Plant List'!$O403/12*'BD Feedstock'!T$3*'BD Plant List'!AB$5</f>
        <v>8.5732126770944213</v>
      </c>
      <c r="U401" s="295">
        <f>'BD Plant List'!$O403/12*'BD Feedstock'!U$3*'BD Plant List'!AC$5</f>
        <v>3.0347329175263269</v>
      </c>
    </row>
    <row r="402" spans="1:21" ht="18">
      <c r="A402" s="293">
        <v>51926</v>
      </c>
      <c r="B402" s="295">
        <f>'BD Plant List'!B404/12*'BD Plant List'!$AE$5*$B$3</f>
        <v>43.458333333333336</v>
      </c>
      <c r="C402" s="295">
        <f>'BD Plant List'!$C404/12*'BD Plant List'!$AB$5*'BD Feedstock'!$D$3</f>
        <v>2.098958333333333</v>
      </c>
      <c r="D402" s="295">
        <f>'BD Plant List'!$C404/12*'BD Plant List'!$AC$5*'BD Feedstock'!$D$3</f>
        <v>2.2289583333333334</v>
      </c>
      <c r="E402" s="295">
        <f>'BD Plant List'!$D404/12*'BD Plant List'!AB$5*'BD Feedstock'!$E$3</f>
        <v>9.6875</v>
      </c>
      <c r="F402" s="295">
        <f>'BD Plant List'!$D404/12*'BD Plant List'!AC$5*'BD Feedstock'!$F$3</f>
        <v>3.4291666666666671</v>
      </c>
      <c r="G402" s="295">
        <f>'BD Plant List'!$E404/12*'BD Feedstock'!G$3*'BD Plant List'!AB$5</f>
        <v>1.453125</v>
      </c>
      <c r="H402" s="295">
        <f>'BD Plant List'!$E404/12*'BD Feedstock'!H$3*'BD Plant List'!AC$5</f>
        <v>0.51437500000000003</v>
      </c>
      <c r="I402" s="295">
        <f>'BD Plant List'!F404/12*'BD Feedstock'!I$3*'BD Plant List'!AC$5</f>
        <v>0.13716666666666666</v>
      </c>
      <c r="J402" s="295">
        <f>'BD Plant List'!G404/12*'BD Feedstock'!J$3*'BD Plant List'!AD$5</f>
        <v>0.90199999999999991</v>
      </c>
      <c r="K402" s="295">
        <f>'BD Plant List'!$H404/12*'BD Feedstock'!K$3*'BD Plant List'!AB$5</f>
        <v>0</v>
      </c>
      <c r="L402" s="295">
        <f>'BD Plant List'!$H404/12*'BD Feedstock'!L$3*'BD Plant List'!AC$5</f>
        <v>0</v>
      </c>
      <c r="M402" s="295">
        <f>'BD Plant List'!$I404/12*'BD Feedstock'!$M$3*'BD Plant List'!AC$5</f>
        <v>3.4291666666666671</v>
      </c>
      <c r="N402" s="295">
        <f>'BD Plant List'!$J404/12*'BD Feedstock'!N$3*'BD Plant List'!AC$5</f>
        <v>0</v>
      </c>
      <c r="O402" s="295">
        <f>'BD Plant List'!$K404/12*'BD Feedstock'!O$3*'BD Plant List'!AC$5</f>
        <v>0</v>
      </c>
      <c r="P402" s="295">
        <f>'BD Plant List'!$L404/12*'BD Feedstock'!P$3*'BD Plant List'!AE$5</f>
        <v>0</v>
      </c>
      <c r="Q402" s="295">
        <f>'BD Plant List'!$M404/12*'BD Feedstock'!Q$3*'BD Plant List'!AE$5</f>
        <v>0.93125000000000002</v>
      </c>
      <c r="R402" s="295">
        <f>'BD Plant List'!$N404/12*'BD Feedstock'!R$3*'BD Plant List'!AE$5</f>
        <v>26.540625000000002</v>
      </c>
      <c r="S402" s="295">
        <f>'BD Plant List'!$N404/12*'BD Feedstock'!S$3*'BD Plant List'!AF$5</f>
        <v>1.40625</v>
      </c>
      <c r="T402" s="295">
        <f>'BD Plant List'!$O404/12*'BD Feedstock'!T$3*'BD Plant List'!AB$5</f>
        <v>8.5732126770944213</v>
      </c>
      <c r="U402" s="295">
        <f>'BD Plant List'!$O404/12*'BD Feedstock'!U$3*'BD Plant List'!AC$5</f>
        <v>3.0347329175263269</v>
      </c>
    </row>
    <row r="403" spans="1:21" ht="18">
      <c r="A403" s="293">
        <v>51957</v>
      </c>
      <c r="B403" s="295">
        <f>'BD Plant List'!B405/12*'BD Plant List'!$AE$5*$B$3</f>
        <v>43.458333333333336</v>
      </c>
      <c r="C403" s="295">
        <f>'BD Plant List'!$C405/12*'BD Plant List'!$AB$5*'BD Feedstock'!$D$3</f>
        <v>2.098958333333333</v>
      </c>
      <c r="D403" s="295">
        <f>'BD Plant List'!$C405/12*'BD Plant List'!$AC$5*'BD Feedstock'!$D$3</f>
        <v>2.2289583333333334</v>
      </c>
      <c r="E403" s="295">
        <f>'BD Plant List'!$D405/12*'BD Plant List'!AB$5*'BD Feedstock'!$E$3</f>
        <v>9.6875</v>
      </c>
      <c r="F403" s="295">
        <f>'BD Plant List'!$D405/12*'BD Plant List'!AC$5*'BD Feedstock'!$F$3</f>
        <v>3.4291666666666671</v>
      </c>
      <c r="G403" s="295">
        <f>'BD Plant List'!$E405/12*'BD Feedstock'!G$3*'BD Plant List'!AB$5</f>
        <v>1.453125</v>
      </c>
      <c r="H403" s="295">
        <f>'BD Plant List'!$E405/12*'BD Feedstock'!H$3*'BD Plant List'!AC$5</f>
        <v>0.51437500000000003</v>
      </c>
      <c r="I403" s="295">
        <f>'BD Plant List'!F405/12*'BD Feedstock'!I$3*'BD Plant List'!AC$5</f>
        <v>0.13716666666666666</v>
      </c>
      <c r="J403" s="295">
        <f>'BD Plant List'!G405/12*'BD Feedstock'!J$3*'BD Plant List'!AD$5</f>
        <v>0.90199999999999991</v>
      </c>
      <c r="K403" s="295">
        <f>'BD Plant List'!$H405/12*'BD Feedstock'!K$3*'BD Plant List'!AB$5</f>
        <v>0</v>
      </c>
      <c r="L403" s="295">
        <f>'BD Plant List'!$H405/12*'BD Feedstock'!L$3*'BD Plant List'!AC$5</f>
        <v>0</v>
      </c>
      <c r="M403" s="295">
        <f>'BD Plant List'!$I405/12*'BD Feedstock'!$M$3*'BD Plant List'!AC$5</f>
        <v>3.4291666666666671</v>
      </c>
      <c r="N403" s="295">
        <f>'BD Plant List'!$J405/12*'BD Feedstock'!N$3*'BD Plant List'!AC$5</f>
        <v>0</v>
      </c>
      <c r="O403" s="295">
        <f>'BD Plant List'!$K405/12*'BD Feedstock'!O$3*'BD Plant List'!AC$5</f>
        <v>0</v>
      </c>
      <c r="P403" s="295">
        <f>'BD Plant List'!$L405/12*'BD Feedstock'!P$3*'BD Plant List'!AE$5</f>
        <v>0</v>
      </c>
      <c r="Q403" s="295">
        <f>'BD Plant List'!$M405/12*'BD Feedstock'!Q$3*'BD Plant List'!AE$5</f>
        <v>0.93125000000000002</v>
      </c>
      <c r="R403" s="295">
        <f>'BD Plant List'!$N405/12*'BD Feedstock'!R$3*'BD Plant List'!AE$5</f>
        <v>26.540625000000002</v>
      </c>
      <c r="S403" s="295">
        <f>'BD Plant List'!$N405/12*'BD Feedstock'!S$3*'BD Plant List'!AF$5</f>
        <v>1.40625</v>
      </c>
      <c r="T403" s="295">
        <f>'BD Plant List'!$O405/12*'BD Feedstock'!T$3*'BD Plant List'!AB$5</f>
        <v>8.5732126770944213</v>
      </c>
      <c r="U403" s="295">
        <f>'BD Plant List'!$O405/12*'BD Feedstock'!U$3*'BD Plant List'!AC$5</f>
        <v>3.0347329175263269</v>
      </c>
    </row>
    <row r="404" spans="1:21" ht="18">
      <c r="A404" s="293">
        <v>51987</v>
      </c>
      <c r="B404" s="295">
        <f>'BD Plant List'!B406/12*'BD Plant List'!$AE$5*$B$3</f>
        <v>43.458333333333336</v>
      </c>
      <c r="C404" s="295">
        <f>'BD Plant List'!$C406/12*'BD Plant List'!$AB$5*'BD Feedstock'!$D$3</f>
        <v>2.098958333333333</v>
      </c>
      <c r="D404" s="295">
        <f>'BD Plant List'!$C406/12*'BD Plant List'!$AC$5*'BD Feedstock'!$D$3</f>
        <v>2.2289583333333334</v>
      </c>
      <c r="E404" s="295">
        <f>'BD Plant List'!$D406/12*'BD Plant List'!AB$5*'BD Feedstock'!$E$3</f>
        <v>9.6875</v>
      </c>
      <c r="F404" s="295">
        <f>'BD Plant List'!$D406/12*'BD Plant List'!AC$5*'BD Feedstock'!$F$3</f>
        <v>3.4291666666666671</v>
      </c>
      <c r="G404" s="295">
        <f>'BD Plant List'!$E406/12*'BD Feedstock'!G$3*'BD Plant List'!AB$5</f>
        <v>1.453125</v>
      </c>
      <c r="H404" s="295">
        <f>'BD Plant List'!$E406/12*'BD Feedstock'!H$3*'BD Plant List'!AC$5</f>
        <v>0.51437500000000003</v>
      </c>
      <c r="I404" s="295">
        <f>'BD Plant List'!F406/12*'BD Feedstock'!I$3*'BD Plant List'!AC$5</f>
        <v>0.13716666666666666</v>
      </c>
      <c r="J404" s="295">
        <f>'BD Plant List'!G406/12*'BD Feedstock'!J$3*'BD Plant List'!AD$5</f>
        <v>0.90199999999999991</v>
      </c>
      <c r="K404" s="295">
        <f>'BD Plant List'!$H406/12*'BD Feedstock'!K$3*'BD Plant List'!AB$5</f>
        <v>0</v>
      </c>
      <c r="L404" s="295">
        <f>'BD Plant List'!$H406/12*'BD Feedstock'!L$3*'BD Plant List'!AC$5</f>
        <v>0</v>
      </c>
      <c r="M404" s="295">
        <f>'BD Plant List'!$I406/12*'BD Feedstock'!$M$3*'BD Plant List'!AC$5</f>
        <v>3.4291666666666671</v>
      </c>
      <c r="N404" s="295">
        <f>'BD Plant List'!$J406/12*'BD Feedstock'!N$3*'BD Plant List'!AC$5</f>
        <v>0</v>
      </c>
      <c r="O404" s="295">
        <f>'BD Plant List'!$K406/12*'BD Feedstock'!O$3*'BD Plant List'!AC$5</f>
        <v>0</v>
      </c>
      <c r="P404" s="295">
        <f>'BD Plant List'!$L406/12*'BD Feedstock'!P$3*'BD Plant List'!AE$5</f>
        <v>0</v>
      </c>
      <c r="Q404" s="295">
        <f>'BD Plant List'!$M406/12*'BD Feedstock'!Q$3*'BD Plant List'!AE$5</f>
        <v>0.93125000000000002</v>
      </c>
      <c r="R404" s="295">
        <f>'BD Plant List'!$N406/12*'BD Feedstock'!R$3*'BD Plant List'!AE$5</f>
        <v>26.540625000000002</v>
      </c>
      <c r="S404" s="295">
        <f>'BD Plant List'!$N406/12*'BD Feedstock'!S$3*'BD Plant List'!AF$5</f>
        <v>1.40625</v>
      </c>
      <c r="T404" s="295">
        <f>'BD Plant List'!$O406/12*'BD Feedstock'!T$3*'BD Plant List'!AB$5</f>
        <v>8.5732126770944213</v>
      </c>
      <c r="U404" s="295">
        <f>'BD Plant List'!$O406/12*'BD Feedstock'!U$3*'BD Plant List'!AC$5</f>
        <v>3.0347329175263269</v>
      </c>
    </row>
    <row r="405" spans="1:21" ht="18">
      <c r="A405" s="293">
        <v>52018</v>
      </c>
      <c r="B405" s="295">
        <f>'BD Plant List'!B407/12*'BD Plant List'!$AE$5*$B$3</f>
        <v>43.458333333333336</v>
      </c>
      <c r="C405" s="295">
        <f>'BD Plant List'!$C407/12*'BD Plant List'!$AB$5*'BD Feedstock'!$D$3</f>
        <v>2.098958333333333</v>
      </c>
      <c r="D405" s="295">
        <f>'BD Plant List'!$C407/12*'BD Plant List'!$AC$5*'BD Feedstock'!$D$3</f>
        <v>2.2289583333333334</v>
      </c>
      <c r="E405" s="295">
        <f>'BD Plant List'!$D407/12*'BD Plant List'!AB$5*'BD Feedstock'!$E$3</f>
        <v>9.6875</v>
      </c>
      <c r="F405" s="295">
        <f>'BD Plant List'!$D407/12*'BD Plant List'!AC$5*'BD Feedstock'!$F$3</f>
        <v>3.4291666666666671</v>
      </c>
      <c r="G405" s="295">
        <f>'BD Plant List'!$E407/12*'BD Feedstock'!G$3*'BD Plant List'!AB$5</f>
        <v>1.453125</v>
      </c>
      <c r="H405" s="295">
        <f>'BD Plant List'!$E407/12*'BD Feedstock'!H$3*'BD Plant List'!AC$5</f>
        <v>0.51437500000000003</v>
      </c>
      <c r="I405" s="295">
        <f>'BD Plant List'!F407/12*'BD Feedstock'!I$3*'BD Plant List'!AC$5</f>
        <v>0.13716666666666666</v>
      </c>
      <c r="J405" s="295">
        <f>'BD Plant List'!G407/12*'BD Feedstock'!J$3*'BD Plant List'!AD$5</f>
        <v>0.90199999999999991</v>
      </c>
      <c r="K405" s="295">
        <f>'BD Plant List'!$H407/12*'BD Feedstock'!K$3*'BD Plant List'!AB$5</f>
        <v>0</v>
      </c>
      <c r="L405" s="295">
        <f>'BD Plant List'!$H407/12*'BD Feedstock'!L$3*'BD Plant List'!AC$5</f>
        <v>0</v>
      </c>
      <c r="M405" s="295">
        <f>'BD Plant List'!$I407/12*'BD Feedstock'!$M$3*'BD Plant List'!AC$5</f>
        <v>3.4291666666666671</v>
      </c>
      <c r="N405" s="295">
        <f>'BD Plant List'!$J407/12*'BD Feedstock'!N$3*'BD Plant List'!AC$5</f>
        <v>0</v>
      </c>
      <c r="O405" s="295">
        <f>'BD Plant List'!$K407/12*'BD Feedstock'!O$3*'BD Plant List'!AC$5</f>
        <v>0</v>
      </c>
      <c r="P405" s="295">
        <f>'BD Plant List'!$L407/12*'BD Feedstock'!P$3*'BD Plant List'!AE$5</f>
        <v>0</v>
      </c>
      <c r="Q405" s="295">
        <f>'BD Plant List'!$M407/12*'BD Feedstock'!Q$3*'BD Plant List'!AE$5</f>
        <v>0.93125000000000002</v>
      </c>
      <c r="R405" s="295">
        <f>'BD Plant List'!$N407/12*'BD Feedstock'!R$3*'BD Plant List'!AE$5</f>
        <v>26.540625000000002</v>
      </c>
      <c r="S405" s="295">
        <f>'BD Plant List'!$N407/12*'BD Feedstock'!S$3*'BD Plant List'!AF$5</f>
        <v>1.40625</v>
      </c>
      <c r="T405" s="295">
        <f>'BD Plant List'!$O407/12*'BD Feedstock'!T$3*'BD Plant List'!AB$5</f>
        <v>8.5732126770944213</v>
      </c>
      <c r="U405" s="295">
        <f>'BD Plant List'!$O407/12*'BD Feedstock'!U$3*'BD Plant List'!AC$5</f>
        <v>3.0347329175263269</v>
      </c>
    </row>
    <row r="406" spans="1:21" ht="18">
      <c r="A406" s="293">
        <v>52048</v>
      </c>
      <c r="B406" s="295">
        <f>'BD Plant List'!B408/12*'BD Plant List'!$AE$5*$B$3</f>
        <v>43.458333333333336</v>
      </c>
      <c r="C406" s="295">
        <f>'BD Plant List'!$C408/12*'BD Plant List'!$AB$5*'BD Feedstock'!$D$3</f>
        <v>2.098958333333333</v>
      </c>
      <c r="D406" s="295">
        <f>'BD Plant List'!$C408/12*'BD Plant List'!$AC$5*'BD Feedstock'!$D$3</f>
        <v>2.2289583333333334</v>
      </c>
      <c r="E406" s="295">
        <f>'BD Plant List'!$D408/12*'BD Plant List'!AB$5*'BD Feedstock'!$E$3</f>
        <v>9.6875</v>
      </c>
      <c r="F406" s="295">
        <f>'BD Plant List'!$D408/12*'BD Plant List'!AC$5*'BD Feedstock'!$F$3</f>
        <v>3.4291666666666671</v>
      </c>
      <c r="G406" s="295">
        <f>'BD Plant List'!$E408/12*'BD Feedstock'!G$3*'BD Plant List'!AB$5</f>
        <v>1.453125</v>
      </c>
      <c r="H406" s="295">
        <f>'BD Plant List'!$E408/12*'BD Feedstock'!H$3*'BD Plant List'!AC$5</f>
        <v>0.51437500000000003</v>
      </c>
      <c r="I406" s="295">
        <f>'BD Plant List'!F408/12*'BD Feedstock'!I$3*'BD Plant List'!AC$5</f>
        <v>0.13716666666666666</v>
      </c>
      <c r="J406" s="295">
        <f>'BD Plant List'!G408/12*'BD Feedstock'!J$3*'BD Plant List'!AD$5</f>
        <v>0.90199999999999991</v>
      </c>
      <c r="K406" s="295">
        <f>'BD Plant List'!$H408/12*'BD Feedstock'!K$3*'BD Plant List'!AB$5</f>
        <v>0</v>
      </c>
      <c r="L406" s="295">
        <f>'BD Plant List'!$H408/12*'BD Feedstock'!L$3*'BD Plant List'!AC$5</f>
        <v>0</v>
      </c>
      <c r="M406" s="295">
        <f>'BD Plant List'!$I408/12*'BD Feedstock'!$M$3*'BD Plant List'!AC$5</f>
        <v>3.4291666666666671</v>
      </c>
      <c r="N406" s="295">
        <f>'BD Plant List'!$J408/12*'BD Feedstock'!N$3*'BD Plant List'!AC$5</f>
        <v>0</v>
      </c>
      <c r="O406" s="295">
        <f>'BD Plant List'!$K408/12*'BD Feedstock'!O$3*'BD Plant List'!AC$5</f>
        <v>0</v>
      </c>
      <c r="P406" s="295">
        <f>'BD Plant List'!$L408/12*'BD Feedstock'!P$3*'BD Plant List'!AE$5</f>
        <v>0</v>
      </c>
      <c r="Q406" s="295">
        <f>'BD Plant List'!$M408/12*'BD Feedstock'!Q$3*'BD Plant List'!AE$5</f>
        <v>0.93125000000000002</v>
      </c>
      <c r="R406" s="295">
        <f>'BD Plant List'!$N408/12*'BD Feedstock'!R$3*'BD Plant List'!AE$5</f>
        <v>26.540625000000002</v>
      </c>
      <c r="S406" s="295">
        <f>'BD Plant List'!$N408/12*'BD Feedstock'!S$3*'BD Plant List'!AF$5</f>
        <v>1.40625</v>
      </c>
      <c r="T406" s="295">
        <f>'BD Plant List'!$O408/12*'BD Feedstock'!T$3*'BD Plant List'!AB$5</f>
        <v>8.5732126770944213</v>
      </c>
      <c r="U406" s="295">
        <f>'BD Plant List'!$O408/12*'BD Feedstock'!U$3*'BD Plant List'!AC$5</f>
        <v>3.0347329175263269</v>
      </c>
    </row>
    <row r="407" spans="1:21" ht="18">
      <c r="A407" s="293">
        <v>52079</v>
      </c>
      <c r="B407" s="295">
        <f>'BD Plant List'!B409/12*'BD Plant List'!$AE$5*$B$3</f>
        <v>43.458333333333336</v>
      </c>
      <c r="C407" s="295">
        <f>'BD Plant List'!$C409/12*'BD Plant List'!$AB$5*'BD Feedstock'!$D$3</f>
        <v>2.098958333333333</v>
      </c>
      <c r="D407" s="295">
        <f>'BD Plant List'!$C409/12*'BD Plant List'!$AC$5*'BD Feedstock'!$D$3</f>
        <v>2.2289583333333334</v>
      </c>
      <c r="E407" s="295">
        <f>'BD Plant List'!$D409/12*'BD Plant List'!AB$5*'BD Feedstock'!$E$3</f>
        <v>9.6875</v>
      </c>
      <c r="F407" s="295">
        <f>'BD Plant List'!$D409/12*'BD Plant List'!AC$5*'BD Feedstock'!$F$3</f>
        <v>3.4291666666666671</v>
      </c>
      <c r="G407" s="295">
        <f>'BD Plant List'!$E409/12*'BD Feedstock'!G$3*'BD Plant List'!AB$5</f>
        <v>1.453125</v>
      </c>
      <c r="H407" s="295">
        <f>'BD Plant List'!$E409/12*'BD Feedstock'!H$3*'BD Plant List'!AC$5</f>
        <v>0.51437500000000003</v>
      </c>
      <c r="I407" s="295">
        <f>'BD Plant List'!F409/12*'BD Feedstock'!I$3*'BD Plant List'!AC$5</f>
        <v>0.13716666666666666</v>
      </c>
      <c r="J407" s="295">
        <f>'BD Plant List'!G409/12*'BD Feedstock'!J$3*'BD Plant List'!AD$5</f>
        <v>0.90199999999999991</v>
      </c>
      <c r="K407" s="295">
        <f>'BD Plant List'!$H409/12*'BD Feedstock'!K$3*'BD Plant List'!AB$5</f>
        <v>0</v>
      </c>
      <c r="L407" s="295">
        <f>'BD Plant List'!$H409/12*'BD Feedstock'!L$3*'BD Plant List'!AC$5</f>
        <v>0</v>
      </c>
      <c r="M407" s="295">
        <f>'BD Plant List'!$I409/12*'BD Feedstock'!$M$3*'BD Plant List'!AC$5</f>
        <v>3.4291666666666671</v>
      </c>
      <c r="N407" s="295">
        <f>'BD Plant List'!$J409/12*'BD Feedstock'!N$3*'BD Plant List'!AC$5</f>
        <v>0</v>
      </c>
      <c r="O407" s="295">
        <f>'BD Plant List'!$K409/12*'BD Feedstock'!O$3*'BD Plant List'!AC$5</f>
        <v>0</v>
      </c>
      <c r="P407" s="295">
        <f>'BD Plant List'!$L409/12*'BD Feedstock'!P$3*'BD Plant List'!AE$5</f>
        <v>0</v>
      </c>
      <c r="Q407" s="295">
        <f>'BD Plant List'!$M409/12*'BD Feedstock'!Q$3*'BD Plant List'!AE$5</f>
        <v>0.93125000000000002</v>
      </c>
      <c r="R407" s="295">
        <f>'BD Plant List'!$N409/12*'BD Feedstock'!R$3*'BD Plant List'!AE$5</f>
        <v>26.540625000000002</v>
      </c>
      <c r="S407" s="295">
        <f>'BD Plant List'!$N409/12*'BD Feedstock'!S$3*'BD Plant List'!AF$5</f>
        <v>1.40625</v>
      </c>
      <c r="T407" s="295">
        <f>'BD Plant List'!$O409/12*'BD Feedstock'!T$3*'BD Plant List'!AB$5</f>
        <v>8.5732126770944213</v>
      </c>
      <c r="U407" s="295">
        <f>'BD Plant List'!$O409/12*'BD Feedstock'!U$3*'BD Plant List'!AC$5</f>
        <v>3.0347329175263269</v>
      </c>
    </row>
    <row r="408" spans="1:21" ht="18">
      <c r="A408" s="293">
        <v>52110</v>
      </c>
      <c r="B408" s="295">
        <f>'BD Plant List'!B410/12*'BD Plant List'!$AE$5*$B$3</f>
        <v>43.458333333333336</v>
      </c>
      <c r="C408" s="295">
        <f>'BD Plant List'!$C410/12*'BD Plant List'!$AB$5*'BD Feedstock'!$D$3</f>
        <v>2.098958333333333</v>
      </c>
      <c r="D408" s="295">
        <f>'BD Plant List'!$C410/12*'BD Plant List'!$AC$5*'BD Feedstock'!$D$3</f>
        <v>2.2289583333333334</v>
      </c>
      <c r="E408" s="295">
        <f>'BD Plant List'!$D410/12*'BD Plant List'!AB$5*'BD Feedstock'!$E$3</f>
        <v>9.6875</v>
      </c>
      <c r="F408" s="295">
        <f>'BD Plant List'!$D410/12*'BD Plant List'!AC$5*'BD Feedstock'!$F$3</f>
        <v>3.4291666666666671</v>
      </c>
      <c r="G408" s="295">
        <f>'BD Plant List'!$E410/12*'BD Feedstock'!G$3*'BD Plant List'!AB$5</f>
        <v>1.453125</v>
      </c>
      <c r="H408" s="295">
        <f>'BD Plant List'!$E410/12*'BD Feedstock'!H$3*'BD Plant List'!AC$5</f>
        <v>0.51437500000000003</v>
      </c>
      <c r="I408" s="295">
        <f>'BD Plant List'!F410/12*'BD Feedstock'!I$3*'BD Plant List'!AC$5</f>
        <v>0.13716666666666666</v>
      </c>
      <c r="J408" s="295">
        <f>'BD Plant List'!G410/12*'BD Feedstock'!J$3*'BD Plant List'!AD$5</f>
        <v>0.90199999999999991</v>
      </c>
      <c r="K408" s="295">
        <f>'BD Plant List'!$H410/12*'BD Feedstock'!K$3*'BD Plant List'!AB$5</f>
        <v>0</v>
      </c>
      <c r="L408" s="295">
        <f>'BD Plant List'!$H410/12*'BD Feedstock'!L$3*'BD Plant List'!AC$5</f>
        <v>0</v>
      </c>
      <c r="M408" s="295">
        <f>'BD Plant List'!$I410/12*'BD Feedstock'!$M$3*'BD Plant List'!AC$5</f>
        <v>3.4291666666666671</v>
      </c>
      <c r="N408" s="295">
        <f>'BD Plant List'!$J410/12*'BD Feedstock'!N$3*'BD Plant List'!AC$5</f>
        <v>0</v>
      </c>
      <c r="O408" s="295">
        <f>'BD Plant List'!$K410/12*'BD Feedstock'!O$3*'BD Plant List'!AC$5</f>
        <v>0</v>
      </c>
      <c r="P408" s="295">
        <f>'BD Plant List'!$L410/12*'BD Feedstock'!P$3*'BD Plant List'!AE$5</f>
        <v>0</v>
      </c>
      <c r="Q408" s="295">
        <f>'BD Plant List'!$M410/12*'BD Feedstock'!Q$3*'BD Plant List'!AE$5</f>
        <v>0.93125000000000002</v>
      </c>
      <c r="R408" s="295">
        <f>'BD Plant List'!$N410/12*'BD Feedstock'!R$3*'BD Plant List'!AE$5</f>
        <v>26.540625000000002</v>
      </c>
      <c r="S408" s="295">
        <f>'BD Plant List'!$N410/12*'BD Feedstock'!S$3*'BD Plant List'!AF$5</f>
        <v>1.40625</v>
      </c>
      <c r="T408" s="295">
        <f>'BD Plant List'!$O410/12*'BD Feedstock'!T$3*'BD Plant List'!AB$5</f>
        <v>8.5732126770944213</v>
      </c>
      <c r="U408" s="295">
        <f>'BD Plant List'!$O410/12*'BD Feedstock'!U$3*'BD Plant List'!AC$5</f>
        <v>3.0347329175263269</v>
      </c>
    </row>
    <row r="409" spans="1:21" ht="18">
      <c r="A409" s="293">
        <v>52140</v>
      </c>
      <c r="B409" s="295">
        <f>'BD Plant List'!B411/12*'BD Plant List'!$AE$5*$B$3</f>
        <v>43.458333333333336</v>
      </c>
      <c r="C409" s="295">
        <f>'BD Plant List'!$C411/12*'BD Plant List'!$AB$5*'BD Feedstock'!$D$3</f>
        <v>2.098958333333333</v>
      </c>
      <c r="D409" s="295">
        <f>'BD Plant List'!$C411/12*'BD Plant List'!$AC$5*'BD Feedstock'!$D$3</f>
        <v>2.2289583333333334</v>
      </c>
      <c r="E409" s="295">
        <f>'BD Plant List'!$D411/12*'BD Plant List'!AB$5*'BD Feedstock'!$E$3</f>
        <v>9.6875</v>
      </c>
      <c r="F409" s="295">
        <f>'BD Plant List'!$D411/12*'BD Plant List'!AC$5*'BD Feedstock'!$F$3</f>
        <v>3.4291666666666671</v>
      </c>
      <c r="G409" s="295">
        <f>'BD Plant List'!$E411/12*'BD Feedstock'!G$3*'BD Plant List'!AB$5</f>
        <v>1.453125</v>
      </c>
      <c r="H409" s="295">
        <f>'BD Plant List'!$E411/12*'BD Feedstock'!H$3*'BD Plant List'!AC$5</f>
        <v>0.51437500000000003</v>
      </c>
      <c r="I409" s="295">
        <f>'BD Plant List'!F411/12*'BD Feedstock'!I$3*'BD Plant List'!AC$5</f>
        <v>0.13716666666666666</v>
      </c>
      <c r="J409" s="295">
        <f>'BD Plant List'!G411/12*'BD Feedstock'!J$3*'BD Plant List'!AD$5</f>
        <v>0.90199999999999991</v>
      </c>
      <c r="K409" s="295">
        <f>'BD Plant List'!$H411/12*'BD Feedstock'!K$3*'BD Plant List'!AB$5</f>
        <v>0</v>
      </c>
      <c r="L409" s="295">
        <f>'BD Plant List'!$H411/12*'BD Feedstock'!L$3*'BD Plant List'!AC$5</f>
        <v>0</v>
      </c>
      <c r="M409" s="295">
        <f>'BD Plant List'!$I411/12*'BD Feedstock'!$M$3*'BD Plant List'!AC$5</f>
        <v>3.4291666666666671</v>
      </c>
      <c r="N409" s="295">
        <f>'BD Plant List'!$J411/12*'BD Feedstock'!N$3*'BD Plant List'!AC$5</f>
        <v>0</v>
      </c>
      <c r="O409" s="295">
        <f>'BD Plant List'!$K411/12*'BD Feedstock'!O$3*'BD Plant List'!AC$5</f>
        <v>0</v>
      </c>
      <c r="P409" s="295">
        <f>'BD Plant List'!$L411/12*'BD Feedstock'!P$3*'BD Plant List'!AE$5</f>
        <v>0</v>
      </c>
      <c r="Q409" s="295">
        <f>'BD Plant List'!$M411/12*'BD Feedstock'!Q$3*'BD Plant List'!AE$5</f>
        <v>0.93125000000000002</v>
      </c>
      <c r="R409" s="295">
        <f>'BD Plant List'!$N411/12*'BD Feedstock'!R$3*'BD Plant List'!AE$5</f>
        <v>26.540625000000002</v>
      </c>
      <c r="S409" s="295">
        <f>'BD Plant List'!$N411/12*'BD Feedstock'!S$3*'BD Plant List'!AF$5</f>
        <v>1.40625</v>
      </c>
      <c r="T409" s="295">
        <f>'BD Plant List'!$O411/12*'BD Feedstock'!T$3*'BD Plant List'!AB$5</f>
        <v>8.5732126770944213</v>
      </c>
      <c r="U409" s="295">
        <f>'BD Plant List'!$O411/12*'BD Feedstock'!U$3*'BD Plant List'!AC$5</f>
        <v>3.0347329175263269</v>
      </c>
    </row>
    <row r="410" spans="1:21" ht="18">
      <c r="A410" s="293">
        <v>52171</v>
      </c>
      <c r="B410" s="295">
        <f>'BD Plant List'!B412/12*'BD Plant List'!$AE$5*$B$3</f>
        <v>43.458333333333336</v>
      </c>
      <c r="C410" s="295">
        <f>'BD Plant List'!$C412/12*'BD Plant List'!$AB$5*'BD Feedstock'!$D$3</f>
        <v>2.098958333333333</v>
      </c>
      <c r="D410" s="295">
        <f>'BD Plant List'!$C412/12*'BD Plant List'!$AC$5*'BD Feedstock'!$D$3</f>
        <v>2.2289583333333334</v>
      </c>
      <c r="E410" s="295">
        <f>'BD Plant List'!$D412/12*'BD Plant List'!AB$5*'BD Feedstock'!$E$3</f>
        <v>9.6875</v>
      </c>
      <c r="F410" s="295">
        <f>'BD Plant List'!$D412/12*'BD Plant List'!AC$5*'BD Feedstock'!$F$3</f>
        <v>3.4291666666666671</v>
      </c>
      <c r="G410" s="295">
        <f>'BD Plant List'!$E412/12*'BD Feedstock'!G$3*'BD Plant List'!AB$5</f>
        <v>1.453125</v>
      </c>
      <c r="H410" s="295">
        <f>'BD Plant List'!$E412/12*'BD Feedstock'!H$3*'BD Plant List'!AC$5</f>
        <v>0.51437500000000003</v>
      </c>
      <c r="I410" s="295">
        <f>'BD Plant List'!F412/12*'BD Feedstock'!I$3*'BD Plant List'!AC$5</f>
        <v>0.13716666666666666</v>
      </c>
      <c r="J410" s="295">
        <f>'BD Plant List'!G412/12*'BD Feedstock'!J$3*'BD Plant List'!AD$5</f>
        <v>0.90199999999999991</v>
      </c>
      <c r="K410" s="295">
        <f>'BD Plant List'!$H412/12*'BD Feedstock'!K$3*'BD Plant List'!AB$5</f>
        <v>0</v>
      </c>
      <c r="L410" s="295">
        <f>'BD Plant List'!$H412/12*'BD Feedstock'!L$3*'BD Plant List'!AC$5</f>
        <v>0</v>
      </c>
      <c r="M410" s="295">
        <f>'BD Plant List'!$I412/12*'BD Feedstock'!$M$3*'BD Plant List'!AC$5</f>
        <v>3.4291666666666671</v>
      </c>
      <c r="N410" s="295">
        <f>'BD Plant List'!$J412/12*'BD Feedstock'!N$3*'BD Plant List'!AC$5</f>
        <v>0</v>
      </c>
      <c r="O410" s="295">
        <f>'BD Plant List'!$K412/12*'BD Feedstock'!O$3*'BD Plant List'!AC$5</f>
        <v>0</v>
      </c>
      <c r="P410" s="295">
        <f>'BD Plant List'!$L412/12*'BD Feedstock'!P$3*'BD Plant List'!AE$5</f>
        <v>0</v>
      </c>
      <c r="Q410" s="295">
        <f>'BD Plant List'!$M412/12*'BD Feedstock'!Q$3*'BD Plant List'!AE$5</f>
        <v>0.93125000000000002</v>
      </c>
      <c r="R410" s="295">
        <f>'BD Plant List'!$N412/12*'BD Feedstock'!R$3*'BD Plant List'!AE$5</f>
        <v>26.540625000000002</v>
      </c>
      <c r="S410" s="295">
        <f>'BD Plant List'!$N412/12*'BD Feedstock'!S$3*'BD Plant List'!AF$5</f>
        <v>1.40625</v>
      </c>
      <c r="T410" s="295">
        <f>'BD Plant List'!$O412/12*'BD Feedstock'!T$3*'BD Plant List'!AB$5</f>
        <v>8.5732126770944213</v>
      </c>
      <c r="U410" s="295">
        <f>'BD Plant List'!$O412/12*'BD Feedstock'!U$3*'BD Plant List'!AC$5</f>
        <v>3.0347329175263269</v>
      </c>
    </row>
    <row r="411" spans="1:21" ht="18">
      <c r="A411" s="293">
        <v>52201</v>
      </c>
      <c r="B411" s="295">
        <f>'BD Plant List'!B413/12*'BD Plant List'!$AE$5*$B$3</f>
        <v>43.458333333333336</v>
      </c>
      <c r="C411" s="295">
        <f>'BD Plant List'!$C413/12*'BD Plant List'!$AB$5*'BD Feedstock'!$D$3</f>
        <v>2.098958333333333</v>
      </c>
      <c r="D411" s="295">
        <f>'BD Plant List'!$C413/12*'BD Plant List'!$AC$5*'BD Feedstock'!$D$3</f>
        <v>2.2289583333333334</v>
      </c>
      <c r="E411" s="295">
        <f>'BD Plant List'!$D413/12*'BD Plant List'!AB$5*'BD Feedstock'!$E$3</f>
        <v>9.6875</v>
      </c>
      <c r="F411" s="295">
        <f>'BD Plant List'!$D413/12*'BD Plant List'!AC$5*'BD Feedstock'!$F$3</f>
        <v>3.4291666666666671</v>
      </c>
      <c r="G411" s="295">
        <f>'BD Plant List'!$E413/12*'BD Feedstock'!G$3*'BD Plant List'!AB$5</f>
        <v>1.453125</v>
      </c>
      <c r="H411" s="295">
        <f>'BD Plant List'!$E413/12*'BD Feedstock'!H$3*'BD Plant List'!AC$5</f>
        <v>0.51437500000000003</v>
      </c>
      <c r="I411" s="295">
        <f>'BD Plant List'!F413/12*'BD Feedstock'!I$3*'BD Plant List'!AC$5</f>
        <v>0.13716666666666666</v>
      </c>
      <c r="J411" s="295">
        <f>'BD Plant List'!G413/12*'BD Feedstock'!J$3*'BD Plant List'!AD$5</f>
        <v>0.90199999999999991</v>
      </c>
      <c r="K411" s="295">
        <f>'BD Plant List'!$H413/12*'BD Feedstock'!K$3*'BD Plant List'!AB$5</f>
        <v>0</v>
      </c>
      <c r="L411" s="295">
        <f>'BD Plant List'!$H413/12*'BD Feedstock'!L$3*'BD Plant List'!AC$5</f>
        <v>0</v>
      </c>
      <c r="M411" s="295">
        <f>'BD Plant List'!$I413/12*'BD Feedstock'!$M$3*'BD Plant List'!AC$5</f>
        <v>3.4291666666666671</v>
      </c>
      <c r="N411" s="295">
        <f>'BD Plant List'!$J413/12*'BD Feedstock'!N$3*'BD Plant List'!AC$5</f>
        <v>0</v>
      </c>
      <c r="O411" s="295">
        <f>'BD Plant List'!$K413/12*'BD Feedstock'!O$3*'BD Plant List'!AC$5</f>
        <v>0</v>
      </c>
      <c r="P411" s="295">
        <f>'BD Plant List'!$L413/12*'BD Feedstock'!P$3*'BD Plant List'!AE$5</f>
        <v>0</v>
      </c>
      <c r="Q411" s="295">
        <f>'BD Plant List'!$M413/12*'BD Feedstock'!Q$3*'BD Plant List'!AE$5</f>
        <v>0.93125000000000002</v>
      </c>
      <c r="R411" s="295">
        <f>'BD Plant List'!$N413/12*'BD Feedstock'!R$3*'BD Plant List'!AE$5</f>
        <v>26.540625000000002</v>
      </c>
      <c r="S411" s="295">
        <f>'BD Plant List'!$N413/12*'BD Feedstock'!S$3*'BD Plant List'!AF$5</f>
        <v>1.40625</v>
      </c>
      <c r="T411" s="295">
        <f>'BD Plant List'!$O413/12*'BD Feedstock'!T$3*'BD Plant List'!AB$5</f>
        <v>8.5732126770944213</v>
      </c>
      <c r="U411" s="295">
        <f>'BD Plant List'!$O413/12*'BD Feedstock'!U$3*'BD Plant List'!AC$5</f>
        <v>3.0347329175263269</v>
      </c>
    </row>
    <row r="412" spans="1:21" ht="18">
      <c r="A412" s="293">
        <v>52232</v>
      </c>
      <c r="B412" s="295">
        <f>'BD Plant List'!B414/12*'BD Plant List'!$AE$5*$B$3</f>
        <v>43.458333333333336</v>
      </c>
      <c r="C412" s="295">
        <f>'BD Plant List'!$C414/12*'BD Plant List'!$AB$5*'BD Feedstock'!$D$3</f>
        <v>2.098958333333333</v>
      </c>
      <c r="D412" s="295">
        <f>'BD Plant List'!$C414/12*'BD Plant List'!$AC$5*'BD Feedstock'!$D$3</f>
        <v>2.2289583333333334</v>
      </c>
      <c r="E412" s="295">
        <f>'BD Plant List'!$D414/12*'BD Plant List'!AB$5*'BD Feedstock'!$E$3</f>
        <v>9.6875</v>
      </c>
      <c r="F412" s="295">
        <f>'BD Plant List'!$D414/12*'BD Plant List'!AC$5*'BD Feedstock'!$F$3</f>
        <v>3.4291666666666671</v>
      </c>
      <c r="G412" s="295">
        <f>'BD Plant List'!$E414/12*'BD Feedstock'!G$3*'BD Plant List'!AB$5</f>
        <v>1.453125</v>
      </c>
      <c r="H412" s="295">
        <f>'BD Plant List'!$E414/12*'BD Feedstock'!H$3*'BD Plant List'!AC$5</f>
        <v>0.51437500000000003</v>
      </c>
      <c r="I412" s="295">
        <f>'BD Plant List'!F414/12*'BD Feedstock'!I$3*'BD Plant List'!AC$5</f>
        <v>0.13716666666666666</v>
      </c>
      <c r="J412" s="295">
        <f>'BD Plant List'!G414/12*'BD Feedstock'!J$3*'BD Plant List'!AD$5</f>
        <v>0.90199999999999991</v>
      </c>
      <c r="K412" s="295">
        <f>'BD Plant List'!$H414/12*'BD Feedstock'!K$3*'BD Plant List'!AB$5</f>
        <v>0</v>
      </c>
      <c r="L412" s="295">
        <f>'BD Plant List'!$H414/12*'BD Feedstock'!L$3*'BD Plant List'!AC$5</f>
        <v>0</v>
      </c>
      <c r="M412" s="295">
        <f>'BD Plant List'!$I414/12*'BD Feedstock'!$M$3*'BD Plant List'!AC$5</f>
        <v>3.4291666666666671</v>
      </c>
      <c r="N412" s="295">
        <f>'BD Plant List'!$J414/12*'BD Feedstock'!N$3*'BD Plant List'!AC$5</f>
        <v>0</v>
      </c>
      <c r="O412" s="295">
        <f>'BD Plant List'!$K414/12*'BD Feedstock'!O$3*'BD Plant List'!AC$5</f>
        <v>0</v>
      </c>
      <c r="P412" s="295">
        <f>'BD Plant List'!$L414/12*'BD Feedstock'!P$3*'BD Plant List'!AE$5</f>
        <v>0</v>
      </c>
      <c r="Q412" s="295">
        <f>'BD Plant List'!$M414/12*'BD Feedstock'!Q$3*'BD Plant List'!AE$5</f>
        <v>0.93125000000000002</v>
      </c>
      <c r="R412" s="295">
        <f>'BD Plant List'!$N414/12*'BD Feedstock'!R$3*'BD Plant List'!AE$5</f>
        <v>26.540625000000002</v>
      </c>
      <c r="S412" s="295">
        <f>'BD Plant List'!$N414/12*'BD Feedstock'!S$3*'BD Plant List'!AF$5</f>
        <v>1.40625</v>
      </c>
      <c r="T412" s="295">
        <f>'BD Plant List'!$O414/12*'BD Feedstock'!T$3*'BD Plant List'!AB$5</f>
        <v>8.5732126770944213</v>
      </c>
      <c r="U412" s="295">
        <f>'BD Plant List'!$O414/12*'BD Feedstock'!U$3*'BD Plant List'!AC$5</f>
        <v>3.0347329175263269</v>
      </c>
    </row>
    <row r="413" spans="1:21" ht="18">
      <c r="A413" s="293">
        <v>52263</v>
      </c>
      <c r="B413" s="295">
        <f>'BD Plant List'!B415/12*'BD Plant List'!$AE$5*$B$3</f>
        <v>43.458333333333336</v>
      </c>
      <c r="C413" s="295">
        <f>'BD Plant List'!$C415/12*'BD Plant List'!$AB$5*'BD Feedstock'!$D$3</f>
        <v>2.098958333333333</v>
      </c>
      <c r="D413" s="295">
        <f>'BD Plant List'!$C415/12*'BD Plant List'!$AC$5*'BD Feedstock'!$D$3</f>
        <v>2.2289583333333334</v>
      </c>
      <c r="E413" s="295">
        <f>'BD Plant List'!$D415/12*'BD Plant List'!AB$5*'BD Feedstock'!$E$3</f>
        <v>9.6875</v>
      </c>
      <c r="F413" s="295">
        <f>'BD Plant List'!$D415/12*'BD Plant List'!AC$5*'BD Feedstock'!$F$3</f>
        <v>3.4291666666666671</v>
      </c>
      <c r="G413" s="295">
        <f>'BD Plant List'!$E415/12*'BD Feedstock'!G$3*'BD Plant List'!AB$5</f>
        <v>1.453125</v>
      </c>
      <c r="H413" s="295">
        <f>'BD Plant List'!$E415/12*'BD Feedstock'!H$3*'BD Plant List'!AC$5</f>
        <v>0.51437500000000003</v>
      </c>
      <c r="I413" s="295">
        <f>'BD Plant List'!F415/12*'BD Feedstock'!I$3*'BD Plant List'!AC$5</f>
        <v>0.13716666666666666</v>
      </c>
      <c r="J413" s="295">
        <f>'BD Plant List'!G415/12*'BD Feedstock'!J$3*'BD Plant List'!AD$5</f>
        <v>0.90199999999999991</v>
      </c>
      <c r="K413" s="295">
        <f>'BD Plant List'!$H415/12*'BD Feedstock'!K$3*'BD Plant List'!AB$5</f>
        <v>0</v>
      </c>
      <c r="L413" s="295">
        <f>'BD Plant List'!$H415/12*'BD Feedstock'!L$3*'BD Plant List'!AC$5</f>
        <v>0</v>
      </c>
      <c r="M413" s="295">
        <f>'BD Plant List'!$I415/12*'BD Feedstock'!$M$3*'BD Plant List'!AC$5</f>
        <v>3.4291666666666671</v>
      </c>
      <c r="N413" s="295">
        <f>'BD Plant List'!$J415/12*'BD Feedstock'!N$3*'BD Plant List'!AC$5</f>
        <v>0</v>
      </c>
      <c r="O413" s="295">
        <f>'BD Plant List'!$K415/12*'BD Feedstock'!O$3*'BD Plant List'!AC$5</f>
        <v>0</v>
      </c>
      <c r="P413" s="295">
        <f>'BD Plant List'!$L415/12*'BD Feedstock'!P$3*'BD Plant List'!AE$5</f>
        <v>0</v>
      </c>
      <c r="Q413" s="295">
        <f>'BD Plant List'!$M415/12*'BD Feedstock'!Q$3*'BD Plant List'!AE$5</f>
        <v>0.93125000000000002</v>
      </c>
      <c r="R413" s="295">
        <f>'BD Plant List'!$N415/12*'BD Feedstock'!R$3*'BD Plant List'!AE$5</f>
        <v>26.540625000000002</v>
      </c>
      <c r="S413" s="295">
        <f>'BD Plant List'!$N415/12*'BD Feedstock'!S$3*'BD Plant List'!AF$5</f>
        <v>1.40625</v>
      </c>
      <c r="T413" s="295">
        <f>'BD Plant List'!$O415/12*'BD Feedstock'!T$3*'BD Plant List'!AB$5</f>
        <v>8.5732126770944213</v>
      </c>
      <c r="U413" s="295">
        <f>'BD Plant List'!$O415/12*'BD Feedstock'!U$3*'BD Plant List'!AC$5</f>
        <v>3.0347329175263269</v>
      </c>
    </row>
    <row r="414" spans="1:21" ht="18">
      <c r="A414" s="293">
        <v>52291</v>
      </c>
      <c r="B414" s="295">
        <f>'BD Plant List'!B416/12*'BD Plant List'!$AE$5*$B$3</f>
        <v>43.458333333333336</v>
      </c>
      <c r="C414" s="295">
        <f>'BD Plant List'!$C416/12*'BD Plant List'!$AB$5*'BD Feedstock'!$D$3</f>
        <v>2.098958333333333</v>
      </c>
      <c r="D414" s="295">
        <f>'BD Plant List'!$C416/12*'BD Plant List'!$AC$5*'BD Feedstock'!$D$3</f>
        <v>2.2289583333333334</v>
      </c>
      <c r="E414" s="295">
        <f>'BD Plant List'!$D416/12*'BD Plant List'!AB$5*'BD Feedstock'!$E$3</f>
        <v>9.6875</v>
      </c>
      <c r="F414" s="295">
        <f>'BD Plant List'!$D416/12*'BD Plant List'!AC$5*'BD Feedstock'!$F$3</f>
        <v>3.4291666666666671</v>
      </c>
      <c r="G414" s="295">
        <f>'BD Plant List'!$E416/12*'BD Feedstock'!G$3*'BD Plant List'!AB$5</f>
        <v>1.453125</v>
      </c>
      <c r="H414" s="295">
        <f>'BD Plant List'!$E416/12*'BD Feedstock'!H$3*'BD Plant List'!AC$5</f>
        <v>0.51437500000000003</v>
      </c>
      <c r="I414" s="295">
        <f>'BD Plant List'!F416/12*'BD Feedstock'!I$3*'BD Plant List'!AC$5</f>
        <v>0.13716666666666666</v>
      </c>
      <c r="J414" s="295">
        <f>'BD Plant List'!G416/12*'BD Feedstock'!J$3*'BD Plant List'!AD$5</f>
        <v>0.90199999999999991</v>
      </c>
      <c r="K414" s="295">
        <f>'BD Plant List'!$H416/12*'BD Feedstock'!K$3*'BD Plant List'!AB$5</f>
        <v>0</v>
      </c>
      <c r="L414" s="295">
        <f>'BD Plant List'!$H416/12*'BD Feedstock'!L$3*'BD Plant List'!AC$5</f>
        <v>0</v>
      </c>
      <c r="M414" s="295">
        <f>'BD Plant List'!$I416/12*'BD Feedstock'!$M$3*'BD Plant List'!AC$5</f>
        <v>3.4291666666666671</v>
      </c>
      <c r="N414" s="295">
        <f>'BD Plant List'!$J416/12*'BD Feedstock'!N$3*'BD Plant List'!AC$5</f>
        <v>0</v>
      </c>
      <c r="O414" s="295">
        <f>'BD Plant List'!$K416/12*'BD Feedstock'!O$3*'BD Plant List'!AC$5</f>
        <v>0</v>
      </c>
      <c r="P414" s="295">
        <f>'BD Plant List'!$L416/12*'BD Feedstock'!P$3*'BD Plant List'!AE$5</f>
        <v>0</v>
      </c>
      <c r="Q414" s="295">
        <f>'BD Plant List'!$M416/12*'BD Feedstock'!Q$3*'BD Plant List'!AE$5</f>
        <v>0.93125000000000002</v>
      </c>
      <c r="R414" s="295">
        <f>'BD Plant List'!$N416/12*'BD Feedstock'!R$3*'BD Plant List'!AE$5</f>
        <v>26.540625000000002</v>
      </c>
      <c r="S414" s="295">
        <f>'BD Plant List'!$N416/12*'BD Feedstock'!S$3*'BD Plant List'!AF$5</f>
        <v>1.40625</v>
      </c>
      <c r="T414" s="295">
        <f>'BD Plant List'!$O416/12*'BD Feedstock'!T$3*'BD Plant List'!AB$5</f>
        <v>8.5732126770944213</v>
      </c>
      <c r="U414" s="295">
        <f>'BD Plant List'!$O416/12*'BD Feedstock'!U$3*'BD Plant List'!AC$5</f>
        <v>3.0347329175263269</v>
      </c>
    </row>
    <row r="415" spans="1:21" ht="18">
      <c r="A415" s="293">
        <v>52322</v>
      </c>
      <c r="B415" s="295">
        <f>'BD Plant List'!B417/12*'BD Plant List'!$AE$5*$B$3</f>
        <v>43.458333333333336</v>
      </c>
      <c r="C415" s="295">
        <f>'BD Plant List'!$C417/12*'BD Plant List'!$AB$5*'BD Feedstock'!$D$3</f>
        <v>2.098958333333333</v>
      </c>
      <c r="D415" s="295">
        <f>'BD Plant List'!$C417/12*'BD Plant List'!$AC$5*'BD Feedstock'!$D$3</f>
        <v>2.2289583333333334</v>
      </c>
      <c r="E415" s="295">
        <f>'BD Plant List'!$D417/12*'BD Plant List'!AB$5*'BD Feedstock'!$E$3</f>
        <v>9.6875</v>
      </c>
      <c r="F415" s="295">
        <f>'BD Plant List'!$D417/12*'BD Plant List'!AC$5*'BD Feedstock'!$F$3</f>
        <v>3.4291666666666671</v>
      </c>
      <c r="G415" s="295">
        <f>'BD Plant List'!$E417/12*'BD Feedstock'!G$3*'BD Plant List'!AB$5</f>
        <v>1.453125</v>
      </c>
      <c r="H415" s="295">
        <f>'BD Plant List'!$E417/12*'BD Feedstock'!H$3*'BD Plant List'!AC$5</f>
        <v>0.51437500000000003</v>
      </c>
      <c r="I415" s="295">
        <f>'BD Plant List'!F417/12*'BD Feedstock'!I$3*'BD Plant List'!AC$5</f>
        <v>0.13716666666666666</v>
      </c>
      <c r="J415" s="295">
        <f>'BD Plant List'!G417/12*'BD Feedstock'!J$3*'BD Plant List'!AD$5</f>
        <v>0.90199999999999991</v>
      </c>
      <c r="K415" s="295">
        <f>'BD Plant List'!$H417/12*'BD Feedstock'!K$3*'BD Plant List'!AB$5</f>
        <v>0</v>
      </c>
      <c r="L415" s="295">
        <f>'BD Plant List'!$H417/12*'BD Feedstock'!L$3*'BD Plant List'!AC$5</f>
        <v>0</v>
      </c>
      <c r="M415" s="295">
        <f>'BD Plant List'!$I417/12*'BD Feedstock'!$M$3*'BD Plant List'!AC$5</f>
        <v>3.4291666666666671</v>
      </c>
      <c r="N415" s="295">
        <f>'BD Plant List'!$J417/12*'BD Feedstock'!N$3*'BD Plant List'!AC$5</f>
        <v>0</v>
      </c>
      <c r="O415" s="295">
        <f>'BD Plant List'!$K417/12*'BD Feedstock'!O$3*'BD Plant List'!AC$5</f>
        <v>0</v>
      </c>
      <c r="P415" s="295">
        <f>'BD Plant List'!$L417/12*'BD Feedstock'!P$3*'BD Plant List'!AE$5</f>
        <v>0</v>
      </c>
      <c r="Q415" s="295">
        <f>'BD Plant List'!$M417/12*'BD Feedstock'!Q$3*'BD Plant List'!AE$5</f>
        <v>0.93125000000000002</v>
      </c>
      <c r="R415" s="295">
        <f>'BD Plant List'!$N417/12*'BD Feedstock'!R$3*'BD Plant List'!AE$5</f>
        <v>26.540625000000002</v>
      </c>
      <c r="S415" s="295">
        <f>'BD Plant List'!$N417/12*'BD Feedstock'!S$3*'BD Plant List'!AF$5</f>
        <v>1.40625</v>
      </c>
      <c r="T415" s="295">
        <f>'BD Plant List'!$O417/12*'BD Feedstock'!T$3*'BD Plant List'!AB$5</f>
        <v>8.5732126770944213</v>
      </c>
      <c r="U415" s="295">
        <f>'BD Plant List'!$O417/12*'BD Feedstock'!U$3*'BD Plant List'!AC$5</f>
        <v>3.0347329175263269</v>
      </c>
    </row>
    <row r="416" spans="1:21" ht="18">
      <c r="A416" s="293">
        <v>52352</v>
      </c>
      <c r="B416" s="295">
        <f>'BD Plant List'!B418/12*'BD Plant List'!$AE$5*$B$3</f>
        <v>43.458333333333336</v>
      </c>
      <c r="C416" s="295">
        <f>'BD Plant List'!$C418/12*'BD Plant List'!$AB$5*'BD Feedstock'!$D$3</f>
        <v>2.098958333333333</v>
      </c>
      <c r="D416" s="295">
        <f>'BD Plant List'!$C418/12*'BD Plant List'!$AC$5*'BD Feedstock'!$D$3</f>
        <v>2.2289583333333334</v>
      </c>
      <c r="E416" s="295">
        <f>'BD Plant List'!$D418/12*'BD Plant List'!AB$5*'BD Feedstock'!$E$3</f>
        <v>9.6875</v>
      </c>
      <c r="F416" s="295">
        <f>'BD Plant List'!$D418/12*'BD Plant List'!AC$5*'BD Feedstock'!$F$3</f>
        <v>3.4291666666666671</v>
      </c>
      <c r="G416" s="295">
        <f>'BD Plant List'!$E418/12*'BD Feedstock'!G$3*'BD Plant List'!AB$5</f>
        <v>1.453125</v>
      </c>
      <c r="H416" s="295">
        <f>'BD Plant List'!$E418/12*'BD Feedstock'!H$3*'BD Plant List'!AC$5</f>
        <v>0.51437500000000003</v>
      </c>
      <c r="I416" s="295">
        <f>'BD Plant List'!F418/12*'BD Feedstock'!I$3*'BD Plant List'!AC$5</f>
        <v>0.13716666666666666</v>
      </c>
      <c r="J416" s="295">
        <f>'BD Plant List'!G418/12*'BD Feedstock'!J$3*'BD Plant List'!AD$5</f>
        <v>0.90199999999999991</v>
      </c>
      <c r="K416" s="295">
        <f>'BD Plant List'!$H418/12*'BD Feedstock'!K$3*'BD Plant List'!AB$5</f>
        <v>0</v>
      </c>
      <c r="L416" s="295">
        <f>'BD Plant List'!$H418/12*'BD Feedstock'!L$3*'BD Plant List'!AC$5</f>
        <v>0</v>
      </c>
      <c r="M416" s="295">
        <f>'BD Plant List'!$I418/12*'BD Feedstock'!$M$3*'BD Plant List'!AC$5</f>
        <v>3.4291666666666671</v>
      </c>
      <c r="N416" s="295">
        <f>'BD Plant List'!$J418/12*'BD Feedstock'!N$3*'BD Plant List'!AC$5</f>
        <v>0</v>
      </c>
      <c r="O416" s="295">
        <f>'BD Plant List'!$K418/12*'BD Feedstock'!O$3*'BD Plant List'!AC$5</f>
        <v>0</v>
      </c>
      <c r="P416" s="295">
        <f>'BD Plant List'!$L418/12*'BD Feedstock'!P$3*'BD Plant List'!AE$5</f>
        <v>0</v>
      </c>
      <c r="Q416" s="295">
        <f>'BD Plant List'!$M418/12*'BD Feedstock'!Q$3*'BD Plant List'!AE$5</f>
        <v>0.93125000000000002</v>
      </c>
      <c r="R416" s="295">
        <f>'BD Plant List'!$N418/12*'BD Feedstock'!R$3*'BD Plant List'!AE$5</f>
        <v>26.540625000000002</v>
      </c>
      <c r="S416" s="295">
        <f>'BD Plant List'!$N418/12*'BD Feedstock'!S$3*'BD Plant List'!AF$5</f>
        <v>1.40625</v>
      </c>
      <c r="T416" s="295">
        <f>'BD Plant List'!$O418/12*'BD Feedstock'!T$3*'BD Plant List'!AB$5</f>
        <v>8.5732126770944213</v>
      </c>
      <c r="U416" s="295">
        <f>'BD Plant List'!$O418/12*'BD Feedstock'!U$3*'BD Plant List'!AC$5</f>
        <v>3.0347329175263269</v>
      </c>
    </row>
    <row r="417" spans="1:21" ht="18">
      <c r="A417" s="293">
        <v>52383</v>
      </c>
      <c r="B417" s="295">
        <f>'BD Plant List'!B419/12*'BD Plant List'!$AE$5*$B$3</f>
        <v>43.458333333333336</v>
      </c>
      <c r="C417" s="295">
        <f>'BD Plant List'!$C419/12*'BD Plant List'!$AB$5*'BD Feedstock'!$D$3</f>
        <v>2.098958333333333</v>
      </c>
      <c r="D417" s="295">
        <f>'BD Plant List'!$C419/12*'BD Plant List'!$AC$5*'BD Feedstock'!$D$3</f>
        <v>2.2289583333333334</v>
      </c>
      <c r="E417" s="295">
        <f>'BD Plant List'!$D419/12*'BD Plant List'!AB$5*'BD Feedstock'!$E$3</f>
        <v>9.6875</v>
      </c>
      <c r="F417" s="295">
        <f>'BD Plant List'!$D419/12*'BD Plant List'!AC$5*'BD Feedstock'!$F$3</f>
        <v>3.4291666666666671</v>
      </c>
      <c r="G417" s="295">
        <f>'BD Plant List'!$E419/12*'BD Feedstock'!G$3*'BD Plant List'!AB$5</f>
        <v>1.453125</v>
      </c>
      <c r="H417" s="295">
        <f>'BD Plant List'!$E419/12*'BD Feedstock'!H$3*'BD Plant List'!AC$5</f>
        <v>0.51437500000000003</v>
      </c>
      <c r="I417" s="295">
        <f>'BD Plant List'!F419/12*'BD Feedstock'!I$3*'BD Plant List'!AC$5</f>
        <v>0.13716666666666666</v>
      </c>
      <c r="J417" s="295">
        <f>'BD Plant List'!G419/12*'BD Feedstock'!J$3*'BD Plant List'!AD$5</f>
        <v>0.90199999999999991</v>
      </c>
      <c r="K417" s="295">
        <f>'BD Plant List'!$H419/12*'BD Feedstock'!K$3*'BD Plant List'!AB$5</f>
        <v>0</v>
      </c>
      <c r="L417" s="295">
        <f>'BD Plant List'!$H419/12*'BD Feedstock'!L$3*'BD Plant List'!AC$5</f>
        <v>0</v>
      </c>
      <c r="M417" s="295">
        <f>'BD Plant List'!$I419/12*'BD Feedstock'!$M$3*'BD Plant List'!AC$5</f>
        <v>3.4291666666666671</v>
      </c>
      <c r="N417" s="295">
        <f>'BD Plant List'!$J419/12*'BD Feedstock'!N$3*'BD Plant List'!AC$5</f>
        <v>0</v>
      </c>
      <c r="O417" s="295">
        <f>'BD Plant List'!$K419/12*'BD Feedstock'!O$3*'BD Plant List'!AC$5</f>
        <v>0</v>
      </c>
      <c r="P417" s="295">
        <f>'BD Plant List'!$L419/12*'BD Feedstock'!P$3*'BD Plant List'!AE$5</f>
        <v>0</v>
      </c>
      <c r="Q417" s="295">
        <f>'BD Plant List'!$M419/12*'BD Feedstock'!Q$3*'BD Plant List'!AE$5</f>
        <v>0.93125000000000002</v>
      </c>
      <c r="R417" s="295">
        <f>'BD Plant List'!$N419/12*'BD Feedstock'!R$3*'BD Plant List'!AE$5</f>
        <v>26.540625000000002</v>
      </c>
      <c r="S417" s="295">
        <f>'BD Plant List'!$N419/12*'BD Feedstock'!S$3*'BD Plant List'!AF$5</f>
        <v>1.40625</v>
      </c>
      <c r="T417" s="295">
        <f>'BD Plant List'!$O419/12*'BD Feedstock'!T$3*'BD Plant List'!AB$5</f>
        <v>8.5732126770944213</v>
      </c>
      <c r="U417" s="295">
        <f>'BD Plant List'!$O419/12*'BD Feedstock'!U$3*'BD Plant List'!AC$5</f>
        <v>3.0347329175263269</v>
      </c>
    </row>
    <row r="418" spans="1:21" ht="18">
      <c r="A418" s="293">
        <v>52413</v>
      </c>
      <c r="B418" s="295">
        <f>'BD Plant List'!B420/12*'BD Plant List'!$AE$5*$B$3</f>
        <v>43.458333333333336</v>
      </c>
      <c r="C418" s="295">
        <f>'BD Plant List'!$C420/12*'BD Plant List'!$AB$5*'BD Feedstock'!$D$3</f>
        <v>2.098958333333333</v>
      </c>
      <c r="D418" s="295">
        <f>'BD Plant List'!$C420/12*'BD Plant List'!$AC$5*'BD Feedstock'!$D$3</f>
        <v>2.2289583333333334</v>
      </c>
      <c r="E418" s="295">
        <f>'BD Plant List'!$D420/12*'BD Plant List'!AB$5*'BD Feedstock'!$E$3</f>
        <v>9.6875</v>
      </c>
      <c r="F418" s="295">
        <f>'BD Plant List'!$D420/12*'BD Plant List'!AC$5*'BD Feedstock'!$F$3</f>
        <v>3.4291666666666671</v>
      </c>
      <c r="G418" s="295">
        <f>'BD Plant List'!$E420/12*'BD Feedstock'!G$3*'BD Plant List'!AB$5</f>
        <v>1.453125</v>
      </c>
      <c r="H418" s="295">
        <f>'BD Plant List'!$E420/12*'BD Feedstock'!H$3*'BD Plant List'!AC$5</f>
        <v>0.51437500000000003</v>
      </c>
      <c r="I418" s="295">
        <f>'BD Plant List'!F420/12*'BD Feedstock'!I$3*'BD Plant List'!AC$5</f>
        <v>0.13716666666666666</v>
      </c>
      <c r="J418" s="295">
        <f>'BD Plant List'!G420/12*'BD Feedstock'!J$3*'BD Plant List'!AD$5</f>
        <v>0.90199999999999991</v>
      </c>
      <c r="K418" s="295">
        <f>'BD Plant List'!$H420/12*'BD Feedstock'!K$3*'BD Plant List'!AB$5</f>
        <v>0</v>
      </c>
      <c r="L418" s="295">
        <f>'BD Plant List'!$H420/12*'BD Feedstock'!L$3*'BD Plant List'!AC$5</f>
        <v>0</v>
      </c>
      <c r="M418" s="295">
        <f>'BD Plant List'!$I420/12*'BD Feedstock'!$M$3*'BD Plant List'!AC$5</f>
        <v>3.4291666666666671</v>
      </c>
      <c r="N418" s="295">
        <f>'BD Plant List'!$J420/12*'BD Feedstock'!N$3*'BD Plant List'!AC$5</f>
        <v>0</v>
      </c>
      <c r="O418" s="295">
        <f>'BD Plant List'!$K420/12*'BD Feedstock'!O$3*'BD Plant List'!AC$5</f>
        <v>0</v>
      </c>
      <c r="P418" s="295">
        <f>'BD Plant List'!$L420/12*'BD Feedstock'!P$3*'BD Plant List'!AE$5</f>
        <v>0</v>
      </c>
      <c r="Q418" s="295">
        <f>'BD Plant List'!$M420/12*'BD Feedstock'!Q$3*'BD Plant List'!AE$5</f>
        <v>0.93125000000000002</v>
      </c>
      <c r="R418" s="295">
        <f>'BD Plant List'!$N420/12*'BD Feedstock'!R$3*'BD Plant List'!AE$5</f>
        <v>26.540625000000002</v>
      </c>
      <c r="S418" s="295">
        <f>'BD Plant List'!$N420/12*'BD Feedstock'!S$3*'BD Plant List'!AF$5</f>
        <v>1.40625</v>
      </c>
      <c r="T418" s="295">
        <f>'BD Plant List'!$O420/12*'BD Feedstock'!T$3*'BD Plant List'!AB$5</f>
        <v>8.5732126770944213</v>
      </c>
      <c r="U418" s="295">
        <f>'BD Plant List'!$O420/12*'BD Feedstock'!U$3*'BD Plant List'!AC$5</f>
        <v>3.0347329175263269</v>
      </c>
    </row>
    <row r="419" spans="1:21" ht="18">
      <c r="A419" s="293">
        <v>52444</v>
      </c>
      <c r="B419" s="295">
        <f>'BD Plant List'!B421/12*'BD Plant List'!$AE$5*$B$3</f>
        <v>43.458333333333336</v>
      </c>
      <c r="C419" s="295">
        <f>'BD Plant List'!$C421/12*'BD Plant List'!$AB$5*'BD Feedstock'!$D$3</f>
        <v>2.098958333333333</v>
      </c>
      <c r="D419" s="295">
        <f>'BD Plant List'!$C421/12*'BD Plant List'!$AC$5*'BD Feedstock'!$D$3</f>
        <v>2.2289583333333334</v>
      </c>
      <c r="E419" s="295">
        <f>'BD Plant List'!$D421/12*'BD Plant List'!AB$5*'BD Feedstock'!$E$3</f>
        <v>9.6875</v>
      </c>
      <c r="F419" s="295">
        <f>'BD Plant List'!$D421/12*'BD Plant List'!AC$5*'BD Feedstock'!$F$3</f>
        <v>3.4291666666666671</v>
      </c>
      <c r="G419" s="295">
        <f>'BD Plant List'!$E421/12*'BD Feedstock'!G$3*'BD Plant List'!AB$5</f>
        <v>1.453125</v>
      </c>
      <c r="H419" s="295">
        <f>'BD Plant List'!$E421/12*'BD Feedstock'!H$3*'BD Plant List'!AC$5</f>
        <v>0.51437500000000003</v>
      </c>
      <c r="I419" s="295">
        <f>'BD Plant List'!F421/12*'BD Feedstock'!I$3*'BD Plant List'!AC$5</f>
        <v>0.13716666666666666</v>
      </c>
      <c r="J419" s="295">
        <f>'BD Plant List'!G421/12*'BD Feedstock'!J$3*'BD Plant List'!AD$5</f>
        <v>0.90199999999999991</v>
      </c>
      <c r="K419" s="295">
        <f>'BD Plant List'!$H421/12*'BD Feedstock'!K$3*'BD Plant List'!AB$5</f>
        <v>0</v>
      </c>
      <c r="L419" s="295">
        <f>'BD Plant List'!$H421/12*'BD Feedstock'!L$3*'BD Plant List'!AC$5</f>
        <v>0</v>
      </c>
      <c r="M419" s="295">
        <f>'BD Plant List'!$I421/12*'BD Feedstock'!$M$3*'BD Plant List'!AC$5</f>
        <v>3.4291666666666671</v>
      </c>
      <c r="N419" s="295">
        <f>'BD Plant List'!$J421/12*'BD Feedstock'!N$3*'BD Plant List'!AC$5</f>
        <v>0</v>
      </c>
      <c r="O419" s="295">
        <f>'BD Plant List'!$K421/12*'BD Feedstock'!O$3*'BD Plant List'!AC$5</f>
        <v>0</v>
      </c>
      <c r="P419" s="295">
        <f>'BD Plant List'!$L421/12*'BD Feedstock'!P$3*'BD Plant List'!AE$5</f>
        <v>0</v>
      </c>
      <c r="Q419" s="295">
        <f>'BD Plant List'!$M421/12*'BD Feedstock'!Q$3*'BD Plant List'!AE$5</f>
        <v>0.93125000000000002</v>
      </c>
      <c r="R419" s="295">
        <f>'BD Plant List'!$N421/12*'BD Feedstock'!R$3*'BD Plant List'!AE$5</f>
        <v>26.540625000000002</v>
      </c>
      <c r="S419" s="295">
        <f>'BD Plant List'!$N421/12*'BD Feedstock'!S$3*'BD Plant List'!AF$5</f>
        <v>1.40625</v>
      </c>
      <c r="T419" s="295">
        <f>'BD Plant List'!$O421/12*'BD Feedstock'!T$3*'BD Plant List'!AB$5</f>
        <v>8.5732126770944213</v>
      </c>
      <c r="U419" s="295">
        <f>'BD Plant List'!$O421/12*'BD Feedstock'!U$3*'BD Plant List'!AC$5</f>
        <v>3.0347329175263269</v>
      </c>
    </row>
    <row r="420" spans="1:21" ht="18">
      <c r="A420" s="293">
        <v>52475</v>
      </c>
      <c r="B420" s="295">
        <f>'BD Plant List'!B422/12*'BD Plant List'!$AE$5*$B$3</f>
        <v>43.458333333333336</v>
      </c>
      <c r="C420" s="295">
        <f>'BD Plant List'!$C422/12*'BD Plant List'!$AB$5*'BD Feedstock'!$D$3</f>
        <v>2.098958333333333</v>
      </c>
      <c r="D420" s="295">
        <f>'BD Plant List'!$C422/12*'BD Plant List'!$AC$5*'BD Feedstock'!$D$3</f>
        <v>2.2289583333333334</v>
      </c>
      <c r="E420" s="295">
        <f>'BD Plant List'!$D422/12*'BD Plant List'!AB$5*'BD Feedstock'!$E$3</f>
        <v>9.6875</v>
      </c>
      <c r="F420" s="295">
        <f>'BD Plant List'!$D422/12*'BD Plant List'!AC$5*'BD Feedstock'!$F$3</f>
        <v>3.4291666666666671</v>
      </c>
      <c r="G420" s="295">
        <f>'BD Plant List'!$E422/12*'BD Feedstock'!G$3*'BD Plant List'!AB$5</f>
        <v>1.453125</v>
      </c>
      <c r="H420" s="295">
        <f>'BD Plant List'!$E422/12*'BD Feedstock'!H$3*'BD Plant List'!AC$5</f>
        <v>0.51437500000000003</v>
      </c>
      <c r="I420" s="295">
        <f>'BD Plant List'!F422/12*'BD Feedstock'!I$3*'BD Plant List'!AC$5</f>
        <v>0.13716666666666666</v>
      </c>
      <c r="J420" s="295">
        <f>'BD Plant List'!G422/12*'BD Feedstock'!J$3*'BD Plant List'!AD$5</f>
        <v>0.90199999999999991</v>
      </c>
      <c r="K420" s="295">
        <f>'BD Plant List'!$H422/12*'BD Feedstock'!K$3*'BD Plant List'!AB$5</f>
        <v>0</v>
      </c>
      <c r="L420" s="295">
        <f>'BD Plant List'!$H422/12*'BD Feedstock'!L$3*'BD Plant List'!AC$5</f>
        <v>0</v>
      </c>
      <c r="M420" s="295">
        <f>'BD Plant List'!$I422/12*'BD Feedstock'!$M$3*'BD Plant List'!AC$5</f>
        <v>3.4291666666666671</v>
      </c>
      <c r="N420" s="295">
        <f>'BD Plant List'!$J422/12*'BD Feedstock'!N$3*'BD Plant List'!AC$5</f>
        <v>0</v>
      </c>
      <c r="O420" s="295">
        <f>'BD Plant List'!$K422/12*'BD Feedstock'!O$3*'BD Plant List'!AC$5</f>
        <v>0</v>
      </c>
      <c r="P420" s="295">
        <f>'BD Plant List'!$L422/12*'BD Feedstock'!P$3*'BD Plant List'!AE$5</f>
        <v>0</v>
      </c>
      <c r="Q420" s="295">
        <f>'BD Plant List'!$M422/12*'BD Feedstock'!Q$3*'BD Plant List'!AE$5</f>
        <v>0.93125000000000002</v>
      </c>
      <c r="R420" s="295">
        <f>'BD Plant List'!$N422/12*'BD Feedstock'!R$3*'BD Plant List'!AE$5</f>
        <v>26.540625000000002</v>
      </c>
      <c r="S420" s="295">
        <f>'BD Plant List'!$N422/12*'BD Feedstock'!S$3*'BD Plant List'!AF$5</f>
        <v>1.40625</v>
      </c>
      <c r="T420" s="295">
        <f>'BD Plant List'!$O422/12*'BD Feedstock'!T$3*'BD Plant List'!AB$5</f>
        <v>8.5732126770944213</v>
      </c>
      <c r="U420" s="295">
        <f>'BD Plant List'!$O422/12*'BD Feedstock'!U$3*'BD Plant List'!AC$5</f>
        <v>3.0347329175263269</v>
      </c>
    </row>
    <row r="421" spans="1:21" ht="18">
      <c r="A421" s="293">
        <v>52505</v>
      </c>
      <c r="B421" s="295">
        <f>'BD Plant List'!B423/12*'BD Plant List'!$AE$5*$B$3</f>
        <v>43.458333333333336</v>
      </c>
      <c r="C421" s="295">
        <f>'BD Plant List'!$C423/12*'BD Plant List'!$AB$5*'BD Feedstock'!$D$3</f>
        <v>2.098958333333333</v>
      </c>
      <c r="D421" s="295">
        <f>'BD Plant List'!$C423/12*'BD Plant List'!$AC$5*'BD Feedstock'!$D$3</f>
        <v>2.2289583333333334</v>
      </c>
      <c r="E421" s="295">
        <f>'BD Plant List'!$D423/12*'BD Plant List'!AB$5*'BD Feedstock'!$E$3</f>
        <v>9.6875</v>
      </c>
      <c r="F421" s="295">
        <f>'BD Plant List'!$D423/12*'BD Plant List'!AC$5*'BD Feedstock'!$F$3</f>
        <v>3.4291666666666671</v>
      </c>
      <c r="G421" s="295">
        <f>'BD Plant List'!$E423/12*'BD Feedstock'!G$3*'BD Plant List'!AB$5</f>
        <v>1.453125</v>
      </c>
      <c r="H421" s="295">
        <f>'BD Plant List'!$E423/12*'BD Feedstock'!H$3*'BD Plant List'!AC$5</f>
        <v>0.51437500000000003</v>
      </c>
      <c r="I421" s="295">
        <f>'BD Plant List'!F423/12*'BD Feedstock'!I$3*'BD Plant List'!AC$5</f>
        <v>0.13716666666666666</v>
      </c>
      <c r="J421" s="295">
        <f>'BD Plant List'!G423/12*'BD Feedstock'!J$3*'BD Plant List'!AD$5</f>
        <v>0.90199999999999991</v>
      </c>
      <c r="K421" s="295">
        <f>'BD Plant List'!$H423/12*'BD Feedstock'!K$3*'BD Plant List'!AB$5</f>
        <v>0</v>
      </c>
      <c r="L421" s="295">
        <f>'BD Plant List'!$H423/12*'BD Feedstock'!L$3*'BD Plant List'!AC$5</f>
        <v>0</v>
      </c>
      <c r="M421" s="295">
        <f>'BD Plant List'!$I423/12*'BD Feedstock'!$M$3*'BD Plant List'!AC$5</f>
        <v>3.4291666666666671</v>
      </c>
      <c r="N421" s="295">
        <f>'BD Plant List'!$J423/12*'BD Feedstock'!N$3*'BD Plant List'!AC$5</f>
        <v>0</v>
      </c>
      <c r="O421" s="295">
        <f>'BD Plant List'!$K423/12*'BD Feedstock'!O$3*'BD Plant List'!AC$5</f>
        <v>0</v>
      </c>
      <c r="P421" s="295">
        <f>'BD Plant List'!$L423/12*'BD Feedstock'!P$3*'BD Plant List'!AE$5</f>
        <v>0</v>
      </c>
      <c r="Q421" s="295">
        <f>'BD Plant List'!$M423/12*'BD Feedstock'!Q$3*'BD Plant List'!AE$5</f>
        <v>0.93125000000000002</v>
      </c>
      <c r="R421" s="295">
        <f>'BD Plant List'!$N423/12*'BD Feedstock'!R$3*'BD Plant List'!AE$5</f>
        <v>26.540625000000002</v>
      </c>
      <c r="S421" s="295">
        <f>'BD Plant List'!$N423/12*'BD Feedstock'!S$3*'BD Plant List'!AF$5</f>
        <v>1.40625</v>
      </c>
      <c r="T421" s="295">
        <f>'BD Plant List'!$O423/12*'BD Feedstock'!T$3*'BD Plant List'!AB$5</f>
        <v>8.5732126770944213</v>
      </c>
      <c r="U421" s="295">
        <f>'BD Plant List'!$O423/12*'BD Feedstock'!U$3*'BD Plant List'!AC$5</f>
        <v>3.0347329175263269</v>
      </c>
    </row>
    <row r="422" spans="1:21" ht="18">
      <c r="A422" s="293">
        <v>52536</v>
      </c>
      <c r="B422" s="295">
        <f>'BD Plant List'!B424/12*'BD Plant List'!$AE$5*$B$3</f>
        <v>43.458333333333336</v>
      </c>
      <c r="C422" s="295">
        <f>'BD Plant List'!$C424/12*'BD Plant List'!$AB$5*'BD Feedstock'!$D$3</f>
        <v>2.098958333333333</v>
      </c>
      <c r="D422" s="295">
        <f>'BD Plant List'!$C424/12*'BD Plant List'!$AC$5*'BD Feedstock'!$D$3</f>
        <v>2.2289583333333334</v>
      </c>
      <c r="E422" s="295">
        <f>'BD Plant List'!$D424/12*'BD Plant List'!AB$5*'BD Feedstock'!$E$3</f>
        <v>9.6875</v>
      </c>
      <c r="F422" s="295">
        <f>'BD Plant List'!$D424/12*'BD Plant List'!AC$5*'BD Feedstock'!$F$3</f>
        <v>3.4291666666666671</v>
      </c>
      <c r="G422" s="295">
        <f>'BD Plant List'!$E424/12*'BD Feedstock'!G$3*'BD Plant List'!AB$5</f>
        <v>1.453125</v>
      </c>
      <c r="H422" s="295">
        <f>'BD Plant List'!$E424/12*'BD Feedstock'!H$3*'BD Plant List'!AC$5</f>
        <v>0.51437500000000003</v>
      </c>
      <c r="I422" s="295">
        <f>'BD Plant List'!F424/12*'BD Feedstock'!I$3*'BD Plant List'!AC$5</f>
        <v>0.13716666666666666</v>
      </c>
      <c r="J422" s="295">
        <f>'BD Plant List'!G424/12*'BD Feedstock'!J$3*'BD Plant List'!AD$5</f>
        <v>0.90199999999999991</v>
      </c>
      <c r="K422" s="295">
        <f>'BD Plant List'!$H424/12*'BD Feedstock'!K$3*'BD Plant List'!AB$5</f>
        <v>0</v>
      </c>
      <c r="L422" s="295">
        <f>'BD Plant List'!$H424/12*'BD Feedstock'!L$3*'BD Plant List'!AC$5</f>
        <v>0</v>
      </c>
      <c r="M422" s="295">
        <f>'BD Plant List'!$I424/12*'BD Feedstock'!$M$3*'BD Plant List'!AC$5</f>
        <v>3.4291666666666671</v>
      </c>
      <c r="N422" s="295">
        <f>'BD Plant List'!$J424/12*'BD Feedstock'!N$3*'BD Plant List'!AC$5</f>
        <v>0</v>
      </c>
      <c r="O422" s="295">
        <f>'BD Plant List'!$K424/12*'BD Feedstock'!O$3*'BD Plant List'!AC$5</f>
        <v>0</v>
      </c>
      <c r="P422" s="295">
        <f>'BD Plant List'!$L424/12*'BD Feedstock'!P$3*'BD Plant List'!AE$5</f>
        <v>0</v>
      </c>
      <c r="Q422" s="295">
        <f>'BD Plant List'!$M424/12*'BD Feedstock'!Q$3*'BD Plant List'!AE$5</f>
        <v>0.93125000000000002</v>
      </c>
      <c r="R422" s="295">
        <f>'BD Plant List'!$N424/12*'BD Feedstock'!R$3*'BD Plant List'!AE$5</f>
        <v>26.540625000000002</v>
      </c>
      <c r="S422" s="295">
        <f>'BD Plant List'!$N424/12*'BD Feedstock'!S$3*'BD Plant List'!AF$5</f>
        <v>1.40625</v>
      </c>
      <c r="T422" s="295">
        <f>'BD Plant List'!$O424/12*'BD Feedstock'!T$3*'BD Plant List'!AB$5</f>
        <v>8.5732126770944213</v>
      </c>
      <c r="U422" s="295">
        <f>'BD Plant List'!$O424/12*'BD Feedstock'!U$3*'BD Plant List'!AC$5</f>
        <v>3.0347329175263269</v>
      </c>
    </row>
    <row r="423" spans="1:21" ht="18">
      <c r="A423" s="293">
        <v>52566</v>
      </c>
      <c r="B423" s="295">
        <f>'BD Plant List'!B425/12*'BD Plant List'!$AE$5*$B$3</f>
        <v>43.458333333333336</v>
      </c>
      <c r="C423" s="295">
        <f>'BD Plant List'!$C425/12*'BD Plant List'!$AB$5*'BD Feedstock'!$D$3</f>
        <v>2.098958333333333</v>
      </c>
      <c r="D423" s="295">
        <f>'BD Plant List'!$C425/12*'BD Plant List'!$AC$5*'BD Feedstock'!$D$3</f>
        <v>2.2289583333333334</v>
      </c>
      <c r="E423" s="295">
        <f>'BD Plant List'!$D425/12*'BD Plant List'!AB$5*'BD Feedstock'!$E$3</f>
        <v>9.6875</v>
      </c>
      <c r="F423" s="295">
        <f>'BD Plant List'!$D425/12*'BD Plant List'!AC$5*'BD Feedstock'!$F$3</f>
        <v>3.4291666666666671</v>
      </c>
      <c r="G423" s="295">
        <f>'BD Plant List'!$E425/12*'BD Feedstock'!G$3*'BD Plant List'!AB$5</f>
        <v>1.453125</v>
      </c>
      <c r="H423" s="295">
        <f>'BD Plant List'!$E425/12*'BD Feedstock'!H$3*'BD Plant List'!AC$5</f>
        <v>0.51437500000000003</v>
      </c>
      <c r="I423" s="295">
        <f>'BD Plant List'!F425/12*'BD Feedstock'!I$3*'BD Plant List'!AC$5</f>
        <v>0.13716666666666666</v>
      </c>
      <c r="J423" s="295">
        <f>'BD Plant List'!G425/12*'BD Feedstock'!J$3*'BD Plant List'!AD$5</f>
        <v>0.90199999999999991</v>
      </c>
      <c r="K423" s="295">
        <f>'BD Plant List'!$H425/12*'BD Feedstock'!K$3*'BD Plant List'!AB$5</f>
        <v>0</v>
      </c>
      <c r="L423" s="295">
        <f>'BD Plant List'!$H425/12*'BD Feedstock'!L$3*'BD Plant List'!AC$5</f>
        <v>0</v>
      </c>
      <c r="M423" s="295">
        <f>'BD Plant List'!$I425/12*'BD Feedstock'!$M$3*'BD Plant List'!AC$5</f>
        <v>3.4291666666666671</v>
      </c>
      <c r="N423" s="295">
        <f>'BD Plant List'!$J425/12*'BD Feedstock'!N$3*'BD Plant List'!AC$5</f>
        <v>0</v>
      </c>
      <c r="O423" s="295">
        <f>'BD Plant List'!$K425/12*'BD Feedstock'!O$3*'BD Plant List'!AC$5</f>
        <v>0</v>
      </c>
      <c r="P423" s="295">
        <f>'BD Plant List'!$L425/12*'BD Feedstock'!P$3*'BD Plant List'!AE$5</f>
        <v>0</v>
      </c>
      <c r="Q423" s="295">
        <f>'BD Plant List'!$M425/12*'BD Feedstock'!Q$3*'BD Plant List'!AE$5</f>
        <v>0.93125000000000002</v>
      </c>
      <c r="R423" s="295">
        <f>'BD Plant List'!$N425/12*'BD Feedstock'!R$3*'BD Plant List'!AE$5</f>
        <v>26.540625000000002</v>
      </c>
      <c r="S423" s="295">
        <f>'BD Plant List'!$N425/12*'BD Feedstock'!S$3*'BD Plant List'!AF$5</f>
        <v>1.40625</v>
      </c>
      <c r="T423" s="295">
        <f>'BD Plant List'!$O425/12*'BD Feedstock'!T$3*'BD Plant List'!AB$5</f>
        <v>8.5732126770944213</v>
      </c>
      <c r="U423" s="295">
        <f>'BD Plant List'!$O425/12*'BD Feedstock'!U$3*'BD Plant List'!AC$5</f>
        <v>3.0347329175263269</v>
      </c>
    </row>
    <row r="424" spans="1:21" ht="18">
      <c r="A424" s="293">
        <v>52597</v>
      </c>
      <c r="B424" s="295">
        <f>'BD Plant List'!B426/12*'BD Plant List'!$AE$5*$B$3</f>
        <v>43.458333333333336</v>
      </c>
      <c r="C424" s="295">
        <f>'BD Plant List'!$C426/12*'BD Plant List'!$AB$5*'BD Feedstock'!$D$3</f>
        <v>2.098958333333333</v>
      </c>
      <c r="D424" s="295">
        <f>'BD Plant List'!$C426/12*'BD Plant List'!$AC$5*'BD Feedstock'!$D$3</f>
        <v>2.2289583333333334</v>
      </c>
      <c r="E424" s="295">
        <f>'BD Plant List'!$D426/12*'BD Plant List'!AB$5*'BD Feedstock'!$E$3</f>
        <v>9.6875</v>
      </c>
      <c r="F424" s="295">
        <f>'BD Plant List'!$D426/12*'BD Plant List'!AC$5*'BD Feedstock'!$F$3</f>
        <v>3.4291666666666671</v>
      </c>
      <c r="G424" s="295">
        <f>'BD Plant List'!$E426/12*'BD Feedstock'!G$3*'BD Plant List'!AB$5</f>
        <v>1.453125</v>
      </c>
      <c r="H424" s="295">
        <f>'BD Plant List'!$E426/12*'BD Feedstock'!H$3*'BD Plant List'!AC$5</f>
        <v>0.51437500000000003</v>
      </c>
      <c r="I424" s="295">
        <f>'BD Plant List'!F426/12*'BD Feedstock'!I$3*'BD Plant List'!AC$5</f>
        <v>0.13716666666666666</v>
      </c>
      <c r="J424" s="295">
        <f>'BD Plant List'!G426/12*'BD Feedstock'!J$3*'BD Plant List'!AD$5</f>
        <v>0.90199999999999991</v>
      </c>
      <c r="K424" s="295">
        <f>'BD Plant List'!$H426/12*'BD Feedstock'!K$3*'BD Plant List'!AB$5</f>
        <v>0</v>
      </c>
      <c r="L424" s="295">
        <f>'BD Plant List'!$H426/12*'BD Feedstock'!L$3*'BD Plant List'!AC$5</f>
        <v>0</v>
      </c>
      <c r="M424" s="295">
        <f>'BD Plant List'!$I426/12*'BD Feedstock'!$M$3*'BD Plant List'!AC$5</f>
        <v>3.4291666666666671</v>
      </c>
      <c r="N424" s="295">
        <f>'BD Plant List'!$J426/12*'BD Feedstock'!N$3*'BD Plant List'!AC$5</f>
        <v>0</v>
      </c>
      <c r="O424" s="295">
        <f>'BD Plant List'!$K426/12*'BD Feedstock'!O$3*'BD Plant List'!AC$5</f>
        <v>0</v>
      </c>
      <c r="P424" s="295">
        <f>'BD Plant List'!$L426/12*'BD Feedstock'!P$3*'BD Plant List'!AE$5</f>
        <v>0</v>
      </c>
      <c r="Q424" s="295">
        <f>'BD Plant List'!$M426/12*'BD Feedstock'!Q$3*'BD Plant List'!AE$5</f>
        <v>0.93125000000000002</v>
      </c>
      <c r="R424" s="295">
        <f>'BD Plant List'!$N426/12*'BD Feedstock'!R$3*'BD Plant List'!AE$5</f>
        <v>26.540625000000002</v>
      </c>
      <c r="S424" s="295">
        <f>'BD Plant List'!$N426/12*'BD Feedstock'!S$3*'BD Plant List'!AF$5</f>
        <v>1.40625</v>
      </c>
      <c r="T424" s="295">
        <f>'BD Plant List'!$O426/12*'BD Feedstock'!T$3*'BD Plant List'!AB$5</f>
        <v>8.5732126770944213</v>
      </c>
      <c r="U424" s="295">
        <f>'BD Plant List'!$O426/12*'BD Feedstock'!U$3*'BD Plant List'!AC$5</f>
        <v>3.0347329175263269</v>
      </c>
    </row>
    <row r="425" spans="1:21" ht="18">
      <c r="A425" s="293">
        <v>52628</v>
      </c>
      <c r="B425" s="295">
        <f>'BD Plant List'!B427/12*'BD Plant List'!$AE$5*$B$3</f>
        <v>43.458333333333336</v>
      </c>
      <c r="C425" s="295">
        <f>'BD Plant List'!$C427/12*'BD Plant List'!$AB$5*'BD Feedstock'!$D$3</f>
        <v>2.098958333333333</v>
      </c>
      <c r="D425" s="295">
        <f>'BD Plant List'!$C427/12*'BD Plant List'!$AC$5*'BD Feedstock'!$D$3</f>
        <v>2.2289583333333334</v>
      </c>
      <c r="E425" s="295">
        <f>'BD Plant List'!$D427/12*'BD Plant List'!AB$5*'BD Feedstock'!$E$3</f>
        <v>9.6875</v>
      </c>
      <c r="F425" s="295">
        <f>'BD Plant List'!$D427/12*'BD Plant List'!AC$5*'BD Feedstock'!$F$3</f>
        <v>3.4291666666666671</v>
      </c>
      <c r="G425" s="295">
        <f>'BD Plant List'!$E427/12*'BD Feedstock'!G$3*'BD Plant List'!AB$5</f>
        <v>1.453125</v>
      </c>
      <c r="H425" s="295">
        <f>'BD Plant List'!$E427/12*'BD Feedstock'!H$3*'BD Plant List'!AC$5</f>
        <v>0.51437500000000003</v>
      </c>
      <c r="I425" s="295">
        <f>'BD Plant List'!F427/12*'BD Feedstock'!I$3*'BD Plant List'!AC$5</f>
        <v>0.13716666666666666</v>
      </c>
      <c r="J425" s="295">
        <f>'BD Plant List'!G427/12*'BD Feedstock'!J$3*'BD Plant List'!AD$5</f>
        <v>0.90199999999999991</v>
      </c>
      <c r="K425" s="295">
        <f>'BD Plant List'!$H427/12*'BD Feedstock'!K$3*'BD Plant List'!AB$5</f>
        <v>0</v>
      </c>
      <c r="L425" s="295">
        <f>'BD Plant List'!$H427/12*'BD Feedstock'!L$3*'BD Plant List'!AC$5</f>
        <v>0</v>
      </c>
      <c r="M425" s="295">
        <f>'BD Plant List'!$I427/12*'BD Feedstock'!$M$3*'BD Plant List'!AC$5</f>
        <v>3.4291666666666671</v>
      </c>
      <c r="N425" s="295">
        <f>'BD Plant List'!$J427/12*'BD Feedstock'!N$3*'BD Plant List'!AC$5</f>
        <v>0</v>
      </c>
      <c r="O425" s="295">
        <f>'BD Plant List'!$K427/12*'BD Feedstock'!O$3*'BD Plant List'!AC$5</f>
        <v>0</v>
      </c>
      <c r="P425" s="295">
        <f>'BD Plant List'!$L427/12*'BD Feedstock'!P$3*'BD Plant List'!AE$5</f>
        <v>0</v>
      </c>
      <c r="Q425" s="295">
        <f>'BD Plant List'!$M427/12*'BD Feedstock'!Q$3*'BD Plant List'!AE$5</f>
        <v>0.93125000000000002</v>
      </c>
      <c r="R425" s="295">
        <f>'BD Plant List'!$N427/12*'BD Feedstock'!R$3*'BD Plant List'!AE$5</f>
        <v>26.540625000000002</v>
      </c>
      <c r="S425" s="295">
        <f>'BD Plant List'!$N427/12*'BD Feedstock'!S$3*'BD Plant List'!AF$5</f>
        <v>1.40625</v>
      </c>
      <c r="T425" s="295">
        <f>'BD Plant List'!$O427/12*'BD Feedstock'!T$3*'BD Plant List'!AB$5</f>
        <v>8.5732126770944213</v>
      </c>
      <c r="U425" s="295">
        <f>'BD Plant List'!$O427/12*'BD Feedstock'!U$3*'BD Plant List'!AC$5</f>
        <v>3.0347329175263269</v>
      </c>
    </row>
    <row r="426" spans="1:21" ht="18">
      <c r="A426" s="293">
        <v>52657</v>
      </c>
      <c r="B426" s="295">
        <f>'BD Plant List'!B428/12*'BD Plant List'!$AE$5*$B$3</f>
        <v>43.458333333333336</v>
      </c>
      <c r="C426" s="295">
        <f>'BD Plant List'!$C428/12*'BD Plant List'!$AB$5*'BD Feedstock'!$D$3</f>
        <v>2.098958333333333</v>
      </c>
      <c r="D426" s="295">
        <f>'BD Plant List'!$C428/12*'BD Plant List'!$AC$5*'BD Feedstock'!$D$3</f>
        <v>2.2289583333333334</v>
      </c>
      <c r="E426" s="295">
        <f>'BD Plant List'!$D428/12*'BD Plant List'!AB$5*'BD Feedstock'!$E$3</f>
        <v>9.6875</v>
      </c>
      <c r="F426" s="295">
        <f>'BD Plant List'!$D428/12*'BD Plant List'!AC$5*'BD Feedstock'!$F$3</f>
        <v>3.4291666666666671</v>
      </c>
      <c r="G426" s="295">
        <f>'BD Plant List'!$E428/12*'BD Feedstock'!G$3*'BD Plant List'!AB$5</f>
        <v>1.453125</v>
      </c>
      <c r="H426" s="295">
        <f>'BD Plant List'!$E428/12*'BD Feedstock'!H$3*'BD Plant List'!AC$5</f>
        <v>0.51437500000000003</v>
      </c>
      <c r="I426" s="295">
        <f>'BD Plant List'!F428/12*'BD Feedstock'!I$3*'BD Plant List'!AC$5</f>
        <v>0.13716666666666666</v>
      </c>
      <c r="J426" s="295">
        <f>'BD Plant List'!G428/12*'BD Feedstock'!J$3*'BD Plant List'!AD$5</f>
        <v>0.90199999999999991</v>
      </c>
      <c r="K426" s="295">
        <f>'BD Plant List'!$H428/12*'BD Feedstock'!K$3*'BD Plant List'!AB$5</f>
        <v>0</v>
      </c>
      <c r="L426" s="295">
        <f>'BD Plant List'!$H428/12*'BD Feedstock'!L$3*'BD Plant List'!AC$5</f>
        <v>0</v>
      </c>
      <c r="M426" s="295">
        <f>'BD Plant List'!$I428/12*'BD Feedstock'!$M$3*'BD Plant List'!AC$5</f>
        <v>3.4291666666666671</v>
      </c>
      <c r="N426" s="295">
        <f>'BD Plant List'!$J428/12*'BD Feedstock'!N$3*'BD Plant List'!AC$5</f>
        <v>0</v>
      </c>
      <c r="O426" s="295">
        <f>'BD Plant List'!$K428/12*'BD Feedstock'!O$3*'BD Plant List'!AC$5</f>
        <v>0</v>
      </c>
      <c r="P426" s="295">
        <f>'BD Plant List'!$L428/12*'BD Feedstock'!P$3*'BD Plant List'!AE$5</f>
        <v>0</v>
      </c>
      <c r="Q426" s="295">
        <f>'BD Plant List'!$M428/12*'BD Feedstock'!Q$3*'BD Plant List'!AE$5</f>
        <v>0.93125000000000002</v>
      </c>
      <c r="R426" s="295">
        <f>'BD Plant List'!$N428/12*'BD Feedstock'!R$3*'BD Plant List'!AE$5</f>
        <v>26.540625000000002</v>
      </c>
      <c r="S426" s="295">
        <f>'BD Plant List'!$N428/12*'BD Feedstock'!S$3*'BD Plant List'!AF$5</f>
        <v>1.40625</v>
      </c>
      <c r="T426" s="295">
        <f>'BD Plant List'!$O428/12*'BD Feedstock'!T$3*'BD Plant List'!AB$5</f>
        <v>8.5732126770944213</v>
      </c>
      <c r="U426" s="295">
        <f>'BD Plant List'!$O428/12*'BD Feedstock'!U$3*'BD Plant List'!AC$5</f>
        <v>3.0347329175263269</v>
      </c>
    </row>
    <row r="427" spans="1:21" ht="18">
      <c r="A427" s="293">
        <v>52688</v>
      </c>
      <c r="B427" s="295">
        <f>'BD Plant List'!B429/12*'BD Plant List'!$AE$5*$B$3</f>
        <v>43.458333333333336</v>
      </c>
      <c r="C427" s="295">
        <f>'BD Plant List'!$C429/12*'BD Plant List'!$AB$5*'BD Feedstock'!$D$3</f>
        <v>2.098958333333333</v>
      </c>
      <c r="D427" s="295">
        <f>'BD Plant List'!$C429/12*'BD Plant List'!$AC$5*'BD Feedstock'!$D$3</f>
        <v>2.2289583333333334</v>
      </c>
      <c r="E427" s="295">
        <f>'BD Plant List'!$D429/12*'BD Plant List'!AB$5*'BD Feedstock'!$E$3</f>
        <v>9.6875</v>
      </c>
      <c r="F427" s="295">
        <f>'BD Plant List'!$D429/12*'BD Plant List'!AC$5*'BD Feedstock'!$F$3</f>
        <v>3.4291666666666671</v>
      </c>
      <c r="G427" s="295">
        <f>'BD Plant List'!$E429/12*'BD Feedstock'!G$3*'BD Plant List'!AB$5</f>
        <v>1.453125</v>
      </c>
      <c r="H427" s="295">
        <f>'BD Plant List'!$E429/12*'BD Feedstock'!H$3*'BD Plant List'!AC$5</f>
        <v>0.51437500000000003</v>
      </c>
      <c r="I427" s="295">
        <f>'BD Plant List'!F429/12*'BD Feedstock'!I$3*'BD Plant List'!AC$5</f>
        <v>0.13716666666666666</v>
      </c>
      <c r="J427" s="295">
        <f>'BD Plant List'!G429/12*'BD Feedstock'!J$3*'BD Plant List'!AD$5</f>
        <v>0.90199999999999991</v>
      </c>
      <c r="K427" s="295">
        <f>'BD Plant List'!$H429/12*'BD Feedstock'!K$3*'BD Plant List'!AB$5</f>
        <v>0</v>
      </c>
      <c r="L427" s="295">
        <f>'BD Plant List'!$H429/12*'BD Feedstock'!L$3*'BD Plant List'!AC$5</f>
        <v>0</v>
      </c>
      <c r="M427" s="295">
        <f>'BD Plant List'!$I429/12*'BD Feedstock'!$M$3*'BD Plant List'!AC$5</f>
        <v>3.4291666666666671</v>
      </c>
      <c r="N427" s="295">
        <f>'BD Plant List'!$J429/12*'BD Feedstock'!N$3*'BD Plant List'!AC$5</f>
        <v>0</v>
      </c>
      <c r="O427" s="295">
        <f>'BD Plant List'!$K429/12*'BD Feedstock'!O$3*'BD Plant List'!AC$5</f>
        <v>0</v>
      </c>
      <c r="P427" s="295">
        <f>'BD Plant List'!$L429/12*'BD Feedstock'!P$3*'BD Plant List'!AE$5</f>
        <v>0</v>
      </c>
      <c r="Q427" s="295">
        <f>'BD Plant List'!$M429/12*'BD Feedstock'!Q$3*'BD Plant List'!AE$5</f>
        <v>0.93125000000000002</v>
      </c>
      <c r="R427" s="295">
        <f>'BD Plant List'!$N429/12*'BD Feedstock'!R$3*'BD Plant List'!AE$5</f>
        <v>26.540625000000002</v>
      </c>
      <c r="S427" s="295">
        <f>'BD Plant List'!$N429/12*'BD Feedstock'!S$3*'BD Plant List'!AF$5</f>
        <v>1.40625</v>
      </c>
      <c r="T427" s="295">
        <f>'BD Plant List'!$O429/12*'BD Feedstock'!T$3*'BD Plant List'!AB$5</f>
        <v>8.5732126770944213</v>
      </c>
      <c r="U427" s="295">
        <f>'BD Plant List'!$O429/12*'BD Feedstock'!U$3*'BD Plant List'!AC$5</f>
        <v>3.0347329175263269</v>
      </c>
    </row>
    <row r="428" spans="1:21" ht="18">
      <c r="A428" s="293">
        <v>52718</v>
      </c>
      <c r="B428" s="295">
        <f>'BD Plant List'!B430/12*'BD Plant List'!$AE$5*$B$3</f>
        <v>43.458333333333336</v>
      </c>
      <c r="C428" s="295">
        <f>'BD Plant List'!$C430/12*'BD Plant List'!$AB$5*'BD Feedstock'!$D$3</f>
        <v>2.098958333333333</v>
      </c>
      <c r="D428" s="295">
        <f>'BD Plant List'!$C430/12*'BD Plant List'!$AC$5*'BD Feedstock'!$D$3</f>
        <v>2.2289583333333334</v>
      </c>
      <c r="E428" s="295">
        <f>'BD Plant List'!$D430/12*'BD Plant List'!AB$5*'BD Feedstock'!$E$3</f>
        <v>9.6875</v>
      </c>
      <c r="F428" s="295">
        <f>'BD Plant List'!$D430/12*'BD Plant List'!AC$5*'BD Feedstock'!$F$3</f>
        <v>3.4291666666666671</v>
      </c>
      <c r="G428" s="295">
        <f>'BD Plant List'!$E430/12*'BD Feedstock'!G$3*'BD Plant List'!AB$5</f>
        <v>1.453125</v>
      </c>
      <c r="H428" s="295">
        <f>'BD Plant List'!$E430/12*'BD Feedstock'!H$3*'BD Plant List'!AC$5</f>
        <v>0.51437500000000003</v>
      </c>
      <c r="I428" s="295">
        <f>'BD Plant List'!F430/12*'BD Feedstock'!I$3*'BD Plant List'!AC$5</f>
        <v>0.13716666666666666</v>
      </c>
      <c r="J428" s="295">
        <f>'BD Plant List'!G430/12*'BD Feedstock'!J$3*'BD Plant List'!AD$5</f>
        <v>0.90199999999999991</v>
      </c>
      <c r="K428" s="295">
        <f>'BD Plant List'!$H430/12*'BD Feedstock'!K$3*'BD Plant List'!AB$5</f>
        <v>0</v>
      </c>
      <c r="L428" s="295">
        <f>'BD Plant List'!$H430/12*'BD Feedstock'!L$3*'BD Plant List'!AC$5</f>
        <v>0</v>
      </c>
      <c r="M428" s="295">
        <f>'BD Plant List'!$I430/12*'BD Feedstock'!$M$3*'BD Plant List'!AC$5</f>
        <v>3.4291666666666671</v>
      </c>
      <c r="N428" s="295">
        <f>'BD Plant List'!$J430/12*'BD Feedstock'!N$3*'BD Plant List'!AC$5</f>
        <v>0</v>
      </c>
      <c r="O428" s="295">
        <f>'BD Plant List'!$K430/12*'BD Feedstock'!O$3*'BD Plant List'!AC$5</f>
        <v>0</v>
      </c>
      <c r="P428" s="295">
        <f>'BD Plant List'!$L430/12*'BD Feedstock'!P$3*'BD Plant List'!AE$5</f>
        <v>0</v>
      </c>
      <c r="Q428" s="295">
        <f>'BD Plant List'!$M430/12*'BD Feedstock'!Q$3*'BD Plant List'!AE$5</f>
        <v>0.93125000000000002</v>
      </c>
      <c r="R428" s="295">
        <f>'BD Plant List'!$N430/12*'BD Feedstock'!R$3*'BD Plant List'!AE$5</f>
        <v>26.540625000000002</v>
      </c>
      <c r="S428" s="295">
        <f>'BD Plant List'!$N430/12*'BD Feedstock'!S$3*'BD Plant List'!AF$5</f>
        <v>1.40625</v>
      </c>
      <c r="T428" s="295">
        <f>'BD Plant List'!$O430/12*'BD Feedstock'!T$3*'BD Plant List'!AB$5</f>
        <v>8.5732126770944213</v>
      </c>
      <c r="U428" s="295">
        <f>'BD Plant List'!$O430/12*'BD Feedstock'!U$3*'BD Plant List'!AC$5</f>
        <v>3.0347329175263269</v>
      </c>
    </row>
    <row r="429" spans="1:21" ht="18">
      <c r="A429" s="293">
        <v>52749</v>
      </c>
      <c r="B429" s="295">
        <f>'BD Plant List'!B431/12*'BD Plant List'!$AE$5*$B$3</f>
        <v>43.458333333333336</v>
      </c>
      <c r="C429" s="295">
        <f>'BD Plant List'!$C431/12*'BD Plant List'!$AB$5*'BD Feedstock'!$D$3</f>
        <v>2.098958333333333</v>
      </c>
      <c r="D429" s="295">
        <f>'BD Plant List'!$C431/12*'BD Plant List'!$AC$5*'BD Feedstock'!$D$3</f>
        <v>2.2289583333333334</v>
      </c>
      <c r="E429" s="295">
        <f>'BD Plant List'!$D431/12*'BD Plant List'!AB$5*'BD Feedstock'!$E$3</f>
        <v>9.6875</v>
      </c>
      <c r="F429" s="295">
        <f>'BD Plant List'!$D431/12*'BD Plant List'!AC$5*'BD Feedstock'!$F$3</f>
        <v>3.4291666666666671</v>
      </c>
      <c r="G429" s="295">
        <f>'BD Plant List'!$E431/12*'BD Feedstock'!G$3*'BD Plant List'!AB$5</f>
        <v>1.453125</v>
      </c>
      <c r="H429" s="295">
        <f>'BD Plant List'!$E431/12*'BD Feedstock'!H$3*'BD Plant List'!AC$5</f>
        <v>0.51437500000000003</v>
      </c>
      <c r="I429" s="295">
        <f>'BD Plant List'!F431/12*'BD Feedstock'!I$3*'BD Plant List'!AC$5</f>
        <v>0.13716666666666666</v>
      </c>
      <c r="J429" s="295">
        <f>'BD Plant List'!G431/12*'BD Feedstock'!J$3*'BD Plant List'!AD$5</f>
        <v>0.90199999999999991</v>
      </c>
      <c r="K429" s="295">
        <f>'BD Plant List'!$H431/12*'BD Feedstock'!K$3*'BD Plant List'!AB$5</f>
        <v>0</v>
      </c>
      <c r="L429" s="295">
        <f>'BD Plant List'!$H431/12*'BD Feedstock'!L$3*'BD Plant List'!AC$5</f>
        <v>0</v>
      </c>
      <c r="M429" s="295">
        <f>'BD Plant List'!$I431/12*'BD Feedstock'!$M$3*'BD Plant List'!AC$5</f>
        <v>3.4291666666666671</v>
      </c>
      <c r="N429" s="295">
        <f>'BD Plant List'!$J431/12*'BD Feedstock'!N$3*'BD Plant List'!AC$5</f>
        <v>0</v>
      </c>
      <c r="O429" s="295">
        <f>'BD Plant List'!$K431/12*'BD Feedstock'!O$3*'BD Plant List'!AC$5</f>
        <v>0</v>
      </c>
      <c r="P429" s="295">
        <f>'BD Plant List'!$L431/12*'BD Feedstock'!P$3*'BD Plant List'!AE$5</f>
        <v>0</v>
      </c>
      <c r="Q429" s="295">
        <f>'BD Plant List'!$M431/12*'BD Feedstock'!Q$3*'BD Plant List'!AE$5</f>
        <v>0.93125000000000002</v>
      </c>
      <c r="R429" s="295">
        <f>'BD Plant List'!$N431/12*'BD Feedstock'!R$3*'BD Plant List'!AE$5</f>
        <v>26.540625000000002</v>
      </c>
      <c r="S429" s="295">
        <f>'BD Plant List'!$N431/12*'BD Feedstock'!S$3*'BD Plant List'!AF$5</f>
        <v>1.40625</v>
      </c>
      <c r="T429" s="295">
        <f>'BD Plant List'!$O431/12*'BD Feedstock'!T$3*'BD Plant List'!AB$5</f>
        <v>8.5732126770944213</v>
      </c>
      <c r="U429" s="295">
        <f>'BD Plant List'!$O431/12*'BD Feedstock'!U$3*'BD Plant List'!AC$5</f>
        <v>3.0347329175263269</v>
      </c>
    </row>
    <row r="430" spans="1:21" ht="18">
      <c r="A430" s="293">
        <v>52779</v>
      </c>
      <c r="B430" s="295">
        <f>'BD Plant List'!B432/12*'BD Plant List'!$AE$5*$B$3</f>
        <v>43.458333333333336</v>
      </c>
      <c r="C430" s="295">
        <f>'BD Plant List'!$C432/12*'BD Plant List'!$AB$5*'BD Feedstock'!$D$3</f>
        <v>2.098958333333333</v>
      </c>
      <c r="D430" s="295">
        <f>'BD Plant List'!$C432/12*'BD Plant List'!$AC$5*'BD Feedstock'!$D$3</f>
        <v>2.2289583333333334</v>
      </c>
      <c r="E430" s="295">
        <f>'BD Plant List'!$D432/12*'BD Plant List'!AB$5*'BD Feedstock'!$E$3</f>
        <v>9.6875</v>
      </c>
      <c r="F430" s="295">
        <f>'BD Plant List'!$D432/12*'BD Plant List'!AC$5*'BD Feedstock'!$F$3</f>
        <v>3.4291666666666671</v>
      </c>
      <c r="G430" s="295">
        <f>'BD Plant List'!$E432/12*'BD Feedstock'!G$3*'BD Plant List'!AB$5</f>
        <v>1.453125</v>
      </c>
      <c r="H430" s="295">
        <f>'BD Plant List'!$E432/12*'BD Feedstock'!H$3*'BD Plant List'!AC$5</f>
        <v>0.51437500000000003</v>
      </c>
      <c r="I430" s="295">
        <f>'BD Plant List'!F432/12*'BD Feedstock'!I$3*'BD Plant List'!AC$5</f>
        <v>0.13716666666666666</v>
      </c>
      <c r="J430" s="295">
        <f>'BD Plant List'!G432/12*'BD Feedstock'!J$3*'BD Plant List'!AD$5</f>
        <v>0.90199999999999991</v>
      </c>
      <c r="K430" s="295">
        <f>'BD Plant List'!$H432/12*'BD Feedstock'!K$3*'BD Plant List'!AB$5</f>
        <v>0</v>
      </c>
      <c r="L430" s="295">
        <f>'BD Plant List'!$H432/12*'BD Feedstock'!L$3*'BD Plant List'!AC$5</f>
        <v>0</v>
      </c>
      <c r="M430" s="295">
        <f>'BD Plant List'!$I432/12*'BD Feedstock'!$M$3*'BD Plant List'!AC$5</f>
        <v>3.4291666666666671</v>
      </c>
      <c r="N430" s="295">
        <f>'BD Plant List'!$J432/12*'BD Feedstock'!N$3*'BD Plant List'!AC$5</f>
        <v>0</v>
      </c>
      <c r="O430" s="295">
        <f>'BD Plant List'!$K432/12*'BD Feedstock'!O$3*'BD Plant List'!AC$5</f>
        <v>0</v>
      </c>
      <c r="P430" s="295">
        <f>'BD Plant List'!$L432/12*'BD Feedstock'!P$3*'BD Plant List'!AE$5</f>
        <v>0</v>
      </c>
      <c r="Q430" s="295">
        <f>'BD Plant List'!$M432/12*'BD Feedstock'!Q$3*'BD Plant List'!AE$5</f>
        <v>0.93125000000000002</v>
      </c>
      <c r="R430" s="295">
        <f>'BD Plant List'!$N432/12*'BD Feedstock'!R$3*'BD Plant List'!AE$5</f>
        <v>26.540625000000002</v>
      </c>
      <c r="S430" s="295">
        <f>'BD Plant List'!$N432/12*'BD Feedstock'!S$3*'BD Plant List'!AF$5</f>
        <v>1.40625</v>
      </c>
      <c r="T430" s="295">
        <f>'BD Plant List'!$O432/12*'BD Feedstock'!T$3*'BD Plant List'!AB$5</f>
        <v>8.5732126770944213</v>
      </c>
      <c r="U430" s="295">
        <f>'BD Plant List'!$O432/12*'BD Feedstock'!U$3*'BD Plant List'!AC$5</f>
        <v>3.0347329175263269</v>
      </c>
    </row>
    <row r="431" spans="1:21" ht="18">
      <c r="A431" s="293">
        <v>52810</v>
      </c>
      <c r="B431" s="295">
        <f>'BD Plant List'!B433/12*'BD Plant List'!$AE$5*$B$3</f>
        <v>43.458333333333336</v>
      </c>
      <c r="C431" s="295">
        <f>'BD Plant List'!$C433/12*'BD Plant List'!$AB$5*'BD Feedstock'!$D$3</f>
        <v>2.098958333333333</v>
      </c>
      <c r="D431" s="295">
        <f>'BD Plant List'!$C433/12*'BD Plant List'!$AC$5*'BD Feedstock'!$D$3</f>
        <v>2.2289583333333334</v>
      </c>
      <c r="E431" s="295">
        <f>'BD Plant List'!$D433/12*'BD Plant List'!AB$5*'BD Feedstock'!$E$3</f>
        <v>9.6875</v>
      </c>
      <c r="F431" s="295">
        <f>'BD Plant List'!$D433/12*'BD Plant List'!AC$5*'BD Feedstock'!$F$3</f>
        <v>3.4291666666666671</v>
      </c>
      <c r="G431" s="295">
        <f>'BD Plant List'!$E433/12*'BD Feedstock'!G$3*'BD Plant List'!AB$5</f>
        <v>1.453125</v>
      </c>
      <c r="H431" s="295">
        <f>'BD Plant List'!$E433/12*'BD Feedstock'!H$3*'BD Plant List'!AC$5</f>
        <v>0.51437500000000003</v>
      </c>
      <c r="I431" s="295">
        <f>'BD Plant List'!F433/12*'BD Feedstock'!I$3*'BD Plant List'!AC$5</f>
        <v>0.13716666666666666</v>
      </c>
      <c r="J431" s="295">
        <f>'BD Plant List'!G433/12*'BD Feedstock'!J$3*'BD Plant List'!AD$5</f>
        <v>0.90199999999999991</v>
      </c>
      <c r="K431" s="295">
        <f>'BD Plant List'!$H433/12*'BD Feedstock'!K$3*'BD Plant List'!AB$5</f>
        <v>0</v>
      </c>
      <c r="L431" s="295">
        <f>'BD Plant List'!$H433/12*'BD Feedstock'!L$3*'BD Plant List'!AC$5</f>
        <v>0</v>
      </c>
      <c r="M431" s="295">
        <f>'BD Plant List'!$I433/12*'BD Feedstock'!$M$3*'BD Plant List'!AC$5</f>
        <v>3.4291666666666671</v>
      </c>
      <c r="N431" s="295">
        <f>'BD Plant List'!$J433/12*'BD Feedstock'!N$3*'BD Plant List'!AC$5</f>
        <v>0</v>
      </c>
      <c r="O431" s="295">
        <f>'BD Plant List'!$K433/12*'BD Feedstock'!O$3*'BD Plant List'!AC$5</f>
        <v>0</v>
      </c>
      <c r="P431" s="295">
        <f>'BD Plant List'!$L433/12*'BD Feedstock'!P$3*'BD Plant List'!AE$5</f>
        <v>0</v>
      </c>
      <c r="Q431" s="295">
        <f>'BD Plant List'!$M433/12*'BD Feedstock'!Q$3*'BD Plant List'!AE$5</f>
        <v>0.93125000000000002</v>
      </c>
      <c r="R431" s="295">
        <f>'BD Plant List'!$N433/12*'BD Feedstock'!R$3*'BD Plant List'!AE$5</f>
        <v>26.540625000000002</v>
      </c>
      <c r="S431" s="295">
        <f>'BD Plant List'!$N433/12*'BD Feedstock'!S$3*'BD Plant List'!AF$5</f>
        <v>1.40625</v>
      </c>
      <c r="T431" s="295">
        <f>'BD Plant List'!$O433/12*'BD Feedstock'!T$3*'BD Plant List'!AB$5</f>
        <v>8.5732126770944213</v>
      </c>
      <c r="U431" s="295">
        <f>'BD Plant List'!$O433/12*'BD Feedstock'!U$3*'BD Plant List'!AC$5</f>
        <v>3.0347329175263269</v>
      </c>
    </row>
    <row r="432" spans="1:21" ht="18">
      <c r="A432" s="293">
        <v>52841</v>
      </c>
      <c r="B432" s="295">
        <f>'BD Plant List'!B434/12*'BD Plant List'!$AE$5*$B$3</f>
        <v>43.458333333333336</v>
      </c>
      <c r="C432" s="295">
        <f>'BD Plant List'!$C434/12*'BD Plant List'!$AB$5*'BD Feedstock'!$D$3</f>
        <v>2.098958333333333</v>
      </c>
      <c r="D432" s="295">
        <f>'BD Plant List'!$C434/12*'BD Plant List'!$AC$5*'BD Feedstock'!$D$3</f>
        <v>2.2289583333333334</v>
      </c>
      <c r="E432" s="295">
        <f>'BD Plant List'!$D434/12*'BD Plant List'!AB$5*'BD Feedstock'!$E$3</f>
        <v>9.6875</v>
      </c>
      <c r="F432" s="295">
        <f>'BD Plant List'!$D434/12*'BD Plant List'!AC$5*'BD Feedstock'!$F$3</f>
        <v>3.4291666666666671</v>
      </c>
      <c r="G432" s="295">
        <f>'BD Plant List'!$E434/12*'BD Feedstock'!G$3*'BD Plant List'!AB$5</f>
        <v>1.453125</v>
      </c>
      <c r="H432" s="295">
        <f>'BD Plant List'!$E434/12*'BD Feedstock'!H$3*'BD Plant List'!AC$5</f>
        <v>0.51437500000000003</v>
      </c>
      <c r="I432" s="295">
        <f>'BD Plant List'!F434/12*'BD Feedstock'!I$3*'BD Plant List'!AC$5</f>
        <v>0.13716666666666666</v>
      </c>
      <c r="J432" s="295">
        <f>'BD Plant List'!G434/12*'BD Feedstock'!J$3*'BD Plant List'!AD$5</f>
        <v>0.90199999999999991</v>
      </c>
      <c r="K432" s="295">
        <f>'BD Plant List'!$H434/12*'BD Feedstock'!K$3*'BD Plant List'!AB$5</f>
        <v>0</v>
      </c>
      <c r="L432" s="295">
        <f>'BD Plant List'!$H434/12*'BD Feedstock'!L$3*'BD Plant List'!AC$5</f>
        <v>0</v>
      </c>
      <c r="M432" s="295">
        <f>'BD Plant List'!$I434/12*'BD Feedstock'!$M$3*'BD Plant List'!AC$5</f>
        <v>3.4291666666666671</v>
      </c>
      <c r="N432" s="295">
        <f>'BD Plant List'!$J434/12*'BD Feedstock'!N$3*'BD Plant List'!AC$5</f>
        <v>0</v>
      </c>
      <c r="O432" s="295">
        <f>'BD Plant List'!$K434/12*'BD Feedstock'!O$3*'BD Plant List'!AC$5</f>
        <v>0</v>
      </c>
      <c r="P432" s="295">
        <f>'BD Plant List'!$L434/12*'BD Feedstock'!P$3*'BD Plant List'!AE$5</f>
        <v>0</v>
      </c>
      <c r="Q432" s="295">
        <f>'BD Plant List'!$M434/12*'BD Feedstock'!Q$3*'BD Plant List'!AE$5</f>
        <v>0.93125000000000002</v>
      </c>
      <c r="R432" s="295">
        <f>'BD Plant List'!$N434/12*'BD Feedstock'!R$3*'BD Plant List'!AE$5</f>
        <v>26.540625000000002</v>
      </c>
      <c r="S432" s="295">
        <f>'BD Plant List'!$N434/12*'BD Feedstock'!S$3*'BD Plant List'!AF$5</f>
        <v>1.40625</v>
      </c>
      <c r="T432" s="295">
        <f>'BD Plant List'!$O434/12*'BD Feedstock'!T$3*'BD Plant List'!AB$5</f>
        <v>8.5732126770944213</v>
      </c>
      <c r="U432" s="295">
        <f>'BD Plant List'!$O434/12*'BD Feedstock'!U$3*'BD Plant List'!AC$5</f>
        <v>3.0347329175263269</v>
      </c>
    </row>
    <row r="433" spans="1:21" ht="18">
      <c r="A433" s="293">
        <v>52871</v>
      </c>
      <c r="B433" s="295">
        <f>'BD Plant List'!B435/12*'BD Plant List'!$AE$5*$B$3</f>
        <v>43.458333333333336</v>
      </c>
      <c r="C433" s="295">
        <f>'BD Plant List'!$C435/12*'BD Plant List'!$AB$5*'BD Feedstock'!$D$3</f>
        <v>2.098958333333333</v>
      </c>
      <c r="D433" s="295">
        <f>'BD Plant List'!$C435/12*'BD Plant List'!$AC$5*'BD Feedstock'!$D$3</f>
        <v>2.2289583333333334</v>
      </c>
      <c r="E433" s="295">
        <f>'BD Plant List'!$D435/12*'BD Plant List'!AB$5*'BD Feedstock'!$E$3</f>
        <v>9.6875</v>
      </c>
      <c r="F433" s="295">
        <f>'BD Plant List'!$D435/12*'BD Plant List'!AC$5*'BD Feedstock'!$F$3</f>
        <v>3.4291666666666671</v>
      </c>
      <c r="G433" s="295">
        <f>'BD Plant List'!$E435/12*'BD Feedstock'!G$3*'BD Plant List'!AB$5</f>
        <v>1.453125</v>
      </c>
      <c r="H433" s="295">
        <f>'BD Plant List'!$E435/12*'BD Feedstock'!H$3*'BD Plant List'!AC$5</f>
        <v>0.51437500000000003</v>
      </c>
      <c r="I433" s="295">
        <f>'BD Plant List'!F435/12*'BD Feedstock'!I$3*'BD Plant List'!AC$5</f>
        <v>0.13716666666666666</v>
      </c>
      <c r="J433" s="295">
        <f>'BD Plant List'!G435/12*'BD Feedstock'!J$3*'BD Plant List'!AD$5</f>
        <v>0.90199999999999991</v>
      </c>
      <c r="K433" s="295">
        <f>'BD Plant List'!$H435/12*'BD Feedstock'!K$3*'BD Plant List'!AB$5</f>
        <v>0</v>
      </c>
      <c r="L433" s="295">
        <f>'BD Plant List'!$H435/12*'BD Feedstock'!L$3*'BD Plant List'!AC$5</f>
        <v>0</v>
      </c>
      <c r="M433" s="295">
        <f>'BD Plant List'!$I435/12*'BD Feedstock'!$M$3*'BD Plant List'!AC$5</f>
        <v>3.4291666666666671</v>
      </c>
      <c r="N433" s="295">
        <f>'BD Plant List'!$J435/12*'BD Feedstock'!N$3*'BD Plant List'!AC$5</f>
        <v>0</v>
      </c>
      <c r="O433" s="295">
        <f>'BD Plant List'!$K435/12*'BD Feedstock'!O$3*'BD Plant List'!AC$5</f>
        <v>0</v>
      </c>
      <c r="P433" s="295">
        <f>'BD Plant List'!$L435/12*'BD Feedstock'!P$3*'BD Plant List'!AE$5</f>
        <v>0</v>
      </c>
      <c r="Q433" s="295">
        <f>'BD Plant List'!$M435/12*'BD Feedstock'!Q$3*'BD Plant List'!AE$5</f>
        <v>0.93125000000000002</v>
      </c>
      <c r="R433" s="295">
        <f>'BD Plant List'!$N435/12*'BD Feedstock'!R$3*'BD Plant List'!AE$5</f>
        <v>26.540625000000002</v>
      </c>
      <c r="S433" s="295">
        <f>'BD Plant List'!$N435/12*'BD Feedstock'!S$3*'BD Plant List'!AF$5</f>
        <v>1.40625</v>
      </c>
      <c r="T433" s="295">
        <f>'BD Plant List'!$O435/12*'BD Feedstock'!T$3*'BD Plant List'!AB$5</f>
        <v>8.5732126770944213</v>
      </c>
      <c r="U433" s="295">
        <f>'BD Plant List'!$O435/12*'BD Feedstock'!U$3*'BD Plant List'!AC$5</f>
        <v>3.0347329175263269</v>
      </c>
    </row>
    <row r="434" spans="1:21" ht="18">
      <c r="A434" s="293">
        <v>52902</v>
      </c>
      <c r="B434" s="295">
        <f>'BD Plant List'!B436/12*'BD Plant List'!$AE$5*$B$3</f>
        <v>43.458333333333336</v>
      </c>
      <c r="C434" s="295">
        <f>'BD Plant List'!$C436/12*'BD Plant List'!$AB$5*'BD Feedstock'!$D$3</f>
        <v>2.098958333333333</v>
      </c>
      <c r="D434" s="295">
        <f>'BD Plant List'!$C436/12*'BD Plant List'!$AC$5*'BD Feedstock'!$D$3</f>
        <v>2.2289583333333334</v>
      </c>
      <c r="E434" s="295">
        <f>'BD Plant List'!$D436/12*'BD Plant List'!AB$5*'BD Feedstock'!$E$3</f>
        <v>9.6875</v>
      </c>
      <c r="F434" s="295">
        <f>'BD Plant List'!$D436/12*'BD Plant List'!AC$5*'BD Feedstock'!$F$3</f>
        <v>3.4291666666666671</v>
      </c>
      <c r="G434" s="295">
        <f>'BD Plant List'!$E436/12*'BD Feedstock'!G$3*'BD Plant List'!AB$5</f>
        <v>1.453125</v>
      </c>
      <c r="H434" s="295">
        <f>'BD Plant List'!$E436/12*'BD Feedstock'!H$3*'BD Plant List'!AC$5</f>
        <v>0.51437500000000003</v>
      </c>
      <c r="I434" s="295">
        <f>'BD Plant List'!F436/12*'BD Feedstock'!I$3*'BD Plant List'!AC$5</f>
        <v>0.13716666666666666</v>
      </c>
      <c r="J434" s="295">
        <f>'BD Plant List'!G436/12*'BD Feedstock'!J$3*'BD Plant List'!AD$5</f>
        <v>0.90199999999999991</v>
      </c>
      <c r="K434" s="295">
        <f>'BD Plant List'!$H436/12*'BD Feedstock'!K$3*'BD Plant List'!AB$5</f>
        <v>0</v>
      </c>
      <c r="L434" s="295">
        <f>'BD Plant List'!$H436/12*'BD Feedstock'!L$3*'BD Plant List'!AC$5</f>
        <v>0</v>
      </c>
      <c r="M434" s="295">
        <f>'BD Plant List'!$I436/12*'BD Feedstock'!$M$3*'BD Plant List'!AC$5</f>
        <v>3.4291666666666671</v>
      </c>
      <c r="N434" s="295">
        <f>'BD Plant List'!$J436/12*'BD Feedstock'!N$3*'BD Plant List'!AC$5</f>
        <v>0</v>
      </c>
      <c r="O434" s="295">
        <f>'BD Plant List'!$K436/12*'BD Feedstock'!O$3*'BD Plant List'!AC$5</f>
        <v>0</v>
      </c>
      <c r="P434" s="295">
        <f>'BD Plant List'!$L436/12*'BD Feedstock'!P$3*'BD Plant List'!AE$5</f>
        <v>0</v>
      </c>
      <c r="Q434" s="295">
        <f>'BD Plant List'!$M436/12*'BD Feedstock'!Q$3*'BD Plant List'!AE$5</f>
        <v>0.93125000000000002</v>
      </c>
      <c r="R434" s="295">
        <f>'BD Plant List'!$N436/12*'BD Feedstock'!R$3*'BD Plant List'!AE$5</f>
        <v>26.540625000000002</v>
      </c>
      <c r="S434" s="295">
        <f>'BD Plant List'!$N436/12*'BD Feedstock'!S$3*'BD Plant List'!AF$5</f>
        <v>1.40625</v>
      </c>
      <c r="T434" s="295">
        <f>'BD Plant List'!$O436/12*'BD Feedstock'!T$3*'BD Plant List'!AB$5</f>
        <v>8.5732126770944213</v>
      </c>
      <c r="U434" s="295">
        <f>'BD Plant List'!$O436/12*'BD Feedstock'!U$3*'BD Plant List'!AC$5</f>
        <v>3.0347329175263269</v>
      </c>
    </row>
    <row r="435" spans="1:21" ht="18">
      <c r="A435" s="293">
        <v>52932</v>
      </c>
      <c r="B435" s="295">
        <f>'BD Plant List'!B437/12*'BD Plant List'!$AE$5*$B$3</f>
        <v>43.458333333333336</v>
      </c>
      <c r="C435" s="295">
        <f>'BD Plant List'!$C437/12*'BD Plant List'!$AB$5*'BD Feedstock'!$D$3</f>
        <v>2.098958333333333</v>
      </c>
      <c r="D435" s="295">
        <f>'BD Plant List'!$C437/12*'BD Plant List'!$AC$5*'BD Feedstock'!$D$3</f>
        <v>2.2289583333333334</v>
      </c>
      <c r="E435" s="295">
        <f>'BD Plant List'!$D437/12*'BD Plant List'!AB$5*'BD Feedstock'!$E$3</f>
        <v>9.6875</v>
      </c>
      <c r="F435" s="295">
        <f>'BD Plant List'!$D437/12*'BD Plant List'!AC$5*'BD Feedstock'!$F$3</f>
        <v>3.4291666666666671</v>
      </c>
      <c r="G435" s="295">
        <f>'BD Plant List'!$E437/12*'BD Feedstock'!G$3*'BD Plant List'!AB$5</f>
        <v>1.453125</v>
      </c>
      <c r="H435" s="295">
        <f>'BD Plant List'!$E437/12*'BD Feedstock'!H$3*'BD Plant List'!AC$5</f>
        <v>0.51437500000000003</v>
      </c>
      <c r="I435" s="295">
        <f>'BD Plant List'!F437/12*'BD Feedstock'!I$3*'BD Plant List'!AC$5</f>
        <v>0.13716666666666666</v>
      </c>
      <c r="J435" s="295">
        <f>'BD Plant List'!G437/12*'BD Feedstock'!J$3*'BD Plant List'!AD$5</f>
        <v>0.90199999999999991</v>
      </c>
      <c r="K435" s="295">
        <f>'BD Plant List'!$H437/12*'BD Feedstock'!K$3*'BD Plant List'!AB$5</f>
        <v>0</v>
      </c>
      <c r="L435" s="295">
        <f>'BD Plant List'!$H437/12*'BD Feedstock'!L$3*'BD Plant List'!AC$5</f>
        <v>0</v>
      </c>
      <c r="M435" s="295">
        <f>'BD Plant List'!$I437/12*'BD Feedstock'!$M$3*'BD Plant List'!AC$5</f>
        <v>3.4291666666666671</v>
      </c>
      <c r="N435" s="295">
        <f>'BD Plant List'!$J437/12*'BD Feedstock'!N$3*'BD Plant List'!AC$5</f>
        <v>0</v>
      </c>
      <c r="O435" s="295">
        <f>'BD Plant List'!$K437/12*'BD Feedstock'!O$3*'BD Plant List'!AC$5</f>
        <v>0</v>
      </c>
      <c r="P435" s="295">
        <f>'BD Plant List'!$L437/12*'BD Feedstock'!P$3*'BD Plant List'!AE$5</f>
        <v>0</v>
      </c>
      <c r="Q435" s="295">
        <f>'BD Plant List'!$M437/12*'BD Feedstock'!Q$3*'BD Plant List'!AE$5</f>
        <v>0.93125000000000002</v>
      </c>
      <c r="R435" s="295">
        <f>'BD Plant List'!$N437/12*'BD Feedstock'!R$3*'BD Plant List'!AE$5</f>
        <v>26.540625000000002</v>
      </c>
      <c r="S435" s="295">
        <f>'BD Plant List'!$N437/12*'BD Feedstock'!S$3*'BD Plant List'!AF$5</f>
        <v>1.40625</v>
      </c>
      <c r="T435" s="295">
        <f>'BD Plant List'!$O437/12*'BD Feedstock'!T$3*'BD Plant List'!AB$5</f>
        <v>8.5732126770944213</v>
      </c>
      <c r="U435" s="295">
        <f>'BD Plant List'!$O437/12*'BD Feedstock'!U$3*'BD Plant List'!AC$5</f>
        <v>3.0347329175263269</v>
      </c>
    </row>
    <row r="436" spans="1:21" ht="18">
      <c r="A436" s="293">
        <v>52963</v>
      </c>
      <c r="B436" s="295">
        <f>'BD Plant List'!B438/12*'BD Plant List'!$AE$5*$B$3</f>
        <v>43.458333333333336</v>
      </c>
      <c r="C436" s="295">
        <f>'BD Plant List'!$C438/12*'BD Plant List'!$AB$5*'BD Feedstock'!$D$3</f>
        <v>2.098958333333333</v>
      </c>
      <c r="D436" s="295">
        <f>'BD Plant List'!$C438/12*'BD Plant List'!$AC$5*'BD Feedstock'!$D$3</f>
        <v>2.2289583333333334</v>
      </c>
      <c r="E436" s="295">
        <f>'BD Plant List'!$D438/12*'BD Plant List'!AB$5*'BD Feedstock'!$E$3</f>
        <v>9.6875</v>
      </c>
      <c r="F436" s="295">
        <f>'BD Plant List'!$D438/12*'BD Plant List'!AC$5*'BD Feedstock'!$F$3</f>
        <v>3.4291666666666671</v>
      </c>
      <c r="G436" s="295">
        <f>'BD Plant List'!$E438/12*'BD Feedstock'!G$3*'BD Plant List'!AB$5</f>
        <v>1.453125</v>
      </c>
      <c r="H436" s="295">
        <f>'BD Plant List'!$E438/12*'BD Feedstock'!H$3*'BD Plant List'!AC$5</f>
        <v>0.51437500000000003</v>
      </c>
      <c r="I436" s="295">
        <f>'BD Plant List'!F438/12*'BD Feedstock'!I$3*'BD Plant List'!AC$5</f>
        <v>0.13716666666666666</v>
      </c>
      <c r="J436" s="295">
        <f>'BD Plant List'!G438/12*'BD Feedstock'!J$3*'BD Plant List'!AD$5</f>
        <v>0.90199999999999991</v>
      </c>
      <c r="K436" s="295">
        <f>'BD Plant List'!$H438/12*'BD Feedstock'!K$3*'BD Plant List'!AB$5</f>
        <v>0</v>
      </c>
      <c r="L436" s="295">
        <f>'BD Plant List'!$H438/12*'BD Feedstock'!L$3*'BD Plant List'!AC$5</f>
        <v>0</v>
      </c>
      <c r="M436" s="295">
        <f>'BD Plant List'!$I438/12*'BD Feedstock'!$M$3*'BD Plant List'!AC$5</f>
        <v>3.4291666666666671</v>
      </c>
      <c r="N436" s="295">
        <f>'BD Plant List'!$J438/12*'BD Feedstock'!N$3*'BD Plant List'!AC$5</f>
        <v>0</v>
      </c>
      <c r="O436" s="295">
        <f>'BD Plant List'!$K438/12*'BD Feedstock'!O$3*'BD Plant List'!AC$5</f>
        <v>0</v>
      </c>
      <c r="P436" s="295">
        <f>'BD Plant List'!$L438/12*'BD Feedstock'!P$3*'BD Plant List'!AE$5</f>
        <v>0</v>
      </c>
      <c r="Q436" s="295">
        <f>'BD Plant List'!$M438/12*'BD Feedstock'!Q$3*'BD Plant List'!AE$5</f>
        <v>0.93125000000000002</v>
      </c>
      <c r="R436" s="295">
        <f>'BD Plant List'!$N438/12*'BD Feedstock'!R$3*'BD Plant List'!AE$5</f>
        <v>26.540625000000002</v>
      </c>
      <c r="S436" s="295">
        <f>'BD Plant List'!$N438/12*'BD Feedstock'!S$3*'BD Plant List'!AF$5</f>
        <v>1.40625</v>
      </c>
      <c r="T436" s="295">
        <f>'BD Plant List'!$O438/12*'BD Feedstock'!T$3*'BD Plant List'!AB$5</f>
        <v>8.5732126770944213</v>
      </c>
      <c r="U436" s="295">
        <f>'BD Plant List'!$O438/12*'BD Feedstock'!U$3*'BD Plant List'!AC$5</f>
        <v>3.0347329175263269</v>
      </c>
    </row>
    <row r="437" spans="1:21" ht="18">
      <c r="A437" s="293">
        <v>52994</v>
      </c>
      <c r="B437" s="295">
        <f>'BD Plant List'!B439/12*'BD Plant List'!$AE$5*$B$3</f>
        <v>43.458333333333336</v>
      </c>
      <c r="C437" s="295">
        <f>'BD Plant List'!$C439/12*'BD Plant List'!$AB$5*'BD Feedstock'!$D$3</f>
        <v>2.098958333333333</v>
      </c>
      <c r="D437" s="295">
        <f>'BD Plant List'!$C439/12*'BD Plant List'!$AC$5*'BD Feedstock'!$D$3</f>
        <v>2.2289583333333334</v>
      </c>
      <c r="E437" s="295">
        <f>'BD Plant List'!$D439/12*'BD Plant List'!AB$5*'BD Feedstock'!$E$3</f>
        <v>9.6875</v>
      </c>
      <c r="F437" s="295">
        <f>'BD Plant List'!$D439/12*'BD Plant List'!AC$5*'BD Feedstock'!$F$3</f>
        <v>3.4291666666666671</v>
      </c>
      <c r="G437" s="295">
        <f>'BD Plant List'!$E439/12*'BD Feedstock'!G$3*'BD Plant List'!AB$5</f>
        <v>1.453125</v>
      </c>
      <c r="H437" s="295">
        <f>'BD Plant List'!$E439/12*'BD Feedstock'!H$3*'BD Plant List'!AC$5</f>
        <v>0.51437500000000003</v>
      </c>
      <c r="I437" s="295">
        <f>'BD Plant List'!F439/12*'BD Feedstock'!I$3*'BD Plant List'!AC$5</f>
        <v>0.13716666666666666</v>
      </c>
      <c r="J437" s="295">
        <f>'BD Plant List'!G439/12*'BD Feedstock'!J$3*'BD Plant List'!AD$5</f>
        <v>0.90199999999999991</v>
      </c>
      <c r="K437" s="295">
        <f>'BD Plant List'!$H439/12*'BD Feedstock'!K$3*'BD Plant List'!AB$5</f>
        <v>0</v>
      </c>
      <c r="L437" s="295">
        <f>'BD Plant List'!$H439/12*'BD Feedstock'!L$3*'BD Plant List'!AC$5</f>
        <v>0</v>
      </c>
      <c r="M437" s="295">
        <f>'BD Plant List'!$I439/12*'BD Feedstock'!$M$3*'BD Plant List'!AC$5</f>
        <v>3.4291666666666671</v>
      </c>
      <c r="N437" s="295">
        <f>'BD Plant List'!$J439/12*'BD Feedstock'!N$3*'BD Plant List'!AC$5</f>
        <v>0</v>
      </c>
      <c r="O437" s="295">
        <f>'BD Plant List'!$K439/12*'BD Feedstock'!O$3*'BD Plant List'!AC$5</f>
        <v>0</v>
      </c>
      <c r="P437" s="295">
        <f>'BD Plant List'!$L439/12*'BD Feedstock'!P$3*'BD Plant List'!AE$5</f>
        <v>0</v>
      </c>
      <c r="Q437" s="295">
        <f>'BD Plant List'!$M439/12*'BD Feedstock'!Q$3*'BD Plant List'!AE$5</f>
        <v>0.93125000000000002</v>
      </c>
      <c r="R437" s="295">
        <f>'BD Plant List'!$N439/12*'BD Feedstock'!R$3*'BD Plant List'!AE$5</f>
        <v>26.540625000000002</v>
      </c>
      <c r="S437" s="295">
        <f>'BD Plant List'!$N439/12*'BD Feedstock'!S$3*'BD Plant List'!AF$5</f>
        <v>1.40625</v>
      </c>
      <c r="T437" s="295">
        <f>'BD Plant List'!$O439/12*'BD Feedstock'!T$3*'BD Plant List'!AB$5</f>
        <v>8.5732126770944213</v>
      </c>
      <c r="U437" s="295">
        <f>'BD Plant List'!$O439/12*'BD Feedstock'!U$3*'BD Plant List'!AC$5</f>
        <v>3.0347329175263269</v>
      </c>
    </row>
    <row r="438" spans="1:21" ht="18">
      <c r="A438" s="293">
        <v>53022</v>
      </c>
      <c r="B438" s="295">
        <f>'BD Plant List'!B440/12*'BD Plant List'!$AE$5*$B$3</f>
        <v>43.458333333333336</v>
      </c>
      <c r="C438" s="295">
        <f>'BD Plant List'!$C440/12*'BD Plant List'!$AB$5*'BD Feedstock'!$D$3</f>
        <v>2.098958333333333</v>
      </c>
      <c r="D438" s="295">
        <f>'BD Plant List'!$C440/12*'BD Plant List'!$AC$5*'BD Feedstock'!$D$3</f>
        <v>2.2289583333333334</v>
      </c>
      <c r="E438" s="295">
        <f>'BD Plant List'!$D440/12*'BD Plant List'!AB$5*'BD Feedstock'!$E$3</f>
        <v>9.6875</v>
      </c>
      <c r="F438" s="295">
        <f>'BD Plant List'!$D440/12*'BD Plant List'!AC$5*'BD Feedstock'!$F$3</f>
        <v>3.4291666666666671</v>
      </c>
      <c r="G438" s="295">
        <f>'BD Plant List'!$E440/12*'BD Feedstock'!G$3*'BD Plant List'!AB$5</f>
        <v>1.453125</v>
      </c>
      <c r="H438" s="295">
        <f>'BD Plant List'!$E440/12*'BD Feedstock'!H$3*'BD Plant List'!AC$5</f>
        <v>0.51437500000000003</v>
      </c>
      <c r="I438" s="295">
        <f>'BD Plant List'!F440/12*'BD Feedstock'!I$3*'BD Plant List'!AC$5</f>
        <v>0.13716666666666666</v>
      </c>
      <c r="J438" s="295">
        <f>'BD Plant List'!G440/12*'BD Feedstock'!J$3*'BD Plant List'!AD$5</f>
        <v>0.90199999999999991</v>
      </c>
      <c r="K438" s="295">
        <f>'BD Plant List'!$H440/12*'BD Feedstock'!K$3*'BD Plant List'!AB$5</f>
        <v>0</v>
      </c>
      <c r="L438" s="295">
        <f>'BD Plant List'!$H440/12*'BD Feedstock'!L$3*'BD Plant List'!AC$5</f>
        <v>0</v>
      </c>
      <c r="M438" s="295">
        <f>'BD Plant List'!$I440/12*'BD Feedstock'!$M$3*'BD Plant List'!AC$5</f>
        <v>3.4291666666666671</v>
      </c>
      <c r="N438" s="295">
        <f>'BD Plant List'!$J440/12*'BD Feedstock'!N$3*'BD Plant List'!AC$5</f>
        <v>0</v>
      </c>
      <c r="O438" s="295">
        <f>'BD Plant List'!$K440/12*'BD Feedstock'!O$3*'BD Plant List'!AC$5</f>
        <v>0</v>
      </c>
      <c r="P438" s="295">
        <f>'BD Plant List'!$L440/12*'BD Feedstock'!P$3*'BD Plant List'!AE$5</f>
        <v>0</v>
      </c>
      <c r="Q438" s="295">
        <f>'BD Plant List'!$M440/12*'BD Feedstock'!Q$3*'BD Plant List'!AE$5</f>
        <v>0.93125000000000002</v>
      </c>
      <c r="R438" s="295">
        <f>'BD Plant List'!$N440/12*'BD Feedstock'!R$3*'BD Plant List'!AE$5</f>
        <v>26.540625000000002</v>
      </c>
      <c r="S438" s="295">
        <f>'BD Plant List'!$N440/12*'BD Feedstock'!S$3*'BD Plant List'!AF$5</f>
        <v>1.40625</v>
      </c>
      <c r="T438" s="295">
        <f>'BD Plant List'!$O440/12*'BD Feedstock'!T$3*'BD Plant List'!AB$5</f>
        <v>8.5732126770944213</v>
      </c>
      <c r="U438" s="295">
        <f>'BD Plant List'!$O440/12*'BD Feedstock'!U$3*'BD Plant List'!AC$5</f>
        <v>3.0347329175263269</v>
      </c>
    </row>
    <row r="439" spans="1:21" ht="18">
      <c r="A439" s="293">
        <v>53053</v>
      </c>
      <c r="B439" s="295">
        <f>'BD Plant List'!B441/12*'BD Plant List'!$AE$5*$B$3</f>
        <v>43.458333333333336</v>
      </c>
      <c r="C439" s="295">
        <f>'BD Plant List'!$C441/12*'BD Plant List'!$AB$5*'BD Feedstock'!$D$3</f>
        <v>2.098958333333333</v>
      </c>
      <c r="D439" s="295">
        <f>'BD Plant List'!$C441/12*'BD Plant List'!$AC$5*'BD Feedstock'!$D$3</f>
        <v>2.2289583333333334</v>
      </c>
      <c r="E439" s="295">
        <f>'BD Plant List'!$D441/12*'BD Plant List'!AB$5*'BD Feedstock'!$E$3</f>
        <v>9.6875</v>
      </c>
      <c r="F439" s="295">
        <f>'BD Plant List'!$D441/12*'BD Plant List'!AC$5*'BD Feedstock'!$F$3</f>
        <v>3.4291666666666671</v>
      </c>
      <c r="G439" s="295">
        <f>'BD Plant List'!$E441/12*'BD Feedstock'!G$3*'BD Plant List'!AB$5</f>
        <v>1.453125</v>
      </c>
      <c r="H439" s="295">
        <f>'BD Plant List'!$E441/12*'BD Feedstock'!H$3*'BD Plant List'!AC$5</f>
        <v>0.51437500000000003</v>
      </c>
      <c r="I439" s="295">
        <f>'BD Plant List'!F441/12*'BD Feedstock'!I$3*'BD Plant List'!AC$5</f>
        <v>0.13716666666666666</v>
      </c>
      <c r="J439" s="295">
        <f>'BD Plant List'!G441/12*'BD Feedstock'!J$3*'BD Plant List'!AD$5</f>
        <v>0.90199999999999991</v>
      </c>
      <c r="K439" s="295">
        <f>'BD Plant List'!$H441/12*'BD Feedstock'!K$3*'BD Plant List'!AB$5</f>
        <v>0</v>
      </c>
      <c r="L439" s="295">
        <f>'BD Plant List'!$H441/12*'BD Feedstock'!L$3*'BD Plant List'!AC$5</f>
        <v>0</v>
      </c>
      <c r="M439" s="295">
        <f>'BD Plant List'!$I441/12*'BD Feedstock'!$M$3*'BD Plant List'!AC$5</f>
        <v>3.4291666666666671</v>
      </c>
      <c r="N439" s="295">
        <f>'BD Plant List'!$J441/12*'BD Feedstock'!N$3*'BD Plant List'!AC$5</f>
        <v>0</v>
      </c>
      <c r="O439" s="295">
        <f>'BD Plant List'!$K441/12*'BD Feedstock'!O$3*'BD Plant List'!AC$5</f>
        <v>0</v>
      </c>
      <c r="P439" s="295">
        <f>'BD Plant List'!$L441/12*'BD Feedstock'!P$3*'BD Plant List'!AE$5</f>
        <v>0</v>
      </c>
      <c r="Q439" s="295">
        <f>'BD Plant List'!$M441/12*'BD Feedstock'!Q$3*'BD Plant List'!AE$5</f>
        <v>0.93125000000000002</v>
      </c>
      <c r="R439" s="295">
        <f>'BD Plant List'!$N441/12*'BD Feedstock'!R$3*'BD Plant List'!AE$5</f>
        <v>26.540625000000002</v>
      </c>
      <c r="S439" s="295">
        <f>'BD Plant List'!$N441/12*'BD Feedstock'!S$3*'BD Plant List'!AF$5</f>
        <v>1.40625</v>
      </c>
      <c r="T439" s="295">
        <f>'BD Plant List'!$O441/12*'BD Feedstock'!T$3*'BD Plant List'!AB$5</f>
        <v>8.5732126770944213</v>
      </c>
      <c r="U439" s="295">
        <f>'BD Plant List'!$O441/12*'BD Feedstock'!U$3*'BD Plant List'!AC$5</f>
        <v>3.0347329175263269</v>
      </c>
    </row>
    <row r="440" spans="1:21" ht="18">
      <c r="A440" s="293">
        <v>53083</v>
      </c>
      <c r="B440" s="295">
        <f>'BD Plant List'!B442/12*'BD Plant List'!$AE$5*$B$3</f>
        <v>43.458333333333336</v>
      </c>
      <c r="C440" s="295">
        <f>'BD Plant List'!$C442/12*'BD Plant List'!$AB$5*'BD Feedstock'!$D$3</f>
        <v>2.098958333333333</v>
      </c>
      <c r="D440" s="295">
        <f>'BD Plant List'!$C442/12*'BD Plant List'!$AC$5*'BD Feedstock'!$D$3</f>
        <v>2.2289583333333334</v>
      </c>
      <c r="E440" s="295">
        <f>'BD Plant List'!$D442/12*'BD Plant List'!AB$5*'BD Feedstock'!$E$3</f>
        <v>9.6875</v>
      </c>
      <c r="F440" s="295">
        <f>'BD Plant List'!$D442/12*'BD Plant List'!AC$5*'BD Feedstock'!$F$3</f>
        <v>3.4291666666666671</v>
      </c>
      <c r="G440" s="295">
        <f>'BD Plant List'!$E442/12*'BD Feedstock'!G$3*'BD Plant List'!AB$5</f>
        <v>1.453125</v>
      </c>
      <c r="H440" s="295">
        <f>'BD Plant List'!$E442/12*'BD Feedstock'!H$3*'BD Plant List'!AC$5</f>
        <v>0.51437500000000003</v>
      </c>
      <c r="I440" s="295">
        <f>'BD Plant List'!F442/12*'BD Feedstock'!I$3*'BD Plant List'!AC$5</f>
        <v>0.13716666666666666</v>
      </c>
      <c r="J440" s="295">
        <f>'BD Plant List'!G442/12*'BD Feedstock'!J$3*'BD Plant List'!AD$5</f>
        <v>0.90199999999999991</v>
      </c>
      <c r="K440" s="295">
        <f>'BD Plant List'!$H442/12*'BD Feedstock'!K$3*'BD Plant List'!AB$5</f>
        <v>0</v>
      </c>
      <c r="L440" s="295">
        <f>'BD Plant List'!$H442/12*'BD Feedstock'!L$3*'BD Plant List'!AC$5</f>
        <v>0</v>
      </c>
      <c r="M440" s="295">
        <f>'BD Plant List'!$I442/12*'BD Feedstock'!$M$3*'BD Plant List'!AC$5</f>
        <v>3.4291666666666671</v>
      </c>
      <c r="N440" s="295">
        <f>'BD Plant List'!$J442/12*'BD Feedstock'!N$3*'BD Plant List'!AC$5</f>
        <v>0</v>
      </c>
      <c r="O440" s="295">
        <f>'BD Plant List'!$K442/12*'BD Feedstock'!O$3*'BD Plant List'!AC$5</f>
        <v>0</v>
      </c>
      <c r="P440" s="295">
        <f>'BD Plant List'!$L442/12*'BD Feedstock'!P$3*'BD Plant List'!AE$5</f>
        <v>0</v>
      </c>
      <c r="Q440" s="295">
        <f>'BD Plant List'!$M442/12*'BD Feedstock'!Q$3*'BD Plant List'!AE$5</f>
        <v>0.93125000000000002</v>
      </c>
      <c r="R440" s="295">
        <f>'BD Plant List'!$N442/12*'BD Feedstock'!R$3*'BD Plant List'!AE$5</f>
        <v>26.540625000000002</v>
      </c>
      <c r="S440" s="295">
        <f>'BD Plant List'!$N442/12*'BD Feedstock'!S$3*'BD Plant List'!AF$5</f>
        <v>1.40625</v>
      </c>
      <c r="T440" s="295">
        <f>'BD Plant List'!$O442/12*'BD Feedstock'!T$3*'BD Plant List'!AB$5</f>
        <v>8.5732126770944213</v>
      </c>
      <c r="U440" s="295">
        <f>'BD Plant List'!$O442/12*'BD Feedstock'!U$3*'BD Plant List'!AC$5</f>
        <v>3.0347329175263269</v>
      </c>
    </row>
    <row r="441" spans="1:21" ht="18">
      <c r="A441" s="293">
        <v>53114</v>
      </c>
      <c r="B441" s="295">
        <f>'BD Plant List'!B443/12*'BD Plant List'!$AE$5*$B$3</f>
        <v>43.458333333333336</v>
      </c>
      <c r="C441" s="295">
        <f>'BD Plant List'!$C443/12*'BD Plant List'!$AB$5*'BD Feedstock'!$D$3</f>
        <v>2.098958333333333</v>
      </c>
      <c r="D441" s="295">
        <f>'BD Plant List'!$C443/12*'BD Plant List'!$AC$5*'BD Feedstock'!$D$3</f>
        <v>2.2289583333333334</v>
      </c>
      <c r="E441" s="295">
        <f>'BD Plant List'!$D443/12*'BD Plant List'!AB$5*'BD Feedstock'!$E$3</f>
        <v>9.6875</v>
      </c>
      <c r="F441" s="295">
        <f>'BD Plant List'!$D443/12*'BD Plant List'!AC$5*'BD Feedstock'!$F$3</f>
        <v>3.4291666666666671</v>
      </c>
      <c r="G441" s="295">
        <f>'BD Plant List'!$E443/12*'BD Feedstock'!G$3*'BD Plant List'!AB$5</f>
        <v>1.453125</v>
      </c>
      <c r="H441" s="295">
        <f>'BD Plant List'!$E443/12*'BD Feedstock'!H$3*'BD Plant List'!AC$5</f>
        <v>0.51437500000000003</v>
      </c>
      <c r="I441" s="295">
        <f>'BD Plant List'!F443/12*'BD Feedstock'!I$3*'BD Plant List'!AC$5</f>
        <v>0.13716666666666666</v>
      </c>
      <c r="J441" s="295">
        <f>'BD Plant List'!G443/12*'BD Feedstock'!J$3*'BD Plant List'!AD$5</f>
        <v>0.90199999999999991</v>
      </c>
      <c r="K441" s="295">
        <f>'BD Plant List'!$H443/12*'BD Feedstock'!K$3*'BD Plant List'!AB$5</f>
        <v>0</v>
      </c>
      <c r="L441" s="295">
        <f>'BD Plant List'!$H443/12*'BD Feedstock'!L$3*'BD Plant List'!AC$5</f>
        <v>0</v>
      </c>
      <c r="M441" s="295">
        <f>'BD Plant List'!$I443/12*'BD Feedstock'!$M$3*'BD Plant List'!AC$5</f>
        <v>3.4291666666666671</v>
      </c>
      <c r="N441" s="295">
        <f>'BD Plant List'!$J443/12*'BD Feedstock'!N$3*'BD Plant List'!AC$5</f>
        <v>0</v>
      </c>
      <c r="O441" s="295">
        <f>'BD Plant List'!$K443/12*'BD Feedstock'!O$3*'BD Plant List'!AC$5</f>
        <v>0</v>
      </c>
      <c r="P441" s="295">
        <f>'BD Plant List'!$L443/12*'BD Feedstock'!P$3*'BD Plant List'!AE$5</f>
        <v>0</v>
      </c>
      <c r="Q441" s="295">
        <f>'BD Plant List'!$M443/12*'BD Feedstock'!Q$3*'BD Plant List'!AE$5</f>
        <v>0.93125000000000002</v>
      </c>
      <c r="R441" s="295">
        <f>'BD Plant List'!$N443/12*'BD Feedstock'!R$3*'BD Plant List'!AE$5</f>
        <v>26.540625000000002</v>
      </c>
      <c r="S441" s="295">
        <f>'BD Plant List'!$N443/12*'BD Feedstock'!S$3*'BD Plant List'!AF$5</f>
        <v>1.40625</v>
      </c>
      <c r="T441" s="295">
        <f>'BD Plant List'!$O443/12*'BD Feedstock'!T$3*'BD Plant List'!AB$5</f>
        <v>8.5732126770944213</v>
      </c>
      <c r="U441" s="295">
        <f>'BD Plant List'!$O443/12*'BD Feedstock'!U$3*'BD Plant List'!AC$5</f>
        <v>3.0347329175263269</v>
      </c>
    </row>
    <row r="442" spans="1:21" ht="18">
      <c r="A442" s="293">
        <v>53144</v>
      </c>
      <c r="B442" s="295">
        <f>'BD Plant List'!B444/12*'BD Plant List'!$AE$5*$B$3</f>
        <v>43.458333333333336</v>
      </c>
      <c r="C442" s="295">
        <f>'BD Plant List'!$C444/12*'BD Plant List'!$AB$5*'BD Feedstock'!$D$3</f>
        <v>2.098958333333333</v>
      </c>
      <c r="D442" s="295">
        <f>'BD Plant List'!$C444/12*'BD Plant List'!$AC$5*'BD Feedstock'!$D$3</f>
        <v>2.2289583333333334</v>
      </c>
      <c r="E442" s="295">
        <f>'BD Plant List'!$D444/12*'BD Plant List'!AB$5*'BD Feedstock'!$E$3</f>
        <v>9.6875</v>
      </c>
      <c r="F442" s="295">
        <f>'BD Plant List'!$D444/12*'BD Plant List'!AC$5*'BD Feedstock'!$F$3</f>
        <v>3.4291666666666671</v>
      </c>
      <c r="G442" s="295">
        <f>'BD Plant List'!$E444/12*'BD Feedstock'!G$3*'BD Plant List'!AB$5</f>
        <v>1.453125</v>
      </c>
      <c r="H442" s="295">
        <f>'BD Plant List'!$E444/12*'BD Feedstock'!H$3*'BD Plant List'!AC$5</f>
        <v>0.51437500000000003</v>
      </c>
      <c r="I442" s="295">
        <f>'BD Plant List'!F444/12*'BD Feedstock'!I$3*'BD Plant List'!AC$5</f>
        <v>0.13716666666666666</v>
      </c>
      <c r="J442" s="295">
        <f>'BD Plant List'!G444/12*'BD Feedstock'!J$3*'BD Plant List'!AD$5</f>
        <v>0.90199999999999991</v>
      </c>
      <c r="K442" s="295">
        <f>'BD Plant List'!$H444/12*'BD Feedstock'!K$3*'BD Plant List'!AB$5</f>
        <v>0</v>
      </c>
      <c r="L442" s="295">
        <f>'BD Plant List'!$H444/12*'BD Feedstock'!L$3*'BD Plant List'!AC$5</f>
        <v>0</v>
      </c>
      <c r="M442" s="295">
        <f>'BD Plant List'!$I444/12*'BD Feedstock'!$M$3*'BD Plant List'!AC$5</f>
        <v>3.4291666666666671</v>
      </c>
      <c r="N442" s="295">
        <f>'BD Plant List'!$J444/12*'BD Feedstock'!N$3*'BD Plant List'!AC$5</f>
        <v>0</v>
      </c>
      <c r="O442" s="295">
        <f>'BD Plant List'!$K444/12*'BD Feedstock'!O$3*'BD Plant List'!AC$5</f>
        <v>0</v>
      </c>
      <c r="P442" s="295">
        <f>'BD Plant List'!$L444/12*'BD Feedstock'!P$3*'BD Plant List'!AE$5</f>
        <v>0</v>
      </c>
      <c r="Q442" s="295">
        <f>'BD Plant List'!$M444/12*'BD Feedstock'!Q$3*'BD Plant List'!AE$5</f>
        <v>0.93125000000000002</v>
      </c>
      <c r="R442" s="295">
        <f>'BD Plant List'!$N444/12*'BD Feedstock'!R$3*'BD Plant List'!AE$5</f>
        <v>26.540625000000002</v>
      </c>
      <c r="S442" s="295">
        <f>'BD Plant List'!$N444/12*'BD Feedstock'!S$3*'BD Plant List'!AF$5</f>
        <v>1.40625</v>
      </c>
      <c r="T442" s="295">
        <f>'BD Plant List'!$O444/12*'BD Feedstock'!T$3*'BD Plant List'!AB$5</f>
        <v>8.5732126770944213</v>
      </c>
      <c r="U442" s="295">
        <f>'BD Plant List'!$O444/12*'BD Feedstock'!U$3*'BD Plant List'!AC$5</f>
        <v>3.0347329175263269</v>
      </c>
    </row>
    <row r="443" spans="1:21" ht="18">
      <c r="A443" s="293">
        <v>53175</v>
      </c>
      <c r="B443" s="295">
        <f>'BD Plant List'!B445/12*'BD Plant List'!$AE$5*$B$3</f>
        <v>43.458333333333336</v>
      </c>
      <c r="C443" s="295">
        <f>'BD Plant List'!$C445/12*'BD Plant List'!$AB$5*'BD Feedstock'!$D$3</f>
        <v>2.098958333333333</v>
      </c>
      <c r="D443" s="295">
        <f>'BD Plant List'!$C445/12*'BD Plant List'!$AC$5*'BD Feedstock'!$D$3</f>
        <v>2.2289583333333334</v>
      </c>
      <c r="E443" s="295">
        <f>'BD Plant List'!$D445/12*'BD Plant List'!AB$5*'BD Feedstock'!$E$3</f>
        <v>9.6875</v>
      </c>
      <c r="F443" s="295">
        <f>'BD Plant List'!$D445/12*'BD Plant List'!AC$5*'BD Feedstock'!$F$3</f>
        <v>3.4291666666666671</v>
      </c>
      <c r="G443" s="295">
        <f>'BD Plant List'!$E445/12*'BD Feedstock'!G$3*'BD Plant List'!AB$5</f>
        <v>1.453125</v>
      </c>
      <c r="H443" s="295">
        <f>'BD Plant List'!$E445/12*'BD Feedstock'!H$3*'BD Plant List'!AC$5</f>
        <v>0.51437500000000003</v>
      </c>
      <c r="I443" s="295">
        <f>'BD Plant List'!F445/12*'BD Feedstock'!I$3*'BD Plant List'!AC$5</f>
        <v>0.13716666666666666</v>
      </c>
      <c r="J443" s="295">
        <f>'BD Plant List'!G445/12*'BD Feedstock'!J$3*'BD Plant List'!AD$5</f>
        <v>0.90199999999999991</v>
      </c>
      <c r="K443" s="295">
        <f>'BD Plant List'!$H445/12*'BD Feedstock'!K$3*'BD Plant List'!AB$5</f>
        <v>0</v>
      </c>
      <c r="L443" s="295">
        <f>'BD Plant List'!$H445/12*'BD Feedstock'!L$3*'BD Plant List'!AC$5</f>
        <v>0</v>
      </c>
      <c r="M443" s="295">
        <f>'BD Plant List'!$I445/12*'BD Feedstock'!$M$3*'BD Plant List'!AC$5</f>
        <v>3.4291666666666671</v>
      </c>
      <c r="N443" s="295">
        <f>'BD Plant List'!$J445/12*'BD Feedstock'!N$3*'BD Plant List'!AC$5</f>
        <v>0</v>
      </c>
      <c r="O443" s="295">
        <f>'BD Plant List'!$K445/12*'BD Feedstock'!O$3*'BD Plant List'!AC$5</f>
        <v>0</v>
      </c>
      <c r="P443" s="295">
        <f>'BD Plant List'!$L445/12*'BD Feedstock'!P$3*'BD Plant List'!AE$5</f>
        <v>0</v>
      </c>
      <c r="Q443" s="295">
        <f>'BD Plant List'!$M445/12*'BD Feedstock'!Q$3*'BD Plant List'!AE$5</f>
        <v>0.93125000000000002</v>
      </c>
      <c r="R443" s="295">
        <f>'BD Plant List'!$N445/12*'BD Feedstock'!R$3*'BD Plant List'!AE$5</f>
        <v>26.540625000000002</v>
      </c>
      <c r="S443" s="295">
        <f>'BD Plant List'!$N445/12*'BD Feedstock'!S$3*'BD Plant List'!AF$5</f>
        <v>1.40625</v>
      </c>
      <c r="T443" s="295">
        <f>'BD Plant List'!$O445/12*'BD Feedstock'!T$3*'BD Plant List'!AB$5</f>
        <v>8.5732126770944213</v>
      </c>
      <c r="U443" s="295">
        <f>'BD Plant List'!$O445/12*'BD Feedstock'!U$3*'BD Plant List'!AC$5</f>
        <v>3.0347329175263269</v>
      </c>
    </row>
    <row r="444" spans="1:21" ht="18">
      <c r="A444" s="293">
        <v>53206</v>
      </c>
      <c r="B444" s="295">
        <f>'BD Plant List'!B446/12*'BD Plant List'!$AE$5*$B$3</f>
        <v>43.458333333333336</v>
      </c>
      <c r="C444" s="295">
        <f>'BD Plant List'!$C446/12*'BD Plant List'!$AB$5*'BD Feedstock'!$D$3</f>
        <v>2.098958333333333</v>
      </c>
      <c r="D444" s="295">
        <f>'BD Plant List'!$C446/12*'BD Plant List'!$AC$5*'BD Feedstock'!$D$3</f>
        <v>2.2289583333333334</v>
      </c>
      <c r="E444" s="295">
        <f>'BD Plant List'!$D446/12*'BD Plant List'!AB$5*'BD Feedstock'!$E$3</f>
        <v>9.6875</v>
      </c>
      <c r="F444" s="295">
        <f>'BD Plant List'!$D446/12*'BD Plant List'!AC$5*'BD Feedstock'!$F$3</f>
        <v>3.4291666666666671</v>
      </c>
      <c r="G444" s="295">
        <f>'BD Plant List'!$E446/12*'BD Feedstock'!G$3*'BD Plant List'!AB$5</f>
        <v>1.453125</v>
      </c>
      <c r="H444" s="295">
        <f>'BD Plant List'!$E446/12*'BD Feedstock'!H$3*'BD Plant List'!AC$5</f>
        <v>0.51437500000000003</v>
      </c>
      <c r="I444" s="295">
        <f>'BD Plant List'!F446/12*'BD Feedstock'!I$3*'BD Plant List'!AC$5</f>
        <v>0.13716666666666666</v>
      </c>
      <c r="J444" s="295">
        <f>'BD Plant List'!G446/12*'BD Feedstock'!J$3*'BD Plant List'!AD$5</f>
        <v>0.90199999999999991</v>
      </c>
      <c r="K444" s="295">
        <f>'BD Plant List'!$H446/12*'BD Feedstock'!K$3*'BD Plant List'!AB$5</f>
        <v>0</v>
      </c>
      <c r="L444" s="295">
        <f>'BD Plant List'!$H446/12*'BD Feedstock'!L$3*'BD Plant List'!AC$5</f>
        <v>0</v>
      </c>
      <c r="M444" s="295">
        <f>'BD Plant List'!$I446/12*'BD Feedstock'!$M$3*'BD Plant List'!AC$5</f>
        <v>3.4291666666666671</v>
      </c>
      <c r="N444" s="295">
        <f>'BD Plant List'!$J446/12*'BD Feedstock'!N$3*'BD Plant List'!AC$5</f>
        <v>0</v>
      </c>
      <c r="O444" s="295">
        <f>'BD Plant List'!$K446/12*'BD Feedstock'!O$3*'BD Plant List'!AC$5</f>
        <v>0</v>
      </c>
      <c r="P444" s="295">
        <f>'BD Plant List'!$L446/12*'BD Feedstock'!P$3*'BD Plant List'!AE$5</f>
        <v>0</v>
      </c>
      <c r="Q444" s="295">
        <f>'BD Plant List'!$M446/12*'BD Feedstock'!Q$3*'BD Plant List'!AE$5</f>
        <v>0.93125000000000002</v>
      </c>
      <c r="R444" s="295">
        <f>'BD Plant List'!$N446/12*'BD Feedstock'!R$3*'BD Plant List'!AE$5</f>
        <v>26.540625000000002</v>
      </c>
      <c r="S444" s="295">
        <f>'BD Plant List'!$N446/12*'BD Feedstock'!S$3*'BD Plant List'!AF$5</f>
        <v>1.40625</v>
      </c>
      <c r="T444" s="295">
        <f>'BD Plant List'!$O446/12*'BD Feedstock'!T$3*'BD Plant List'!AB$5</f>
        <v>8.5732126770944213</v>
      </c>
      <c r="U444" s="295">
        <f>'BD Plant List'!$O446/12*'BD Feedstock'!U$3*'BD Plant List'!AC$5</f>
        <v>3.0347329175263269</v>
      </c>
    </row>
    <row r="445" spans="1:21" ht="18">
      <c r="A445" s="293">
        <v>53236</v>
      </c>
      <c r="B445" s="295">
        <f>'BD Plant List'!B447/12*'BD Plant List'!$AE$5*$B$3</f>
        <v>43.458333333333336</v>
      </c>
      <c r="C445" s="295">
        <f>'BD Plant List'!$C447/12*'BD Plant List'!$AB$5*'BD Feedstock'!$D$3</f>
        <v>2.098958333333333</v>
      </c>
      <c r="D445" s="295">
        <f>'BD Plant List'!$C447/12*'BD Plant List'!$AC$5*'BD Feedstock'!$D$3</f>
        <v>2.2289583333333334</v>
      </c>
      <c r="E445" s="295">
        <f>'BD Plant List'!$D447/12*'BD Plant List'!AB$5*'BD Feedstock'!$E$3</f>
        <v>9.6875</v>
      </c>
      <c r="F445" s="295">
        <f>'BD Plant List'!$D447/12*'BD Plant List'!AC$5*'BD Feedstock'!$F$3</f>
        <v>3.4291666666666671</v>
      </c>
      <c r="G445" s="295">
        <f>'BD Plant List'!$E447/12*'BD Feedstock'!G$3*'BD Plant List'!AB$5</f>
        <v>1.453125</v>
      </c>
      <c r="H445" s="295">
        <f>'BD Plant List'!$E447/12*'BD Feedstock'!H$3*'BD Plant List'!AC$5</f>
        <v>0.51437500000000003</v>
      </c>
      <c r="I445" s="295">
        <f>'BD Plant List'!F447/12*'BD Feedstock'!I$3*'BD Plant List'!AC$5</f>
        <v>0.13716666666666666</v>
      </c>
      <c r="J445" s="295">
        <f>'BD Plant List'!G447/12*'BD Feedstock'!J$3*'BD Plant List'!AD$5</f>
        <v>0.90199999999999991</v>
      </c>
      <c r="K445" s="295">
        <f>'BD Plant List'!$H447/12*'BD Feedstock'!K$3*'BD Plant List'!AB$5</f>
        <v>0</v>
      </c>
      <c r="L445" s="295">
        <f>'BD Plant List'!$H447/12*'BD Feedstock'!L$3*'BD Plant List'!AC$5</f>
        <v>0</v>
      </c>
      <c r="M445" s="295">
        <f>'BD Plant List'!$I447/12*'BD Feedstock'!$M$3*'BD Plant List'!AC$5</f>
        <v>3.4291666666666671</v>
      </c>
      <c r="N445" s="295">
        <f>'BD Plant List'!$J447/12*'BD Feedstock'!N$3*'BD Plant List'!AC$5</f>
        <v>0</v>
      </c>
      <c r="O445" s="295">
        <f>'BD Plant List'!$K447/12*'BD Feedstock'!O$3*'BD Plant List'!AC$5</f>
        <v>0</v>
      </c>
      <c r="P445" s="295">
        <f>'BD Plant List'!$L447/12*'BD Feedstock'!P$3*'BD Plant List'!AE$5</f>
        <v>0</v>
      </c>
      <c r="Q445" s="295">
        <f>'BD Plant List'!$M447/12*'BD Feedstock'!Q$3*'BD Plant List'!AE$5</f>
        <v>0.93125000000000002</v>
      </c>
      <c r="R445" s="295">
        <f>'BD Plant List'!$N447/12*'BD Feedstock'!R$3*'BD Plant List'!AE$5</f>
        <v>26.540625000000002</v>
      </c>
      <c r="S445" s="295">
        <f>'BD Plant List'!$N447/12*'BD Feedstock'!S$3*'BD Plant List'!AF$5</f>
        <v>1.40625</v>
      </c>
      <c r="T445" s="295">
        <f>'BD Plant List'!$O447/12*'BD Feedstock'!T$3*'BD Plant List'!AB$5</f>
        <v>8.5732126770944213</v>
      </c>
      <c r="U445" s="295">
        <f>'BD Plant List'!$O447/12*'BD Feedstock'!U$3*'BD Plant List'!AC$5</f>
        <v>3.0347329175263269</v>
      </c>
    </row>
    <row r="446" spans="1:21" ht="18">
      <c r="A446" s="293">
        <v>53267</v>
      </c>
      <c r="B446" s="295">
        <f>'BD Plant List'!B448/12*'BD Plant List'!$AE$5*$B$3</f>
        <v>43.458333333333336</v>
      </c>
      <c r="C446" s="295">
        <f>'BD Plant List'!$C448/12*'BD Plant List'!$AB$5*'BD Feedstock'!$D$3</f>
        <v>2.098958333333333</v>
      </c>
      <c r="D446" s="295">
        <f>'BD Plant List'!$C448/12*'BD Plant List'!$AC$5*'BD Feedstock'!$D$3</f>
        <v>2.2289583333333334</v>
      </c>
      <c r="E446" s="295">
        <f>'BD Plant List'!$D448/12*'BD Plant List'!AB$5*'BD Feedstock'!$E$3</f>
        <v>9.6875</v>
      </c>
      <c r="F446" s="295">
        <f>'BD Plant List'!$D448/12*'BD Plant List'!AC$5*'BD Feedstock'!$F$3</f>
        <v>3.4291666666666671</v>
      </c>
      <c r="G446" s="295">
        <f>'BD Plant List'!$E448/12*'BD Feedstock'!G$3*'BD Plant List'!AB$5</f>
        <v>1.453125</v>
      </c>
      <c r="H446" s="295">
        <f>'BD Plant List'!$E448/12*'BD Feedstock'!H$3*'BD Plant List'!AC$5</f>
        <v>0.51437500000000003</v>
      </c>
      <c r="I446" s="295">
        <f>'BD Plant List'!F448/12*'BD Feedstock'!I$3*'BD Plant List'!AC$5</f>
        <v>0.13716666666666666</v>
      </c>
      <c r="J446" s="295">
        <f>'BD Plant List'!G448/12*'BD Feedstock'!J$3*'BD Plant List'!AD$5</f>
        <v>0.90199999999999991</v>
      </c>
      <c r="K446" s="295">
        <f>'BD Plant List'!$H448/12*'BD Feedstock'!K$3*'BD Plant List'!AB$5</f>
        <v>0</v>
      </c>
      <c r="L446" s="295">
        <f>'BD Plant List'!$H448/12*'BD Feedstock'!L$3*'BD Plant List'!AC$5</f>
        <v>0</v>
      </c>
      <c r="M446" s="295">
        <f>'BD Plant List'!$I448/12*'BD Feedstock'!$M$3*'BD Plant List'!AC$5</f>
        <v>3.4291666666666671</v>
      </c>
      <c r="N446" s="295">
        <f>'BD Plant List'!$J448/12*'BD Feedstock'!N$3*'BD Plant List'!AC$5</f>
        <v>0</v>
      </c>
      <c r="O446" s="295">
        <f>'BD Plant List'!$K448/12*'BD Feedstock'!O$3*'BD Plant List'!AC$5</f>
        <v>0</v>
      </c>
      <c r="P446" s="295">
        <f>'BD Plant List'!$L448/12*'BD Feedstock'!P$3*'BD Plant List'!AE$5</f>
        <v>0</v>
      </c>
      <c r="Q446" s="295">
        <f>'BD Plant List'!$M448/12*'BD Feedstock'!Q$3*'BD Plant List'!AE$5</f>
        <v>0.93125000000000002</v>
      </c>
      <c r="R446" s="295">
        <f>'BD Plant List'!$N448/12*'BD Feedstock'!R$3*'BD Plant List'!AE$5</f>
        <v>26.540625000000002</v>
      </c>
      <c r="S446" s="295">
        <f>'BD Plant List'!$N448/12*'BD Feedstock'!S$3*'BD Plant List'!AF$5</f>
        <v>1.40625</v>
      </c>
      <c r="T446" s="295">
        <f>'BD Plant List'!$O448/12*'BD Feedstock'!T$3*'BD Plant List'!AB$5</f>
        <v>8.5732126770944213</v>
      </c>
      <c r="U446" s="295">
        <f>'BD Plant List'!$O448/12*'BD Feedstock'!U$3*'BD Plant List'!AC$5</f>
        <v>3.0347329175263269</v>
      </c>
    </row>
    <row r="447" spans="1:21" ht="18">
      <c r="A447" s="293">
        <v>53297</v>
      </c>
      <c r="B447" s="295">
        <f>'BD Plant List'!B449/12*'BD Plant List'!$AE$5*$B$3</f>
        <v>43.458333333333336</v>
      </c>
      <c r="C447" s="295">
        <f>'BD Plant List'!$C449/12*'BD Plant List'!$AB$5*'BD Feedstock'!$D$3</f>
        <v>2.098958333333333</v>
      </c>
      <c r="D447" s="295">
        <f>'BD Plant List'!$C449/12*'BD Plant List'!$AC$5*'BD Feedstock'!$D$3</f>
        <v>2.2289583333333334</v>
      </c>
      <c r="E447" s="295">
        <f>'BD Plant List'!$D449/12*'BD Plant List'!AB$5*'BD Feedstock'!$E$3</f>
        <v>9.6875</v>
      </c>
      <c r="F447" s="295">
        <f>'BD Plant List'!$D449/12*'BD Plant List'!AC$5*'BD Feedstock'!$F$3</f>
        <v>3.4291666666666671</v>
      </c>
      <c r="G447" s="295">
        <f>'BD Plant List'!$E449/12*'BD Feedstock'!G$3*'BD Plant List'!AB$5</f>
        <v>1.453125</v>
      </c>
      <c r="H447" s="295">
        <f>'BD Plant List'!$E449/12*'BD Feedstock'!H$3*'BD Plant List'!AC$5</f>
        <v>0.51437500000000003</v>
      </c>
      <c r="I447" s="295">
        <f>'BD Plant List'!F449/12*'BD Feedstock'!I$3*'BD Plant List'!AC$5</f>
        <v>0.13716666666666666</v>
      </c>
      <c r="J447" s="295">
        <f>'BD Plant List'!G449/12*'BD Feedstock'!J$3*'BD Plant List'!AD$5</f>
        <v>0.90199999999999991</v>
      </c>
      <c r="K447" s="295">
        <f>'BD Plant List'!$H449/12*'BD Feedstock'!K$3*'BD Plant List'!AB$5</f>
        <v>0</v>
      </c>
      <c r="L447" s="295">
        <f>'BD Plant List'!$H449/12*'BD Feedstock'!L$3*'BD Plant List'!AC$5</f>
        <v>0</v>
      </c>
      <c r="M447" s="295">
        <f>'BD Plant List'!$I449/12*'BD Feedstock'!$M$3*'BD Plant List'!AC$5</f>
        <v>3.4291666666666671</v>
      </c>
      <c r="N447" s="295">
        <f>'BD Plant List'!$J449/12*'BD Feedstock'!N$3*'BD Plant List'!AC$5</f>
        <v>0</v>
      </c>
      <c r="O447" s="295">
        <f>'BD Plant List'!$K449/12*'BD Feedstock'!O$3*'BD Plant List'!AC$5</f>
        <v>0</v>
      </c>
      <c r="P447" s="295">
        <f>'BD Plant List'!$L449/12*'BD Feedstock'!P$3*'BD Plant List'!AE$5</f>
        <v>0</v>
      </c>
      <c r="Q447" s="295">
        <f>'BD Plant List'!$M449/12*'BD Feedstock'!Q$3*'BD Plant List'!AE$5</f>
        <v>0.93125000000000002</v>
      </c>
      <c r="R447" s="295">
        <f>'BD Plant List'!$N449/12*'BD Feedstock'!R$3*'BD Plant List'!AE$5</f>
        <v>26.540625000000002</v>
      </c>
      <c r="S447" s="295">
        <f>'BD Plant List'!$N449/12*'BD Feedstock'!S$3*'BD Plant List'!AF$5</f>
        <v>1.40625</v>
      </c>
      <c r="T447" s="295">
        <f>'BD Plant List'!$O449/12*'BD Feedstock'!T$3*'BD Plant List'!AB$5</f>
        <v>8.5732126770944213</v>
      </c>
      <c r="U447" s="295">
        <f>'BD Plant List'!$O449/12*'BD Feedstock'!U$3*'BD Plant List'!AC$5</f>
        <v>3.0347329175263269</v>
      </c>
    </row>
    <row r="448" spans="1:21" ht="18">
      <c r="A448" s="293">
        <v>53328</v>
      </c>
      <c r="B448" s="295">
        <f>'BD Plant List'!B450/12*'BD Plant List'!$AE$5*$B$3</f>
        <v>43.458333333333336</v>
      </c>
      <c r="C448" s="295">
        <f>'BD Plant List'!$C450/12*'BD Plant List'!$AB$5*'BD Feedstock'!$D$3</f>
        <v>2.098958333333333</v>
      </c>
      <c r="D448" s="295">
        <f>'BD Plant List'!$C450/12*'BD Plant List'!$AC$5*'BD Feedstock'!$D$3</f>
        <v>2.2289583333333334</v>
      </c>
      <c r="E448" s="295">
        <f>'BD Plant List'!$D450/12*'BD Plant List'!AB$5*'BD Feedstock'!$E$3</f>
        <v>9.6875</v>
      </c>
      <c r="F448" s="295">
        <f>'BD Plant List'!$D450/12*'BD Plant List'!AC$5*'BD Feedstock'!$F$3</f>
        <v>3.4291666666666671</v>
      </c>
      <c r="G448" s="295">
        <f>'BD Plant List'!$E450/12*'BD Feedstock'!G$3*'BD Plant List'!AB$5</f>
        <v>1.453125</v>
      </c>
      <c r="H448" s="295">
        <f>'BD Plant List'!$E450/12*'BD Feedstock'!H$3*'BD Plant List'!AC$5</f>
        <v>0.51437500000000003</v>
      </c>
      <c r="I448" s="295">
        <f>'BD Plant List'!F450/12*'BD Feedstock'!I$3*'BD Plant List'!AC$5</f>
        <v>0.13716666666666666</v>
      </c>
      <c r="J448" s="295">
        <f>'BD Plant List'!G450/12*'BD Feedstock'!J$3*'BD Plant List'!AD$5</f>
        <v>0.90199999999999991</v>
      </c>
      <c r="K448" s="295">
        <f>'BD Plant List'!$H450/12*'BD Feedstock'!K$3*'BD Plant List'!AB$5</f>
        <v>0</v>
      </c>
      <c r="L448" s="295">
        <f>'BD Plant List'!$H450/12*'BD Feedstock'!L$3*'BD Plant List'!AC$5</f>
        <v>0</v>
      </c>
      <c r="M448" s="295">
        <f>'BD Plant List'!$I450/12*'BD Feedstock'!$M$3*'BD Plant List'!AC$5</f>
        <v>3.4291666666666671</v>
      </c>
      <c r="N448" s="295">
        <f>'BD Plant List'!$J450/12*'BD Feedstock'!N$3*'BD Plant List'!AC$5</f>
        <v>0</v>
      </c>
      <c r="O448" s="295">
        <f>'BD Plant List'!$K450/12*'BD Feedstock'!O$3*'BD Plant List'!AC$5</f>
        <v>0</v>
      </c>
      <c r="P448" s="295">
        <f>'BD Plant List'!$L450/12*'BD Feedstock'!P$3*'BD Plant List'!AE$5</f>
        <v>0</v>
      </c>
      <c r="Q448" s="295">
        <f>'BD Plant List'!$M450/12*'BD Feedstock'!Q$3*'BD Plant List'!AE$5</f>
        <v>0.93125000000000002</v>
      </c>
      <c r="R448" s="295">
        <f>'BD Plant List'!$N450/12*'BD Feedstock'!R$3*'BD Plant List'!AE$5</f>
        <v>26.540625000000002</v>
      </c>
      <c r="S448" s="295">
        <f>'BD Plant List'!$N450/12*'BD Feedstock'!S$3*'BD Plant List'!AF$5</f>
        <v>1.40625</v>
      </c>
      <c r="T448" s="295">
        <f>'BD Plant List'!$O450/12*'BD Feedstock'!T$3*'BD Plant List'!AB$5</f>
        <v>8.5732126770944213</v>
      </c>
      <c r="U448" s="295">
        <f>'BD Plant List'!$O450/12*'BD Feedstock'!U$3*'BD Plant List'!AC$5</f>
        <v>3.0347329175263269</v>
      </c>
    </row>
    <row r="449" spans="1:21" ht="18">
      <c r="A449" s="293">
        <v>53359</v>
      </c>
      <c r="B449" s="295">
        <f>'BD Plant List'!B451/12*'BD Plant List'!$AE$5*$B$3</f>
        <v>43.458333333333336</v>
      </c>
      <c r="C449" s="295">
        <f>'BD Plant List'!$C451/12*'BD Plant List'!$AB$5*'BD Feedstock'!$D$3</f>
        <v>2.098958333333333</v>
      </c>
      <c r="D449" s="295">
        <f>'BD Plant List'!$C451/12*'BD Plant List'!$AC$5*'BD Feedstock'!$D$3</f>
        <v>2.2289583333333334</v>
      </c>
      <c r="E449" s="295">
        <f>'BD Plant List'!$D451/12*'BD Plant List'!AB$5*'BD Feedstock'!$E$3</f>
        <v>9.6875</v>
      </c>
      <c r="F449" s="295">
        <f>'BD Plant List'!$D451/12*'BD Plant List'!AC$5*'BD Feedstock'!$F$3</f>
        <v>3.4291666666666671</v>
      </c>
      <c r="G449" s="295">
        <f>'BD Plant List'!$E451/12*'BD Feedstock'!G$3*'BD Plant List'!AB$5</f>
        <v>1.453125</v>
      </c>
      <c r="H449" s="295">
        <f>'BD Plant List'!$E451/12*'BD Feedstock'!H$3*'BD Plant List'!AC$5</f>
        <v>0.51437500000000003</v>
      </c>
      <c r="I449" s="295">
        <f>'BD Plant List'!F451/12*'BD Feedstock'!I$3*'BD Plant List'!AC$5</f>
        <v>0.13716666666666666</v>
      </c>
      <c r="J449" s="295">
        <f>'BD Plant List'!G451/12*'BD Feedstock'!J$3*'BD Plant List'!AD$5</f>
        <v>0.90199999999999991</v>
      </c>
      <c r="K449" s="295">
        <f>'BD Plant List'!$H451/12*'BD Feedstock'!K$3*'BD Plant List'!AB$5</f>
        <v>0</v>
      </c>
      <c r="L449" s="295">
        <f>'BD Plant List'!$H451/12*'BD Feedstock'!L$3*'BD Plant List'!AC$5</f>
        <v>0</v>
      </c>
      <c r="M449" s="295">
        <f>'BD Plant List'!$I451/12*'BD Feedstock'!$M$3*'BD Plant List'!AC$5</f>
        <v>3.4291666666666671</v>
      </c>
      <c r="N449" s="295">
        <f>'BD Plant List'!$J451/12*'BD Feedstock'!N$3*'BD Plant List'!AC$5</f>
        <v>0</v>
      </c>
      <c r="O449" s="295">
        <f>'BD Plant List'!$K451/12*'BD Feedstock'!O$3*'BD Plant List'!AC$5</f>
        <v>0</v>
      </c>
      <c r="P449" s="295">
        <f>'BD Plant List'!$L451/12*'BD Feedstock'!P$3*'BD Plant List'!AE$5</f>
        <v>0</v>
      </c>
      <c r="Q449" s="295">
        <f>'BD Plant List'!$M451/12*'BD Feedstock'!Q$3*'BD Plant List'!AE$5</f>
        <v>0.93125000000000002</v>
      </c>
      <c r="R449" s="295">
        <f>'BD Plant List'!$N451/12*'BD Feedstock'!R$3*'BD Plant List'!AE$5</f>
        <v>26.540625000000002</v>
      </c>
      <c r="S449" s="295">
        <f>'BD Plant List'!$N451/12*'BD Feedstock'!S$3*'BD Plant List'!AF$5</f>
        <v>1.40625</v>
      </c>
      <c r="T449" s="295">
        <f>'BD Plant List'!$O451/12*'BD Feedstock'!T$3*'BD Plant List'!AB$5</f>
        <v>8.5732126770944213</v>
      </c>
      <c r="U449" s="295">
        <f>'BD Plant List'!$O451/12*'BD Feedstock'!U$3*'BD Plant List'!AC$5</f>
        <v>3.0347329175263269</v>
      </c>
    </row>
    <row r="450" spans="1:21" ht="18">
      <c r="A450" s="293">
        <v>53387</v>
      </c>
      <c r="B450" s="295">
        <f>'BD Plant List'!B452/12*'BD Plant List'!$AE$5*$B$3</f>
        <v>43.458333333333336</v>
      </c>
      <c r="C450" s="295">
        <f>'BD Plant List'!$C452/12*'BD Plant List'!$AB$5*'BD Feedstock'!$D$3</f>
        <v>2.098958333333333</v>
      </c>
      <c r="D450" s="295">
        <f>'BD Plant List'!$C452/12*'BD Plant List'!$AC$5*'BD Feedstock'!$D$3</f>
        <v>2.2289583333333334</v>
      </c>
      <c r="E450" s="295">
        <f>'BD Plant List'!$D452/12*'BD Plant List'!AB$5*'BD Feedstock'!$E$3</f>
        <v>9.6875</v>
      </c>
      <c r="F450" s="295">
        <f>'BD Plant List'!$D452/12*'BD Plant List'!AC$5*'BD Feedstock'!$F$3</f>
        <v>3.4291666666666671</v>
      </c>
      <c r="G450" s="295">
        <f>'BD Plant List'!$E452/12*'BD Feedstock'!G$3*'BD Plant List'!AB$5</f>
        <v>1.453125</v>
      </c>
      <c r="H450" s="295">
        <f>'BD Plant List'!$E452/12*'BD Feedstock'!H$3*'BD Plant List'!AC$5</f>
        <v>0.51437500000000003</v>
      </c>
      <c r="I450" s="295">
        <f>'BD Plant List'!F452/12*'BD Feedstock'!I$3*'BD Plant List'!AC$5</f>
        <v>0.13716666666666666</v>
      </c>
      <c r="J450" s="295">
        <f>'BD Plant List'!G452/12*'BD Feedstock'!J$3*'BD Plant List'!AD$5</f>
        <v>0.90199999999999991</v>
      </c>
      <c r="K450" s="295">
        <f>'BD Plant List'!$H452/12*'BD Feedstock'!K$3*'BD Plant List'!AB$5</f>
        <v>0</v>
      </c>
      <c r="L450" s="295">
        <f>'BD Plant List'!$H452/12*'BD Feedstock'!L$3*'BD Plant List'!AC$5</f>
        <v>0</v>
      </c>
      <c r="M450" s="295">
        <f>'BD Plant List'!$I452/12*'BD Feedstock'!$M$3*'BD Plant List'!AC$5</f>
        <v>3.4291666666666671</v>
      </c>
      <c r="N450" s="295">
        <f>'BD Plant List'!$J452/12*'BD Feedstock'!N$3*'BD Plant List'!AC$5</f>
        <v>0</v>
      </c>
      <c r="O450" s="295">
        <f>'BD Plant List'!$K452/12*'BD Feedstock'!O$3*'BD Plant List'!AC$5</f>
        <v>0</v>
      </c>
      <c r="P450" s="295">
        <f>'BD Plant List'!$L452/12*'BD Feedstock'!P$3*'BD Plant List'!AE$5</f>
        <v>0</v>
      </c>
      <c r="Q450" s="295">
        <f>'BD Plant List'!$M452/12*'BD Feedstock'!Q$3*'BD Plant List'!AE$5</f>
        <v>0.93125000000000002</v>
      </c>
      <c r="R450" s="295">
        <f>'BD Plant List'!$N452/12*'BD Feedstock'!R$3*'BD Plant List'!AE$5</f>
        <v>26.540625000000002</v>
      </c>
      <c r="S450" s="295">
        <f>'BD Plant List'!$N452/12*'BD Feedstock'!S$3*'BD Plant List'!AF$5</f>
        <v>1.40625</v>
      </c>
      <c r="T450" s="295">
        <f>'BD Plant List'!$O452/12*'BD Feedstock'!T$3*'BD Plant List'!AB$5</f>
        <v>8.5732126770944213</v>
      </c>
      <c r="U450" s="295">
        <f>'BD Plant List'!$O452/12*'BD Feedstock'!U$3*'BD Plant List'!AC$5</f>
        <v>3.0347329175263269</v>
      </c>
    </row>
    <row r="451" spans="1:21" ht="18">
      <c r="A451" s="293">
        <v>53418</v>
      </c>
      <c r="B451" s="295">
        <f>'BD Plant List'!B453/12*'BD Plant List'!$AE$5*$B$3</f>
        <v>43.458333333333336</v>
      </c>
      <c r="C451" s="295">
        <f>'BD Plant List'!$C453/12*'BD Plant List'!$AB$5*'BD Feedstock'!$D$3</f>
        <v>2.098958333333333</v>
      </c>
      <c r="D451" s="295">
        <f>'BD Plant List'!$C453/12*'BD Plant List'!$AC$5*'BD Feedstock'!$D$3</f>
        <v>2.2289583333333334</v>
      </c>
      <c r="E451" s="295">
        <f>'BD Plant List'!$D453/12*'BD Plant List'!AB$5*'BD Feedstock'!$E$3</f>
        <v>9.6875</v>
      </c>
      <c r="F451" s="295">
        <f>'BD Plant List'!$D453/12*'BD Plant List'!AC$5*'BD Feedstock'!$F$3</f>
        <v>3.4291666666666671</v>
      </c>
      <c r="G451" s="295">
        <f>'BD Plant List'!$E453/12*'BD Feedstock'!G$3*'BD Plant List'!AB$5</f>
        <v>1.453125</v>
      </c>
      <c r="H451" s="295">
        <f>'BD Plant List'!$E453/12*'BD Feedstock'!H$3*'BD Plant List'!AC$5</f>
        <v>0.51437500000000003</v>
      </c>
      <c r="I451" s="295">
        <f>'BD Plant List'!F453/12*'BD Feedstock'!I$3*'BD Plant List'!AC$5</f>
        <v>0.13716666666666666</v>
      </c>
      <c r="J451" s="295">
        <f>'BD Plant List'!G453/12*'BD Feedstock'!J$3*'BD Plant List'!AD$5</f>
        <v>0.90199999999999991</v>
      </c>
      <c r="K451" s="295">
        <f>'BD Plant List'!$H453/12*'BD Feedstock'!K$3*'BD Plant List'!AB$5</f>
        <v>0</v>
      </c>
      <c r="L451" s="295">
        <f>'BD Plant List'!$H453/12*'BD Feedstock'!L$3*'BD Plant List'!AC$5</f>
        <v>0</v>
      </c>
      <c r="M451" s="295">
        <f>'BD Plant List'!$I453/12*'BD Feedstock'!$M$3*'BD Plant List'!AC$5</f>
        <v>3.4291666666666671</v>
      </c>
      <c r="N451" s="295">
        <f>'BD Plant List'!$J453/12*'BD Feedstock'!N$3*'BD Plant List'!AC$5</f>
        <v>0</v>
      </c>
      <c r="O451" s="295">
        <f>'BD Plant List'!$K453/12*'BD Feedstock'!O$3*'BD Plant List'!AC$5</f>
        <v>0</v>
      </c>
      <c r="P451" s="295">
        <f>'BD Plant List'!$L453/12*'BD Feedstock'!P$3*'BD Plant List'!AE$5</f>
        <v>0</v>
      </c>
      <c r="Q451" s="295">
        <f>'BD Plant List'!$M453/12*'BD Feedstock'!Q$3*'BD Plant List'!AE$5</f>
        <v>0.93125000000000002</v>
      </c>
      <c r="R451" s="295">
        <f>'BD Plant List'!$N453/12*'BD Feedstock'!R$3*'BD Plant List'!AE$5</f>
        <v>26.540625000000002</v>
      </c>
      <c r="S451" s="295">
        <f>'BD Plant List'!$N453/12*'BD Feedstock'!S$3*'BD Plant List'!AF$5</f>
        <v>1.40625</v>
      </c>
      <c r="T451" s="295">
        <f>'BD Plant List'!$O453/12*'BD Feedstock'!T$3*'BD Plant List'!AB$5</f>
        <v>8.5732126770944213</v>
      </c>
      <c r="U451" s="295">
        <f>'BD Plant List'!$O453/12*'BD Feedstock'!U$3*'BD Plant List'!AC$5</f>
        <v>3.0347329175263269</v>
      </c>
    </row>
    <row r="452" spans="1:21" ht="18">
      <c r="A452" s="293">
        <v>53448</v>
      </c>
      <c r="B452" s="295">
        <f>'BD Plant List'!B454/12*'BD Plant List'!$AE$5*$B$3</f>
        <v>43.458333333333336</v>
      </c>
      <c r="C452" s="295">
        <f>'BD Plant List'!$C454/12*'BD Plant List'!$AB$5*'BD Feedstock'!$D$3</f>
        <v>2.098958333333333</v>
      </c>
      <c r="D452" s="295">
        <f>'BD Plant List'!$C454/12*'BD Plant List'!$AC$5*'BD Feedstock'!$D$3</f>
        <v>2.2289583333333334</v>
      </c>
      <c r="E452" s="295">
        <f>'BD Plant List'!$D454/12*'BD Plant List'!AB$5*'BD Feedstock'!$E$3</f>
        <v>9.6875</v>
      </c>
      <c r="F452" s="295">
        <f>'BD Plant List'!$D454/12*'BD Plant List'!AC$5*'BD Feedstock'!$F$3</f>
        <v>3.4291666666666671</v>
      </c>
      <c r="G452" s="295">
        <f>'BD Plant List'!$E454/12*'BD Feedstock'!G$3*'BD Plant List'!AB$5</f>
        <v>1.453125</v>
      </c>
      <c r="H452" s="295">
        <f>'BD Plant List'!$E454/12*'BD Feedstock'!H$3*'BD Plant List'!AC$5</f>
        <v>0.51437500000000003</v>
      </c>
      <c r="I452" s="295">
        <f>'BD Plant List'!F454/12*'BD Feedstock'!I$3*'BD Plant List'!AC$5</f>
        <v>0.13716666666666666</v>
      </c>
      <c r="J452" s="295">
        <f>'BD Plant List'!G454/12*'BD Feedstock'!J$3*'BD Plant List'!AD$5</f>
        <v>0.90199999999999991</v>
      </c>
      <c r="K452" s="295">
        <f>'BD Plant List'!$H454/12*'BD Feedstock'!K$3*'BD Plant List'!AB$5</f>
        <v>0</v>
      </c>
      <c r="L452" s="295">
        <f>'BD Plant List'!$H454/12*'BD Feedstock'!L$3*'BD Plant List'!AC$5</f>
        <v>0</v>
      </c>
      <c r="M452" s="295">
        <f>'BD Plant List'!$I454/12*'BD Feedstock'!$M$3*'BD Plant List'!AC$5</f>
        <v>3.4291666666666671</v>
      </c>
      <c r="N452" s="295">
        <f>'BD Plant List'!$J454/12*'BD Feedstock'!N$3*'BD Plant List'!AC$5</f>
        <v>0</v>
      </c>
      <c r="O452" s="295">
        <f>'BD Plant List'!$K454/12*'BD Feedstock'!O$3*'BD Plant List'!AC$5</f>
        <v>0</v>
      </c>
      <c r="P452" s="295">
        <f>'BD Plant List'!$L454/12*'BD Feedstock'!P$3*'BD Plant List'!AE$5</f>
        <v>0</v>
      </c>
      <c r="Q452" s="295">
        <f>'BD Plant List'!$M454/12*'BD Feedstock'!Q$3*'BD Plant List'!AE$5</f>
        <v>0.93125000000000002</v>
      </c>
      <c r="R452" s="295">
        <f>'BD Plant List'!$N454/12*'BD Feedstock'!R$3*'BD Plant List'!AE$5</f>
        <v>26.540625000000002</v>
      </c>
      <c r="S452" s="295">
        <f>'BD Plant List'!$N454/12*'BD Feedstock'!S$3*'BD Plant List'!AF$5</f>
        <v>1.40625</v>
      </c>
      <c r="T452" s="295">
        <f>'BD Plant List'!$O454/12*'BD Feedstock'!T$3*'BD Plant List'!AB$5</f>
        <v>8.5732126770944213</v>
      </c>
      <c r="U452" s="295">
        <f>'BD Plant List'!$O454/12*'BD Feedstock'!U$3*'BD Plant List'!AC$5</f>
        <v>3.0347329175263269</v>
      </c>
    </row>
    <row r="453" spans="1:21" ht="18">
      <c r="A453" s="293">
        <v>53479</v>
      </c>
      <c r="B453" s="295">
        <f>'BD Plant List'!B455/12*'BD Plant List'!$AE$5*$B$3</f>
        <v>43.458333333333336</v>
      </c>
      <c r="C453" s="295">
        <f>'BD Plant List'!$C455/12*'BD Plant List'!$AB$5*'BD Feedstock'!$D$3</f>
        <v>2.098958333333333</v>
      </c>
      <c r="D453" s="295">
        <f>'BD Plant List'!$C455/12*'BD Plant List'!$AC$5*'BD Feedstock'!$D$3</f>
        <v>2.2289583333333334</v>
      </c>
      <c r="E453" s="295">
        <f>'BD Plant List'!$D455/12*'BD Plant List'!AB$5*'BD Feedstock'!$E$3</f>
        <v>9.6875</v>
      </c>
      <c r="F453" s="295">
        <f>'BD Plant List'!$D455/12*'BD Plant List'!AC$5*'BD Feedstock'!$F$3</f>
        <v>3.4291666666666671</v>
      </c>
      <c r="G453" s="295">
        <f>'BD Plant List'!$E455/12*'BD Feedstock'!G$3*'BD Plant List'!AB$5</f>
        <v>1.453125</v>
      </c>
      <c r="H453" s="295">
        <f>'BD Plant List'!$E455/12*'BD Feedstock'!H$3*'BD Plant List'!AC$5</f>
        <v>0.51437500000000003</v>
      </c>
      <c r="I453" s="295">
        <f>'BD Plant List'!F455/12*'BD Feedstock'!I$3*'BD Plant List'!AC$5</f>
        <v>0.13716666666666666</v>
      </c>
      <c r="J453" s="295">
        <f>'BD Plant List'!G455/12*'BD Feedstock'!J$3*'BD Plant List'!AD$5</f>
        <v>0.90199999999999991</v>
      </c>
      <c r="K453" s="295">
        <f>'BD Plant List'!$H455/12*'BD Feedstock'!K$3*'BD Plant List'!AB$5</f>
        <v>0</v>
      </c>
      <c r="L453" s="295">
        <f>'BD Plant List'!$H455/12*'BD Feedstock'!L$3*'BD Plant List'!AC$5</f>
        <v>0</v>
      </c>
      <c r="M453" s="295">
        <f>'BD Plant List'!$I455/12*'BD Feedstock'!$M$3*'BD Plant List'!AC$5</f>
        <v>3.4291666666666671</v>
      </c>
      <c r="N453" s="295">
        <f>'BD Plant List'!$J455/12*'BD Feedstock'!N$3*'BD Plant List'!AC$5</f>
        <v>0</v>
      </c>
      <c r="O453" s="295">
        <f>'BD Plant List'!$K455/12*'BD Feedstock'!O$3*'BD Plant List'!AC$5</f>
        <v>0</v>
      </c>
      <c r="P453" s="295">
        <f>'BD Plant List'!$L455/12*'BD Feedstock'!P$3*'BD Plant List'!AE$5</f>
        <v>0</v>
      </c>
      <c r="Q453" s="295">
        <f>'BD Plant List'!$M455/12*'BD Feedstock'!Q$3*'BD Plant List'!AE$5</f>
        <v>0.93125000000000002</v>
      </c>
      <c r="R453" s="295">
        <f>'BD Plant List'!$N455/12*'BD Feedstock'!R$3*'BD Plant List'!AE$5</f>
        <v>26.540625000000002</v>
      </c>
      <c r="S453" s="295">
        <f>'BD Plant List'!$N455/12*'BD Feedstock'!S$3*'BD Plant List'!AF$5</f>
        <v>1.40625</v>
      </c>
      <c r="T453" s="295">
        <f>'BD Plant List'!$O455/12*'BD Feedstock'!T$3*'BD Plant List'!AB$5</f>
        <v>8.5732126770944213</v>
      </c>
      <c r="U453" s="295">
        <f>'BD Plant List'!$O455/12*'BD Feedstock'!U$3*'BD Plant List'!AC$5</f>
        <v>3.0347329175263269</v>
      </c>
    </row>
    <row r="454" spans="1:21" ht="18">
      <c r="A454" s="293">
        <v>53509</v>
      </c>
      <c r="B454" s="295">
        <f>'BD Plant List'!B456/12*'BD Plant List'!$AE$5*$B$3</f>
        <v>43.458333333333336</v>
      </c>
      <c r="C454" s="295">
        <f>'BD Plant List'!$C456/12*'BD Plant List'!$AB$5*'BD Feedstock'!$D$3</f>
        <v>2.098958333333333</v>
      </c>
      <c r="D454" s="295">
        <f>'BD Plant List'!$C456/12*'BD Plant List'!$AC$5*'BD Feedstock'!$D$3</f>
        <v>2.2289583333333334</v>
      </c>
      <c r="E454" s="295">
        <f>'BD Plant List'!$D456/12*'BD Plant List'!AB$5*'BD Feedstock'!$E$3</f>
        <v>9.6875</v>
      </c>
      <c r="F454" s="295">
        <f>'BD Plant List'!$D456/12*'BD Plant List'!AC$5*'BD Feedstock'!$F$3</f>
        <v>3.4291666666666671</v>
      </c>
      <c r="G454" s="295">
        <f>'BD Plant List'!$E456/12*'BD Feedstock'!G$3*'BD Plant List'!AB$5</f>
        <v>1.453125</v>
      </c>
      <c r="H454" s="295">
        <f>'BD Plant List'!$E456/12*'BD Feedstock'!H$3*'BD Plant List'!AC$5</f>
        <v>0.51437500000000003</v>
      </c>
      <c r="I454" s="295">
        <f>'BD Plant List'!F456/12*'BD Feedstock'!I$3*'BD Plant List'!AC$5</f>
        <v>0.13716666666666666</v>
      </c>
      <c r="J454" s="295">
        <f>'BD Plant List'!G456/12*'BD Feedstock'!J$3*'BD Plant List'!AD$5</f>
        <v>0.90199999999999991</v>
      </c>
      <c r="K454" s="295">
        <f>'BD Plant List'!$H456/12*'BD Feedstock'!K$3*'BD Plant List'!AB$5</f>
        <v>0</v>
      </c>
      <c r="L454" s="295">
        <f>'BD Plant List'!$H456/12*'BD Feedstock'!L$3*'BD Plant List'!AC$5</f>
        <v>0</v>
      </c>
      <c r="M454" s="295">
        <f>'BD Plant List'!$I456/12*'BD Feedstock'!$M$3*'BD Plant List'!AC$5</f>
        <v>3.4291666666666671</v>
      </c>
      <c r="N454" s="295">
        <f>'BD Plant List'!$J456/12*'BD Feedstock'!N$3*'BD Plant List'!AC$5</f>
        <v>0</v>
      </c>
      <c r="O454" s="295">
        <f>'BD Plant List'!$K456/12*'BD Feedstock'!O$3*'BD Plant List'!AC$5</f>
        <v>0</v>
      </c>
      <c r="P454" s="295">
        <f>'BD Plant List'!$L456/12*'BD Feedstock'!P$3*'BD Plant List'!AE$5</f>
        <v>0</v>
      </c>
      <c r="Q454" s="295">
        <f>'BD Plant List'!$M456/12*'BD Feedstock'!Q$3*'BD Plant List'!AE$5</f>
        <v>0.93125000000000002</v>
      </c>
      <c r="R454" s="295">
        <f>'BD Plant List'!$N456/12*'BD Feedstock'!R$3*'BD Plant List'!AE$5</f>
        <v>26.540625000000002</v>
      </c>
      <c r="S454" s="295">
        <f>'BD Plant List'!$N456/12*'BD Feedstock'!S$3*'BD Plant List'!AF$5</f>
        <v>1.40625</v>
      </c>
      <c r="T454" s="295">
        <f>'BD Plant List'!$O456/12*'BD Feedstock'!T$3*'BD Plant List'!AB$5</f>
        <v>8.5732126770944213</v>
      </c>
      <c r="U454" s="295">
        <f>'BD Plant List'!$O456/12*'BD Feedstock'!U$3*'BD Plant List'!AC$5</f>
        <v>3.0347329175263269</v>
      </c>
    </row>
    <row r="455" spans="1:21" ht="18">
      <c r="A455" s="293">
        <v>53540</v>
      </c>
      <c r="B455" s="295">
        <f>'BD Plant List'!B457/12*'BD Plant List'!$AE$5*$B$3</f>
        <v>43.458333333333336</v>
      </c>
      <c r="C455" s="295">
        <f>'BD Plant List'!$C457/12*'BD Plant List'!$AB$5*'BD Feedstock'!$D$3</f>
        <v>2.098958333333333</v>
      </c>
      <c r="D455" s="295">
        <f>'BD Plant List'!$C457/12*'BD Plant List'!$AC$5*'BD Feedstock'!$D$3</f>
        <v>2.2289583333333334</v>
      </c>
      <c r="E455" s="295">
        <f>'BD Plant List'!$D457/12*'BD Plant List'!AB$5*'BD Feedstock'!$E$3</f>
        <v>9.6875</v>
      </c>
      <c r="F455" s="295">
        <f>'BD Plant List'!$D457/12*'BD Plant List'!AC$5*'BD Feedstock'!$F$3</f>
        <v>3.4291666666666671</v>
      </c>
      <c r="G455" s="295">
        <f>'BD Plant List'!$E457/12*'BD Feedstock'!G$3*'BD Plant List'!AB$5</f>
        <v>1.453125</v>
      </c>
      <c r="H455" s="295">
        <f>'BD Plant List'!$E457/12*'BD Feedstock'!H$3*'BD Plant List'!AC$5</f>
        <v>0.51437500000000003</v>
      </c>
      <c r="I455" s="295">
        <f>'BD Plant List'!F457/12*'BD Feedstock'!I$3*'BD Plant List'!AC$5</f>
        <v>0.13716666666666666</v>
      </c>
      <c r="J455" s="295">
        <f>'BD Plant List'!G457/12*'BD Feedstock'!J$3*'BD Plant List'!AD$5</f>
        <v>0.90199999999999991</v>
      </c>
      <c r="K455" s="295">
        <f>'BD Plant List'!$H457/12*'BD Feedstock'!K$3*'BD Plant List'!AB$5</f>
        <v>0</v>
      </c>
      <c r="L455" s="295">
        <f>'BD Plant List'!$H457/12*'BD Feedstock'!L$3*'BD Plant List'!AC$5</f>
        <v>0</v>
      </c>
      <c r="M455" s="295">
        <f>'BD Plant List'!$I457/12*'BD Feedstock'!$M$3*'BD Plant List'!AC$5</f>
        <v>3.4291666666666671</v>
      </c>
      <c r="N455" s="295">
        <f>'BD Plant List'!$J457/12*'BD Feedstock'!N$3*'BD Plant List'!AC$5</f>
        <v>0</v>
      </c>
      <c r="O455" s="295">
        <f>'BD Plant List'!$K457/12*'BD Feedstock'!O$3*'BD Plant List'!AC$5</f>
        <v>0</v>
      </c>
      <c r="P455" s="295">
        <f>'BD Plant List'!$L457/12*'BD Feedstock'!P$3*'BD Plant List'!AE$5</f>
        <v>0</v>
      </c>
      <c r="Q455" s="295">
        <f>'BD Plant List'!$M457/12*'BD Feedstock'!Q$3*'BD Plant List'!AE$5</f>
        <v>0.93125000000000002</v>
      </c>
      <c r="R455" s="295">
        <f>'BD Plant List'!$N457/12*'BD Feedstock'!R$3*'BD Plant List'!AE$5</f>
        <v>26.540625000000002</v>
      </c>
      <c r="S455" s="295">
        <f>'BD Plant List'!$N457/12*'BD Feedstock'!S$3*'BD Plant List'!AF$5</f>
        <v>1.40625</v>
      </c>
      <c r="T455" s="295">
        <f>'BD Plant List'!$O457/12*'BD Feedstock'!T$3*'BD Plant List'!AB$5</f>
        <v>8.5732126770944213</v>
      </c>
      <c r="U455" s="295">
        <f>'BD Plant List'!$O457/12*'BD Feedstock'!U$3*'BD Plant List'!AC$5</f>
        <v>3.0347329175263269</v>
      </c>
    </row>
    <row r="456" spans="1:21" ht="18">
      <c r="A456" s="293">
        <v>53571</v>
      </c>
      <c r="B456" s="295">
        <f>'BD Plant List'!B458/12*'BD Plant List'!$AE$5*$B$3</f>
        <v>43.458333333333336</v>
      </c>
      <c r="C456" s="295">
        <f>'BD Plant List'!$C458/12*'BD Plant List'!$AB$5*'BD Feedstock'!$D$3</f>
        <v>2.098958333333333</v>
      </c>
      <c r="D456" s="295">
        <f>'BD Plant List'!$C458/12*'BD Plant List'!$AC$5*'BD Feedstock'!$D$3</f>
        <v>2.2289583333333334</v>
      </c>
      <c r="E456" s="295">
        <f>'BD Plant List'!$D458/12*'BD Plant List'!AB$5*'BD Feedstock'!$E$3</f>
        <v>9.6875</v>
      </c>
      <c r="F456" s="295">
        <f>'BD Plant List'!$D458/12*'BD Plant List'!AC$5*'BD Feedstock'!$F$3</f>
        <v>3.4291666666666671</v>
      </c>
      <c r="G456" s="295">
        <f>'BD Plant List'!$E458/12*'BD Feedstock'!G$3*'BD Plant List'!AB$5</f>
        <v>1.453125</v>
      </c>
      <c r="H456" s="295">
        <f>'BD Plant List'!$E458/12*'BD Feedstock'!H$3*'BD Plant List'!AC$5</f>
        <v>0.51437500000000003</v>
      </c>
      <c r="I456" s="295">
        <f>'BD Plant List'!F458/12*'BD Feedstock'!I$3*'BD Plant List'!AC$5</f>
        <v>0.13716666666666666</v>
      </c>
      <c r="J456" s="295">
        <f>'BD Plant List'!G458/12*'BD Feedstock'!J$3*'BD Plant List'!AD$5</f>
        <v>0.90199999999999991</v>
      </c>
      <c r="K456" s="295">
        <f>'BD Plant List'!$H458/12*'BD Feedstock'!K$3*'BD Plant List'!AB$5</f>
        <v>0</v>
      </c>
      <c r="L456" s="295">
        <f>'BD Plant List'!$H458/12*'BD Feedstock'!L$3*'BD Plant List'!AC$5</f>
        <v>0</v>
      </c>
      <c r="M456" s="295">
        <f>'BD Plant List'!$I458/12*'BD Feedstock'!$M$3*'BD Plant List'!AC$5</f>
        <v>3.4291666666666671</v>
      </c>
      <c r="N456" s="295">
        <f>'BD Plant List'!$J458/12*'BD Feedstock'!N$3*'BD Plant List'!AC$5</f>
        <v>0</v>
      </c>
      <c r="O456" s="295">
        <f>'BD Plant List'!$K458/12*'BD Feedstock'!O$3*'BD Plant List'!AC$5</f>
        <v>0</v>
      </c>
      <c r="P456" s="295">
        <f>'BD Plant List'!$L458/12*'BD Feedstock'!P$3*'BD Plant List'!AE$5</f>
        <v>0</v>
      </c>
      <c r="Q456" s="295">
        <f>'BD Plant List'!$M458/12*'BD Feedstock'!Q$3*'BD Plant List'!AE$5</f>
        <v>0.93125000000000002</v>
      </c>
      <c r="R456" s="295">
        <f>'BD Plant List'!$N458/12*'BD Feedstock'!R$3*'BD Plant List'!AE$5</f>
        <v>26.540625000000002</v>
      </c>
      <c r="S456" s="295">
        <f>'BD Plant List'!$N458/12*'BD Feedstock'!S$3*'BD Plant List'!AF$5</f>
        <v>1.40625</v>
      </c>
      <c r="T456" s="295">
        <f>'BD Plant List'!$O458/12*'BD Feedstock'!T$3*'BD Plant List'!AB$5</f>
        <v>8.5732126770944213</v>
      </c>
      <c r="U456" s="295">
        <f>'BD Plant List'!$O458/12*'BD Feedstock'!U$3*'BD Plant List'!AC$5</f>
        <v>3.0347329175263269</v>
      </c>
    </row>
    <row r="457" spans="1:21" ht="18">
      <c r="A457" s="293">
        <v>53601</v>
      </c>
      <c r="B457" s="295">
        <f>'BD Plant List'!B459/12*'BD Plant List'!$AE$5*$B$3</f>
        <v>43.458333333333336</v>
      </c>
      <c r="C457" s="295">
        <f>'BD Plant List'!$C459/12*'BD Plant List'!$AB$5*'BD Feedstock'!$D$3</f>
        <v>2.098958333333333</v>
      </c>
      <c r="D457" s="295">
        <f>'BD Plant List'!$C459/12*'BD Plant List'!$AC$5*'BD Feedstock'!$D$3</f>
        <v>2.2289583333333334</v>
      </c>
      <c r="E457" s="295">
        <f>'BD Plant List'!$D459/12*'BD Plant List'!AB$5*'BD Feedstock'!$E$3</f>
        <v>9.6875</v>
      </c>
      <c r="F457" s="295">
        <f>'BD Plant List'!$D459/12*'BD Plant List'!AC$5*'BD Feedstock'!$F$3</f>
        <v>3.4291666666666671</v>
      </c>
      <c r="G457" s="295">
        <f>'BD Plant List'!$E459/12*'BD Feedstock'!G$3*'BD Plant List'!AB$5</f>
        <v>1.453125</v>
      </c>
      <c r="H457" s="295">
        <f>'BD Plant List'!$E459/12*'BD Feedstock'!H$3*'BD Plant List'!AC$5</f>
        <v>0.51437500000000003</v>
      </c>
      <c r="I457" s="295">
        <f>'BD Plant List'!F459/12*'BD Feedstock'!I$3*'BD Plant List'!AC$5</f>
        <v>0.13716666666666666</v>
      </c>
      <c r="J457" s="295">
        <f>'BD Plant List'!G459/12*'BD Feedstock'!J$3*'BD Plant List'!AD$5</f>
        <v>0.90199999999999991</v>
      </c>
      <c r="K457" s="295">
        <f>'BD Plant List'!$H459/12*'BD Feedstock'!K$3*'BD Plant List'!AB$5</f>
        <v>0</v>
      </c>
      <c r="L457" s="295">
        <f>'BD Plant List'!$H459/12*'BD Feedstock'!L$3*'BD Plant List'!AC$5</f>
        <v>0</v>
      </c>
      <c r="M457" s="295">
        <f>'BD Plant List'!$I459/12*'BD Feedstock'!$M$3*'BD Plant List'!AC$5</f>
        <v>3.4291666666666671</v>
      </c>
      <c r="N457" s="295">
        <f>'BD Plant List'!$J459/12*'BD Feedstock'!N$3*'BD Plant List'!AC$5</f>
        <v>0</v>
      </c>
      <c r="O457" s="295">
        <f>'BD Plant List'!$K459/12*'BD Feedstock'!O$3*'BD Plant List'!AC$5</f>
        <v>0</v>
      </c>
      <c r="P457" s="295">
        <f>'BD Plant List'!$L459/12*'BD Feedstock'!P$3*'BD Plant List'!AE$5</f>
        <v>0</v>
      </c>
      <c r="Q457" s="295">
        <f>'BD Plant List'!$M459/12*'BD Feedstock'!Q$3*'BD Plant List'!AE$5</f>
        <v>0.93125000000000002</v>
      </c>
      <c r="R457" s="295">
        <f>'BD Plant List'!$N459/12*'BD Feedstock'!R$3*'BD Plant List'!AE$5</f>
        <v>26.540625000000002</v>
      </c>
      <c r="S457" s="295">
        <f>'BD Plant List'!$N459/12*'BD Feedstock'!S$3*'BD Plant List'!AF$5</f>
        <v>1.40625</v>
      </c>
      <c r="T457" s="295">
        <f>'BD Plant List'!$O459/12*'BD Feedstock'!T$3*'BD Plant List'!AB$5</f>
        <v>8.5732126770944213</v>
      </c>
      <c r="U457" s="295">
        <f>'BD Plant List'!$O459/12*'BD Feedstock'!U$3*'BD Plant List'!AC$5</f>
        <v>3.0347329175263269</v>
      </c>
    </row>
    <row r="458" spans="1:21" ht="18">
      <c r="A458" s="293">
        <v>53632</v>
      </c>
      <c r="B458" s="295">
        <f>'BD Plant List'!B460/12*'BD Plant List'!$AE$5*$B$3</f>
        <v>43.458333333333336</v>
      </c>
      <c r="C458" s="295">
        <f>'BD Plant List'!$C460/12*'BD Plant List'!$AB$5*'BD Feedstock'!$D$3</f>
        <v>2.098958333333333</v>
      </c>
      <c r="D458" s="295">
        <f>'BD Plant List'!$C460/12*'BD Plant List'!$AC$5*'BD Feedstock'!$D$3</f>
        <v>2.2289583333333334</v>
      </c>
      <c r="E458" s="295">
        <f>'BD Plant List'!$D460/12*'BD Plant List'!AB$5*'BD Feedstock'!$E$3</f>
        <v>9.6875</v>
      </c>
      <c r="F458" s="295">
        <f>'BD Plant List'!$D460/12*'BD Plant List'!AC$5*'BD Feedstock'!$F$3</f>
        <v>3.4291666666666671</v>
      </c>
      <c r="G458" s="295">
        <f>'BD Plant List'!$E460/12*'BD Feedstock'!G$3*'BD Plant List'!AB$5</f>
        <v>1.453125</v>
      </c>
      <c r="H458" s="295">
        <f>'BD Plant List'!$E460/12*'BD Feedstock'!H$3*'BD Plant List'!AC$5</f>
        <v>0.51437500000000003</v>
      </c>
      <c r="I458" s="295">
        <f>'BD Plant List'!F460/12*'BD Feedstock'!I$3*'BD Plant List'!AC$5</f>
        <v>0.13716666666666666</v>
      </c>
      <c r="J458" s="295">
        <f>'BD Plant List'!G460/12*'BD Feedstock'!J$3*'BD Plant List'!AD$5</f>
        <v>0.90199999999999991</v>
      </c>
      <c r="K458" s="295">
        <f>'BD Plant List'!$H460/12*'BD Feedstock'!K$3*'BD Plant List'!AB$5</f>
        <v>0</v>
      </c>
      <c r="L458" s="295">
        <f>'BD Plant List'!$H460/12*'BD Feedstock'!L$3*'BD Plant List'!AC$5</f>
        <v>0</v>
      </c>
      <c r="M458" s="295">
        <f>'BD Plant List'!$I460/12*'BD Feedstock'!$M$3*'BD Plant List'!AC$5</f>
        <v>3.4291666666666671</v>
      </c>
      <c r="N458" s="295">
        <f>'BD Plant List'!$J460/12*'BD Feedstock'!N$3*'BD Plant List'!AC$5</f>
        <v>0</v>
      </c>
      <c r="O458" s="295">
        <f>'BD Plant List'!$K460/12*'BD Feedstock'!O$3*'BD Plant List'!AC$5</f>
        <v>0</v>
      </c>
      <c r="P458" s="295">
        <f>'BD Plant List'!$L460/12*'BD Feedstock'!P$3*'BD Plant List'!AE$5</f>
        <v>0</v>
      </c>
      <c r="Q458" s="295">
        <f>'BD Plant List'!$M460/12*'BD Feedstock'!Q$3*'BD Plant List'!AE$5</f>
        <v>0.93125000000000002</v>
      </c>
      <c r="R458" s="295">
        <f>'BD Plant List'!$N460/12*'BD Feedstock'!R$3*'BD Plant List'!AE$5</f>
        <v>26.540625000000002</v>
      </c>
      <c r="S458" s="295">
        <f>'BD Plant List'!$N460/12*'BD Feedstock'!S$3*'BD Plant List'!AF$5</f>
        <v>1.40625</v>
      </c>
      <c r="T458" s="295">
        <f>'BD Plant List'!$O460/12*'BD Feedstock'!T$3*'BD Plant List'!AB$5</f>
        <v>8.5732126770944213</v>
      </c>
      <c r="U458" s="295">
        <f>'BD Plant List'!$O460/12*'BD Feedstock'!U$3*'BD Plant List'!AC$5</f>
        <v>3.0347329175263269</v>
      </c>
    </row>
    <row r="459" spans="1:21" ht="18">
      <c r="A459" s="293">
        <v>53662</v>
      </c>
      <c r="B459" s="295">
        <f>'BD Plant List'!B461/12*'BD Plant List'!$AE$5*$B$3</f>
        <v>43.458333333333336</v>
      </c>
      <c r="C459" s="295">
        <f>'BD Plant List'!$C461/12*'BD Plant List'!$AB$5*'BD Feedstock'!$D$3</f>
        <v>2.098958333333333</v>
      </c>
      <c r="D459" s="295">
        <f>'BD Plant List'!$C461/12*'BD Plant List'!$AC$5*'BD Feedstock'!$D$3</f>
        <v>2.2289583333333334</v>
      </c>
      <c r="E459" s="295">
        <f>'BD Plant List'!$D461/12*'BD Plant List'!AB$5*'BD Feedstock'!$E$3</f>
        <v>9.6875</v>
      </c>
      <c r="F459" s="295">
        <f>'BD Plant List'!$D461/12*'BD Plant List'!AC$5*'BD Feedstock'!$F$3</f>
        <v>3.4291666666666671</v>
      </c>
      <c r="G459" s="295">
        <f>'BD Plant List'!$E461/12*'BD Feedstock'!G$3*'BD Plant List'!AB$5</f>
        <v>1.453125</v>
      </c>
      <c r="H459" s="295">
        <f>'BD Plant List'!$E461/12*'BD Feedstock'!H$3*'BD Plant List'!AC$5</f>
        <v>0.51437500000000003</v>
      </c>
      <c r="I459" s="295">
        <f>'BD Plant List'!F461/12*'BD Feedstock'!I$3*'BD Plant List'!AC$5</f>
        <v>0.13716666666666666</v>
      </c>
      <c r="J459" s="295">
        <f>'BD Plant List'!G461/12*'BD Feedstock'!J$3*'BD Plant List'!AD$5</f>
        <v>0.90199999999999991</v>
      </c>
      <c r="K459" s="295">
        <f>'BD Plant List'!$H461/12*'BD Feedstock'!K$3*'BD Plant List'!AB$5</f>
        <v>0</v>
      </c>
      <c r="L459" s="295">
        <f>'BD Plant List'!$H461/12*'BD Feedstock'!L$3*'BD Plant List'!AC$5</f>
        <v>0</v>
      </c>
      <c r="M459" s="295">
        <f>'BD Plant List'!$I461/12*'BD Feedstock'!$M$3*'BD Plant List'!AC$5</f>
        <v>3.4291666666666671</v>
      </c>
      <c r="N459" s="295">
        <f>'BD Plant List'!$J461/12*'BD Feedstock'!N$3*'BD Plant List'!AC$5</f>
        <v>0</v>
      </c>
      <c r="O459" s="295">
        <f>'BD Plant List'!$K461/12*'BD Feedstock'!O$3*'BD Plant List'!AC$5</f>
        <v>0</v>
      </c>
      <c r="P459" s="295">
        <f>'BD Plant List'!$L461/12*'BD Feedstock'!P$3*'BD Plant List'!AE$5</f>
        <v>0</v>
      </c>
      <c r="Q459" s="295">
        <f>'BD Plant List'!$M461/12*'BD Feedstock'!Q$3*'BD Plant List'!AE$5</f>
        <v>0.93125000000000002</v>
      </c>
      <c r="R459" s="295">
        <f>'BD Plant List'!$N461/12*'BD Feedstock'!R$3*'BD Plant List'!AE$5</f>
        <v>26.540625000000002</v>
      </c>
      <c r="S459" s="295">
        <f>'BD Plant List'!$N461/12*'BD Feedstock'!S$3*'BD Plant List'!AF$5</f>
        <v>1.40625</v>
      </c>
      <c r="T459" s="295">
        <f>'BD Plant List'!$O461/12*'BD Feedstock'!T$3*'BD Plant List'!AB$5</f>
        <v>8.5732126770944213</v>
      </c>
      <c r="U459" s="295">
        <f>'BD Plant List'!$O461/12*'BD Feedstock'!U$3*'BD Plant List'!AC$5</f>
        <v>3.0347329175263269</v>
      </c>
    </row>
    <row r="460" spans="1:21" ht="18">
      <c r="A460" s="293">
        <v>53693</v>
      </c>
      <c r="B460" s="295">
        <f>'BD Plant List'!B462/12*'BD Plant List'!$AE$5*$B$3</f>
        <v>43.458333333333336</v>
      </c>
      <c r="C460" s="295">
        <f>'BD Plant List'!$C462/12*'BD Plant List'!$AB$5*'BD Feedstock'!$D$3</f>
        <v>2.098958333333333</v>
      </c>
      <c r="D460" s="295">
        <f>'BD Plant List'!$C462/12*'BD Plant List'!$AC$5*'BD Feedstock'!$D$3</f>
        <v>2.2289583333333334</v>
      </c>
      <c r="E460" s="295">
        <f>'BD Plant List'!$D462/12*'BD Plant List'!AB$5*'BD Feedstock'!$E$3</f>
        <v>9.6875</v>
      </c>
      <c r="F460" s="295">
        <f>'BD Plant List'!$D462/12*'BD Plant List'!AC$5*'BD Feedstock'!$F$3</f>
        <v>3.4291666666666671</v>
      </c>
      <c r="G460" s="295">
        <f>'BD Plant List'!$E462/12*'BD Feedstock'!G$3*'BD Plant List'!AB$5</f>
        <v>1.453125</v>
      </c>
      <c r="H460" s="295">
        <f>'BD Plant List'!$E462/12*'BD Feedstock'!H$3*'BD Plant List'!AC$5</f>
        <v>0.51437500000000003</v>
      </c>
      <c r="I460" s="295">
        <f>'BD Plant List'!F462/12*'BD Feedstock'!I$3*'BD Plant List'!AC$5</f>
        <v>0.13716666666666666</v>
      </c>
      <c r="J460" s="295">
        <f>'BD Plant List'!G462/12*'BD Feedstock'!J$3*'BD Plant List'!AD$5</f>
        <v>0.90199999999999991</v>
      </c>
      <c r="K460" s="295">
        <f>'BD Plant List'!$H462/12*'BD Feedstock'!K$3*'BD Plant List'!AB$5</f>
        <v>0</v>
      </c>
      <c r="L460" s="295">
        <f>'BD Plant List'!$H462/12*'BD Feedstock'!L$3*'BD Plant List'!AC$5</f>
        <v>0</v>
      </c>
      <c r="M460" s="295">
        <f>'BD Plant List'!$I462/12*'BD Feedstock'!$M$3*'BD Plant List'!AC$5</f>
        <v>3.4291666666666671</v>
      </c>
      <c r="N460" s="295">
        <f>'BD Plant List'!$J462/12*'BD Feedstock'!N$3*'BD Plant List'!AC$5</f>
        <v>0</v>
      </c>
      <c r="O460" s="295">
        <f>'BD Plant List'!$K462/12*'BD Feedstock'!O$3*'BD Plant List'!AC$5</f>
        <v>0</v>
      </c>
      <c r="P460" s="295">
        <f>'BD Plant List'!$L462/12*'BD Feedstock'!P$3*'BD Plant List'!AE$5</f>
        <v>0</v>
      </c>
      <c r="Q460" s="295">
        <f>'BD Plant List'!$M462/12*'BD Feedstock'!Q$3*'BD Plant List'!AE$5</f>
        <v>0.93125000000000002</v>
      </c>
      <c r="R460" s="295">
        <f>'BD Plant List'!$N462/12*'BD Feedstock'!R$3*'BD Plant List'!AE$5</f>
        <v>26.540625000000002</v>
      </c>
      <c r="S460" s="295">
        <f>'BD Plant List'!$N462/12*'BD Feedstock'!S$3*'BD Plant List'!AF$5</f>
        <v>1.40625</v>
      </c>
      <c r="T460" s="295">
        <f>'BD Plant List'!$O462/12*'BD Feedstock'!T$3*'BD Plant List'!AB$5</f>
        <v>8.5732126770944213</v>
      </c>
      <c r="U460" s="295">
        <f>'BD Plant List'!$O462/12*'BD Feedstock'!U$3*'BD Plant List'!AC$5</f>
        <v>3.0347329175263269</v>
      </c>
    </row>
    <row r="461" spans="1:21" ht="18">
      <c r="A461" s="293">
        <v>53724</v>
      </c>
      <c r="B461" s="295">
        <f>'BD Plant List'!B463/12*'BD Plant List'!$AE$5*$B$3</f>
        <v>43.458333333333336</v>
      </c>
      <c r="C461" s="295">
        <f>'BD Plant List'!$C463/12*'BD Plant List'!$AB$5*'BD Feedstock'!$D$3</f>
        <v>2.098958333333333</v>
      </c>
      <c r="D461" s="295">
        <f>'BD Plant List'!$C463/12*'BD Plant List'!$AC$5*'BD Feedstock'!$D$3</f>
        <v>2.2289583333333334</v>
      </c>
      <c r="E461" s="295">
        <f>'BD Plant List'!$D463/12*'BD Plant List'!AB$5*'BD Feedstock'!$E$3</f>
        <v>9.6875</v>
      </c>
      <c r="F461" s="295">
        <f>'BD Plant List'!$D463/12*'BD Plant List'!AC$5*'BD Feedstock'!$F$3</f>
        <v>3.4291666666666671</v>
      </c>
      <c r="G461" s="295">
        <f>'BD Plant List'!$E463/12*'BD Feedstock'!G$3*'BD Plant List'!AB$5</f>
        <v>1.453125</v>
      </c>
      <c r="H461" s="295">
        <f>'BD Plant List'!$E463/12*'BD Feedstock'!H$3*'BD Plant List'!AC$5</f>
        <v>0.51437500000000003</v>
      </c>
      <c r="I461" s="295">
        <f>'BD Plant List'!F463/12*'BD Feedstock'!I$3*'BD Plant List'!AC$5</f>
        <v>0.13716666666666666</v>
      </c>
      <c r="J461" s="295">
        <f>'BD Plant List'!G463/12*'BD Feedstock'!J$3*'BD Plant List'!AD$5</f>
        <v>0.90199999999999991</v>
      </c>
      <c r="K461" s="295">
        <f>'BD Plant List'!$H463/12*'BD Feedstock'!K$3*'BD Plant List'!AB$5</f>
        <v>0</v>
      </c>
      <c r="L461" s="295">
        <f>'BD Plant List'!$H463/12*'BD Feedstock'!L$3*'BD Plant List'!AC$5</f>
        <v>0</v>
      </c>
      <c r="M461" s="295">
        <f>'BD Plant List'!$I463/12*'BD Feedstock'!$M$3*'BD Plant List'!AC$5</f>
        <v>3.4291666666666671</v>
      </c>
      <c r="N461" s="295">
        <f>'BD Plant List'!$J463/12*'BD Feedstock'!N$3*'BD Plant List'!AC$5</f>
        <v>0</v>
      </c>
      <c r="O461" s="295">
        <f>'BD Plant List'!$K463/12*'BD Feedstock'!O$3*'BD Plant List'!AC$5</f>
        <v>0</v>
      </c>
      <c r="P461" s="295">
        <f>'BD Plant List'!$L463/12*'BD Feedstock'!P$3*'BD Plant List'!AE$5</f>
        <v>0</v>
      </c>
      <c r="Q461" s="295">
        <f>'BD Plant List'!$M463/12*'BD Feedstock'!Q$3*'BD Plant List'!AE$5</f>
        <v>0.93125000000000002</v>
      </c>
      <c r="R461" s="295">
        <f>'BD Plant List'!$N463/12*'BD Feedstock'!R$3*'BD Plant List'!AE$5</f>
        <v>26.540625000000002</v>
      </c>
      <c r="S461" s="295">
        <f>'BD Plant List'!$N463/12*'BD Feedstock'!S$3*'BD Plant List'!AF$5</f>
        <v>1.40625</v>
      </c>
      <c r="T461" s="295">
        <f>'BD Plant List'!$O463/12*'BD Feedstock'!T$3*'BD Plant List'!AB$5</f>
        <v>8.5732126770944213</v>
      </c>
      <c r="U461" s="295">
        <f>'BD Plant List'!$O463/12*'BD Feedstock'!U$3*'BD Plant List'!AC$5</f>
        <v>3.0347329175263269</v>
      </c>
    </row>
    <row r="462" spans="1:21" ht="18">
      <c r="A462" s="293">
        <v>53752</v>
      </c>
      <c r="B462" s="295">
        <f>'BD Plant List'!B464/12*'BD Plant List'!$AE$5*$B$3</f>
        <v>43.458333333333336</v>
      </c>
      <c r="C462" s="295">
        <f>'BD Plant List'!$C464/12*'BD Plant List'!$AB$5*'BD Feedstock'!$D$3</f>
        <v>2.098958333333333</v>
      </c>
      <c r="D462" s="295">
        <f>'BD Plant List'!$C464/12*'BD Plant List'!$AC$5*'BD Feedstock'!$D$3</f>
        <v>2.2289583333333334</v>
      </c>
      <c r="E462" s="295">
        <f>'BD Plant List'!$D464/12*'BD Plant List'!AB$5*'BD Feedstock'!$E$3</f>
        <v>9.6875</v>
      </c>
      <c r="F462" s="295">
        <f>'BD Plant List'!$D464/12*'BD Plant List'!AC$5*'BD Feedstock'!$F$3</f>
        <v>3.4291666666666671</v>
      </c>
      <c r="G462" s="295">
        <f>'BD Plant List'!$E464/12*'BD Feedstock'!G$3*'BD Plant List'!AB$5</f>
        <v>1.453125</v>
      </c>
      <c r="H462" s="295">
        <f>'BD Plant List'!$E464/12*'BD Feedstock'!H$3*'BD Plant List'!AC$5</f>
        <v>0.51437500000000003</v>
      </c>
      <c r="I462" s="295">
        <f>'BD Plant List'!F464/12*'BD Feedstock'!I$3*'BD Plant List'!AC$5</f>
        <v>0.13716666666666666</v>
      </c>
      <c r="J462" s="295">
        <f>'BD Plant List'!G464/12*'BD Feedstock'!J$3*'BD Plant List'!AD$5</f>
        <v>0.90199999999999991</v>
      </c>
      <c r="K462" s="295">
        <f>'BD Plant List'!$H464/12*'BD Feedstock'!K$3*'BD Plant List'!AB$5</f>
        <v>0</v>
      </c>
      <c r="L462" s="295">
        <f>'BD Plant List'!$H464/12*'BD Feedstock'!L$3*'BD Plant List'!AC$5</f>
        <v>0</v>
      </c>
      <c r="M462" s="295">
        <f>'BD Plant List'!$I464/12*'BD Feedstock'!$M$3*'BD Plant List'!AC$5</f>
        <v>3.4291666666666671</v>
      </c>
      <c r="N462" s="295">
        <f>'BD Plant List'!$J464/12*'BD Feedstock'!N$3*'BD Plant List'!AC$5</f>
        <v>0</v>
      </c>
      <c r="O462" s="295">
        <f>'BD Plant List'!$K464/12*'BD Feedstock'!O$3*'BD Plant List'!AC$5</f>
        <v>0</v>
      </c>
      <c r="P462" s="295">
        <f>'BD Plant List'!$L464/12*'BD Feedstock'!P$3*'BD Plant List'!AE$5</f>
        <v>0</v>
      </c>
      <c r="Q462" s="295">
        <f>'BD Plant List'!$M464/12*'BD Feedstock'!Q$3*'BD Plant List'!AE$5</f>
        <v>0.93125000000000002</v>
      </c>
      <c r="R462" s="295">
        <f>'BD Plant List'!$N464/12*'BD Feedstock'!R$3*'BD Plant List'!AE$5</f>
        <v>26.540625000000002</v>
      </c>
      <c r="S462" s="295">
        <f>'BD Plant List'!$N464/12*'BD Feedstock'!S$3*'BD Plant List'!AF$5</f>
        <v>1.40625</v>
      </c>
      <c r="T462" s="295">
        <f>'BD Plant List'!$O464/12*'BD Feedstock'!T$3*'BD Plant List'!AB$5</f>
        <v>8.5732126770944213</v>
      </c>
      <c r="U462" s="295">
        <f>'BD Plant List'!$O464/12*'BD Feedstock'!U$3*'BD Plant List'!AC$5</f>
        <v>3.0347329175263269</v>
      </c>
    </row>
    <row r="463" spans="1:21" ht="18">
      <c r="A463" s="293">
        <v>53783</v>
      </c>
      <c r="B463" s="295">
        <f>'BD Plant List'!B465/12*'BD Plant List'!$AE$5*$B$3</f>
        <v>43.458333333333336</v>
      </c>
      <c r="C463" s="295">
        <f>'BD Plant List'!$C465/12*'BD Plant List'!$AB$5*'BD Feedstock'!$D$3</f>
        <v>2.098958333333333</v>
      </c>
      <c r="D463" s="295">
        <f>'BD Plant List'!$C465/12*'BD Plant List'!$AC$5*'BD Feedstock'!$D$3</f>
        <v>2.2289583333333334</v>
      </c>
      <c r="E463" s="295">
        <f>'BD Plant List'!$D465/12*'BD Plant List'!AB$5*'BD Feedstock'!$E$3</f>
        <v>9.6875</v>
      </c>
      <c r="F463" s="295">
        <f>'BD Plant List'!$D465/12*'BD Plant List'!AC$5*'BD Feedstock'!$F$3</f>
        <v>3.4291666666666671</v>
      </c>
      <c r="G463" s="295">
        <f>'BD Plant List'!$E465/12*'BD Feedstock'!G$3*'BD Plant List'!AB$5</f>
        <v>1.453125</v>
      </c>
      <c r="H463" s="295">
        <f>'BD Plant List'!$E465/12*'BD Feedstock'!H$3*'BD Plant List'!AC$5</f>
        <v>0.51437500000000003</v>
      </c>
      <c r="I463" s="295">
        <f>'BD Plant List'!F465/12*'BD Feedstock'!I$3*'BD Plant List'!AC$5</f>
        <v>0.13716666666666666</v>
      </c>
      <c r="J463" s="295">
        <f>'BD Plant List'!G465/12*'BD Feedstock'!J$3*'BD Plant List'!AD$5</f>
        <v>0.90199999999999991</v>
      </c>
      <c r="K463" s="295">
        <f>'BD Plant List'!$H465/12*'BD Feedstock'!K$3*'BD Plant List'!AB$5</f>
        <v>0</v>
      </c>
      <c r="L463" s="295">
        <f>'BD Plant List'!$H465/12*'BD Feedstock'!L$3*'BD Plant List'!AC$5</f>
        <v>0</v>
      </c>
      <c r="M463" s="295">
        <f>'BD Plant List'!$I465/12*'BD Feedstock'!$M$3*'BD Plant List'!AC$5</f>
        <v>3.4291666666666671</v>
      </c>
      <c r="N463" s="295">
        <f>'BD Plant List'!$J465/12*'BD Feedstock'!N$3*'BD Plant List'!AC$5</f>
        <v>0</v>
      </c>
      <c r="O463" s="295">
        <f>'BD Plant List'!$K465/12*'BD Feedstock'!O$3*'BD Plant List'!AC$5</f>
        <v>0</v>
      </c>
      <c r="P463" s="295">
        <f>'BD Plant List'!$L465/12*'BD Feedstock'!P$3*'BD Plant List'!AE$5</f>
        <v>0</v>
      </c>
      <c r="Q463" s="295">
        <f>'BD Plant List'!$M465/12*'BD Feedstock'!Q$3*'BD Plant List'!AE$5</f>
        <v>0.93125000000000002</v>
      </c>
      <c r="R463" s="295">
        <f>'BD Plant List'!$N465/12*'BD Feedstock'!R$3*'BD Plant List'!AE$5</f>
        <v>26.540625000000002</v>
      </c>
      <c r="S463" s="295">
        <f>'BD Plant List'!$N465/12*'BD Feedstock'!S$3*'BD Plant List'!AF$5</f>
        <v>1.40625</v>
      </c>
      <c r="T463" s="295">
        <f>'BD Plant List'!$O465/12*'BD Feedstock'!T$3*'BD Plant List'!AB$5</f>
        <v>8.5732126770944213</v>
      </c>
      <c r="U463" s="295">
        <f>'BD Plant List'!$O465/12*'BD Feedstock'!U$3*'BD Plant List'!AC$5</f>
        <v>3.0347329175263269</v>
      </c>
    </row>
    <row r="464" spans="1:21" ht="18">
      <c r="A464" s="293">
        <v>53813</v>
      </c>
      <c r="B464" s="295">
        <f>'BD Plant List'!B466/12*'BD Plant List'!$AE$5*$B$3</f>
        <v>43.458333333333336</v>
      </c>
      <c r="C464" s="295">
        <f>'BD Plant List'!$C466/12*'BD Plant List'!$AB$5*'BD Feedstock'!$D$3</f>
        <v>2.098958333333333</v>
      </c>
      <c r="D464" s="295">
        <f>'BD Plant List'!$C466/12*'BD Plant List'!$AC$5*'BD Feedstock'!$D$3</f>
        <v>2.2289583333333334</v>
      </c>
      <c r="E464" s="295">
        <f>'BD Plant List'!$D466/12*'BD Plant List'!AB$5*'BD Feedstock'!$E$3</f>
        <v>9.6875</v>
      </c>
      <c r="F464" s="295">
        <f>'BD Plant List'!$D466/12*'BD Plant List'!AC$5*'BD Feedstock'!$F$3</f>
        <v>3.4291666666666671</v>
      </c>
      <c r="G464" s="295">
        <f>'BD Plant List'!$E466/12*'BD Feedstock'!G$3*'BD Plant List'!AB$5</f>
        <v>1.453125</v>
      </c>
      <c r="H464" s="295">
        <f>'BD Plant List'!$E466/12*'BD Feedstock'!H$3*'BD Plant List'!AC$5</f>
        <v>0.51437500000000003</v>
      </c>
      <c r="I464" s="295">
        <f>'BD Plant List'!F466/12*'BD Feedstock'!I$3*'BD Plant List'!AC$5</f>
        <v>0.13716666666666666</v>
      </c>
      <c r="J464" s="295">
        <f>'BD Plant List'!G466/12*'BD Feedstock'!J$3*'BD Plant List'!AD$5</f>
        <v>0.90199999999999991</v>
      </c>
      <c r="K464" s="295">
        <f>'BD Plant List'!$H466/12*'BD Feedstock'!K$3*'BD Plant List'!AB$5</f>
        <v>0</v>
      </c>
      <c r="L464" s="295">
        <f>'BD Plant List'!$H466/12*'BD Feedstock'!L$3*'BD Plant List'!AC$5</f>
        <v>0</v>
      </c>
      <c r="M464" s="295">
        <f>'BD Plant List'!$I466/12*'BD Feedstock'!$M$3*'BD Plant List'!AC$5</f>
        <v>3.4291666666666671</v>
      </c>
      <c r="N464" s="295">
        <f>'BD Plant List'!$J466/12*'BD Feedstock'!N$3*'BD Plant List'!AC$5</f>
        <v>0</v>
      </c>
      <c r="O464" s="295">
        <f>'BD Plant List'!$K466/12*'BD Feedstock'!O$3*'BD Plant List'!AC$5</f>
        <v>0</v>
      </c>
      <c r="P464" s="295">
        <f>'BD Plant List'!$L466/12*'BD Feedstock'!P$3*'BD Plant List'!AE$5</f>
        <v>0</v>
      </c>
      <c r="Q464" s="295">
        <f>'BD Plant List'!$M466/12*'BD Feedstock'!Q$3*'BD Plant List'!AE$5</f>
        <v>0.93125000000000002</v>
      </c>
      <c r="R464" s="295">
        <f>'BD Plant List'!$N466/12*'BD Feedstock'!R$3*'BD Plant List'!AE$5</f>
        <v>26.540625000000002</v>
      </c>
      <c r="S464" s="295">
        <f>'BD Plant List'!$N466/12*'BD Feedstock'!S$3*'BD Plant List'!AF$5</f>
        <v>1.40625</v>
      </c>
      <c r="T464" s="295">
        <f>'BD Plant List'!$O466/12*'BD Feedstock'!T$3*'BD Plant List'!AB$5</f>
        <v>8.5732126770944213</v>
      </c>
      <c r="U464" s="295">
        <f>'BD Plant List'!$O466/12*'BD Feedstock'!U$3*'BD Plant List'!AC$5</f>
        <v>3.0347329175263269</v>
      </c>
    </row>
    <row r="465" spans="1:21" ht="18">
      <c r="A465" s="293">
        <v>53844</v>
      </c>
      <c r="B465" s="295">
        <f>'BD Plant List'!B467/12*'BD Plant List'!$AE$5*$B$3</f>
        <v>43.458333333333336</v>
      </c>
      <c r="C465" s="295">
        <f>'BD Plant List'!$C467/12*'BD Plant List'!$AB$5*'BD Feedstock'!$D$3</f>
        <v>2.098958333333333</v>
      </c>
      <c r="D465" s="295">
        <f>'BD Plant List'!$C467/12*'BD Plant List'!$AC$5*'BD Feedstock'!$D$3</f>
        <v>2.2289583333333334</v>
      </c>
      <c r="E465" s="295">
        <f>'BD Plant List'!$D467/12*'BD Plant List'!AB$5*'BD Feedstock'!$E$3</f>
        <v>9.6875</v>
      </c>
      <c r="F465" s="295">
        <f>'BD Plant List'!$D467/12*'BD Plant List'!AC$5*'BD Feedstock'!$F$3</f>
        <v>3.4291666666666671</v>
      </c>
      <c r="G465" s="295">
        <f>'BD Plant List'!$E467/12*'BD Feedstock'!G$3*'BD Plant List'!AB$5</f>
        <v>1.453125</v>
      </c>
      <c r="H465" s="295">
        <f>'BD Plant List'!$E467/12*'BD Feedstock'!H$3*'BD Plant List'!AC$5</f>
        <v>0.51437500000000003</v>
      </c>
      <c r="I465" s="295">
        <f>'BD Plant List'!F467/12*'BD Feedstock'!I$3*'BD Plant List'!AC$5</f>
        <v>0.13716666666666666</v>
      </c>
      <c r="J465" s="295">
        <f>'BD Plant List'!G467/12*'BD Feedstock'!J$3*'BD Plant List'!AD$5</f>
        <v>0.90199999999999991</v>
      </c>
      <c r="K465" s="295">
        <f>'BD Plant List'!$H467/12*'BD Feedstock'!K$3*'BD Plant List'!AB$5</f>
        <v>0</v>
      </c>
      <c r="L465" s="295">
        <f>'BD Plant List'!$H467/12*'BD Feedstock'!L$3*'BD Plant List'!AC$5</f>
        <v>0</v>
      </c>
      <c r="M465" s="295">
        <f>'BD Plant List'!$I467/12*'BD Feedstock'!$M$3*'BD Plant List'!AC$5</f>
        <v>3.4291666666666671</v>
      </c>
      <c r="N465" s="295">
        <f>'BD Plant List'!$J467/12*'BD Feedstock'!N$3*'BD Plant List'!AC$5</f>
        <v>0</v>
      </c>
      <c r="O465" s="295">
        <f>'BD Plant List'!$K467/12*'BD Feedstock'!O$3*'BD Plant List'!AC$5</f>
        <v>0</v>
      </c>
      <c r="P465" s="295">
        <f>'BD Plant List'!$L467/12*'BD Feedstock'!P$3*'BD Plant List'!AE$5</f>
        <v>0</v>
      </c>
      <c r="Q465" s="295">
        <f>'BD Plant List'!$M467/12*'BD Feedstock'!Q$3*'BD Plant List'!AE$5</f>
        <v>0.93125000000000002</v>
      </c>
      <c r="R465" s="295">
        <f>'BD Plant List'!$N467/12*'BD Feedstock'!R$3*'BD Plant List'!AE$5</f>
        <v>26.540625000000002</v>
      </c>
      <c r="S465" s="295">
        <f>'BD Plant List'!$N467/12*'BD Feedstock'!S$3*'BD Plant List'!AF$5</f>
        <v>1.40625</v>
      </c>
      <c r="T465" s="295">
        <f>'BD Plant List'!$O467/12*'BD Feedstock'!T$3*'BD Plant List'!AB$5</f>
        <v>8.5732126770944213</v>
      </c>
      <c r="U465" s="295">
        <f>'BD Plant List'!$O467/12*'BD Feedstock'!U$3*'BD Plant List'!AC$5</f>
        <v>3.0347329175263269</v>
      </c>
    </row>
    <row r="466" spans="1:21" ht="18">
      <c r="A466" s="293">
        <v>53874</v>
      </c>
      <c r="B466" s="295">
        <f>'BD Plant List'!B468/12*'BD Plant List'!$AE$5*$B$3</f>
        <v>43.458333333333336</v>
      </c>
      <c r="C466" s="295">
        <f>'BD Plant List'!$C468/12*'BD Plant List'!$AB$5*'BD Feedstock'!$D$3</f>
        <v>2.098958333333333</v>
      </c>
      <c r="D466" s="295">
        <f>'BD Plant List'!$C468/12*'BD Plant List'!$AC$5*'BD Feedstock'!$D$3</f>
        <v>2.2289583333333334</v>
      </c>
      <c r="E466" s="295">
        <f>'BD Plant List'!$D468/12*'BD Plant List'!AB$5*'BD Feedstock'!$E$3</f>
        <v>9.6875</v>
      </c>
      <c r="F466" s="295">
        <f>'BD Plant List'!$D468/12*'BD Plant List'!AC$5*'BD Feedstock'!$F$3</f>
        <v>3.4291666666666671</v>
      </c>
      <c r="G466" s="295">
        <f>'BD Plant List'!$E468/12*'BD Feedstock'!G$3*'BD Plant List'!AB$5</f>
        <v>1.453125</v>
      </c>
      <c r="H466" s="295">
        <f>'BD Plant List'!$E468/12*'BD Feedstock'!H$3*'BD Plant List'!AC$5</f>
        <v>0.51437500000000003</v>
      </c>
      <c r="I466" s="295">
        <f>'BD Plant List'!F468/12*'BD Feedstock'!I$3*'BD Plant List'!AC$5</f>
        <v>0.13716666666666666</v>
      </c>
      <c r="J466" s="295">
        <f>'BD Plant List'!G468/12*'BD Feedstock'!J$3*'BD Plant List'!AD$5</f>
        <v>0.90199999999999991</v>
      </c>
      <c r="K466" s="295">
        <f>'BD Plant List'!$H468/12*'BD Feedstock'!K$3*'BD Plant List'!AB$5</f>
        <v>0</v>
      </c>
      <c r="L466" s="295">
        <f>'BD Plant List'!$H468/12*'BD Feedstock'!L$3*'BD Plant List'!AC$5</f>
        <v>0</v>
      </c>
      <c r="M466" s="295">
        <f>'BD Plant List'!$I468/12*'BD Feedstock'!$M$3*'BD Plant List'!AC$5</f>
        <v>3.4291666666666671</v>
      </c>
      <c r="N466" s="295">
        <f>'BD Plant List'!$J468/12*'BD Feedstock'!N$3*'BD Plant List'!AC$5</f>
        <v>0</v>
      </c>
      <c r="O466" s="295">
        <f>'BD Plant List'!$K468/12*'BD Feedstock'!O$3*'BD Plant List'!AC$5</f>
        <v>0</v>
      </c>
      <c r="P466" s="295">
        <f>'BD Plant List'!$L468/12*'BD Feedstock'!P$3*'BD Plant List'!AE$5</f>
        <v>0</v>
      </c>
      <c r="Q466" s="295">
        <f>'BD Plant List'!$M468/12*'BD Feedstock'!Q$3*'BD Plant List'!AE$5</f>
        <v>0.93125000000000002</v>
      </c>
      <c r="R466" s="295">
        <f>'BD Plant List'!$N468/12*'BD Feedstock'!R$3*'BD Plant List'!AE$5</f>
        <v>26.540625000000002</v>
      </c>
      <c r="S466" s="295">
        <f>'BD Plant List'!$N468/12*'BD Feedstock'!S$3*'BD Plant List'!AF$5</f>
        <v>1.40625</v>
      </c>
      <c r="T466" s="295">
        <f>'BD Plant List'!$O468/12*'BD Feedstock'!T$3*'BD Plant List'!AB$5</f>
        <v>8.5732126770944213</v>
      </c>
      <c r="U466" s="295">
        <f>'BD Plant List'!$O468/12*'BD Feedstock'!U$3*'BD Plant List'!AC$5</f>
        <v>3.0347329175263269</v>
      </c>
    </row>
    <row r="467" spans="1:21" ht="18">
      <c r="A467" s="293">
        <v>53905</v>
      </c>
      <c r="B467" s="295">
        <f>'BD Plant List'!B469/12*'BD Plant List'!$AE$5*$B$3</f>
        <v>43.458333333333336</v>
      </c>
      <c r="C467" s="295">
        <f>'BD Plant List'!$C469/12*'BD Plant List'!$AB$5*'BD Feedstock'!$D$3</f>
        <v>2.098958333333333</v>
      </c>
      <c r="D467" s="295">
        <f>'BD Plant List'!$C469/12*'BD Plant List'!$AC$5*'BD Feedstock'!$D$3</f>
        <v>2.2289583333333334</v>
      </c>
      <c r="E467" s="295">
        <f>'BD Plant List'!$D469/12*'BD Plant List'!AB$5*'BD Feedstock'!$E$3</f>
        <v>9.6875</v>
      </c>
      <c r="F467" s="295">
        <f>'BD Plant List'!$D469/12*'BD Plant List'!AC$5*'BD Feedstock'!$F$3</f>
        <v>3.4291666666666671</v>
      </c>
      <c r="G467" s="295">
        <f>'BD Plant List'!$E469/12*'BD Feedstock'!G$3*'BD Plant List'!AB$5</f>
        <v>1.453125</v>
      </c>
      <c r="H467" s="295">
        <f>'BD Plant List'!$E469/12*'BD Feedstock'!H$3*'BD Plant List'!AC$5</f>
        <v>0.51437500000000003</v>
      </c>
      <c r="I467" s="295">
        <f>'BD Plant List'!F469/12*'BD Feedstock'!I$3*'BD Plant List'!AC$5</f>
        <v>0.13716666666666666</v>
      </c>
      <c r="J467" s="295">
        <f>'BD Plant List'!G469/12*'BD Feedstock'!J$3*'BD Plant List'!AD$5</f>
        <v>0.90199999999999991</v>
      </c>
      <c r="K467" s="295">
        <f>'BD Plant List'!$H469/12*'BD Feedstock'!K$3*'BD Plant List'!AB$5</f>
        <v>0</v>
      </c>
      <c r="L467" s="295">
        <f>'BD Plant List'!$H469/12*'BD Feedstock'!L$3*'BD Plant List'!AC$5</f>
        <v>0</v>
      </c>
      <c r="M467" s="295">
        <f>'BD Plant List'!$I469/12*'BD Feedstock'!$M$3*'BD Plant List'!AC$5</f>
        <v>3.4291666666666671</v>
      </c>
      <c r="N467" s="295">
        <f>'BD Plant List'!$J469/12*'BD Feedstock'!N$3*'BD Plant List'!AC$5</f>
        <v>0</v>
      </c>
      <c r="O467" s="295">
        <f>'BD Plant List'!$K469/12*'BD Feedstock'!O$3*'BD Plant List'!AC$5</f>
        <v>0</v>
      </c>
      <c r="P467" s="295">
        <f>'BD Plant List'!$L469/12*'BD Feedstock'!P$3*'BD Plant List'!AE$5</f>
        <v>0</v>
      </c>
      <c r="Q467" s="295">
        <f>'BD Plant List'!$M469/12*'BD Feedstock'!Q$3*'BD Plant List'!AE$5</f>
        <v>0.93125000000000002</v>
      </c>
      <c r="R467" s="295">
        <f>'BD Plant List'!$N469/12*'BD Feedstock'!R$3*'BD Plant List'!AE$5</f>
        <v>26.540625000000002</v>
      </c>
      <c r="S467" s="295">
        <f>'BD Plant List'!$N469/12*'BD Feedstock'!S$3*'BD Plant List'!AF$5</f>
        <v>1.40625</v>
      </c>
      <c r="T467" s="295">
        <f>'BD Plant List'!$O469/12*'BD Feedstock'!T$3*'BD Plant List'!AB$5</f>
        <v>8.5732126770944213</v>
      </c>
      <c r="U467" s="295">
        <f>'BD Plant List'!$O469/12*'BD Feedstock'!U$3*'BD Plant List'!AC$5</f>
        <v>3.0347329175263269</v>
      </c>
    </row>
    <row r="468" spans="1:21" ht="18">
      <c r="A468" s="293">
        <v>53936</v>
      </c>
      <c r="B468" s="295">
        <f>'BD Plant List'!B470/12*'BD Plant List'!$AE$5*$B$3</f>
        <v>43.458333333333336</v>
      </c>
      <c r="C468" s="295">
        <f>'BD Plant List'!$C470/12*'BD Plant List'!$AB$5*'BD Feedstock'!$D$3</f>
        <v>2.098958333333333</v>
      </c>
      <c r="D468" s="295">
        <f>'BD Plant List'!$C470/12*'BD Plant List'!$AC$5*'BD Feedstock'!$D$3</f>
        <v>2.2289583333333334</v>
      </c>
      <c r="E468" s="295">
        <f>'BD Plant List'!$D470/12*'BD Plant List'!AB$5*'BD Feedstock'!$E$3</f>
        <v>9.6875</v>
      </c>
      <c r="F468" s="295">
        <f>'BD Plant List'!$D470/12*'BD Plant List'!AC$5*'BD Feedstock'!$F$3</f>
        <v>3.4291666666666671</v>
      </c>
      <c r="G468" s="295">
        <f>'BD Plant List'!$E470/12*'BD Feedstock'!G$3*'BD Plant List'!AB$5</f>
        <v>1.453125</v>
      </c>
      <c r="H468" s="295">
        <f>'BD Plant List'!$E470/12*'BD Feedstock'!H$3*'BD Plant List'!AC$5</f>
        <v>0.51437500000000003</v>
      </c>
      <c r="I468" s="295">
        <f>'BD Plant List'!F470/12*'BD Feedstock'!I$3*'BD Plant List'!AC$5</f>
        <v>0.13716666666666666</v>
      </c>
      <c r="J468" s="295">
        <f>'BD Plant List'!G470/12*'BD Feedstock'!J$3*'BD Plant List'!AD$5</f>
        <v>0.90199999999999991</v>
      </c>
      <c r="K468" s="295">
        <f>'BD Plant List'!$H470/12*'BD Feedstock'!K$3*'BD Plant List'!AB$5</f>
        <v>0</v>
      </c>
      <c r="L468" s="295">
        <f>'BD Plant List'!$H470/12*'BD Feedstock'!L$3*'BD Plant List'!AC$5</f>
        <v>0</v>
      </c>
      <c r="M468" s="295">
        <f>'BD Plant List'!$I470/12*'BD Feedstock'!$M$3*'BD Plant List'!AC$5</f>
        <v>3.4291666666666671</v>
      </c>
      <c r="N468" s="295">
        <f>'BD Plant List'!$J470/12*'BD Feedstock'!N$3*'BD Plant List'!AC$5</f>
        <v>0</v>
      </c>
      <c r="O468" s="295">
        <f>'BD Plant List'!$K470/12*'BD Feedstock'!O$3*'BD Plant List'!AC$5</f>
        <v>0</v>
      </c>
      <c r="P468" s="295">
        <f>'BD Plant List'!$L470/12*'BD Feedstock'!P$3*'BD Plant List'!AE$5</f>
        <v>0</v>
      </c>
      <c r="Q468" s="295">
        <f>'BD Plant List'!$M470/12*'BD Feedstock'!Q$3*'BD Plant List'!AE$5</f>
        <v>0.93125000000000002</v>
      </c>
      <c r="R468" s="295">
        <f>'BD Plant List'!$N470/12*'BD Feedstock'!R$3*'BD Plant List'!AE$5</f>
        <v>26.540625000000002</v>
      </c>
      <c r="S468" s="295">
        <f>'BD Plant List'!$N470/12*'BD Feedstock'!S$3*'BD Plant List'!AF$5</f>
        <v>1.40625</v>
      </c>
      <c r="T468" s="295">
        <f>'BD Plant List'!$O470/12*'BD Feedstock'!T$3*'BD Plant List'!AB$5</f>
        <v>8.5732126770944213</v>
      </c>
      <c r="U468" s="295">
        <f>'BD Plant List'!$O470/12*'BD Feedstock'!U$3*'BD Plant List'!AC$5</f>
        <v>3.0347329175263269</v>
      </c>
    </row>
    <row r="469" spans="1:21" ht="18">
      <c r="A469" s="293">
        <v>53966</v>
      </c>
      <c r="B469" s="295">
        <f>'BD Plant List'!B471/12*'BD Plant List'!$AE$5*$B$3</f>
        <v>43.458333333333336</v>
      </c>
      <c r="C469" s="295">
        <f>'BD Plant List'!$C471/12*'BD Plant List'!$AB$5*'BD Feedstock'!$D$3</f>
        <v>2.098958333333333</v>
      </c>
      <c r="D469" s="295">
        <f>'BD Plant List'!$C471/12*'BD Plant List'!$AC$5*'BD Feedstock'!$D$3</f>
        <v>2.2289583333333334</v>
      </c>
      <c r="E469" s="295">
        <f>'BD Plant List'!$D471/12*'BD Plant List'!AB$5*'BD Feedstock'!$E$3</f>
        <v>9.6875</v>
      </c>
      <c r="F469" s="295">
        <f>'BD Plant List'!$D471/12*'BD Plant List'!AC$5*'BD Feedstock'!$F$3</f>
        <v>3.4291666666666671</v>
      </c>
      <c r="G469" s="295">
        <f>'BD Plant List'!$E471/12*'BD Feedstock'!G$3*'BD Plant List'!AB$5</f>
        <v>1.453125</v>
      </c>
      <c r="H469" s="295">
        <f>'BD Plant List'!$E471/12*'BD Feedstock'!H$3*'BD Plant List'!AC$5</f>
        <v>0.51437500000000003</v>
      </c>
      <c r="I469" s="295">
        <f>'BD Plant List'!F471/12*'BD Feedstock'!I$3*'BD Plant List'!AC$5</f>
        <v>0.13716666666666666</v>
      </c>
      <c r="J469" s="295">
        <f>'BD Plant List'!G471/12*'BD Feedstock'!J$3*'BD Plant List'!AD$5</f>
        <v>0.90199999999999991</v>
      </c>
      <c r="K469" s="295">
        <f>'BD Plant List'!$H471/12*'BD Feedstock'!K$3*'BD Plant List'!AB$5</f>
        <v>0</v>
      </c>
      <c r="L469" s="295">
        <f>'BD Plant List'!$H471/12*'BD Feedstock'!L$3*'BD Plant List'!AC$5</f>
        <v>0</v>
      </c>
      <c r="M469" s="295">
        <f>'BD Plant List'!$I471/12*'BD Feedstock'!$M$3*'BD Plant List'!AC$5</f>
        <v>3.4291666666666671</v>
      </c>
      <c r="N469" s="295">
        <f>'BD Plant List'!$J471/12*'BD Feedstock'!N$3*'BD Plant List'!AC$5</f>
        <v>0</v>
      </c>
      <c r="O469" s="295">
        <f>'BD Plant List'!$K471/12*'BD Feedstock'!O$3*'BD Plant List'!AC$5</f>
        <v>0</v>
      </c>
      <c r="P469" s="295">
        <f>'BD Plant List'!$L471/12*'BD Feedstock'!P$3*'BD Plant List'!AE$5</f>
        <v>0</v>
      </c>
      <c r="Q469" s="295">
        <f>'BD Plant List'!$M471/12*'BD Feedstock'!Q$3*'BD Plant List'!AE$5</f>
        <v>0.93125000000000002</v>
      </c>
      <c r="R469" s="295">
        <f>'BD Plant List'!$N471/12*'BD Feedstock'!R$3*'BD Plant List'!AE$5</f>
        <v>26.540625000000002</v>
      </c>
      <c r="S469" s="295">
        <f>'BD Plant List'!$N471/12*'BD Feedstock'!S$3*'BD Plant List'!AF$5</f>
        <v>1.40625</v>
      </c>
      <c r="T469" s="295">
        <f>'BD Plant List'!$O471/12*'BD Feedstock'!T$3*'BD Plant List'!AB$5</f>
        <v>8.5732126770944213</v>
      </c>
      <c r="U469" s="295">
        <f>'BD Plant List'!$O471/12*'BD Feedstock'!U$3*'BD Plant List'!AC$5</f>
        <v>3.0347329175263269</v>
      </c>
    </row>
    <row r="470" spans="1:21" ht="18">
      <c r="A470" s="293">
        <v>53997</v>
      </c>
      <c r="B470" s="295">
        <f>'BD Plant List'!B472/12*'BD Plant List'!$AE$5*$B$3</f>
        <v>43.458333333333336</v>
      </c>
      <c r="C470" s="295">
        <f>'BD Plant List'!$C472/12*'BD Plant List'!$AB$5*'BD Feedstock'!$D$3</f>
        <v>2.098958333333333</v>
      </c>
      <c r="D470" s="295">
        <f>'BD Plant List'!$C472/12*'BD Plant List'!$AC$5*'BD Feedstock'!$D$3</f>
        <v>2.2289583333333334</v>
      </c>
      <c r="E470" s="295">
        <f>'BD Plant List'!$D472/12*'BD Plant List'!AB$5*'BD Feedstock'!$E$3</f>
        <v>9.6875</v>
      </c>
      <c r="F470" s="295">
        <f>'BD Plant List'!$D472/12*'BD Plant List'!AC$5*'BD Feedstock'!$F$3</f>
        <v>3.4291666666666671</v>
      </c>
      <c r="G470" s="295">
        <f>'BD Plant List'!$E472/12*'BD Feedstock'!G$3*'BD Plant List'!AB$5</f>
        <v>1.453125</v>
      </c>
      <c r="H470" s="295">
        <f>'BD Plant List'!$E472/12*'BD Feedstock'!H$3*'BD Plant List'!AC$5</f>
        <v>0.51437500000000003</v>
      </c>
      <c r="I470" s="295">
        <f>'BD Plant List'!F472/12*'BD Feedstock'!I$3*'BD Plant List'!AC$5</f>
        <v>0.13716666666666666</v>
      </c>
      <c r="J470" s="295">
        <f>'BD Plant List'!G472/12*'BD Feedstock'!J$3*'BD Plant List'!AD$5</f>
        <v>0.90199999999999991</v>
      </c>
      <c r="K470" s="295">
        <f>'BD Plant List'!$H472/12*'BD Feedstock'!K$3*'BD Plant List'!AB$5</f>
        <v>0</v>
      </c>
      <c r="L470" s="295">
        <f>'BD Plant List'!$H472/12*'BD Feedstock'!L$3*'BD Plant List'!AC$5</f>
        <v>0</v>
      </c>
      <c r="M470" s="295">
        <f>'BD Plant List'!$I472/12*'BD Feedstock'!$M$3*'BD Plant List'!AC$5</f>
        <v>3.4291666666666671</v>
      </c>
      <c r="N470" s="295">
        <f>'BD Plant List'!$J472/12*'BD Feedstock'!N$3*'BD Plant List'!AC$5</f>
        <v>0</v>
      </c>
      <c r="O470" s="295">
        <f>'BD Plant List'!$K472/12*'BD Feedstock'!O$3*'BD Plant List'!AC$5</f>
        <v>0</v>
      </c>
      <c r="P470" s="295">
        <f>'BD Plant List'!$L472/12*'BD Feedstock'!P$3*'BD Plant List'!AE$5</f>
        <v>0</v>
      </c>
      <c r="Q470" s="295">
        <f>'BD Plant List'!$M472/12*'BD Feedstock'!Q$3*'BD Plant List'!AE$5</f>
        <v>0.93125000000000002</v>
      </c>
      <c r="R470" s="295">
        <f>'BD Plant List'!$N472/12*'BD Feedstock'!R$3*'BD Plant List'!AE$5</f>
        <v>26.540625000000002</v>
      </c>
      <c r="S470" s="295">
        <f>'BD Plant List'!$N472/12*'BD Feedstock'!S$3*'BD Plant List'!AF$5</f>
        <v>1.40625</v>
      </c>
      <c r="T470" s="295">
        <f>'BD Plant List'!$O472/12*'BD Feedstock'!T$3*'BD Plant List'!AB$5</f>
        <v>8.5732126770944213</v>
      </c>
      <c r="U470" s="295">
        <f>'BD Plant List'!$O472/12*'BD Feedstock'!U$3*'BD Plant List'!AC$5</f>
        <v>3.0347329175263269</v>
      </c>
    </row>
    <row r="471" spans="1:21" ht="18">
      <c r="A471" s="293">
        <v>54027</v>
      </c>
      <c r="B471" s="295">
        <f>'BD Plant List'!B473/12*'BD Plant List'!$AE$5*$B$3</f>
        <v>43.458333333333336</v>
      </c>
      <c r="C471" s="295">
        <f>'BD Plant List'!$C473/12*'BD Plant List'!$AB$5*'BD Feedstock'!$D$3</f>
        <v>2.098958333333333</v>
      </c>
      <c r="D471" s="295">
        <f>'BD Plant List'!$C473/12*'BD Plant List'!$AC$5*'BD Feedstock'!$D$3</f>
        <v>2.2289583333333334</v>
      </c>
      <c r="E471" s="295">
        <f>'BD Plant List'!$D473/12*'BD Plant List'!AB$5*'BD Feedstock'!$E$3</f>
        <v>9.6875</v>
      </c>
      <c r="F471" s="295">
        <f>'BD Plant List'!$D473/12*'BD Plant List'!AC$5*'BD Feedstock'!$F$3</f>
        <v>3.4291666666666671</v>
      </c>
      <c r="G471" s="295">
        <f>'BD Plant List'!$E473/12*'BD Feedstock'!G$3*'BD Plant List'!AB$5</f>
        <v>1.453125</v>
      </c>
      <c r="H471" s="295">
        <f>'BD Plant List'!$E473/12*'BD Feedstock'!H$3*'BD Plant List'!AC$5</f>
        <v>0.51437500000000003</v>
      </c>
      <c r="I471" s="295">
        <f>'BD Plant List'!F473/12*'BD Feedstock'!I$3*'BD Plant List'!AC$5</f>
        <v>0.13716666666666666</v>
      </c>
      <c r="J471" s="295">
        <f>'BD Plant List'!G473/12*'BD Feedstock'!J$3*'BD Plant List'!AD$5</f>
        <v>0.90199999999999991</v>
      </c>
      <c r="K471" s="295">
        <f>'BD Plant List'!$H473/12*'BD Feedstock'!K$3*'BD Plant List'!AB$5</f>
        <v>0</v>
      </c>
      <c r="L471" s="295">
        <f>'BD Plant List'!$H473/12*'BD Feedstock'!L$3*'BD Plant List'!AC$5</f>
        <v>0</v>
      </c>
      <c r="M471" s="295">
        <f>'BD Plant List'!$I473/12*'BD Feedstock'!$M$3*'BD Plant List'!AC$5</f>
        <v>3.4291666666666671</v>
      </c>
      <c r="N471" s="295">
        <f>'BD Plant List'!$J473/12*'BD Feedstock'!N$3*'BD Plant List'!AC$5</f>
        <v>0</v>
      </c>
      <c r="O471" s="295">
        <f>'BD Plant List'!$K473/12*'BD Feedstock'!O$3*'BD Plant List'!AC$5</f>
        <v>0</v>
      </c>
      <c r="P471" s="295">
        <f>'BD Plant List'!$L473/12*'BD Feedstock'!P$3*'BD Plant List'!AE$5</f>
        <v>0</v>
      </c>
      <c r="Q471" s="295">
        <f>'BD Plant List'!$M473/12*'BD Feedstock'!Q$3*'BD Plant List'!AE$5</f>
        <v>0.93125000000000002</v>
      </c>
      <c r="R471" s="295">
        <f>'BD Plant List'!$N473/12*'BD Feedstock'!R$3*'BD Plant List'!AE$5</f>
        <v>26.540625000000002</v>
      </c>
      <c r="S471" s="295">
        <f>'BD Plant List'!$N473/12*'BD Feedstock'!S$3*'BD Plant List'!AF$5</f>
        <v>1.40625</v>
      </c>
      <c r="T471" s="295">
        <f>'BD Plant List'!$O473/12*'BD Feedstock'!T$3*'BD Plant List'!AB$5</f>
        <v>8.5732126770944213</v>
      </c>
      <c r="U471" s="295">
        <f>'BD Plant List'!$O473/12*'BD Feedstock'!U$3*'BD Plant List'!AC$5</f>
        <v>3.0347329175263269</v>
      </c>
    </row>
    <row r="472" spans="1:21" ht="18">
      <c r="A472" s="293">
        <v>54058</v>
      </c>
      <c r="B472" s="295">
        <f>'BD Plant List'!B474/12*'BD Plant List'!$AE$5*$B$3</f>
        <v>43.458333333333336</v>
      </c>
      <c r="C472" s="295">
        <f>'BD Plant List'!$C474/12*'BD Plant List'!$AB$5*'BD Feedstock'!$D$3</f>
        <v>2.098958333333333</v>
      </c>
      <c r="D472" s="295">
        <f>'BD Plant List'!$C474/12*'BD Plant List'!$AC$5*'BD Feedstock'!$D$3</f>
        <v>2.2289583333333334</v>
      </c>
      <c r="E472" s="295">
        <f>'BD Plant List'!$D474/12*'BD Plant List'!AB$5*'BD Feedstock'!$E$3</f>
        <v>9.6875</v>
      </c>
      <c r="F472" s="295">
        <f>'BD Plant List'!$D474/12*'BD Plant List'!AC$5*'BD Feedstock'!$F$3</f>
        <v>3.4291666666666671</v>
      </c>
      <c r="G472" s="295">
        <f>'BD Plant List'!$E474/12*'BD Feedstock'!G$3*'BD Plant List'!AB$5</f>
        <v>1.453125</v>
      </c>
      <c r="H472" s="295">
        <f>'BD Plant List'!$E474/12*'BD Feedstock'!H$3*'BD Plant List'!AC$5</f>
        <v>0.51437500000000003</v>
      </c>
      <c r="I472" s="295">
        <f>'BD Plant List'!F474/12*'BD Feedstock'!I$3*'BD Plant List'!AC$5</f>
        <v>0.13716666666666666</v>
      </c>
      <c r="J472" s="295">
        <f>'BD Plant List'!G474/12*'BD Feedstock'!J$3*'BD Plant List'!AD$5</f>
        <v>0.90199999999999991</v>
      </c>
      <c r="K472" s="295">
        <f>'BD Plant List'!$H474/12*'BD Feedstock'!K$3*'BD Plant List'!AB$5</f>
        <v>0</v>
      </c>
      <c r="L472" s="295">
        <f>'BD Plant List'!$H474/12*'BD Feedstock'!L$3*'BD Plant List'!AC$5</f>
        <v>0</v>
      </c>
      <c r="M472" s="295">
        <f>'BD Plant List'!$I474/12*'BD Feedstock'!$M$3*'BD Plant List'!AC$5</f>
        <v>3.4291666666666671</v>
      </c>
      <c r="N472" s="295">
        <f>'BD Plant List'!$J474/12*'BD Feedstock'!N$3*'BD Plant List'!AC$5</f>
        <v>0</v>
      </c>
      <c r="O472" s="295">
        <f>'BD Plant List'!$K474/12*'BD Feedstock'!O$3*'BD Plant List'!AC$5</f>
        <v>0</v>
      </c>
      <c r="P472" s="295">
        <f>'BD Plant List'!$L474/12*'BD Feedstock'!P$3*'BD Plant List'!AE$5</f>
        <v>0</v>
      </c>
      <c r="Q472" s="295">
        <f>'BD Plant List'!$M474/12*'BD Feedstock'!Q$3*'BD Plant List'!AE$5</f>
        <v>0.93125000000000002</v>
      </c>
      <c r="R472" s="295">
        <f>'BD Plant List'!$N474/12*'BD Feedstock'!R$3*'BD Plant List'!AE$5</f>
        <v>26.540625000000002</v>
      </c>
      <c r="S472" s="295">
        <f>'BD Plant List'!$N474/12*'BD Feedstock'!S$3*'BD Plant List'!AF$5</f>
        <v>1.40625</v>
      </c>
      <c r="T472" s="295">
        <f>'BD Plant List'!$O474/12*'BD Feedstock'!T$3*'BD Plant List'!AB$5</f>
        <v>8.5732126770944213</v>
      </c>
      <c r="U472" s="295">
        <f>'BD Plant List'!$O474/12*'BD Feedstock'!U$3*'BD Plant List'!AC$5</f>
        <v>3.0347329175263269</v>
      </c>
    </row>
    <row r="473" spans="1:21" ht="18">
      <c r="A473" s="293">
        <v>54089</v>
      </c>
      <c r="B473" s="295">
        <f>'BD Plant List'!B475/12*'BD Plant List'!$AE$5*$B$3</f>
        <v>43.458333333333336</v>
      </c>
      <c r="C473" s="295">
        <f>'BD Plant List'!$C475/12*'BD Plant List'!$AB$5*'BD Feedstock'!$D$3</f>
        <v>2.098958333333333</v>
      </c>
      <c r="D473" s="295">
        <f>'BD Plant List'!$C475/12*'BD Plant List'!$AC$5*'BD Feedstock'!$D$3</f>
        <v>2.2289583333333334</v>
      </c>
      <c r="E473" s="295">
        <f>'BD Plant List'!$D475/12*'BD Plant List'!AB$5*'BD Feedstock'!$E$3</f>
        <v>9.6875</v>
      </c>
      <c r="F473" s="295">
        <f>'BD Plant List'!$D475/12*'BD Plant List'!AC$5*'BD Feedstock'!$F$3</f>
        <v>3.4291666666666671</v>
      </c>
      <c r="G473" s="295">
        <f>'BD Plant List'!$E475/12*'BD Feedstock'!G$3*'BD Plant List'!AB$5</f>
        <v>1.453125</v>
      </c>
      <c r="H473" s="295">
        <f>'BD Plant List'!$E475/12*'BD Feedstock'!H$3*'BD Plant List'!AC$5</f>
        <v>0.51437500000000003</v>
      </c>
      <c r="I473" s="295">
        <f>'BD Plant List'!F475/12*'BD Feedstock'!I$3*'BD Plant List'!AC$5</f>
        <v>0.13716666666666666</v>
      </c>
      <c r="J473" s="295">
        <f>'BD Plant List'!G475/12*'BD Feedstock'!J$3*'BD Plant List'!AD$5</f>
        <v>0.90199999999999991</v>
      </c>
      <c r="K473" s="295">
        <f>'BD Plant List'!$H475/12*'BD Feedstock'!K$3*'BD Plant List'!AB$5</f>
        <v>0</v>
      </c>
      <c r="L473" s="295">
        <f>'BD Plant List'!$H475/12*'BD Feedstock'!L$3*'BD Plant List'!AC$5</f>
        <v>0</v>
      </c>
      <c r="M473" s="295">
        <f>'BD Plant List'!$I475/12*'BD Feedstock'!$M$3*'BD Plant List'!AC$5</f>
        <v>3.4291666666666671</v>
      </c>
      <c r="N473" s="295">
        <f>'BD Plant List'!$J475/12*'BD Feedstock'!N$3*'BD Plant List'!AC$5</f>
        <v>0</v>
      </c>
      <c r="O473" s="295">
        <f>'BD Plant List'!$K475/12*'BD Feedstock'!O$3*'BD Plant List'!AC$5</f>
        <v>0</v>
      </c>
      <c r="P473" s="295">
        <f>'BD Plant List'!$L475/12*'BD Feedstock'!P$3*'BD Plant List'!AE$5</f>
        <v>0</v>
      </c>
      <c r="Q473" s="295">
        <f>'BD Plant List'!$M475/12*'BD Feedstock'!Q$3*'BD Plant List'!AE$5</f>
        <v>0.93125000000000002</v>
      </c>
      <c r="R473" s="295">
        <f>'BD Plant List'!$N475/12*'BD Feedstock'!R$3*'BD Plant List'!AE$5</f>
        <v>26.540625000000002</v>
      </c>
      <c r="S473" s="295">
        <f>'BD Plant List'!$N475/12*'BD Feedstock'!S$3*'BD Plant List'!AF$5</f>
        <v>1.40625</v>
      </c>
      <c r="T473" s="295">
        <f>'BD Plant List'!$O475/12*'BD Feedstock'!T$3*'BD Plant List'!AB$5</f>
        <v>8.5732126770944213</v>
      </c>
      <c r="U473" s="295">
        <f>'BD Plant List'!$O475/12*'BD Feedstock'!U$3*'BD Plant List'!AC$5</f>
        <v>3.0347329175263269</v>
      </c>
    </row>
    <row r="474" spans="1:21" ht="18">
      <c r="A474" s="293">
        <v>54118</v>
      </c>
      <c r="B474" s="295">
        <f>'BD Plant List'!B476/12*'BD Plant List'!$AE$5*$B$3</f>
        <v>43.458333333333336</v>
      </c>
      <c r="C474" s="295">
        <f>'BD Plant List'!$C476/12*'BD Plant List'!$AB$5*'BD Feedstock'!$D$3</f>
        <v>2.098958333333333</v>
      </c>
      <c r="D474" s="295">
        <f>'BD Plant List'!$C476/12*'BD Plant List'!$AC$5*'BD Feedstock'!$D$3</f>
        <v>2.2289583333333334</v>
      </c>
      <c r="E474" s="295">
        <f>'BD Plant List'!$D476/12*'BD Plant List'!AB$5*'BD Feedstock'!$E$3</f>
        <v>9.6875</v>
      </c>
      <c r="F474" s="295">
        <f>'BD Plant List'!$D476/12*'BD Plant List'!AC$5*'BD Feedstock'!$F$3</f>
        <v>3.4291666666666671</v>
      </c>
      <c r="G474" s="295">
        <f>'BD Plant List'!$E476/12*'BD Feedstock'!G$3*'BD Plant List'!AB$5</f>
        <v>1.453125</v>
      </c>
      <c r="H474" s="295">
        <f>'BD Plant List'!$E476/12*'BD Feedstock'!H$3*'BD Plant List'!AC$5</f>
        <v>0.51437500000000003</v>
      </c>
      <c r="I474" s="295">
        <f>'BD Plant List'!F476/12*'BD Feedstock'!I$3*'BD Plant List'!AC$5</f>
        <v>0.13716666666666666</v>
      </c>
      <c r="J474" s="295">
        <f>'BD Plant List'!G476/12*'BD Feedstock'!J$3*'BD Plant List'!AD$5</f>
        <v>0.90199999999999991</v>
      </c>
      <c r="K474" s="295">
        <f>'BD Plant List'!$H476/12*'BD Feedstock'!K$3*'BD Plant List'!AB$5</f>
        <v>0</v>
      </c>
      <c r="L474" s="295">
        <f>'BD Plant List'!$H476/12*'BD Feedstock'!L$3*'BD Plant List'!AC$5</f>
        <v>0</v>
      </c>
      <c r="M474" s="295">
        <f>'BD Plant List'!$I476/12*'BD Feedstock'!$M$3*'BD Plant List'!AC$5</f>
        <v>3.4291666666666671</v>
      </c>
      <c r="N474" s="295">
        <f>'BD Plant List'!$J476/12*'BD Feedstock'!N$3*'BD Plant List'!AC$5</f>
        <v>0</v>
      </c>
      <c r="O474" s="295">
        <f>'BD Plant List'!$K476/12*'BD Feedstock'!O$3*'BD Plant List'!AC$5</f>
        <v>0</v>
      </c>
      <c r="P474" s="295">
        <f>'BD Plant List'!$L476/12*'BD Feedstock'!P$3*'BD Plant List'!AE$5</f>
        <v>0</v>
      </c>
      <c r="Q474" s="295">
        <f>'BD Plant List'!$M476/12*'BD Feedstock'!Q$3*'BD Plant List'!AE$5</f>
        <v>0.93125000000000002</v>
      </c>
      <c r="R474" s="295">
        <f>'BD Plant List'!$N476/12*'BD Feedstock'!R$3*'BD Plant List'!AE$5</f>
        <v>26.540625000000002</v>
      </c>
      <c r="S474" s="295">
        <f>'BD Plant List'!$N476/12*'BD Feedstock'!S$3*'BD Plant List'!AF$5</f>
        <v>1.40625</v>
      </c>
      <c r="T474" s="295">
        <f>'BD Plant List'!$O476/12*'BD Feedstock'!T$3*'BD Plant List'!AB$5</f>
        <v>8.5732126770944213</v>
      </c>
      <c r="U474" s="295">
        <f>'BD Plant List'!$O476/12*'BD Feedstock'!U$3*'BD Plant List'!AC$5</f>
        <v>3.0347329175263269</v>
      </c>
    </row>
    <row r="475" spans="1:21" ht="18">
      <c r="A475" s="293">
        <v>54149</v>
      </c>
      <c r="B475" s="295">
        <f>'BD Plant List'!B477/12*'BD Plant List'!$AE$5*$B$3</f>
        <v>43.458333333333336</v>
      </c>
      <c r="C475" s="295">
        <f>'BD Plant List'!$C477/12*'BD Plant List'!$AB$5*'BD Feedstock'!$D$3</f>
        <v>2.098958333333333</v>
      </c>
      <c r="D475" s="295">
        <f>'BD Plant List'!$C477/12*'BD Plant List'!$AC$5*'BD Feedstock'!$D$3</f>
        <v>2.2289583333333334</v>
      </c>
      <c r="E475" s="295">
        <f>'BD Plant List'!$D477/12*'BD Plant List'!AB$5*'BD Feedstock'!$E$3</f>
        <v>9.6875</v>
      </c>
      <c r="F475" s="295">
        <f>'BD Plant List'!$D477/12*'BD Plant List'!AC$5*'BD Feedstock'!$F$3</f>
        <v>3.4291666666666671</v>
      </c>
      <c r="G475" s="295">
        <f>'BD Plant List'!$E477/12*'BD Feedstock'!G$3*'BD Plant List'!AB$5</f>
        <v>1.453125</v>
      </c>
      <c r="H475" s="295">
        <f>'BD Plant List'!$E477/12*'BD Feedstock'!H$3*'BD Plant List'!AC$5</f>
        <v>0.51437500000000003</v>
      </c>
      <c r="I475" s="295">
        <f>'BD Plant List'!F477/12*'BD Feedstock'!I$3*'BD Plant List'!AC$5</f>
        <v>0.13716666666666666</v>
      </c>
      <c r="J475" s="295">
        <f>'BD Plant List'!G477/12*'BD Feedstock'!J$3*'BD Plant List'!AD$5</f>
        <v>0.90199999999999991</v>
      </c>
      <c r="K475" s="295">
        <f>'BD Plant List'!$H477/12*'BD Feedstock'!K$3*'BD Plant List'!AB$5</f>
        <v>0</v>
      </c>
      <c r="L475" s="295">
        <f>'BD Plant List'!$H477/12*'BD Feedstock'!L$3*'BD Plant List'!AC$5</f>
        <v>0</v>
      </c>
      <c r="M475" s="295">
        <f>'BD Plant List'!$I477/12*'BD Feedstock'!$M$3*'BD Plant List'!AC$5</f>
        <v>3.4291666666666671</v>
      </c>
      <c r="N475" s="295">
        <f>'BD Plant List'!$J477/12*'BD Feedstock'!N$3*'BD Plant List'!AC$5</f>
        <v>0</v>
      </c>
      <c r="O475" s="295">
        <f>'BD Plant List'!$K477/12*'BD Feedstock'!O$3*'BD Plant List'!AC$5</f>
        <v>0</v>
      </c>
      <c r="P475" s="295">
        <f>'BD Plant List'!$L477/12*'BD Feedstock'!P$3*'BD Plant List'!AE$5</f>
        <v>0</v>
      </c>
      <c r="Q475" s="295">
        <f>'BD Plant List'!$M477/12*'BD Feedstock'!Q$3*'BD Plant List'!AE$5</f>
        <v>0.93125000000000002</v>
      </c>
      <c r="R475" s="295">
        <f>'BD Plant List'!$N477/12*'BD Feedstock'!R$3*'BD Plant List'!AE$5</f>
        <v>26.540625000000002</v>
      </c>
      <c r="S475" s="295">
        <f>'BD Plant List'!$N477/12*'BD Feedstock'!S$3*'BD Plant List'!AF$5</f>
        <v>1.40625</v>
      </c>
      <c r="T475" s="295">
        <f>'BD Plant List'!$O477/12*'BD Feedstock'!T$3*'BD Plant List'!AB$5</f>
        <v>8.5732126770944213</v>
      </c>
      <c r="U475" s="295">
        <f>'BD Plant List'!$O477/12*'BD Feedstock'!U$3*'BD Plant List'!AC$5</f>
        <v>3.0347329175263269</v>
      </c>
    </row>
    <row r="476" spans="1:21" ht="18">
      <c r="A476" s="293">
        <v>54179</v>
      </c>
      <c r="B476" s="295">
        <f>'BD Plant List'!B478/12*'BD Plant List'!$AE$5*$B$3</f>
        <v>43.458333333333336</v>
      </c>
      <c r="C476" s="295">
        <f>'BD Plant List'!$C478/12*'BD Plant List'!$AB$5*'BD Feedstock'!$D$3</f>
        <v>2.098958333333333</v>
      </c>
      <c r="D476" s="295">
        <f>'BD Plant List'!$C478/12*'BD Plant List'!$AC$5*'BD Feedstock'!$D$3</f>
        <v>2.2289583333333334</v>
      </c>
      <c r="E476" s="295">
        <f>'BD Plant List'!$D478/12*'BD Plant List'!AB$5*'BD Feedstock'!$E$3</f>
        <v>9.6875</v>
      </c>
      <c r="F476" s="295">
        <f>'BD Plant List'!$D478/12*'BD Plant List'!AC$5*'BD Feedstock'!$F$3</f>
        <v>3.4291666666666671</v>
      </c>
      <c r="G476" s="295">
        <f>'BD Plant List'!$E478/12*'BD Feedstock'!G$3*'BD Plant List'!AB$5</f>
        <v>1.453125</v>
      </c>
      <c r="H476" s="295">
        <f>'BD Plant List'!$E478/12*'BD Feedstock'!H$3*'BD Plant List'!AC$5</f>
        <v>0.51437500000000003</v>
      </c>
      <c r="I476" s="295">
        <f>'BD Plant List'!F478/12*'BD Feedstock'!I$3*'BD Plant List'!AC$5</f>
        <v>0.13716666666666666</v>
      </c>
      <c r="J476" s="295">
        <f>'BD Plant List'!G478/12*'BD Feedstock'!J$3*'BD Plant List'!AD$5</f>
        <v>0.90199999999999991</v>
      </c>
      <c r="K476" s="295">
        <f>'BD Plant List'!$H478/12*'BD Feedstock'!K$3*'BD Plant List'!AB$5</f>
        <v>0</v>
      </c>
      <c r="L476" s="295">
        <f>'BD Plant List'!$H478/12*'BD Feedstock'!L$3*'BD Plant List'!AC$5</f>
        <v>0</v>
      </c>
      <c r="M476" s="295">
        <f>'BD Plant List'!$I478/12*'BD Feedstock'!$M$3*'BD Plant List'!AC$5</f>
        <v>3.4291666666666671</v>
      </c>
      <c r="N476" s="295">
        <f>'BD Plant List'!$J478/12*'BD Feedstock'!N$3*'BD Plant List'!AC$5</f>
        <v>0</v>
      </c>
      <c r="O476" s="295">
        <f>'BD Plant List'!$K478/12*'BD Feedstock'!O$3*'BD Plant List'!AC$5</f>
        <v>0</v>
      </c>
      <c r="P476" s="295">
        <f>'BD Plant List'!$L478/12*'BD Feedstock'!P$3*'BD Plant List'!AE$5</f>
        <v>0</v>
      </c>
      <c r="Q476" s="295">
        <f>'BD Plant List'!$M478/12*'BD Feedstock'!Q$3*'BD Plant List'!AE$5</f>
        <v>0.93125000000000002</v>
      </c>
      <c r="R476" s="295">
        <f>'BD Plant List'!$N478/12*'BD Feedstock'!R$3*'BD Plant List'!AE$5</f>
        <v>26.540625000000002</v>
      </c>
      <c r="S476" s="295">
        <f>'BD Plant List'!$N478/12*'BD Feedstock'!S$3*'BD Plant List'!AF$5</f>
        <v>1.40625</v>
      </c>
      <c r="T476" s="295">
        <f>'BD Plant List'!$O478/12*'BD Feedstock'!T$3*'BD Plant List'!AB$5</f>
        <v>8.5732126770944213</v>
      </c>
      <c r="U476" s="295">
        <f>'BD Plant List'!$O478/12*'BD Feedstock'!U$3*'BD Plant List'!AC$5</f>
        <v>3.0347329175263269</v>
      </c>
    </row>
    <row r="477" spans="1:21" ht="18">
      <c r="A477" s="293">
        <v>54210</v>
      </c>
      <c r="B477" s="295">
        <f>'BD Plant List'!B479/12*'BD Plant List'!$AE$5*$B$3</f>
        <v>43.458333333333336</v>
      </c>
      <c r="C477" s="295">
        <f>'BD Plant List'!$C479/12*'BD Plant List'!$AB$5*'BD Feedstock'!$D$3</f>
        <v>2.098958333333333</v>
      </c>
      <c r="D477" s="295">
        <f>'BD Plant List'!$C479/12*'BD Plant List'!$AC$5*'BD Feedstock'!$D$3</f>
        <v>2.2289583333333334</v>
      </c>
      <c r="E477" s="295">
        <f>'BD Plant List'!$D479/12*'BD Plant List'!AB$5*'BD Feedstock'!$E$3</f>
        <v>9.6875</v>
      </c>
      <c r="F477" s="295">
        <f>'BD Plant List'!$D479/12*'BD Plant List'!AC$5*'BD Feedstock'!$F$3</f>
        <v>3.4291666666666671</v>
      </c>
      <c r="G477" s="295">
        <f>'BD Plant List'!$E479/12*'BD Feedstock'!G$3*'BD Plant List'!AB$5</f>
        <v>1.453125</v>
      </c>
      <c r="H477" s="295">
        <f>'BD Plant List'!$E479/12*'BD Feedstock'!H$3*'BD Plant List'!AC$5</f>
        <v>0.51437500000000003</v>
      </c>
      <c r="I477" s="295">
        <f>'BD Plant List'!F479/12*'BD Feedstock'!I$3*'BD Plant List'!AC$5</f>
        <v>0.13716666666666666</v>
      </c>
      <c r="J477" s="295">
        <f>'BD Plant List'!G479/12*'BD Feedstock'!J$3*'BD Plant List'!AD$5</f>
        <v>0.90199999999999991</v>
      </c>
      <c r="K477" s="295">
        <f>'BD Plant List'!$H479/12*'BD Feedstock'!K$3*'BD Plant List'!AB$5</f>
        <v>0</v>
      </c>
      <c r="L477" s="295">
        <f>'BD Plant List'!$H479/12*'BD Feedstock'!L$3*'BD Plant List'!AC$5</f>
        <v>0</v>
      </c>
      <c r="M477" s="295">
        <f>'BD Plant List'!$I479/12*'BD Feedstock'!$M$3*'BD Plant List'!AC$5</f>
        <v>3.4291666666666671</v>
      </c>
      <c r="N477" s="295">
        <f>'BD Plant List'!$J479/12*'BD Feedstock'!N$3*'BD Plant List'!AC$5</f>
        <v>0</v>
      </c>
      <c r="O477" s="295">
        <f>'BD Plant List'!$K479/12*'BD Feedstock'!O$3*'BD Plant List'!AC$5</f>
        <v>0</v>
      </c>
      <c r="P477" s="295">
        <f>'BD Plant List'!$L479/12*'BD Feedstock'!P$3*'BD Plant List'!AE$5</f>
        <v>0</v>
      </c>
      <c r="Q477" s="295">
        <f>'BD Plant List'!$M479/12*'BD Feedstock'!Q$3*'BD Plant List'!AE$5</f>
        <v>0.93125000000000002</v>
      </c>
      <c r="R477" s="295">
        <f>'BD Plant List'!$N479/12*'BD Feedstock'!R$3*'BD Plant List'!AE$5</f>
        <v>26.540625000000002</v>
      </c>
      <c r="S477" s="295">
        <f>'BD Plant List'!$N479/12*'BD Feedstock'!S$3*'BD Plant List'!AF$5</f>
        <v>1.40625</v>
      </c>
      <c r="T477" s="295">
        <f>'BD Plant List'!$O479/12*'BD Feedstock'!T$3*'BD Plant List'!AB$5</f>
        <v>8.5732126770944213</v>
      </c>
      <c r="U477" s="295">
        <f>'BD Plant List'!$O479/12*'BD Feedstock'!U$3*'BD Plant List'!AC$5</f>
        <v>3.0347329175263269</v>
      </c>
    </row>
    <row r="478" spans="1:21" ht="18">
      <c r="A478" s="293">
        <v>54240</v>
      </c>
      <c r="B478" s="295">
        <f>'BD Plant List'!B480/12*'BD Plant List'!$AE$5*$B$3</f>
        <v>43.458333333333336</v>
      </c>
      <c r="C478" s="295">
        <f>'BD Plant List'!$C480/12*'BD Plant List'!$AB$5*'BD Feedstock'!$D$3</f>
        <v>2.098958333333333</v>
      </c>
      <c r="D478" s="295">
        <f>'BD Plant List'!$C480/12*'BD Plant List'!$AC$5*'BD Feedstock'!$D$3</f>
        <v>2.2289583333333334</v>
      </c>
      <c r="E478" s="295">
        <f>'BD Plant List'!$D480/12*'BD Plant List'!AB$5*'BD Feedstock'!$E$3</f>
        <v>9.6875</v>
      </c>
      <c r="F478" s="295">
        <f>'BD Plant List'!$D480/12*'BD Plant List'!AC$5*'BD Feedstock'!$F$3</f>
        <v>3.4291666666666671</v>
      </c>
      <c r="G478" s="295">
        <f>'BD Plant List'!$E480/12*'BD Feedstock'!G$3*'BD Plant List'!AB$5</f>
        <v>1.453125</v>
      </c>
      <c r="H478" s="295">
        <f>'BD Plant List'!$E480/12*'BD Feedstock'!H$3*'BD Plant List'!AC$5</f>
        <v>0.51437500000000003</v>
      </c>
      <c r="I478" s="295">
        <f>'BD Plant List'!F480/12*'BD Feedstock'!I$3*'BD Plant List'!AC$5</f>
        <v>0.13716666666666666</v>
      </c>
      <c r="J478" s="295">
        <f>'BD Plant List'!G480/12*'BD Feedstock'!J$3*'BD Plant List'!AD$5</f>
        <v>0.90199999999999991</v>
      </c>
      <c r="K478" s="295">
        <f>'BD Plant List'!$H480/12*'BD Feedstock'!K$3*'BD Plant List'!AB$5</f>
        <v>0</v>
      </c>
      <c r="L478" s="295">
        <f>'BD Plant List'!$H480/12*'BD Feedstock'!L$3*'BD Plant List'!AC$5</f>
        <v>0</v>
      </c>
      <c r="M478" s="295">
        <f>'BD Plant List'!$I480/12*'BD Feedstock'!$M$3*'BD Plant List'!AC$5</f>
        <v>3.4291666666666671</v>
      </c>
      <c r="N478" s="295">
        <f>'BD Plant List'!$J480/12*'BD Feedstock'!N$3*'BD Plant List'!AC$5</f>
        <v>0</v>
      </c>
      <c r="O478" s="295">
        <f>'BD Plant List'!$K480/12*'BD Feedstock'!O$3*'BD Plant List'!AC$5</f>
        <v>0</v>
      </c>
      <c r="P478" s="295">
        <f>'BD Plant List'!$L480/12*'BD Feedstock'!P$3*'BD Plant List'!AE$5</f>
        <v>0</v>
      </c>
      <c r="Q478" s="295">
        <f>'BD Plant List'!$M480/12*'BD Feedstock'!Q$3*'BD Plant List'!AE$5</f>
        <v>0.93125000000000002</v>
      </c>
      <c r="R478" s="295">
        <f>'BD Plant List'!$N480/12*'BD Feedstock'!R$3*'BD Plant List'!AE$5</f>
        <v>26.540625000000002</v>
      </c>
      <c r="S478" s="295">
        <f>'BD Plant List'!$N480/12*'BD Feedstock'!S$3*'BD Plant List'!AF$5</f>
        <v>1.40625</v>
      </c>
      <c r="T478" s="295">
        <f>'BD Plant List'!$O480/12*'BD Feedstock'!T$3*'BD Plant List'!AB$5</f>
        <v>8.5732126770944213</v>
      </c>
      <c r="U478" s="295">
        <f>'BD Plant List'!$O480/12*'BD Feedstock'!U$3*'BD Plant List'!AC$5</f>
        <v>3.0347329175263269</v>
      </c>
    </row>
    <row r="479" spans="1:21" ht="18">
      <c r="A479" s="293">
        <v>54271</v>
      </c>
      <c r="B479" s="295">
        <f>'BD Plant List'!B481/12*'BD Plant List'!$AE$5*$B$3</f>
        <v>43.458333333333336</v>
      </c>
      <c r="C479" s="295">
        <f>'BD Plant List'!$C481/12*'BD Plant List'!$AB$5*'BD Feedstock'!$D$3</f>
        <v>2.098958333333333</v>
      </c>
      <c r="D479" s="295">
        <f>'BD Plant List'!$C481/12*'BD Plant List'!$AC$5*'BD Feedstock'!$D$3</f>
        <v>2.2289583333333334</v>
      </c>
      <c r="E479" s="295">
        <f>'BD Plant List'!$D481/12*'BD Plant List'!AB$5*'BD Feedstock'!$E$3</f>
        <v>9.6875</v>
      </c>
      <c r="F479" s="295">
        <f>'BD Plant List'!$D481/12*'BD Plant List'!AC$5*'BD Feedstock'!$F$3</f>
        <v>3.4291666666666671</v>
      </c>
      <c r="G479" s="295">
        <f>'BD Plant List'!$E481/12*'BD Feedstock'!G$3*'BD Plant List'!AB$5</f>
        <v>1.453125</v>
      </c>
      <c r="H479" s="295">
        <f>'BD Plant List'!$E481/12*'BD Feedstock'!H$3*'BD Plant List'!AC$5</f>
        <v>0.51437500000000003</v>
      </c>
      <c r="I479" s="295">
        <f>'BD Plant List'!F481/12*'BD Feedstock'!I$3*'BD Plant List'!AC$5</f>
        <v>0.13716666666666666</v>
      </c>
      <c r="J479" s="295">
        <f>'BD Plant List'!G481/12*'BD Feedstock'!J$3*'BD Plant List'!AD$5</f>
        <v>0.90199999999999991</v>
      </c>
      <c r="K479" s="295">
        <f>'BD Plant List'!$H481/12*'BD Feedstock'!K$3*'BD Plant List'!AB$5</f>
        <v>0</v>
      </c>
      <c r="L479" s="295">
        <f>'BD Plant List'!$H481/12*'BD Feedstock'!L$3*'BD Plant List'!AC$5</f>
        <v>0</v>
      </c>
      <c r="M479" s="295">
        <f>'BD Plant List'!$I481/12*'BD Feedstock'!$M$3*'BD Plant List'!AC$5</f>
        <v>3.4291666666666671</v>
      </c>
      <c r="N479" s="295">
        <f>'BD Plant List'!$J481/12*'BD Feedstock'!N$3*'BD Plant List'!AC$5</f>
        <v>0</v>
      </c>
      <c r="O479" s="295">
        <f>'BD Plant List'!$K481/12*'BD Feedstock'!O$3*'BD Plant List'!AC$5</f>
        <v>0</v>
      </c>
      <c r="P479" s="295">
        <f>'BD Plant List'!$L481/12*'BD Feedstock'!P$3*'BD Plant List'!AE$5</f>
        <v>0</v>
      </c>
      <c r="Q479" s="295">
        <f>'BD Plant List'!$M481/12*'BD Feedstock'!Q$3*'BD Plant List'!AE$5</f>
        <v>0.93125000000000002</v>
      </c>
      <c r="R479" s="295">
        <f>'BD Plant List'!$N481/12*'BD Feedstock'!R$3*'BD Plant List'!AE$5</f>
        <v>26.540625000000002</v>
      </c>
      <c r="S479" s="295">
        <f>'BD Plant List'!$N481/12*'BD Feedstock'!S$3*'BD Plant List'!AF$5</f>
        <v>1.40625</v>
      </c>
      <c r="T479" s="295">
        <f>'BD Plant List'!$O481/12*'BD Feedstock'!T$3*'BD Plant List'!AB$5</f>
        <v>8.5732126770944213</v>
      </c>
      <c r="U479" s="295">
        <f>'BD Plant List'!$O481/12*'BD Feedstock'!U$3*'BD Plant List'!AC$5</f>
        <v>3.0347329175263269</v>
      </c>
    </row>
    <row r="480" spans="1:21" ht="18">
      <c r="A480" s="293">
        <v>54302</v>
      </c>
      <c r="B480" s="295">
        <f>'BD Plant List'!B482/12*'BD Plant List'!$AE$5*$B$3</f>
        <v>43.458333333333336</v>
      </c>
      <c r="C480" s="295">
        <f>'BD Plant List'!$C482/12*'BD Plant List'!$AB$5*'BD Feedstock'!$D$3</f>
        <v>2.098958333333333</v>
      </c>
      <c r="D480" s="295">
        <f>'BD Plant List'!$C482/12*'BD Plant List'!$AC$5*'BD Feedstock'!$D$3</f>
        <v>2.2289583333333334</v>
      </c>
      <c r="E480" s="295">
        <f>'BD Plant List'!$D482/12*'BD Plant List'!AB$5*'BD Feedstock'!$E$3</f>
        <v>9.6875</v>
      </c>
      <c r="F480" s="295">
        <f>'BD Plant List'!$D482/12*'BD Plant List'!AC$5*'BD Feedstock'!$F$3</f>
        <v>3.4291666666666671</v>
      </c>
      <c r="G480" s="295">
        <f>'BD Plant List'!$E482/12*'BD Feedstock'!G$3*'BD Plant List'!AB$5</f>
        <v>1.453125</v>
      </c>
      <c r="H480" s="295">
        <f>'BD Plant List'!$E482/12*'BD Feedstock'!H$3*'BD Plant List'!AC$5</f>
        <v>0.51437500000000003</v>
      </c>
      <c r="I480" s="295">
        <f>'BD Plant List'!F482/12*'BD Feedstock'!I$3*'BD Plant List'!AC$5</f>
        <v>0.13716666666666666</v>
      </c>
      <c r="J480" s="295">
        <f>'BD Plant List'!G482/12*'BD Feedstock'!J$3*'BD Plant List'!AD$5</f>
        <v>0.90199999999999991</v>
      </c>
      <c r="K480" s="295">
        <f>'BD Plant List'!$H482/12*'BD Feedstock'!K$3*'BD Plant List'!AB$5</f>
        <v>0</v>
      </c>
      <c r="L480" s="295">
        <f>'BD Plant List'!$H482/12*'BD Feedstock'!L$3*'BD Plant List'!AC$5</f>
        <v>0</v>
      </c>
      <c r="M480" s="295">
        <f>'BD Plant List'!$I482/12*'BD Feedstock'!$M$3*'BD Plant List'!AC$5</f>
        <v>3.4291666666666671</v>
      </c>
      <c r="N480" s="295">
        <f>'BD Plant List'!$J482/12*'BD Feedstock'!N$3*'BD Plant List'!AC$5</f>
        <v>0</v>
      </c>
      <c r="O480" s="295">
        <f>'BD Plant List'!$K482/12*'BD Feedstock'!O$3*'BD Plant List'!AC$5</f>
        <v>0</v>
      </c>
      <c r="P480" s="295">
        <f>'BD Plant List'!$L482/12*'BD Feedstock'!P$3*'BD Plant List'!AE$5</f>
        <v>0</v>
      </c>
      <c r="Q480" s="295">
        <f>'BD Plant List'!$M482/12*'BD Feedstock'!Q$3*'BD Plant List'!AE$5</f>
        <v>0.93125000000000002</v>
      </c>
      <c r="R480" s="295">
        <f>'BD Plant List'!$N482/12*'BD Feedstock'!R$3*'BD Plant List'!AE$5</f>
        <v>26.540625000000002</v>
      </c>
      <c r="S480" s="295">
        <f>'BD Plant List'!$N482/12*'BD Feedstock'!S$3*'BD Plant List'!AF$5</f>
        <v>1.40625</v>
      </c>
      <c r="T480" s="295">
        <f>'BD Plant List'!$O482/12*'BD Feedstock'!T$3*'BD Plant List'!AB$5</f>
        <v>8.5732126770944213</v>
      </c>
      <c r="U480" s="295">
        <f>'BD Plant List'!$O482/12*'BD Feedstock'!U$3*'BD Plant List'!AC$5</f>
        <v>3.0347329175263269</v>
      </c>
    </row>
    <row r="481" spans="1:21" ht="18">
      <c r="A481" s="293">
        <v>54332</v>
      </c>
      <c r="B481" s="295">
        <f>'BD Plant List'!B483/12*'BD Plant List'!$AE$5*$B$3</f>
        <v>43.458333333333336</v>
      </c>
      <c r="C481" s="295">
        <f>'BD Plant List'!$C483/12*'BD Plant List'!$AB$5*'BD Feedstock'!$D$3</f>
        <v>2.098958333333333</v>
      </c>
      <c r="D481" s="295">
        <f>'BD Plant List'!$C483/12*'BD Plant List'!$AC$5*'BD Feedstock'!$D$3</f>
        <v>2.2289583333333334</v>
      </c>
      <c r="E481" s="295">
        <f>'BD Plant List'!$D483/12*'BD Plant List'!AB$5*'BD Feedstock'!$E$3</f>
        <v>9.6875</v>
      </c>
      <c r="F481" s="295">
        <f>'BD Plant List'!$D483/12*'BD Plant List'!AC$5*'BD Feedstock'!$F$3</f>
        <v>3.4291666666666671</v>
      </c>
      <c r="G481" s="295">
        <f>'BD Plant List'!$E483/12*'BD Feedstock'!G$3*'BD Plant List'!AB$5</f>
        <v>1.453125</v>
      </c>
      <c r="H481" s="295">
        <f>'BD Plant List'!$E483/12*'BD Feedstock'!H$3*'BD Plant List'!AC$5</f>
        <v>0.51437500000000003</v>
      </c>
      <c r="I481" s="295">
        <f>'BD Plant List'!F483/12*'BD Feedstock'!I$3*'BD Plant List'!AC$5</f>
        <v>0.13716666666666666</v>
      </c>
      <c r="J481" s="295">
        <f>'BD Plant List'!G483/12*'BD Feedstock'!J$3*'BD Plant List'!AD$5</f>
        <v>0.90199999999999991</v>
      </c>
      <c r="K481" s="295">
        <f>'BD Plant List'!$H483/12*'BD Feedstock'!K$3*'BD Plant List'!AB$5</f>
        <v>0</v>
      </c>
      <c r="L481" s="295">
        <f>'BD Plant List'!$H483/12*'BD Feedstock'!L$3*'BD Plant List'!AC$5</f>
        <v>0</v>
      </c>
      <c r="M481" s="295">
        <f>'BD Plant List'!$I483/12*'BD Feedstock'!$M$3*'BD Plant List'!AC$5</f>
        <v>3.4291666666666671</v>
      </c>
      <c r="N481" s="295">
        <f>'BD Plant List'!$J483/12*'BD Feedstock'!N$3*'BD Plant List'!AC$5</f>
        <v>0</v>
      </c>
      <c r="O481" s="295">
        <f>'BD Plant List'!$K483/12*'BD Feedstock'!O$3*'BD Plant List'!AC$5</f>
        <v>0</v>
      </c>
      <c r="P481" s="295">
        <f>'BD Plant List'!$L483/12*'BD Feedstock'!P$3*'BD Plant List'!AE$5</f>
        <v>0</v>
      </c>
      <c r="Q481" s="295">
        <f>'BD Plant List'!$M483/12*'BD Feedstock'!Q$3*'BD Plant List'!AE$5</f>
        <v>0.93125000000000002</v>
      </c>
      <c r="R481" s="295">
        <f>'BD Plant List'!$N483/12*'BD Feedstock'!R$3*'BD Plant List'!AE$5</f>
        <v>26.540625000000002</v>
      </c>
      <c r="S481" s="295">
        <f>'BD Plant List'!$N483/12*'BD Feedstock'!S$3*'BD Plant List'!AF$5</f>
        <v>1.40625</v>
      </c>
      <c r="T481" s="295">
        <f>'BD Plant List'!$O483/12*'BD Feedstock'!T$3*'BD Plant List'!AB$5</f>
        <v>8.5732126770944213</v>
      </c>
      <c r="U481" s="295">
        <f>'BD Plant List'!$O483/12*'BD Feedstock'!U$3*'BD Plant List'!AC$5</f>
        <v>3.0347329175263269</v>
      </c>
    </row>
    <row r="482" spans="1:21" ht="18">
      <c r="A482" s="293">
        <v>54363</v>
      </c>
      <c r="B482" s="295">
        <f>'BD Plant List'!B484/12*'BD Plant List'!$AE$5*$B$3</f>
        <v>43.458333333333336</v>
      </c>
      <c r="C482" s="295">
        <f>'BD Plant List'!$C484/12*'BD Plant List'!$AB$5*'BD Feedstock'!$D$3</f>
        <v>2.098958333333333</v>
      </c>
      <c r="D482" s="295">
        <f>'BD Plant List'!$C484/12*'BD Plant List'!$AC$5*'BD Feedstock'!$D$3</f>
        <v>2.2289583333333334</v>
      </c>
      <c r="E482" s="295">
        <f>'BD Plant List'!$D484/12*'BD Plant List'!AB$5*'BD Feedstock'!$E$3</f>
        <v>9.6875</v>
      </c>
      <c r="F482" s="295">
        <f>'BD Plant List'!$D484/12*'BD Plant List'!AC$5*'BD Feedstock'!$F$3</f>
        <v>3.4291666666666671</v>
      </c>
      <c r="G482" s="295">
        <f>'BD Plant List'!$E484/12*'BD Feedstock'!G$3*'BD Plant List'!AB$5</f>
        <v>1.453125</v>
      </c>
      <c r="H482" s="295">
        <f>'BD Plant List'!$E484/12*'BD Feedstock'!H$3*'BD Plant List'!AC$5</f>
        <v>0.51437500000000003</v>
      </c>
      <c r="I482" s="295">
        <f>'BD Plant List'!F484/12*'BD Feedstock'!I$3*'BD Plant List'!AC$5</f>
        <v>0.13716666666666666</v>
      </c>
      <c r="J482" s="295">
        <f>'BD Plant List'!G484/12*'BD Feedstock'!J$3*'BD Plant List'!AD$5</f>
        <v>0.90199999999999991</v>
      </c>
      <c r="K482" s="295">
        <f>'BD Plant List'!$H484/12*'BD Feedstock'!K$3*'BD Plant List'!AB$5</f>
        <v>0</v>
      </c>
      <c r="L482" s="295">
        <f>'BD Plant List'!$H484/12*'BD Feedstock'!L$3*'BD Plant List'!AC$5</f>
        <v>0</v>
      </c>
      <c r="M482" s="295">
        <f>'BD Plant List'!$I484/12*'BD Feedstock'!$M$3*'BD Plant List'!AC$5</f>
        <v>3.4291666666666671</v>
      </c>
      <c r="N482" s="295">
        <f>'BD Plant List'!$J484/12*'BD Feedstock'!N$3*'BD Plant List'!AC$5</f>
        <v>0</v>
      </c>
      <c r="O482" s="295">
        <f>'BD Plant List'!$K484/12*'BD Feedstock'!O$3*'BD Plant List'!AC$5</f>
        <v>0</v>
      </c>
      <c r="P482" s="295">
        <f>'BD Plant List'!$L484/12*'BD Feedstock'!P$3*'BD Plant List'!AE$5</f>
        <v>0</v>
      </c>
      <c r="Q482" s="295">
        <f>'BD Plant List'!$M484/12*'BD Feedstock'!Q$3*'BD Plant List'!AE$5</f>
        <v>0.93125000000000002</v>
      </c>
      <c r="R482" s="295">
        <f>'BD Plant List'!$N484/12*'BD Feedstock'!R$3*'BD Plant List'!AE$5</f>
        <v>26.540625000000002</v>
      </c>
      <c r="S482" s="295">
        <f>'BD Plant List'!$N484/12*'BD Feedstock'!S$3*'BD Plant List'!AF$5</f>
        <v>1.40625</v>
      </c>
      <c r="T482" s="295">
        <f>'BD Plant List'!$O484/12*'BD Feedstock'!T$3*'BD Plant List'!AB$5</f>
        <v>8.5732126770944213</v>
      </c>
      <c r="U482" s="295">
        <f>'BD Plant List'!$O484/12*'BD Feedstock'!U$3*'BD Plant List'!AC$5</f>
        <v>3.0347329175263269</v>
      </c>
    </row>
    <row r="483" spans="1:21" ht="18">
      <c r="A483" s="293">
        <v>54393</v>
      </c>
      <c r="B483" s="295">
        <f>'BD Plant List'!B485/12*'BD Plant List'!$AE$5*$B$3</f>
        <v>43.458333333333336</v>
      </c>
      <c r="C483" s="295">
        <f>'BD Plant List'!$C485/12*'BD Plant List'!$AB$5*'BD Feedstock'!$D$3</f>
        <v>2.098958333333333</v>
      </c>
      <c r="D483" s="295">
        <f>'BD Plant List'!$C485/12*'BD Plant List'!$AC$5*'BD Feedstock'!$D$3</f>
        <v>2.2289583333333334</v>
      </c>
      <c r="E483" s="295">
        <f>'BD Plant List'!$D485/12*'BD Plant List'!AB$5*'BD Feedstock'!$E$3</f>
        <v>9.6875</v>
      </c>
      <c r="F483" s="295">
        <f>'BD Plant List'!$D485/12*'BD Plant List'!AC$5*'BD Feedstock'!$F$3</f>
        <v>3.4291666666666671</v>
      </c>
      <c r="G483" s="295">
        <f>'BD Plant List'!$E485/12*'BD Feedstock'!G$3*'BD Plant List'!AB$5</f>
        <v>1.453125</v>
      </c>
      <c r="H483" s="295">
        <f>'BD Plant List'!$E485/12*'BD Feedstock'!H$3*'BD Plant List'!AC$5</f>
        <v>0.51437500000000003</v>
      </c>
      <c r="I483" s="295">
        <f>'BD Plant List'!F485/12*'BD Feedstock'!I$3*'BD Plant List'!AC$5</f>
        <v>0.13716666666666666</v>
      </c>
      <c r="J483" s="295">
        <f>'BD Plant List'!G485/12*'BD Feedstock'!J$3*'BD Plant List'!AD$5</f>
        <v>0.90199999999999991</v>
      </c>
      <c r="K483" s="295">
        <f>'BD Plant List'!$H485/12*'BD Feedstock'!K$3*'BD Plant List'!AB$5</f>
        <v>0</v>
      </c>
      <c r="L483" s="295">
        <f>'BD Plant List'!$H485/12*'BD Feedstock'!L$3*'BD Plant List'!AC$5</f>
        <v>0</v>
      </c>
      <c r="M483" s="295">
        <f>'BD Plant List'!$I485/12*'BD Feedstock'!$M$3*'BD Plant List'!AC$5</f>
        <v>3.4291666666666671</v>
      </c>
      <c r="N483" s="295">
        <f>'BD Plant List'!$J485/12*'BD Feedstock'!N$3*'BD Plant List'!AC$5</f>
        <v>0</v>
      </c>
      <c r="O483" s="295">
        <f>'BD Plant List'!$K485/12*'BD Feedstock'!O$3*'BD Plant List'!AC$5</f>
        <v>0</v>
      </c>
      <c r="P483" s="295">
        <f>'BD Plant List'!$L485/12*'BD Feedstock'!P$3*'BD Plant List'!AE$5</f>
        <v>0</v>
      </c>
      <c r="Q483" s="295">
        <f>'BD Plant List'!$M485/12*'BD Feedstock'!Q$3*'BD Plant List'!AE$5</f>
        <v>0.93125000000000002</v>
      </c>
      <c r="R483" s="295">
        <f>'BD Plant List'!$N485/12*'BD Feedstock'!R$3*'BD Plant List'!AE$5</f>
        <v>26.540625000000002</v>
      </c>
      <c r="S483" s="295">
        <f>'BD Plant List'!$N485/12*'BD Feedstock'!S$3*'BD Plant List'!AF$5</f>
        <v>1.40625</v>
      </c>
      <c r="T483" s="295">
        <f>'BD Plant List'!$O485/12*'BD Feedstock'!T$3*'BD Plant List'!AB$5</f>
        <v>8.5732126770944213</v>
      </c>
      <c r="U483" s="295">
        <f>'BD Plant List'!$O485/12*'BD Feedstock'!U$3*'BD Plant List'!AC$5</f>
        <v>3.0347329175263269</v>
      </c>
    </row>
    <row r="484" spans="1:21" ht="18">
      <c r="A484" s="293">
        <v>54424</v>
      </c>
      <c r="B484" s="295">
        <f>'BD Plant List'!B486/12*'BD Plant List'!$AE$5*$B$3</f>
        <v>43.458333333333336</v>
      </c>
      <c r="C484" s="295">
        <f>'BD Plant List'!$C486/12*'BD Plant List'!$AB$5*'BD Feedstock'!$D$3</f>
        <v>2.098958333333333</v>
      </c>
      <c r="D484" s="295">
        <f>'BD Plant List'!$C486/12*'BD Plant List'!$AC$5*'BD Feedstock'!$D$3</f>
        <v>2.2289583333333334</v>
      </c>
      <c r="E484" s="295">
        <f>'BD Plant List'!$D486/12*'BD Plant List'!AB$5*'BD Feedstock'!$E$3</f>
        <v>9.6875</v>
      </c>
      <c r="F484" s="295">
        <f>'BD Plant List'!$D486/12*'BD Plant List'!AC$5*'BD Feedstock'!$F$3</f>
        <v>3.4291666666666671</v>
      </c>
      <c r="G484" s="295">
        <f>'BD Plant List'!$E486/12*'BD Feedstock'!G$3*'BD Plant List'!AB$5</f>
        <v>1.453125</v>
      </c>
      <c r="H484" s="295">
        <f>'BD Plant List'!$E486/12*'BD Feedstock'!H$3*'BD Plant List'!AC$5</f>
        <v>0.51437500000000003</v>
      </c>
      <c r="I484" s="295">
        <f>'BD Plant List'!F486/12*'BD Feedstock'!I$3*'BD Plant List'!AC$5</f>
        <v>0.13716666666666666</v>
      </c>
      <c r="J484" s="295">
        <f>'BD Plant List'!G486/12*'BD Feedstock'!J$3*'BD Plant List'!AD$5</f>
        <v>0.90199999999999991</v>
      </c>
      <c r="K484" s="295">
        <f>'BD Plant List'!$H486/12*'BD Feedstock'!K$3*'BD Plant List'!AB$5</f>
        <v>0</v>
      </c>
      <c r="L484" s="295">
        <f>'BD Plant List'!$H486/12*'BD Feedstock'!L$3*'BD Plant List'!AC$5</f>
        <v>0</v>
      </c>
      <c r="M484" s="295">
        <f>'BD Plant List'!$I486/12*'BD Feedstock'!$M$3*'BD Plant List'!AC$5</f>
        <v>3.4291666666666671</v>
      </c>
      <c r="N484" s="295">
        <f>'BD Plant List'!$J486/12*'BD Feedstock'!N$3*'BD Plant List'!AC$5</f>
        <v>0</v>
      </c>
      <c r="O484" s="295">
        <f>'BD Plant List'!$K486/12*'BD Feedstock'!O$3*'BD Plant List'!AC$5</f>
        <v>0</v>
      </c>
      <c r="P484" s="295">
        <f>'BD Plant List'!$L486/12*'BD Feedstock'!P$3*'BD Plant List'!AE$5</f>
        <v>0</v>
      </c>
      <c r="Q484" s="295">
        <f>'BD Plant List'!$M486/12*'BD Feedstock'!Q$3*'BD Plant List'!AE$5</f>
        <v>0.93125000000000002</v>
      </c>
      <c r="R484" s="295">
        <f>'BD Plant List'!$N486/12*'BD Feedstock'!R$3*'BD Plant List'!AE$5</f>
        <v>26.540625000000002</v>
      </c>
      <c r="S484" s="295">
        <f>'BD Plant List'!$N486/12*'BD Feedstock'!S$3*'BD Plant List'!AF$5</f>
        <v>1.40625</v>
      </c>
      <c r="T484" s="295">
        <f>'BD Plant List'!$O486/12*'BD Feedstock'!T$3*'BD Plant List'!AB$5</f>
        <v>8.5732126770944213</v>
      </c>
      <c r="U484" s="295">
        <f>'BD Plant List'!$O486/12*'BD Feedstock'!U$3*'BD Plant List'!AC$5</f>
        <v>3.0347329175263269</v>
      </c>
    </row>
    <row r="485" spans="1:21" ht="18">
      <c r="A485" s="293">
        <v>54455</v>
      </c>
      <c r="B485" s="295">
        <f>'BD Plant List'!B487/12*'BD Plant List'!$AE$5*$B$3</f>
        <v>43.458333333333336</v>
      </c>
      <c r="C485" s="295">
        <f>'BD Plant List'!$C487/12*'BD Plant List'!$AB$5*'BD Feedstock'!$D$3</f>
        <v>2.098958333333333</v>
      </c>
      <c r="D485" s="295">
        <f>'BD Plant List'!$C487/12*'BD Plant List'!$AC$5*'BD Feedstock'!$D$3</f>
        <v>2.2289583333333334</v>
      </c>
      <c r="E485" s="295">
        <f>'BD Plant List'!$D487/12*'BD Plant List'!AB$5*'BD Feedstock'!$E$3</f>
        <v>9.6875</v>
      </c>
      <c r="F485" s="295">
        <f>'BD Plant List'!$D487/12*'BD Plant List'!AC$5*'BD Feedstock'!$F$3</f>
        <v>3.4291666666666671</v>
      </c>
      <c r="G485" s="295">
        <f>'BD Plant List'!$E487/12*'BD Feedstock'!G$3*'BD Plant List'!AB$5</f>
        <v>1.453125</v>
      </c>
      <c r="H485" s="295">
        <f>'BD Plant List'!$E487/12*'BD Feedstock'!H$3*'BD Plant List'!AC$5</f>
        <v>0.51437500000000003</v>
      </c>
      <c r="I485" s="295">
        <f>'BD Plant List'!F487/12*'BD Feedstock'!I$3*'BD Plant List'!AC$5</f>
        <v>0.13716666666666666</v>
      </c>
      <c r="J485" s="295">
        <f>'BD Plant List'!G487/12*'BD Feedstock'!J$3*'BD Plant List'!AD$5</f>
        <v>0.90199999999999991</v>
      </c>
      <c r="K485" s="295">
        <f>'BD Plant List'!$H487/12*'BD Feedstock'!K$3*'BD Plant List'!AB$5</f>
        <v>0</v>
      </c>
      <c r="L485" s="295">
        <f>'BD Plant List'!$H487/12*'BD Feedstock'!L$3*'BD Plant List'!AC$5</f>
        <v>0</v>
      </c>
      <c r="M485" s="295">
        <f>'BD Plant List'!$I487/12*'BD Feedstock'!$M$3*'BD Plant List'!AC$5</f>
        <v>3.4291666666666671</v>
      </c>
      <c r="N485" s="295">
        <f>'BD Plant List'!$J487/12*'BD Feedstock'!N$3*'BD Plant List'!AC$5</f>
        <v>0</v>
      </c>
      <c r="O485" s="295">
        <f>'BD Plant List'!$K487/12*'BD Feedstock'!O$3*'BD Plant List'!AC$5</f>
        <v>0</v>
      </c>
      <c r="P485" s="295">
        <f>'BD Plant List'!$L487/12*'BD Feedstock'!P$3*'BD Plant List'!AE$5</f>
        <v>0</v>
      </c>
      <c r="Q485" s="295">
        <f>'BD Plant List'!$M487/12*'BD Feedstock'!Q$3*'BD Plant List'!AE$5</f>
        <v>0.93125000000000002</v>
      </c>
      <c r="R485" s="295">
        <f>'BD Plant List'!$N487/12*'BD Feedstock'!R$3*'BD Plant List'!AE$5</f>
        <v>26.540625000000002</v>
      </c>
      <c r="S485" s="295">
        <f>'BD Plant List'!$N487/12*'BD Feedstock'!S$3*'BD Plant List'!AF$5</f>
        <v>1.40625</v>
      </c>
      <c r="T485" s="295">
        <f>'BD Plant List'!$O487/12*'BD Feedstock'!T$3*'BD Plant List'!AB$5</f>
        <v>8.5732126770944213</v>
      </c>
      <c r="U485" s="295">
        <f>'BD Plant List'!$O487/12*'BD Feedstock'!U$3*'BD Plant List'!AC$5</f>
        <v>3.0347329175263269</v>
      </c>
    </row>
    <row r="486" spans="1:21" ht="18">
      <c r="A486" s="293">
        <v>54483</v>
      </c>
      <c r="B486" s="295">
        <f>'BD Plant List'!B488/12*'BD Plant List'!$AE$5*$B$3</f>
        <v>43.458333333333336</v>
      </c>
      <c r="C486" s="295">
        <f>'BD Plant List'!$C488/12*'BD Plant List'!$AB$5*'BD Feedstock'!$D$3</f>
        <v>2.098958333333333</v>
      </c>
      <c r="D486" s="295">
        <f>'BD Plant List'!$C488/12*'BD Plant List'!$AC$5*'BD Feedstock'!$D$3</f>
        <v>2.2289583333333334</v>
      </c>
      <c r="E486" s="295">
        <f>'BD Plant List'!$D488/12*'BD Plant List'!AB$5*'BD Feedstock'!$E$3</f>
        <v>9.6875</v>
      </c>
      <c r="F486" s="295">
        <f>'BD Plant List'!$D488/12*'BD Plant List'!AC$5*'BD Feedstock'!$F$3</f>
        <v>3.4291666666666671</v>
      </c>
      <c r="G486" s="295">
        <f>'BD Plant List'!$E488/12*'BD Feedstock'!G$3*'BD Plant List'!AB$5</f>
        <v>1.453125</v>
      </c>
      <c r="H486" s="295">
        <f>'BD Plant List'!$E488/12*'BD Feedstock'!H$3*'BD Plant List'!AC$5</f>
        <v>0.51437500000000003</v>
      </c>
      <c r="I486" s="295">
        <f>'BD Plant List'!F488/12*'BD Feedstock'!I$3*'BD Plant List'!AC$5</f>
        <v>0.13716666666666666</v>
      </c>
      <c r="J486" s="295">
        <f>'BD Plant List'!G488/12*'BD Feedstock'!J$3*'BD Plant List'!AD$5</f>
        <v>0.90199999999999991</v>
      </c>
      <c r="K486" s="295">
        <f>'BD Plant List'!$H488/12*'BD Feedstock'!K$3*'BD Plant List'!AB$5</f>
        <v>0</v>
      </c>
      <c r="L486" s="295">
        <f>'BD Plant List'!$H488/12*'BD Feedstock'!L$3*'BD Plant List'!AC$5</f>
        <v>0</v>
      </c>
      <c r="M486" s="295">
        <f>'BD Plant List'!$I488/12*'BD Feedstock'!$M$3*'BD Plant List'!AC$5</f>
        <v>3.4291666666666671</v>
      </c>
      <c r="N486" s="295">
        <f>'BD Plant List'!$J488/12*'BD Feedstock'!N$3*'BD Plant List'!AC$5</f>
        <v>0</v>
      </c>
      <c r="O486" s="295">
        <f>'BD Plant List'!$K488/12*'BD Feedstock'!O$3*'BD Plant List'!AC$5</f>
        <v>0</v>
      </c>
      <c r="P486" s="295">
        <f>'BD Plant List'!$L488/12*'BD Feedstock'!P$3*'BD Plant List'!AE$5</f>
        <v>0</v>
      </c>
      <c r="Q486" s="295">
        <f>'BD Plant List'!$M488/12*'BD Feedstock'!Q$3*'BD Plant List'!AE$5</f>
        <v>0.93125000000000002</v>
      </c>
      <c r="R486" s="295">
        <f>'BD Plant List'!$N488/12*'BD Feedstock'!R$3*'BD Plant List'!AE$5</f>
        <v>26.540625000000002</v>
      </c>
      <c r="S486" s="295">
        <f>'BD Plant List'!$N488/12*'BD Feedstock'!S$3*'BD Plant List'!AF$5</f>
        <v>1.40625</v>
      </c>
      <c r="T486" s="295">
        <f>'BD Plant List'!$O488/12*'BD Feedstock'!T$3*'BD Plant List'!AB$5</f>
        <v>8.5732126770944213</v>
      </c>
      <c r="U486" s="295">
        <f>'BD Plant List'!$O488/12*'BD Feedstock'!U$3*'BD Plant List'!AC$5</f>
        <v>3.0347329175263269</v>
      </c>
    </row>
    <row r="487" spans="1:21" ht="18">
      <c r="A487" s="293">
        <v>54514</v>
      </c>
      <c r="B487" s="295">
        <f>'BD Plant List'!B489/12*'BD Plant List'!$AE$5*$B$3</f>
        <v>43.458333333333336</v>
      </c>
      <c r="C487" s="295">
        <f>'BD Plant List'!$C489/12*'BD Plant List'!$AB$5*'BD Feedstock'!$D$3</f>
        <v>2.098958333333333</v>
      </c>
      <c r="D487" s="295">
        <f>'BD Plant List'!$C489/12*'BD Plant List'!$AC$5*'BD Feedstock'!$D$3</f>
        <v>2.2289583333333334</v>
      </c>
      <c r="E487" s="295">
        <f>'BD Plant List'!$D489/12*'BD Plant List'!AB$5*'BD Feedstock'!$E$3</f>
        <v>9.6875</v>
      </c>
      <c r="F487" s="295">
        <f>'BD Plant List'!$D489/12*'BD Plant List'!AC$5*'BD Feedstock'!$F$3</f>
        <v>3.4291666666666671</v>
      </c>
      <c r="G487" s="295">
        <f>'BD Plant List'!$E489/12*'BD Feedstock'!G$3*'BD Plant List'!AB$5</f>
        <v>1.453125</v>
      </c>
      <c r="H487" s="295">
        <f>'BD Plant List'!$E489/12*'BD Feedstock'!H$3*'BD Plant List'!AC$5</f>
        <v>0.51437500000000003</v>
      </c>
      <c r="I487" s="295">
        <f>'BD Plant List'!F489/12*'BD Feedstock'!I$3*'BD Plant List'!AC$5</f>
        <v>0.13716666666666666</v>
      </c>
      <c r="J487" s="295">
        <f>'BD Plant List'!G489/12*'BD Feedstock'!J$3*'BD Plant List'!AD$5</f>
        <v>0.90199999999999991</v>
      </c>
      <c r="K487" s="295">
        <f>'BD Plant List'!$H489/12*'BD Feedstock'!K$3*'BD Plant List'!AB$5</f>
        <v>0</v>
      </c>
      <c r="L487" s="295">
        <f>'BD Plant List'!$H489/12*'BD Feedstock'!L$3*'BD Plant List'!AC$5</f>
        <v>0</v>
      </c>
      <c r="M487" s="295">
        <f>'BD Plant List'!$I489/12*'BD Feedstock'!$M$3*'BD Plant List'!AC$5</f>
        <v>3.4291666666666671</v>
      </c>
      <c r="N487" s="295">
        <f>'BD Plant List'!$J489/12*'BD Feedstock'!N$3*'BD Plant List'!AC$5</f>
        <v>0</v>
      </c>
      <c r="O487" s="295">
        <f>'BD Plant List'!$K489/12*'BD Feedstock'!O$3*'BD Plant List'!AC$5</f>
        <v>0</v>
      </c>
      <c r="P487" s="295">
        <f>'BD Plant List'!$L489/12*'BD Feedstock'!P$3*'BD Plant List'!AE$5</f>
        <v>0</v>
      </c>
      <c r="Q487" s="295">
        <f>'BD Plant List'!$M489/12*'BD Feedstock'!Q$3*'BD Plant List'!AE$5</f>
        <v>0.93125000000000002</v>
      </c>
      <c r="R487" s="295">
        <f>'BD Plant List'!$N489/12*'BD Feedstock'!R$3*'BD Plant List'!AE$5</f>
        <v>26.540625000000002</v>
      </c>
      <c r="S487" s="295">
        <f>'BD Plant List'!$N489/12*'BD Feedstock'!S$3*'BD Plant List'!AF$5</f>
        <v>1.40625</v>
      </c>
      <c r="T487" s="295">
        <f>'BD Plant List'!$O489/12*'BD Feedstock'!T$3*'BD Plant List'!AB$5</f>
        <v>8.5732126770944213</v>
      </c>
      <c r="U487" s="295">
        <f>'BD Plant List'!$O489/12*'BD Feedstock'!U$3*'BD Plant List'!AC$5</f>
        <v>3.0347329175263269</v>
      </c>
    </row>
    <row r="488" spans="1:21" ht="18">
      <c r="A488" s="293">
        <v>54544</v>
      </c>
      <c r="B488" s="295">
        <f>'BD Plant List'!B490/12*'BD Plant List'!$AE$5*$B$3</f>
        <v>43.458333333333336</v>
      </c>
      <c r="C488" s="295">
        <f>'BD Plant List'!$C490/12*'BD Plant List'!$AB$5*'BD Feedstock'!$D$3</f>
        <v>2.098958333333333</v>
      </c>
      <c r="D488" s="295">
        <f>'BD Plant List'!$C490/12*'BD Plant List'!$AC$5*'BD Feedstock'!$D$3</f>
        <v>2.2289583333333334</v>
      </c>
      <c r="E488" s="295">
        <f>'BD Plant List'!$D490/12*'BD Plant List'!AB$5*'BD Feedstock'!$E$3</f>
        <v>9.6875</v>
      </c>
      <c r="F488" s="295">
        <f>'BD Plant List'!$D490/12*'BD Plant List'!AC$5*'BD Feedstock'!$F$3</f>
        <v>3.4291666666666671</v>
      </c>
      <c r="G488" s="295">
        <f>'BD Plant List'!$E490/12*'BD Feedstock'!G$3*'BD Plant List'!AB$5</f>
        <v>1.453125</v>
      </c>
      <c r="H488" s="295">
        <f>'BD Plant List'!$E490/12*'BD Feedstock'!H$3*'BD Plant List'!AC$5</f>
        <v>0.51437500000000003</v>
      </c>
      <c r="I488" s="295">
        <f>'BD Plant List'!F490/12*'BD Feedstock'!I$3*'BD Plant List'!AC$5</f>
        <v>0.13716666666666666</v>
      </c>
      <c r="J488" s="295">
        <f>'BD Plant List'!G490/12*'BD Feedstock'!J$3*'BD Plant List'!AD$5</f>
        <v>0.90199999999999991</v>
      </c>
      <c r="K488" s="295">
        <f>'BD Plant List'!$H490/12*'BD Feedstock'!K$3*'BD Plant List'!AB$5</f>
        <v>0</v>
      </c>
      <c r="L488" s="295">
        <f>'BD Plant List'!$H490/12*'BD Feedstock'!L$3*'BD Plant List'!AC$5</f>
        <v>0</v>
      </c>
      <c r="M488" s="295">
        <f>'BD Plant List'!$I490/12*'BD Feedstock'!$M$3*'BD Plant List'!AC$5</f>
        <v>3.4291666666666671</v>
      </c>
      <c r="N488" s="295">
        <f>'BD Plant List'!$J490/12*'BD Feedstock'!N$3*'BD Plant List'!AC$5</f>
        <v>0</v>
      </c>
      <c r="O488" s="295">
        <f>'BD Plant List'!$K490/12*'BD Feedstock'!O$3*'BD Plant List'!AC$5</f>
        <v>0</v>
      </c>
      <c r="P488" s="295">
        <f>'BD Plant List'!$L490/12*'BD Feedstock'!P$3*'BD Plant List'!AE$5</f>
        <v>0</v>
      </c>
      <c r="Q488" s="295">
        <f>'BD Plant List'!$M490/12*'BD Feedstock'!Q$3*'BD Plant List'!AE$5</f>
        <v>0.93125000000000002</v>
      </c>
      <c r="R488" s="295">
        <f>'BD Plant List'!$N490/12*'BD Feedstock'!R$3*'BD Plant List'!AE$5</f>
        <v>26.540625000000002</v>
      </c>
      <c r="S488" s="295">
        <f>'BD Plant List'!$N490/12*'BD Feedstock'!S$3*'BD Plant List'!AF$5</f>
        <v>1.40625</v>
      </c>
      <c r="T488" s="295">
        <f>'BD Plant List'!$O490/12*'BD Feedstock'!T$3*'BD Plant List'!AB$5</f>
        <v>8.5732126770944213</v>
      </c>
      <c r="U488" s="295">
        <f>'BD Plant List'!$O490/12*'BD Feedstock'!U$3*'BD Plant List'!AC$5</f>
        <v>3.0347329175263269</v>
      </c>
    </row>
    <row r="489" spans="1:21" ht="18">
      <c r="A489" s="293">
        <v>54575</v>
      </c>
      <c r="B489" s="295">
        <f>'BD Plant List'!B491/12*'BD Plant List'!$AE$5*$B$3</f>
        <v>43.458333333333336</v>
      </c>
      <c r="C489" s="295">
        <f>'BD Plant List'!$C491/12*'BD Plant List'!$AB$5*'BD Feedstock'!$D$3</f>
        <v>2.098958333333333</v>
      </c>
      <c r="D489" s="295">
        <f>'BD Plant List'!$C491/12*'BD Plant List'!$AC$5*'BD Feedstock'!$D$3</f>
        <v>2.2289583333333334</v>
      </c>
      <c r="E489" s="295">
        <f>'BD Plant List'!$D491/12*'BD Plant List'!AB$5*'BD Feedstock'!$E$3</f>
        <v>9.6875</v>
      </c>
      <c r="F489" s="295">
        <f>'BD Plant List'!$D491/12*'BD Plant List'!AC$5*'BD Feedstock'!$F$3</f>
        <v>3.4291666666666671</v>
      </c>
      <c r="G489" s="295">
        <f>'BD Plant List'!$E491/12*'BD Feedstock'!G$3*'BD Plant List'!AB$5</f>
        <v>1.453125</v>
      </c>
      <c r="H489" s="295">
        <f>'BD Plant List'!$E491/12*'BD Feedstock'!H$3*'BD Plant List'!AC$5</f>
        <v>0.51437500000000003</v>
      </c>
      <c r="I489" s="295">
        <f>'BD Plant List'!F491/12*'BD Feedstock'!I$3*'BD Plant List'!AC$5</f>
        <v>0.13716666666666666</v>
      </c>
      <c r="J489" s="295">
        <f>'BD Plant List'!G491/12*'BD Feedstock'!J$3*'BD Plant List'!AD$5</f>
        <v>0.90199999999999991</v>
      </c>
      <c r="K489" s="295">
        <f>'BD Plant List'!$H491/12*'BD Feedstock'!K$3*'BD Plant List'!AB$5</f>
        <v>0</v>
      </c>
      <c r="L489" s="295">
        <f>'BD Plant List'!$H491/12*'BD Feedstock'!L$3*'BD Plant List'!AC$5</f>
        <v>0</v>
      </c>
      <c r="M489" s="295">
        <f>'BD Plant List'!$I491/12*'BD Feedstock'!$M$3*'BD Plant List'!AC$5</f>
        <v>3.4291666666666671</v>
      </c>
      <c r="N489" s="295">
        <f>'BD Plant List'!$J491/12*'BD Feedstock'!N$3*'BD Plant List'!AC$5</f>
        <v>0</v>
      </c>
      <c r="O489" s="295">
        <f>'BD Plant List'!$K491/12*'BD Feedstock'!O$3*'BD Plant List'!AC$5</f>
        <v>0</v>
      </c>
      <c r="P489" s="295">
        <f>'BD Plant List'!$L491/12*'BD Feedstock'!P$3*'BD Plant List'!AE$5</f>
        <v>0</v>
      </c>
      <c r="Q489" s="295">
        <f>'BD Plant List'!$M491/12*'BD Feedstock'!Q$3*'BD Plant List'!AE$5</f>
        <v>0.93125000000000002</v>
      </c>
      <c r="R489" s="295">
        <f>'BD Plant List'!$N491/12*'BD Feedstock'!R$3*'BD Plant List'!AE$5</f>
        <v>26.540625000000002</v>
      </c>
      <c r="S489" s="295">
        <f>'BD Plant List'!$N491/12*'BD Feedstock'!S$3*'BD Plant List'!AF$5</f>
        <v>1.40625</v>
      </c>
      <c r="T489" s="295">
        <f>'BD Plant List'!$O491/12*'BD Feedstock'!T$3*'BD Plant List'!AB$5</f>
        <v>8.5732126770944213</v>
      </c>
      <c r="U489" s="295">
        <f>'BD Plant List'!$O491/12*'BD Feedstock'!U$3*'BD Plant List'!AC$5</f>
        <v>3.0347329175263269</v>
      </c>
    </row>
    <row r="490" spans="1:21" ht="18">
      <c r="A490" s="293">
        <v>54605</v>
      </c>
      <c r="B490" s="295">
        <f>'BD Plant List'!B492/12*'BD Plant List'!$AE$5*$B$3</f>
        <v>43.458333333333336</v>
      </c>
      <c r="C490" s="295">
        <f>'BD Plant List'!$C492/12*'BD Plant List'!$AB$5*'BD Feedstock'!$D$3</f>
        <v>2.098958333333333</v>
      </c>
      <c r="D490" s="295">
        <f>'BD Plant List'!$C492/12*'BD Plant List'!$AC$5*'BD Feedstock'!$D$3</f>
        <v>2.2289583333333334</v>
      </c>
      <c r="E490" s="295">
        <f>'BD Plant List'!$D492/12*'BD Plant List'!AB$5*'BD Feedstock'!$E$3</f>
        <v>9.6875</v>
      </c>
      <c r="F490" s="295">
        <f>'BD Plant List'!$D492/12*'BD Plant List'!AC$5*'BD Feedstock'!$F$3</f>
        <v>3.4291666666666671</v>
      </c>
      <c r="G490" s="295">
        <f>'BD Plant List'!$E492/12*'BD Feedstock'!G$3*'BD Plant List'!AB$5</f>
        <v>1.453125</v>
      </c>
      <c r="H490" s="295">
        <f>'BD Plant List'!$E492/12*'BD Feedstock'!H$3*'BD Plant List'!AC$5</f>
        <v>0.51437500000000003</v>
      </c>
      <c r="I490" s="295">
        <f>'BD Plant List'!F492/12*'BD Feedstock'!I$3*'BD Plant List'!AC$5</f>
        <v>0.13716666666666666</v>
      </c>
      <c r="J490" s="295">
        <f>'BD Plant List'!G492/12*'BD Feedstock'!J$3*'BD Plant List'!AD$5</f>
        <v>0.90199999999999991</v>
      </c>
      <c r="K490" s="295">
        <f>'BD Plant List'!$H492/12*'BD Feedstock'!K$3*'BD Plant List'!AB$5</f>
        <v>0</v>
      </c>
      <c r="L490" s="295">
        <f>'BD Plant List'!$H492/12*'BD Feedstock'!L$3*'BD Plant List'!AC$5</f>
        <v>0</v>
      </c>
      <c r="M490" s="295">
        <f>'BD Plant List'!$I492/12*'BD Feedstock'!$M$3*'BD Plant List'!AC$5</f>
        <v>3.4291666666666671</v>
      </c>
      <c r="N490" s="295">
        <f>'BD Plant List'!$J492/12*'BD Feedstock'!N$3*'BD Plant List'!AC$5</f>
        <v>0</v>
      </c>
      <c r="O490" s="295">
        <f>'BD Plant List'!$K492/12*'BD Feedstock'!O$3*'BD Plant List'!AC$5</f>
        <v>0</v>
      </c>
      <c r="P490" s="295">
        <f>'BD Plant List'!$L492/12*'BD Feedstock'!P$3*'BD Plant List'!AE$5</f>
        <v>0</v>
      </c>
      <c r="Q490" s="295">
        <f>'BD Plant List'!$M492/12*'BD Feedstock'!Q$3*'BD Plant List'!AE$5</f>
        <v>0.93125000000000002</v>
      </c>
      <c r="R490" s="295">
        <f>'BD Plant List'!$N492/12*'BD Feedstock'!R$3*'BD Plant List'!AE$5</f>
        <v>26.540625000000002</v>
      </c>
      <c r="S490" s="295">
        <f>'BD Plant List'!$N492/12*'BD Feedstock'!S$3*'BD Plant List'!AF$5</f>
        <v>1.40625</v>
      </c>
      <c r="T490" s="295">
        <f>'BD Plant List'!$O492/12*'BD Feedstock'!T$3*'BD Plant List'!AB$5</f>
        <v>8.5732126770944213</v>
      </c>
      <c r="U490" s="295">
        <f>'BD Plant List'!$O492/12*'BD Feedstock'!U$3*'BD Plant List'!AC$5</f>
        <v>3.0347329175263269</v>
      </c>
    </row>
    <row r="491" spans="1:21" ht="18">
      <c r="A491" s="293">
        <v>54636</v>
      </c>
      <c r="B491" s="295">
        <f>'BD Plant List'!B493/12*'BD Plant List'!$AE$5*$B$3</f>
        <v>43.458333333333336</v>
      </c>
      <c r="C491" s="295">
        <f>'BD Plant List'!$C493/12*'BD Plant List'!$AB$5*'BD Feedstock'!$D$3</f>
        <v>2.098958333333333</v>
      </c>
      <c r="D491" s="295">
        <f>'BD Plant List'!$C493/12*'BD Plant List'!$AC$5*'BD Feedstock'!$D$3</f>
        <v>2.2289583333333334</v>
      </c>
      <c r="E491" s="295">
        <f>'BD Plant List'!$D493/12*'BD Plant List'!AB$5*'BD Feedstock'!$E$3</f>
        <v>9.6875</v>
      </c>
      <c r="F491" s="295">
        <f>'BD Plant List'!$D493/12*'BD Plant List'!AC$5*'BD Feedstock'!$F$3</f>
        <v>3.4291666666666671</v>
      </c>
      <c r="G491" s="295">
        <f>'BD Plant List'!$E493/12*'BD Feedstock'!G$3*'BD Plant List'!AB$5</f>
        <v>1.453125</v>
      </c>
      <c r="H491" s="295">
        <f>'BD Plant List'!$E493/12*'BD Feedstock'!H$3*'BD Plant List'!AC$5</f>
        <v>0.51437500000000003</v>
      </c>
      <c r="I491" s="295">
        <f>'BD Plant List'!F493/12*'BD Feedstock'!I$3*'BD Plant List'!AC$5</f>
        <v>0.13716666666666666</v>
      </c>
      <c r="J491" s="295">
        <f>'BD Plant List'!G493/12*'BD Feedstock'!J$3*'BD Plant List'!AD$5</f>
        <v>0.90199999999999991</v>
      </c>
      <c r="K491" s="295">
        <f>'BD Plant List'!$H493/12*'BD Feedstock'!K$3*'BD Plant List'!AB$5</f>
        <v>0</v>
      </c>
      <c r="L491" s="295">
        <f>'BD Plant List'!$H493/12*'BD Feedstock'!L$3*'BD Plant List'!AC$5</f>
        <v>0</v>
      </c>
      <c r="M491" s="295">
        <f>'BD Plant List'!$I493/12*'BD Feedstock'!$M$3*'BD Plant List'!AC$5</f>
        <v>3.4291666666666671</v>
      </c>
      <c r="N491" s="295">
        <f>'BD Plant List'!$J493/12*'BD Feedstock'!N$3*'BD Plant List'!AC$5</f>
        <v>0</v>
      </c>
      <c r="O491" s="295">
        <f>'BD Plant List'!$K493/12*'BD Feedstock'!O$3*'BD Plant List'!AC$5</f>
        <v>0</v>
      </c>
      <c r="P491" s="295">
        <f>'BD Plant List'!$L493/12*'BD Feedstock'!P$3*'BD Plant List'!AE$5</f>
        <v>0</v>
      </c>
      <c r="Q491" s="295">
        <f>'BD Plant List'!$M493/12*'BD Feedstock'!Q$3*'BD Plant List'!AE$5</f>
        <v>0.93125000000000002</v>
      </c>
      <c r="R491" s="295">
        <f>'BD Plant List'!$N493/12*'BD Feedstock'!R$3*'BD Plant List'!AE$5</f>
        <v>26.540625000000002</v>
      </c>
      <c r="S491" s="295">
        <f>'BD Plant List'!$N493/12*'BD Feedstock'!S$3*'BD Plant List'!AF$5</f>
        <v>1.40625</v>
      </c>
      <c r="T491" s="295">
        <f>'BD Plant List'!$O493/12*'BD Feedstock'!T$3*'BD Plant List'!AB$5</f>
        <v>8.5732126770944213</v>
      </c>
      <c r="U491" s="295">
        <f>'BD Plant List'!$O493/12*'BD Feedstock'!U$3*'BD Plant List'!AC$5</f>
        <v>3.0347329175263269</v>
      </c>
    </row>
    <row r="492" spans="1:21" ht="18">
      <c r="A492" s="293">
        <v>54667</v>
      </c>
      <c r="B492" s="295">
        <f>'BD Plant List'!B494/12*'BD Plant List'!$AE$5*$B$3</f>
        <v>43.458333333333336</v>
      </c>
      <c r="C492" s="295">
        <f>'BD Plant List'!$C494/12*'BD Plant List'!$AB$5*'BD Feedstock'!$D$3</f>
        <v>2.098958333333333</v>
      </c>
      <c r="D492" s="295">
        <f>'BD Plant List'!$C494/12*'BD Plant List'!$AC$5*'BD Feedstock'!$D$3</f>
        <v>2.2289583333333334</v>
      </c>
      <c r="E492" s="295">
        <f>'BD Plant List'!$D494/12*'BD Plant List'!AB$5*'BD Feedstock'!$E$3</f>
        <v>9.6875</v>
      </c>
      <c r="F492" s="295">
        <f>'BD Plant List'!$D494/12*'BD Plant List'!AC$5*'BD Feedstock'!$F$3</f>
        <v>3.4291666666666671</v>
      </c>
      <c r="G492" s="295">
        <f>'BD Plant List'!$E494/12*'BD Feedstock'!G$3*'BD Plant List'!AB$5</f>
        <v>1.453125</v>
      </c>
      <c r="H492" s="295">
        <f>'BD Plant List'!$E494/12*'BD Feedstock'!H$3*'BD Plant List'!AC$5</f>
        <v>0.51437500000000003</v>
      </c>
      <c r="I492" s="295">
        <f>'BD Plant List'!F494/12*'BD Feedstock'!I$3*'BD Plant List'!AC$5</f>
        <v>0.13716666666666666</v>
      </c>
      <c r="J492" s="295">
        <f>'BD Plant List'!G494/12*'BD Feedstock'!J$3*'BD Plant List'!AD$5</f>
        <v>0.90199999999999991</v>
      </c>
      <c r="K492" s="295">
        <f>'BD Plant List'!$H494/12*'BD Feedstock'!K$3*'BD Plant List'!AB$5</f>
        <v>0</v>
      </c>
      <c r="L492" s="295">
        <f>'BD Plant List'!$H494/12*'BD Feedstock'!L$3*'BD Plant List'!AC$5</f>
        <v>0</v>
      </c>
      <c r="M492" s="295">
        <f>'BD Plant List'!$I494/12*'BD Feedstock'!$M$3*'BD Plant List'!AC$5</f>
        <v>3.4291666666666671</v>
      </c>
      <c r="N492" s="295">
        <f>'BD Plant List'!$J494/12*'BD Feedstock'!N$3*'BD Plant List'!AC$5</f>
        <v>0</v>
      </c>
      <c r="O492" s="295">
        <f>'BD Plant List'!$K494/12*'BD Feedstock'!O$3*'BD Plant List'!AC$5</f>
        <v>0</v>
      </c>
      <c r="P492" s="295">
        <f>'BD Plant List'!$L494/12*'BD Feedstock'!P$3*'BD Plant List'!AE$5</f>
        <v>0</v>
      </c>
      <c r="Q492" s="295">
        <f>'BD Plant List'!$M494/12*'BD Feedstock'!Q$3*'BD Plant List'!AE$5</f>
        <v>0.93125000000000002</v>
      </c>
      <c r="R492" s="295">
        <f>'BD Plant List'!$N494/12*'BD Feedstock'!R$3*'BD Plant List'!AE$5</f>
        <v>26.540625000000002</v>
      </c>
      <c r="S492" s="295">
        <f>'BD Plant List'!$N494/12*'BD Feedstock'!S$3*'BD Plant List'!AF$5</f>
        <v>1.40625</v>
      </c>
      <c r="T492" s="295">
        <f>'BD Plant List'!$O494/12*'BD Feedstock'!T$3*'BD Plant List'!AB$5</f>
        <v>8.5732126770944213</v>
      </c>
      <c r="U492" s="295">
        <f>'BD Plant List'!$O494/12*'BD Feedstock'!U$3*'BD Plant List'!AC$5</f>
        <v>3.0347329175263269</v>
      </c>
    </row>
    <row r="493" spans="1:21" ht="18">
      <c r="A493" s="293">
        <v>54697</v>
      </c>
      <c r="B493" s="295">
        <f>'BD Plant List'!B495/12*'BD Plant List'!$AE$5*$B$3</f>
        <v>43.458333333333336</v>
      </c>
      <c r="C493" s="295">
        <f>'BD Plant List'!$C495/12*'BD Plant List'!$AB$5*'BD Feedstock'!$D$3</f>
        <v>2.098958333333333</v>
      </c>
      <c r="D493" s="295">
        <f>'BD Plant List'!$C495/12*'BD Plant List'!$AC$5*'BD Feedstock'!$D$3</f>
        <v>2.2289583333333334</v>
      </c>
      <c r="E493" s="295">
        <f>'BD Plant List'!$D495/12*'BD Plant List'!AB$5*'BD Feedstock'!$E$3</f>
        <v>9.6875</v>
      </c>
      <c r="F493" s="295">
        <f>'BD Plant List'!$D495/12*'BD Plant List'!AC$5*'BD Feedstock'!$F$3</f>
        <v>3.4291666666666671</v>
      </c>
      <c r="G493" s="295">
        <f>'BD Plant List'!$E495/12*'BD Feedstock'!G$3*'BD Plant List'!AB$5</f>
        <v>1.453125</v>
      </c>
      <c r="H493" s="295">
        <f>'BD Plant List'!$E495/12*'BD Feedstock'!H$3*'BD Plant List'!AC$5</f>
        <v>0.51437500000000003</v>
      </c>
      <c r="I493" s="295">
        <f>'BD Plant List'!F495/12*'BD Feedstock'!I$3*'BD Plant List'!AC$5</f>
        <v>0.13716666666666666</v>
      </c>
      <c r="J493" s="295">
        <f>'BD Plant List'!G495/12*'BD Feedstock'!J$3*'BD Plant List'!AD$5</f>
        <v>0.90199999999999991</v>
      </c>
      <c r="K493" s="295">
        <f>'BD Plant List'!$H495/12*'BD Feedstock'!K$3*'BD Plant List'!AB$5</f>
        <v>0</v>
      </c>
      <c r="L493" s="295">
        <f>'BD Plant List'!$H495/12*'BD Feedstock'!L$3*'BD Plant List'!AC$5</f>
        <v>0</v>
      </c>
      <c r="M493" s="295">
        <f>'BD Plant List'!$I495/12*'BD Feedstock'!$M$3*'BD Plant List'!AC$5</f>
        <v>3.4291666666666671</v>
      </c>
      <c r="N493" s="295">
        <f>'BD Plant List'!$J495/12*'BD Feedstock'!N$3*'BD Plant List'!AC$5</f>
        <v>0</v>
      </c>
      <c r="O493" s="295">
        <f>'BD Plant List'!$K495/12*'BD Feedstock'!O$3*'BD Plant List'!AC$5</f>
        <v>0</v>
      </c>
      <c r="P493" s="295">
        <f>'BD Plant List'!$L495/12*'BD Feedstock'!P$3*'BD Plant List'!AE$5</f>
        <v>0</v>
      </c>
      <c r="Q493" s="295">
        <f>'BD Plant List'!$M495/12*'BD Feedstock'!Q$3*'BD Plant List'!AE$5</f>
        <v>0.93125000000000002</v>
      </c>
      <c r="R493" s="295">
        <f>'BD Plant List'!$N495/12*'BD Feedstock'!R$3*'BD Plant List'!AE$5</f>
        <v>26.540625000000002</v>
      </c>
      <c r="S493" s="295">
        <f>'BD Plant List'!$N495/12*'BD Feedstock'!S$3*'BD Plant List'!AF$5</f>
        <v>1.40625</v>
      </c>
      <c r="T493" s="295">
        <f>'BD Plant List'!$O495/12*'BD Feedstock'!T$3*'BD Plant List'!AB$5</f>
        <v>8.5732126770944213</v>
      </c>
      <c r="U493" s="295">
        <f>'BD Plant List'!$O495/12*'BD Feedstock'!U$3*'BD Plant List'!AC$5</f>
        <v>3.0347329175263269</v>
      </c>
    </row>
    <row r="494" spans="1:21" ht="18">
      <c r="A494" s="293">
        <v>54728</v>
      </c>
      <c r="B494" s="295">
        <f>'BD Plant List'!B496/12*'BD Plant List'!$AE$5*$B$3</f>
        <v>43.458333333333336</v>
      </c>
      <c r="C494" s="295">
        <f>'BD Plant List'!$C496/12*'BD Plant List'!$AB$5*'BD Feedstock'!$D$3</f>
        <v>2.098958333333333</v>
      </c>
      <c r="D494" s="295">
        <f>'BD Plant List'!$C496/12*'BD Plant List'!$AC$5*'BD Feedstock'!$D$3</f>
        <v>2.2289583333333334</v>
      </c>
      <c r="E494" s="295">
        <f>'BD Plant List'!$D496/12*'BD Plant List'!AB$5*'BD Feedstock'!$E$3</f>
        <v>9.6875</v>
      </c>
      <c r="F494" s="295">
        <f>'BD Plant List'!$D496/12*'BD Plant List'!AC$5*'BD Feedstock'!$F$3</f>
        <v>3.4291666666666671</v>
      </c>
      <c r="G494" s="295">
        <f>'BD Plant List'!$E496/12*'BD Feedstock'!G$3*'BD Plant List'!AB$5</f>
        <v>1.453125</v>
      </c>
      <c r="H494" s="295">
        <f>'BD Plant List'!$E496/12*'BD Feedstock'!H$3*'BD Plant List'!AC$5</f>
        <v>0.51437500000000003</v>
      </c>
      <c r="I494" s="295">
        <f>'BD Plant List'!F496/12*'BD Feedstock'!I$3*'BD Plant List'!AC$5</f>
        <v>0.13716666666666666</v>
      </c>
      <c r="J494" s="295">
        <f>'BD Plant List'!G496/12*'BD Feedstock'!J$3*'BD Plant List'!AD$5</f>
        <v>0.90199999999999991</v>
      </c>
      <c r="K494" s="295">
        <f>'BD Plant List'!$H496/12*'BD Feedstock'!K$3*'BD Plant List'!AB$5</f>
        <v>0</v>
      </c>
      <c r="L494" s="295">
        <f>'BD Plant List'!$H496/12*'BD Feedstock'!L$3*'BD Plant List'!AC$5</f>
        <v>0</v>
      </c>
      <c r="M494" s="295">
        <f>'BD Plant List'!$I496/12*'BD Feedstock'!$M$3*'BD Plant List'!AC$5</f>
        <v>3.4291666666666671</v>
      </c>
      <c r="N494" s="295">
        <f>'BD Plant List'!$J496/12*'BD Feedstock'!N$3*'BD Plant List'!AC$5</f>
        <v>0</v>
      </c>
      <c r="O494" s="295">
        <f>'BD Plant List'!$K496/12*'BD Feedstock'!O$3*'BD Plant List'!AC$5</f>
        <v>0</v>
      </c>
      <c r="P494" s="295">
        <f>'BD Plant List'!$L496/12*'BD Feedstock'!P$3*'BD Plant List'!AE$5</f>
        <v>0</v>
      </c>
      <c r="Q494" s="295">
        <f>'BD Plant List'!$M496/12*'BD Feedstock'!Q$3*'BD Plant List'!AE$5</f>
        <v>0.93125000000000002</v>
      </c>
      <c r="R494" s="295">
        <f>'BD Plant List'!$N496/12*'BD Feedstock'!R$3*'BD Plant List'!AE$5</f>
        <v>26.540625000000002</v>
      </c>
      <c r="S494" s="295">
        <f>'BD Plant List'!$N496/12*'BD Feedstock'!S$3*'BD Plant List'!AF$5</f>
        <v>1.40625</v>
      </c>
      <c r="T494" s="295">
        <f>'BD Plant List'!$O496/12*'BD Feedstock'!T$3*'BD Plant List'!AB$5</f>
        <v>8.5732126770944213</v>
      </c>
      <c r="U494" s="295">
        <f>'BD Plant List'!$O496/12*'BD Feedstock'!U$3*'BD Plant List'!AC$5</f>
        <v>3.0347329175263269</v>
      </c>
    </row>
    <row r="495" spans="1:21" ht="18">
      <c r="A495" s="293">
        <v>54758</v>
      </c>
      <c r="B495" s="295">
        <f>'BD Plant List'!B497/12*'BD Plant List'!$AE$5*$B$3</f>
        <v>43.458333333333336</v>
      </c>
      <c r="C495" s="295">
        <f>'BD Plant List'!$C497/12*'BD Plant List'!$AB$5*'BD Feedstock'!$D$3</f>
        <v>2.098958333333333</v>
      </c>
      <c r="D495" s="295">
        <f>'BD Plant List'!$C497/12*'BD Plant List'!$AC$5*'BD Feedstock'!$D$3</f>
        <v>2.2289583333333334</v>
      </c>
      <c r="E495" s="295">
        <f>'BD Plant List'!$D497/12*'BD Plant List'!AB$5*'BD Feedstock'!$E$3</f>
        <v>9.6875</v>
      </c>
      <c r="F495" s="295">
        <f>'BD Plant List'!$D497/12*'BD Plant List'!AC$5*'BD Feedstock'!$F$3</f>
        <v>3.4291666666666671</v>
      </c>
      <c r="G495" s="295">
        <f>'BD Plant List'!$E497/12*'BD Feedstock'!G$3*'BD Plant List'!AB$5</f>
        <v>1.453125</v>
      </c>
      <c r="H495" s="295">
        <f>'BD Plant List'!$E497/12*'BD Feedstock'!H$3*'BD Plant List'!AC$5</f>
        <v>0.51437500000000003</v>
      </c>
      <c r="I495" s="295">
        <f>'BD Plant List'!F497/12*'BD Feedstock'!I$3*'BD Plant List'!AC$5</f>
        <v>0.13716666666666666</v>
      </c>
      <c r="J495" s="295">
        <f>'BD Plant List'!G497/12*'BD Feedstock'!J$3*'BD Plant List'!AD$5</f>
        <v>0.90199999999999991</v>
      </c>
      <c r="K495" s="295">
        <f>'BD Plant List'!$H497/12*'BD Feedstock'!K$3*'BD Plant List'!AB$5</f>
        <v>0</v>
      </c>
      <c r="L495" s="295">
        <f>'BD Plant List'!$H497/12*'BD Feedstock'!L$3*'BD Plant List'!AC$5</f>
        <v>0</v>
      </c>
      <c r="M495" s="295">
        <f>'BD Plant List'!$I497/12*'BD Feedstock'!$M$3*'BD Plant List'!AC$5</f>
        <v>3.4291666666666671</v>
      </c>
      <c r="N495" s="295">
        <f>'BD Plant List'!$J497/12*'BD Feedstock'!N$3*'BD Plant List'!AC$5</f>
        <v>0</v>
      </c>
      <c r="O495" s="295">
        <f>'BD Plant List'!$K497/12*'BD Feedstock'!O$3*'BD Plant List'!AC$5</f>
        <v>0</v>
      </c>
      <c r="P495" s="295">
        <f>'BD Plant List'!$L497/12*'BD Feedstock'!P$3*'BD Plant List'!AE$5</f>
        <v>0</v>
      </c>
      <c r="Q495" s="295">
        <f>'BD Plant List'!$M497/12*'BD Feedstock'!Q$3*'BD Plant List'!AE$5</f>
        <v>0.93125000000000002</v>
      </c>
      <c r="R495" s="295">
        <f>'BD Plant List'!$N497/12*'BD Feedstock'!R$3*'BD Plant List'!AE$5</f>
        <v>26.540625000000002</v>
      </c>
      <c r="S495" s="295">
        <f>'BD Plant List'!$N497/12*'BD Feedstock'!S$3*'BD Plant List'!AF$5</f>
        <v>1.40625</v>
      </c>
      <c r="T495" s="295">
        <f>'BD Plant List'!$O497/12*'BD Feedstock'!T$3*'BD Plant List'!AB$5</f>
        <v>8.5732126770944213</v>
      </c>
      <c r="U495" s="295">
        <f>'BD Plant List'!$O497/12*'BD Feedstock'!U$3*'BD Plant List'!AC$5</f>
        <v>3.0347329175263269</v>
      </c>
    </row>
    <row r="496" spans="1:21" ht="18">
      <c r="A496" s="293">
        <v>54789</v>
      </c>
      <c r="B496" s="295">
        <f>'BD Plant List'!B498/12*'BD Plant List'!$AE$5*$B$3</f>
        <v>43.458333333333336</v>
      </c>
      <c r="C496" s="295">
        <f>'BD Plant List'!$C498/12*'BD Plant List'!$AB$5*'BD Feedstock'!$D$3</f>
        <v>2.098958333333333</v>
      </c>
      <c r="D496" s="295">
        <f>'BD Plant List'!$C498/12*'BD Plant List'!$AC$5*'BD Feedstock'!$D$3</f>
        <v>2.2289583333333334</v>
      </c>
      <c r="E496" s="295">
        <f>'BD Plant List'!$D498/12*'BD Plant List'!AB$5*'BD Feedstock'!$E$3</f>
        <v>9.6875</v>
      </c>
      <c r="F496" s="295">
        <f>'BD Plant List'!$D498/12*'BD Plant List'!AC$5*'BD Feedstock'!$F$3</f>
        <v>3.4291666666666671</v>
      </c>
      <c r="G496" s="295">
        <f>'BD Plant List'!$E498/12*'BD Feedstock'!G$3*'BD Plant List'!AB$5</f>
        <v>1.453125</v>
      </c>
      <c r="H496" s="295">
        <f>'BD Plant List'!$E498/12*'BD Feedstock'!H$3*'BD Plant List'!AC$5</f>
        <v>0.51437500000000003</v>
      </c>
      <c r="I496" s="295">
        <f>'BD Plant List'!F498/12*'BD Feedstock'!I$3*'BD Plant List'!AC$5</f>
        <v>0.13716666666666666</v>
      </c>
      <c r="J496" s="295">
        <f>'BD Plant List'!G498/12*'BD Feedstock'!J$3*'BD Plant List'!AD$5</f>
        <v>0.90199999999999991</v>
      </c>
      <c r="K496" s="295">
        <f>'BD Plant List'!$H498/12*'BD Feedstock'!K$3*'BD Plant List'!AB$5</f>
        <v>0</v>
      </c>
      <c r="L496" s="295">
        <f>'BD Plant List'!$H498/12*'BD Feedstock'!L$3*'BD Plant List'!AC$5</f>
        <v>0</v>
      </c>
      <c r="M496" s="295">
        <f>'BD Plant List'!$I498/12*'BD Feedstock'!$M$3*'BD Plant List'!AC$5</f>
        <v>3.4291666666666671</v>
      </c>
      <c r="N496" s="295">
        <f>'BD Plant List'!$J498/12*'BD Feedstock'!N$3*'BD Plant List'!AC$5</f>
        <v>0</v>
      </c>
      <c r="O496" s="295">
        <f>'BD Plant List'!$K498/12*'BD Feedstock'!O$3*'BD Plant List'!AC$5</f>
        <v>0</v>
      </c>
      <c r="P496" s="295">
        <f>'BD Plant List'!$L498/12*'BD Feedstock'!P$3*'BD Plant List'!AE$5</f>
        <v>0</v>
      </c>
      <c r="Q496" s="295">
        <f>'BD Plant List'!$M498/12*'BD Feedstock'!Q$3*'BD Plant List'!AE$5</f>
        <v>0.93125000000000002</v>
      </c>
      <c r="R496" s="295">
        <f>'BD Plant List'!$N498/12*'BD Feedstock'!R$3*'BD Plant List'!AE$5</f>
        <v>26.540625000000002</v>
      </c>
      <c r="S496" s="295">
        <f>'BD Plant List'!$N498/12*'BD Feedstock'!S$3*'BD Plant List'!AF$5</f>
        <v>1.40625</v>
      </c>
      <c r="T496" s="295">
        <f>'BD Plant List'!$O498/12*'BD Feedstock'!T$3*'BD Plant List'!AB$5</f>
        <v>8.5732126770944213</v>
      </c>
      <c r="U496" s="295">
        <f>'BD Plant List'!$O498/12*'BD Feedstock'!U$3*'BD Plant List'!AC$5</f>
        <v>3.0347329175263269</v>
      </c>
    </row>
    <row r="497" spans="1:21" ht="18">
      <c r="A497" s="293">
        <v>54820</v>
      </c>
      <c r="B497" s="295">
        <f>'BD Plant List'!B499/12*'BD Plant List'!$AE$5*$B$3</f>
        <v>43.458333333333336</v>
      </c>
      <c r="C497" s="295">
        <f>'BD Plant List'!$C499/12*'BD Plant List'!$AB$5*'BD Feedstock'!$D$3</f>
        <v>2.098958333333333</v>
      </c>
      <c r="D497" s="295">
        <f>'BD Plant List'!$C499/12*'BD Plant List'!$AC$5*'BD Feedstock'!$D$3</f>
        <v>2.2289583333333334</v>
      </c>
      <c r="E497" s="295">
        <f>'BD Plant List'!$D499/12*'BD Plant List'!AB$5*'BD Feedstock'!$E$3</f>
        <v>9.6875</v>
      </c>
      <c r="F497" s="295">
        <f>'BD Plant List'!$D499/12*'BD Plant List'!AC$5*'BD Feedstock'!$F$3</f>
        <v>3.4291666666666671</v>
      </c>
      <c r="G497" s="295">
        <f>'BD Plant List'!$E499/12*'BD Feedstock'!G$3*'BD Plant List'!AB$5</f>
        <v>1.453125</v>
      </c>
      <c r="H497" s="295">
        <f>'BD Plant List'!$E499/12*'BD Feedstock'!H$3*'BD Plant List'!AC$5</f>
        <v>0.51437500000000003</v>
      </c>
      <c r="I497" s="295">
        <f>'BD Plant List'!F499/12*'BD Feedstock'!I$3*'BD Plant List'!AC$5</f>
        <v>0.13716666666666666</v>
      </c>
      <c r="J497" s="295">
        <f>'BD Plant List'!G499/12*'BD Feedstock'!J$3*'BD Plant List'!AD$5</f>
        <v>0.90199999999999991</v>
      </c>
      <c r="K497" s="295">
        <f>'BD Plant List'!$H499/12*'BD Feedstock'!K$3*'BD Plant List'!AB$5</f>
        <v>0</v>
      </c>
      <c r="L497" s="295">
        <f>'BD Plant List'!$H499/12*'BD Feedstock'!L$3*'BD Plant List'!AC$5</f>
        <v>0</v>
      </c>
      <c r="M497" s="295">
        <f>'BD Plant List'!$I499/12*'BD Feedstock'!$M$3*'BD Plant List'!AC$5</f>
        <v>3.4291666666666671</v>
      </c>
      <c r="N497" s="295">
        <f>'BD Plant List'!$J499/12*'BD Feedstock'!N$3*'BD Plant List'!AC$5</f>
        <v>0</v>
      </c>
      <c r="O497" s="295">
        <f>'BD Plant List'!$K499/12*'BD Feedstock'!O$3*'BD Plant List'!AC$5</f>
        <v>0</v>
      </c>
      <c r="P497" s="295">
        <f>'BD Plant List'!$L499/12*'BD Feedstock'!P$3*'BD Plant List'!AE$5</f>
        <v>0</v>
      </c>
      <c r="Q497" s="295">
        <f>'BD Plant List'!$M499/12*'BD Feedstock'!Q$3*'BD Plant List'!AE$5</f>
        <v>0.93125000000000002</v>
      </c>
      <c r="R497" s="295">
        <f>'BD Plant List'!$N499/12*'BD Feedstock'!R$3*'BD Plant List'!AE$5</f>
        <v>26.540625000000002</v>
      </c>
      <c r="S497" s="295">
        <f>'BD Plant List'!$N499/12*'BD Feedstock'!S$3*'BD Plant List'!AF$5</f>
        <v>1.40625</v>
      </c>
      <c r="T497" s="295">
        <f>'BD Plant List'!$O499/12*'BD Feedstock'!T$3*'BD Plant List'!AB$5</f>
        <v>8.5732126770944213</v>
      </c>
      <c r="U497" s="295">
        <f>'BD Plant List'!$O499/12*'BD Feedstock'!U$3*'BD Plant List'!AC$5</f>
        <v>3.0347329175263269</v>
      </c>
    </row>
    <row r="498" spans="1:21" ht="18">
      <c r="A498" s="293">
        <v>54848</v>
      </c>
      <c r="B498" s="295">
        <f>'BD Plant List'!B500/12*'BD Plant List'!$AE$5*$B$3</f>
        <v>43.458333333333336</v>
      </c>
      <c r="C498" s="295">
        <f>'BD Plant List'!$C500/12*'BD Plant List'!$AB$5*'BD Feedstock'!$D$3</f>
        <v>2.098958333333333</v>
      </c>
      <c r="D498" s="295">
        <f>'BD Plant List'!$C500/12*'BD Plant List'!$AC$5*'BD Feedstock'!$D$3</f>
        <v>2.2289583333333334</v>
      </c>
      <c r="E498" s="295">
        <f>'BD Plant List'!$D500/12*'BD Plant List'!AB$5*'BD Feedstock'!$E$3</f>
        <v>9.6875</v>
      </c>
      <c r="F498" s="295">
        <f>'BD Plant List'!$D500/12*'BD Plant List'!AC$5*'BD Feedstock'!$F$3</f>
        <v>3.4291666666666671</v>
      </c>
      <c r="G498" s="295">
        <f>'BD Plant List'!$E500/12*'BD Feedstock'!G$3*'BD Plant List'!AB$5</f>
        <v>1.453125</v>
      </c>
      <c r="H498" s="295">
        <f>'BD Plant List'!$E500/12*'BD Feedstock'!H$3*'BD Plant List'!AC$5</f>
        <v>0.51437500000000003</v>
      </c>
      <c r="I498" s="295">
        <f>'BD Plant List'!F500/12*'BD Feedstock'!I$3*'BD Plant List'!AC$5</f>
        <v>0.13716666666666666</v>
      </c>
      <c r="J498" s="295">
        <f>'BD Plant List'!G500/12*'BD Feedstock'!J$3*'BD Plant List'!AD$5</f>
        <v>0.90199999999999991</v>
      </c>
      <c r="K498" s="295">
        <f>'BD Plant List'!$H500/12*'BD Feedstock'!K$3*'BD Plant List'!AB$5</f>
        <v>0</v>
      </c>
      <c r="L498" s="295">
        <f>'BD Plant List'!$H500/12*'BD Feedstock'!L$3*'BD Plant List'!AC$5</f>
        <v>0</v>
      </c>
      <c r="M498" s="295">
        <f>'BD Plant List'!$I500/12*'BD Feedstock'!$M$3*'BD Plant List'!AC$5</f>
        <v>3.4291666666666671</v>
      </c>
      <c r="N498" s="295">
        <f>'BD Plant List'!$J500/12*'BD Feedstock'!N$3*'BD Plant List'!AC$5</f>
        <v>0</v>
      </c>
      <c r="O498" s="295">
        <f>'BD Plant List'!$K500/12*'BD Feedstock'!O$3*'BD Plant List'!AC$5</f>
        <v>0</v>
      </c>
      <c r="P498" s="295">
        <f>'BD Plant List'!$L500/12*'BD Feedstock'!P$3*'BD Plant List'!AE$5</f>
        <v>0</v>
      </c>
      <c r="Q498" s="295">
        <f>'BD Plant List'!$M500/12*'BD Feedstock'!Q$3*'BD Plant List'!AE$5</f>
        <v>0.93125000000000002</v>
      </c>
      <c r="R498" s="295">
        <f>'BD Plant List'!$N500/12*'BD Feedstock'!R$3*'BD Plant List'!AE$5</f>
        <v>26.540625000000002</v>
      </c>
      <c r="S498" s="295">
        <f>'BD Plant List'!$N500/12*'BD Feedstock'!S$3*'BD Plant List'!AF$5</f>
        <v>1.40625</v>
      </c>
      <c r="T498" s="295">
        <f>'BD Plant List'!$O500/12*'BD Feedstock'!T$3*'BD Plant List'!AB$5</f>
        <v>8.5732126770944213</v>
      </c>
      <c r="U498" s="295">
        <f>'BD Plant List'!$O500/12*'BD Feedstock'!U$3*'BD Plant List'!AC$5</f>
        <v>3.0347329175263269</v>
      </c>
    </row>
    <row r="499" spans="1:21" ht="18">
      <c r="A499" s="293">
        <v>54879</v>
      </c>
      <c r="B499" s="295">
        <f>'BD Plant List'!B501/12*'BD Plant List'!$AE$5*$B$3</f>
        <v>43.458333333333336</v>
      </c>
      <c r="C499" s="295">
        <f>'BD Plant List'!$C501/12*'BD Plant List'!$AB$5*'BD Feedstock'!$D$3</f>
        <v>2.098958333333333</v>
      </c>
      <c r="D499" s="295">
        <f>'BD Plant List'!$C501/12*'BD Plant List'!$AC$5*'BD Feedstock'!$D$3</f>
        <v>2.2289583333333334</v>
      </c>
      <c r="E499" s="295">
        <f>'BD Plant List'!$D501/12*'BD Plant List'!AB$5*'BD Feedstock'!$E$3</f>
        <v>9.6875</v>
      </c>
      <c r="F499" s="295">
        <f>'BD Plant List'!$D501/12*'BD Plant List'!AC$5*'BD Feedstock'!$F$3</f>
        <v>3.4291666666666671</v>
      </c>
      <c r="G499" s="295">
        <f>'BD Plant List'!$E501/12*'BD Feedstock'!G$3*'BD Plant List'!AB$5</f>
        <v>1.453125</v>
      </c>
      <c r="H499" s="295">
        <f>'BD Plant List'!$E501/12*'BD Feedstock'!H$3*'BD Plant List'!AC$5</f>
        <v>0.51437500000000003</v>
      </c>
      <c r="I499" s="295">
        <f>'BD Plant List'!F501/12*'BD Feedstock'!I$3*'BD Plant List'!AC$5</f>
        <v>0.13716666666666666</v>
      </c>
      <c r="J499" s="295">
        <f>'BD Plant List'!G501/12*'BD Feedstock'!J$3*'BD Plant List'!AD$5</f>
        <v>0.90199999999999991</v>
      </c>
      <c r="K499" s="295">
        <f>'BD Plant List'!$H501/12*'BD Feedstock'!K$3*'BD Plant List'!AB$5</f>
        <v>0</v>
      </c>
      <c r="L499" s="295">
        <f>'BD Plant List'!$H501/12*'BD Feedstock'!L$3*'BD Plant List'!AC$5</f>
        <v>0</v>
      </c>
      <c r="M499" s="295">
        <f>'BD Plant List'!$I501/12*'BD Feedstock'!$M$3*'BD Plant List'!AC$5</f>
        <v>3.4291666666666671</v>
      </c>
      <c r="N499" s="295">
        <f>'BD Plant List'!$J501/12*'BD Feedstock'!N$3*'BD Plant List'!AC$5</f>
        <v>0</v>
      </c>
      <c r="O499" s="295">
        <f>'BD Plant List'!$K501/12*'BD Feedstock'!O$3*'BD Plant List'!AC$5</f>
        <v>0</v>
      </c>
      <c r="P499" s="295">
        <f>'BD Plant List'!$L501/12*'BD Feedstock'!P$3*'BD Plant List'!AE$5</f>
        <v>0</v>
      </c>
      <c r="Q499" s="295">
        <f>'BD Plant List'!$M501/12*'BD Feedstock'!Q$3*'BD Plant List'!AE$5</f>
        <v>0.93125000000000002</v>
      </c>
      <c r="R499" s="295">
        <f>'BD Plant List'!$N501/12*'BD Feedstock'!R$3*'BD Plant List'!AE$5</f>
        <v>26.540625000000002</v>
      </c>
      <c r="S499" s="295">
        <f>'BD Plant List'!$N501/12*'BD Feedstock'!S$3*'BD Plant List'!AF$5</f>
        <v>1.40625</v>
      </c>
      <c r="T499" s="295">
        <f>'BD Plant List'!$O501/12*'BD Feedstock'!T$3*'BD Plant List'!AB$5</f>
        <v>8.5732126770944213</v>
      </c>
      <c r="U499" s="295">
        <f>'BD Plant List'!$O501/12*'BD Feedstock'!U$3*'BD Plant List'!AC$5</f>
        <v>3.0347329175263269</v>
      </c>
    </row>
    <row r="500" spans="1:21" ht="18">
      <c r="A500" s="293">
        <v>54909</v>
      </c>
      <c r="B500" s="295">
        <f>'BD Plant List'!B502/12*'BD Plant List'!$AE$5*$B$3</f>
        <v>43.458333333333336</v>
      </c>
      <c r="C500" s="295">
        <f>'BD Plant List'!$C502/12*'BD Plant List'!$AB$5*'BD Feedstock'!$D$3</f>
        <v>2.098958333333333</v>
      </c>
      <c r="D500" s="295">
        <f>'BD Plant List'!$C502/12*'BD Plant List'!$AC$5*'BD Feedstock'!$D$3</f>
        <v>2.2289583333333334</v>
      </c>
      <c r="E500" s="295">
        <f>'BD Plant List'!$D502/12*'BD Plant List'!AB$5*'BD Feedstock'!$E$3</f>
        <v>9.6875</v>
      </c>
      <c r="F500" s="295">
        <f>'BD Plant List'!$D502/12*'BD Plant List'!AC$5*'BD Feedstock'!$F$3</f>
        <v>3.4291666666666671</v>
      </c>
      <c r="G500" s="295">
        <f>'BD Plant List'!$E502/12*'BD Feedstock'!G$3*'BD Plant List'!AB$5</f>
        <v>1.453125</v>
      </c>
      <c r="H500" s="295">
        <f>'BD Plant List'!$E502/12*'BD Feedstock'!H$3*'BD Plant List'!AC$5</f>
        <v>0.51437500000000003</v>
      </c>
      <c r="I500" s="295">
        <f>'BD Plant List'!F502/12*'BD Feedstock'!I$3*'BD Plant List'!AC$5</f>
        <v>0.13716666666666666</v>
      </c>
      <c r="J500" s="295">
        <f>'BD Plant List'!G502/12*'BD Feedstock'!J$3*'BD Plant List'!AD$5</f>
        <v>0.90199999999999991</v>
      </c>
      <c r="K500" s="295">
        <f>'BD Plant List'!$H502/12*'BD Feedstock'!K$3*'BD Plant List'!AB$5</f>
        <v>0</v>
      </c>
      <c r="L500" s="295">
        <f>'BD Plant List'!$H502/12*'BD Feedstock'!L$3*'BD Plant List'!AC$5</f>
        <v>0</v>
      </c>
      <c r="M500" s="295">
        <f>'BD Plant List'!$I502/12*'BD Feedstock'!$M$3*'BD Plant List'!AC$5</f>
        <v>3.4291666666666671</v>
      </c>
      <c r="N500" s="295">
        <f>'BD Plant List'!$J502/12*'BD Feedstock'!N$3*'BD Plant List'!AC$5</f>
        <v>0</v>
      </c>
      <c r="O500" s="295">
        <f>'BD Plant List'!$K502/12*'BD Feedstock'!O$3*'BD Plant List'!AC$5</f>
        <v>0</v>
      </c>
      <c r="P500" s="295">
        <f>'BD Plant List'!$L502/12*'BD Feedstock'!P$3*'BD Plant List'!AE$5</f>
        <v>0</v>
      </c>
      <c r="Q500" s="295">
        <f>'BD Plant List'!$M502/12*'BD Feedstock'!Q$3*'BD Plant List'!AE$5</f>
        <v>0.93125000000000002</v>
      </c>
      <c r="R500" s="295">
        <f>'BD Plant List'!$N502/12*'BD Feedstock'!R$3*'BD Plant List'!AE$5</f>
        <v>26.540625000000002</v>
      </c>
      <c r="S500" s="295">
        <f>'BD Plant List'!$N502/12*'BD Feedstock'!S$3*'BD Plant List'!AF$5</f>
        <v>1.40625</v>
      </c>
      <c r="T500" s="295">
        <f>'BD Plant List'!$O502/12*'BD Feedstock'!T$3*'BD Plant List'!AB$5</f>
        <v>8.5732126770944213</v>
      </c>
      <c r="U500" s="295">
        <f>'BD Plant List'!$O502/12*'BD Feedstock'!U$3*'BD Plant List'!AC$5</f>
        <v>3.0347329175263269</v>
      </c>
    </row>
    <row r="501" spans="1:21" ht="18">
      <c r="A501" s="293">
        <v>54940</v>
      </c>
      <c r="B501" s="295">
        <f>'BD Plant List'!B503/12*'BD Plant List'!$AE$5*$B$3</f>
        <v>43.458333333333336</v>
      </c>
      <c r="C501" s="295">
        <f>'BD Plant List'!$C503/12*'BD Plant List'!$AB$5*'BD Feedstock'!$D$3</f>
        <v>2.098958333333333</v>
      </c>
      <c r="D501" s="295">
        <f>'BD Plant List'!$C503/12*'BD Plant List'!$AC$5*'BD Feedstock'!$D$3</f>
        <v>2.2289583333333334</v>
      </c>
      <c r="E501" s="295">
        <f>'BD Plant List'!$D503/12*'BD Plant List'!AB$5*'BD Feedstock'!$E$3</f>
        <v>9.6875</v>
      </c>
      <c r="F501" s="295">
        <f>'BD Plant List'!$D503/12*'BD Plant List'!AC$5*'BD Feedstock'!$F$3</f>
        <v>3.4291666666666671</v>
      </c>
      <c r="G501" s="295">
        <f>'BD Plant List'!$E503/12*'BD Feedstock'!G$3*'BD Plant List'!AB$5</f>
        <v>1.453125</v>
      </c>
      <c r="H501" s="295">
        <f>'BD Plant List'!$E503/12*'BD Feedstock'!H$3*'BD Plant List'!AC$5</f>
        <v>0.51437500000000003</v>
      </c>
      <c r="I501" s="295">
        <f>'BD Plant List'!F503/12*'BD Feedstock'!I$3*'BD Plant List'!AC$5</f>
        <v>0.13716666666666666</v>
      </c>
      <c r="J501" s="295">
        <f>'BD Plant List'!G503/12*'BD Feedstock'!J$3*'BD Plant List'!AD$5</f>
        <v>0.90199999999999991</v>
      </c>
      <c r="K501" s="295">
        <f>'BD Plant List'!$H503/12*'BD Feedstock'!K$3*'BD Plant List'!AB$5</f>
        <v>0</v>
      </c>
      <c r="L501" s="295">
        <f>'BD Plant List'!$H503/12*'BD Feedstock'!L$3*'BD Plant List'!AC$5</f>
        <v>0</v>
      </c>
      <c r="M501" s="295">
        <f>'BD Plant List'!$I503/12*'BD Feedstock'!$M$3*'BD Plant List'!AC$5</f>
        <v>3.4291666666666671</v>
      </c>
      <c r="N501" s="295">
        <f>'BD Plant List'!$J503/12*'BD Feedstock'!N$3*'BD Plant List'!AC$5</f>
        <v>0</v>
      </c>
      <c r="O501" s="295">
        <f>'BD Plant List'!$K503/12*'BD Feedstock'!O$3*'BD Plant List'!AC$5</f>
        <v>0</v>
      </c>
      <c r="P501" s="295">
        <f>'BD Plant List'!$L503/12*'BD Feedstock'!P$3*'BD Plant List'!AE$5</f>
        <v>0</v>
      </c>
      <c r="Q501" s="295">
        <f>'BD Plant List'!$M503/12*'BD Feedstock'!Q$3*'BD Plant List'!AE$5</f>
        <v>0.93125000000000002</v>
      </c>
      <c r="R501" s="295">
        <f>'BD Plant List'!$N503/12*'BD Feedstock'!R$3*'BD Plant List'!AE$5</f>
        <v>26.540625000000002</v>
      </c>
      <c r="S501" s="295">
        <f>'BD Plant List'!$N503/12*'BD Feedstock'!S$3*'BD Plant List'!AF$5</f>
        <v>1.40625</v>
      </c>
      <c r="T501" s="295">
        <f>'BD Plant List'!$O503/12*'BD Feedstock'!T$3*'BD Plant List'!AB$5</f>
        <v>8.5732126770944213</v>
      </c>
      <c r="U501" s="295">
        <f>'BD Plant List'!$O503/12*'BD Feedstock'!U$3*'BD Plant List'!AC$5</f>
        <v>3.0347329175263269</v>
      </c>
    </row>
    <row r="502" spans="1:21" ht="18">
      <c r="A502" s="293">
        <v>54970</v>
      </c>
      <c r="B502" s="295">
        <f>'BD Plant List'!B504/12*'BD Plant List'!$AE$5*$B$3</f>
        <v>43.458333333333336</v>
      </c>
      <c r="C502" s="295">
        <f>'BD Plant List'!$C504/12*'BD Plant List'!$AB$5*'BD Feedstock'!$D$3</f>
        <v>2.098958333333333</v>
      </c>
      <c r="D502" s="295">
        <f>'BD Plant List'!$C504/12*'BD Plant List'!$AC$5*'BD Feedstock'!$D$3</f>
        <v>2.2289583333333334</v>
      </c>
      <c r="E502" s="295">
        <f>'BD Plant List'!$D504/12*'BD Plant List'!AB$5*'BD Feedstock'!$E$3</f>
        <v>9.6875</v>
      </c>
      <c r="F502" s="295">
        <f>'BD Plant List'!$D504/12*'BD Plant List'!AC$5*'BD Feedstock'!$F$3</f>
        <v>3.4291666666666671</v>
      </c>
      <c r="G502" s="295">
        <f>'BD Plant List'!$E504/12*'BD Feedstock'!G$3*'BD Plant List'!AB$5</f>
        <v>1.453125</v>
      </c>
      <c r="H502" s="295">
        <f>'BD Plant List'!$E504/12*'BD Feedstock'!H$3*'BD Plant List'!AC$5</f>
        <v>0.51437500000000003</v>
      </c>
      <c r="I502" s="295">
        <f>'BD Plant List'!F504/12*'BD Feedstock'!I$3*'BD Plant List'!AC$5</f>
        <v>0.13716666666666666</v>
      </c>
      <c r="J502" s="295">
        <f>'BD Plant List'!G504/12*'BD Feedstock'!J$3*'BD Plant List'!AD$5</f>
        <v>0.90199999999999991</v>
      </c>
      <c r="K502" s="295">
        <f>'BD Plant List'!$H504/12*'BD Feedstock'!K$3*'BD Plant List'!AB$5</f>
        <v>0</v>
      </c>
      <c r="L502" s="295">
        <f>'BD Plant List'!$H504/12*'BD Feedstock'!L$3*'BD Plant List'!AC$5</f>
        <v>0</v>
      </c>
      <c r="M502" s="295">
        <f>'BD Plant List'!$I504/12*'BD Feedstock'!$M$3*'BD Plant List'!AC$5</f>
        <v>3.4291666666666671</v>
      </c>
      <c r="N502" s="295">
        <f>'BD Plant List'!$J504/12*'BD Feedstock'!N$3*'BD Plant List'!AC$5</f>
        <v>0</v>
      </c>
      <c r="O502" s="295">
        <f>'BD Plant List'!$K504/12*'BD Feedstock'!O$3*'BD Plant List'!AC$5</f>
        <v>0</v>
      </c>
      <c r="P502" s="295">
        <f>'BD Plant List'!$L504/12*'BD Feedstock'!P$3*'BD Plant List'!AE$5</f>
        <v>0</v>
      </c>
      <c r="Q502" s="295">
        <f>'BD Plant List'!$M504/12*'BD Feedstock'!Q$3*'BD Plant List'!AE$5</f>
        <v>0.93125000000000002</v>
      </c>
      <c r="R502" s="295">
        <f>'BD Plant List'!$N504/12*'BD Feedstock'!R$3*'BD Plant List'!AE$5</f>
        <v>26.540625000000002</v>
      </c>
      <c r="S502" s="295">
        <f>'BD Plant List'!$N504/12*'BD Feedstock'!S$3*'BD Plant List'!AF$5</f>
        <v>1.40625</v>
      </c>
      <c r="T502" s="295">
        <f>'BD Plant List'!$O504/12*'BD Feedstock'!T$3*'BD Plant List'!AB$5</f>
        <v>8.5732126770944213</v>
      </c>
      <c r="U502" s="295">
        <f>'BD Plant List'!$O504/12*'BD Feedstock'!U$3*'BD Plant List'!AC$5</f>
        <v>3.0347329175263269</v>
      </c>
    </row>
    <row r="503" spans="1:21" ht="18">
      <c r="A503" s="293">
        <v>55001</v>
      </c>
      <c r="B503" s="295">
        <f>'BD Plant List'!B505/12*'BD Plant List'!$AE$5*$B$3</f>
        <v>43.458333333333336</v>
      </c>
      <c r="C503" s="295">
        <f>'BD Plant List'!$C505/12*'BD Plant List'!$AB$5*'BD Feedstock'!$D$3</f>
        <v>2.098958333333333</v>
      </c>
      <c r="D503" s="295">
        <f>'BD Plant List'!$C505/12*'BD Plant List'!$AC$5*'BD Feedstock'!$D$3</f>
        <v>2.2289583333333334</v>
      </c>
      <c r="E503" s="295">
        <f>'BD Plant List'!$D505/12*'BD Plant List'!AB$5*'BD Feedstock'!$E$3</f>
        <v>9.6875</v>
      </c>
      <c r="F503" s="295">
        <f>'BD Plant List'!$D505/12*'BD Plant List'!AC$5*'BD Feedstock'!$F$3</f>
        <v>3.4291666666666671</v>
      </c>
      <c r="G503" s="295">
        <f>'BD Plant List'!$E505/12*'BD Feedstock'!G$3*'BD Plant List'!AB$5</f>
        <v>1.453125</v>
      </c>
      <c r="H503" s="295">
        <f>'BD Plant List'!$E505/12*'BD Feedstock'!H$3*'BD Plant List'!AC$5</f>
        <v>0.51437500000000003</v>
      </c>
      <c r="I503" s="295">
        <f>'BD Plant List'!F505/12*'BD Feedstock'!I$3*'BD Plant List'!AC$5</f>
        <v>0.13716666666666666</v>
      </c>
      <c r="J503" s="295">
        <f>'BD Plant List'!G505/12*'BD Feedstock'!J$3*'BD Plant List'!AD$5</f>
        <v>0.90199999999999991</v>
      </c>
      <c r="K503" s="295">
        <f>'BD Plant List'!$H505/12*'BD Feedstock'!K$3*'BD Plant List'!AB$5</f>
        <v>0</v>
      </c>
      <c r="L503" s="295">
        <f>'BD Plant List'!$H505/12*'BD Feedstock'!L$3*'BD Plant List'!AC$5</f>
        <v>0</v>
      </c>
      <c r="M503" s="295">
        <f>'BD Plant List'!$I505/12*'BD Feedstock'!$M$3*'BD Plant List'!AC$5</f>
        <v>3.4291666666666671</v>
      </c>
      <c r="N503" s="295">
        <f>'BD Plant List'!$J505/12*'BD Feedstock'!N$3*'BD Plant List'!AC$5</f>
        <v>0</v>
      </c>
      <c r="O503" s="295">
        <f>'BD Plant List'!$K505/12*'BD Feedstock'!O$3*'BD Plant List'!AC$5</f>
        <v>0</v>
      </c>
      <c r="P503" s="295">
        <f>'BD Plant List'!$L505/12*'BD Feedstock'!P$3*'BD Plant List'!AE$5</f>
        <v>0</v>
      </c>
      <c r="Q503" s="295">
        <f>'BD Plant List'!$M505/12*'BD Feedstock'!Q$3*'BD Plant List'!AE$5</f>
        <v>0.93125000000000002</v>
      </c>
      <c r="R503" s="295">
        <f>'BD Plant List'!$N505/12*'BD Feedstock'!R$3*'BD Plant List'!AE$5</f>
        <v>26.540625000000002</v>
      </c>
      <c r="S503" s="295">
        <f>'BD Plant List'!$N505/12*'BD Feedstock'!S$3*'BD Plant List'!AF$5</f>
        <v>1.40625</v>
      </c>
      <c r="T503" s="295">
        <f>'BD Plant List'!$O505/12*'BD Feedstock'!T$3*'BD Plant List'!AB$5</f>
        <v>8.5732126770944213</v>
      </c>
      <c r="U503" s="295">
        <f>'BD Plant List'!$O505/12*'BD Feedstock'!U$3*'BD Plant List'!AC$5</f>
        <v>3.0347329175263269</v>
      </c>
    </row>
    <row r="504" spans="1:21" ht="18">
      <c r="A504" s="293">
        <v>55032</v>
      </c>
      <c r="B504" s="295">
        <f>'BD Plant List'!B506/12*'BD Plant List'!$AE$5*$B$3</f>
        <v>43.458333333333336</v>
      </c>
      <c r="C504" s="295">
        <f>'BD Plant List'!$C506/12*'BD Plant List'!$AB$5*'BD Feedstock'!$D$3</f>
        <v>2.098958333333333</v>
      </c>
      <c r="D504" s="295">
        <f>'BD Plant List'!$C506/12*'BD Plant List'!$AC$5*'BD Feedstock'!$D$3</f>
        <v>2.2289583333333334</v>
      </c>
      <c r="E504" s="295">
        <f>'BD Plant List'!$D506/12*'BD Plant List'!AB$5*'BD Feedstock'!$E$3</f>
        <v>9.6875</v>
      </c>
      <c r="F504" s="295">
        <f>'BD Plant List'!$D506/12*'BD Plant List'!AC$5*'BD Feedstock'!$F$3</f>
        <v>3.4291666666666671</v>
      </c>
      <c r="G504" s="295">
        <f>'BD Plant List'!$E506/12*'BD Feedstock'!G$3*'BD Plant List'!AB$5</f>
        <v>1.453125</v>
      </c>
      <c r="H504" s="295">
        <f>'BD Plant List'!$E506/12*'BD Feedstock'!H$3*'BD Plant List'!AC$5</f>
        <v>0.51437500000000003</v>
      </c>
      <c r="I504" s="295">
        <f>'BD Plant List'!F506/12*'BD Feedstock'!I$3*'BD Plant List'!AC$5</f>
        <v>0.13716666666666666</v>
      </c>
      <c r="J504" s="295">
        <f>'BD Plant List'!G506/12*'BD Feedstock'!J$3*'BD Plant List'!AD$5</f>
        <v>0.90199999999999991</v>
      </c>
      <c r="K504" s="295">
        <f>'BD Plant List'!$H506/12*'BD Feedstock'!K$3*'BD Plant List'!AB$5</f>
        <v>0</v>
      </c>
      <c r="L504" s="295">
        <f>'BD Plant List'!$H506/12*'BD Feedstock'!L$3*'BD Plant List'!AC$5</f>
        <v>0</v>
      </c>
      <c r="M504" s="295">
        <f>'BD Plant List'!$I506/12*'BD Feedstock'!$M$3*'BD Plant List'!AC$5</f>
        <v>3.4291666666666671</v>
      </c>
      <c r="N504" s="295">
        <f>'BD Plant List'!$J506/12*'BD Feedstock'!N$3*'BD Plant List'!AC$5</f>
        <v>0</v>
      </c>
      <c r="O504" s="295">
        <f>'BD Plant List'!$K506/12*'BD Feedstock'!O$3*'BD Plant List'!AC$5</f>
        <v>0</v>
      </c>
      <c r="P504" s="295">
        <f>'BD Plant List'!$L506/12*'BD Feedstock'!P$3*'BD Plant List'!AE$5</f>
        <v>0</v>
      </c>
      <c r="Q504" s="295">
        <f>'BD Plant List'!$M506/12*'BD Feedstock'!Q$3*'BD Plant List'!AE$5</f>
        <v>0.93125000000000002</v>
      </c>
      <c r="R504" s="295">
        <f>'BD Plant List'!$N506/12*'BD Feedstock'!R$3*'BD Plant List'!AE$5</f>
        <v>26.540625000000002</v>
      </c>
      <c r="S504" s="295">
        <f>'BD Plant List'!$N506/12*'BD Feedstock'!S$3*'BD Plant List'!AF$5</f>
        <v>1.40625</v>
      </c>
      <c r="T504" s="295">
        <f>'BD Plant List'!$O506/12*'BD Feedstock'!T$3*'BD Plant List'!AB$5</f>
        <v>8.5732126770944213</v>
      </c>
      <c r="U504" s="295">
        <f>'BD Plant List'!$O506/12*'BD Feedstock'!U$3*'BD Plant List'!AC$5</f>
        <v>3.0347329175263269</v>
      </c>
    </row>
    <row r="505" spans="1:21" ht="18">
      <c r="A505" s="293">
        <v>55062</v>
      </c>
      <c r="B505" s="295">
        <f>'BD Plant List'!B507/12*'BD Plant List'!$AE$5*$B$3</f>
        <v>43.458333333333336</v>
      </c>
      <c r="C505" s="295">
        <f>'BD Plant List'!$C507/12*'BD Plant List'!$AB$5*'BD Feedstock'!$D$3</f>
        <v>2.098958333333333</v>
      </c>
      <c r="D505" s="295">
        <f>'BD Plant List'!$C507/12*'BD Plant List'!$AC$5*'BD Feedstock'!$D$3</f>
        <v>2.2289583333333334</v>
      </c>
      <c r="E505" s="295">
        <f>'BD Plant List'!$D507/12*'BD Plant List'!AB$5*'BD Feedstock'!$E$3</f>
        <v>9.6875</v>
      </c>
      <c r="F505" s="295">
        <f>'BD Plant List'!$D507/12*'BD Plant List'!AC$5*'BD Feedstock'!$F$3</f>
        <v>3.4291666666666671</v>
      </c>
      <c r="G505" s="295">
        <f>'BD Plant List'!$E507/12*'BD Feedstock'!G$3*'BD Plant List'!AB$5</f>
        <v>1.453125</v>
      </c>
      <c r="H505" s="295">
        <f>'BD Plant List'!$E507/12*'BD Feedstock'!H$3*'BD Plant List'!AC$5</f>
        <v>0.51437500000000003</v>
      </c>
      <c r="I505" s="295">
        <f>'BD Plant List'!F507/12*'BD Feedstock'!I$3*'BD Plant List'!AC$5</f>
        <v>0.13716666666666666</v>
      </c>
      <c r="J505" s="295">
        <f>'BD Plant List'!G507/12*'BD Feedstock'!J$3*'BD Plant List'!AD$5</f>
        <v>0.90199999999999991</v>
      </c>
      <c r="K505" s="295">
        <f>'BD Plant List'!$H507/12*'BD Feedstock'!K$3*'BD Plant List'!AB$5</f>
        <v>0</v>
      </c>
      <c r="L505" s="295">
        <f>'BD Plant List'!$H507/12*'BD Feedstock'!L$3*'BD Plant List'!AC$5</f>
        <v>0</v>
      </c>
      <c r="M505" s="295">
        <f>'BD Plant List'!$I507/12*'BD Feedstock'!$M$3*'BD Plant List'!AC$5</f>
        <v>3.4291666666666671</v>
      </c>
      <c r="N505" s="295">
        <f>'BD Plant List'!$J507/12*'BD Feedstock'!N$3*'BD Plant List'!AC$5</f>
        <v>0</v>
      </c>
      <c r="O505" s="295">
        <f>'BD Plant List'!$K507/12*'BD Feedstock'!O$3*'BD Plant List'!AC$5</f>
        <v>0</v>
      </c>
      <c r="P505" s="295">
        <f>'BD Plant List'!$L507/12*'BD Feedstock'!P$3*'BD Plant List'!AE$5</f>
        <v>0</v>
      </c>
      <c r="Q505" s="295">
        <f>'BD Plant List'!$M507/12*'BD Feedstock'!Q$3*'BD Plant List'!AE$5</f>
        <v>0.93125000000000002</v>
      </c>
      <c r="R505" s="295">
        <f>'BD Plant List'!$N507/12*'BD Feedstock'!R$3*'BD Plant List'!AE$5</f>
        <v>26.540625000000002</v>
      </c>
      <c r="S505" s="295">
        <f>'BD Plant List'!$N507/12*'BD Feedstock'!S$3*'BD Plant List'!AF$5</f>
        <v>1.40625</v>
      </c>
      <c r="T505" s="295">
        <f>'BD Plant List'!$O507/12*'BD Feedstock'!T$3*'BD Plant List'!AB$5</f>
        <v>8.5732126770944213</v>
      </c>
      <c r="U505" s="295">
        <f>'BD Plant List'!$O507/12*'BD Feedstock'!U$3*'BD Plant List'!AC$5</f>
        <v>3.0347329175263269</v>
      </c>
    </row>
    <row r="506" spans="1:21" ht="18">
      <c r="A506" s="293">
        <v>55093</v>
      </c>
      <c r="B506" s="295">
        <f>'BD Plant List'!B508/12*'BD Plant List'!$AE$5*$B$3</f>
        <v>43.458333333333336</v>
      </c>
      <c r="C506" s="295">
        <f>'BD Plant List'!$C508/12*'BD Plant List'!$AB$5*'BD Feedstock'!$D$3</f>
        <v>2.098958333333333</v>
      </c>
      <c r="D506" s="295">
        <f>'BD Plant List'!$C508/12*'BD Plant List'!$AC$5*'BD Feedstock'!$D$3</f>
        <v>2.2289583333333334</v>
      </c>
      <c r="E506" s="295">
        <f>'BD Plant List'!$D508/12*'BD Plant List'!AB$5*'BD Feedstock'!$E$3</f>
        <v>9.6875</v>
      </c>
      <c r="F506" s="295">
        <f>'BD Plant List'!$D508/12*'BD Plant List'!AC$5*'BD Feedstock'!$F$3</f>
        <v>3.4291666666666671</v>
      </c>
      <c r="G506" s="295">
        <f>'BD Plant List'!$E508/12*'BD Feedstock'!G$3*'BD Plant List'!AB$5</f>
        <v>1.453125</v>
      </c>
      <c r="H506" s="295">
        <f>'BD Plant List'!$E508/12*'BD Feedstock'!H$3*'BD Plant List'!AC$5</f>
        <v>0.51437500000000003</v>
      </c>
      <c r="I506" s="295">
        <f>'BD Plant List'!F508/12*'BD Feedstock'!I$3*'BD Plant List'!AC$5</f>
        <v>0.13716666666666666</v>
      </c>
      <c r="J506" s="295">
        <f>'BD Plant List'!G508/12*'BD Feedstock'!J$3*'BD Plant List'!AD$5</f>
        <v>0.90199999999999991</v>
      </c>
      <c r="K506" s="295">
        <f>'BD Plant List'!$H508/12*'BD Feedstock'!K$3*'BD Plant List'!AB$5</f>
        <v>0</v>
      </c>
      <c r="L506" s="295">
        <f>'BD Plant List'!$H508/12*'BD Feedstock'!L$3*'BD Plant List'!AC$5</f>
        <v>0</v>
      </c>
      <c r="M506" s="295">
        <f>'BD Plant List'!$I508/12*'BD Feedstock'!$M$3*'BD Plant List'!AC$5</f>
        <v>3.4291666666666671</v>
      </c>
      <c r="N506" s="295">
        <f>'BD Plant List'!$J508/12*'BD Feedstock'!N$3*'BD Plant List'!AC$5</f>
        <v>0</v>
      </c>
      <c r="O506" s="295">
        <f>'BD Plant List'!$K508/12*'BD Feedstock'!O$3*'BD Plant List'!AC$5</f>
        <v>0</v>
      </c>
      <c r="P506" s="295">
        <f>'BD Plant List'!$L508/12*'BD Feedstock'!P$3*'BD Plant List'!AE$5</f>
        <v>0</v>
      </c>
      <c r="Q506" s="295">
        <f>'BD Plant List'!$M508/12*'BD Feedstock'!Q$3*'BD Plant List'!AE$5</f>
        <v>0.93125000000000002</v>
      </c>
      <c r="R506" s="295">
        <f>'BD Plant List'!$N508/12*'BD Feedstock'!R$3*'BD Plant List'!AE$5</f>
        <v>26.540625000000002</v>
      </c>
      <c r="S506" s="295">
        <f>'BD Plant List'!$N508/12*'BD Feedstock'!S$3*'BD Plant List'!AF$5</f>
        <v>1.40625</v>
      </c>
      <c r="T506" s="295">
        <f>'BD Plant List'!$O508/12*'BD Feedstock'!T$3*'BD Plant List'!AB$5</f>
        <v>8.5732126770944213</v>
      </c>
      <c r="U506" s="295">
        <f>'BD Plant List'!$O508/12*'BD Feedstock'!U$3*'BD Plant List'!AC$5</f>
        <v>3.0347329175263269</v>
      </c>
    </row>
    <row r="507" spans="1:21" ht="18">
      <c r="A507" s="293">
        <v>55123</v>
      </c>
      <c r="B507" s="295">
        <f>'BD Plant List'!B509/12*'BD Plant List'!$AE$5*$B$3</f>
        <v>43.458333333333336</v>
      </c>
      <c r="C507" s="295">
        <f>'BD Plant List'!$C509/12*'BD Plant List'!$AB$5*'BD Feedstock'!$D$3</f>
        <v>2.098958333333333</v>
      </c>
      <c r="D507" s="295">
        <f>'BD Plant List'!$C509/12*'BD Plant List'!$AC$5*'BD Feedstock'!$D$3</f>
        <v>2.2289583333333334</v>
      </c>
      <c r="E507" s="295">
        <f>'BD Plant List'!$D509/12*'BD Plant List'!AB$5*'BD Feedstock'!$E$3</f>
        <v>9.6875</v>
      </c>
      <c r="F507" s="295">
        <f>'BD Plant List'!$D509/12*'BD Plant List'!AC$5*'BD Feedstock'!$F$3</f>
        <v>3.4291666666666671</v>
      </c>
      <c r="G507" s="295">
        <f>'BD Plant List'!$E509/12*'BD Feedstock'!G$3*'BD Plant List'!AB$5</f>
        <v>1.453125</v>
      </c>
      <c r="H507" s="295">
        <f>'BD Plant List'!$E509/12*'BD Feedstock'!H$3*'BD Plant List'!AC$5</f>
        <v>0.51437500000000003</v>
      </c>
      <c r="I507" s="295">
        <f>'BD Plant List'!F509/12*'BD Feedstock'!I$3*'BD Plant List'!AC$5</f>
        <v>0.13716666666666666</v>
      </c>
      <c r="J507" s="295">
        <f>'BD Plant List'!G509/12*'BD Feedstock'!J$3*'BD Plant List'!AD$5</f>
        <v>0.90199999999999991</v>
      </c>
      <c r="K507" s="295">
        <f>'BD Plant List'!$H509/12*'BD Feedstock'!K$3*'BD Plant List'!AB$5</f>
        <v>0</v>
      </c>
      <c r="L507" s="295">
        <f>'BD Plant List'!$H509/12*'BD Feedstock'!L$3*'BD Plant List'!AC$5</f>
        <v>0</v>
      </c>
      <c r="M507" s="295">
        <f>'BD Plant List'!$I509/12*'BD Feedstock'!$M$3*'BD Plant List'!AC$5</f>
        <v>3.4291666666666671</v>
      </c>
      <c r="N507" s="295">
        <f>'BD Plant List'!$J509/12*'BD Feedstock'!N$3*'BD Plant List'!AC$5</f>
        <v>0</v>
      </c>
      <c r="O507" s="295">
        <f>'BD Plant List'!$K509/12*'BD Feedstock'!O$3*'BD Plant List'!AC$5</f>
        <v>0</v>
      </c>
      <c r="P507" s="295">
        <f>'BD Plant List'!$L509/12*'BD Feedstock'!P$3*'BD Plant List'!AE$5</f>
        <v>0</v>
      </c>
      <c r="Q507" s="295">
        <f>'BD Plant List'!$M509/12*'BD Feedstock'!Q$3*'BD Plant List'!AE$5</f>
        <v>0.93125000000000002</v>
      </c>
      <c r="R507" s="295">
        <f>'BD Plant List'!$N509/12*'BD Feedstock'!R$3*'BD Plant List'!AE$5</f>
        <v>26.540625000000002</v>
      </c>
      <c r="S507" s="295">
        <f>'BD Plant List'!$N509/12*'BD Feedstock'!S$3*'BD Plant List'!AF$5</f>
        <v>1.40625</v>
      </c>
      <c r="T507" s="295">
        <f>'BD Plant List'!$O509/12*'BD Feedstock'!T$3*'BD Plant List'!AB$5</f>
        <v>8.5732126770944213</v>
      </c>
      <c r="U507" s="295">
        <f>'BD Plant List'!$O509/12*'BD Feedstock'!U$3*'BD Plant List'!AC$5</f>
        <v>3.0347329175263269</v>
      </c>
    </row>
  </sheetData>
  <mergeCells count="6">
    <mergeCell ref="C1:D1"/>
    <mergeCell ref="E1:F1"/>
    <mergeCell ref="G1:H1"/>
    <mergeCell ref="K1:L1"/>
    <mergeCell ref="R1:S1"/>
    <mergeCell ref="T1:U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A6FC-9D15-43F8-9DE3-29FD3C33C926}">
  <dimension ref="A1:J375"/>
  <sheetViews>
    <sheetView zoomScale="70" zoomScaleNormal="70" workbookViewId="0">
      <pane xSplit="1" ySplit="3" topLeftCell="B127" activePane="bottomRight" state="frozen"/>
      <selection activeCell="A7" sqref="A7"/>
      <selection pane="topRight" activeCell="A7" sqref="A7"/>
      <selection pane="bottomLeft" activeCell="A7" sqref="A7"/>
      <selection pane="bottomRight" activeCell="A7" sqref="A7"/>
    </sheetView>
  </sheetViews>
  <sheetFormatPr defaultRowHeight="12.75"/>
  <cols>
    <col min="1" max="1" width="11.6640625" customWidth="1"/>
    <col min="2" max="10" width="20" customWidth="1"/>
  </cols>
  <sheetData>
    <row r="1" spans="1:10" ht="72">
      <c r="B1" s="290" t="s">
        <v>355</v>
      </c>
      <c r="C1" s="290"/>
      <c r="D1" s="290" t="s">
        <v>356</v>
      </c>
      <c r="E1" s="290"/>
      <c r="F1" s="290" t="s">
        <v>357</v>
      </c>
      <c r="G1" s="290"/>
      <c r="H1" s="289" t="s">
        <v>358</v>
      </c>
      <c r="I1" s="290" t="s">
        <v>359</v>
      </c>
      <c r="J1" s="290"/>
    </row>
    <row r="2" spans="1:10" ht="18">
      <c r="B2" s="291" t="s">
        <v>337</v>
      </c>
      <c r="C2" s="291" t="s">
        <v>338</v>
      </c>
      <c r="D2" s="291" t="s">
        <v>337</v>
      </c>
      <c r="E2" s="291" t="s">
        <v>338</v>
      </c>
      <c r="F2" s="291" t="s">
        <v>334</v>
      </c>
      <c r="G2" s="291" t="s">
        <v>335</v>
      </c>
      <c r="H2" s="291" t="s">
        <v>337</v>
      </c>
      <c r="I2" s="291" t="s">
        <v>334</v>
      </c>
      <c r="J2" s="291" t="s">
        <v>335</v>
      </c>
    </row>
    <row r="3" spans="1:10" ht="18">
      <c r="B3" s="292">
        <v>0.95</v>
      </c>
      <c r="C3" s="292">
        <v>0.05</v>
      </c>
      <c r="D3" s="292">
        <v>0.95</v>
      </c>
      <c r="E3" s="292">
        <v>0.05</v>
      </c>
      <c r="F3" s="292">
        <v>0.75</v>
      </c>
      <c r="G3" s="292">
        <v>0.25</v>
      </c>
      <c r="H3" s="292">
        <v>1</v>
      </c>
      <c r="I3" s="292">
        <v>0.75</v>
      </c>
      <c r="J3" s="292">
        <v>0.25</v>
      </c>
    </row>
    <row r="4" spans="1:10" ht="18">
      <c r="A4" s="293">
        <v>43831</v>
      </c>
    </row>
    <row r="5" spans="1:10" ht="18">
      <c r="A5" s="293">
        <v>43862</v>
      </c>
    </row>
    <row r="6" spans="1:10" ht="18">
      <c r="A6" s="293">
        <v>43891</v>
      </c>
    </row>
    <row r="7" spans="1:10" ht="18">
      <c r="A7" s="293">
        <v>43922</v>
      </c>
    </row>
    <row r="8" spans="1:10" ht="18">
      <c r="A8" s="293">
        <v>43952</v>
      </c>
    </row>
    <row r="9" spans="1:10" ht="18">
      <c r="A9" s="293">
        <v>43983</v>
      </c>
    </row>
    <row r="10" spans="1:10" ht="18">
      <c r="A10" s="293">
        <v>44013</v>
      </c>
    </row>
    <row r="11" spans="1:10" ht="18">
      <c r="A11" s="293">
        <v>44044</v>
      </c>
    </row>
    <row r="12" spans="1:10" ht="18">
      <c r="A12" s="293">
        <v>44075</v>
      </c>
    </row>
    <row r="13" spans="1:10" ht="18">
      <c r="A13" s="293">
        <v>44105</v>
      </c>
    </row>
    <row r="14" spans="1:10" ht="18">
      <c r="A14" s="293">
        <v>44136</v>
      </c>
    </row>
    <row r="15" spans="1:10" ht="18">
      <c r="A15" s="293">
        <v>44166</v>
      </c>
    </row>
    <row r="16" spans="1:10" ht="18">
      <c r="A16" s="293">
        <v>44197</v>
      </c>
    </row>
    <row r="17" spans="1:1" ht="18">
      <c r="A17" s="293">
        <v>44228</v>
      </c>
    </row>
    <row r="18" spans="1:1" ht="18">
      <c r="A18" s="293">
        <v>44256</v>
      </c>
    </row>
    <row r="19" spans="1:1" ht="18">
      <c r="A19" s="293">
        <v>44287</v>
      </c>
    </row>
    <row r="20" spans="1:1" ht="18">
      <c r="A20" s="293">
        <v>44317</v>
      </c>
    </row>
    <row r="21" spans="1:1" ht="18">
      <c r="A21" s="293">
        <v>44348</v>
      </c>
    </row>
    <row r="22" spans="1:1" ht="18">
      <c r="A22" s="293">
        <v>44378</v>
      </c>
    </row>
    <row r="23" spans="1:1" ht="18">
      <c r="A23" s="293">
        <v>44409</v>
      </c>
    </row>
    <row r="24" spans="1:1" ht="18">
      <c r="A24" s="293">
        <v>44440</v>
      </c>
    </row>
    <row r="25" spans="1:1" ht="18">
      <c r="A25" s="293">
        <v>44470</v>
      </c>
    </row>
    <row r="26" spans="1:1" ht="18">
      <c r="A26" s="293">
        <v>44501</v>
      </c>
    </row>
    <row r="27" spans="1:1" ht="18">
      <c r="A27" s="293">
        <v>44531</v>
      </c>
    </row>
    <row r="28" spans="1:1" ht="18">
      <c r="A28" s="293">
        <v>44562</v>
      </c>
    </row>
    <row r="29" spans="1:1" ht="18">
      <c r="A29" s="293">
        <v>44593</v>
      </c>
    </row>
    <row r="30" spans="1:1" ht="18">
      <c r="A30" s="293">
        <v>44621</v>
      </c>
    </row>
    <row r="31" spans="1:1" ht="18">
      <c r="A31" s="293">
        <v>44652</v>
      </c>
    </row>
    <row r="32" spans="1:1" ht="18">
      <c r="A32" s="293">
        <v>44682</v>
      </c>
    </row>
    <row r="33" spans="1:10" ht="18">
      <c r="A33" s="293">
        <v>44713</v>
      </c>
    </row>
    <row r="34" spans="1:10" ht="18">
      <c r="A34" s="293">
        <v>44743</v>
      </c>
    </row>
    <row r="35" spans="1:10" ht="18">
      <c r="A35" s="293">
        <v>44774</v>
      </c>
    </row>
    <row r="36" spans="1:10" ht="18">
      <c r="A36" s="293">
        <v>44805</v>
      </c>
    </row>
    <row r="37" spans="1:10" ht="18">
      <c r="A37" s="293">
        <v>44835</v>
      </c>
    </row>
    <row r="38" spans="1:10" ht="18">
      <c r="A38" s="293">
        <v>44866</v>
      </c>
    </row>
    <row r="39" spans="1:10" ht="18">
      <c r="A39" s="293">
        <v>44896</v>
      </c>
    </row>
    <row r="40" spans="1:10" ht="18">
      <c r="A40" s="293">
        <v>44927</v>
      </c>
    </row>
    <row r="41" spans="1:10" ht="18">
      <c r="A41" s="293">
        <v>44958</v>
      </c>
    </row>
    <row r="42" spans="1:10" ht="18">
      <c r="A42" s="293">
        <v>44986</v>
      </c>
    </row>
    <row r="43" spans="1:10" ht="18">
      <c r="A43" s="293">
        <v>45017</v>
      </c>
      <c r="F43" s="299">
        <f>'RD Plant List'!$D45/12*'RD Feedstock'!F$3*'RD Plant List'!AB$5</f>
        <v>0.47187499999999999</v>
      </c>
      <c r="G43" s="299">
        <f>'RD Plant List'!$D45/12*'RD Feedstock'!G$3*'RD Plant List'!AC$5</f>
        <v>0.15625</v>
      </c>
      <c r="I43" s="299">
        <f>'RD Plant List'!$F45/12*'RD Feedstock'!I$3*'RD Plant List'!AB$5</f>
        <v>4.71875</v>
      </c>
      <c r="J43" s="299">
        <f>'RD Plant List'!$F45/12*'RD Feedstock'!J$3*'RD Plant List'!AC$5</f>
        <v>1.5625</v>
      </c>
    </row>
    <row r="44" spans="1:10" ht="18">
      <c r="A44" s="293">
        <v>45047</v>
      </c>
      <c r="F44" s="299">
        <f>'RD Plant List'!$D46/12*'RD Feedstock'!F$3*'RD Plant List'!AB$5</f>
        <v>1.4156249999999999</v>
      </c>
      <c r="G44" s="299">
        <f>'RD Plant List'!$D46/12*'RD Feedstock'!G$3*'RD Plant List'!AC$5</f>
        <v>0.46875</v>
      </c>
      <c r="I44" s="299">
        <f>'RD Plant List'!$F46/12*'RD Feedstock'!I$3*'RD Plant List'!AB$5</f>
        <v>11.796875</v>
      </c>
      <c r="J44" s="299">
        <f>'RD Plant List'!$F46/12*'RD Feedstock'!J$3*'RD Plant List'!AC$5</f>
        <v>3.9062500000000004</v>
      </c>
    </row>
    <row r="45" spans="1:10" ht="18">
      <c r="A45" s="293">
        <v>45078</v>
      </c>
      <c r="F45" s="299">
        <f>'RD Plant List'!$D47/12*'RD Feedstock'!F$3*'RD Plant List'!AB$5</f>
        <v>2.359375</v>
      </c>
      <c r="G45" s="299">
        <f>'RD Plant List'!$D47/12*'RD Feedstock'!G$3*'RD Plant List'!AC$5</f>
        <v>0.78125</v>
      </c>
      <c r="I45" s="299">
        <f>'RD Plant List'!$F47/12*'RD Feedstock'!I$3*'RD Plant List'!AB$5</f>
        <v>20.762499999999999</v>
      </c>
      <c r="J45" s="299">
        <f>'RD Plant List'!$F47/12*'RD Feedstock'!J$3*'RD Plant List'!AC$5</f>
        <v>6.875</v>
      </c>
    </row>
    <row r="46" spans="1:10" ht="18">
      <c r="A46" s="293">
        <v>45108</v>
      </c>
      <c r="F46" s="299">
        <f>'RD Plant List'!$D48/12*'RD Feedstock'!F$3*'RD Plant List'!AB$5</f>
        <v>2.359375</v>
      </c>
      <c r="G46" s="299">
        <f>'RD Plant List'!$D48/12*'RD Feedstock'!G$3*'RD Plant List'!AC$5</f>
        <v>0.78125</v>
      </c>
      <c r="I46" s="299">
        <f>'RD Plant List'!$F48/12*'RD Feedstock'!I$3*'RD Plant List'!AB$5</f>
        <v>20.762499999999999</v>
      </c>
      <c r="J46" s="299">
        <f>'RD Plant List'!$F48/12*'RD Feedstock'!J$3*'RD Plant List'!AC$5</f>
        <v>6.875</v>
      </c>
    </row>
    <row r="47" spans="1:10" ht="18">
      <c r="A47" s="293">
        <v>45139</v>
      </c>
      <c r="F47" s="299">
        <f>'RD Plant List'!$D49/12*'RD Feedstock'!F$3*'RD Plant List'!AB$5</f>
        <v>2.359375</v>
      </c>
      <c r="G47" s="299">
        <f>'RD Plant List'!$D49/12*'RD Feedstock'!G$3*'RD Plant List'!AC$5</f>
        <v>0.78125</v>
      </c>
      <c r="I47" s="299">
        <f>'RD Plant List'!$F49/12*'RD Feedstock'!I$3*'RD Plant List'!AB$5</f>
        <v>20.762499999999999</v>
      </c>
      <c r="J47" s="299">
        <f>'RD Plant List'!$F49/12*'RD Feedstock'!J$3*'RD Plant List'!AC$5</f>
        <v>6.875</v>
      </c>
    </row>
    <row r="48" spans="1:10" ht="18">
      <c r="A48" s="293">
        <v>45170</v>
      </c>
      <c r="F48" s="299">
        <f>'RD Plant List'!$D50/12*'RD Feedstock'!F$3*'RD Plant List'!AB$5</f>
        <v>2.359375</v>
      </c>
      <c r="G48" s="299">
        <f>'RD Plant List'!$D50/12*'RD Feedstock'!G$3*'RD Plant List'!AC$5</f>
        <v>0.78125</v>
      </c>
      <c r="I48" s="299">
        <f>'RD Plant List'!$F50/12*'RD Feedstock'!I$3*'RD Plant List'!AB$5</f>
        <v>20.762499999999999</v>
      </c>
      <c r="J48" s="299">
        <f>'RD Plant List'!$F50/12*'RD Feedstock'!J$3*'RD Plant List'!AC$5</f>
        <v>6.875</v>
      </c>
    </row>
    <row r="49" spans="1:10" ht="18">
      <c r="A49" s="293">
        <v>45200</v>
      </c>
      <c r="F49" s="299">
        <f>'RD Plant List'!$D51/12*'RD Feedstock'!F$3*'RD Plant List'!AB$5</f>
        <v>2.359375</v>
      </c>
      <c r="G49" s="299">
        <f>'RD Plant List'!$D51/12*'RD Feedstock'!G$3*'RD Plant List'!AC$5</f>
        <v>0.78125</v>
      </c>
      <c r="I49" s="299">
        <f>'RD Plant List'!$F51/12*'RD Feedstock'!I$3*'RD Plant List'!AB$5</f>
        <v>20.762499999999999</v>
      </c>
      <c r="J49" s="299">
        <f>'RD Plant List'!$F51/12*'RD Feedstock'!J$3*'RD Plant List'!AC$5</f>
        <v>6.875</v>
      </c>
    </row>
    <row r="50" spans="1:10" ht="18">
      <c r="A50" s="293">
        <v>45231</v>
      </c>
      <c r="F50" s="299">
        <f>'RD Plant List'!$D52/12*'RD Feedstock'!F$3*'RD Plant List'!AB$5</f>
        <v>2.359375</v>
      </c>
      <c r="G50" s="299">
        <f>'RD Plant List'!$D52/12*'RD Feedstock'!G$3*'RD Plant List'!AC$5</f>
        <v>0.78125</v>
      </c>
      <c r="I50" s="299">
        <f>'RD Plant List'!$F52/12*'RD Feedstock'!I$3*'RD Plant List'!AB$5</f>
        <v>20.762499999999999</v>
      </c>
      <c r="J50" s="299">
        <f>'RD Plant List'!$F52/12*'RD Feedstock'!J$3*'RD Plant List'!AC$5</f>
        <v>6.875</v>
      </c>
    </row>
    <row r="51" spans="1:10" ht="18">
      <c r="A51" s="293">
        <v>45261</v>
      </c>
      <c r="F51" s="299">
        <f>'RD Plant List'!$D53/12*'RD Feedstock'!F$3*'RD Plant List'!AB$5</f>
        <v>2.359375</v>
      </c>
      <c r="G51" s="299">
        <f>'RD Plant List'!$D53/12*'RD Feedstock'!G$3*'RD Plant List'!AC$5</f>
        <v>0.78125</v>
      </c>
      <c r="I51" s="299">
        <f>'RD Plant List'!$F53/12*'RD Feedstock'!I$3*'RD Plant List'!AB$5</f>
        <v>20.762499999999999</v>
      </c>
      <c r="J51" s="299">
        <f>'RD Plant List'!$F53/12*'RD Feedstock'!J$3*'RD Plant List'!AC$5</f>
        <v>6.875</v>
      </c>
    </row>
    <row r="52" spans="1:10" ht="18">
      <c r="A52" s="293">
        <v>45292</v>
      </c>
      <c r="F52" s="299">
        <f>'RD Plant List'!$D54/12*'RD Feedstock'!F$3*'RD Plant List'!AB$5</f>
        <v>2.359375</v>
      </c>
      <c r="G52" s="299">
        <f>'RD Plant List'!$D54/12*'RD Feedstock'!G$3*'RD Plant List'!AC$5</f>
        <v>0.78125</v>
      </c>
      <c r="I52" s="299">
        <f>'RD Plant List'!$F54/12*'RD Feedstock'!I$3*'RD Plant List'!AB$5</f>
        <v>20.762499999999999</v>
      </c>
      <c r="J52" s="299">
        <f>'RD Plant List'!$F54/12*'RD Feedstock'!J$3*'RD Plant List'!AC$5</f>
        <v>6.875</v>
      </c>
    </row>
    <row r="53" spans="1:10" ht="18">
      <c r="A53" s="293">
        <v>45323</v>
      </c>
      <c r="F53" s="299">
        <f>'RD Plant List'!$D55/12*'RD Feedstock'!F$3*'RD Plant List'!AB$5</f>
        <v>2.359375</v>
      </c>
      <c r="G53" s="299">
        <f>'RD Plant List'!$D55/12*'RD Feedstock'!G$3*'RD Plant List'!AC$5</f>
        <v>0.78125</v>
      </c>
      <c r="I53" s="299">
        <f>'RD Plant List'!$F55/12*'RD Feedstock'!I$3*'RD Plant List'!AB$5</f>
        <v>20.762499999999999</v>
      </c>
      <c r="J53" s="299">
        <f>'RD Plant List'!$F55/12*'RD Feedstock'!J$3*'RD Plant List'!AC$5</f>
        <v>6.875</v>
      </c>
    </row>
    <row r="54" spans="1:10" ht="18">
      <c r="A54" s="293">
        <v>45352</v>
      </c>
      <c r="F54" s="299">
        <f>'RD Plant List'!$D56/12*'RD Feedstock'!F$3*'RD Plant List'!AB$5</f>
        <v>2.359375</v>
      </c>
      <c r="G54" s="299">
        <f>'RD Plant List'!$D56/12*'RD Feedstock'!G$3*'RD Plant List'!AC$5</f>
        <v>0.78125</v>
      </c>
      <c r="I54" s="299">
        <f>'RD Plant List'!$F56/12*'RD Feedstock'!I$3*'RD Plant List'!AB$5</f>
        <v>20.762499999999999</v>
      </c>
      <c r="J54" s="299">
        <f>'RD Plant List'!$F56/12*'RD Feedstock'!J$3*'RD Plant List'!AC$5</f>
        <v>6.875</v>
      </c>
    </row>
    <row r="55" spans="1:10" ht="18">
      <c r="A55" s="293">
        <v>45383</v>
      </c>
      <c r="B55" s="299">
        <f>'RD Plant List'!$B57/12*'RD Feedstock'!B$3*'RD Plant List'!AB$5</f>
        <v>0</v>
      </c>
      <c r="C55" s="299">
        <f>'RD Plant List'!$B57/12*'RD Feedstock'!C$3*'RD Plant List'!AC$5</f>
        <v>0</v>
      </c>
      <c r="D55" s="299">
        <f>'RD Plant List'!$C57/12*'RD Feedstock'!D$3*'RD Plant List'!AB$5</f>
        <v>0</v>
      </c>
      <c r="E55" s="299">
        <f>'RD Plant List'!$C57/12*'RD Feedstock'!E$3*'RD Plant List'!AC$5</f>
        <v>0</v>
      </c>
      <c r="F55" s="299">
        <f>'RD Plant List'!$D57/12*'RD Feedstock'!F$3*'RD Plant List'!AB$5</f>
        <v>2.359375</v>
      </c>
      <c r="G55" s="299">
        <f>'RD Plant List'!$D57/12*'RD Feedstock'!G$3*'RD Plant List'!AC$5</f>
        <v>0.78125</v>
      </c>
      <c r="I55" s="299">
        <f>'RD Plant List'!$F57/12*'RD Feedstock'!I$3*'RD Plant List'!AB$5</f>
        <v>20.762499999999999</v>
      </c>
      <c r="J55" s="299">
        <f>'RD Plant List'!$F57/12*'RD Feedstock'!J$3*'RD Plant List'!AC$5</f>
        <v>6.875</v>
      </c>
    </row>
    <row r="56" spans="1:10" ht="18">
      <c r="A56" s="293">
        <v>45413</v>
      </c>
      <c r="B56" s="299">
        <f>'RD Plant List'!$B58/12*'RD Feedstock'!B$3*'RD Plant List'!AB$5</f>
        <v>0</v>
      </c>
      <c r="C56" s="299">
        <f>'RD Plant List'!$B58/12*'RD Feedstock'!C$3*'RD Plant List'!AC$5</f>
        <v>0</v>
      </c>
      <c r="D56" s="299">
        <f>'RD Plant List'!$C58/12*'RD Feedstock'!D$3*'RD Plant List'!AB$5</f>
        <v>0</v>
      </c>
      <c r="E56" s="299">
        <f>'RD Plant List'!$C58/12*'RD Feedstock'!E$3*'RD Plant List'!AC$5</f>
        <v>0</v>
      </c>
      <c r="F56" s="299">
        <f>'RD Plant List'!$D58/12*'RD Feedstock'!F$3*'RD Plant List'!AB$5</f>
        <v>2.359375</v>
      </c>
      <c r="G56" s="299">
        <f>'RD Plant List'!$D58/12*'RD Feedstock'!G$3*'RD Plant List'!AC$5</f>
        <v>0.78125</v>
      </c>
      <c r="I56" s="299">
        <f>'RD Plant List'!$F58/12*'RD Feedstock'!I$3*'RD Plant List'!AB$5</f>
        <v>20.762499999999999</v>
      </c>
      <c r="J56" s="299">
        <f>'RD Plant List'!$F58/12*'RD Feedstock'!J$3*'RD Plant List'!AC$5</f>
        <v>6.875</v>
      </c>
    </row>
    <row r="57" spans="1:10" ht="18">
      <c r="A57" s="293">
        <v>45444</v>
      </c>
      <c r="B57" s="299">
        <f>'RD Plant List'!$B59/12*'RD Feedstock'!B$3*'RD Plant List'!AB$5</f>
        <v>0</v>
      </c>
      <c r="C57" s="299">
        <f>'RD Plant List'!$B59/12*'RD Feedstock'!C$3*'RD Plant List'!AC$5</f>
        <v>0</v>
      </c>
      <c r="D57" s="299">
        <f>'RD Plant List'!$C59/12*'RD Feedstock'!D$3*'RD Plant List'!AB$5</f>
        <v>0</v>
      </c>
      <c r="E57" s="299">
        <f>'RD Plant List'!$C59/12*'RD Feedstock'!E$3*'RD Plant List'!AC$5</f>
        <v>0</v>
      </c>
      <c r="F57" s="299">
        <f>'RD Plant List'!$D59/12*'RD Feedstock'!F$3*'RD Plant List'!AB$5</f>
        <v>2.359375</v>
      </c>
      <c r="G57" s="299">
        <f>'RD Plant List'!$D59/12*'RD Feedstock'!G$3*'RD Plant List'!AC$5</f>
        <v>0.78125</v>
      </c>
      <c r="I57" s="299">
        <f>'RD Plant List'!$F59/12*'RD Feedstock'!I$3*'RD Plant List'!AB$5</f>
        <v>20.762499999999999</v>
      </c>
      <c r="J57" s="299">
        <f>'RD Plant List'!$F59/12*'RD Feedstock'!J$3*'RD Plant List'!AC$5</f>
        <v>6.875</v>
      </c>
    </row>
    <row r="58" spans="1:10" ht="18">
      <c r="A58" s="293">
        <v>45474</v>
      </c>
      <c r="B58" s="299">
        <f>'RD Plant List'!$B60/12*'RD Feedstock'!B$3*'RD Plant List'!AB$5</f>
        <v>0</v>
      </c>
      <c r="C58" s="299">
        <f>'RD Plant List'!$B60/12*'RD Feedstock'!C$3*'RD Plant List'!AC$5</f>
        <v>0</v>
      </c>
      <c r="D58" s="299">
        <f>'RD Plant List'!$C60/12*'RD Feedstock'!D$3*'RD Plant List'!AB$5</f>
        <v>0</v>
      </c>
      <c r="E58" s="299">
        <f>'RD Plant List'!$C60/12*'RD Feedstock'!E$3*'RD Plant List'!AC$5</f>
        <v>0</v>
      </c>
      <c r="F58" s="299">
        <f>'RD Plant List'!$D60/12*'RD Feedstock'!F$3*'RD Plant List'!AB$5</f>
        <v>2.359375</v>
      </c>
      <c r="G58" s="299">
        <f>'RD Plant List'!$D60/12*'RD Feedstock'!G$3*'RD Plant List'!AC$5</f>
        <v>0.78125</v>
      </c>
      <c r="I58" s="299">
        <f>'RD Plant List'!$F60/12*'RD Feedstock'!I$3*'RD Plant List'!AB$5</f>
        <v>20.762499999999999</v>
      </c>
      <c r="J58" s="299">
        <f>'RD Plant List'!$F60/12*'RD Feedstock'!J$3*'RD Plant List'!AC$5</f>
        <v>6.875</v>
      </c>
    </row>
    <row r="59" spans="1:10" ht="18">
      <c r="A59" s="293">
        <v>45505</v>
      </c>
      <c r="B59" s="299">
        <f>'RD Plant List'!$B61/12*'RD Feedstock'!B$3*'RD Plant List'!AB$5</f>
        <v>0</v>
      </c>
      <c r="C59" s="299">
        <f>'RD Plant List'!$B61/12*'RD Feedstock'!C$3*'RD Plant List'!AC$5</f>
        <v>0</v>
      </c>
      <c r="D59" s="299">
        <f>'RD Plant List'!$C61/12*'RD Feedstock'!D$3*'RD Plant List'!AB$5</f>
        <v>0</v>
      </c>
      <c r="E59" s="299">
        <f>'RD Plant List'!$C61/12*'RD Feedstock'!E$3*'RD Plant List'!AC$5</f>
        <v>0</v>
      </c>
      <c r="F59" s="299">
        <f>'RD Plant List'!$D61/12*'RD Feedstock'!F$3*'RD Plant List'!AB$5</f>
        <v>2.359375</v>
      </c>
      <c r="G59" s="299">
        <f>'RD Plant List'!$D61/12*'RD Feedstock'!G$3*'RD Plant List'!AC$5</f>
        <v>0.78125</v>
      </c>
      <c r="I59" s="299">
        <f>'RD Plant List'!$F61/12*'RD Feedstock'!I$3*'RD Plant List'!AB$5</f>
        <v>20.762499999999999</v>
      </c>
      <c r="J59" s="299">
        <f>'RD Plant List'!$F61/12*'RD Feedstock'!J$3*'RD Plant List'!AC$5</f>
        <v>6.875</v>
      </c>
    </row>
    <row r="60" spans="1:10" ht="18">
      <c r="A60" s="293">
        <v>45536</v>
      </c>
      <c r="B60" s="299">
        <f>'RD Plant List'!$B62/12*'RD Feedstock'!B$3*'RD Plant List'!AB$5</f>
        <v>0</v>
      </c>
      <c r="C60" s="299">
        <f>'RD Plant List'!$B62/12*'RD Feedstock'!C$3*'RD Plant List'!AC$5</f>
        <v>0</v>
      </c>
      <c r="D60" s="299">
        <f>'RD Plant List'!$C62/12*'RD Feedstock'!D$3*'RD Plant List'!AB$5</f>
        <v>0</v>
      </c>
      <c r="E60" s="299">
        <f>'RD Plant List'!$C62/12*'RD Feedstock'!E$3*'RD Plant List'!AC$5</f>
        <v>0</v>
      </c>
      <c r="F60" s="299">
        <f>'RD Plant List'!$D62/12*'RD Feedstock'!F$3*'RD Plant List'!AB$5</f>
        <v>2.359375</v>
      </c>
      <c r="G60" s="299">
        <f>'RD Plant List'!$D62/12*'RD Feedstock'!G$3*'RD Plant List'!AC$5</f>
        <v>0.78125</v>
      </c>
      <c r="I60" s="299">
        <f>'RD Plant List'!$F62/12*'RD Feedstock'!I$3*'RD Plant List'!AB$5</f>
        <v>20.762499999999999</v>
      </c>
      <c r="J60" s="299">
        <f>'RD Plant List'!$F62/12*'RD Feedstock'!J$3*'RD Plant List'!AC$5</f>
        <v>6.875</v>
      </c>
    </row>
    <row r="61" spans="1:10" ht="18">
      <c r="A61" s="293">
        <v>45566</v>
      </c>
      <c r="B61" s="299">
        <f>'RD Plant List'!$B63/12*'RD Feedstock'!B$3*'RD Plant List'!AB$5</f>
        <v>0</v>
      </c>
      <c r="C61" s="299">
        <f>'RD Plant List'!$B63/12*'RD Feedstock'!C$3*'RD Plant List'!AC$5</f>
        <v>0</v>
      </c>
      <c r="D61" s="299">
        <f>'RD Plant List'!$C63/12*'RD Feedstock'!D$3*'RD Plant List'!AB$5</f>
        <v>0</v>
      </c>
      <c r="E61" s="299">
        <f>'RD Plant List'!$C63/12*'RD Feedstock'!E$3*'RD Plant List'!AC$5</f>
        <v>0</v>
      </c>
      <c r="F61" s="299">
        <f>'RD Plant List'!$D63/12*'RD Feedstock'!F$3*'RD Plant List'!AB$5</f>
        <v>2.359375</v>
      </c>
      <c r="G61" s="299">
        <f>'RD Plant List'!$D63/12*'RD Feedstock'!G$3*'RD Plant List'!AC$5</f>
        <v>0.78125</v>
      </c>
      <c r="I61" s="299">
        <f>'RD Plant List'!$F63/12*'RD Feedstock'!I$3*'RD Plant List'!AB$5</f>
        <v>20.762499999999999</v>
      </c>
      <c r="J61" s="299">
        <f>'RD Plant List'!$F63/12*'RD Feedstock'!J$3*'RD Plant List'!AC$5</f>
        <v>6.875</v>
      </c>
    </row>
    <row r="62" spans="1:10" ht="18">
      <c r="A62" s="293">
        <v>45597</v>
      </c>
      <c r="B62" s="299">
        <f>'RD Plant List'!$B64/12*'RD Feedstock'!B$3*'RD Plant List'!AB$5</f>
        <v>0</v>
      </c>
      <c r="C62" s="299">
        <f>'RD Plant List'!$B64/12*'RD Feedstock'!C$3*'RD Plant List'!AC$5</f>
        <v>0</v>
      </c>
      <c r="D62" s="299">
        <f>'RD Plant List'!$C64/12*'RD Feedstock'!D$3*'RD Plant List'!AB$5</f>
        <v>0</v>
      </c>
      <c r="E62" s="299">
        <f>'RD Plant List'!$C64/12*'RD Feedstock'!E$3*'RD Plant List'!AC$5</f>
        <v>0</v>
      </c>
      <c r="F62" s="299">
        <f>'RD Plant List'!$D64/12*'RD Feedstock'!F$3*'RD Plant List'!AB$5</f>
        <v>2.359375</v>
      </c>
      <c r="G62" s="299">
        <f>'RD Plant List'!$D64/12*'RD Feedstock'!G$3*'RD Plant List'!AC$5</f>
        <v>0.78125</v>
      </c>
      <c r="I62" s="299">
        <f>'RD Plant List'!$F64/12*'RD Feedstock'!I$3*'RD Plant List'!AB$5</f>
        <v>20.762499999999999</v>
      </c>
      <c r="J62" s="299">
        <f>'RD Plant List'!$F64/12*'RD Feedstock'!J$3*'RD Plant List'!AC$5</f>
        <v>6.875</v>
      </c>
    </row>
    <row r="63" spans="1:10" ht="18">
      <c r="A63" s="293">
        <v>45627</v>
      </c>
      <c r="B63" s="299">
        <f>'RD Plant List'!$B65/12*'RD Feedstock'!B$3*'RD Plant List'!AB$5</f>
        <v>0</v>
      </c>
      <c r="C63" s="299">
        <f>'RD Plant List'!$B65/12*'RD Feedstock'!C$3*'RD Plant List'!AC$5</f>
        <v>0</v>
      </c>
      <c r="D63" s="299">
        <f>'RD Plant List'!$C65/12*'RD Feedstock'!D$3*'RD Plant List'!AB$5</f>
        <v>0</v>
      </c>
      <c r="E63" s="299">
        <f>'RD Plant List'!$C65/12*'RD Feedstock'!E$3*'RD Plant List'!AC$5</f>
        <v>0</v>
      </c>
      <c r="F63" s="299">
        <f>'RD Plant List'!$D65/12*'RD Feedstock'!F$3*'RD Plant List'!AB$5</f>
        <v>2.359375</v>
      </c>
      <c r="G63" s="299">
        <f>'RD Plant List'!$D65/12*'RD Feedstock'!G$3*'RD Plant List'!AC$5</f>
        <v>0.78125</v>
      </c>
      <c r="I63" s="299">
        <f>'RD Plant List'!$F65/12*'RD Feedstock'!I$3*'RD Plant List'!AB$5</f>
        <v>20.762499999999999</v>
      </c>
      <c r="J63" s="299">
        <f>'RD Plant List'!$F65/12*'RD Feedstock'!J$3*'RD Plant List'!AC$5</f>
        <v>6.875</v>
      </c>
    </row>
    <row r="64" spans="1:10" ht="18">
      <c r="A64" s="293">
        <v>45658</v>
      </c>
      <c r="B64" s="299">
        <f>'RD Plant List'!$B66/12*'RD Feedstock'!B$3*'RD Plant List'!AB$5</f>
        <v>0</v>
      </c>
      <c r="C64" s="299">
        <f>'RD Plant List'!$B66/12*'RD Feedstock'!C$3*'RD Plant List'!AC$5</f>
        <v>0</v>
      </c>
      <c r="D64" s="299">
        <f>'RD Plant List'!$C66/12*'RD Feedstock'!D$3*'RD Plant List'!AB$5</f>
        <v>0</v>
      </c>
      <c r="E64" s="299">
        <f>'RD Plant List'!$C66/12*'RD Feedstock'!E$3*'RD Plant List'!AC$5</f>
        <v>0</v>
      </c>
      <c r="F64" s="299">
        <f>'RD Plant List'!$D66/12*'RD Feedstock'!F$3*'RD Plant List'!AB$5</f>
        <v>2.359375</v>
      </c>
      <c r="G64" s="299">
        <f>'RD Plant List'!$D66/12*'RD Feedstock'!G$3*'RD Plant List'!AC$5</f>
        <v>0.78125</v>
      </c>
      <c r="I64" s="299">
        <f>'RD Plant List'!$F66/12*'RD Feedstock'!I$3*'RD Plant List'!AB$5</f>
        <v>20.762499999999999</v>
      </c>
      <c r="J64" s="299">
        <f>'RD Plant List'!$F66/12*'RD Feedstock'!J$3*'RD Plant List'!AC$5</f>
        <v>6.875</v>
      </c>
    </row>
    <row r="65" spans="1:10" ht="18">
      <c r="A65" s="293">
        <v>45689</v>
      </c>
      <c r="B65" s="299">
        <f>'RD Plant List'!$B67/12*'RD Feedstock'!B$3*'RD Plant List'!AB$5</f>
        <v>0</v>
      </c>
      <c r="C65" s="299">
        <f>'RD Plant List'!$B67/12*'RD Feedstock'!C$3*'RD Plant List'!AC$5</f>
        <v>0</v>
      </c>
      <c r="D65" s="299">
        <f>'RD Plant List'!$C67/12*'RD Feedstock'!D$3*'RD Plant List'!AB$5</f>
        <v>0</v>
      </c>
      <c r="E65" s="299">
        <f>'RD Plant List'!$C67/12*'RD Feedstock'!E$3*'RD Plant List'!AC$5</f>
        <v>0</v>
      </c>
      <c r="F65" s="299">
        <f>'RD Plant List'!$D67/12*'RD Feedstock'!F$3*'RD Plant List'!AB$5</f>
        <v>2.359375</v>
      </c>
      <c r="G65" s="299">
        <f>'RD Plant List'!$D67/12*'RD Feedstock'!G$3*'RD Plant List'!AC$5</f>
        <v>0.78125</v>
      </c>
      <c r="I65" s="299">
        <f>'RD Plant List'!$F67/12*'RD Feedstock'!I$3*'RD Plant List'!AB$5</f>
        <v>20.762499999999999</v>
      </c>
      <c r="J65" s="299">
        <f>'RD Plant List'!$F67/12*'RD Feedstock'!J$3*'RD Plant List'!AC$5</f>
        <v>6.875</v>
      </c>
    </row>
    <row r="66" spans="1:10" ht="18">
      <c r="A66" s="293">
        <v>45717</v>
      </c>
      <c r="B66" s="299">
        <f>'RD Plant List'!$B68/12*'RD Feedstock'!B$3*'RD Plant List'!AB$5</f>
        <v>0</v>
      </c>
      <c r="C66" s="299">
        <f>'RD Plant List'!$B68/12*'RD Feedstock'!C$3*'RD Plant List'!AC$5</f>
        <v>0</v>
      </c>
      <c r="D66" s="299">
        <f>'RD Plant List'!$C68/12*'RD Feedstock'!D$3*'RD Plant List'!AB$5</f>
        <v>0</v>
      </c>
      <c r="E66" s="299">
        <f>'RD Plant List'!$C68/12*'RD Feedstock'!E$3*'RD Plant List'!AC$5</f>
        <v>0</v>
      </c>
      <c r="F66" s="299">
        <f>'RD Plant List'!$D68/12*'RD Feedstock'!F$3*'RD Plant List'!AB$5</f>
        <v>2.359375</v>
      </c>
      <c r="G66" s="299">
        <f>'RD Plant List'!$D68/12*'RD Feedstock'!G$3*'RD Plant List'!AC$5</f>
        <v>0.78125</v>
      </c>
      <c r="I66" s="299">
        <f>'RD Plant List'!$F68/12*'RD Feedstock'!I$3*'RD Plant List'!AB$5</f>
        <v>20.762499999999999</v>
      </c>
      <c r="J66" s="299">
        <f>'RD Plant List'!$F68/12*'RD Feedstock'!J$3*'RD Plant List'!AC$5</f>
        <v>6.875</v>
      </c>
    </row>
    <row r="67" spans="1:10" ht="18">
      <c r="A67" s="293">
        <v>45748</v>
      </c>
      <c r="B67" s="299">
        <f>'RD Plant List'!$B69/12*'RD Feedstock'!B$3*'RD Plant List'!AB$5</f>
        <v>0</v>
      </c>
      <c r="C67" s="299">
        <f>'RD Plant List'!$B69/12*'RD Feedstock'!C$3*'RD Plant List'!AC$5</f>
        <v>0</v>
      </c>
      <c r="D67" s="299">
        <f>'RD Plant List'!$C69/12*'RD Feedstock'!D$3*'RD Plant List'!AB$5</f>
        <v>0</v>
      </c>
      <c r="E67" s="299">
        <f>'RD Plant List'!$C69/12*'RD Feedstock'!E$3*'RD Plant List'!AC$5</f>
        <v>0</v>
      </c>
      <c r="F67" s="299">
        <f>'RD Plant List'!$D69/12*'RD Feedstock'!F$3*'RD Plant List'!AB$5</f>
        <v>2.359375</v>
      </c>
      <c r="G67" s="299">
        <f>'RD Plant List'!$D69/12*'RD Feedstock'!G$3*'RD Plant List'!AC$5</f>
        <v>0.78125</v>
      </c>
      <c r="I67" s="299">
        <f>'RD Plant List'!$F69/12*'RD Feedstock'!I$3*'RD Plant List'!AB$5</f>
        <v>20.762499999999999</v>
      </c>
      <c r="J67" s="299">
        <f>'RD Plant List'!$F69/12*'RD Feedstock'!J$3*'RD Plant List'!AC$5</f>
        <v>6.875</v>
      </c>
    </row>
    <row r="68" spans="1:10" ht="18">
      <c r="A68" s="293">
        <v>45778</v>
      </c>
      <c r="B68" s="299">
        <f>'RD Plant List'!$B70/12*'RD Feedstock'!B$3*'RD Plant List'!AB$5</f>
        <v>0</v>
      </c>
      <c r="C68" s="299">
        <f>'RD Plant List'!$B70/12*'RD Feedstock'!C$3*'RD Plant List'!AC$5</f>
        <v>0</v>
      </c>
      <c r="D68" s="299">
        <f>'RD Plant List'!$C70/12*'RD Feedstock'!D$3*'RD Plant List'!AB$5</f>
        <v>0</v>
      </c>
      <c r="E68" s="299">
        <f>'RD Plant List'!$C70/12*'RD Feedstock'!E$3*'RD Plant List'!AC$5</f>
        <v>0</v>
      </c>
      <c r="F68" s="299">
        <f>'RD Plant List'!$D70/12*'RD Feedstock'!F$3*'RD Plant List'!AB$5</f>
        <v>2.359375</v>
      </c>
      <c r="G68" s="299">
        <f>'RD Plant List'!$D70/12*'RD Feedstock'!G$3*'RD Plant List'!AC$5</f>
        <v>0.78125</v>
      </c>
      <c r="I68" s="299">
        <f>'RD Plant List'!$F70/12*'RD Feedstock'!I$3*'RD Plant List'!AB$5</f>
        <v>20.762499999999999</v>
      </c>
      <c r="J68" s="299">
        <f>'RD Plant List'!$F70/12*'RD Feedstock'!J$3*'RD Plant List'!AC$5</f>
        <v>6.875</v>
      </c>
    </row>
    <row r="69" spans="1:10" ht="18">
      <c r="A69" s="293">
        <v>45809</v>
      </c>
      <c r="B69" s="299">
        <f>'RD Plant List'!$B71/12*'RD Feedstock'!B$3*'RD Plant List'!AB$5</f>
        <v>0</v>
      </c>
      <c r="C69" s="299">
        <f>'RD Plant List'!$B71/12*'RD Feedstock'!C$3*'RD Plant List'!AC$5</f>
        <v>0</v>
      </c>
      <c r="D69" s="299">
        <f>'RD Plant List'!$C71/12*'RD Feedstock'!D$3*'RD Plant List'!AB$5</f>
        <v>0</v>
      </c>
      <c r="E69" s="299">
        <f>'RD Plant List'!$C71/12*'RD Feedstock'!E$3*'RD Plant List'!AC$5</f>
        <v>0</v>
      </c>
      <c r="F69" s="299">
        <f>'RD Plant List'!$D71/12*'RD Feedstock'!F$3*'RD Plant List'!AB$5</f>
        <v>2.359375</v>
      </c>
      <c r="G69" s="299">
        <f>'RD Plant List'!$D71/12*'RD Feedstock'!G$3*'RD Plant List'!AC$5</f>
        <v>0.78125</v>
      </c>
      <c r="I69" s="299">
        <f>'RD Plant List'!$F71/12*'RD Feedstock'!I$3*'RD Plant List'!AB$5</f>
        <v>20.762499999999999</v>
      </c>
      <c r="J69" s="299">
        <f>'RD Plant List'!$F71/12*'RD Feedstock'!J$3*'RD Plant List'!AC$5</f>
        <v>6.875</v>
      </c>
    </row>
    <row r="70" spans="1:10" ht="18">
      <c r="A70" s="293">
        <v>45839</v>
      </c>
      <c r="B70" s="299">
        <f>'RD Plant List'!$B72/12*'RD Feedstock'!B$3*'RD Plant List'!AB$5</f>
        <v>0</v>
      </c>
      <c r="C70" s="299">
        <f>'RD Plant List'!$B72/12*'RD Feedstock'!C$3*'RD Plant List'!AC$5</f>
        <v>0</v>
      </c>
      <c r="D70" s="299">
        <f>'RD Plant List'!$C72/12*'RD Feedstock'!D$3*'RD Plant List'!AB$5</f>
        <v>0</v>
      </c>
      <c r="E70" s="299">
        <f>'RD Plant List'!$C72/12*'RD Feedstock'!E$3*'RD Plant List'!AC$5</f>
        <v>0</v>
      </c>
      <c r="F70" s="299">
        <f>'RD Plant List'!$D72/12*'RD Feedstock'!F$3*'RD Plant List'!AB$5</f>
        <v>2.359375</v>
      </c>
      <c r="G70" s="299">
        <f>'RD Plant List'!$D72/12*'RD Feedstock'!G$3*'RD Plant List'!AC$5</f>
        <v>0.78125</v>
      </c>
      <c r="I70" s="299">
        <f>'RD Plant List'!$F72/12*'RD Feedstock'!I$3*'RD Plant List'!AB$5</f>
        <v>20.762499999999999</v>
      </c>
      <c r="J70" s="299">
        <f>'RD Plant List'!$F72/12*'RD Feedstock'!J$3*'RD Plant List'!AC$5</f>
        <v>6.875</v>
      </c>
    </row>
    <row r="71" spans="1:10" ht="18">
      <c r="A71" s="293">
        <v>45870</v>
      </c>
      <c r="B71" s="299">
        <f>'RD Plant List'!$B73/12*'RD Feedstock'!B$3*'RD Plant List'!AB$5</f>
        <v>0</v>
      </c>
      <c r="C71" s="299">
        <f>'RD Plant List'!$B73/12*'RD Feedstock'!C$3*'RD Plant List'!AC$5</f>
        <v>0</v>
      </c>
      <c r="D71" s="299">
        <f>'RD Plant List'!$C73/12*'RD Feedstock'!D$3*'RD Plant List'!AB$5</f>
        <v>0</v>
      </c>
      <c r="E71" s="299">
        <f>'RD Plant List'!$C73/12*'RD Feedstock'!E$3*'RD Plant List'!AC$5</f>
        <v>0</v>
      </c>
      <c r="F71" s="299">
        <f>'RD Plant List'!$D73/12*'RD Feedstock'!F$3*'RD Plant List'!AB$5</f>
        <v>2.359375</v>
      </c>
      <c r="G71" s="299">
        <f>'RD Plant List'!$D73/12*'RD Feedstock'!G$3*'RD Plant List'!AC$5</f>
        <v>0.78125</v>
      </c>
      <c r="I71" s="299">
        <f>'RD Plant List'!$F73/12*'RD Feedstock'!I$3*'RD Plant List'!AB$5</f>
        <v>20.762499999999999</v>
      </c>
      <c r="J71" s="299">
        <f>'RD Plant List'!$F73/12*'RD Feedstock'!J$3*'RD Plant List'!AC$5</f>
        <v>6.875</v>
      </c>
    </row>
    <row r="72" spans="1:10" ht="18">
      <c r="A72" s="293">
        <v>45901</v>
      </c>
      <c r="B72" s="299">
        <f>'RD Plant List'!$B74/12*'RD Feedstock'!B$3*'RD Plant List'!AB$5</f>
        <v>0</v>
      </c>
      <c r="C72" s="299">
        <f>'RD Plant List'!$B74/12*'RD Feedstock'!C$3*'RD Plant List'!AC$5</f>
        <v>0</v>
      </c>
      <c r="D72" s="299">
        <f>'RD Plant List'!$C74/12*'RD Feedstock'!D$3*'RD Plant List'!AB$5</f>
        <v>0</v>
      </c>
      <c r="E72" s="299">
        <f>'RD Plant List'!$C74/12*'RD Feedstock'!E$3*'RD Plant List'!AC$5</f>
        <v>0</v>
      </c>
      <c r="F72" s="299">
        <f>'RD Plant List'!$D74/12*'RD Feedstock'!F$3*'RD Plant List'!AB$5</f>
        <v>2.359375</v>
      </c>
      <c r="G72" s="299">
        <f>'RD Plant List'!$D74/12*'RD Feedstock'!G$3*'RD Plant List'!AC$5</f>
        <v>0.78125</v>
      </c>
      <c r="I72" s="299">
        <f>'RD Plant List'!$F74/12*'RD Feedstock'!I$3*'RD Plant List'!AB$5</f>
        <v>20.762499999999999</v>
      </c>
      <c r="J72" s="299">
        <f>'RD Plant List'!$F74/12*'RD Feedstock'!J$3*'RD Plant List'!AC$5</f>
        <v>6.875</v>
      </c>
    </row>
    <row r="73" spans="1:10" ht="18">
      <c r="A73" s="293">
        <v>45931</v>
      </c>
      <c r="B73" s="299">
        <f>'RD Plant List'!$B75/12*'RD Feedstock'!B$3*'RD Plant List'!AB$5</f>
        <v>0</v>
      </c>
      <c r="C73" s="299">
        <f>'RD Plant List'!$B75/12*'RD Feedstock'!C$3*'RD Plant List'!AC$5</f>
        <v>0</v>
      </c>
      <c r="D73" s="299">
        <f>'RD Plant List'!$C75/12*'RD Feedstock'!D$3*'RD Plant List'!AB$5</f>
        <v>0</v>
      </c>
      <c r="E73" s="299">
        <f>'RD Plant List'!$C75/12*'RD Feedstock'!E$3*'RD Plant List'!AC$5</f>
        <v>0</v>
      </c>
      <c r="F73" s="299">
        <f>'RD Plant List'!$D75/12*'RD Feedstock'!F$3*'RD Plant List'!AB$5</f>
        <v>2.359375</v>
      </c>
      <c r="G73" s="299">
        <f>'RD Plant List'!$D75/12*'RD Feedstock'!G$3*'RD Plant List'!AC$5</f>
        <v>0.78125</v>
      </c>
      <c r="I73" s="299">
        <f>'RD Plant List'!$F75/12*'RD Feedstock'!I$3*'RD Plant List'!AB$5</f>
        <v>20.762499999999999</v>
      </c>
      <c r="J73" s="299">
        <f>'RD Plant List'!$F75/12*'RD Feedstock'!J$3*'RD Plant List'!AC$5</f>
        <v>6.875</v>
      </c>
    </row>
    <row r="74" spans="1:10" ht="18">
      <c r="A74" s="293">
        <v>45962</v>
      </c>
      <c r="B74" s="299">
        <f>'RD Plant List'!$B76/12*'RD Feedstock'!B$3*'RD Plant List'!AB$5</f>
        <v>0</v>
      </c>
      <c r="C74" s="299">
        <f>'RD Plant List'!$B76/12*'RD Feedstock'!C$3*'RD Plant List'!AC$5</f>
        <v>0</v>
      </c>
      <c r="D74" s="299">
        <f>'RD Plant List'!$C76/12*'RD Feedstock'!D$3*'RD Plant List'!AB$5</f>
        <v>0</v>
      </c>
      <c r="E74" s="299">
        <f>'RD Plant List'!$C76/12*'RD Feedstock'!E$3*'RD Plant List'!AC$5</f>
        <v>0</v>
      </c>
      <c r="F74" s="299">
        <f>'RD Plant List'!$D76/12*'RD Feedstock'!F$3*'RD Plant List'!AB$5</f>
        <v>2.359375</v>
      </c>
      <c r="G74" s="299">
        <f>'RD Plant List'!$D76/12*'RD Feedstock'!G$3*'RD Plant List'!AC$5</f>
        <v>0.78125</v>
      </c>
      <c r="I74" s="299">
        <f>'RD Plant List'!$F76/12*'RD Feedstock'!I$3*'RD Plant List'!AB$5</f>
        <v>20.762499999999999</v>
      </c>
      <c r="J74" s="299">
        <f>'RD Plant List'!$F76/12*'RD Feedstock'!J$3*'RD Plant List'!AC$5</f>
        <v>6.875</v>
      </c>
    </row>
    <row r="75" spans="1:10" ht="18">
      <c r="A75" s="293">
        <v>45992</v>
      </c>
      <c r="B75" s="299">
        <f>'RD Plant List'!$B77/12*'RD Feedstock'!B$3*'RD Plant List'!AB$5</f>
        <v>0</v>
      </c>
      <c r="C75" s="299">
        <f>'RD Plant List'!$B77/12*'RD Feedstock'!C$3*'RD Plant List'!AC$5</f>
        <v>0</v>
      </c>
      <c r="D75" s="299">
        <f>'RD Plant List'!$C77/12*'RD Feedstock'!D$3*'RD Plant List'!AB$5</f>
        <v>0</v>
      </c>
      <c r="E75" s="299">
        <f>'RD Plant List'!$C77/12*'RD Feedstock'!E$3*'RD Plant List'!AC$5</f>
        <v>0</v>
      </c>
      <c r="F75" s="299">
        <f>'RD Plant List'!$D77/12*'RD Feedstock'!F$3*'RD Plant List'!AB$5</f>
        <v>2.359375</v>
      </c>
      <c r="G75" s="299">
        <f>'RD Plant List'!$D77/12*'RD Feedstock'!G$3*'RD Plant List'!AC$5</f>
        <v>0.78125</v>
      </c>
      <c r="I75" s="299">
        <f>'RD Plant List'!$F77/12*'RD Feedstock'!I$3*'RD Plant List'!AB$5</f>
        <v>20.762499999999999</v>
      </c>
      <c r="J75" s="299">
        <f>'RD Plant List'!$F77/12*'RD Feedstock'!J$3*'RD Plant List'!AC$5</f>
        <v>6.875</v>
      </c>
    </row>
    <row r="76" spans="1:10" ht="18">
      <c r="A76" s="293">
        <v>46023</v>
      </c>
      <c r="B76" s="299">
        <f>'RD Plant List'!$B78/12*'RD Feedstock'!B$3*'RD Plant List'!AB$5</f>
        <v>14.942708333333334</v>
      </c>
      <c r="C76" s="299">
        <f>'RD Plant List'!$B78/12*'RD Feedstock'!C$3*'RD Plant List'!AC$5</f>
        <v>0.78125000000000011</v>
      </c>
      <c r="D76" s="299">
        <f>'RD Plant List'!$C78/12*'RD Feedstock'!D$3*'RD Plant List'!AB$5</f>
        <v>29.885416666666668</v>
      </c>
      <c r="E76" s="299">
        <f>'RD Plant List'!$C78/12*'RD Feedstock'!E$3*'RD Plant List'!AC$5</f>
        <v>1.5625000000000002</v>
      </c>
      <c r="F76" s="299">
        <f>'RD Plant List'!$D78/12*'RD Feedstock'!F$3*'RD Plant List'!AB$5</f>
        <v>2.359375</v>
      </c>
      <c r="G76" s="299">
        <f>'RD Plant List'!$D78/12*'RD Feedstock'!G$3*'RD Plant List'!AC$5</f>
        <v>0.78125</v>
      </c>
      <c r="I76" s="299">
        <f>'RD Plant List'!$F78/12*'RD Feedstock'!I$3*'RD Plant List'!AB$5</f>
        <v>20.762499999999999</v>
      </c>
      <c r="J76" s="299">
        <f>'RD Plant List'!$F78/12*'RD Feedstock'!J$3*'RD Plant List'!AC$5</f>
        <v>6.875</v>
      </c>
    </row>
    <row r="77" spans="1:10" ht="18">
      <c r="A77" s="293">
        <v>46054</v>
      </c>
      <c r="B77" s="299">
        <f>'RD Plant List'!$B79/12*'RD Feedstock'!B$3*'RD Plant List'!AB$5</f>
        <v>29.885416666666668</v>
      </c>
      <c r="C77" s="299">
        <f>'RD Plant List'!$B79/12*'RD Feedstock'!C$3*'RD Plant List'!AC$5</f>
        <v>1.5625000000000002</v>
      </c>
      <c r="D77" s="299">
        <f>'RD Plant List'!$C79/12*'RD Feedstock'!D$3*'RD Plant List'!AB$5</f>
        <v>104.59895833333333</v>
      </c>
      <c r="E77" s="299">
        <f>'RD Plant List'!$C79/12*'RD Feedstock'!E$3*'RD Plant List'!AC$5</f>
        <v>5.4687500000000009</v>
      </c>
      <c r="F77" s="299">
        <f>'RD Plant List'!$D79/12*'RD Feedstock'!F$3*'RD Plant List'!AB$5</f>
        <v>2.359375</v>
      </c>
      <c r="G77" s="299">
        <f>'RD Plant List'!$D79/12*'RD Feedstock'!G$3*'RD Plant List'!AC$5</f>
        <v>0.78125</v>
      </c>
      <c r="I77" s="299">
        <f>'RD Plant List'!$F79/12*'RD Feedstock'!I$3*'RD Plant List'!AB$5</f>
        <v>20.762499999999999</v>
      </c>
      <c r="J77" s="299">
        <f>'RD Plant List'!$F79/12*'RD Feedstock'!J$3*'RD Plant List'!AC$5</f>
        <v>6.875</v>
      </c>
    </row>
    <row r="78" spans="1:10" ht="18">
      <c r="A78" s="293">
        <v>46082</v>
      </c>
      <c r="B78" s="299">
        <f>'RD Plant List'!$B80/12*'RD Feedstock'!B$3*'RD Plant List'!AB$5</f>
        <v>59.770833333333336</v>
      </c>
      <c r="C78" s="299">
        <f>'RD Plant List'!$B80/12*'RD Feedstock'!C$3*'RD Plant List'!AC$5</f>
        <v>3.1250000000000004</v>
      </c>
      <c r="D78" s="299">
        <f>'RD Plant List'!$C80/12*'RD Feedstock'!D$3*'RD Plant List'!AB$5</f>
        <v>176.32395833333331</v>
      </c>
      <c r="E78" s="299">
        <f>'RD Plant List'!$C80/12*'RD Feedstock'!E$3*'RD Plant List'!AC$5</f>
        <v>9.21875</v>
      </c>
      <c r="F78" s="299">
        <f>'RD Plant List'!$D80/12*'RD Feedstock'!F$3*'RD Plant List'!AB$5</f>
        <v>2.359375</v>
      </c>
      <c r="G78" s="299">
        <f>'RD Plant List'!$D80/12*'RD Feedstock'!G$3*'RD Plant List'!AC$5</f>
        <v>0.78125</v>
      </c>
      <c r="I78" s="299">
        <f>'RD Plant List'!$F80/12*'RD Feedstock'!I$3*'RD Plant List'!AB$5</f>
        <v>20.762499999999999</v>
      </c>
      <c r="J78" s="299">
        <f>'RD Plant List'!$F80/12*'RD Feedstock'!J$3*'RD Plant List'!AC$5</f>
        <v>6.875</v>
      </c>
    </row>
    <row r="79" spans="1:10" ht="18">
      <c r="A79" s="293">
        <v>46113</v>
      </c>
      <c r="B79" s="299">
        <f>'RD Plant List'!$B81/12*'RD Feedstock'!B$3*'RD Plant List'!AB$5</f>
        <v>59.770833333333336</v>
      </c>
      <c r="C79" s="299">
        <f>'RD Plant List'!$B81/12*'RD Feedstock'!C$3*'RD Plant List'!AC$5</f>
        <v>3.1250000000000004</v>
      </c>
      <c r="D79" s="299">
        <f>'RD Plant List'!$C81/12*'RD Feedstock'!D$3*'RD Plant List'!AB$5</f>
        <v>176.32395833333331</v>
      </c>
      <c r="E79" s="299">
        <f>'RD Plant List'!$C81/12*'RD Feedstock'!E$3*'RD Plant List'!AC$5</f>
        <v>9.21875</v>
      </c>
      <c r="F79" s="299">
        <f>'RD Plant List'!$D81/12*'RD Feedstock'!F$3*'RD Plant List'!AB$5</f>
        <v>2.359375</v>
      </c>
      <c r="G79" s="299">
        <f>'RD Plant List'!$D81/12*'RD Feedstock'!G$3*'RD Plant List'!AC$5</f>
        <v>0.78125</v>
      </c>
      <c r="I79" s="299">
        <f>'RD Plant List'!$F81/12*'RD Feedstock'!I$3*'RD Plant List'!AB$5</f>
        <v>20.762499999999999</v>
      </c>
      <c r="J79" s="299">
        <f>'RD Plant List'!$F81/12*'RD Feedstock'!J$3*'RD Plant List'!AC$5</f>
        <v>6.875</v>
      </c>
    </row>
    <row r="80" spans="1:10" ht="18">
      <c r="A80" s="293">
        <v>46143</v>
      </c>
      <c r="B80" s="299">
        <f>'RD Plant List'!$B82/12*'RD Feedstock'!B$3*'RD Plant List'!AB$5</f>
        <v>59.770833333333336</v>
      </c>
      <c r="C80" s="299">
        <f>'RD Plant List'!$B82/12*'RD Feedstock'!C$3*'RD Plant List'!AC$5</f>
        <v>3.1250000000000004</v>
      </c>
      <c r="D80" s="299">
        <f>'RD Plant List'!$C82/12*'RD Feedstock'!D$3*'RD Plant List'!AB$5</f>
        <v>176.32395833333331</v>
      </c>
      <c r="E80" s="299">
        <f>'RD Plant List'!$C82/12*'RD Feedstock'!E$3*'RD Plant List'!AC$5</f>
        <v>9.21875</v>
      </c>
      <c r="F80" s="299">
        <f>'RD Plant List'!$D82/12*'RD Feedstock'!F$3*'RD Plant List'!AB$5</f>
        <v>2.359375</v>
      </c>
      <c r="G80" s="299">
        <f>'RD Plant List'!$D82/12*'RD Feedstock'!G$3*'RD Plant List'!AC$5</f>
        <v>0.78125</v>
      </c>
      <c r="I80" s="299">
        <f>'RD Plant List'!$F82/12*'RD Feedstock'!I$3*'RD Plant List'!AB$5</f>
        <v>20.762499999999999</v>
      </c>
      <c r="J80" s="299">
        <f>'RD Plant List'!$F82/12*'RD Feedstock'!J$3*'RD Plant List'!AC$5</f>
        <v>6.875</v>
      </c>
    </row>
    <row r="81" spans="1:10" ht="18">
      <c r="A81" s="293">
        <v>46174</v>
      </c>
      <c r="B81" s="299">
        <f>'RD Plant List'!$B83/12*'RD Feedstock'!B$3*'RD Plant List'!AB$5</f>
        <v>59.770833333333336</v>
      </c>
      <c r="C81" s="299">
        <f>'RD Plant List'!$B83/12*'RD Feedstock'!C$3*'RD Plant List'!AC$5</f>
        <v>3.1250000000000004</v>
      </c>
      <c r="D81" s="299">
        <f>'RD Plant List'!$C83/12*'RD Feedstock'!D$3*'RD Plant List'!AB$5</f>
        <v>176.32395833333331</v>
      </c>
      <c r="E81" s="299">
        <f>'RD Plant List'!$C83/12*'RD Feedstock'!E$3*'RD Plant List'!AC$5</f>
        <v>9.21875</v>
      </c>
      <c r="F81" s="299">
        <f>'RD Plant List'!$D83/12*'RD Feedstock'!F$3*'RD Plant List'!AB$5</f>
        <v>2.359375</v>
      </c>
      <c r="G81" s="299">
        <f>'RD Plant List'!$D83/12*'RD Feedstock'!G$3*'RD Plant List'!AC$5</f>
        <v>0.78125</v>
      </c>
      <c r="I81" s="299">
        <f>'RD Plant List'!$F83/12*'RD Feedstock'!I$3*'RD Plant List'!AB$5</f>
        <v>20.762499999999999</v>
      </c>
      <c r="J81" s="299">
        <f>'RD Plant List'!$F83/12*'RD Feedstock'!J$3*'RD Plant List'!AC$5</f>
        <v>6.875</v>
      </c>
    </row>
    <row r="82" spans="1:10" ht="18">
      <c r="A82" s="293">
        <v>46204</v>
      </c>
      <c r="B82" s="299">
        <f>'RD Plant List'!$B84/12*'RD Feedstock'!B$3*'RD Plant List'!AB$5</f>
        <v>59.770833333333336</v>
      </c>
      <c r="C82" s="299">
        <f>'RD Plant List'!$B84/12*'RD Feedstock'!C$3*'RD Plant List'!AC$5</f>
        <v>3.1250000000000004</v>
      </c>
      <c r="D82" s="299">
        <f>'RD Plant List'!$C84/12*'RD Feedstock'!D$3*'RD Plant List'!AB$5</f>
        <v>176.32395833333331</v>
      </c>
      <c r="E82" s="299">
        <f>'RD Plant List'!$C84/12*'RD Feedstock'!E$3*'RD Plant List'!AC$5</f>
        <v>9.21875</v>
      </c>
      <c r="F82" s="299">
        <f>'RD Plant List'!$D84/12*'RD Feedstock'!F$3*'RD Plant List'!AB$5</f>
        <v>2.359375</v>
      </c>
      <c r="G82" s="299">
        <f>'RD Plant List'!$D84/12*'RD Feedstock'!G$3*'RD Plant List'!AC$5</f>
        <v>0.78125</v>
      </c>
      <c r="I82" s="299">
        <f>'RD Plant List'!$F84/12*'RD Feedstock'!I$3*'RD Plant List'!AB$5</f>
        <v>20.762499999999999</v>
      </c>
      <c r="J82" s="299">
        <f>'RD Plant List'!$F84/12*'RD Feedstock'!J$3*'RD Plant List'!AC$5</f>
        <v>6.875</v>
      </c>
    </row>
    <row r="83" spans="1:10" ht="18">
      <c r="A83" s="293">
        <v>46235</v>
      </c>
      <c r="B83" s="299">
        <f>'RD Plant List'!$B85/12*'RD Feedstock'!B$3*'RD Plant List'!AB$5</f>
        <v>59.770833333333336</v>
      </c>
      <c r="C83" s="299">
        <f>'RD Plant List'!$B85/12*'RD Feedstock'!C$3*'RD Plant List'!AC$5</f>
        <v>3.1250000000000004</v>
      </c>
      <c r="D83" s="299">
        <f>'RD Plant List'!$C85/12*'RD Feedstock'!D$3*'RD Plant List'!AB$5</f>
        <v>176.32395833333331</v>
      </c>
      <c r="E83" s="299">
        <f>'RD Plant List'!$C85/12*'RD Feedstock'!E$3*'RD Plant List'!AC$5</f>
        <v>9.21875</v>
      </c>
      <c r="F83" s="299">
        <f>'RD Plant List'!$D85/12*'RD Feedstock'!F$3*'RD Plant List'!AB$5</f>
        <v>2.359375</v>
      </c>
      <c r="G83" s="299">
        <f>'RD Plant List'!$D85/12*'RD Feedstock'!G$3*'RD Plant List'!AC$5</f>
        <v>0.78125</v>
      </c>
      <c r="I83" s="299">
        <f>'RD Plant List'!$F85/12*'RD Feedstock'!I$3*'RD Plant List'!AB$5</f>
        <v>20.762499999999999</v>
      </c>
      <c r="J83" s="299">
        <f>'RD Plant List'!$F85/12*'RD Feedstock'!J$3*'RD Plant List'!AC$5</f>
        <v>6.875</v>
      </c>
    </row>
    <row r="84" spans="1:10" ht="18">
      <c r="A84" s="293">
        <v>46266</v>
      </c>
      <c r="B84" s="299">
        <f>'RD Plant List'!$B86/12*'RD Feedstock'!B$3*'RD Plant List'!AB$5</f>
        <v>59.770833333333336</v>
      </c>
      <c r="C84" s="299">
        <f>'RD Plant List'!$B86/12*'RD Feedstock'!C$3*'RD Plant List'!AC$5</f>
        <v>3.1250000000000004</v>
      </c>
      <c r="D84" s="299">
        <f>'RD Plant List'!$C86/12*'RD Feedstock'!D$3*'RD Plant List'!AB$5</f>
        <v>176.32395833333331</v>
      </c>
      <c r="E84" s="299">
        <f>'RD Plant List'!$C86/12*'RD Feedstock'!E$3*'RD Plant List'!AC$5</f>
        <v>9.21875</v>
      </c>
      <c r="F84" s="299">
        <f>'RD Plant List'!$D86/12*'RD Feedstock'!F$3*'RD Plant List'!AB$5</f>
        <v>2.359375</v>
      </c>
      <c r="G84" s="299">
        <f>'RD Plant List'!$D86/12*'RD Feedstock'!G$3*'RD Plant List'!AC$5</f>
        <v>0.78125</v>
      </c>
      <c r="I84" s="299">
        <f>'RD Plant List'!$F86/12*'RD Feedstock'!I$3*'RD Plant List'!AB$5</f>
        <v>20.762499999999999</v>
      </c>
      <c r="J84" s="299">
        <f>'RD Plant List'!$F86/12*'RD Feedstock'!J$3*'RD Plant List'!AC$5</f>
        <v>6.875</v>
      </c>
    </row>
    <row r="85" spans="1:10" ht="18">
      <c r="A85" s="293">
        <v>46296</v>
      </c>
      <c r="B85" s="299">
        <f>'RD Plant List'!$B87/12*'RD Feedstock'!B$3*'RD Plant List'!AB$5</f>
        <v>59.770833333333336</v>
      </c>
      <c r="C85" s="299">
        <f>'RD Plant List'!$B87/12*'RD Feedstock'!C$3*'RD Plant List'!AC$5</f>
        <v>3.1250000000000004</v>
      </c>
      <c r="D85" s="299">
        <f>'RD Plant List'!$C87/12*'RD Feedstock'!D$3*'RD Plant List'!AB$5</f>
        <v>176.32395833333331</v>
      </c>
      <c r="E85" s="299">
        <f>'RD Plant List'!$C87/12*'RD Feedstock'!E$3*'RD Plant List'!AC$5</f>
        <v>9.21875</v>
      </c>
      <c r="F85" s="299">
        <f>'RD Plant List'!$D87/12*'RD Feedstock'!F$3*'RD Plant List'!AB$5</f>
        <v>2.359375</v>
      </c>
      <c r="G85" s="299">
        <f>'RD Plant List'!$D87/12*'RD Feedstock'!G$3*'RD Plant List'!AC$5</f>
        <v>0.78125</v>
      </c>
      <c r="I85" s="299">
        <f>'RD Plant List'!$F87/12*'RD Feedstock'!I$3*'RD Plant List'!AB$5</f>
        <v>20.762499999999999</v>
      </c>
      <c r="J85" s="299">
        <f>'RD Plant List'!$F87/12*'RD Feedstock'!J$3*'RD Plant List'!AC$5</f>
        <v>6.875</v>
      </c>
    </row>
    <row r="86" spans="1:10" ht="18">
      <c r="A86" s="293">
        <v>46327</v>
      </c>
      <c r="B86" s="299">
        <f>'RD Plant List'!$B88/12*'RD Feedstock'!B$3*'RD Plant List'!AB$5</f>
        <v>59.770833333333336</v>
      </c>
      <c r="C86" s="299">
        <f>'RD Plant List'!$B88/12*'RD Feedstock'!C$3*'RD Plant List'!AC$5</f>
        <v>3.1250000000000004</v>
      </c>
      <c r="D86" s="299">
        <f>'RD Plant List'!$C88/12*'RD Feedstock'!D$3*'RD Plant List'!AB$5</f>
        <v>176.32395833333331</v>
      </c>
      <c r="E86" s="299">
        <f>'RD Plant List'!$C88/12*'RD Feedstock'!E$3*'RD Plant List'!AC$5</f>
        <v>9.21875</v>
      </c>
      <c r="F86" s="299">
        <f>'RD Plant List'!$D88/12*'RD Feedstock'!F$3*'RD Plant List'!AB$5</f>
        <v>2.359375</v>
      </c>
      <c r="G86" s="299">
        <f>'RD Plant List'!$D88/12*'RD Feedstock'!G$3*'RD Plant List'!AC$5</f>
        <v>0.78125</v>
      </c>
      <c r="I86" s="299">
        <f>'RD Plant List'!$F88/12*'RD Feedstock'!I$3*'RD Plant List'!AB$5</f>
        <v>20.762499999999999</v>
      </c>
      <c r="J86" s="299">
        <f>'RD Plant List'!$F88/12*'RD Feedstock'!J$3*'RD Plant List'!AC$5</f>
        <v>6.875</v>
      </c>
    </row>
    <row r="87" spans="1:10" ht="18">
      <c r="A87" s="293">
        <v>46357</v>
      </c>
      <c r="B87" s="299">
        <f>'RD Plant List'!$B89/12*'RD Feedstock'!B$3*'RD Plant List'!AB$5</f>
        <v>59.770833333333336</v>
      </c>
      <c r="C87" s="299">
        <f>'RD Plant List'!$B89/12*'RD Feedstock'!C$3*'RD Plant List'!AC$5</f>
        <v>3.1250000000000004</v>
      </c>
      <c r="D87" s="299">
        <f>'RD Plant List'!$C89/12*'RD Feedstock'!D$3*'RD Plant List'!AB$5</f>
        <v>176.32395833333331</v>
      </c>
      <c r="E87" s="299">
        <f>'RD Plant List'!$C89/12*'RD Feedstock'!E$3*'RD Plant List'!AC$5</f>
        <v>9.21875</v>
      </c>
      <c r="F87" s="299">
        <f>'RD Plant List'!$D89/12*'RD Feedstock'!F$3*'RD Plant List'!AB$5</f>
        <v>2.359375</v>
      </c>
      <c r="G87" s="299">
        <f>'RD Plant List'!$D89/12*'RD Feedstock'!G$3*'RD Plant List'!AC$5</f>
        <v>0.78125</v>
      </c>
      <c r="I87" s="299">
        <f>'RD Plant List'!$F89/12*'RD Feedstock'!I$3*'RD Plant List'!AB$5</f>
        <v>20.762499999999999</v>
      </c>
      <c r="J87" s="299">
        <f>'RD Plant List'!$F89/12*'RD Feedstock'!J$3*'RD Plant List'!AC$5</f>
        <v>6.875</v>
      </c>
    </row>
    <row r="88" spans="1:10" ht="18">
      <c r="A88" s="293">
        <v>46388</v>
      </c>
      <c r="B88" s="299">
        <f>'RD Plant List'!$B90/12*'RD Feedstock'!B$3*'RD Plant List'!AB$5</f>
        <v>59.770833333333336</v>
      </c>
      <c r="C88" s="299">
        <f>'RD Plant List'!$B90/12*'RD Feedstock'!C$3*'RD Plant List'!AC$5</f>
        <v>3.1250000000000004</v>
      </c>
      <c r="D88" s="299">
        <f>'RD Plant List'!$C90/12*'RD Feedstock'!D$3*'RD Plant List'!AB$5</f>
        <v>176.32395833333331</v>
      </c>
      <c r="E88" s="299">
        <f>'RD Plant List'!$C90/12*'RD Feedstock'!E$3*'RD Plant List'!AC$5</f>
        <v>9.21875</v>
      </c>
      <c r="F88" s="299">
        <f>'RD Plant List'!$D90/12*'RD Feedstock'!F$3*'RD Plant List'!AB$5</f>
        <v>2.359375</v>
      </c>
      <c r="G88" s="299">
        <f>'RD Plant List'!$D90/12*'RD Feedstock'!G$3*'RD Plant List'!AC$5</f>
        <v>0.78125</v>
      </c>
      <c r="I88" s="299">
        <f>'RD Plant List'!$F90/12*'RD Feedstock'!I$3*'RD Plant List'!AB$5</f>
        <v>20.762499999999999</v>
      </c>
      <c r="J88" s="299">
        <f>'RD Plant List'!$F90/12*'RD Feedstock'!J$3*'RD Plant List'!AC$5</f>
        <v>6.875</v>
      </c>
    </row>
    <row r="89" spans="1:10" ht="18">
      <c r="A89" s="293">
        <v>46419</v>
      </c>
      <c r="B89" s="299">
        <f>'RD Plant List'!$B91/12*'RD Feedstock'!B$3*'RD Plant List'!AB$5</f>
        <v>59.770833333333336</v>
      </c>
      <c r="C89" s="299">
        <f>'RD Plant List'!$B91/12*'RD Feedstock'!C$3*'RD Plant List'!AC$5</f>
        <v>3.1250000000000004</v>
      </c>
      <c r="D89" s="299">
        <f>'RD Plant List'!$C91/12*'RD Feedstock'!D$3*'RD Plant List'!AB$5</f>
        <v>176.32395833333331</v>
      </c>
      <c r="E89" s="299">
        <f>'RD Plant List'!$C91/12*'RD Feedstock'!E$3*'RD Plant List'!AC$5</f>
        <v>9.21875</v>
      </c>
      <c r="F89" s="299">
        <f>'RD Plant List'!$D91/12*'RD Feedstock'!F$3*'RD Plant List'!AB$5</f>
        <v>2.359375</v>
      </c>
      <c r="G89" s="299">
        <f>'RD Plant List'!$D91/12*'RD Feedstock'!G$3*'RD Plant List'!AC$5</f>
        <v>0.78125</v>
      </c>
      <c r="I89" s="299">
        <f>'RD Plant List'!$F91/12*'RD Feedstock'!I$3*'RD Plant List'!AB$5</f>
        <v>20.762499999999999</v>
      </c>
      <c r="J89" s="299">
        <f>'RD Plant List'!$F91/12*'RD Feedstock'!J$3*'RD Plant List'!AC$5</f>
        <v>6.875</v>
      </c>
    </row>
    <row r="90" spans="1:10" ht="18">
      <c r="A90" s="293">
        <v>46447</v>
      </c>
      <c r="B90" s="299">
        <f>'RD Plant List'!$B92/12*'RD Feedstock'!B$3*'RD Plant List'!AB$5</f>
        <v>59.770833333333336</v>
      </c>
      <c r="C90" s="299">
        <f>'RD Plant List'!$B92/12*'RD Feedstock'!C$3*'RD Plant List'!AC$5</f>
        <v>3.1250000000000004</v>
      </c>
      <c r="D90" s="299">
        <f>'RD Plant List'!$C92/12*'RD Feedstock'!D$3*'RD Plant List'!AB$5</f>
        <v>176.32395833333331</v>
      </c>
      <c r="E90" s="299">
        <f>'RD Plant List'!$C92/12*'RD Feedstock'!E$3*'RD Plant List'!AC$5</f>
        <v>9.21875</v>
      </c>
      <c r="F90" s="299">
        <f>'RD Plant List'!$D92/12*'RD Feedstock'!F$3*'RD Plant List'!AB$5</f>
        <v>2.359375</v>
      </c>
      <c r="G90" s="299">
        <f>'RD Plant List'!$D92/12*'RD Feedstock'!G$3*'RD Plant List'!AC$5</f>
        <v>0.78125</v>
      </c>
      <c r="I90" s="299">
        <f>'RD Plant List'!$F92/12*'RD Feedstock'!I$3*'RD Plant List'!AB$5</f>
        <v>20.762499999999999</v>
      </c>
      <c r="J90" s="299">
        <f>'RD Plant List'!$F92/12*'RD Feedstock'!J$3*'RD Plant List'!AC$5</f>
        <v>6.875</v>
      </c>
    </row>
    <row r="91" spans="1:10" ht="18">
      <c r="A91" s="293">
        <v>46478</v>
      </c>
      <c r="B91" s="299">
        <f>'RD Plant List'!$B93/12*'RD Feedstock'!B$3*'RD Plant List'!AB$5</f>
        <v>59.770833333333336</v>
      </c>
      <c r="C91" s="299">
        <f>'RD Plant List'!$B93/12*'RD Feedstock'!C$3*'RD Plant List'!AC$5</f>
        <v>3.1250000000000004</v>
      </c>
      <c r="D91" s="299">
        <f>'RD Plant List'!$C93/12*'RD Feedstock'!D$3*'RD Plant List'!AB$5</f>
        <v>176.32395833333331</v>
      </c>
      <c r="E91" s="299">
        <f>'RD Plant List'!$C93/12*'RD Feedstock'!E$3*'RD Plant List'!AC$5</f>
        <v>9.21875</v>
      </c>
      <c r="F91" s="299">
        <f>'RD Plant List'!$D93/12*'RD Feedstock'!F$3*'RD Plant List'!AB$5</f>
        <v>2.359375</v>
      </c>
      <c r="G91" s="299">
        <f>'RD Plant List'!$D93/12*'RD Feedstock'!G$3*'RD Plant List'!AC$5</f>
        <v>0.78125</v>
      </c>
      <c r="H91" s="299">
        <f>'RD Plant List'!$E93/12*'RD Feedstock'!H$3*'RD Plant List'!AB$5</f>
        <v>31.458333333333336</v>
      </c>
      <c r="I91" s="299">
        <f>'RD Plant List'!$F93/12*'RD Feedstock'!I$3*'RD Plant List'!AB$5</f>
        <v>20.762499999999999</v>
      </c>
      <c r="J91" s="299">
        <f>'RD Plant List'!$F93/12*'RD Feedstock'!J$3*'RD Plant List'!AC$5</f>
        <v>6.875</v>
      </c>
    </row>
    <row r="92" spans="1:10" ht="18">
      <c r="A92" s="293">
        <v>46508</v>
      </c>
      <c r="B92" s="299">
        <f>'RD Plant List'!$B94/12*'RD Feedstock'!B$3*'RD Plant List'!AB$5</f>
        <v>59.770833333333336</v>
      </c>
      <c r="C92" s="299">
        <f>'RD Plant List'!$B94/12*'RD Feedstock'!C$3*'RD Plant List'!AC$5</f>
        <v>3.1250000000000004</v>
      </c>
      <c r="D92" s="299">
        <f>'RD Plant List'!$C94/12*'RD Feedstock'!D$3*'RD Plant List'!AB$5</f>
        <v>176.32395833333331</v>
      </c>
      <c r="E92" s="299">
        <f>'RD Plant List'!$C94/12*'RD Feedstock'!E$3*'RD Plant List'!AC$5</f>
        <v>9.21875</v>
      </c>
      <c r="F92" s="299">
        <f>'RD Plant List'!$D94/12*'RD Feedstock'!F$3*'RD Plant List'!AB$5</f>
        <v>2.359375</v>
      </c>
      <c r="G92" s="299">
        <f>'RD Plant List'!$D94/12*'RD Feedstock'!G$3*'RD Plant List'!AC$5</f>
        <v>0.78125</v>
      </c>
      <c r="H92" s="299">
        <f>'RD Plant List'!$E94/12*'RD Feedstock'!H$3*'RD Plant List'!AB$5</f>
        <v>94.375</v>
      </c>
      <c r="I92" s="299">
        <f>'RD Plant List'!$F94/12*'RD Feedstock'!I$3*'RD Plant List'!AB$5</f>
        <v>20.762499999999999</v>
      </c>
      <c r="J92" s="299">
        <f>'RD Plant List'!$F94/12*'RD Feedstock'!J$3*'RD Plant List'!AC$5</f>
        <v>6.875</v>
      </c>
    </row>
    <row r="93" spans="1:10" ht="18">
      <c r="A93" s="293">
        <v>46539</v>
      </c>
      <c r="B93" s="299">
        <f>'RD Plant List'!$B95/12*'RD Feedstock'!B$3*'RD Plant List'!AB$5</f>
        <v>59.770833333333336</v>
      </c>
      <c r="C93" s="299">
        <f>'RD Plant List'!$B95/12*'RD Feedstock'!C$3*'RD Plant List'!AC$5</f>
        <v>3.1250000000000004</v>
      </c>
      <c r="D93" s="299">
        <f>'RD Plant List'!$C95/12*'RD Feedstock'!D$3*'RD Plant List'!AB$5</f>
        <v>176.32395833333331</v>
      </c>
      <c r="E93" s="299">
        <f>'RD Plant List'!$C95/12*'RD Feedstock'!E$3*'RD Plant List'!AC$5</f>
        <v>9.21875</v>
      </c>
      <c r="F93" s="299">
        <f>'RD Plant List'!$D95/12*'RD Feedstock'!F$3*'RD Plant List'!AB$5</f>
        <v>2.359375</v>
      </c>
      <c r="G93" s="299">
        <f>'RD Plant List'!$D95/12*'RD Feedstock'!G$3*'RD Plant List'!AC$5</f>
        <v>0.78125</v>
      </c>
      <c r="H93" s="299">
        <f>'RD Plant List'!$E95/12*'RD Feedstock'!H$3*'RD Plant List'!AB$5</f>
        <v>138.41666666666666</v>
      </c>
      <c r="I93" s="299">
        <f>'RD Plant List'!$F95/12*'RD Feedstock'!I$3*'RD Plant List'!AB$5</f>
        <v>20.762499999999999</v>
      </c>
      <c r="J93" s="299">
        <f>'RD Plant List'!$F95/12*'RD Feedstock'!J$3*'RD Plant List'!AC$5</f>
        <v>6.875</v>
      </c>
    </row>
    <row r="94" spans="1:10" ht="18">
      <c r="A94" s="293">
        <v>46569</v>
      </c>
      <c r="B94" s="299">
        <f>'RD Plant List'!$B96/12*'RD Feedstock'!B$3*'RD Plant List'!AB$5</f>
        <v>59.770833333333336</v>
      </c>
      <c r="C94" s="299">
        <f>'RD Plant List'!$B96/12*'RD Feedstock'!C$3*'RD Plant List'!AC$5</f>
        <v>3.1250000000000004</v>
      </c>
      <c r="D94" s="299">
        <f>'RD Plant List'!$C96/12*'RD Feedstock'!D$3*'RD Plant List'!AB$5</f>
        <v>176.32395833333331</v>
      </c>
      <c r="E94" s="299">
        <f>'RD Plant List'!$C96/12*'RD Feedstock'!E$3*'RD Plant List'!AC$5</f>
        <v>9.21875</v>
      </c>
      <c r="F94" s="299">
        <f>'RD Plant List'!$D96/12*'RD Feedstock'!F$3*'RD Plant List'!AB$5</f>
        <v>2.359375</v>
      </c>
      <c r="G94" s="299">
        <f>'RD Plant List'!$D96/12*'RD Feedstock'!G$3*'RD Plant List'!AC$5</f>
        <v>0.78125</v>
      </c>
      <c r="H94" s="299">
        <f>'RD Plant List'!$E96/12*'RD Feedstock'!H$3*'RD Plant List'!AB$5</f>
        <v>138.41666666666666</v>
      </c>
      <c r="I94" s="299">
        <f>'RD Plant List'!$F96/12*'RD Feedstock'!I$3*'RD Plant List'!AB$5</f>
        <v>20.762499999999999</v>
      </c>
      <c r="J94" s="299">
        <f>'RD Plant List'!$F96/12*'RD Feedstock'!J$3*'RD Plant List'!AC$5</f>
        <v>6.875</v>
      </c>
    </row>
    <row r="95" spans="1:10" ht="18">
      <c r="A95" s="293">
        <v>46600</v>
      </c>
      <c r="B95" s="299">
        <f>'RD Plant List'!$B97/12*'RD Feedstock'!B$3*'RD Plant List'!AB$5</f>
        <v>59.770833333333336</v>
      </c>
      <c r="C95" s="299">
        <f>'RD Plant List'!$B97/12*'RD Feedstock'!C$3*'RD Plant List'!AC$5</f>
        <v>3.1250000000000004</v>
      </c>
      <c r="D95" s="299">
        <f>'RD Plant List'!$C97/12*'RD Feedstock'!D$3*'RD Plant List'!AB$5</f>
        <v>176.32395833333331</v>
      </c>
      <c r="E95" s="299">
        <f>'RD Plant List'!$C97/12*'RD Feedstock'!E$3*'RD Plant List'!AC$5</f>
        <v>9.21875</v>
      </c>
      <c r="F95" s="299">
        <f>'RD Plant List'!$D97/12*'RD Feedstock'!F$3*'RD Plant List'!AB$5</f>
        <v>2.359375</v>
      </c>
      <c r="G95" s="299">
        <f>'RD Plant List'!$D97/12*'RD Feedstock'!G$3*'RD Plant List'!AC$5</f>
        <v>0.78125</v>
      </c>
      <c r="H95" s="299">
        <f>'RD Plant List'!$E97/12*'RD Feedstock'!H$3*'RD Plant List'!AB$5</f>
        <v>138.41666666666666</v>
      </c>
      <c r="I95" s="299">
        <f>'RD Plant List'!$F97/12*'RD Feedstock'!I$3*'RD Plant List'!AB$5</f>
        <v>20.762499999999999</v>
      </c>
      <c r="J95" s="299">
        <f>'RD Plant List'!$F97/12*'RD Feedstock'!J$3*'RD Plant List'!AC$5</f>
        <v>6.875</v>
      </c>
    </row>
    <row r="96" spans="1:10" ht="18">
      <c r="A96" s="293">
        <v>46631</v>
      </c>
      <c r="B96" s="299">
        <f>'RD Plant List'!$B98/12*'RD Feedstock'!B$3*'RD Plant List'!AB$5</f>
        <v>59.770833333333336</v>
      </c>
      <c r="C96" s="299">
        <f>'RD Plant List'!$B98/12*'RD Feedstock'!C$3*'RD Plant List'!AC$5</f>
        <v>3.1250000000000004</v>
      </c>
      <c r="D96" s="299">
        <f>'RD Plant List'!$C98/12*'RD Feedstock'!D$3*'RD Plant List'!AB$5</f>
        <v>176.32395833333331</v>
      </c>
      <c r="E96" s="299">
        <f>'RD Plant List'!$C98/12*'RD Feedstock'!E$3*'RD Plant List'!AC$5</f>
        <v>9.21875</v>
      </c>
      <c r="F96" s="299">
        <f>'RD Plant List'!$D98/12*'RD Feedstock'!F$3*'RD Plant List'!AB$5</f>
        <v>2.359375</v>
      </c>
      <c r="G96" s="299">
        <f>'RD Plant List'!$D98/12*'RD Feedstock'!G$3*'RD Plant List'!AC$5</f>
        <v>0.78125</v>
      </c>
      <c r="H96" s="299">
        <f>'RD Plant List'!$E98/12*'RD Feedstock'!H$3*'RD Plant List'!AB$5</f>
        <v>138.41666666666666</v>
      </c>
      <c r="I96" s="299">
        <f>'RD Plant List'!$F98/12*'RD Feedstock'!I$3*'RD Plant List'!AB$5</f>
        <v>20.762499999999999</v>
      </c>
      <c r="J96" s="299">
        <f>'RD Plant List'!$F98/12*'RD Feedstock'!J$3*'RD Plant List'!AC$5</f>
        <v>6.875</v>
      </c>
    </row>
    <row r="97" spans="1:10" ht="18">
      <c r="A97" s="293">
        <v>46661</v>
      </c>
      <c r="B97" s="299">
        <f>'RD Plant List'!$B99/12*'RD Feedstock'!B$3*'RD Plant List'!AB$5</f>
        <v>59.770833333333336</v>
      </c>
      <c r="C97" s="299">
        <f>'RD Plant List'!$B99/12*'RD Feedstock'!C$3*'RD Plant List'!AC$5</f>
        <v>3.1250000000000004</v>
      </c>
      <c r="D97" s="299">
        <f>'RD Plant List'!$C99/12*'RD Feedstock'!D$3*'RD Plant List'!AB$5</f>
        <v>176.32395833333331</v>
      </c>
      <c r="E97" s="299">
        <f>'RD Plant List'!$C99/12*'RD Feedstock'!E$3*'RD Plant List'!AC$5</f>
        <v>9.21875</v>
      </c>
      <c r="F97" s="299">
        <f>'RD Plant List'!$D99/12*'RD Feedstock'!F$3*'RD Plant List'!AB$5</f>
        <v>2.359375</v>
      </c>
      <c r="G97" s="299">
        <f>'RD Plant List'!$D99/12*'RD Feedstock'!G$3*'RD Plant List'!AC$5</f>
        <v>0.78125</v>
      </c>
      <c r="H97" s="299">
        <f>'RD Plant List'!$E99/12*'RD Feedstock'!H$3*'RD Plant List'!AB$5</f>
        <v>138.41666666666666</v>
      </c>
      <c r="I97" s="299">
        <f>'RD Plant List'!$F99/12*'RD Feedstock'!I$3*'RD Plant List'!AB$5</f>
        <v>20.762499999999999</v>
      </c>
      <c r="J97" s="299">
        <f>'RD Plant List'!$F99/12*'RD Feedstock'!J$3*'RD Plant List'!AC$5</f>
        <v>6.875</v>
      </c>
    </row>
    <row r="98" spans="1:10" ht="18">
      <c r="A98" s="293">
        <v>46692</v>
      </c>
      <c r="B98" s="299">
        <f>'RD Plant List'!$B100/12*'RD Feedstock'!B$3*'RD Plant List'!AB$5</f>
        <v>59.770833333333336</v>
      </c>
      <c r="C98" s="299">
        <f>'RD Plant List'!$B100/12*'RD Feedstock'!C$3*'RD Plant List'!AC$5</f>
        <v>3.1250000000000004</v>
      </c>
      <c r="D98" s="299">
        <f>'RD Plant List'!$C100/12*'RD Feedstock'!D$3*'RD Plant List'!AB$5</f>
        <v>176.32395833333331</v>
      </c>
      <c r="E98" s="299">
        <f>'RD Plant List'!$C100/12*'RD Feedstock'!E$3*'RD Plant List'!AC$5</f>
        <v>9.21875</v>
      </c>
      <c r="F98" s="299">
        <f>'RD Plant List'!$D100/12*'RD Feedstock'!F$3*'RD Plant List'!AB$5</f>
        <v>2.359375</v>
      </c>
      <c r="G98" s="299">
        <f>'RD Plant List'!$D100/12*'RD Feedstock'!G$3*'RD Plant List'!AC$5</f>
        <v>0.78125</v>
      </c>
      <c r="H98" s="299">
        <f>'RD Plant List'!$E100/12*'RD Feedstock'!H$3*'RD Plant List'!AB$5</f>
        <v>138.41666666666666</v>
      </c>
      <c r="I98" s="299">
        <f>'RD Plant List'!$F100/12*'RD Feedstock'!I$3*'RD Plant List'!AB$5</f>
        <v>20.762499999999999</v>
      </c>
      <c r="J98" s="299">
        <f>'RD Plant List'!$F100/12*'RD Feedstock'!J$3*'RD Plant List'!AC$5</f>
        <v>6.875</v>
      </c>
    </row>
    <row r="99" spans="1:10" ht="18">
      <c r="A99" s="293">
        <v>46722</v>
      </c>
      <c r="B99" s="299">
        <f>'RD Plant List'!$B101/12*'RD Feedstock'!B$3*'RD Plant List'!AB$5</f>
        <v>59.770833333333336</v>
      </c>
      <c r="C99" s="299">
        <f>'RD Plant List'!$B101/12*'RD Feedstock'!C$3*'RD Plant List'!AC$5</f>
        <v>3.1250000000000004</v>
      </c>
      <c r="D99" s="299">
        <f>'RD Plant List'!$C101/12*'RD Feedstock'!D$3*'RD Plant List'!AB$5</f>
        <v>176.32395833333331</v>
      </c>
      <c r="E99" s="299">
        <f>'RD Plant List'!$C101/12*'RD Feedstock'!E$3*'RD Plant List'!AC$5</f>
        <v>9.21875</v>
      </c>
      <c r="F99" s="299">
        <f>'RD Plant List'!$D101/12*'RD Feedstock'!F$3*'RD Plant List'!AB$5</f>
        <v>2.359375</v>
      </c>
      <c r="G99" s="299">
        <f>'RD Plant List'!$D101/12*'RD Feedstock'!G$3*'RD Plant List'!AC$5</f>
        <v>0.78125</v>
      </c>
      <c r="H99" s="299">
        <f>'RD Plant List'!$E101/12*'RD Feedstock'!H$3*'RD Plant List'!AB$5</f>
        <v>138.41666666666666</v>
      </c>
      <c r="I99" s="299">
        <f>'RD Plant List'!$F101/12*'RD Feedstock'!I$3*'RD Plant List'!AB$5</f>
        <v>20.762499999999999</v>
      </c>
      <c r="J99" s="299">
        <f>'RD Plant List'!$F101/12*'RD Feedstock'!J$3*'RD Plant List'!AC$5</f>
        <v>6.875</v>
      </c>
    </row>
    <row r="100" spans="1:10" ht="18">
      <c r="A100" s="293">
        <v>46753</v>
      </c>
      <c r="B100" s="299">
        <f>'RD Plant List'!$B102/12*'RD Feedstock'!B$3*'RD Plant List'!AB$5</f>
        <v>59.770833333333336</v>
      </c>
      <c r="C100" s="299">
        <f>'RD Plant List'!$B102/12*'RD Feedstock'!C$3*'RD Plant List'!AC$5</f>
        <v>3.1250000000000004</v>
      </c>
      <c r="D100" s="299">
        <f>'RD Plant List'!$C102/12*'RD Feedstock'!D$3*'RD Plant List'!AB$5</f>
        <v>176.32395833333331</v>
      </c>
      <c r="E100" s="299">
        <f>'RD Plant List'!$C102/12*'RD Feedstock'!E$3*'RD Plant List'!AC$5</f>
        <v>9.21875</v>
      </c>
      <c r="F100" s="299">
        <f>'RD Plant List'!$D102/12*'RD Feedstock'!F$3*'RD Plant List'!AB$5</f>
        <v>2.359375</v>
      </c>
      <c r="G100" s="299">
        <f>'RD Plant List'!$D102/12*'RD Feedstock'!G$3*'RD Plant List'!AC$5</f>
        <v>0.78125</v>
      </c>
      <c r="H100" s="299">
        <f>'RD Plant List'!$E102/12*'RD Feedstock'!H$3*'RD Plant List'!AB$5</f>
        <v>138.41666666666666</v>
      </c>
      <c r="I100" s="299">
        <f>'RD Plant List'!$F102/12*'RD Feedstock'!I$3*'RD Plant List'!AB$5</f>
        <v>20.762499999999999</v>
      </c>
      <c r="J100" s="299">
        <f>'RD Plant List'!$F102/12*'RD Feedstock'!J$3*'RD Plant List'!AC$5</f>
        <v>6.875</v>
      </c>
    </row>
    <row r="101" spans="1:10" ht="18">
      <c r="A101" s="293">
        <v>46784</v>
      </c>
      <c r="B101" s="299">
        <f>'RD Plant List'!$B103/12*'RD Feedstock'!B$3*'RD Plant List'!AB$5</f>
        <v>59.770833333333336</v>
      </c>
      <c r="C101" s="299">
        <f>'RD Plant List'!$B103/12*'RD Feedstock'!C$3*'RD Plant List'!AC$5</f>
        <v>3.1250000000000004</v>
      </c>
      <c r="D101" s="299">
        <f>'RD Plant List'!$C103/12*'RD Feedstock'!D$3*'RD Plant List'!AB$5</f>
        <v>176.32395833333331</v>
      </c>
      <c r="E101" s="299">
        <f>'RD Plant List'!$C103/12*'RD Feedstock'!E$3*'RD Plant List'!AC$5</f>
        <v>9.21875</v>
      </c>
      <c r="F101" s="299">
        <f>'RD Plant List'!$D103/12*'RD Feedstock'!F$3*'RD Plant List'!AB$5</f>
        <v>2.359375</v>
      </c>
      <c r="G101" s="299">
        <f>'RD Plant List'!$D103/12*'RD Feedstock'!G$3*'RD Plant List'!AC$5</f>
        <v>0.78125</v>
      </c>
      <c r="H101" s="299">
        <f>'RD Plant List'!$E103/12*'RD Feedstock'!H$3*'RD Plant List'!AB$5</f>
        <v>138.41666666666666</v>
      </c>
      <c r="I101" s="299">
        <f>'RD Plant List'!$F103/12*'RD Feedstock'!I$3*'RD Plant List'!AB$5</f>
        <v>20.762499999999999</v>
      </c>
      <c r="J101" s="299">
        <f>'RD Plant List'!$F103/12*'RD Feedstock'!J$3*'RD Plant List'!AC$5</f>
        <v>6.875</v>
      </c>
    </row>
    <row r="102" spans="1:10" ht="18">
      <c r="A102" s="293">
        <v>46813</v>
      </c>
      <c r="B102" s="299">
        <f>'RD Plant List'!$B104/12*'RD Feedstock'!B$3*'RD Plant List'!AB$5</f>
        <v>59.770833333333336</v>
      </c>
      <c r="C102" s="299">
        <f>'RD Plant List'!$B104/12*'RD Feedstock'!C$3*'RD Plant List'!AC$5</f>
        <v>3.1250000000000004</v>
      </c>
      <c r="D102" s="299">
        <f>'RD Plant List'!$C104/12*'RD Feedstock'!D$3*'RD Plant List'!AB$5</f>
        <v>176.32395833333331</v>
      </c>
      <c r="E102" s="299">
        <f>'RD Plant List'!$C104/12*'RD Feedstock'!E$3*'RD Plant List'!AC$5</f>
        <v>9.21875</v>
      </c>
      <c r="F102" s="299">
        <f>'RD Plant List'!$D104/12*'RD Feedstock'!F$3*'RD Plant List'!AB$5</f>
        <v>2.359375</v>
      </c>
      <c r="G102" s="299">
        <f>'RD Plant List'!$D104/12*'RD Feedstock'!G$3*'RD Plant List'!AC$5</f>
        <v>0.78125</v>
      </c>
      <c r="H102" s="299">
        <f>'RD Plant List'!$E104/12*'RD Feedstock'!H$3*'RD Plant List'!AB$5</f>
        <v>138.41666666666666</v>
      </c>
      <c r="I102" s="299">
        <f>'RD Plant List'!$F104/12*'RD Feedstock'!I$3*'RD Plant List'!AB$5</f>
        <v>20.762499999999999</v>
      </c>
      <c r="J102" s="299">
        <f>'RD Plant List'!$F104/12*'RD Feedstock'!J$3*'RD Plant List'!AC$5</f>
        <v>6.875</v>
      </c>
    </row>
    <row r="103" spans="1:10" ht="18">
      <c r="A103" s="293">
        <v>46844</v>
      </c>
      <c r="B103" s="299">
        <f>'RD Plant List'!$B105/12*'RD Feedstock'!B$3*'RD Plant List'!AB$5</f>
        <v>59.770833333333336</v>
      </c>
      <c r="C103" s="299">
        <f>'RD Plant List'!$B105/12*'RD Feedstock'!C$3*'RD Plant List'!AC$5</f>
        <v>3.1250000000000004</v>
      </c>
      <c r="D103" s="299">
        <f>'RD Plant List'!$C105/12*'RD Feedstock'!D$3*'RD Plant List'!AB$5</f>
        <v>176.32395833333331</v>
      </c>
      <c r="E103" s="299">
        <f>'RD Plant List'!$C105/12*'RD Feedstock'!E$3*'RD Plant List'!AC$5</f>
        <v>9.21875</v>
      </c>
      <c r="F103" s="299">
        <f>'RD Plant List'!$D105/12*'RD Feedstock'!F$3*'RD Plant List'!AB$5</f>
        <v>2.359375</v>
      </c>
      <c r="G103" s="299">
        <f>'RD Plant List'!$D105/12*'RD Feedstock'!G$3*'RD Plant List'!AC$5</f>
        <v>0.78125</v>
      </c>
      <c r="H103" s="299">
        <f>'RD Plant List'!$E105/12*'RD Feedstock'!H$3*'RD Plant List'!AB$5</f>
        <v>138.41666666666666</v>
      </c>
      <c r="I103" s="299">
        <f>'RD Plant List'!$F105/12*'RD Feedstock'!I$3*'RD Plant List'!AB$5</f>
        <v>20.762499999999999</v>
      </c>
      <c r="J103" s="299">
        <f>'RD Plant List'!$F105/12*'RD Feedstock'!J$3*'RD Plant List'!AC$5</f>
        <v>6.875</v>
      </c>
    </row>
    <row r="104" spans="1:10" ht="18">
      <c r="A104" s="293">
        <v>46874</v>
      </c>
      <c r="B104" s="299">
        <f>'RD Plant List'!$B106/12*'RD Feedstock'!B$3*'RD Plant List'!AB$5</f>
        <v>59.770833333333336</v>
      </c>
      <c r="C104" s="299">
        <f>'RD Plant List'!$B106/12*'RD Feedstock'!C$3*'RD Plant List'!AC$5</f>
        <v>3.1250000000000004</v>
      </c>
      <c r="D104" s="299">
        <f>'RD Plant List'!$C106/12*'RD Feedstock'!D$3*'RD Plant List'!AB$5</f>
        <v>176.32395833333331</v>
      </c>
      <c r="E104" s="299">
        <f>'RD Plant List'!$C106/12*'RD Feedstock'!E$3*'RD Plant List'!AC$5</f>
        <v>9.21875</v>
      </c>
      <c r="F104" s="299">
        <f>'RD Plant List'!$D106/12*'RD Feedstock'!F$3*'RD Plant List'!AB$5</f>
        <v>2.359375</v>
      </c>
      <c r="G104" s="299">
        <f>'RD Plant List'!$D106/12*'RD Feedstock'!G$3*'RD Plant List'!AC$5</f>
        <v>0.78125</v>
      </c>
      <c r="H104" s="299">
        <f>'RD Plant List'!$E106/12*'RD Feedstock'!H$3*'RD Plant List'!AB$5</f>
        <v>138.41666666666666</v>
      </c>
      <c r="I104" s="299">
        <f>'RD Plant List'!$F106/12*'RD Feedstock'!I$3*'RD Plant List'!AB$5</f>
        <v>20.762499999999999</v>
      </c>
      <c r="J104" s="299">
        <f>'RD Plant List'!$F106/12*'RD Feedstock'!J$3*'RD Plant List'!AC$5</f>
        <v>6.875</v>
      </c>
    </row>
    <row r="105" spans="1:10" ht="18">
      <c r="A105" s="293">
        <v>46905</v>
      </c>
      <c r="B105" s="299">
        <f>'RD Plant List'!$B107/12*'RD Feedstock'!B$3*'RD Plant List'!AB$5</f>
        <v>59.770833333333336</v>
      </c>
      <c r="C105" s="299">
        <f>'RD Plant List'!$B107/12*'RD Feedstock'!C$3*'RD Plant List'!AC$5</f>
        <v>3.1250000000000004</v>
      </c>
      <c r="D105" s="299">
        <f>'RD Plant List'!$C107/12*'RD Feedstock'!D$3*'RD Plant List'!AB$5</f>
        <v>176.32395833333331</v>
      </c>
      <c r="E105" s="299">
        <f>'RD Plant List'!$C107/12*'RD Feedstock'!E$3*'RD Plant List'!AC$5</f>
        <v>9.21875</v>
      </c>
      <c r="F105" s="299">
        <f>'RD Plant List'!$D107/12*'RD Feedstock'!F$3*'RD Plant List'!AB$5</f>
        <v>2.359375</v>
      </c>
      <c r="G105" s="299">
        <f>'RD Plant List'!$D107/12*'RD Feedstock'!G$3*'RD Plant List'!AC$5</f>
        <v>0.78125</v>
      </c>
      <c r="H105" s="299">
        <f>'RD Plant List'!$E107/12*'RD Feedstock'!H$3*'RD Plant List'!AB$5</f>
        <v>138.41666666666666</v>
      </c>
      <c r="I105" s="299">
        <f>'RD Plant List'!$F107/12*'RD Feedstock'!I$3*'RD Plant List'!AB$5</f>
        <v>20.762499999999999</v>
      </c>
      <c r="J105" s="299">
        <f>'RD Plant List'!$F107/12*'RD Feedstock'!J$3*'RD Plant List'!AC$5</f>
        <v>6.875</v>
      </c>
    </row>
    <row r="106" spans="1:10" ht="18">
      <c r="A106" s="293">
        <v>46935</v>
      </c>
      <c r="B106" s="299">
        <f>'RD Plant List'!$B108/12*'RD Feedstock'!B$3*'RD Plant List'!AB$5</f>
        <v>59.770833333333336</v>
      </c>
      <c r="C106" s="299">
        <f>'RD Plant List'!$B108/12*'RD Feedstock'!C$3*'RD Plant List'!AC$5</f>
        <v>3.1250000000000004</v>
      </c>
      <c r="D106" s="299">
        <f>'RD Plant List'!$C108/12*'RD Feedstock'!D$3*'RD Plant List'!AB$5</f>
        <v>176.32395833333331</v>
      </c>
      <c r="E106" s="299">
        <f>'RD Plant List'!$C108/12*'RD Feedstock'!E$3*'RD Plant List'!AC$5</f>
        <v>9.21875</v>
      </c>
      <c r="F106" s="299">
        <f>'RD Plant List'!$D108/12*'RD Feedstock'!F$3*'RD Plant List'!AB$5</f>
        <v>2.359375</v>
      </c>
      <c r="G106" s="299">
        <f>'RD Plant List'!$D108/12*'RD Feedstock'!G$3*'RD Plant List'!AC$5</f>
        <v>0.78125</v>
      </c>
      <c r="H106" s="299">
        <f>'RD Plant List'!$E108/12*'RD Feedstock'!H$3*'RD Plant List'!AB$5</f>
        <v>138.41666666666666</v>
      </c>
      <c r="I106" s="299">
        <f>'RD Plant List'!$F108/12*'RD Feedstock'!I$3*'RD Plant List'!AB$5</f>
        <v>20.762499999999999</v>
      </c>
      <c r="J106" s="299">
        <f>'RD Plant List'!$F108/12*'RD Feedstock'!J$3*'RD Plant List'!AC$5</f>
        <v>6.875</v>
      </c>
    </row>
    <row r="107" spans="1:10" ht="18">
      <c r="A107" s="293">
        <v>46966</v>
      </c>
      <c r="B107" s="299">
        <f>'RD Plant List'!$B109/12*'RD Feedstock'!B$3*'RD Plant List'!AB$5</f>
        <v>59.770833333333336</v>
      </c>
      <c r="C107" s="299">
        <f>'RD Plant List'!$B109/12*'RD Feedstock'!C$3*'RD Plant List'!AC$5</f>
        <v>3.1250000000000004</v>
      </c>
      <c r="D107" s="299">
        <f>'RD Plant List'!$C109/12*'RD Feedstock'!D$3*'RD Plant List'!AB$5</f>
        <v>176.32395833333331</v>
      </c>
      <c r="E107" s="299">
        <f>'RD Plant List'!$C109/12*'RD Feedstock'!E$3*'RD Plant List'!AC$5</f>
        <v>9.21875</v>
      </c>
      <c r="F107" s="299">
        <f>'RD Plant List'!$D109/12*'RD Feedstock'!F$3*'RD Plant List'!AB$5</f>
        <v>2.359375</v>
      </c>
      <c r="G107" s="299">
        <f>'RD Plant List'!$D109/12*'RD Feedstock'!G$3*'RD Plant List'!AC$5</f>
        <v>0.78125</v>
      </c>
      <c r="H107" s="299">
        <f>'RD Plant List'!$E109/12*'RD Feedstock'!H$3*'RD Plant List'!AB$5</f>
        <v>138.41666666666666</v>
      </c>
      <c r="I107" s="299">
        <f>'RD Plant List'!$F109/12*'RD Feedstock'!I$3*'RD Plant List'!AB$5</f>
        <v>20.762499999999999</v>
      </c>
      <c r="J107" s="299">
        <f>'RD Plant List'!$F109/12*'RD Feedstock'!J$3*'RD Plant List'!AC$5</f>
        <v>6.875</v>
      </c>
    </row>
    <row r="108" spans="1:10" ht="18">
      <c r="A108" s="293">
        <v>46997</v>
      </c>
      <c r="B108" s="299">
        <f>'RD Plant List'!$B110/12*'RD Feedstock'!B$3*'RD Plant List'!AB$5</f>
        <v>59.770833333333336</v>
      </c>
      <c r="C108" s="299">
        <f>'RD Plant List'!$B110/12*'RD Feedstock'!C$3*'RD Plant List'!AC$5</f>
        <v>3.1250000000000004</v>
      </c>
      <c r="D108" s="299">
        <f>'RD Plant List'!$C110/12*'RD Feedstock'!D$3*'RD Plant List'!AB$5</f>
        <v>176.32395833333331</v>
      </c>
      <c r="E108" s="299">
        <f>'RD Plant List'!$C110/12*'RD Feedstock'!E$3*'RD Plant List'!AC$5</f>
        <v>9.21875</v>
      </c>
      <c r="F108" s="299">
        <f>'RD Plant List'!$D110/12*'RD Feedstock'!F$3*'RD Plant List'!AB$5</f>
        <v>2.359375</v>
      </c>
      <c r="G108" s="299">
        <f>'RD Plant List'!$D110/12*'RD Feedstock'!G$3*'RD Plant List'!AC$5</f>
        <v>0.78125</v>
      </c>
      <c r="H108" s="299">
        <f>'RD Plant List'!$E110/12*'RD Feedstock'!H$3*'RD Plant List'!AB$5</f>
        <v>138.41666666666666</v>
      </c>
      <c r="I108" s="299">
        <f>'RD Plant List'!$F110/12*'RD Feedstock'!I$3*'RD Plant List'!AB$5</f>
        <v>20.762499999999999</v>
      </c>
      <c r="J108" s="299">
        <f>'RD Plant List'!$F110/12*'RD Feedstock'!J$3*'RD Plant List'!AC$5</f>
        <v>6.875</v>
      </c>
    </row>
    <row r="109" spans="1:10" ht="18">
      <c r="A109" s="293">
        <v>47027</v>
      </c>
      <c r="B109" s="299">
        <f>'RD Plant List'!$B111/12*'RD Feedstock'!B$3*'RD Plant List'!AB$5</f>
        <v>59.770833333333336</v>
      </c>
      <c r="C109" s="299">
        <f>'RD Plant List'!$B111/12*'RD Feedstock'!C$3*'RD Plant List'!AC$5</f>
        <v>3.1250000000000004</v>
      </c>
      <c r="D109" s="299">
        <f>'RD Plant List'!$C111/12*'RD Feedstock'!D$3*'RD Plant List'!AB$5</f>
        <v>176.32395833333331</v>
      </c>
      <c r="E109" s="299">
        <f>'RD Plant List'!$C111/12*'RD Feedstock'!E$3*'RD Plant List'!AC$5</f>
        <v>9.21875</v>
      </c>
      <c r="F109" s="299">
        <f>'RD Plant List'!$D111/12*'RD Feedstock'!F$3*'RD Plant List'!AB$5</f>
        <v>2.359375</v>
      </c>
      <c r="G109" s="299">
        <f>'RD Plant List'!$D111/12*'RD Feedstock'!G$3*'RD Plant List'!AC$5</f>
        <v>0.78125</v>
      </c>
      <c r="H109" s="299">
        <f>'RD Plant List'!$E111/12*'RD Feedstock'!H$3*'RD Plant List'!AB$5</f>
        <v>138.41666666666666</v>
      </c>
      <c r="I109" s="299">
        <f>'RD Plant List'!$F111/12*'RD Feedstock'!I$3*'RD Plant List'!AB$5</f>
        <v>20.762499999999999</v>
      </c>
      <c r="J109" s="299">
        <f>'RD Plant List'!$F111/12*'RD Feedstock'!J$3*'RD Plant List'!AC$5</f>
        <v>6.875</v>
      </c>
    </row>
    <row r="110" spans="1:10" ht="18">
      <c r="A110" s="293">
        <v>47058</v>
      </c>
      <c r="B110" s="299">
        <f>'RD Plant List'!$B112/12*'RD Feedstock'!B$3*'RD Plant List'!AB$5</f>
        <v>59.770833333333336</v>
      </c>
      <c r="C110" s="299">
        <f>'RD Plant List'!$B112/12*'RD Feedstock'!C$3*'RD Plant List'!AC$5</f>
        <v>3.1250000000000004</v>
      </c>
      <c r="D110" s="299">
        <f>'RD Plant List'!$C112/12*'RD Feedstock'!D$3*'RD Plant List'!AB$5</f>
        <v>176.32395833333331</v>
      </c>
      <c r="E110" s="299">
        <f>'RD Plant List'!$C112/12*'RD Feedstock'!E$3*'RD Plant List'!AC$5</f>
        <v>9.21875</v>
      </c>
      <c r="F110" s="299">
        <f>'RD Plant List'!$D112/12*'RD Feedstock'!F$3*'RD Plant List'!AB$5</f>
        <v>2.359375</v>
      </c>
      <c r="G110" s="299">
        <f>'RD Plant List'!$D112/12*'RD Feedstock'!G$3*'RD Plant List'!AC$5</f>
        <v>0.78125</v>
      </c>
      <c r="H110" s="299">
        <f>'RD Plant List'!$E112/12*'RD Feedstock'!H$3*'RD Plant List'!AB$5</f>
        <v>138.41666666666666</v>
      </c>
      <c r="I110" s="299">
        <f>'RD Plant List'!$F112/12*'RD Feedstock'!I$3*'RD Plant List'!AB$5</f>
        <v>20.762499999999999</v>
      </c>
      <c r="J110" s="299">
        <f>'RD Plant List'!$F112/12*'RD Feedstock'!J$3*'RD Plant List'!AC$5</f>
        <v>6.875</v>
      </c>
    </row>
    <row r="111" spans="1:10" ht="18">
      <c r="A111" s="293">
        <v>47088</v>
      </c>
      <c r="B111" s="299">
        <f>'RD Plant List'!$B113/12*'RD Feedstock'!B$3*'RD Plant List'!AB$5</f>
        <v>59.770833333333336</v>
      </c>
      <c r="C111" s="299">
        <f>'RD Plant List'!$B113/12*'RD Feedstock'!C$3*'RD Plant List'!AC$5</f>
        <v>3.1250000000000004</v>
      </c>
      <c r="D111" s="299">
        <f>'RD Plant List'!$C113/12*'RD Feedstock'!D$3*'RD Plant List'!AB$5</f>
        <v>176.32395833333331</v>
      </c>
      <c r="E111" s="299">
        <f>'RD Plant List'!$C113/12*'RD Feedstock'!E$3*'RD Plant List'!AC$5</f>
        <v>9.21875</v>
      </c>
      <c r="F111" s="299">
        <f>'RD Plant List'!$D113/12*'RD Feedstock'!F$3*'RD Plant List'!AB$5</f>
        <v>2.359375</v>
      </c>
      <c r="G111" s="299">
        <f>'RD Plant List'!$D113/12*'RD Feedstock'!G$3*'RD Plant List'!AC$5</f>
        <v>0.78125</v>
      </c>
      <c r="H111" s="299">
        <f>'RD Plant List'!$E113/12*'RD Feedstock'!H$3*'RD Plant List'!AB$5</f>
        <v>138.41666666666666</v>
      </c>
      <c r="I111" s="299">
        <f>'RD Plant List'!$F113/12*'RD Feedstock'!I$3*'RD Plant List'!AB$5</f>
        <v>20.762499999999999</v>
      </c>
      <c r="J111" s="299">
        <f>'RD Plant List'!$F113/12*'RD Feedstock'!J$3*'RD Plant List'!AC$5</f>
        <v>6.875</v>
      </c>
    </row>
    <row r="112" spans="1:10" ht="18">
      <c r="A112" s="293">
        <v>47119</v>
      </c>
      <c r="B112" s="299">
        <f>'RD Plant List'!$B114/12*'RD Feedstock'!B$3*'RD Plant List'!AB$5</f>
        <v>59.770833333333336</v>
      </c>
      <c r="C112" s="299">
        <f>'RD Plant List'!$B114/12*'RD Feedstock'!C$3*'RD Plant List'!AC$5</f>
        <v>3.1250000000000004</v>
      </c>
      <c r="D112" s="299">
        <f>'RD Plant List'!$C114/12*'RD Feedstock'!D$3*'RD Plant List'!AB$5</f>
        <v>176.32395833333331</v>
      </c>
      <c r="E112" s="299">
        <f>'RD Plant List'!$C114/12*'RD Feedstock'!E$3*'RD Plant List'!AC$5</f>
        <v>9.21875</v>
      </c>
      <c r="F112" s="299">
        <f>'RD Plant List'!$D114/12*'RD Feedstock'!F$3*'RD Plant List'!AB$5</f>
        <v>2.359375</v>
      </c>
      <c r="G112" s="299">
        <f>'RD Plant List'!$D114/12*'RD Feedstock'!G$3*'RD Plant List'!AC$5</f>
        <v>0.78125</v>
      </c>
      <c r="H112" s="299">
        <f>'RD Plant List'!$E114/12*'RD Feedstock'!H$3*'RD Plant List'!AB$5</f>
        <v>138.41666666666666</v>
      </c>
      <c r="I112" s="299">
        <f>'RD Plant List'!$F114/12*'RD Feedstock'!I$3*'RD Plant List'!AB$5</f>
        <v>20.762499999999999</v>
      </c>
      <c r="J112" s="299">
        <f>'RD Plant List'!$F114/12*'RD Feedstock'!J$3*'RD Plant List'!AC$5</f>
        <v>6.875</v>
      </c>
    </row>
    <row r="113" spans="1:10" ht="18">
      <c r="A113" s="293">
        <v>47150</v>
      </c>
      <c r="B113" s="299">
        <f>'RD Plant List'!$B115/12*'RD Feedstock'!B$3*'RD Plant List'!AB$5</f>
        <v>59.770833333333336</v>
      </c>
      <c r="C113" s="299">
        <f>'RD Plant List'!$B115/12*'RD Feedstock'!C$3*'RD Plant List'!AC$5</f>
        <v>3.1250000000000004</v>
      </c>
      <c r="D113" s="299">
        <f>'RD Plant List'!$C115/12*'RD Feedstock'!D$3*'RD Plant List'!AB$5</f>
        <v>176.32395833333331</v>
      </c>
      <c r="E113" s="299">
        <f>'RD Plant List'!$C115/12*'RD Feedstock'!E$3*'RD Plant List'!AC$5</f>
        <v>9.21875</v>
      </c>
      <c r="F113" s="299">
        <f>'RD Plant List'!$D115/12*'RD Feedstock'!F$3*'RD Plant List'!AB$5</f>
        <v>2.359375</v>
      </c>
      <c r="G113" s="299">
        <f>'RD Plant List'!$D115/12*'RD Feedstock'!G$3*'RD Plant List'!AC$5</f>
        <v>0.78125</v>
      </c>
      <c r="H113" s="299">
        <f>'RD Plant List'!$E115/12*'RD Feedstock'!H$3*'RD Plant List'!AB$5</f>
        <v>138.41666666666666</v>
      </c>
      <c r="I113" s="299">
        <f>'RD Plant List'!$F115/12*'RD Feedstock'!I$3*'RD Plant List'!AB$5</f>
        <v>20.762499999999999</v>
      </c>
      <c r="J113" s="299">
        <f>'RD Plant List'!$F115/12*'RD Feedstock'!J$3*'RD Plant List'!AC$5</f>
        <v>6.875</v>
      </c>
    </row>
    <row r="114" spans="1:10" ht="18">
      <c r="A114" s="293">
        <v>47178</v>
      </c>
      <c r="B114" s="299">
        <f>'RD Plant List'!$B116/12*'RD Feedstock'!B$3*'RD Plant List'!AB$5</f>
        <v>59.770833333333336</v>
      </c>
      <c r="C114" s="299">
        <f>'RD Plant List'!$B116/12*'RD Feedstock'!C$3*'RD Plant List'!AC$5</f>
        <v>3.1250000000000004</v>
      </c>
      <c r="D114" s="299">
        <f>'RD Plant List'!$C116/12*'RD Feedstock'!D$3*'RD Plant List'!AB$5</f>
        <v>176.32395833333331</v>
      </c>
      <c r="E114" s="299">
        <f>'RD Plant List'!$C116/12*'RD Feedstock'!E$3*'RD Plant List'!AC$5</f>
        <v>9.21875</v>
      </c>
      <c r="F114" s="299">
        <f>'RD Plant List'!$D116/12*'RD Feedstock'!F$3*'RD Plant List'!AB$5</f>
        <v>2.359375</v>
      </c>
      <c r="G114" s="299">
        <f>'RD Plant List'!$D116/12*'RD Feedstock'!G$3*'RD Plant List'!AC$5</f>
        <v>0.78125</v>
      </c>
      <c r="H114" s="299">
        <f>'RD Plant List'!$E116/12*'RD Feedstock'!H$3*'RD Plant List'!AB$5</f>
        <v>138.41666666666666</v>
      </c>
      <c r="I114" s="299">
        <f>'RD Plant List'!$F116/12*'RD Feedstock'!I$3*'RD Plant List'!AB$5</f>
        <v>20.762499999999999</v>
      </c>
      <c r="J114" s="299">
        <f>'RD Plant List'!$F116/12*'RD Feedstock'!J$3*'RD Plant List'!AC$5</f>
        <v>6.875</v>
      </c>
    </row>
    <row r="115" spans="1:10" ht="18">
      <c r="A115" s="293">
        <v>47209</v>
      </c>
      <c r="B115" s="299">
        <f>'RD Plant List'!$B117/12*'RD Feedstock'!B$3*'RD Plant List'!AB$5</f>
        <v>59.770833333333336</v>
      </c>
      <c r="C115" s="299">
        <f>'RD Plant List'!$B117/12*'RD Feedstock'!C$3*'RD Plant List'!AC$5</f>
        <v>3.1250000000000004</v>
      </c>
      <c r="D115" s="299">
        <f>'RD Plant List'!$C117/12*'RD Feedstock'!D$3*'RD Plant List'!AB$5</f>
        <v>176.32395833333331</v>
      </c>
      <c r="E115" s="299">
        <f>'RD Plant List'!$C117/12*'RD Feedstock'!E$3*'RD Plant List'!AC$5</f>
        <v>9.21875</v>
      </c>
      <c r="F115" s="299">
        <f>'RD Plant List'!$D117/12*'RD Feedstock'!F$3*'RD Plant List'!AB$5</f>
        <v>2.359375</v>
      </c>
      <c r="G115" s="299">
        <f>'RD Plant List'!$D117/12*'RD Feedstock'!G$3*'RD Plant List'!AC$5</f>
        <v>0.78125</v>
      </c>
      <c r="H115" s="299">
        <f>'RD Plant List'!$E117/12*'RD Feedstock'!H$3*'RD Plant List'!AB$5</f>
        <v>138.41666666666666</v>
      </c>
      <c r="I115" s="299">
        <f>'RD Plant List'!$F117/12*'RD Feedstock'!I$3*'RD Plant List'!AB$5</f>
        <v>20.762499999999999</v>
      </c>
      <c r="J115" s="299">
        <f>'RD Plant List'!$F117/12*'RD Feedstock'!J$3*'RD Plant List'!AC$5</f>
        <v>6.875</v>
      </c>
    </row>
    <row r="116" spans="1:10" ht="18">
      <c r="A116" s="293">
        <v>47239</v>
      </c>
      <c r="B116" s="299">
        <f>'RD Plant List'!$B118/12*'RD Feedstock'!B$3*'RD Plant List'!AB$5</f>
        <v>59.770833333333336</v>
      </c>
      <c r="C116" s="299">
        <f>'RD Plant List'!$B118/12*'RD Feedstock'!C$3*'RD Plant List'!AC$5</f>
        <v>3.1250000000000004</v>
      </c>
      <c r="D116" s="299">
        <f>'RD Plant List'!$C118/12*'RD Feedstock'!D$3*'RD Plant List'!AB$5</f>
        <v>176.32395833333331</v>
      </c>
      <c r="E116" s="299">
        <f>'RD Plant List'!$C118/12*'RD Feedstock'!E$3*'RD Plant List'!AC$5</f>
        <v>9.21875</v>
      </c>
      <c r="F116" s="299">
        <f>'RD Plant List'!$D118/12*'RD Feedstock'!F$3*'RD Plant List'!AB$5</f>
        <v>2.359375</v>
      </c>
      <c r="G116" s="299">
        <f>'RD Plant List'!$D118/12*'RD Feedstock'!G$3*'RD Plant List'!AC$5</f>
        <v>0.78125</v>
      </c>
      <c r="H116" s="299">
        <f>'RD Plant List'!$E118/12*'RD Feedstock'!H$3*'RD Plant List'!AB$5</f>
        <v>138.41666666666666</v>
      </c>
      <c r="I116" s="299">
        <f>'RD Plant List'!$F118/12*'RD Feedstock'!I$3*'RD Plant List'!AB$5</f>
        <v>20.762499999999999</v>
      </c>
      <c r="J116" s="299">
        <f>'RD Plant List'!$F118/12*'RD Feedstock'!J$3*'RD Plant List'!AC$5</f>
        <v>6.875</v>
      </c>
    </row>
    <row r="117" spans="1:10" ht="18">
      <c r="A117" s="293">
        <v>47270</v>
      </c>
      <c r="B117" s="299">
        <f>'RD Plant List'!$B119/12*'RD Feedstock'!B$3*'RD Plant List'!AB$5</f>
        <v>59.770833333333336</v>
      </c>
      <c r="C117" s="299">
        <f>'RD Plant List'!$B119/12*'RD Feedstock'!C$3*'RD Plant List'!AC$5</f>
        <v>3.1250000000000004</v>
      </c>
      <c r="D117" s="299">
        <f>'RD Plant List'!$C119/12*'RD Feedstock'!D$3*'RD Plant List'!AB$5</f>
        <v>176.32395833333331</v>
      </c>
      <c r="E117" s="299">
        <f>'RD Plant List'!$C119/12*'RD Feedstock'!E$3*'RD Plant List'!AC$5</f>
        <v>9.21875</v>
      </c>
      <c r="F117" s="299">
        <f>'RD Plant List'!$D119/12*'RD Feedstock'!F$3*'RD Plant List'!AB$5</f>
        <v>2.359375</v>
      </c>
      <c r="G117" s="299">
        <f>'RD Plant List'!$D119/12*'RD Feedstock'!G$3*'RD Plant List'!AC$5</f>
        <v>0.78125</v>
      </c>
      <c r="H117" s="299">
        <f>'RD Plant List'!$E119/12*'RD Feedstock'!H$3*'RD Plant List'!AB$5</f>
        <v>138.41666666666666</v>
      </c>
      <c r="I117" s="299">
        <f>'RD Plant List'!$F119/12*'RD Feedstock'!I$3*'RD Plant List'!AB$5</f>
        <v>20.762499999999999</v>
      </c>
      <c r="J117" s="299">
        <f>'RD Plant List'!$F119/12*'RD Feedstock'!J$3*'RD Plant List'!AC$5</f>
        <v>6.875</v>
      </c>
    </row>
    <row r="118" spans="1:10" ht="18">
      <c r="A118" s="293">
        <v>47300</v>
      </c>
      <c r="B118" s="299">
        <f>'RD Plant List'!$B120/12*'RD Feedstock'!B$3*'RD Plant List'!AB$5</f>
        <v>59.770833333333336</v>
      </c>
      <c r="C118" s="299">
        <f>'RD Plant List'!$B120/12*'RD Feedstock'!C$3*'RD Plant List'!AC$5</f>
        <v>3.1250000000000004</v>
      </c>
      <c r="D118" s="299">
        <f>'RD Plant List'!$C120/12*'RD Feedstock'!D$3*'RD Plant List'!AB$5</f>
        <v>176.32395833333331</v>
      </c>
      <c r="E118" s="299">
        <f>'RD Plant List'!$C120/12*'RD Feedstock'!E$3*'RD Plant List'!AC$5</f>
        <v>9.21875</v>
      </c>
      <c r="F118" s="299">
        <f>'RD Plant List'!$D120/12*'RD Feedstock'!F$3*'RD Plant List'!AB$5</f>
        <v>2.359375</v>
      </c>
      <c r="G118" s="299">
        <f>'RD Plant List'!$D120/12*'RD Feedstock'!G$3*'RD Plant List'!AC$5</f>
        <v>0.78125</v>
      </c>
      <c r="H118" s="299">
        <f>'RD Plant List'!$E120/12*'RD Feedstock'!H$3*'RD Plant List'!AB$5</f>
        <v>138.41666666666666</v>
      </c>
      <c r="I118" s="299">
        <f>'RD Plant List'!$F120/12*'RD Feedstock'!I$3*'RD Plant List'!AB$5</f>
        <v>20.762499999999999</v>
      </c>
      <c r="J118" s="299">
        <f>'RD Plant List'!$F120/12*'RD Feedstock'!J$3*'RD Plant List'!AC$5</f>
        <v>6.875</v>
      </c>
    </row>
    <row r="119" spans="1:10" ht="18">
      <c r="A119" s="293">
        <v>47331</v>
      </c>
      <c r="B119" s="299">
        <f>'RD Plant List'!$B121/12*'RD Feedstock'!B$3*'RD Plant List'!AB$5</f>
        <v>59.770833333333336</v>
      </c>
      <c r="C119" s="299">
        <f>'RD Plant List'!$B121/12*'RD Feedstock'!C$3*'RD Plant List'!AC$5</f>
        <v>3.1250000000000004</v>
      </c>
      <c r="D119" s="299">
        <f>'RD Plant List'!$C121/12*'RD Feedstock'!D$3*'RD Plant List'!AB$5</f>
        <v>176.32395833333331</v>
      </c>
      <c r="E119" s="299">
        <f>'RD Plant List'!$C121/12*'RD Feedstock'!E$3*'RD Plant List'!AC$5</f>
        <v>9.21875</v>
      </c>
      <c r="F119" s="299">
        <f>'RD Plant List'!$D121/12*'RD Feedstock'!F$3*'RD Plant List'!AB$5</f>
        <v>2.359375</v>
      </c>
      <c r="G119" s="299">
        <f>'RD Plant List'!$D121/12*'RD Feedstock'!G$3*'RD Plant List'!AC$5</f>
        <v>0.78125</v>
      </c>
      <c r="H119" s="299">
        <f>'RD Plant List'!$E121/12*'RD Feedstock'!H$3*'RD Plant List'!AB$5</f>
        <v>138.41666666666666</v>
      </c>
      <c r="I119" s="299">
        <f>'RD Plant List'!$F121/12*'RD Feedstock'!I$3*'RD Plant List'!AB$5</f>
        <v>20.762499999999999</v>
      </c>
      <c r="J119" s="299">
        <f>'RD Plant List'!$F121/12*'RD Feedstock'!J$3*'RD Plant List'!AC$5</f>
        <v>6.875</v>
      </c>
    </row>
    <row r="120" spans="1:10" ht="18">
      <c r="A120" s="293">
        <v>47362</v>
      </c>
      <c r="B120" s="299">
        <f>'RD Plant List'!$B122/12*'RD Feedstock'!B$3*'RD Plant List'!AB$5</f>
        <v>59.770833333333336</v>
      </c>
      <c r="C120" s="299">
        <f>'RD Plant List'!$B122/12*'RD Feedstock'!C$3*'RD Plant List'!AC$5</f>
        <v>3.1250000000000004</v>
      </c>
      <c r="D120" s="299">
        <f>'RD Plant List'!$C122/12*'RD Feedstock'!D$3*'RD Plant List'!AB$5</f>
        <v>176.32395833333331</v>
      </c>
      <c r="E120" s="299">
        <f>'RD Plant List'!$C122/12*'RD Feedstock'!E$3*'RD Plant List'!AC$5</f>
        <v>9.21875</v>
      </c>
      <c r="F120" s="299">
        <f>'RD Plant List'!$D122/12*'RD Feedstock'!F$3*'RD Plant List'!AB$5</f>
        <v>2.359375</v>
      </c>
      <c r="G120" s="299">
        <f>'RD Plant List'!$D122/12*'RD Feedstock'!G$3*'RD Plant List'!AC$5</f>
        <v>0.78125</v>
      </c>
      <c r="H120" s="299">
        <f>'RD Plant List'!$E122/12*'RD Feedstock'!H$3*'RD Plant List'!AB$5</f>
        <v>138.41666666666666</v>
      </c>
      <c r="I120" s="299">
        <f>'RD Plant List'!$F122/12*'RD Feedstock'!I$3*'RD Plant List'!AB$5</f>
        <v>20.762499999999999</v>
      </c>
      <c r="J120" s="299">
        <f>'RD Plant List'!$F122/12*'RD Feedstock'!J$3*'RD Plant List'!AC$5</f>
        <v>6.875</v>
      </c>
    </row>
    <row r="121" spans="1:10" ht="18">
      <c r="A121" s="293">
        <v>47392</v>
      </c>
      <c r="B121" s="299">
        <f>'RD Plant List'!$B123/12*'RD Feedstock'!B$3*'RD Plant List'!AB$5</f>
        <v>59.770833333333336</v>
      </c>
      <c r="C121" s="299">
        <f>'RD Plant List'!$B123/12*'RD Feedstock'!C$3*'RD Plant List'!AC$5</f>
        <v>3.1250000000000004</v>
      </c>
      <c r="D121" s="299">
        <f>'RD Plant List'!$C123/12*'RD Feedstock'!D$3*'RD Plant List'!AB$5</f>
        <v>176.32395833333331</v>
      </c>
      <c r="E121" s="299">
        <f>'RD Plant List'!$C123/12*'RD Feedstock'!E$3*'RD Plant List'!AC$5</f>
        <v>9.21875</v>
      </c>
      <c r="F121" s="299">
        <f>'RD Plant List'!$D123/12*'RD Feedstock'!F$3*'RD Plant List'!AB$5</f>
        <v>2.359375</v>
      </c>
      <c r="G121" s="299">
        <f>'RD Plant List'!$D123/12*'RD Feedstock'!G$3*'RD Plant List'!AC$5</f>
        <v>0.78125</v>
      </c>
      <c r="H121" s="299">
        <f>'RD Plant List'!$E123/12*'RD Feedstock'!H$3*'RD Plant List'!AB$5</f>
        <v>138.41666666666666</v>
      </c>
      <c r="I121" s="299">
        <f>'RD Plant List'!$F123/12*'RD Feedstock'!I$3*'RD Plant List'!AB$5</f>
        <v>20.762499999999999</v>
      </c>
      <c r="J121" s="299">
        <f>'RD Plant List'!$F123/12*'RD Feedstock'!J$3*'RD Plant List'!AC$5</f>
        <v>6.875</v>
      </c>
    </row>
    <row r="122" spans="1:10" ht="18">
      <c r="A122" s="293">
        <v>47423</v>
      </c>
      <c r="B122" s="299">
        <f>'RD Plant List'!$B124/12*'RD Feedstock'!B$3*'RD Plant List'!AB$5</f>
        <v>59.770833333333336</v>
      </c>
      <c r="C122" s="299">
        <f>'RD Plant List'!$B124/12*'RD Feedstock'!C$3*'RD Plant List'!AC$5</f>
        <v>3.1250000000000004</v>
      </c>
      <c r="D122" s="299">
        <f>'RD Plant List'!$C124/12*'RD Feedstock'!D$3*'RD Plant List'!AB$5</f>
        <v>176.32395833333331</v>
      </c>
      <c r="E122" s="299">
        <f>'RD Plant List'!$C124/12*'RD Feedstock'!E$3*'RD Plant List'!AC$5</f>
        <v>9.21875</v>
      </c>
      <c r="F122" s="299">
        <f>'RD Plant List'!$D124/12*'RD Feedstock'!F$3*'RD Plant List'!AB$5</f>
        <v>2.359375</v>
      </c>
      <c r="G122" s="299">
        <f>'RD Plant List'!$D124/12*'RD Feedstock'!G$3*'RD Plant List'!AC$5</f>
        <v>0.78125</v>
      </c>
      <c r="H122" s="299">
        <f>'RD Plant List'!$E124/12*'RD Feedstock'!H$3*'RD Plant List'!AB$5</f>
        <v>138.41666666666666</v>
      </c>
      <c r="I122" s="299">
        <f>'RD Plant List'!$F124/12*'RD Feedstock'!I$3*'RD Plant List'!AB$5</f>
        <v>20.762499999999999</v>
      </c>
      <c r="J122" s="299">
        <f>'RD Plant List'!$F124/12*'RD Feedstock'!J$3*'RD Plant List'!AC$5</f>
        <v>6.875</v>
      </c>
    </row>
    <row r="123" spans="1:10" ht="18">
      <c r="A123" s="293">
        <v>47453</v>
      </c>
      <c r="B123" s="299">
        <f>'RD Plant List'!$B125/12*'RD Feedstock'!B$3*'RD Plant List'!AB$5</f>
        <v>59.770833333333336</v>
      </c>
      <c r="C123" s="299">
        <f>'RD Plant List'!$B125/12*'RD Feedstock'!C$3*'RD Plant List'!AC$5</f>
        <v>3.1250000000000004</v>
      </c>
      <c r="D123" s="299">
        <f>'RD Plant List'!$C125/12*'RD Feedstock'!D$3*'RD Plant List'!AB$5</f>
        <v>176.32395833333331</v>
      </c>
      <c r="E123" s="299">
        <f>'RD Plant List'!$C125/12*'RD Feedstock'!E$3*'RD Plant List'!AC$5</f>
        <v>9.21875</v>
      </c>
      <c r="F123" s="299">
        <f>'RD Plant List'!$D125/12*'RD Feedstock'!F$3*'RD Plant List'!AB$5</f>
        <v>2.359375</v>
      </c>
      <c r="G123" s="299">
        <f>'RD Plant List'!$D125/12*'RD Feedstock'!G$3*'RD Plant List'!AC$5</f>
        <v>0.78125</v>
      </c>
      <c r="H123" s="299">
        <f>'RD Plant List'!$E125/12*'RD Feedstock'!H$3*'RD Plant List'!AB$5</f>
        <v>138.41666666666666</v>
      </c>
      <c r="I123" s="299">
        <f>'RD Plant List'!$F125/12*'RD Feedstock'!I$3*'RD Plant List'!AB$5</f>
        <v>20.762499999999999</v>
      </c>
      <c r="J123" s="299">
        <f>'RD Plant List'!$F125/12*'RD Feedstock'!J$3*'RD Plant List'!AC$5</f>
        <v>6.875</v>
      </c>
    </row>
    <row r="124" spans="1:10" ht="18">
      <c r="A124" s="293">
        <v>47484</v>
      </c>
      <c r="B124" s="299">
        <f>'RD Plant List'!$B126/12*'RD Feedstock'!B$3*'RD Plant List'!AB$5</f>
        <v>59.770833333333336</v>
      </c>
      <c r="C124" s="299">
        <f>'RD Plant List'!$B126/12*'RD Feedstock'!C$3*'RD Plant List'!AC$5</f>
        <v>3.1250000000000004</v>
      </c>
      <c r="D124" s="299">
        <f>'RD Plant List'!$C126/12*'RD Feedstock'!D$3*'RD Plant List'!AB$5</f>
        <v>176.32395833333331</v>
      </c>
      <c r="E124" s="299">
        <f>'RD Plant List'!$C126/12*'RD Feedstock'!E$3*'RD Plant List'!AC$5</f>
        <v>9.21875</v>
      </c>
      <c r="F124" s="299">
        <f>'RD Plant List'!$D126/12*'RD Feedstock'!F$3*'RD Plant List'!AB$5</f>
        <v>2.359375</v>
      </c>
      <c r="G124" s="299">
        <f>'RD Plant List'!$D126/12*'RD Feedstock'!G$3*'RD Plant List'!AC$5</f>
        <v>0.78125</v>
      </c>
      <c r="H124" s="299">
        <f>'RD Plant List'!$E126/12*'RD Feedstock'!H$3*'RD Plant List'!AB$5</f>
        <v>138.41666666666666</v>
      </c>
      <c r="I124" s="299">
        <f>'RD Plant List'!$F126/12*'RD Feedstock'!I$3*'RD Plant List'!AB$5</f>
        <v>20.762499999999999</v>
      </c>
      <c r="J124" s="299">
        <f>'RD Plant List'!$F126/12*'RD Feedstock'!J$3*'RD Plant List'!AC$5</f>
        <v>6.875</v>
      </c>
    </row>
    <row r="125" spans="1:10" ht="18">
      <c r="A125" s="293">
        <v>47515</v>
      </c>
      <c r="B125" s="299">
        <f>'RD Plant List'!$B127/12*'RD Feedstock'!B$3*'RD Plant List'!AB$5</f>
        <v>59.770833333333336</v>
      </c>
      <c r="C125" s="299">
        <f>'RD Plant List'!$B127/12*'RD Feedstock'!C$3*'RD Plant List'!AC$5</f>
        <v>3.1250000000000004</v>
      </c>
      <c r="D125" s="299">
        <f>'RD Plant List'!$C127/12*'RD Feedstock'!D$3*'RD Plant List'!AB$5</f>
        <v>176.32395833333331</v>
      </c>
      <c r="E125" s="299">
        <f>'RD Plant List'!$C127/12*'RD Feedstock'!E$3*'RD Plant List'!AC$5</f>
        <v>9.21875</v>
      </c>
      <c r="F125" s="299">
        <f>'RD Plant List'!$D127/12*'RD Feedstock'!F$3*'RD Plant List'!AB$5</f>
        <v>2.359375</v>
      </c>
      <c r="G125" s="299">
        <f>'RD Plant List'!$D127/12*'RD Feedstock'!G$3*'RD Plant List'!AC$5</f>
        <v>0.78125</v>
      </c>
      <c r="H125" s="299">
        <f>'RD Plant List'!$E127/12*'RD Feedstock'!H$3*'RD Plant List'!AB$5</f>
        <v>138.41666666666666</v>
      </c>
      <c r="I125" s="299">
        <f>'RD Plant List'!$F127/12*'RD Feedstock'!I$3*'RD Plant List'!AB$5</f>
        <v>20.762499999999999</v>
      </c>
      <c r="J125" s="299">
        <f>'RD Plant List'!$F127/12*'RD Feedstock'!J$3*'RD Plant List'!AC$5</f>
        <v>6.875</v>
      </c>
    </row>
    <row r="126" spans="1:10" ht="18">
      <c r="A126" s="293">
        <v>47543</v>
      </c>
      <c r="B126" s="299">
        <f>'RD Plant List'!$B128/12*'RD Feedstock'!B$3*'RD Plant List'!AB$5</f>
        <v>59.770833333333336</v>
      </c>
      <c r="C126" s="299">
        <f>'RD Plant List'!$B128/12*'RD Feedstock'!C$3*'RD Plant List'!AC$5</f>
        <v>3.1250000000000004</v>
      </c>
      <c r="D126" s="299">
        <f>'RD Plant List'!$C128/12*'RD Feedstock'!D$3*'RD Plant List'!AB$5</f>
        <v>176.32395833333331</v>
      </c>
      <c r="E126" s="299">
        <f>'RD Plant List'!$C128/12*'RD Feedstock'!E$3*'RD Plant List'!AC$5</f>
        <v>9.21875</v>
      </c>
      <c r="F126" s="299">
        <f>'RD Plant List'!$D128/12*'RD Feedstock'!F$3*'RD Plant List'!AB$5</f>
        <v>2.359375</v>
      </c>
      <c r="G126" s="299">
        <f>'RD Plant List'!$D128/12*'RD Feedstock'!G$3*'RD Plant List'!AC$5</f>
        <v>0.78125</v>
      </c>
      <c r="H126" s="299">
        <f>'RD Plant List'!$E128/12*'RD Feedstock'!H$3*'RD Plant List'!AB$5</f>
        <v>138.41666666666666</v>
      </c>
      <c r="I126" s="299">
        <f>'RD Plant List'!$F128/12*'RD Feedstock'!I$3*'RD Plant List'!AB$5</f>
        <v>20.762499999999999</v>
      </c>
      <c r="J126" s="299">
        <f>'RD Plant List'!$F128/12*'RD Feedstock'!J$3*'RD Plant List'!AC$5</f>
        <v>6.875</v>
      </c>
    </row>
    <row r="127" spans="1:10" ht="18">
      <c r="A127" s="293">
        <v>47574</v>
      </c>
      <c r="B127" s="299">
        <f>'RD Plant List'!$B129/12*'RD Feedstock'!B$3*'RD Plant List'!AB$5</f>
        <v>59.770833333333336</v>
      </c>
      <c r="C127" s="299">
        <f>'RD Plant List'!$B129/12*'RD Feedstock'!C$3*'RD Plant List'!AC$5</f>
        <v>3.1250000000000004</v>
      </c>
      <c r="D127" s="299">
        <f>'RD Plant List'!$C129/12*'RD Feedstock'!D$3*'RD Plant List'!AB$5</f>
        <v>176.32395833333331</v>
      </c>
      <c r="E127" s="299">
        <f>'RD Plant List'!$C129/12*'RD Feedstock'!E$3*'RD Plant List'!AC$5</f>
        <v>9.21875</v>
      </c>
      <c r="F127" s="299">
        <f>'RD Plant List'!$D129/12*'RD Feedstock'!F$3*'RD Plant List'!AB$5</f>
        <v>2.359375</v>
      </c>
      <c r="G127" s="299">
        <f>'RD Plant List'!$D129/12*'RD Feedstock'!G$3*'RD Plant List'!AC$5</f>
        <v>0.78125</v>
      </c>
      <c r="H127" s="299">
        <f>'RD Plant List'!$E129/12*'RD Feedstock'!H$3*'RD Plant List'!AB$5</f>
        <v>138.41666666666666</v>
      </c>
      <c r="I127" s="299">
        <f>'RD Plant List'!$F129/12*'RD Feedstock'!I$3*'RD Plant List'!AB$5</f>
        <v>20.762499999999999</v>
      </c>
      <c r="J127" s="299">
        <f>'RD Plant List'!$F129/12*'RD Feedstock'!J$3*'RD Plant List'!AC$5</f>
        <v>6.875</v>
      </c>
    </row>
    <row r="128" spans="1:10" ht="18">
      <c r="A128" s="293">
        <v>47604</v>
      </c>
      <c r="B128" s="299">
        <f>'RD Plant List'!$B130/12*'RD Feedstock'!B$3*'RD Plant List'!AB$5</f>
        <v>59.770833333333336</v>
      </c>
      <c r="C128" s="299">
        <f>'RD Plant List'!$B130/12*'RD Feedstock'!C$3*'RD Plant List'!AC$5</f>
        <v>3.1250000000000004</v>
      </c>
      <c r="D128" s="299">
        <f>'RD Plant List'!$C130/12*'RD Feedstock'!D$3*'RD Plant List'!AB$5</f>
        <v>176.32395833333331</v>
      </c>
      <c r="E128" s="299">
        <f>'RD Plant List'!$C130/12*'RD Feedstock'!E$3*'RD Plant List'!AC$5</f>
        <v>9.21875</v>
      </c>
      <c r="F128" s="299">
        <f>'RD Plant List'!$D130/12*'RD Feedstock'!F$3*'RD Plant List'!AB$5</f>
        <v>2.359375</v>
      </c>
      <c r="G128" s="299">
        <f>'RD Plant List'!$D130/12*'RD Feedstock'!G$3*'RD Plant List'!AC$5</f>
        <v>0.78125</v>
      </c>
      <c r="H128" s="299">
        <f>'RD Plant List'!$E130/12*'RD Feedstock'!H$3*'RD Plant List'!AB$5</f>
        <v>138.41666666666666</v>
      </c>
      <c r="I128" s="299">
        <f>'RD Plant List'!$F130/12*'RD Feedstock'!I$3*'RD Plant List'!AB$5</f>
        <v>20.762499999999999</v>
      </c>
      <c r="J128" s="299">
        <f>'RD Plant List'!$F130/12*'RD Feedstock'!J$3*'RD Plant List'!AC$5</f>
        <v>6.875</v>
      </c>
    </row>
    <row r="129" spans="1:10" ht="18">
      <c r="A129" s="293">
        <v>47635</v>
      </c>
      <c r="B129" s="299">
        <f>'RD Plant List'!$B131/12*'RD Feedstock'!B$3*'RD Plant List'!AB$5</f>
        <v>59.770833333333336</v>
      </c>
      <c r="C129" s="299">
        <f>'RD Plant List'!$B131/12*'RD Feedstock'!C$3*'RD Plant List'!AC$5</f>
        <v>3.1250000000000004</v>
      </c>
      <c r="D129" s="299">
        <f>'RD Plant List'!$C131/12*'RD Feedstock'!D$3*'RD Plant List'!AB$5</f>
        <v>176.32395833333331</v>
      </c>
      <c r="E129" s="299">
        <f>'RD Plant List'!$C131/12*'RD Feedstock'!E$3*'RD Plant List'!AC$5</f>
        <v>9.21875</v>
      </c>
      <c r="F129" s="299">
        <f>'RD Plant List'!$D131/12*'RD Feedstock'!F$3*'RD Plant List'!AB$5</f>
        <v>2.359375</v>
      </c>
      <c r="G129" s="299">
        <f>'RD Plant List'!$D131/12*'RD Feedstock'!G$3*'RD Plant List'!AC$5</f>
        <v>0.78125</v>
      </c>
      <c r="H129" s="299">
        <f>'RD Plant List'!$E131/12*'RD Feedstock'!H$3*'RD Plant List'!AB$5</f>
        <v>138.41666666666666</v>
      </c>
      <c r="I129" s="299">
        <f>'RD Plant List'!$F131/12*'RD Feedstock'!I$3*'RD Plant List'!AB$5</f>
        <v>20.762499999999999</v>
      </c>
      <c r="J129" s="299">
        <f>'RD Plant List'!$F131/12*'RD Feedstock'!J$3*'RD Plant List'!AC$5</f>
        <v>6.875</v>
      </c>
    </row>
    <row r="130" spans="1:10" ht="18">
      <c r="A130" s="293">
        <v>47665</v>
      </c>
      <c r="B130" s="299">
        <f>'RD Plant List'!$B132/12*'RD Feedstock'!B$3*'RD Plant List'!AB$5</f>
        <v>59.770833333333336</v>
      </c>
      <c r="C130" s="299">
        <f>'RD Plant List'!$B132/12*'RD Feedstock'!C$3*'RD Plant List'!AC$5</f>
        <v>3.1250000000000004</v>
      </c>
      <c r="D130" s="299">
        <f>'RD Plant List'!$C132/12*'RD Feedstock'!D$3*'RD Plant List'!AB$5</f>
        <v>176.32395833333331</v>
      </c>
      <c r="E130" s="299">
        <f>'RD Plant List'!$C132/12*'RD Feedstock'!E$3*'RD Plant List'!AC$5</f>
        <v>9.21875</v>
      </c>
      <c r="F130" s="299">
        <f>'RD Plant List'!$D132/12*'RD Feedstock'!F$3*'RD Plant List'!AB$5</f>
        <v>2.359375</v>
      </c>
      <c r="G130" s="299">
        <f>'RD Plant List'!$D132/12*'RD Feedstock'!G$3*'RD Plant List'!AC$5</f>
        <v>0.78125</v>
      </c>
      <c r="H130" s="299">
        <f>'RD Plant List'!$E132/12*'RD Feedstock'!H$3*'RD Plant List'!AB$5</f>
        <v>138.41666666666666</v>
      </c>
      <c r="I130" s="299">
        <f>'RD Plant List'!$F132/12*'RD Feedstock'!I$3*'RD Plant List'!AB$5</f>
        <v>20.762499999999999</v>
      </c>
      <c r="J130" s="299">
        <f>'RD Plant List'!$F132/12*'RD Feedstock'!J$3*'RD Plant List'!AC$5</f>
        <v>6.875</v>
      </c>
    </row>
    <row r="131" spans="1:10" ht="18">
      <c r="A131" s="293">
        <v>47696</v>
      </c>
      <c r="B131" s="299">
        <f>'RD Plant List'!$B133/12*'RD Feedstock'!B$3*'RD Plant List'!AB$5</f>
        <v>59.770833333333336</v>
      </c>
      <c r="C131" s="299">
        <f>'RD Plant List'!$B133/12*'RD Feedstock'!C$3*'RD Plant List'!AC$5</f>
        <v>3.1250000000000004</v>
      </c>
      <c r="D131" s="299">
        <f>'RD Plant List'!$C133/12*'RD Feedstock'!D$3*'RD Plant List'!AB$5</f>
        <v>176.32395833333331</v>
      </c>
      <c r="E131" s="299">
        <f>'RD Plant List'!$C133/12*'RD Feedstock'!E$3*'RD Plant List'!AC$5</f>
        <v>9.21875</v>
      </c>
      <c r="F131" s="299">
        <f>'RD Plant List'!$D133/12*'RD Feedstock'!F$3*'RD Plant List'!AB$5</f>
        <v>2.359375</v>
      </c>
      <c r="G131" s="299">
        <f>'RD Plant List'!$D133/12*'RD Feedstock'!G$3*'RD Plant List'!AC$5</f>
        <v>0.78125</v>
      </c>
      <c r="H131" s="299">
        <f>'RD Plant List'!$E133/12*'RD Feedstock'!H$3*'RD Plant List'!AB$5</f>
        <v>138.41666666666666</v>
      </c>
      <c r="I131" s="299">
        <f>'RD Plant List'!$F133/12*'RD Feedstock'!I$3*'RD Plant List'!AB$5</f>
        <v>20.762499999999999</v>
      </c>
      <c r="J131" s="299">
        <f>'RD Plant List'!$F133/12*'RD Feedstock'!J$3*'RD Plant List'!AC$5</f>
        <v>6.875</v>
      </c>
    </row>
    <row r="132" spans="1:10" ht="18">
      <c r="A132" s="293">
        <v>47727</v>
      </c>
      <c r="B132" s="299">
        <f>'RD Plant List'!$B134/12*'RD Feedstock'!B$3*'RD Plant List'!AB$5</f>
        <v>59.770833333333336</v>
      </c>
      <c r="C132" s="299">
        <f>'RD Plant List'!$B134/12*'RD Feedstock'!C$3*'RD Plant List'!AC$5</f>
        <v>3.1250000000000004</v>
      </c>
      <c r="D132" s="299">
        <f>'RD Plant List'!$C134/12*'RD Feedstock'!D$3*'RD Plant List'!AB$5</f>
        <v>176.32395833333331</v>
      </c>
      <c r="E132" s="299">
        <f>'RD Plant List'!$C134/12*'RD Feedstock'!E$3*'RD Plant List'!AC$5</f>
        <v>9.21875</v>
      </c>
      <c r="F132" s="299">
        <f>'RD Plant List'!$D134/12*'RD Feedstock'!F$3*'RD Plant List'!AB$5</f>
        <v>2.359375</v>
      </c>
      <c r="G132" s="299">
        <f>'RD Plant List'!$D134/12*'RD Feedstock'!G$3*'RD Plant List'!AC$5</f>
        <v>0.78125</v>
      </c>
      <c r="H132" s="299">
        <f>'RD Plant List'!$E134/12*'RD Feedstock'!H$3*'RD Plant List'!AB$5</f>
        <v>138.41666666666666</v>
      </c>
      <c r="I132" s="299">
        <f>'RD Plant List'!$F134/12*'RD Feedstock'!I$3*'RD Plant List'!AB$5</f>
        <v>20.762499999999999</v>
      </c>
      <c r="J132" s="299">
        <f>'RD Plant List'!$F134/12*'RD Feedstock'!J$3*'RD Plant List'!AC$5</f>
        <v>6.875</v>
      </c>
    </row>
    <row r="133" spans="1:10" ht="18">
      <c r="A133" s="293">
        <v>47757</v>
      </c>
      <c r="B133" s="299">
        <f>'RD Plant List'!$B135/12*'RD Feedstock'!B$3*'RD Plant List'!AB$5</f>
        <v>59.770833333333336</v>
      </c>
      <c r="C133" s="299">
        <f>'RD Plant List'!$B135/12*'RD Feedstock'!C$3*'RD Plant List'!AC$5</f>
        <v>3.1250000000000004</v>
      </c>
      <c r="D133" s="299">
        <f>'RD Plant List'!$C135/12*'RD Feedstock'!D$3*'RD Plant List'!AB$5</f>
        <v>176.32395833333331</v>
      </c>
      <c r="E133" s="299">
        <f>'RD Plant List'!$C135/12*'RD Feedstock'!E$3*'RD Plant List'!AC$5</f>
        <v>9.21875</v>
      </c>
      <c r="F133" s="299">
        <f>'RD Plant List'!$D135/12*'RD Feedstock'!F$3*'RD Plant List'!AB$5</f>
        <v>2.359375</v>
      </c>
      <c r="G133" s="299">
        <f>'RD Plant List'!$D135/12*'RD Feedstock'!G$3*'RD Plant List'!AC$5</f>
        <v>0.78125</v>
      </c>
      <c r="H133" s="299">
        <f>'RD Plant List'!$E135/12*'RD Feedstock'!H$3*'RD Plant List'!AB$5</f>
        <v>138.41666666666666</v>
      </c>
      <c r="I133" s="299">
        <f>'RD Plant List'!$F135/12*'RD Feedstock'!I$3*'RD Plant List'!AB$5</f>
        <v>20.762499999999999</v>
      </c>
      <c r="J133" s="299">
        <f>'RD Plant List'!$F135/12*'RD Feedstock'!J$3*'RD Plant List'!AC$5</f>
        <v>6.875</v>
      </c>
    </row>
    <row r="134" spans="1:10" ht="18">
      <c r="A134" s="293">
        <v>47788</v>
      </c>
      <c r="B134" s="299">
        <f>'RD Plant List'!$B136/12*'RD Feedstock'!B$3*'RD Plant List'!AB$5</f>
        <v>59.770833333333336</v>
      </c>
      <c r="C134" s="299">
        <f>'RD Plant List'!$B136/12*'RD Feedstock'!C$3*'RD Plant List'!AC$5</f>
        <v>3.1250000000000004</v>
      </c>
      <c r="D134" s="299">
        <f>'RD Plant List'!$C136/12*'RD Feedstock'!D$3*'RD Plant List'!AB$5</f>
        <v>176.32395833333331</v>
      </c>
      <c r="E134" s="299">
        <f>'RD Plant List'!$C136/12*'RD Feedstock'!E$3*'RD Plant List'!AC$5</f>
        <v>9.21875</v>
      </c>
      <c r="F134" s="299">
        <f>'RD Plant List'!$D136/12*'RD Feedstock'!F$3*'RD Plant List'!AB$5</f>
        <v>2.359375</v>
      </c>
      <c r="G134" s="299">
        <f>'RD Plant List'!$D136/12*'RD Feedstock'!G$3*'RD Plant List'!AC$5</f>
        <v>0.78125</v>
      </c>
      <c r="H134" s="299">
        <f>'RD Plant List'!$E136/12*'RD Feedstock'!H$3*'RD Plant List'!AB$5</f>
        <v>138.41666666666666</v>
      </c>
      <c r="I134" s="299">
        <f>'RD Plant List'!$F136/12*'RD Feedstock'!I$3*'RD Plant List'!AB$5</f>
        <v>20.762499999999999</v>
      </c>
      <c r="J134" s="299">
        <f>'RD Plant List'!$F136/12*'RD Feedstock'!J$3*'RD Plant List'!AC$5</f>
        <v>6.875</v>
      </c>
    </row>
    <row r="135" spans="1:10" ht="18">
      <c r="A135" s="293">
        <v>47818</v>
      </c>
      <c r="B135" s="299">
        <f>'RD Plant List'!$B137/12*'RD Feedstock'!B$3*'RD Plant List'!AB$5</f>
        <v>59.770833333333336</v>
      </c>
      <c r="C135" s="299">
        <f>'RD Plant List'!$B137/12*'RD Feedstock'!C$3*'RD Plant List'!AC$5</f>
        <v>3.1250000000000004</v>
      </c>
      <c r="D135" s="299">
        <f>'RD Plant List'!$C137/12*'RD Feedstock'!D$3*'RD Plant List'!AB$5</f>
        <v>176.32395833333331</v>
      </c>
      <c r="E135" s="299">
        <f>'RD Plant List'!$C137/12*'RD Feedstock'!E$3*'RD Plant List'!AC$5</f>
        <v>9.21875</v>
      </c>
      <c r="F135" s="299">
        <f>'RD Plant List'!$D137/12*'RD Feedstock'!F$3*'RD Plant List'!AB$5</f>
        <v>2.359375</v>
      </c>
      <c r="G135" s="299">
        <f>'RD Plant List'!$D137/12*'RD Feedstock'!G$3*'RD Plant List'!AC$5</f>
        <v>0.78125</v>
      </c>
      <c r="H135" s="299">
        <f>'RD Plant List'!$E137/12*'RD Feedstock'!H$3*'RD Plant List'!AB$5</f>
        <v>138.41666666666666</v>
      </c>
      <c r="I135" s="299">
        <f>'RD Plant List'!$F137/12*'RD Feedstock'!I$3*'RD Plant List'!AB$5</f>
        <v>20.762499999999999</v>
      </c>
      <c r="J135" s="299">
        <f>'RD Plant List'!$F137/12*'RD Feedstock'!J$3*'RD Plant List'!AC$5</f>
        <v>6.875</v>
      </c>
    </row>
    <row r="136" spans="1:10" ht="18">
      <c r="A136" s="293">
        <v>47849</v>
      </c>
      <c r="B136" s="299">
        <f>'RD Plant List'!$B138/12*'RD Feedstock'!B$3*'RD Plant List'!AB$5</f>
        <v>59.770833333333336</v>
      </c>
      <c r="C136" s="299">
        <f>'RD Plant List'!$B138/12*'RD Feedstock'!C$3*'RD Plant List'!AC$5</f>
        <v>3.1250000000000004</v>
      </c>
      <c r="D136" s="299">
        <f>'RD Plant List'!$C138/12*'RD Feedstock'!D$3*'RD Plant List'!AB$5</f>
        <v>176.32395833333331</v>
      </c>
      <c r="E136" s="299">
        <f>'RD Plant List'!$C138/12*'RD Feedstock'!E$3*'RD Plant List'!AC$5</f>
        <v>9.21875</v>
      </c>
      <c r="F136" s="299">
        <f>'RD Plant List'!$D138/12*'RD Feedstock'!F$3*'RD Plant List'!AB$5</f>
        <v>2.359375</v>
      </c>
      <c r="G136" s="299">
        <f>'RD Plant List'!$D138/12*'RD Feedstock'!G$3*'RD Plant List'!AC$5</f>
        <v>0.78125</v>
      </c>
      <c r="H136" s="299">
        <f>'RD Plant List'!$E138/12*'RD Feedstock'!H$3*'RD Plant List'!AB$5</f>
        <v>138.41666666666666</v>
      </c>
      <c r="I136" s="299">
        <f>'RD Plant List'!$F138/12*'RD Feedstock'!I$3*'RD Plant List'!AB$5</f>
        <v>20.762499999999999</v>
      </c>
      <c r="J136" s="299">
        <f>'RD Plant List'!$F138/12*'RD Feedstock'!J$3*'RD Plant List'!AC$5</f>
        <v>6.875</v>
      </c>
    </row>
    <row r="137" spans="1:10" ht="18">
      <c r="A137" s="293">
        <v>47880</v>
      </c>
      <c r="B137" s="299">
        <f>'RD Plant List'!$B139/12*'RD Feedstock'!B$3*'RD Plant List'!AB$5</f>
        <v>59.770833333333336</v>
      </c>
      <c r="C137" s="299">
        <f>'RD Plant List'!$B139/12*'RD Feedstock'!C$3*'RD Plant List'!AC$5</f>
        <v>3.1250000000000004</v>
      </c>
      <c r="D137" s="299">
        <f>'RD Plant List'!$C139/12*'RD Feedstock'!D$3*'RD Plant List'!AB$5</f>
        <v>176.32395833333331</v>
      </c>
      <c r="E137" s="299">
        <f>'RD Plant List'!$C139/12*'RD Feedstock'!E$3*'RD Plant List'!AC$5</f>
        <v>9.21875</v>
      </c>
      <c r="F137" s="299">
        <f>'RD Plant List'!$D139/12*'RD Feedstock'!F$3*'RD Plant List'!AB$5</f>
        <v>2.359375</v>
      </c>
      <c r="G137" s="299">
        <f>'RD Plant List'!$D139/12*'RD Feedstock'!G$3*'RD Plant List'!AC$5</f>
        <v>0.78125</v>
      </c>
      <c r="H137" s="299">
        <f>'RD Plant List'!$E139/12*'RD Feedstock'!H$3*'RD Plant List'!AB$5</f>
        <v>138.41666666666666</v>
      </c>
      <c r="I137" s="299">
        <f>'RD Plant List'!$F139/12*'RD Feedstock'!I$3*'RD Plant List'!AB$5</f>
        <v>20.762499999999999</v>
      </c>
      <c r="J137" s="299">
        <f>'RD Plant List'!$F139/12*'RD Feedstock'!J$3*'RD Plant List'!AC$5</f>
        <v>6.875</v>
      </c>
    </row>
    <row r="138" spans="1:10" ht="18">
      <c r="A138" s="293">
        <v>47908</v>
      </c>
      <c r="B138" s="299">
        <f>'RD Plant List'!$B140/12*'RD Feedstock'!B$3*'RD Plant List'!AB$5</f>
        <v>59.770833333333336</v>
      </c>
      <c r="C138" s="299">
        <f>'RD Plant List'!$B140/12*'RD Feedstock'!C$3*'RD Plant List'!AC$5</f>
        <v>3.1250000000000004</v>
      </c>
      <c r="D138" s="299">
        <f>'RD Plant List'!$C140/12*'RD Feedstock'!D$3*'RD Plant List'!AB$5</f>
        <v>176.32395833333331</v>
      </c>
      <c r="E138" s="299">
        <f>'RD Plant List'!$C140/12*'RD Feedstock'!E$3*'RD Plant List'!AC$5</f>
        <v>9.21875</v>
      </c>
      <c r="F138" s="299">
        <f>'RD Plant List'!$D140/12*'RD Feedstock'!F$3*'RD Plant List'!AB$5</f>
        <v>2.359375</v>
      </c>
      <c r="G138" s="299">
        <f>'RD Plant List'!$D140/12*'RD Feedstock'!G$3*'RD Plant List'!AC$5</f>
        <v>0.78125</v>
      </c>
      <c r="H138" s="299">
        <f>'RD Plant List'!$E140/12*'RD Feedstock'!H$3*'RD Plant List'!AB$5</f>
        <v>138.41666666666666</v>
      </c>
      <c r="I138" s="299">
        <f>'RD Plant List'!$F140/12*'RD Feedstock'!I$3*'RD Plant List'!AB$5</f>
        <v>20.762499999999999</v>
      </c>
      <c r="J138" s="299">
        <f>'RD Plant List'!$F140/12*'RD Feedstock'!J$3*'RD Plant List'!AC$5</f>
        <v>6.875</v>
      </c>
    </row>
    <row r="139" spans="1:10" ht="18">
      <c r="A139" s="293">
        <v>47939</v>
      </c>
      <c r="B139" s="299">
        <f>'RD Plant List'!$B141/12*'RD Feedstock'!B$3*'RD Plant List'!AB$5</f>
        <v>59.770833333333336</v>
      </c>
      <c r="C139" s="299">
        <f>'RD Plant List'!$B141/12*'RD Feedstock'!C$3*'RD Plant List'!AC$5</f>
        <v>3.1250000000000004</v>
      </c>
      <c r="D139" s="299">
        <f>'RD Plant List'!$C141/12*'RD Feedstock'!D$3*'RD Plant List'!AB$5</f>
        <v>176.32395833333331</v>
      </c>
      <c r="E139" s="299">
        <f>'RD Plant List'!$C141/12*'RD Feedstock'!E$3*'RD Plant List'!AC$5</f>
        <v>9.21875</v>
      </c>
      <c r="F139" s="299">
        <f>'RD Plant List'!$D141/12*'RD Feedstock'!F$3*'RD Plant List'!AB$5</f>
        <v>2.359375</v>
      </c>
      <c r="G139" s="299">
        <f>'RD Plant List'!$D141/12*'RD Feedstock'!G$3*'RD Plant List'!AC$5</f>
        <v>0.78125</v>
      </c>
      <c r="H139" s="299">
        <f>'RD Plant List'!$E141/12*'RD Feedstock'!H$3*'RD Plant List'!AB$5</f>
        <v>138.41666666666666</v>
      </c>
      <c r="I139" s="299">
        <f>'RD Plant List'!$F141/12*'RD Feedstock'!I$3*'RD Plant List'!AB$5</f>
        <v>20.762499999999999</v>
      </c>
      <c r="J139" s="299">
        <f>'RD Plant List'!$F141/12*'RD Feedstock'!J$3*'RD Plant List'!AC$5</f>
        <v>6.875</v>
      </c>
    </row>
    <row r="140" spans="1:10" ht="18">
      <c r="A140" s="293">
        <v>47969</v>
      </c>
      <c r="B140" s="299">
        <f>'RD Plant List'!$B142/12*'RD Feedstock'!B$3*'RD Plant List'!AB$5</f>
        <v>59.770833333333336</v>
      </c>
      <c r="C140" s="299">
        <f>'RD Plant List'!$B142/12*'RD Feedstock'!C$3*'RD Plant List'!AC$5</f>
        <v>3.1250000000000004</v>
      </c>
      <c r="D140" s="299">
        <f>'RD Plant List'!$C142/12*'RD Feedstock'!D$3*'RD Plant List'!AB$5</f>
        <v>176.32395833333331</v>
      </c>
      <c r="E140" s="299">
        <f>'RD Plant List'!$C142/12*'RD Feedstock'!E$3*'RD Plant List'!AC$5</f>
        <v>9.21875</v>
      </c>
      <c r="F140" s="299">
        <f>'RD Plant List'!$D142/12*'RD Feedstock'!F$3*'RD Plant List'!AB$5</f>
        <v>2.359375</v>
      </c>
      <c r="G140" s="299">
        <f>'RD Plant List'!$D142/12*'RD Feedstock'!G$3*'RD Plant List'!AC$5</f>
        <v>0.78125</v>
      </c>
      <c r="H140" s="299">
        <f>'RD Plant List'!$E142/12*'RD Feedstock'!H$3*'RD Plant List'!AB$5</f>
        <v>138.41666666666666</v>
      </c>
      <c r="I140" s="299">
        <f>'RD Plant List'!$F142/12*'RD Feedstock'!I$3*'RD Plant List'!AB$5</f>
        <v>20.762499999999999</v>
      </c>
      <c r="J140" s="299">
        <f>'RD Plant List'!$F142/12*'RD Feedstock'!J$3*'RD Plant List'!AC$5</f>
        <v>6.875</v>
      </c>
    </row>
    <row r="141" spans="1:10" ht="18">
      <c r="A141" s="293">
        <v>48000</v>
      </c>
      <c r="B141" s="299">
        <f>'RD Plant List'!$B143/12*'RD Feedstock'!B$3*'RD Plant List'!AB$5</f>
        <v>59.770833333333336</v>
      </c>
      <c r="C141" s="299">
        <f>'RD Plant List'!$B143/12*'RD Feedstock'!C$3*'RD Plant List'!AC$5</f>
        <v>3.1250000000000004</v>
      </c>
      <c r="D141" s="299">
        <f>'RD Plant List'!$C143/12*'RD Feedstock'!D$3*'RD Plant List'!AB$5</f>
        <v>176.32395833333331</v>
      </c>
      <c r="E141" s="299">
        <f>'RD Plant List'!$C143/12*'RD Feedstock'!E$3*'RD Plant List'!AC$5</f>
        <v>9.21875</v>
      </c>
      <c r="F141" s="299">
        <f>'RD Plant List'!$D143/12*'RD Feedstock'!F$3*'RD Plant List'!AB$5</f>
        <v>2.359375</v>
      </c>
      <c r="G141" s="299">
        <f>'RD Plant List'!$D143/12*'RD Feedstock'!G$3*'RD Plant List'!AC$5</f>
        <v>0.78125</v>
      </c>
      <c r="H141" s="299">
        <f>'RD Plant List'!$E143/12*'RD Feedstock'!H$3*'RD Plant List'!AB$5</f>
        <v>138.41666666666666</v>
      </c>
      <c r="I141" s="299">
        <f>'RD Plant List'!$F143/12*'RD Feedstock'!I$3*'RD Plant List'!AB$5</f>
        <v>20.762499999999999</v>
      </c>
      <c r="J141" s="299">
        <f>'RD Plant List'!$F143/12*'RD Feedstock'!J$3*'RD Plant List'!AC$5</f>
        <v>6.875</v>
      </c>
    </row>
    <row r="142" spans="1:10" ht="18">
      <c r="A142" s="293">
        <v>48030</v>
      </c>
      <c r="B142" s="299">
        <f>'RD Plant List'!$B144/12*'RD Feedstock'!B$3*'RD Plant List'!AB$5</f>
        <v>59.770833333333336</v>
      </c>
      <c r="C142" s="299">
        <f>'RD Plant List'!$B144/12*'RD Feedstock'!C$3*'RD Plant List'!AC$5</f>
        <v>3.1250000000000004</v>
      </c>
      <c r="D142" s="299">
        <f>'RD Plant List'!$C144/12*'RD Feedstock'!D$3*'RD Plant List'!AB$5</f>
        <v>176.32395833333331</v>
      </c>
      <c r="E142" s="299">
        <f>'RD Plant List'!$C144/12*'RD Feedstock'!E$3*'RD Plant List'!AC$5</f>
        <v>9.21875</v>
      </c>
      <c r="F142" s="299">
        <f>'RD Plant List'!$D144/12*'RD Feedstock'!F$3*'RD Plant List'!AB$5</f>
        <v>2.359375</v>
      </c>
      <c r="G142" s="299">
        <f>'RD Plant List'!$D144/12*'RD Feedstock'!G$3*'RD Plant List'!AC$5</f>
        <v>0.78125</v>
      </c>
      <c r="H142" s="299">
        <f>'RD Plant List'!$E144/12*'RD Feedstock'!H$3*'RD Plant List'!AB$5</f>
        <v>138.41666666666666</v>
      </c>
      <c r="I142" s="299">
        <f>'RD Plant List'!$F144/12*'RD Feedstock'!I$3*'RD Plant List'!AB$5</f>
        <v>20.762499999999999</v>
      </c>
      <c r="J142" s="299">
        <f>'RD Plant List'!$F144/12*'RD Feedstock'!J$3*'RD Plant List'!AC$5</f>
        <v>6.875</v>
      </c>
    </row>
    <row r="143" spans="1:10" s="298" customFormat="1" ht="18">
      <c r="A143" s="296">
        <v>48061</v>
      </c>
      <c r="B143" s="300">
        <f>'RD Plant List'!$B145/12*'RD Feedstock'!B$3*'RD Plant List'!AB$5</f>
        <v>59.770833333333336</v>
      </c>
      <c r="C143" s="300">
        <f>'RD Plant List'!$B145/12*'RD Feedstock'!C$3*'RD Plant List'!AC$5</f>
        <v>3.1250000000000004</v>
      </c>
      <c r="D143" s="300">
        <f>'RD Plant List'!$C145/12*'RD Feedstock'!D$3*'RD Plant List'!AB$5</f>
        <v>176.32395833333331</v>
      </c>
      <c r="E143" s="300">
        <f>'RD Plant List'!$C145/12*'RD Feedstock'!E$3*'RD Plant List'!AC$5</f>
        <v>9.21875</v>
      </c>
      <c r="F143" s="300">
        <f>'RD Plant List'!$D145/12*'RD Feedstock'!F$3*'RD Plant List'!AB$5</f>
        <v>2.359375</v>
      </c>
      <c r="G143" s="300">
        <f>'RD Plant List'!$D145/12*'RD Feedstock'!G$3*'RD Plant List'!AC$5</f>
        <v>0.78125</v>
      </c>
      <c r="H143" s="300">
        <f>'RD Plant List'!$E145/12*'RD Feedstock'!H$3*'RD Plant List'!AB$5</f>
        <v>138.41666666666666</v>
      </c>
      <c r="I143" s="300">
        <f>'RD Plant List'!$F145/12*'RD Feedstock'!I$3*'RD Plant List'!AB$5</f>
        <v>20.762499999999999</v>
      </c>
      <c r="J143" s="300">
        <f>'RD Plant List'!$F145/12*'RD Feedstock'!J$3*'RD Plant List'!AC$5</f>
        <v>6.875</v>
      </c>
    </row>
    <row r="144" spans="1:10" ht="18">
      <c r="A144" s="293">
        <v>48092</v>
      </c>
      <c r="B144" s="299">
        <f>'RD Plant List'!$B146/12*'RD Feedstock'!B$3*'RD Plant List'!AB$5</f>
        <v>59.770833333333336</v>
      </c>
      <c r="C144" s="299">
        <f>'RD Plant List'!$B146/12*'RD Feedstock'!C$3*'RD Plant List'!AC$5</f>
        <v>3.1250000000000004</v>
      </c>
      <c r="D144" s="299">
        <f>'RD Plant List'!$C146/12*'RD Feedstock'!D$3*'RD Plant List'!AB$5</f>
        <v>176.32395833333331</v>
      </c>
      <c r="E144" s="299">
        <f>'RD Plant List'!$C146/12*'RD Feedstock'!E$3*'RD Plant List'!AC$5</f>
        <v>9.21875</v>
      </c>
      <c r="F144" s="299">
        <f>'RD Plant List'!$D146/12*'RD Feedstock'!F$3*'RD Plant List'!AB$5</f>
        <v>2.359375</v>
      </c>
      <c r="G144" s="299">
        <f>'RD Plant List'!$D146/12*'RD Feedstock'!G$3*'RD Plant List'!AC$5</f>
        <v>0.78125</v>
      </c>
      <c r="H144" s="299">
        <f>'RD Plant List'!$E146/12*'RD Feedstock'!H$3*'RD Plant List'!AB$5</f>
        <v>138.41666666666666</v>
      </c>
      <c r="I144" s="299">
        <f>'RD Plant List'!$F146/12*'RD Feedstock'!I$3*'RD Plant List'!AB$5</f>
        <v>20.762499999999999</v>
      </c>
      <c r="J144" s="299">
        <f>'RD Plant List'!$F146/12*'RD Feedstock'!J$3*'RD Plant List'!AC$5</f>
        <v>6.875</v>
      </c>
    </row>
    <row r="145" spans="1:10" ht="18">
      <c r="A145" s="293">
        <v>48122</v>
      </c>
      <c r="B145" s="299">
        <f>'RD Plant List'!$B147/12*'RD Feedstock'!B$3*'RD Plant List'!AB$5</f>
        <v>59.770833333333336</v>
      </c>
      <c r="C145" s="299">
        <f>'RD Plant List'!$B147/12*'RD Feedstock'!C$3*'RD Plant List'!AC$5</f>
        <v>3.1250000000000004</v>
      </c>
      <c r="D145" s="299">
        <f>'RD Plant List'!$C147/12*'RD Feedstock'!D$3*'RD Plant List'!AB$5</f>
        <v>176.32395833333331</v>
      </c>
      <c r="E145" s="299">
        <f>'RD Plant List'!$C147/12*'RD Feedstock'!E$3*'RD Plant List'!AC$5</f>
        <v>9.21875</v>
      </c>
      <c r="F145" s="299">
        <f>'RD Plant List'!$D147/12*'RD Feedstock'!F$3*'RD Plant List'!AB$5</f>
        <v>2.359375</v>
      </c>
      <c r="G145" s="299">
        <f>'RD Plant List'!$D147/12*'RD Feedstock'!G$3*'RD Plant List'!AC$5</f>
        <v>0.78125</v>
      </c>
      <c r="H145" s="299">
        <f>'RD Plant List'!$E147/12*'RD Feedstock'!H$3*'RD Plant List'!AB$5</f>
        <v>138.41666666666666</v>
      </c>
      <c r="I145" s="299">
        <f>'RD Plant List'!$F147/12*'RD Feedstock'!I$3*'RD Plant List'!AB$5</f>
        <v>20.762499999999999</v>
      </c>
      <c r="J145" s="299">
        <f>'RD Plant List'!$F147/12*'RD Feedstock'!J$3*'RD Plant List'!AC$5</f>
        <v>6.875</v>
      </c>
    </row>
    <row r="146" spans="1:10" ht="18">
      <c r="A146" s="293">
        <v>48153</v>
      </c>
      <c r="B146" s="299">
        <f>'RD Plant List'!$B148/12*'RD Feedstock'!B$3*'RD Plant List'!AB$5</f>
        <v>59.770833333333336</v>
      </c>
      <c r="C146" s="299">
        <f>'RD Plant List'!$B148/12*'RD Feedstock'!C$3*'RD Plant List'!AC$5</f>
        <v>3.1250000000000004</v>
      </c>
      <c r="D146" s="299">
        <f>'RD Plant List'!$C148/12*'RD Feedstock'!D$3*'RD Plant List'!AB$5</f>
        <v>176.32395833333331</v>
      </c>
      <c r="E146" s="299">
        <f>'RD Plant List'!$C148/12*'RD Feedstock'!E$3*'RD Plant List'!AC$5</f>
        <v>9.21875</v>
      </c>
      <c r="F146" s="299">
        <f>'RD Plant List'!$D148/12*'RD Feedstock'!F$3*'RD Plant List'!AB$5</f>
        <v>2.359375</v>
      </c>
      <c r="G146" s="299">
        <f>'RD Plant List'!$D148/12*'RD Feedstock'!G$3*'RD Plant List'!AC$5</f>
        <v>0.78125</v>
      </c>
      <c r="H146" s="299">
        <f>'RD Plant List'!$E148/12*'RD Feedstock'!H$3*'RD Plant List'!AB$5</f>
        <v>138.41666666666666</v>
      </c>
      <c r="I146" s="299">
        <f>'RD Plant List'!$F148/12*'RD Feedstock'!I$3*'RD Plant List'!AB$5</f>
        <v>20.762499999999999</v>
      </c>
      <c r="J146" s="299">
        <f>'RD Plant List'!$F148/12*'RD Feedstock'!J$3*'RD Plant List'!AC$5</f>
        <v>6.875</v>
      </c>
    </row>
    <row r="147" spans="1:10" ht="18">
      <c r="A147" s="293">
        <v>48183</v>
      </c>
      <c r="B147" s="299">
        <f>'RD Plant List'!$B149/12*'RD Feedstock'!B$3*'RD Plant List'!AB$5</f>
        <v>59.770833333333336</v>
      </c>
      <c r="C147" s="299">
        <f>'RD Plant List'!$B149/12*'RD Feedstock'!C$3*'RD Plant List'!AC$5</f>
        <v>3.1250000000000004</v>
      </c>
      <c r="D147" s="299">
        <f>'RD Plant List'!$C149/12*'RD Feedstock'!D$3*'RD Plant List'!AB$5</f>
        <v>176.32395833333331</v>
      </c>
      <c r="E147" s="299">
        <f>'RD Plant List'!$C149/12*'RD Feedstock'!E$3*'RD Plant List'!AC$5</f>
        <v>9.21875</v>
      </c>
      <c r="F147" s="299">
        <f>'RD Plant List'!$D149/12*'RD Feedstock'!F$3*'RD Plant List'!AB$5</f>
        <v>2.359375</v>
      </c>
      <c r="G147" s="299">
        <f>'RD Plant List'!$D149/12*'RD Feedstock'!G$3*'RD Plant List'!AC$5</f>
        <v>0.78125</v>
      </c>
      <c r="H147" s="299">
        <f>'RD Plant List'!$E149/12*'RD Feedstock'!H$3*'RD Plant List'!AB$5</f>
        <v>138.41666666666666</v>
      </c>
      <c r="I147" s="299">
        <f>'RD Plant List'!$F149/12*'RD Feedstock'!I$3*'RD Plant List'!AB$5</f>
        <v>20.762499999999999</v>
      </c>
      <c r="J147" s="299">
        <f>'RD Plant List'!$F149/12*'RD Feedstock'!J$3*'RD Plant List'!AC$5</f>
        <v>6.875</v>
      </c>
    </row>
    <row r="148" spans="1:10" ht="18">
      <c r="A148" s="293">
        <v>48214</v>
      </c>
      <c r="B148" s="299">
        <f>'RD Plant List'!$B150/12*'RD Feedstock'!B$3*'RD Plant List'!AB$5</f>
        <v>59.770833333333336</v>
      </c>
      <c r="C148" s="299">
        <f>'RD Plant List'!$B150/12*'RD Feedstock'!C$3*'RD Plant List'!AC$5</f>
        <v>3.1250000000000004</v>
      </c>
      <c r="D148" s="299">
        <f>'RD Plant List'!$C150/12*'RD Feedstock'!D$3*'RD Plant List'!AB$5</f>
        <v>176.32395833333331</v>
      </c>
      <c r="E148" s="299">
        <f>'RD Plant List'!$C150/12*'RD Feedstock'!E$3*'RD Plant List'!AC$5</f>
        <v>9.21875</v>
      </c>
      <c r="F148" s="299">
        <f>'RD Plant List'!$D150/12*'RD Feedstock'!F$3*'RD Plant List'!AB$5</f>
        <v>2.359375</v>
      </c>
      <c r="G148" s="299">
        <f>'RD Plant List'!$D150/12*'RD Feedstock'!G$3*'RD Plant List'!AC$5</f>
        <v>0.78125</v>
      </c>
      <c r="H148" s="299">
        <f>'RD Plant List'!$E150/12*'RD Feedstock'!H$3*'RD Plant List'!AB$5</f>
        <v>138.41666666666666</v>
      </c>
      <c r="I148" s="299">
        <f>'RD Plant List'!$F150/12*'RD Feedstock'!I$3*'RD Plant List'!AB$5</f>
        <v>20.762499999999999</v>
      </c>
      <c r="J148" s="299">
        <f>'RD Plant List'!$F150/12*'RD Feedstock'!J$3*'RD Plant List'!AC$5</f>
        <v>6.875</v>
      </c>
    </row>
    <row r="149" spans="1:10" ht="18">
      <c r="A149" s="293">
        <v>48245</v>
      </c>
      <c r="B149" s="299">
        <f>'RD Plant List'!$B151/12*'RD Feedstock'!B$3*'RD Plant List'!AB$5</f>
        <v>59.770833333333336</v>
      </c>
      <c r="C149" s="299">
        <f>'RD Plant List'!$B151/12*'RD Feedstock'!C$3*'RD Plant List'!AC$5</f>
        <v>3.1250000000000004</v>
      </c>
      <c r="D149" s="299">
        <f>'RD Plant List'!$C151/12*'RD Feedstock'!D$3*'RD Plant List'!AB$5</f>
        <v>176.32395833333331</v>
      </c>
      <c r="E149" s="299">
        <f>'RD Plant List'!$C151/12*'RD Feedstock'!E$3*'RD Plant List'!AC$5</f>
        <v>9.21875</v>
      </c>
      <c r="F149" s="299">
        <f>'RD Plant List'!$D151/12*'RD Feedstock'!F$3*'RD Plant List'!AB$5</f>
        <v>2.359375</v>
      </c>
      <c r="G149" s="299">
        <f>'RD Plant List'!$D151/12*'RD Feedstock'!G$3*'RD Plant List'!AC$5</f>
        <v>0.78125</v>
      </c>
      <c r="H149" s="299">
        <f>'RD Plant List'!$E151/12*'RD Feedstock'!H$3*'RD Plant List'!AB$5</f>
        <v>138.41666666666666</v>
      </c>
      <c r="I149" s="299">
        <f>'RD Plant List'!$F151/12*'RD Feedstock'!I$3*'RD Plant List'!AB$5</f>
        <v>20.762499999999999</v>
      </c>
      <c r="J149" s="299">
        <f>'RD Plant List'!$F151/12*'RD Feedstock'!J$3*'RD Plant List'!AC$5</f>
        <v>6.875</v>
      </c>
    </row>
    <row r="150" spans="1:10" ht="18">
      <c r="A150" s="293">
        <v>48274</v>
      </c>
      <c r="B150" s="299">
        <f>'RD Plant List'!$B152/12*'RD Feedstock'!B$3*'RD Plant List'!AB$5</f>
        <v>59.770833333333336</v>
      </c>
      <c r="C150" s="299">
        <f>'RD Plant List'!$B152/12*'RD Feedstock'!C$3*'RD Plant List'!AC$5</f>
        <v>3.1250000000000004</v>
      </c>
      <c r="D150" s="299">
        <f>'RD Plant List'!$C152/12*'RD Feedstock'!D$3*'RD Plant List'!AB$5</f>
        <v>176.32395833333331</v>
      </c>
      <c r="E150" s="299">
        <f>'RD Plant List'!$C152/12*'RD Feedstock'!E$3*'RD Plant List'!AC$5</f>
        <v>9.21875</v>
      </c>
      <c r="F150" s="299">
        <f>'RD Plant List'!$D152/12*'RD Feedstock'!F$3*'RD Plant List'!AB$5</f>
        <v>2.359375</v>
      </c>
      <c r="G150" s="299">
        <f>'RD Plant List'!$D152/12*'RD Feedstock'!G$3*'RD Plant List'!AC$5</f>
        <v>0.78125</v>
      </c>
      <c r="H150" s="299">
        <f>'RD Plant List'!$E152/12*'RD Feedstock'!H$3*'RD Plant List'!AB$5</f>
        <v>138.41666666666666</v>
      </c>
      <c r="I150" s="299">
        <f>'RD Plant List'!$F152/12*'RD Feedstock'!I$3*'RD Plant List'!AB$5</f>
        <v>20.762499999999999</v>
      </c>
      <c r="J150" s="299">
        <f>'RD Plant List'!$F152/12*'RD Feedstock'!J$3*'RD Plant List'!AC$5</f>
        <v>6.875</v>
      </c>
    </row>
    <row r="151" spans="1:10" ht="18">
      <c r="A151" s="293">
        <v>48305</v>
      </c>
      <c r="B151" s="299">
        <f>'RD Plant List'!$B153/12*'RD Feedstock'!B$3*'RD Plant List'!AB$5</f>
        <v>59.770833333333336</v>
      </c>
      <c r="C151" s="299">
        <f>'RD Plant List'!$B153/12*'RD Feedstock'!C$3*'RD Plant List'!AC$5</f>
        <v>3.1250000000000004</v>
      </c>
      <c r="D151" s="299">
        <f>'RD Plant List'!$C153/12*'RD Feedstock'!D$3*'RD Plant List'!AB$5</f>
        <v>176.32395833333331</v>
      </c>
      <c r="E151" s="299">
        <f>'RD Plant List'!$C153/12*'RD Feedstock'!E$3*'RD Plant List'!AC$5</f>
        <v>9.21875</v>
      </c>
      <c r="F151" s="299">
        <f>'RD Plant List'!$D153/12*'RD Feedstock'!F$3*'RD Plant List'!AB$5</f>
        <v>2.359375</v>
      </c>
      <c r="G151" s="299">
        <f>'RD Plant List'!$D153/12*'RD Feedstock'!G$3*'RD Plant List'!AC$5</f>
        <v>0.78125</v>
      </c>
      <c r="H151" s="299">
        <f>'RD Plant List'!$E153/12*'RD Feedstock'!H$3*'RD Plant List'!AB$5</f>
        <v>138.41666666666666</v>
      </c>
      <c r="I151" s="299">
        <f>'RD Plant List'!$F153/12*'RD Feedstock'!I$3*'RD Plant List'!AB$5</f>
        <v>20.762499999999999</v>
      </c>
      <c r="J151" s="299">
        <f>'RD Plant List'!$F153/12*'RD Feedstock'!J$3*'RD Plant List'!AC$5</f>
        <v>6.875</v>
      </c>
    </row>
    <row r="152" spans="1:10" ht="18">
      <c r="A152" s="293">
        <v>48335</v>
      </c>
      <c r="B152" s="299">
        <f>'RD Plant List'!$B154/12*'RD Feedstock'!B$3*'RD Plant List'!AB$5</f>
        <v>59.770833333333336</v>
      </c>
      <c r="C152" s="299">
        <f>'RD Plant List'!$B154/12*'RD Feedstock'!C$3*'RD Plant List'!AC$5</f>
        <v>3.1250000000000004</v>
      </c>
      <c r="D152" s="299">
        <f>'RD Plant List'!$C154/12*'RD Feedstock'!D$3*'RD Plant List'!AB$5</f>
        <v>176.32395833333331</v>
      </c>
      <c r="E152" s="299">
        <f>'RD Plant List'!$C154/12*'RD Feedstock'!E$3*'RD Plant List'!AC$5</f>
        <v>9.21875</v>
      </c>
      <c r="F152" s="299">
        <f>'RD Plant List'!$D154/12*'RD Feedstock'!F$3*'RD Plant List'!AB$5</f>
        <v>2.359375</v>
      </c>
      <c r="G152" s="299">
        <f>'RD Plant List'!$D154/12*'RD Feedstock'!G$3*'RD Plant List'!AC$5</f>
        <v>0.78125</v>
      </c>
      <c r="H152" s="299">
        <f>'RD Plant List'!$E154/12*'RD Feedstock'!H$3*'RD Plant List'!AB$5</f>
        <v>138.41666666666666</v>
      </c>
      <c r="I152" s="299">
        <f>'RD Plant List'!$F154/12*'RD Feedstock'!I$3*'RD Plant List'!AB$5</f>
        <v>20.762499999999999</v>
      </c>
      <c r="J152" s="299">
        <f>'RD Plant List'!$F154/12*'RD Feedstock'!J$3*'RD Plant List'!AC$5</f>
        <v>6.875</v>
      </c>
    </row>
    <row r="153" spans="1:10" ht="18">
      <c r="A153" s="293">
        <v>48366</v>
      </c>
      <c r="B153" s="299">
        <f>'RD Plant List'!$B155/12*'RD Feedstock'!B$3*'RD Plant List'!AB$5</f>
        <v>59.770833333333336</v>
      </c>
      <c r="C153" s="299">
        <f>'RD Plant List'!$B155/12*'RD Feedstock'!C$3*'RD Plant List'!AC$5</f>
        <v>3.1250000000000004</v>
      </c>
      <c r="D153" s="299">
        <f>'RD Plant List'!$C155/12*'RD Feedstock'!D$3*'RD Plant List'!AB$5</f>
        <v>176.32395833333331</v>
      </c>
      <c r="E153" s="299">
        <f>'RD Plant List'!$C155/12*'RD Feedstock'!E$3*'RD Plant List'!AC$5</f>
        <v>9.21875</v>
      </c>
      <c r="F153" s="299">
        <f>'RD Plant List'!$D155/12*'RD Feedstock'!F$3*'RD Plant List'!AB$5</f>
        <v>2.359375</v>
      </c>
      <c r="G153" s="299">
        <f>'RD Plant List'!$D155/12*'RD Feedstock'!G$3*'RD Plant List'!AC$5</f>
        <v>0.78125</v>
      </c>
      <c r="H153" s="299">
        <f>'RD Plant List'!$E155/12*'RD Feedstock'!H$3*'RD Plant List'!AB$5</f>
        <v>138.41666666666666</v>
      </c>
      <c r="I153" s="299">
        <f>'RD Plant List'!$F155/12*'RD Feedstock'!I$3*'RD Plant List'!AB$5</f>
        <v>20.762499999999999</v>
      </c>
      <c r="J153" s="299">
        <f>'RD Plant List'!$F155/12*'RD Feedstock'!J$3*'RD Plant List'!AC$5</f>
        <v>6.875</v>
      </c>
    </row>
    <row r="154" spans="1:10" ht="18">
      <c r="A154" s="293">
        <v>48396</v>
      </c>
      <c r="B154" s="299">
        <f>'RD Plant List'!$B156/12*'RD Feedstock'!B$3*'RD Plant List'!AB$5</f>
        <v>59.770833333333336</v>
      </c>
      <c r="C154" s="299">
        <f>'RD Plant List'!$B156/12*'RD Feedstock'!C$3*'RD Plant List'!AC$5</f>
        <v>3.1250000000000004</v>
      </c>
      <c r="D154" s="299">
        <f>'RD Plant List'!$C156/12*'RD Feedstock'!D$3*'RD Plant List'!AB$5</f>
        <v>176.32395833333331</v>
      </c>
      <c r="E154" s="299">
        <f>'RD Plant List'!$C156/12*'RD Feedstock'!E$3*'RD Plant List'!AC$5</f>
        <v>9.21875</v>
      </c>
      <c r="F154" s="299">
        <f>'RD Plant List'!$D156/12*'RD Feedstock'!F$3*'RD Plant List'!AB$5</f>
        <v>2.359375</v>
      </c>
      <c r="G154" s="299">
        <f>'RD Plant List'!$D156/12*'RD Feedstock'!G$3*'RD Plant List'!AC$5</f>
        <v>0.78125</v>
      </c>
      <c r="H154" s="299">
        <f>'RD Plant List'!$E156/12*'RD Feedstock'!H$3*'RD Plant List'!AB$5</f>
        <v>138.41666666666666</v>
      </c>
      <c r="I154" s="299">
        <f>'RD Plant List'!$F156/12*'RD Feedstock'!I$3*'RD Plant List'!AB$5</f>
        <v>20.762499999999999</v>
      </c>
      <c r="J154" s="299">
        <f>'RD Plant List'!$F156/12*'RD Feedstock'!J$3*'RD Plant List'!AC$5</f>
        <v>6.875</v>
      </c>
    </row>
    <row r="155" spans="1:10" ht="18">
      <c r="A155" s="293">
        <v>48427</v>
      </c>
      <c r="B155" s="299">
        <f>'RD Plant List'!$B157/12*'RD Feedstock'!B$3*'RD Plant List'!AB$5</f>
        <v>59.770833333333336</v>
      </c>
      <c r="C155" s="299">
        <f>'RD Plant List'!$B157/12*'RD Feedstock'!C$3*'RD Plant List'!AC$5</f>
        <v>3.1250000000000004</v>
      </c>
      <c r="D155" s="299">
        <f>'RD Plant List'!$C157/12*'RD Feedstock'!D$3*'RD Plant List'!AB$5</f>
        <v>176.32395833333331</v>
      </c>
      <c r="E155" s="299">
        <f>'RD Plant List'!$C157/12*'RD Feedstock'!E$3*'RD Plant List'!AC$5</f>
        <v>9.21875</v>
      </c>
      <c r="F155" s="299">
        <f>'RD Plant List'!$D157/12*'RD Feedstock'!F$3*'RD Plant List'!AB$5</f>
        <v>2.359375</v>
      </c>
      <c r="G155" s="299">
        <f>'RD Plant List'!$D157/12*'RD Feedstock'!G$3*'RD Plant List'!AC$5</f>
        <v>0.78125</v>
      </c>
      <c r="H155" s="299">
        <f>'RD Plant List'!$E157/12*'RD Feedstock'!H$3*'RD Plant List'!AB$5</f>
        <v>138.41666666666666</v>
      </c>
      <c r="I155" s="299">
        <f>'RD Plant List'!$F157/12*'RD Feedstock'!I$3*'RD Plant List'!AB$5</f>
        <v>20.762499999999999</v>
      </c>
      <c r="J155" s="299">
        <f>'RD Plant List'!$F157/12*'RD Feedstock'!J$3*'RD Plant List'!AC$5</f>
        <v>6.875</v>
      </c>
    </row>
    <row r="156" spans="1:10" ht="18">
      <c r="A156" s="293">
        <v>48458</v>
      </c>
      <c r="B156" s="299">
        <f>'RD Plant List'!$B158/12*'RD Feedstock'!B$3*'RD Plant List'!AB$5</f>
        <v>59.770833333333336</v>
      </c>
      <c r="C156" s="299">
        <f>'RD Plant List'!$B158/12*'RD Feedstock'!C$3*'RD Plant List'!AC$5</f>
        <v>3.1250000000000004</v>
      </c>
      <c r="D156" s="299">
        <f>'RD Plant List'!$C158/12*'RD Feedstock'!D$3*'RD Plant List'!AB$5</f>
        <v>176.32395833333331</v>
      </c>
      <c r="E156" s="299">
        <f>'RD Plant List'!$C158/12*'RD Feedstock'!E$3*'RD Plant List'!AC$5</f>
        <v>9.21875</v>
      </c>
      <c r="F156" s="299">
        <f>'RD Plant List'!$D158/12*'RD Feedstock'!F$3*'RD Plant List'!AB$5</f>
        <v>2.359375</v>
      </c>
      <c r="G156" s="299">
        <f>'RD Plant List'!$D158/12*'RD Feedstock'!G$3*'RD Plant List'!AC$5</f>
        <v>0.78125</v>
      </c>
      <c r="H156" s="299">
        <f>'RD Plant List'!$E158/12*'RD Feedstock'!H$3*'RD Plant List'!AB$5</f>
        <v>138.41666666666666</v>
      </c>
      <c r="I156" s="299">
        <f>'RD Plant List'!$F158/12*'RD Feedstock'!I$3*'RD Plant List'!AB$5</f>
        <v>20.762499999999999</v>
      </c>
      <c r="J156" s="299">
        <f>'RD Plant List'!$F158/12*'RD Feedstock'!J$3*'RD Plant List'!AC$5</f>
        <v>6.875</v>
      </c>
    </row>
    <row r="157" spans="1:10" ht="18">
      <c r="A157" s="293">
        <v>48488</v>
      </c>
      <c r="B157" s="299">
        <f>'RD Plant List'!$B159/12*'RD Feedstock'!B$3*'RD Plant List'!AB$5</f>
        <v>59.770833333333336</v>
      </c>
      <c r="C157" s="299">
        <f>'RD Plant List'!$B159/12*'RD Feedstock'!C$3*'RD Plant List'!AC$5</f>
        <v>3.1250000000000004</v>
      </c>
      <c r="D157" s="299">
        <f>'RD Plant List'!$C159/12*'RD Feedstock'!D$3*'RD Plant List'!AB$5</f>
        <v>176.32395833333331</v>
      </c>
      <c r="E157" s="299">
        <f>'RD Plant List'!$C159/12*'RD Feedstock'!E$3*'RD Plant List'!AC$5</f>
        <v>9.21875</v>
      </c>
      <c r="F157" s="299">
        <f>'RD Plant List'!$D159/12*'RD Feedstock'!F$3*'RD Plant List'!AB$5</f>
        <v>2.359375</v>
      </c>
      <c r="G157" s="299">
        <f>'RD Plant List'!$D159/12*'RD Feedstock'!G$3*'RD Plant List'!AC$5</f>
        <v>0.78125</v>
      </c>
      <c r="H157" s="299">
        <f>'RD Plant List'!$E159/12*'RD Feedstock'!H$3*'RD Plant List'!AB$5</f>
        <v>138.41666666666666</v>
      </c>
      <c r="I157" s="299">
        <f>'RD Plant List'!$F159/12*'RD Feedstock'!I$3*'RD Plant List'!AB$5</f>
        <v>20.762499999999999</v>
      </c>
      <c r="J157" s="299">
        <f>'RD Plant List'!$F159/12*'RD Feedstock'!J$3*'RD Plant List'!AC$5</f>
        <v>6.875</v>
      </c>
    </row>
    <row r="158" spans="1:10" ht="18">
      <c r="A158" s="293">
        <v>48519</v>
      </c>
      <c r="B158" s="299">
        <f>'RD Plant List'!$B160/12*'RD Feedstock'!B$3*'RD Plant List'!AB$5</f>
        <v>59.770833333333336</v>
      </c>
      <c r="C158" s="299">
        <f>'RD Plant List'!$B160/12*'RD Feedstock'!C$3*'RD Plant List'!AC$5</f>
        <v>3.1250000000000004</v>
      </c>
      <c r="D158" s="299">
        <f>'RD Plant List'!$C160/12*'RD Feedstock'!D$3*'RD Plant List'!AB$5</f>
        <v>176.32395833333331</v>
      </c>
      <c r="E158" s="299">
        <f>'RD Plant List'!$C160/12*'RD Feedstock'!E$3*'RD Plant List'!AC$5</f>
        <v>9.21875</v>
      </c>
      <c r="F158" s="299">
        <f>'RD Plant List'!$D160/12*'RD Feedstock'!F$3*'RD Plant List'!AB$5</f>
        <v>2.359375</v>
      </c>
      <c r="G158" s="299">
        <f>'RD Plant List'!$D160/12*'RD Feedstock'!G$3*'RD Plant List'!AC$5</f>
        <v>0.78125</v>
      </c>
      <c r="H158" s="299">
        <f>'RD Plant List'!$E160/12*'RD Feedstock'!H$3*'RD Plant List'!AB$5</f>
        <v>138.41666666666666</v>
      </c>
      <c r="I158" s="299">
        <f>'RD Plant List'!$F160/12*'RD Feedstock'!I$3*'RD Plant List'!AB$5</f>
        <v>20.762499999999999</v>
      </c>
      <c r="J158" s="299">
        <f>'RD Plant List'!$F160/12*'RD Feedstock'!J$3*'RD Plant List'!AC$5</f>
        <v>6.875</v>
      </c>
    </row>
    <row r="159" spans="1:10" ht="18">
      <c r="A159" s="293">
        <v>48549</v>
      </c>
      <c r="B159" s="299">
        <f>'RD Plant List'!$B161/12*'RD Feedstock'!B$3*'RD Plant List'!AB$5</f>
        <v>59.770833333333336</v>
      </c>
      <c r="C159" s="299">
        <f>'RD Plant List'!$B161/12*'RD Feedstock'!C$3*'RD Plant List'!AC$5</f>
        <v>3.1250000000000004</v>
      </c>
      <c r="D159" s="299">
        <f>'RD Plant List'!$C161/12*'RD Feedstock'!D$3*'RD Plant List'!AB$5</f>
        <v>176.32395833333331</v>
      </c>
      <c r="E159" s="299">
        <f>'RD Plant List'!$C161/12*'RD Feedstock'!E$3*'RD Plant List'!AC$5</f>
        <v>9.21875</v>
      </c>
      <c r="F159" s="299">
        <f>'RD Plant List'!$D161/12*'RD Feedstock'!F$3*'RD Plant List'!AB$5</f>
        <v>2.359375</v>
      </c>
      <c r="G159" s="299">
        <f>'RD Plant List'!$D161/12*'RD Feedstock'!G$3*'RD Plant List'!AC$5</f>
        <v>0.78125</v>
      </c>
      <c r="H159" s="299">
        <f>'RD Plant List'!$E161/12*'RD Feedstock'!H$3*'RD Plant List'!AB$5</f>
        <v>138.41666666666666</v>
      </c>
      <c r="I159" s="299">
        <f>'RD Plant List'!$F161/12*'RD Feedstock'!I$3*'RD Plant List'!AB$5</f>
        <v>20.762499999999999</v>
      </c>
      <c r="J159" s="299">
        <f>'RD Plant List'!$F161/12*'RD Feedstock'!J$3*'RD Plant List'!AC$5</f>
        <v>6.875</v>
      </c>
    </row>
    <row r="160" spans="1:10" ht="18">
      <c r="A160" s="293">
        <v>48580</v>
      </c>
      <c r="B160" s="299">
        <f>'RD Plant List'!$B162/12*'RD Feedstock'!B$3*'RD Plant List'!AB$5</f>
        <v>59.770833333333336</v>
      </c>
      <c r="C160" s="299">
        <f>'RD Plant List'!$B162/12*'RD Feedstock'!C$3*'RD Plant List'!AC$5</f>
        <v>3.1250000000000004</v>
      </c>
      <c r="D160" s="299">
        <f>'RD Plant List'!$C162/12*'RD Feedstock'!D$3*'RD Plant List'!AB$5</f>
        <v>176.32395833333331</v>
      </c>
      <c r="E160" s="299">
        <f>'RD Plant List'!$C162/12*'RD Feedstock'!E$3*'RD Plant List'!AC$5</f>
        <v>9.21875</v>
      </c>
      <c r="F160" s="299">
        <f>'RD Plant List'!$D162/12*'RD Feedstock'!F$3*'RD Plant List'!AB$5</f>
        <v>2.359375</v>
      </c>
      <c r="G160" s="299">
        <f>'RD Plant List'!$D162/12*'RD Feedstock'!G$3*'RD Plant List'!AC$5</f>
        <v>0.78125</v>
      </c>
      <c r="H160" s="299">
        <f>'RD Plant List'!$E162/12*'RD Feedstock'!H$3*'RD Plant List'!AB$5</f>
        <v>138.41666666666666</v>
      </c>
      <c r="I160" s="299">
        <f>'RD Plant List'!$F162/12*'RD Feedstock'!I$3*'RD Plant List'!AB$5</f>
        <v>20.762499999999999</v>
      </c>
      <c r="J160" s="299">
        <f>'RD Plant List'!$F162/12*'RD Feedstock'!J$3*'RD Plant List'!AC$5</f>
        <v>6.875</v>
      </c>
    </row>
    <row r="161" spans="1:10" ht="18">
      <c r="A161" s="293">
        <v>48611</v>
      </c>
      <c r="B161" s="299">
        <f>'RD Plant List'!$B163/12*'RD Feedstock'!B$3*'RD Plant List'!AB$5</f>
        <v>59.770833333333336</v>
      </c>
      <c r="C161" s="299">
        <f>'RD Plant List'!$B163/12*'RD Feedstock'!C$3*'RD Plant List'!AC$5</f>
        <v>3.1250000000000004</v>
      </c>
      <c r="D161" s="299">
        <f>'RD Plant List'!$C163/12*'RD Feedstock'!D$3*'RD Plant List'!AB$5</f>
        <v>176.32395833333331</v>
      </c>
      <c r="E161" s="299">
        <f>'RD Plant List'!$C163/12*'RD Feedstock'!E$3*'RD Plant List'!AC$5</f>
        <v>9.21875</v>
      </c>
      <c r="F161" s="299">
        <f>'RD Plant List'!$D163/12*'RD Feedstock'!F$3*'RD Plant List'!AB$5</f>
        <v>2.359375</v>
      </c>
      <c r="G161" s="299">
        <f>'RD Plant List'!$D163/12*'RD Feedstock'!G$3*'RD Plant List'!AC$5</f>
        <v>0.78125</v>
      </c>
      <c r="H161" s="299">
        <f>'RD Plant List'!$E163/12*'RD Feedstock'!H$3*'RD Plant List'!AB$5</f>
        <v>138.41666666666666</v>
      </c>
      <c r="I161" s="299">
        <f>'RD Plant List'!$F163/12*'RD Feedstock'!I$3*'RD Plant List'!AB$5</f>
        <v>20.762499999999999</v>
      </c>
      <c r="J161" s="299">
        <f>'RD Plant List'!$F163/12*'RD Feedstock'!J$3*'RD Plant List'!AC$5</f>
        <v>6.875</v>
      </c>
    </row>
    <row r="162" spans="1:10" ht="18">
      <c r="A162" s="293">
        <v>48639</v>
      </c>
      <c r="B162" s="299">
        <f>'RD Plant List'!$B164/12*'RD Feedstock'!B$3*'RD Plant List'!AB$5</f>
        <v>59.770833333333336</v>
      </c>
      <c r="C162" s="299">
        <f>'RD Plant List'!$B164/12*'RD Feedstock'!C$3*'RD Plant List'!AC$5</f>
        <v>3.1250000000000004</v>
      </c>
      <c r="D162" s="299">
        <f>'RD Plant List'!$C164/12*'RD Feedstock'!D$3*'RD Plant List'!AB$5</f>
        <v>176.32395833333331</v>
      </c>
      <c r="E162" s="299">
        <f>'RD Plant List'!$C164/12*'RD Feedstock'!E$3*'RD Plant List'!AC$5</f>
        <v>9.21875</v>
      </c>
      <c r="F162" s="299">
        <f>'RD Plant List'!$D164/12*'RD Feedstock'!F$3*'RD Plant List'!AB$5</f>
        <v>2.359375</v>
      </c>
      <c r="G162" s="299">
        <f>'RD Plant List'!$D164/12*'RD Feedstock'!G$3*'RD Plant List'!AC$5</f>
        <v>0.78125</v>
      </c>
      <c r="H162" s="299">
        <f>'RD Plant List'!$E164/12*'RD Feedstock'!H$3*'RD Plant List'!AB$5</f>
        <v>138.41666666666666</v>
      </c>
      <c r="I162" s="299">
        <f>'RD Plant List'!$F164/12*'RD Feedstock'!I$3*'RD Plant List'!AB$5</f>
        <v>20.762499999999999</v>
      </c>
      <c r="J162" s="299">
        <f>'RD Plant List'!$F164/12*'RD Feedstock'!J$3*'RD Plant List'!AC$5</f>
        <v>6.875</v>
      </c>
    </row>
    <row r="163" spans="1:10" ht="18">
      <c r="A163" s="293">
        <v>48670</v>
      </c>
      <c r="B163" s="299">
        <f>'RD Plant List'!$B165/12*'RD Feedstock'!B$3*'RD Plant List'!AB$5</f>
        <v>59.770833333333336</v>
      </c>
      <c r="C163" s="299">
        <f>'RD Plant List'!$B165/12*'RD Feedstock'!C$3*'RD Plant List'!AC$5</f>
        <v>3.1250000000000004</v>
      </c>
      <c r="D163" s="299">
        <f>'RD Plant List'!$C165/12*'RD Feedstock'!D$3*'RD Plant List'!AB$5</f>
        <v>176.32395833333331</v>
      </c>
      <c r="E163" s="299">
        <f>'RD Plant List'!$C165/12*'RD Feedstock'!E$3*'RD Plant List'!AC$5</f>
        <v>9.21875</v>
      </c>
      <c r="F163" s="299">
        <f>'RD Plant List'!$D165/12*'RD Feedstock'!F$3*'RD Plant List'!AB$5</f>
        <v>2.359375</v>
      </c>
      <c r="G163" s="299">
        <f>'RD Plant List'!$D165/12*'RD Feedstock'!G$3*'RD Plant List'!AC$5</f>
        <v>0.78125</v>
      </c>
      <c r="H163" s="299">
        <f>'RD Plant List'!$E165/12*'RD Feedstock'!H$3*'RD Plant List'!AB$5</f>
        <v>138.41666666666666</v>
      </c>
      <c r="I163" s="299">
        <f>'RD Plant List'!$F165/12*'RD Feedstock'!I$3*'RD Plant List'!AB$5</f>
        <v>20.762499999999999</v>
      </c>
      <c r="J163" s="299">
        <f>'RD Plant List'!$F165/12*'RD Feedstock'!J$3*'RD Plant List'!AC$5</f>
        <v>6.875</v>
      </c>
    </row>
    <row r="164" spans="1:10" ht="18">
      <c r="A164" s="293">
        <v>48700</v>
      </c>
      <c r="B164" s="299">
        <f>'RD Plant List'!$B166/12*'RD Feedstock'!B$3*'RD Plant List'!AB$5</f>
        <v>59.770833333333336</v>
      </c>
      <c r="C164" s="299">
        <f>'RD Plant List'!$B166/12*'RD Feedstock'!C$3*'RD Plant List'!AC$5</f>
        <v>3.1250000000000004</v>
      </c>
      <c r="D164" s="299">
        <f>'RD Plant List'!$C166/12*'RD Feedstock'!D$3*'RD Plant List'!AB$5</f>
        <v>176.32395833333331</v>
      </c>
      <c r="E164" s="299">
        <f>'RD Plant List'!$C166/12*'RD Feedstock'!E$3*'RD Plant List'!AC$5</f>
        <v>9.21875</v>
      </c>
      <c r="F164" s="299">
        <f>'RD Plant List'!$D166/12*'RD Feedstock'!F$3*'RD Plant List'!AB$5</f>
        <v>2.359375</v>
      </c>
      <c r="G164" s="299">
        <f>'RD Plant List'!$D166/12*'RD Feedstock'!G$3*'RD Plant List'!AC$5</f>
        <v>0.78125</v>
      </c>
      <c r="H164" s="299">
        <f>'RD Plant List'!$E166/12*'RD Feedstock'!H$3*'RD Plant List'!AB$5</f>
        <v>138.41666666666666</v>
      </c>
      <c r="I164" s="299">
        <f>'RD Plant List'!$F166/12*'RD Feedstock'!I$3*'RD Plant List'!AB$5</f>
        <v>20.762499999999999</v>
      </c>
      <c r="J164" s="299">
        <f>'RD Plant List'!$F166/12*'RD Feedstock'!J$3*'RD Plant List'!AC$5</f>
        <v>6.875</v>
      </c>
    </row>
    <row r="165" spans="1:10" ht="18">
      <c r="A165" s="293">
        <v>48731</v>
      </c>
      <c r="B165" s="299">
        <f>'RD Plant List'!$B167/12*'RD Feedstock'!B$3*'RD Plant List'!AB$5</f>
        <v>59.770833333333336</v>
      </c>
      <c r="C165" s="299">
        <f>'RD Plant List'!$B167/12*'RD Feedstock'!C$3*'RD Plant List'!AC$5</f>
        <v>3.1250000000000004</v>
      </c>
      <c r="D165" s="299">
        <f>'RD Plant List'!$C167/12*'RD Feedstock'!D$3*'RD Plant List'!AB$5</f>
        <v>176.32395833333331</v>
      </c>
      <c r="E165" s="299">
        <f>'RD Plant List'!$C167/12*'RD Feedstock'!E$3*'RD Plant List'!AC$5</f>
        <v>9.21875</v>
      </c>
      <c r="F165" s="299">
        <f>'RD Plant List'!$D167/12*'RD Feedstock'!F$3*'RD Plant List'!AB$5</f>
        <v>2.359375</v>
      </c>
      <c r="G165" s="299">
        <f>'RD Plant List'!$D167/12*'RD Feedstock'!G$3*'RD Plant List'!AC$5</f>
        <v>0.78125</v>
      </c>
      <c r="H165" s="299">
        <f>'RD Plant List'!$E167/12*'RD Feedstock'!H$3*'RD Plant List'!AB$5</f>
        <v>138.41666666666666</v>
      </c>
      <c r="I165" s="299">
        <f>'RD Plant List'!$F167/12*'RD Feedstock'!I$3*'RD Plant List'!AB$5</f>
        <v>20.762499999999999</v>
      </c>
      <c r="J165" s="299">
        <f>'RD Plant List'!$F167/12*'RD Feedstock'!J$3*'RD Plant List'!AC$5</f>
        <v>6.875</v>
      </c>
    </row>
    <row r="166" spans="1:10" ht="18">
      <c r="A166" s="293">
        <v>48761</v>
      </c>
      <c r="B166" s="299">
        <f>'RD Plant List'!$B168/12*'RD Feedstock'!B$3*'RD Plant List'!AB$5</f>
        <v>59.770833333333336</v>
      </c>
      <c r="C166" s="299">
        <f>'RD Plant List'!$B168/12*'RD Feedstock'!C$3*'RD Plant List'!AC$5</f>
        <v>3.1250000000000004</v>
      </c>
      <c r="D166" s="299">
        <f>'RD Plant List'!$C168/12*'RD Feedstock'!D$3*'RD Plant List'!AB$5</f>
        <v>176.32395833333331</v>
      </c>
      <c r="E166" s="299">
        <f>'RD Plant List'!$C168/12*'RD Feedstock'!E$3*'RD Plant List'!AC$5</f>
        <v>9.21875</v>
      </c>
      <c r="F166" s="299">
        <f>'RD Plant List'!$D168/12*'RD Feedstock'!F$3*'RD Plant List'!AB$5</f>
        <v>2.359375</v>
      </c>
      <c r="G166" s="299">
        <f>'RD Plant List'!$D168/12*'RD Feedstock'!G$3*'RD Plant List'!AC$5</f>
        <v>0.78125</v>
      </c>
      <c r="H166" s="299">
        <f>'RD Plant List'!$E168/12*'RD Feedstock'!H$3*'RD Plant List'!AB$5</f>
        <v>138.41666666666666</v>
      </c>
      <c r="I166" s="299">
        <f>'RD Plant List'!$F168/12*'RD Feedstock'!I$3*'RD Plant List'!AB$5</f>
        <v>20.762499999999999</v>
      </c>
      <c r="J166" s="299">
        <f>'RD Plant List'!$F168/12*'RD Feedstock'!J$3*'RD Plant List'!AC$5</f>
        <v>6.875</v>
      </c>
    </row>
    <row r="167" spans="1:10" ht="18">
      <c r="A167" s="293">
        <v>48792</v>
      </c>
      <c r="B167" s="299">
        <f>'RD Plant List'!$B169/12*'RD Feedstock'!B$3*'RD Plant List'!AB$5</f>
        <v>59.770833333333336</v>
      </c>
      <c r="C167" s="299">
        <f>'RD Plant List'!$B169/12*'RD Feedstock'!C$3*'RD Plant List'!AC$5</f>
        <v>3.1250000000000004</v>
      </c>
      <c r="D167" s="299">
        <f>'RD Plant List'!$C169/12*'RD Feedstock'!D$3*'RD Plant List'!AB$5</f>
        <v>176.32395833333331</v>
      </c>
      <c r="E167" s="299">
        <f>'RD Plant List'!$C169/12*'RD Feedstock'!E$3*'RD Plant List'!AC$5</f>
        <v>9.21875</v>
      </c>
      <c r="F167" s="299">
        <f>'RD Plant List'!$D169/12*'RD Feedstock'!F$3*'RD Plant List'!AB$5</f>
        <v>2.359375</v>
      </c>
      <c r="G167" s="299">
        <f>'RD Plant List'!$D169/12*'RD Feedstock'!G$3*'RD Plant List'!AC$5</f>
        <v>0.78125</v>
      </c>
      <c r="H167" s="299">
        <f>'RD Plant List'!$E169/12*'RD Feedstock'!H$3*'RD Plant List'!AB$5</f>
        <v>138.41666666666666</v>
      </c>
      <c r="I167" s="299">
        <f>'RD Plant List'!$F169/12*'RD Feedstock'!I$3*'RD Plant List'!AB$5</f>
        <v>20.762499999999999</v>
      </c>
      <c r="J167" s="299">
        <f>'RD Plant List'!$F169/12*'RD Feedstock'!J$3*'RD Plant List'!AC$5</f>
        <v>6.875</v>
      </c>
    </row>
    <row r="168" spans="1:10" ht="18">
      <c r="A168" s="293">
        <v>48823</v>
      </c>
      <c r="B168" s="299">
        <f>'RD Plant List'!$B170/12*'RD Feedstock'!B$3*'RD Plant List'!AB$5</f>
        <v>59.770833333333336</v>
      </c>
      <c r="C168" s="299">
        <f>'RD Plant List'!$B170/12*'RD Feedstock'!C$3*'RD Plant List'!AC$5</f>
        <v>3.1250000000000004</v>
      </c>
      <c r="D168" s="299">
        <f>'RD Plant List'!$C170/12*'RD Feedstock'!D$3*'RD Plant List'!AB$5</f>
        <v>176.32395833333331</v>
      </c>
      <c r="E168" s="299">
        <f>'RD Plant List'!$C170/12*'RD Feedstock'!E$3*'RD Plant List'!AC$5</f>
        <v>9.21875</v>
      </c>
      <c r="F168" s="299">
        <f>'RD Plant List'!$D170/12*'RD Feedstock'!F$3*'RD Plant List'!AB$5</f>
        <v>2.359375</v>
      </c>
      <c r="G168" s="299">
        <f>'RD Plant List'!$D170/12*'RD Feedstock'!G$3*'RD Plant List'!AC$5</f>
        <v>0.78125</v>
      </c>
      <c r="H168" s="299">
        <f>'RD Plant List'!$E170/12*'RD Feedstock'!H$3*'RD Plant List'!AB$5</f>
        <v>138.41666666666666</v>
      </c>
      <c r="I168" s="299">
        <f>'RD Plant List'!$F170/12*'RD Feedstock'!I$3*'RD Plant List'!AB$5</f>
        <v>20.762499999999999</v>
      </c>
      <c r="J168" s="299">
        <f>'RD Plant List'!$F170/12*'RD Feedstock'!J$3*'RD Plant List'!AC$5</f>
        <v>6.875</v>
      </c>
    </row>
    <row r="169" spans="1:10" ht="18">
      <c r="A169" s="293">
        <v>48853</v>
      </c>
      <c r="B169" s="299">
        <f>'RD Plant List'!$B171/12*'RD Feedstock'!B$3*'RD Plant List'!AB$5</f>
        <v>59.770833333333336</v>
      </c>
      <c r="C169" s="299">
        <f>'RD Plant List'!$B171/12*'RD Feedstock'!C$3*'RD Plant List'!AC$5</f>
        <v>3.1250000000000004</v>
      </c>
      <c r="D169" s="299">
        <f>'RD Plant List'!$C171/12*'RD Feedstock'!D$3*'RD Plant List'!AB$5</f>
        <v>176.32395833333331</v>
      </c>
      <c r="E169" s="299">
        <f>'RD Plant List'!$C171/12*'RD Feedstock'!E$3*'RD Plant List'!AC$5</f>
        <v>9.21875</v>
      </c>
      <c r="F169" s="299">
        <f>'RD Plant List'!$D171/12*'RD Feedstock'!F$3*'RD Plant List'!AB$5</f>
        <v>2.359375</v>
      </c>
      <c r="G169" s="299">
        <f>'RD Plant List'!$D171/12*'RD Feedstock'!G$3*'RD Plant List'!AC$5</f>
        <v>0.78125</v>
      </c>
      <c r="H169" s="299">
        <f>'RD Plant List'!$E171/12*'RD Feedstock'!H$3*'RD Plant List'!AB$5</f>
        <v>138.41666666666666</v>
      </c>
      <c r="I169" s="299">
        <f>'RD Plant List'!$F171/12*'RD Feedstock'!I$3*'RD Plant List'!AB$5</f>
        <v>20.762499999999999</v>
      </c>
      <c r="J169" s="299">
        <f>'RD Plant List'!$F171/12*'RD Feedstock'!J$3*'RD Plant List'!AC$5</f>
        <v>6.875</v>
      </c>
    </row>
    <row r="170" spans="1:10" ht="18">
      <c r="A170" s="293">
        <v>48884</v>
      </c>
      <c r="B170" s="299">
        <f>'RD Plant List'!$B172/12*'RD Feedstock'!B$3*'RD Plant List'!AB$5</f>
        <v>59.770833333333336</v>
      </c>
      <c r="C170" s="299">
        <f>'RD Plant List'!$B172/12*'RD Feedstock'!C$3*'RD Plant List'!AC$5</f>
        <v>3.1250000000000004</v>
      </c>
      <c r="D170" s="299">
        <f>'RD Plant List'!$C172/12*'RD Feedstock'!D$3*'RD Plant List'!AB$5</f>
        <v>176.32395833333331</v>
      </c>
      <c r="E170" s="299">
        <f>'RD Plant List'!$C172/12*'RD Feedstock'!E$3*'RD Plant List'!AC$5</f>
        <v>9.21875</v>
      </c>
      <c r="F170" s="299">
        <f>'RD Plant List'!$D172/12*'RD Feedstock'!F$3*'RD Plant List'!AB$5</f>
        <v>2.359375</v>
      </c>
      <c r="G170" s="299">
        <f>'RD Plant List'!$D172/12*'RD Feedstock'!G$3*'RD Plant List'!AC$5</f>
        <v>0.78125</v>
      </c>
      <c r="H170" s="299">
        <f>'RD Plant List'!$E172/12*'RD Feedstock'!H$3*'RD Plant List'!AB$5</f>
        <v>138.41666666666666</v>
      </c>
      <c r="I170" s="299">
        <f>'RD Plant List'!$F172/12*'RD Feedstock'!I$3*'RD Plant List'!AB$5</f>
        <v>20.762499999999999</v>
      </c>
      <c r="J170" s="299">
        <f>'RD Plant List'!$F172/12*'RD Feedstock'!J$3*'RD Plant List'!AC$5</f>
        <v>6.875</v>
      </c>
    </row>
    <row r="171" spans="1:10" ht="18">
      <c r="A171" s="293">
        <v>48914</v>
      </c>
      <c r="B171" s="299">
        <f>'RD Plant List'!$B173/12*'RD Feedstock'!B$3*'RD Plant List'!AB$5</f>
        <v>59.770833333333336</v>
      </c>
      <c r="C171" s="299">
        <f>'RD Plant List'!$B173/12*'RD Feedstock'!C$3*'RD Plant List'!AC$5</f>
        <v>3.1250000000000004</v>
      </c>
      <c r="D171" s="299">
        <f>'RD Plant List'!$C173/12*'RD Feedstock'!D$3*'RD Plant List'!AB$5</f>
        <v>176.32395833333331</v>
      </c>
      <c r="E171" s="299">
        <f>'RD Plant List'!$C173/12*'RD Feedstock'!E$3*'RD Plant List'!AC$5</f>
        <v>9.21875</v>
      </c>
      <c r="F171" s="299">
        <f>'RD Plant List'!$D173/12*'RD Feedstock'!F$3*'RD Plant List'!AB$5</f>
        <v>2.359375</v>
      </c>
      <c r="G171" s="299">
        <f>'RD Plant List'!$D173/12*'RD Feedstock'!G$3*'RD Plant List'!AC$5</f>
        <v>0.78125</v>
      </c>
      <c r="H171" s="299">
        <f>'RD Plant List'!$E173/12*'RD Feedstock'!H$3*'RD Plant List'!AB$5</f>
        <v>138.41666666666666</v>
      </c>
      <c r="I171" s="299">
        <f>'RD Plant List'!$F173/12*'RD Feedstock'!I$3*'RD Plant List'!AB$5</f>
        <v>20.762499999999999</v>
      </c>
      <c r="J171" s="299">
        <f>'RD Plant List'!$F173/12*'RD Feedstock'!J$3*'RD Plant List'!AC$5</f>
        <v>6.875</v>
      </c>
    </row>
    <row r="172" spans="1:10" ht="18">
      <c r="A172" s="293">
        <v>48945</v>
      </c>
      <c r="B172" s="299">
        <f>'RD Plant List'!$B174/12*'RD Feedstock'!B$3*'RD Plant List'!AB$5</f>
        <v>59.770833333333336</v>
      </c>
      <c r="C172" s="299">
        <f>'RD Plant List'!$B174/12*'RD Feedstock'!C$3*'RD Plant List'!AC$5</f>
        <v>3.1250000000000004</v>
      </c>
      <c r="D172" s="299">
        <f>'RD Plant List'!$C174/12*'RD Feedstock'!D$3*'RD Plant List'!AB$5</f>
        <v>176.32395833333331</v>
      </c>
      <c r="E172" s="299">
        <f>'RD Plant List'!$C174/12*'RD Feedstock'!E$3*'RD Plant List'!AC$5</f>
        <v>9.21875</v>
      </c>
      <c r="F172" s="299">
        <f>'RD Plant List'!$D174/12*'RD Feedstock'!F$3*'RD Plant List'!AB$5</f>
        <v>2.359375</v>
      </c>
      <c r="G172" s="299">
        <f>'RD Plant List'!$D174/12*'RD Feedstock'!G$3*'RD Plant List'!AC$5</f>
        <v>0.78125</v>
      </c>
      <c r="H172" s="299">
        <f>'RD Plant List'!$E174/12*'RD Feedstock'!H$3*'RD Plant List'!AB$5</f>
        <v>138.41666666666666</v>
      </c>
      <c r="I172" s="299">
        <f>'RD Plant List'!$F174/12*'RD Feedstock'!I$3*'RD Plant List'!AB$5</f>
        <v>20.762499999999999</v>
      </c>
      <c r="J172" s="299">
        <f>'RD Plant List'!$F174/12*'RD Feedstock'!J$3*'RD Plant List'!AC$5</f>
        <v>6.875</v>
      </c>
    </row>
    <row r="173" spans="1:10" ht="18">
      <c r="A173" s="293">
        <v>48976</v>
      </c>
      <c r="B173" s="299">
        <f>'RD Plant List'!$B175/12*'RD Feedstock'!B$3*'RD Plant List'!AB$5</f>
        <v>59.770833333333336</v>
      </c>
      <c r="C173" s="299">
        <f>'RD Plant List'!$B175/12*'RD Feedstock'!C$3*'RD Plant List'!AC$5</f>
        <v>3.1250000000000004</v>
      </c>
      <c r="D173" s="299">
        <f>'RD Plant List'!$C175/12*'RD Feedstock'!D$3*'RD Plant List'!AB$5</f>
        <v>176.32395833333331</v>
      </c>
      <c r="E173" s="299">
        <f>'RD Plant List'!$C175/12*'RD Feedstock'!E$3*'RD Plant List'!AC$5</f>
        <v>9.21875</v>
      </c>
      <c r="F173" s="299">
        <f>'RD Plant List'!$D175/12*'RD Feedstock'!F$3*'RD Plant List'!AB$5</f>
        <v>2.359375</v>
      </c>
      <c r="G173" s="299">
        <f>'RD Plant List'!$D175/12*'RD Feedstock'!G$3*'RD Plant List'!AC$5</f>
        <v>0.78125</v>
      </c>
      <c r="H173" s="299">
        <f>'RD Plant List'!$E175/12*'RD Feedstock'!H$3*'RD Plant List'!AB$5</f>
        <v>138.41666666666666</v>
      </c>
      <c r="I173" s="299">
        <f>'RD Plant List'!$F175/12*'RD Feedstock'!I$3*'RD Plant List'!AB$5</f>
        <v>20.762499999999999</v>
      </c>
      <c r="J173" s="299">
        <f>'RD Plant List'!$F175/12*'RD Feedstock'!J$3*'RD Plant List'!AC$5</f>
        <v>6.875</v>
      </c>
    </row>
    <row r="174" spans="1:10" ht="18">
      <c r="A174" s="293">
        <v>49004</v>
      </c>
      <c r="B174" s="299">
        <f>'RD Plant List'!$B176/12*'RD Feedstock'!B$3*'RD Plant List'!AB$5</f>
        <v>59.770833333333336</v>
      </c>
      <c r="C174" s="299">
        <f>'RD Plant List'!$B176/12*'RD Feedstock'!C$3*'RD Plant List'!AC$5</f>
        <v>3.1250000000000004</v>
      </c>
      <c r="D174" s="299">
        <f>'RD Plant List'!$C176/12*'RD Feedstock'!D$3*'RD Plant List'!AB$5</f>
        <v>176.32395833333331</v>
      </c>
      <c r="E174" s="299">
        <f>'RD Plant List'!$C176/12*'RD Feedstock'!E$3*'RD Plant List'!AC$5</f>
        <v>9.21875</v>
      </c>
      <c r="F174" s="299">
        <f>'RD Plant List'!$D176/12*'RD Feedstock'!F$3*'RD Plant List'!AB$5</f>
        <v>2.359375</v>
      </c>
      <c r="G174" s="299">
        <f>'RD Plant List'!$D176/12*'RD Feedstock'!G$3*'RD Plant List'!AC$5</f>
        <v>0.78125</v>
      </c>
      <c r="H174" s="299">
        <f>'RD Plant List'!$E176/12*'RD Feedstock'!H$3*'RD Plant List'!AB$5</f>
        <v>138.41666666666666</v>
      </c>
      <c r="I174" s="299">
        <f>'RD Plant List'!$F176/12*'RD Feedstock'!I$3*'RD Plant List'!AB$5</f>
        <v>20.762499999999999</v>
      </c>
      <c r="J174" s="299">
        <f>'RD Plant List'!$F176/12*'RD Feedstock'!J$3*'RD Plant List'!AC$5</f>
        <v>6.875</v>
      </c>
    </row>
    <row r="175" spans="1:10" ht="18">
      <c r="A175" s="293">
        <v>49035</v>
      </c>
      <c r="B175" s="299">
        <f>'RD Plant List'!$B177/12*'RD Feedstock'!B$3*'RD Plant List'!AB$5</f>
        <v>59.770833333333336</v>
      </c>
      <c r="C175" s="299">
        <f>'RD Plant List'!$B177/12*'RD Feedstock'!C$3*'RD Plant List'!AC$5</f>
        <v>3.1250000000000004</v>
      </c>
      <c r="D175" s="299">
        <f>'RD Plant List'!$C177/12*'RD Feedstock'!D$3*'RD Plant List'!AB$5</f>
        <v>176.32395833333331</v>
      </c>
      <c r="E175" s="299">
        <f>'RD Plant List'!$C177/12*'RD Feedstock'!E$3*'RD Plant List'!AC$5</f>
        <v>9.21875</v>
      </c>
      <c r="F175" s="299">
        <f>'RD Plant List'!$D177/12*'RD Feedstock'!F$3*'RD Plant List'!AB$5</f>
        <v>2.359375</v>
      </c>
      <c r="G175" s="299">
        <f>'RD Plant List'!$D177/12*'RD Feedstock'!G$3*'RD Plant List'!AC$5</f>
        <v>0.78125</v>
      </c>
      <c r="H175" s="299">
        <f>'RD Plant List'!$E177/12*'RD Feedstock'!H$3*'RD Plant List'!AB$5</f>
        <v>138.41666666666666</v>
      </c>
      <c r="I175" s="299">
        <f>'RD Plant List'!$F177/12*'RD Feedstock'!I$3*'RD Plant List'!AB$5</f>
        <v>20.762499999999999</v>
      </c>
      <c r="J175" s="299">
        <f>'RD Plant List'!$F177/12*'RD Feedstock'!J$3*'RD Plant List'!AC$5</f>
        <v>6.875</v>
      </c>
    </row>
    <row r="176" spans="1:10" ht="18">
      <c r="A176" s="293">
        <v>49065</v>
      </c>
      <c r="B176" s="299">
        <f>'RD Plant List'!$B178/12*'RD Feedstock'!B$3*'RD Plant List'!AB$5</f>
        <v>59.770833333333336</v>
      </c>
      <c r="C176" s="299">
        <f>'RD Plant List'!$B178/12*'RD Feedstock'!C$3*'RD Plant List'!AC$5</f>
        <v>3.1250000000000004</v>
      </c>
      <c r="D176" s="299">
        <f>'RD Plant List'!$C178/12*'RD Feedstock'!D$3*'RD Plant List'!AB$5</f>
        <v>176.32395833333331</v>
      </c>
      <c r="E176" s="299">
        <f>'RD Plant List'!$C178/12*'RD Feedstock'!E$3*'RD Plant List'!AC$5</f>
        <v>9.21875</v>
      </c>
      <c r="F176" s="299">
        <f>'RD Plant List'!$D178/12*'RD Feedstock'!F$3*'RD Plant List'!AB$5</f>
        <v>2.359375</v>
      </c>
      <c r="G176" s="299">
        <f>'RD Plant List'!$D178/12*'RD Feedstock'!G$3*'RD Plant List'!AC$5</f>
        <v>0.78125</v>
      </c>
      <c r="H176" s="299">
        <f>'RD Plant List'!$E178/12*'RD Feedstock'!H$3*'RD Plant List'!AB$5</f>
        <v>138.41666666666666</v>
      </c>
      <c r="I176" s="299">
        <f>'RD Plant List'!$F178/12*'RD Feedstock'!I$3*'RD Plant List'!AB$5</f>
        <v>20.762499999999999</v>
      </c>
      <c r="J176" s="299">
        <f>'RD Plant List'!$F178/12*'RD Feedstock'!J$3*'RD Plant List'!AC$5</f>
        <v>6.875</v>
      </c>
    </row>
    <row r="177" spans="1:10" ht="18">
      <c r="A177" s="293">
        <v>49096</v>
      </c>
      <c r="B177" s="299">
        <f>'RD Plant List'!$B179/12*'RD Feedstock'!B$3*'RD Plant List'!AB$5</f>
        <v>59.770833333333336</v>
      </c>
      <c r="C177" s="299">
        <f>'RD Plant List'!$B179/12*'RD Feedstock'!C$3*'RD Plant List'!AC$5</f>
        <v>3.1250000000000004</v>
      </c>
      <c r="D177" s="299">
        <f>'RD Plant List'!$C179/12*'RD Feedstock'!D$3*'RD Plant List'!AB$5</f>
        <v>176.32395833333331</v>
      </c>
      <c r="E177" s="299">
        <f>'RD Plant List'!$C179/12*'RD Feedstock'!E$3*'RD Plant List'!AC$5</f>
        <v>9.21875</v>
      </c>
      <c r="F177" s="299">
        <f>'RD Plant List'!$D179/12*'RD Feedstock'!F$3*'RD Plant List'!AB$5</f>
        <v>2.359375</v>
      </c>
      <c r="G177" s="299">
        <f>'RD Plant List'!$D179/12*'RD Feedstock'!G$3*'RD Plant List'!AC$5</f>
        <v>0.78125</v>
      </c>
      <c r="H177" s="299">
        <f>'RD Plant List'!$E179/12*'RD Feedstock'!H$3*'RD Plant List'!AB$5</f>
        <v>138.41666666666666</v>
      </c>
      <c r="I177" s="299">
        <f>'RD Plant List'!$F179/12*'RD Feedstock'!I$3*'RD Plant List'!AB$5</f>
        <v>20.762499999999999</v>
      </c>
      <c r="J177" s="299">
        <f>'RD Plant List'!$F179/12*'RD Feedstock'!J$3*'RD Plant List'!AC$5</f>
        <v>6.875</v>
      </c>
    </row>
    <row r="178" spans="1:10" ht="18">
      <c r="A178" s="293">
        <v>49126</v>
      </c>
      <c r="B178" s="299">
        <f>'RD Plant List'!$B180/12*'RD Feedstock'!B$3*'RD Plant List'!AB$5</f>
        <v>59.770833333333336</v>
      </c>
      <c r="C178" s="299">
        <f>'RD Plant List'!$B180/12*'RD Feedstock'!C$3*'RD Plant List'!AC$5</f>
        <v>3.1250000000000004</v>
      </c>
      <c r="D178" s="299">
        <f>'RD Plant List'!$C180/12*'RD Feedstock'!D$3*'RD Plant List'!AB$5</f>
        <v>176.32395833333331</v>
      </c>
      <c r="E178" s="299">
        <f>'RD Plant List'!$C180/12*'RD Feedstock'!E$3*'RD Plant List'!AC$5</f>
        <v>9.21875</v>
      </c>
      <c r="F178" s="299">
        <f>'RD Plant List'!$D180/12*'RD Feedstock'!F$3*'RD Plant List'!AB$5</f>
        <v>2.359375</v>
      </c>
      <c r="G178" s="299">
        <f>'RD Plant List'!$D180/12*'RD Feedstock'!G$3*'RD Plant List'!AC$5</f>
        <v>0.78125</v>
      </c>
      <c r="H178" s="299">
        <f>'RD Plant List'!$E180/12*'RD Feedstock'!H$3*'RD Plant List'!AB$5</f>
        <v>138.41666666666666</v>
      </c>
      <c r="I178" s="299">
        <f>'RD Plant List'!$F180/12*'RD Feedstock'!I$3*'RD Plant List'!AB$5</f>
        <v>20.762499999999999</v>
      </c>
      <c r="J178" s="299">
        <f>'RD Plant List'!$F180/12*'RD Feedstock'!J$3*'RD Plant List'!AC$5</f>
        <v>6.875</v>
      </c>
    </row>
    <row r="179" spans="1:10" ht="18">
      <c r="A179" s="293">
        <v>49157</v>
      </c>
      <c r="B179" s="299">
        <f>'RD Plant List'!$B181/12*'RD Feedstock'!B$3*'RD Plant List'!AB$5</f>
        <v>59.770833333333336</v>
      </c>
      <c r="C179" s="299">
        <f>'RD Plant List'!$B181/12*'RD Feedstock'!C$3*'RD Plant List'!AC$5</f>
        <v>3.1250000000000004</v>
      </c>
      <c r="D179" s="299">
        <f>'RD Plant List'!$C181/12*'RD Feedstock'!D$3*'RD Plant List'!AB$5</f>
        <v>176.32395833333331</v>
      </c>
      <c r="E179" s="299">
        <f>'RD Plant List'!$C181/12*'RD Feedstock'!E$3*'RD Plant List'!AC$5</f>
        <v>9.21875</v>
      </c>
      <c r="F179" s="299">
        <f>'RD Plant List'!$D181/12*'RD Feedstock'!F$3*'RD Plant List'!AB$5</f>
        <v>2.359375</v>
      </c>
      <c r="G179" s="299">
        <f>'RD Plant List'!$D181/12*'RD Feedstock'!G$3*'RD Plant List'!AC$5</f>
        <v>0.78125</v>
      </c>
      <c r="H179" s="299">
        <f>'RD Plant List'!$E181/12*'RD Feedstock'!H$3*'RD Plant List'!AB$5</f>
        <v>138.41666666666666</v>
      </c>
      <c r="I179" s="299">
        <f>'RD Plant List'!$F181/12*'RD Feedstock'!I$3*'RD Plant List'!AB$5</f>
        <v>20.762499999999999</v>
      </c>
      <c r="J179" s="299">
        <f>'RD Plant List'!$F181/12*'RD Feedstock'!J$3*'RD Plant List'!AC$5</f>
        <v>6.875</v>
      </c>
    </row>
    <row r="180" spans="1:10" ht="18">
      <c r="A180" s="293">
        <v>49188</v>
      </c>
      <c r="B180" s="299">
        <f>'RD Plant List'!$B182/12*'RD Feedstock'!B$3*'RD Plant List'!AB$5</f>
        <v>59.770833333333336</v>
      </c>
      <c r="C180" s="299">
        <f>'RD Plant List'!$B182/12*'RD Feedstock'!C$3*'RD Plant List'!AC$5</f>
        <v>3.1250000000000004</v>
      </c>
      <c r="D180" s="299">
        <f>'RD Plant List'!$C182/12*'RD Feedstock'!D$3*'RD Plant List'!AB$5</f>
        <v>176.32395833333331</v>
      </c>
      <c r="E180" s="299">
        <f>'RD Plant List'!$C182/12*'RD Feedstock'!E$3*'RD Plant List'!AC$5</f>
        <v>9.21875</v>
      </c>
      <c r="F180" s="299">
        <f>'RD Plant List'!$D182/12*'RD Feedstock'!F$3*'RD Plant List'!AB$5</f>
        <v>2.359375</v>
      </c>
      <c r="G180" s="299">
        <f>'RD Plant List'!$D182/12*'RD Feedstock'!G$3*'RD Plant List'!AC$5</f>
        <v>0.78125</v>
      </c>
      <c r="H180" s="299">
        <f>'RD Plant List'!$E182/12*'RD Feedstock'!H$3*'RD Plant List'!AB$5</f>
        <v>138.41666666666666</v>
      </c>
      <c r="I180" s="299">
        <f>'RD Plant List'!$F182/12*'RD Feedstock'!I$3*'RD Plant List'!AB$5</f>
        <v>20.762499999999999</v>
      </c>
      <c r="J180" s="299">
        <f>'RD Plant List'!$F182/12*'RD Feedstock'!J$3*'RD Plant List'!AC$5</f>
        <v>6.875</v>
      </c>
    </row>
    <row r="181" spans="1:10" ht="18">
      <c r="A181" s="293">
        <v>49218</v>
      </c>
      <c r="B181" s="299">
        <f>'RD Plant List'!$B183/12*'RD Feedstock'!B$3*'RD Plant List'!AB$5</f>
        <v>59.770833333333336</v>
      </c>
      <c r="C181" s="299">
        <f>'RD Plant List'!$B183/12*'RD Feedstock'!C$3*'RD Plant List'!AC$5</f>
        <v>3.1250000000000004</v>
      </c>
      <c r="D181" s="299">
        <f>'RD Plant List'!$C183/12*'RD Feedstock'!D$3*'RD Plant List'!AB$5</f>
        <v>176.32395833333331</v>
      </c>
      <c r="E181" s="299">
        <f>'RD Plant List'!$C183/12*'RD Feedstock'!E$3*'RD Plant List'!AC$5</f>
        <v>9.21875</v>
      </c>
      <c r="F181" s="299">
        <f>'RD Plant List'!$D183/12*'RD Feedstock'!F$3*'RD Plant List'!AB$5</f>
        <v>2.359375</v>
      </c>
      <c r="G181" s="299">
        <f>'RD Plant List'!$D183/12*'RD Feedstock'!G$3*'RD Plant List'!AC$5</f>
        <v>0.78125</v>
      </c>
      <c r="H181" s="299">
        <f>'RD Plant List'!$E183/12*'RD Feedstock'!H$3*'RD Plant List'!AB$5</f>
        <v>138.41666666666666</v>
      </c>
      <c r="I181" s="299">
        <f>'RD Plant List'!$F183/12*'RD Feedstock'!I$3*'RD Plant List'!AB$5</f>
        <v>20.762499999999999</v>
      </c>
      <c r="J181" s="299">
        <f>'RD Plant List'!$F183/12*'RD Feedstock'!J$3*'RD Plant List'!AC$5</f>
        <v>6.875</v>
      </c>
    </row>
    <row r="182" spans="1:10" ht="18">
      <c r="A182" s="293">
        <v>49249</v>
      </c>
      <c r="B182" s="299">
        <f>'RD Plant List'!$B184/12*'RD Feedstock'!B$3*'RD Plant List'!AB$5</f>
        <v>59.770833333333336</v>
      </c>
      <c r="C182" s="299">
        <f>'RD Plant List'!$B184/12*'RD Feedstock'!C$3*'RD Plant List'!AC$5</f>
        <v>3.1250000000000004</v>
      </c>
      <c r="D182" s="299">
        <f>'RD Plant List'!$C184/12*'RD Feedstock'!D$3*'RD Plant List'!AB$5</f>
        <v>176.32395833333331</v>
      </c>
      <c r="E182" s="299">
        <f>'RD Plant List'!$C184/12*'RD Feedstock'!E$3*'RD Plant List'!AC$5</f>
        <v>9.21875</v>
      </c>
      <c r="F182" s="299">
        <f>'RD Plant List'!$D184/12*'RD Feedstock'!F$3*'RD Plant List'!AB$5</f>
        <v>2.359375</v>
      </c>
      <c r="G182" s="299">
        <f>'RD Plant List'!$D184/12*'RD Feedstock'!G$3*'RD Plant List'!AC$5</f>
        <v>0.78125</v>
      </c>
      <c r="H182" s="299">
        <f>'RD Plant List'!$E184/12*'RD Feedstock'!H$3*'RD Plant List'!AB$5</f>
        <v>138.41666666666666</v>
      </c>
      <c r="I182" s="299">
        <f>'RD Plant List'!$F184/12*'RD Feedstock'!I$3*'RD Plant List'!AB$5</f>
        <v>20.762499999999999</v>
      </c>
      <c r="J182" s="299">
        <f>'RD Plant List'!$F184/12*'RD Feedstock'!J$3*'RD Plant List'!AC$5</f>
        <v>6.875</v>
      </c>
    </row>
    <row r="183" spans="1:10" ht="18">
      <c r="A183" s="293">
        <v>49279</v>
      </c>
      <c r="B183" s="299">
        <f>'RD Plant List'!$B185/12*'RD Feedstock'!B$3*'RD Plant List'!AB$5</f>
        <v>59.770833333333336</v>
      </c>
      <c r="C183" s="299">
        <f>'RD Plant List'!$B185/12*'RD Feedstock'!C$3*'RD Plant List'!AC$5</f>
        <v>3.1250000000000004</v>
      </c>
      <c r="D183" s="299">
        <f>'RD Plant List'!$C185/12*'RD Feedstock'!D$3*'RD Plant List'!AB$5</f>
        <v>176.32395833333331</v>
      </c>
      <c r="E183" s="299">
        <f>'RD Plant List'!$C185/12*'RD Feedstock'!E$3*'RD Plant List'!AC$5</f>
        <v>9.21875</v>
      </c>
      <c r="F183" s="299">
        <f>'RD Plant List'!$D185/12*'RD Feedstock'!F$3*'RD Plant List'!AB$5</f>
        <v>2.359375</v>
      </c>
      <c r="G183" s="299">
        <f>'RD Plant List'!$D185/12*'RD Feedstock'!G$3*'RD Plant List'!AC$5</f>
        <v>0.78125</v>
      </c>
      <c r="H183" s="299">
        <f>'RD Plant List'!$E185/12*'RD Feedstock'!H$3*'RD Plant List'!AB$5</f>
        <v>138.41666666666666</v>
      </c>
      <c r="I183" s="299">
        <f>'RD Plant List'!$F185/12*'RD Feedstock'!I$3*'RD Plant List'!AB$5</f>
        <v>20.762499999999999</v>
      </c>
      <c r="J183" s="299">
        <f>'RD Plant List'!$F185/12*'RD Feedstock'!J$3*'RD Plant List'!AC$5</f>
        <v>6.875</v>
      </c>
    </row>
    <row r="184" spans="1:10" ht="18">
      <c r="A184" s="293">
        <v>49310</v>
      </c>
      <c r="B184" s="299">
        <f>'RD Plant List'!$B186/12*'RD Feedstock'!B$3*'RD Plant List'!AB$5</f>
        <v>59.770833333333336</v>
      </c>
      <c r="C184" s="299">
        <f>'RD Plant List'!$B186/12*'RD Feedstock'!C$3*'RD Plant List'!AC$5</f>
        <v>3.1250000000000004</v>
      </c>
      <c r="D184" s="299">
        <f>'RD Plant List'!$C186/12*'RD Feedstock'!D$3*'RD Plant List'!AB$5</f>
        <v>176.32395833333331</v>
      </c>
      <c r="E184" s="299">
        <f>'RD Plant List'!$C186/12*'RD Feedstock'!E$3*'RD Plant List'!AC$5</f>
        <v>9.21875</v>
      </c>
      <c r="F184" s="299">
        <f>'RD Plant List'!$D186/12*'RD Feedstock'!F$3*'RD Plant List'!AB$5</f>
        <v>2.359375</v>
      </c>
      <c r="G184" s="299">
        <f>'RD Plant List'!$D186/12*'RD Feedstock'!G$3*'RD Plant List'!AC$5</f>
        <v>0.78125</v>
      </c>
      <c r="H184" s="299">
        <f>'RD Plant List'!$E186/12*'RD Feedstock'!H$3*'RD Plant List'!AB$5</f>
        <v>138.41666666666666</v>
      </c>
      <c r="I184" s="299">
        <f>'RD Plant List'!$F186/12*'RD Feedstock'!I$3*'RD Plant List'!AB$5</f>
        <v>20.762499999999999</v>
      </c>
      <c r="J184" s="299">
        <f>'RD Plant List'!$F186/12*'RD Feedstock'!J$3*'RD Plant List'!AC$5</f>
        <v>6.875</v>
      </c>
    </row>
    <row r="185" spans="1:10" ht="18">
      <c r="A185" s="293">
        <v>49341</v>
      </c>
      <c r="B185" s="299">
        <f>'RD Plant List'!$B187/12*'RD Feedstock'!B$3*'RD Plant List'!AB$5</f>
        <v>59.770833333333336</v>
      </c>
      <c r="C185" s="299">
        <f>'RD Plant List'!$B187/12*'RD Feedstock'!C$3*'RD Plant List'!AC$5</f>
        <v>3.1250000000000004</v>
      </c>
      <c r="D185" s="299">
        <f>'RD Plant List'!$C187/12*'RD Feedstock'!D$3*'RD Plant List'!AB$5</f>
        <v>176.32395833333331</v>
      </c>
      <c r="E185" s="299">
        <f>'RD Plant List'!$C187/12*'RD Feedstock'!E$3*'RD Plant List'!AC$5</f>
        <v>9.21875</v>
      </c>
      <c r="F185" s="299">
        <f>'RD Plant List'!$D187/12*'RD Feedstock'!F$3*'RD Plant List'!AB$5</f>
        <v>2.359375</v>
      </c>
      <c r="G185" s="299">
        <f>'RD Plant List'!$D187/12*'RD Feedstock'!G$3*'RD Plant List'!AC$5</f>
        <v>0.78125</v>
      </c>
      <c r="H185" s="299">
        <f>'RD Plant List'!$E187/12*'RD Feedstock'!H$3*'RD Plant List'!AB$5</f>
        <v>138.41666666666666</v>
      </c>
      <c r="I185" s="299">
        <f>'RD Plant List'!$F187/12*'RD Feedstock'!I$3*'RD Plant List'!AB$5</f>
        <v>20.762499999999999</v>
      </c>
      <c r="J185" s="299">
        <f>'RD Plant List'!$F187/12*'RD Feedstock'!J$3*'RD Plant List'!AC$5</f>
        <v>6.875</v>
      </c>
    </row>
    <row r="186" spans="1:10" ht="18">
      <c r="A186" s="293">
        <v>49369</v>
      </c>
      <c r="B186" s="299">
        <f>'RD Plant List'!$B188/12*'RD Feedstock'!B$3*'RD Plant List'!AB$5</f>
        <v>59.770833333333336</v>
      </c>
      <c r="C186" s="299">
        <f>'RD Plant List'!$B188/12*'RD Feedstock'!C$3*'RD Plant List'!AC$5</f>
        <v>3.1250000000000004</v>
      </c>
      <c r="D186" s="299">
        <f>'RD Plant List'!$C188/12*'RD Feedstock'!D$3*'RD Plant List'!AB$5</f>
        <v>176.32395833333331</v>
      </c>
      <c r="E186" s="299">
        <f>'RD Plant List'!$C188/12*'RD Feedstock'!E$3*'RD Plant List'!AC$5</f>
        <v>9.21875</v>
      </c>
      <c r="F186" s="299">
        <f>'RD Plant List'!$D188/12*'RD Feedstock'!F$3*'RD Plant List'!AB$5</f>
        <v>2.359375</v>
      </c>
      <c r="G186" s="299">
        <f>'RD Plant List'!$D188/12*'RD Feedstock'!G$3*'RD Plant List'!AC$5</f>
        <v>0.78125</v>
      </c>
      <c r="H186" s="299">
        <f>'RD Plant List'!$E188/12*'RD Feedstock'!H$3*'RD Plant List'!AB$5</f>
        <v>138.41666666666666</v>
      </c>
      <c r="I186" s="299">
        <f>'RD Plant List'!$F188/12*'RD Feedstock'!I$3*'RD Plant List'!AB$5</f>
        <v>20.762499999999999</v>
      </c>
      <c r="J186" s="299">
        <f>'RD Plant List'!$F188/12*'RD Feedstock'!J$3*'RD Plant List'!AC$5</f>
        <v>6.875</v>
      </c>
    </row>
    <row r="187" spans="1:10" ht="18">
      <c r="A187" s="293">
        <v>49400</v>
      </c>
      <c r="B187" s="299">
        <f>'RD Plant List'!$B189/12*'RD Feedstock'!B$3*'RD Plant List'!AB$5</f>
        <v>59.770833333333336</v>
      </c>
      <c r="C187" s="299">
        <f>'RD Plant List'!$B189/12*'RD Feedstock'!C$3*'RD Plant List'!AC$5</f>
        <v>3.1250000000000004</v>
      </c>
      <c r="D187" s="299">
        <f>'RD Plant List'!$C189/12*'RD Feedstock'!D$3*'RD Plant List'!AB$5</f>
        <v>176.32395833333331</v>
      </c>
      <c r="E187" s="299">
        <f>'RD Plant List'!$C189/12*'RD Feedstock'!E$3*'RD Plant List'!AC$5</f>
        <v>9.21875</v>
      </c>
      <c r="F187" s="299">
        <f>'RD Plant List'!$D189/12*'RD Feedstock'!F$3*'RD Plant List'!AB$5</f>
        <v>2.359375</v>
      </c>
      <c r="G187" s="299">
        <f>'RD Plant List'!$D189/12*'RD Feedstock'!G$3*'RD Plant List'!AC$5</f>
        <v>0.78125</v>
      </c>
      <c r="H187" s="299">
        <f>'RD Plant List'!$E189/12*'RD Feedstock'!H$3*'RD Plant List'!AB$5</f>
        <v>138.41666666666666</v>
      </c>
      <c r="I187" s="299">
        <f>'RD Plant List'!$F189/12*'RD Feedstock'!I$3*'RD Plant List'!AB$5</f>
        <v>20.762499999999999</v>
      </c>
      <c r="J187" s="299">
        <f>'RD Plant List'!$F189/12*'RD Feedstock'!J$3*'RD Plant List'!AC$5</f>
        <v>6.875</v>
      </c>
    </row>
    <row r="188" spans="1:10" ht="18">
      <c r="A188" s="293">
        <v>49430</v>
      </c>
      <c r="B188" s="299">
        <f>'RD Plant List'!$B190/12*'RD Feedstock'!B$3*'RD Plant List'!AB$5</f>
        <v>59.770833333333336</v>
      </c>
      <c r="C188" s="299">
        <f>'RD Plant List'!$B190/12*'RD Feedstock'!C$3*'RD Plant List'!AC$5</f>
        <v>3.1250000000000004</v>
      </c>
      <c r="D188" s="299">
        <f>'RD Plant List'!$C190/12*'RD Feedstock'!D$3*'RD Plant List'!AB$5</f>
        <v>176.32395833333331</v>
      </c>
      <c r="E188" s="299">
        <f>'RD Plant List'!$C190/12*'RD Feedstock'!E$3*'RD Plant List'!AC$5</f>
        <v>9.21875</v>
      </c>
      <c r="F188" s="299">
        <f>'RD Plant List'!$D190/12*'RD Feedstock'!F$3*'RD Plant List'!AB$5</f>
        <v>2.359375</v>
      </c>
      <c r="G188" s="299">
        <f>'RD Plant List'!$D190/12*'RD Feedstock'!G$3*'RD Plant List'!AC$5</f>
        <v>0.78125</v>
      </c>
      <c r="H188" s="299">
        <f>'RD Plant List'!$E190/12*'RD Feedstock'!H$3*'RD Plant List'!AB$5</f>
        <v>138.41666666666666</v>
      </c>
      <c r="I188" s="299">
        <f>'RD Plant List'!$F190/12*'RD Feedstock'!I$3*'RD Plant List'!AB$5</f>
        <v>20.762499999999999</v>
      </c>
      <c r="J188" s="299">
        <f>'RD Plant List'!$F190/12*'RD Feedstock'!J$3*'RD Plant List'!AC$5</f>
        <v>6.875</v>
      </c>
    </row>
    <row r="189" spans="1:10" ht="18">
      <c r="A189" s="293">
        <v>49461</v>
      </c>
      <c r="B189" s="299">
        <f>'RD Plant List'!$B191/12*'RD Feedstock'!B$3*'RD Plant List'!AB$5</f>
        <v>59.770833333333336</v>
      </c>
      <c r="C189" s="299">
        <f>'RD Plant List'!$B191/12*'RD Feedstock'!C$3*'RD Plant List'!AC$5</f>
        <v>3.1250000000000004</v>
      </c>
      <c r="D189" s="299">
        <f>'RD Plant List'!$C191/12*'RD Feedstock'!D$3*'RD Plant List'!AB$5</f>
        <v>176.32395833333331</v>
      </c>
      <c r="E189" s="299">
        <f>'RD Plant List'!$C191/12*'RD Feedstock'!E$3*'RD Plant List'!AC$5</f>
        <v>9.21875</v>
      </c>
      <c r="F189" s="299">
        <f>'RD Plant List'!$D191/12*'RD Feedstock'!F$3*'RD Plant List'!AB$5</f>
        <v>2.359375</v>
      </c>
      <c r="G189" s="299">
        <f>'RD Plant List'!$D191/12*'RD Feedstock'!G$3*'RD Plant List'!AC$5</f>
        <v>0.78125</v>
      </c>
      <c r="H189" s="299">
        <f>'RD Plant List'!$E191/12*'RD Feedstock'!H$3*'RD Plant List'!AB$5</f>
        <v>138.41666666666666</v>
      </c>
      <c r="I189" s="299">
        <f>'RD Plant List'!$F191/12*'RD Feedstock'!I$3*'RD Plant List'!AB$5</f>
        <v>20.762499999999999</v>
      </c>
      <c r="J189" s="299">
        <f>'RD Plant List'!$F191/12*'RD Feedstock'!J$3*'RD Plant List'!AC$5</f>
        <v>6.875</v>
      </c>
    </row>
    <row r="190" spans="1:10" ht="18">
      <c r="A190" s="293">
        <v>49491</v>
      </c>
      <c r="B190" s="299">
        <f>'RD Plant List'!$B192/12*'RD Feedstock'!B$3*'RD Plant List'!AB$5</f>
        <v>59.770833333333336</v>
      </c>
      <c r="C190" s="299">
        <f>'RD Plant List'!$B192/12*'RD Feedstock'!C$3*'RD Plant List'!AC$5</f>
        <v>3.1250000000000004</v>
      </c>
      <c r="D190" s="299">
        <f>'RD Plant List'!$C192/12*'RD Feedstock'!D$3*'RD Plant List'!AB$5</f>
        <v>176.32395833333331</v>
      </c>
      <c r="E190" s="299">
        <f>'RD Plant List'!$C192/12*'RD Feedstock'!E$3*'RD Plant List'!AC$5</f>
        <v>9.21875</v>
      </c>
      <c r="F190" s="299">
        <f>'RD Plant List'!$D192/12*'RD Feedstock'!F$3*'RD Plant List'!AB$5</f>
        <v>2.359375</v>
      </c>
      <c r="G190" s="299">
        <f>'RD Plant List'!$D192/12*'RD Feedstock'!G$3*'RD Plant List'!AC$5</f>
        <v>0.78125</v>
      </c>
      <c r="H190" s="299">
        <f>'RD Plant List'!$E192/12*'RD Feedstock'!H$3*'RD Plant List'!AB$5</f>
        <v>138.41666666666666</v>
      </c>
      <c r="I190" s="299">
        <f>'RD Plant List'!$F192/12*'RD Feedstock'!I$3*'RD Plant List'!AB$5</f>
        <v>20.762499999999999</v>
      </c>
      <c r="J190" s="299">
        <f>'RD Plant List'!$F192/12*'RD Feedstock'!J$3*'RD Plant List'!AC$5</f>
        <v>6.875</v>
      </c>
    </row>
    <row r="191" spans="1:10" ht="18">
      <c r="A191" s="293">
        <v>49522</v>
      </c>
      <c r="B191" s="299">
        <f>'RD Plant List'!$B193/12*'RD Feedstock'!B$3*'RD Plant List'!AB$5</f>
        <v>59.770833333333336</v>
      </c>
      <c r="C191" s="299">
        <f>'RD Plant List'!$B193/12*'RD Feedstock'!C$3*'RD Plant List'!AC$5</f>
        <v>3.1250000000000004</v>
      </c>
      <c r="D191" s="299">
        <f>'RD Plant List'!$C193/12*'RD Feedstock'!D$3*'RD Plant List'!AB$5</f>
        <v>176.32395833333331</v>
      </c>
      <c r="E191" s="299">
        <f>'RD Plant List'!$C193/12*'RD Feedstock'!E$3*'RD Plant List'!AC$5</f>
        <v>9.21875</v>
      </c>
      <c r="F191" s="299">
        <f>'RD Plant List'!$D193/12*'RD Feedstock'!F$3*'RD Plant List'!AB$5</f>
        <v>2.359375</v>
      </c>
      <c r="G191" s="299">
        <f>'RD Plant List'!$D193/12*'RD Feedstock'!G$3*'RD Plant List'!AC$5</f>
        <v>0.78125</v>
      </c>
      <c r="H191" s="299">
        <f>'RD Plant List'!$E193/12*'RD Feedstock'!H$3*'RD Plant List'!AB$5</f>
        <v>138.41666666666666</v>
      </c>
      <c r="I191" s="299">
        <f>'RD Plant List'!$F193/12*'RD Feedstock'!I$3*'RD Plant List'!AB$5</f>
        <v>20.762499999999999</v>
      </c>
      <c r="J191" s="299">
        <f>'RD Plant List'!$F193/12*'RD Feedstock'!J$3*'RD Plant List'!AC$5</f>
        <v>6.875</v>
      </c>
    </row>
    <row r="192" spans="1:10" ht="18">
      <c r="A192" s="293">
        <v>49553</v>
      </c>
      <c r="B192" s="299">
        <f>'RD Plant List'!$B194/12*'RD Feedstock'!B$3*'RD Plant List'!AB$5</f>
        <v>59.770833333333336</v>
      </c>
      <c r="C192" s="299">
        <f>'RD Plant List'!$B194/12*'RD Feedstock'!C$3*'RD Plant List'!AC$5</f>
        <v>3.1250000000000004</v>
      </c>
      <c r="D192" s="299">
        <f>'RD Plant List'!$C194/12*'RD Feedstock'!D$3*'RD Plant List'!AB$5</f>
        <v>176.32395833333331</v>
      </c>
      <c r="E192" s="299">
        <f>'RD Plant List'!$C194/12*'RD Feedstock'!E$3*'RD Plant List'!AC$5</f>
        <v>9.21875</v>
      </c>
      <c r="F192" s="299">
        <f>'RD Plant List'!$D194/12*'RD Feedstock'!F$3*'RD Plant List'!AB$5</f>
        <v>2.359375</v>
      </c>
      <c r="G192" s="299">
        <f>'RD Plant List'!$D194/12*'RD Feedstock'!G$3*'RD Plant List'!AC$5</f>
        <v>0.78125</v>
      </c>
      <c r="H192" s="299">
        <f>'RD Plant List'!$E194/12*'RD Feedstock'!H$3*'RD Plant List'!AB$5</f>
        <v>138.41666666666666</v>
      </c>
      <c r="I192" s="299">
        <f>'RD Plant List'!$F194/12*'RD Feedstock'!I$3*'RD Plant List'!AB$5</f>
        <v>20.762499999999999</v>
      </c>
      <c r="J192" s="299">
        <f>'RD Plant List'!$F194/12*'RD Feedstock'!J$3*'RD Plant List'!AC$5</f>
        <v>6.875</v>
      </c>
    </row>
    <row r="193" spans="1:10" ht="18">
      <c r="A193" s="293">
        <v>49583</v>
      </c>
      <c r="B193" s="299">
        <f>'RD Plant List'!$B195/12*'RD Feedstock'!B$3*'RD Plant List'!AB$5</f>
        <v>59.770833333333336</v>
      </c>
      <c r="C193" s="299">
        <f>'RD Plant List'!$B195/12*'RD Feedstock'!C$3*'RD Plant List'!AC$5</f>
        <v>3.1250000000000004</v>
      </c>
      <c r="D193" s="299">
        <f>'RD Plant List'!$C195/12*'RD Feedstock'!D$3*'RD Plant List'!AB$5</f>
        <v>176.32395833333331</v>
      </c>
      <c r="E193" s="299">
        <f>'RD Plant List'!$C195/12*'RD Feedstock'!E$3*'RD Plant List'!AC$5</f>
        <v>9.21875</v>
      </c>
      <c r="F193" s="299">
        <f>'RD Plant List'!$D195/12*'RD Feedstock'!F$3*'RD Plant List'!AB$5</f>
        <v>2.359375</v>
      </c>
      <c r="G193" s="299">
        <f>'RD Plant List'!$D195/12*'RD Feedstock'!G$3*'RD Plant List'!AC$5</f>
        <v>0.78125</v>
      </c>
      <c r="H193" s="299">
        <f>'RD Plant List'!$E195/12*'RD Feedstock'!H$3*'RD Plant List'!AB$5</f>
        <v>138.41666666666666</v>
      </c>
      <c r="I193" s="299">
        <f>'RD Plant List'!$F195/12*'RD Feedstock'!I$3*'RD Plant List'!AB$5</f>
        <v>20.762499999999999</v>
      </c>
      <c r="J193" s="299">
        <f>'RD Plant List'!$F195/12*'RD Feedstock'!J$3*'RD Plant List'!AC$5</f>
        <v>6.875</v>
      </c>
    </row>
    <row r="194" spans="1:10" ht="18">
      <c r="A194" s="293">
        <v>49614</v>
      </c>
      <c r="B194" s="299">
        <f>'RD Plant List'!$B196/12*'RD Feedstock'!B$3*'RD Plant List'!AB$5</f>
        <v>59.770833333333336</v>
      </c>
      <c r="C194" s="299">
        <f>'RD Plant List'!$B196/12*'RD Feedstock'!C$3*'RD Plant List'!AC$5</f>
        <v>3.1250000000000004</v>
      </c>
      <c r="D194" s="299">
        <f>'RD Plant List'!$C196/12*'RD Feedstock'!D$3*'RD Plant List'!AB$5</f>
        <v>176.32395833333331</v>
      </c>
      <c r="E194" s="299">
        <f>'RD Plant List'!$C196/12*'RD Feedstock'!E$3*'RD Plant List'!AC$5</f>
        <v>9.21875</v>
      </c>
      <c r="F194" s="299">
        <f>'RD Plant List'!$D196/12*'RD Feedstock'!F$3*'RD Plant List'!AB$5</f>
        <v>2.359375</v>
      </c>
      <c r="G194" s="299">
        <f>'RD Plant List'!$D196/12*'RD Feedstock'!G$3*'RD Plant List'!AC$5</f>
        <v>0.78125</v>
      </c>
      <c r="H194" s="299">
        <f>'RD Plant List'!$E196/12*'RD Feedstock'!H$3*'RD Plant List'!AB$5</f>
        <v>138.41666666666666</v>
      </c>
      <c r="I194" s="299">
        <f>'RD Plant List'!$F196/12*'RD Feedstock'!I$3*'RD Plant List'!AB$5</f>
        <v>20.762499999999999</v>
      </c>
      <c r="J194" s="299">
        <f>'RD Plant List'!$F196/12*'RD Feedstock'!J$3*'RD Plant List'!AC$5</f>
        <v>6.875</v>
      </c>
    </row>
    <row r="195" spans="1:10" ht="18">
      <c r="A195" s="293">
        <v>49644</v>
      </c>
      <c r="B195" s="299">
        <f>'RD Plant List'!$B197/12*'RD Feedstock'!B$3*'RD Plant List'!AB$5</f>
        <v>59.770833333333336</v>
      </c>
      <c r="C195" s="299">
        <f>'RD Plant List'!$B197/12*'RD Feedstock'!C$3*'RD Plant List'!AC$5</f>
        <v>3.1250000000000004</v>
      </c>
      <c r="D195" s="299">
        <f>'RD Plant List'!$C197/12*'RD Feedstock'!D$3*'RD Plant List'!AB$5</f>
        <v>176.32395833333331</v>
      </c>
      <c r="E195" s="299">
        <f>'RD Plant List'!$C197/12*'RD Feedstock'!E$3*'RD Plant List'!AC$5</f>
        <v>9.21875</v>
      </c>
      <c r="F195" s="299">
        <f>'RD Plant List'!$D197/12*'RD Feedstock'!F$3*'RD Plant List'!AB$5</f>
        <v>2.359375</v>
      </c>
      <c r="G195" s="299">
        <f>'RD Plant List'!$D197/12*'RD Feedstock'!G$3*'RD Plant List'!AC$5</f>
        <v>0.78125</v>
      </c>
      <c r="H195" s="299">
        <f>'RD Plant List'!$E197/12*'RD Feedstock'!H$3*'RD Plant List'!AB$5</f>
        <v>138.41666666666666</v>
      </c>
      <c r="I195" s="299">
        <f>'RD Plant List'!$F197/12*'RD Feedstock'!I$3*'RD Plant List'!AB$5</f>
        <v>20.762499999999999</v>
      </c>
      <c r="J195" s="299">
        <f>'RD Plant List'!$F197/12*'RD Feedstock'!J$3*'RD Plant List'!AC$5</f>
        <v>6.875</v>
      </c>
    </row>
    <row r="196" spans="1:10" ht="18">
      <c r="A196" s="293">
        <v>49675</v>
      </c>
      <c r="B196" s="299">
        <f>'RD Plant List'!$B198/12*'RD Feedstock'!B$3*'RD Plant List'!AB$5</f>
        <v>59.770833333333336</v>
      </c>
      <c r="C196" s="299">
        <f>'RD Plant List'!$B198/12*'RD Feedstock'!C$3*'RD Plant List'!AC$5</f>
        <v>3.1250000000000004</v>
      </c>
      <c r="D196" s="299">
        <f>'RD Plant List'!$C198/12*'RD Feedstock'!D$3*'RD Plant List'!AB$5</f>
        <v>176.32395833333331</v>
      </c>
      <c r="E196" s="299">
        <f>'RD Plant List'!$C198/12*'RD Feedstock'!E$3*'RD Plant List'!AC$5</f>
        <v>9.21875</v>
      </c>
      <c r="F196" s="299">
        <f>'RD Plant List'!$D198/12*'RD Feedstock'!F$3*'RD Plant List'!AB$5</f>
        <v>2.359375</v>
      </c>
      <c r="G196" s="299">
        <f>'RD Plant List'!$D198/12*'RD Feedstock'!G$3*'RD Plant List'!AC$5</f>
        <v>0.78125</v>
      </c>
      <c r="H196" s="299">
        <f>'RD Plant List'!$E198/12*'RD Feedstock'!H$3*'RD Plant List'!AB$5</f>
        <v>138.41666666666666</v>
      </c>
      <c r="I196" s="299">
        <f>'RD Plant List'!$F198/12*'RD Feedstock'!I$3*'RD Plant List'!AB$5</f>
        <v>20.762499999999999</v>
      </c>
      <c r="J196" s="299">
        <f>'RD Plant List'!$F198/12*'RD Feedstock'!J$3*'RD Plant List'!AC$5</f>
        <v>6.875</v>
      </c>
    </row>
    <row r="197" spans="1:10" ht="18">
      <c r="A197" s="293">
        <v>49706</v>
      </c>
      <c r="B197" s="299">
        <f>'RD Plant List'!$B199/12*'RD Feedstock'!B$3*'RD Plant List'!AB$5</f>
        <v>59.770833333333336</v>
      </c>
      <c r="C197" s="299">
        <f>'RD Plant List'!$B199/12*'RD Feedstock'!C$3*'RD Plant List'!AC$5</f>
        <v>3.1250000000000004</v>
      </c>
      <c r="D197" s="299">
        <f>'RD Plant List'!$C199/12*'RD Feedstock'!D$3*'RD Plant List'!AB$5</f>
        <v>176.32395833333331</v>
      </c>
      <c r="E197" s="299">
        <f>'RD Plant List'!$C199/12*'RD Feedstock'!E$3*'RD Plant List'!AC$5</f>
        <v>9.21875</v>
      </c>
      <c r="F197" s="299">
        <f>'RD Plant List'!$D199/12*'RD Feedstock'!F$3*'RD Plant List'!AB$5</f>
        <v>2.359375</v>
      </c>
      <c r="G197" s="299">
        <f>'RD Plant List'!$D199/12*'RD Feedstock'!G$3*'RD Plant List'!AC$5</f>
        <v>0.78125</v>
      </c>
      <c r="H197" s="299">
        <f>'RD Plant List'!$E199/12*'RD Feedstock'!H$3*'RD Plant List'!AB$5</f>
        <v>138.41666666666666</v>
      </c>
      <c r="I197" s="299">
        <f>'RD Plant List'!$F199/12*'RD Feedstock'!I$3*'RD Plant List'!AB$5</f>
        <v>20.762499999999999</v>
      </c>
      <c r="J197" s="299">
        <f>'RD Plant List'!$F199/12*'RD Feedstock'!J$3*'RD Plant List'!AC$5</f>
        <v>6.875</v>
      </c>
    </row>
    <row r="198" spans="1:10" ht="18">
      <c r="A198" s="293">
        <v>49735</v>
      </c>
      <c r="B198" s="299">
        <f>'RD Plant List'!$B200/12*'RD Feedstock'!B$3*'RD Plant List'!AB$5</f>
        <v>59.770833333333336</v>
      </c>
      <c r="C198" s="299">
        <f>'RD Plant List'!$B200/12*'RD Feedstock'!C$3*'RD Plant List'!AC$5</f>
        <v>3.1250000000000004</v>
      </c>
      <c r="D198" s="299">
        <f>'RD Plant List'!$C200/12*'RD Feedstock'!D$3*'RD Plant List'!AB$5</f>
        <v>176.32395833333331</v>
      </c>
      <c r="E198" s="299">
        <f>'RD Plant List'!$C200/12*'RD Feedstock'!E$3*'RD Plant List'!AC$5</f>
        <v>9.21875</v>
      </c>
      <c r="F198" s="299">
        <f>'RD Plant List'!$D200/12*'RD Feedstock'!F$3*'RD Plant List'!AB$5</f>
        <v>2.359375</v>
      </c>
      <c r="G198" s="299">
        <f>'RD Plant List'!$D200/12*'RD Feedstock'!G$3*'RD Plant List'!AC$5</f>
        <v>0.78125</v>
      </c>
      <c r="H198" s="299">
        <f>'RD Plant List'!$E200/12*'RD Feedstock'!H$3*'RD Plant List'!AB$5</f>
        <v>138.41666666666666</v>
      </c>
      <c r="I198" s="299">
        <f>'RD Plant List'!$F200/12*'RD Feedstock'!I$3*'RD Plant List'!AB$5</f>
        <v>20.762499999999999</v>
      </c>
      <c r="J198" s="299">
        <f>'RD Plant List'!$F200/12*'RD Feedstock'!J$3*'RD Plant List'!AC$5</f>
        <v>6.875</v>
      </c>
    </row>
    <row r="199" spans="1:10" ht="18">
      <c r="A199" s="293">
        <v>49766</v>
      </c>
      <c r="B199" s="299">
        <f>'RD Plant List'!$B201/12*'RD Feedstock'!B$3*'RD Plant List'!AB$5</f>
        <v>59.770833333333336</v>
      </c>
      <c r="C199" s="299">
        <f>'RD Plant List'!$B201/12*'RD Feedstock'!C$3*'RD Plant List'!AC$5</f>
        <v>3.1250000000000004</v>
      </c>
      <c r="D199" s="299">
        <f>'RD Plant List'!$C201/12*'RD Feedstock'!D$3*'RD Plant List'!AB$5</f>
        <v>176.32395833333331</v>
      </c>
      <c r="E199" s="299">
        <f>'RD Plant List'!$C201/12*'RD Feedstock'!E$3*'RD Plant List'!AC$5</f>
        <v>9.21875</v>
      </c>
      <c r="F199" s="299">
        <f>'RD Plant List'!$D201/12*'RD Feedstock'!F$3*'RD Plant List'!AB$5</f>
        <v>2.359375</v>
      </c>
      <c r="G199" s="299">
        <f>'RD Plant List'!$D201/12*'RD Feedstock'!G$3*'RD Plant List'!AC$5</f>
        <v>0.78125</v>
      </c>
      <c r="H199" s="299">
        <f>'RD Plant List'!$E201/12*'RD Feedstock'!H$3*'RD Plant List'!AB$5</f>
        <v>138.41666666666666</v>
      </c>
      <c r="I199" s="299">
        <f>'RD Plant List'!$F201/12*'RD Feedstock'!I$3*'RD Plant List'!AB$5</f>
        <v>20.762499999999999</v>
      </c>
      <c r="J199" s="299">
        <f>'RD Plant List'!$F201/12*'RD Feedstock'!J$3*'RD Plant List'!AC$5</f>
        <v>6.875</v>
      </c>
    </row>
    <row r="200" spans="1:10" ht="18">
      <c r="A200" s="293">
        <v>49796</v>
      </c>
      <c r="B200" s="299">
        <f>'RD Plant List'!$B202/12*'RD Feedstock'!B$3*'RD Plant List'!AB$5</f>
        <v>59.770833333333336</v>
      </c>
      <c r="C200" s="299">
        <f>'RD Plant List'!$B202/12*'RD Feedstock'!C$3*'RD Plant List'!AC$5</f>
        <v>3.1250000000000004</v>
      </c>
      <c r="D200" s="299">
        <f>'RD Plant List'!$C202/12*'RD Feedstock'!D$3*'RD Plant List'!AB$5</f>
        <v>176.32395833333331</v>
      </c>
      <c r="E200" s="299">
        <f>'RD Plant List'!$C202/12*'RD Feedstock'!E$3*'RD Plant List'!AC$5</f>
        <v>9.21875</v>
      </c>
      <c r="F200" s="299">
        <f>'RD Plant List'!$D202/12*'RD Feedstock'!F$3*'RD Plant List'!AB$5</f>
        <v>2.359375</v>
      </c>
      <c r="G200" s="299">
        <f>'RD Plant List'!$D202/12*'RD Feedstock'!G$3*'RD Plant List'!AC$5</f>
        <v>0.78125</v>
      </c>
      <c r="H200" s="299">
        <f>'RD Plant List'!$E202/12*'RD Feedstock'!H$3*'RD Plant List'!AB$5</f>
        <v>138.41666666666666</v>
      </c>
      <c r="I200" s="299">
        <f>'RD Plant List'!$F202/12*'RD Feedstock'!I$3*'RD Plant List'!AB$5</f>
        <v>20.762499999999999</v>
      </c>
      <c r="J200" s="299">
        <f>'RD Plant List'!$F202/12*'RD Feedstock'!J$3*'RD Plant List'!AC$5</f>
        <v>6.875</v>
      </c>
    </row>
    <row r="201" spans="1:10" ht="18">
      <c r="A201" s="293">
        <v>49827</v>
      </c>
      <c r="B201" s="299">
        <f>'RD Plant List'!$B203/12*'RD Feedstock'!B$3*'RD Plant List'!AB$5</f>
        <v>59.770833333333336</v>
      </c>
      <c r="C201" s="299">
        <f>'RD Plant List'!$B203/12*'RD Feedstock'!C$3*'RD Plant List'!AC$5</f>
        <v>3.1250000000000004</v>
      </c>
      <c r="D201" s="299">
        <f>'RD Plant List'!$C203/12*'RD Feedstock'!D$3*'RD Plant List'!AB$5</f>
        <v>176.32395833333331</v>
      </c>
      <c r="E201" s="299">
        <f>'RD Plant List'!$C203/12*'RD Feedstock'!E$3*'RD Plant List'!AC$5</f>
        <v>9.21875</v>
      </c>
      <c r="F201" s="299">
        <f>'RD Plant List'!$D203/12*'RD Feedstock'!F$3*'RD Plant List'!AB$5</f>
        <v>2.359375</v>
      </c>
      <c r="G201" s="299">
        <f>'RD Plant List'!$D203/12*'RD Feedstock'!G$3*'RD Plant List'!AC$5</f>
        <v>0.78125</v>
      </c>
      <c r="H201" s="299">
        <f>'RD Plant List'!$E203/12*'RD Feedstock'!H$3*'RD Plant List'!AB$5</f>
        <v>138.41666666666666</v>
      </c>
      <c r="I201" s="299">
        <f>'RD Plant List'!$F203/12*'RD Feedstock'!I$3*'RD Plant List'!AB$5</f>
        <v>20.762499999999999</v>
      </c>
      <c r="J201" s="299">
        <f>'RD Plant List'!$F203/12*'RD Feedstock'!J$3*'RD Plant List'!AC$5</f>
        <v>6.875</v>
      </c>
    </row>
    <row r="202" spans="1:10" ht="18">
      <c r="A202" s="293">
        <v>49857</v>
      </c>
      <c r="B202" s="299">
        <f>'RD Plant List'!$B204/12*'RD Feedstock'!B$3*'RD Plant List'!AB$5</f>
        <v>59.770833333333336</v>
      </c>
      <c r="C202" s="299">
        <f>'RD Plant List'!$B204/12*'RD Feedstock'!C$3*'RD Plant List'!AC$5</f>
        <v>3.1250000000000004</v>
      </c>
      <c r="D202" s="299">
        <f>'RD Plant List'!$C204/12*'RD Feedstock'!D$3*'RD Plant List'!AB$5</f>
        <v>176.32395833333331</v>
      </c>
      <c r="E202" s="299">
        <f>'RD Plant List'!$C204/12*'RD Feedstock'!E$3*'RD Plant List'!AC$5</f>
        <v>9.21875</v>
      </c>
      <c r="F202" s="299">
        <f>'RD Plant List'!$D204/12*'RD Feedstock'!F$3*'RD Plant List'!AB$5</f>
        <v>2.359375</v>
      </c>
      <c r="G202" s="299">
        <f>'RD Plant List'!$D204/12*'RD Feedstock'!G$3*'RD Plant List'!AC$5</f>
        <v>0.78125</v>
      </c>
      <c r="H202" s="299">
        <f>'RD Plant List'!$E204/12*'RD Feedstock'!H$3*'RD Plant List'!AB$5</f>
        <v>138.41666666666666</v>
      </c>
      <c r="I202" s="299">
        <f>'RD Plant List'!$F204/12*'RD Feedstock'!I$3*'RD Plant List'!AB$5</f>
        <v>20.762499999999999</v>
      </c>
      <c r="J202" s="299">
        <f>'RD Plant List'!$F204/12*'RD Feedstock'!J$3*'RD Plant List'!AC$5</f>
        <v>6.875</v>
      </c>
    </row>
    <row r="203" spans="1:10" ht="18">
      <c r="A203" s="293">
        <v>49888</v>
      </c>
      <c r="B203" s="299">
        <f>'RD Plant List'!$B205/12*'RD Feedstock'!B$3*'RD Plant List'!AB$5</f>
        <v>59.770833333333336</v>
      </c>
      <c r="C203" s="299">
        <f>'RD Plant List'!$B205/12*'RD Feedstock'!C$3*'RD Plant List'!AC$5</f>
        <v>3.1250000000000004</v>
      </c>
      <c r="D203" s="299">
        <f>'RD Plant List'!$C205/12*'RD Feedstock'!D$3*'RD Plant List'!AB$5</f>
        <v>176.32395833333331</v>
      </c>
      <c r="E203" s="299">
        <f>'RD Plant List'!$C205/12*'RD Feedstock'!E$3*'RD Plant List'!AC$5</f>
        <v>9.21875</v>
      </c>
      <c r="F203" s="299">
        <f>'RD Plant List'!$D205/12*'RD Feedstock'!F$3*'RD Plant List'!AB$5</f>
        <v>2.359375</v>
      </c>
      <c r="G203" s="299">
        <f>'RD Plant List'!$D205/12*'RD Feedstock'!G$3*'RD Plant List'!AC$5</f>
        <v>0.78125</v>
      </c>
      <c r="H203" s="299">
        <f>'RD Plant List'!$E205/12*'RD Feedstock'!H$3*'RD Plant List'!AB$5</f>
        <v>138.41666666666666</v>
      </c>
      <c r="I203" s="299">
        <f>'RD Plant List'!$F205/12*'RD Feedstock'!I$3*'RD Plant List'!AB$5</f>
        <v>20.762499999999999</v>
      </c>
      <c r="J203" s="299">
        <f>'RD Plant List'!$F205/12*'RD Feedstock'!J$3*'RD Plant List'!AC$5</f>
        <v>6.875</v>
      </c>
    </row>
    <row r="204" spans="1:10" ht="18">
      <c r="A204" s="293">
        <v>49919</v>
      </c>
      <c r="B204" s="299">
        <f>'RD Plant List'!$B206/12*'RD Feedstock'!B$3*'RD Plant List'!AB$5</f>
        <v>59.770833333333336</v>
      </c>
      <c r="C204" s="299">
        <f>'RD Plant List'!$B206/12*'RD Feedstock'!C$3*'RD Plant List'!AC$5</f>
        <v>3.1250000000000004</v>
      </c>
      <c r="D204" s="299">
        <f>'RD Plant List'!$C206/12*'RD Feedstock'!D$3*'RD Plant List'!AB$5</f>
        <v>176.32395833333331</v>
      </c>
      <c r="E204" s="299">
        <f>'RD Plant List'!$C206/12*'RD Feedstock'!E$3*'RD Plant List'!AC$5</f>
        <v>9.21875</v>
      </c>
      <c r="F204" s="299">
        <f>'RD Plant List'!$D206/12*'RD Feedstock'!F$3*'RD Plant List'!AB$5</f>
        <v>2.359375</v>
      </c>
      <c r="G204" s="299">
        <f>'RD Plant List'!$D206/12*'RD Feedstock'!G$3*'RD Plant List'!AC$5</f>
        <v>0.78125</v>
      </c>
      <c r="H204" s="299">
        <f>'RD Plant List'!$E206/12*'RD Feedstock'!H$3*'RD Plant List'!AB$5</f>
        <v>138.41666666666666</v>
      </c>
      <c r="I204" s="299">
        <f>'RD Plant List'!$F206/12*'RD Feedstock'!I$3*'RD Plant List'!AB$5</f>
        <v>20.762499999999999</v>
      </c>
      <c r="J204" s="299">
        <f>'RD Plant List'!$F206/12*'RD Feedstock'!J$3*'RD Plant List'!AC$5</f>
        <v>6.875</v>
      </c>
    </row>
    <row r="205" spans="1:10" ht="18">
      <c r="A205" s="293">
        <v>49949</v>
      </c>
      <c r="B205" s="299">
        <f>'RD Plant List'!$B207/12*'RD Feedstock'!B$3*'RD Plant List'!AB$5</f>
        <v>59.770833333333336</v>
      </c>
      <c r="C205" s="299">
        <f>'RD Plant List'!$B207/12*'RD Feedstock'!C$3*'RD Plant List'!AC$5</f>
        <v>3.1250000000000004</v>
      </c>
      <c r="D205" s="299">
        <f>'RD Plant List'!$C207/12*'RD Feedstock'!D$3*'RD Plant List'!AB$5</f>
        <v>176.32395833333331</v>
      </c>
      <c r="E205" s="299">
        <f>'RD Plant List'!$C207/12*'RD Feedstock'!E$3*'RD Plant List'!AC$5</f>
        <v>9.21875</v>
      </c>
      <c r="F205" s="299">
        <f>'RD Plant List'!$D207/12*'RD Feedstock'!F$3*'RD Plant List'!AB$5</f>
        <v>2.359375</v>
      </c>
      <c r="G205" s="299">
        <f>'RD Plant List'!$D207/12*'RD Feedstock'!G$3*'RD Plant List'!AC$5</f>
        <v>0.78125</v>
      </c>
      <c r="H205" s="299">
        <f>'RD Plant List'!$E207/12*'RD Feedstock'!H$3*'RD Plant List'!AB$5</f>
        <v>138.41666666666666</v>
      </c>
      <c r="I205" s="299">
        <f>'RD Plant List'!$F207/12*'RD Feedstock'!I$3*'RD Plant List'!AB$5</f>
        <v>20.762499999999999</v>
      </c>
      <c r="J205" s="299">
        <f>'RD Plant List'!$F207/12*'RD Feedstock'!J$3*'RD Plant List'!AC$5</f>
        <v>6.875</v>
      </c>
    </row>
    <row r="206" spans="1:10" ht="18">
      <c r="A206" s="293">
        <v>49980</v>
      </c>
      <c r="B206" s="299">
        <f>'RD Plant List'!$B208/12*'RD Feedstock'!B$3*'RD Plant List'!AB$5</f>
        <v>59.770833333333336</v>
      </c>
      <c r="C206" s="299">
        <f>'RD Plant List'!$B208/12*'RD Feedstock'!C$3*'RD Plant List'!AC$5</f>
        <v>3.1250000000000004</v>
      </c>
      <c r="D206" s="299">
        <f>'RD Plant List'!$C208/12*'RD Feedstock'!D$3*'RD Plant List'!AB$5</f>
        <v>176.32395833333331</v>
      </c>
      <c r="E206" s="299">
        <f>'RD Plant List'!$C208/12*'RD Feedstock'!E$3*'RD Plant List'!AC$5</f>
        <v>9.21875</v>
      </c>
      <c r="F206" s="299">
        <f>'RD Plant List'!$D208/12*'RD Feedstock'!F$3*'RD Plant List'!AB$5</f>
        <v>2.359375</v>
      </c>
      <c r="G206" s="299">
        <f>'RD Plant List'!$D208/12*'RD Feedstock'!G$3*'RD Plant List'!AC$5</f>
        <v>0.78125</v>
      </c>
      <c r="H206" s="299">
        <f>'RD Plant List'!$E208/12*'RD Feedstock'!H$3*'RD Plant List'!AB$5</f>
        <v>138.41666666666666</v>
      </c>
      <c r="I206" s="299">
        <f>'RD Plant List'!$F208/12*'RD Feedstock'!I$3*'RD Plant List'!AB$5</f>
        <v>20.762499999999999</v>
      </c>
      <c r="J206" s="299">
        <f>'RD Plant List'!$F208/12*'RD Feedstock'!J$3*'RD Plant List'!AC$5</f>
        <v>6.875</v>
      </c>
    </row>
    <row r="207" spans="1:10" ht="18">
      <c r="A207" s="293">
        <v>50010</v>
      </c>
      <c r="B207" s="299">
        <f>'RD Plant List'!$B209/12*'RD Feedstock'!B$3*'RD Plant List'!AB$5</f>
        <v>59.770833333333336</v>
      </c>
      <c r="C207" s="299">
        <f>'RD Plant List'!$B209/12*'RD Feedstock'!C$3*'RD Plant List'!AC$5</f>
        <v>3.1250000000000004</v>
      </c>
      <c r="D207" s="299">
        <f>'RD Plant List'!$C209/12*'RD Feedstock'!D$3*'RD Plant List'!AB$5</f>
        <v>176.32395833333331</v>
      </c>
      <c r="E207" s="299">
        <f>'RD Plant List'!$C209/12*'RD Feedstock'!E$3*'RD Plant List'!AC$5</f>
        <v>9.21875</v>
      </c>
      <c r="F207" s="299">
        <f>'RD Plant List'!$D209/12*'RD Feedstock'!F$3*'RD Plant List'!AB$5</f>
        <v>2.359375</v>
      </c>
      <c r="G207" s="299">
        <f>'RD Plant List'!$D209/12*'RD Feedstock'!G$3*'RD Plant List'!AC$5</f>
        <v>0.78125</v>
      </c>
      <c r="H207" s="299">
        <f>'RD Plant List'!$E209/12*'RD Feedstock'!H$3*'RD Plant List'!AB$5</f>
        <v>138.41666666666666</v>
      </c>
      <c r="I207" s="299">
        <f>'RD Plant List'!$F209/12*'RD Feedstock'!I$3*'RD Plant List'!AB$5</f>
        <v>20.762499999999999</v>
      </c>
      <c r="J207" s="299">
        <f>'RD Plant List'!$F209/12*'RD Feedstock'!J$3*'RD Plant List'!AC$5</f>
        <v>6.875</v>
      </c>
    </row>
    <row r="208" spans="1:10" ht="18">
      <c r="A208" s="293">
        <v>50041</v>
      </c>
      <c r="B208" s="299">
        <f>'RD Plant List'!$B210/12*'RD Feedstock'!B$3*'RD Plant List'!AB$5</f>
        <v>59.770833333333336</v>
      </c>
      <c r="C208" s="299">
        <f>'RD Plant List'!$B210/12*'RD Feedstock'!C$3*'RD Plant List'!AC$5</f>
        <v>3.1250000000000004</v>
      </c>
      <c r="D208" s="299">
        <f>'RD Plant List'!$C210/12*'RD Feedstock'!D$3*'RD Plant List'!AB$5</f>
        <v>176.32395833333331</v>
      </c>
      <c r="E208" s="299">
        <f>'RD Plant List'!$C210/12*'RD Feedstock'!E$3*'RD Plant List'!AC$5</f>
        <v>9.21875</v>
      </c>
      <c r="F208" s="299">
        <f>'RD Plant List'!$D210/12*'RD Feedstock'!F$3*'RD Plant List'!AB$5</f>
        <v>2.359375</v>
      </c>
      <c r="G208" s="299">
        <f>'RD Plant List'!$D210/12*'RD Feedstock'!G$3*'RD Plant List'!AC$5</f>
        <v>0.78125</v>
      </c>
      <c r="H208" s="299">
        <f>'RD Plant List'!$E210/12*'RD Feedstock'!H$3*'RD Plant List'!AB$5</f>
        <v>138.41666666666666</v>
      </c>
      <c r="I208" s="299">
        <f>'RD Plant List'!$F210/12*'RD Feedstock'!I$3*'RD Plant List'!AB$5</f>
        <v>20.762499999999999</v>
      </c>
      <c r="J208" s="299">
        <f>'RD Plant List'!$F210/12*'RD Feedstock'!J$3*'RD Plant List'!AC$5</f>
        <v>6.875</v>
      </c>
    </row>
    <row r="209" spans="1:10" ht="18">
      <c r="A209" s="293">
        <v>50072</v>
      </c>
      <c r="B209" s="299">
        <f>'RD Plant List'!$B211/12*'RD Feedstock'!B$3*'RD Plant List'!AB$5</f>
        <v>59.770833333333336</v>
      </c>
      <c r="C209" s="299">
        <f>'RD Plant List'!$B211/12*'RD Feedstock'!C$3*'RD Plant List'!AC$5</f>
        <v>3.1250000000000004</v>
      </c>
      <c r="D209" s="299">
        <f>'RD Plant List'!$C211/12*'RD Feedstock'!D$3*'RD Plant List'!AB$5</f>
        <v>176.32395833333331</v>
      </c>
      <c r="E209" s="299">
        <f>'RD Plant List'!$C211/12*'RD Feedstock'!E$3*'RD Plant List'!AC$5</f>
        <v>9.21875</v>
      </c>
      <c r="F209" s="299">
        <f>'RD Plant List'!$D211/12*'RD Feedstock'!F$3*'RD Plant List'!AB$5</f>
        <v>2.359375</v>
      </c>
      <c r="G209" s="299">
        <f>'RD Plant List'!$D211/12*'RD Feedstock'!G$3*'RD Plant List'!AC$5</f>
        <v>0.78125</v>
      </c>
      <c r="H209" s="299">
        <f>'RD Plant List'!$E211/12*'RD Feedstock'!H$3*'RD Plant List'!AB$5</f>
        <v>138.41666666666666</v>
      </c>
      <c r="I209" s="299">
        <f>'RD Plant List'!$F211/12*'RD Feedstock'!I$3*'RD Plant List'!AB$5</f>
        <v>20.762499999999999</v>
      </c>
      <c r="J209" s="299">
        <f>'RD Plant List'!$F211/12*'RD Feedstock'!J$3*'RD Plant List'!AC$5</f>
        <v>6.875</v>
      </c>
    </row>
    <row r="210" spans="1:10" ht="18">
      <c r="A210" s="293">
        <v>50100</v>
      </c>
      <c r="B210" s="299">
        <f>'RD Plant List'!$B212/12*'RD Feedstock'!B$3*'RD Plant List'!AB$5</f>
        <v>59.770833333333336</v>
      </c>
      <c r="C210" s="299">
        <f>'RD Plant List'!$B212/12*'RD Feedstock'!C$3*'RD Plant List'!AC$5</f>
        <v>3.1250000000000004</v>
      </c>
      <c r="D210" s="299">
        <f>'RD Plant List'!$C212/12*'RD Feedstock'!D$3*'RD Plant List'!AB$5</f>
        <v>176.32395833333331</v>
      </c>
      <c r="E210" s="299">
        <f>'RD Plant List'!$C212/12*'RD Feedstock'!E$3*'RD Plant List'!AC$5</f>
        <v>9.21875</v>
      </c>
      <c r="F210" s="299">
        <f>'RD Plant List'!$D212/12*'RD Feedstock'!F$3*'RD Plant List'!AB$5</f>
        <v>2.359375</v>
      </c>
      <c r="G210" s="299">
        <f>'RD Plant List'!$D212/12*'RD Feedstock'!G$3*'RD Plant List'!AC$5</f>
        <v>0.78125</v>
      </c>
      <c r="H210" s="299">
        <f>'RD Plant List'!$E212/12*'RD Feedstock'!H$3*'RD Plant List'!AB$5</f>
        <v>138.41666666666666</v>
      </c>
      <c r="I210" s="299">
        <f>'RD Plant List'!$F212/12*'RD Feedstock'!I$3*'RD Plant List'!AB$5</f>
        <v>20.762499999999999</v>
      </c>
      <c r="J210" s="299">
        <f>'RD Plant List'!$F212/12*'RD Feedstock'!J$3*'RD Plant List'!AC$5</f>
        <v>6.875</v>
      </c>
    </row>
    <row r="211" spans="1:10" ht="18">
      <c r="A211" s="293">
        <v>50131</v>
      </c>
      <c r="B211" s="299">
        <f>'RD Plant List'!$B213/12*'RD Feedstock'!B$3*'RD Plant List'!AB$5</f>
        <v>59.770833333333336</v>
      </c>
      <c r="C211" s="299">
        <f>'RD Plant List'!$B213/12*'RD Feedstock'!C$3*'RD Plant List'!AC$5</f>
        <v>3.1250000000000004</v>
      </c>
      <c r="D211" s="299">
        <f>'RD Plant List'!$C213/12*'RD Feedstock'!D$3*'RD Plant List'!AB$5</f>
        <v>176.32395833333331</v>
      </c>
      <c r="E211" s="299">
        <f>'RD Plant List'!$C213/12*'RD Feedstock'!E$3*'RD Plant List'!AC$5</f>
        <v>9.21875</v>
      </c>
      <c r="F211" s="299">
        <f>'RD Plant List'!$D213/12*'RD Feedstock'!F$3*'RD Plant List'!AB$5</f>
        <v>2.359375</v>
      </c>
      <c r="G211" s="299">
        <f>'RD Plant List'!$D213/12*'RD Feedstock'!G$3*'RD Plant List'!AC$5</f>
        <v>0.78125</v>
      </c>
      <c r="H211" s="299">
        <f>'RD Plant List'!$E213/12*'RD Feedstock'!H$3*'RD Plant List'!AB$5</f>
        <v>138.41666666666666</v>
      </c>
      <c r="I211" s="299">
        <f>'RD Plant List'!$F213/12*'RD Feedstock'!I$3*'RD Plant List'!AB$5</f>
        <v>20.762499999999999</v>
      </c>
      <c r="J211" s="299">
        <f>'RD Plant List'!$F213/12*'RD Feedstock'!J$3*'RD Plant List'!AC$5</f>
        <v>6.875</v>
      </c>
    </row>
    <row r="212" spans="1:10" ht="18">
      <c r="A212" s="293">
        <v>50161</v>
      </c>
      <c r="B212" s="299">
        <f>'RD Plant List'!$B214/12*'RD Feedstock'!B$3*'RD Plant List'!AB$5</f>
        <v>59.770833333333336</v>
      </c>
      <c r="C212" s="299">
        <f>'RD Plant List'!$B214/12*'RD Feedstock'!C$3*'RD Plant List'!AC$5</f>
        <v>3.1250000000000004</v>
      </c>
      <c r="D212" s="299">
        <f>'RD Plant List'!$C214/12*'RD Feedstock'!D$3*'RD Plant List'!AB$5</f>
        <v>176.32395833333331</v>
      </c>
      <c r="E212" s="299">
        <f>'RD Plant List'!$C214/12*'RD Feedstock'!E$3*'RD Plant List'!AC$5</f>
        <v>9.21875</v>
      </c>
      <c r="F212" s="299">
        <f>'RD Plant List'!$D214/12*'RD Feedstock'!F$3*'RD Plant List'!AB$5</f>
        <v>2.359375</v>
      </c>
      <c r="G212" s="299">
        <f>'RD Plant List'!$D214/12*'RD Feedstock'!G$3*'RD Plant List'!AC$5</f>
        <v>0.78125</v>
      </c>
      <c r="H212" s="299">
        <f>'RD Plant List'!$E214/12*'RD Feedstock'!H$3*'RD Plant List'!AB$5</f>
        <v>138.41666666666666</v>
      </c>
      <c r="I212" s="299">
        <f>'RD Plant List'!$F214/12*'RD Feedstock'!I$3*'RD Plant List'!AB$5</f>
        <v>20.762499999999999</v>
      </c>
      <c r="J212" s="299">
        <f>'RD Plant List'!$F214/12*'RD Feedstock'!J$3*'RD Plant List'!AC$5</f>
        <v>6.875</v>
      </c>
    </row>
    <row r="213" spans="1:10" ht="18">
      <c r="A213" s="293">
        <v>50192</v>
      </c>
      <c r="B213" s="299">
        <f>'RD Plant List'!$B215/12*'RD Feedstock'!B$3*'RD Plant List'!AB$5</f>
        <v>59.770833333333336</v>
      </c>
      <c r="C213" s="299">
        <f>'RD Plant List'!$B215/12*'RD Feedstock'!C$3*'RD Plant List'!AC$5</f>
        <v>3.1250000000000004</v>
      </c>
      <c r="D213" s="299">
        <f>'RD Plant List'!$C215/12*'RD Feedstock'!D$3*'RD Plant List'!AB$5</f>
        <v>176.32395833333331</v>
      </c>
      <c r="E213" s="299">
        <f>'RD Plant List'!$C215/12*'RD Feedstock'!E$3*'RD Plant List'!AC$5</f>
        <v>9.21875</v>
      </c>
      <c r="F213" s="299">
        <f>'RD Plant List'!$D215/12*'RD Feedstock'!F$3*'RD Plant List'!AB$5</f>
        <v>2.359375</v>
      </c>
      <c r="G213" s="299">
        <f>'RD Plant List'!$D215/12*'RD Feedstock'!G$3*'RD Plant List'!AC$5</f>
        <v>0.78125</v>
      </c>
      <c r="H213" s="299">
        <f>'RD Plant List'!$E215/12*'RD Feedstock'!H$3*'RD Plant List'!AB$5</f>
        <v>138.41666666666666</v>
      </c>
      <c r="I213" s="299">
        <f>'RD Plant List'!$F215/12*'RD Feedstock'!I$3*'RD Plant List'!AB$5</f>
        <v>20.762499999999999</v>
      </c>
      <c r="J213" s="299">
        <f>'RD Plant List'!$F215/12*'RD Feedstock'!J$3*'RD Plant List'!AC$5</f>
        <v>6.875</v>
      </c>
    </row>
    <row r="214" spans="1:10" ht="18">
      <c r="A214" s="293">
        <v>50222</v>
      </c>
      <c r="B214" s="299">
        <f>'RD Plant List'!$B216/12*'RD Feedstock'!B$3*'RD Plant List'!AB$5</f>
        <v>59.770833333333336</v>
      </c>
      <c r="C214" s="299">
        <f>'RD Plant List'!$B216/12*'RD Feedstock'!C$3*'RD Plant List'!AC$5</f>
        <v>3.1250000000000004</v>
      </c>
      <c r="D214" s="299">
        <f>'RD Plant List'!$C216/12*'RD Feedstock'!D$3*'RD Plant List'!AB$5</f>
        <v>176.32395833333331</v>
      </c>
      <c r="E214" s="299">
        <f>'RD Plant List'!$C216/12*'RD Feedstock'!E$3*'RD Plant List'!AC$5</f>
        <v>9.21875</v>
      </c>
      <c r="F214" s="299">
        <f>'RD Plant List'!$D216/12*'RD Feedstock'!F$3*'RD Plant List'!AB$5</f>
        <v>2.359375</v>
      </c>
      <c r="G214" s="299">
        <f>'RD Plant List'!$D216/12*'RD Feedstock'!G$3*'RD Plant List'!AC$5</f>
        <v>0.78125</v>
      </c>
      <c r="H214" s="299">
        <f>'RD Plant List'!$E216/12*'RD Feedstock'!H$3*'RD Plant List'!AB$5</f>
        <v>138.41666666666666</v>
      </c>
      <c r="I214" s="299">
        <f>'RD Plant List'!$F216/12*'RD Feedstock'!I$3*'RD Plant List'!AB$5</f>
        <v>20.762499999999999</v>
      </c>
      <c r="J214" s="299">
        <f>'RD Plant List'!$F216/12*'RD Feedstock'!J$3*'RD Plant List'!AC$5</f>
        <v>6.875</v>
      </c>
    </row>
    <row r="215" spans="1:10" ht="18">
      <c r="A215" s="293">
        <v>50253</v>
      </c>
      <c r="B215" s="299">
        <f>'RD Plant List'!$B217/12*'RD Feedstock'!B$3*'RD Plant List'!AB$5</f>
        <v>59.770833333333336</v>
      </c>
      <c r="C215" s="299">
        <f>'RD Plant List'!$B217/12*'RD Feedstock'!C$3*'RD Plant List'!AC$5</f>
        <v>3.1250000000000004</v>
      </c>
      <c r="D215" s="299">
        <f>'RD Plant List'!$C217/12*'RD Feedstock'!D$3*'RD Plant List'!AB$5</f>
        <v>176.32395833333331</v>
      </c>
      <c r="E215" s="299">
        <f>'RD Plant List'!$C217/12*'RD Feedstock'!E$3*'RD Plant List'!AC$5</f>
        <v>9.21875</v>
      </c>
      <c r="F215" s="299">
        <f>'RD Plant List'!$D217/12*'RD Feedstock'!F$3*'RD Plant List'!AB$5</f>
        <v>2.359375</v>
      </c>
      <c r="G215" s="299">
        <f>'RD Plant List'!$D217/12*'RD Feedstock'!G$3*'RD Plant List'!AC$5</f>
        <v>0.78125</v>
      </c>
      <c r="H215" s="299">
        <f>'RD Plant List'!$E217/12*'RD Feedstock'!H$3*'RD Plant List'!AB$5</f>
        <v>138.41666666666666</v>
      </c>
      <c r="I215" s="299">
        <f>'RD Plant List'!$F217/12*'RD Feedstock'!I$3*'RD Plant List'!AB$5</f>
        <v>20.762499999999999</v>
      </c>
      <c r="J215" s="299">
        <f>'RD Plant List'!$F217/12*'RD Feedstock'!J$3*'RD Plant List'!AC$5</f>
        <v>6.875</v>
      </c>
    </row>
    <row r="216" spans="1:10" ht="18">
      <c r="A216" s="293">
        <v>50284</v>
      </c>
      <c r="B216" s="299">
        <f>'RD Plant List'!$B218/12*'RD Feedstock'!B$3*'RD Plant List'!AB$5</f>
        <v>59.770833333333336</v>
      </c>
      <c r="C216" s="299">
        <f>'RD Plant List'!$B218/12*'RD Feedstock'!C$3*'RD Plant List'!AC$5</f>
        <v>3.1250000000000004</v>
      </c>
      <c r="D216" s="299">
        <f>'RD Plant List'!$C218/12*'RD Feedstock'!D$3*'RD Plant List'!AB$5</f>
        <v>176.32395833333331</v>
      </c>
      <c r="E216" s="299">
        <f>'RD Plant List'!$C218/12*'RD Feedstock'!E$3*'RD Plant List'!AC$5</f>
        <v>9.21875</v>
      </c>
      <c r="F216" s="299">
        <f>'RD Plant List'!$D218/12*'RD Feedstock'!F$3*'RD Plant List'!AB$5</f>
        <v>2.359375</v>
      </c>
      <c r="G216" s="299">
        <f>'RD Plant List'!$D218/12*'RD Feedstock'!G$3*'RD Plant List'!AC$5</f>
        <v>0.78125</v>
      </c>
      <c r="H216" s="299">
        <f>'RD Plant List'!$E218/12*'RD Feedstock'!H$3*'RD Plant List'!AB$5</f>
        <v>138.41666666666666</v>
      </c>
      <c r="I216" s="299">
        <f>'RD Plant List'!$F218/12*'RD Feedstock'!I$3*'RD Plant List'!AB$5</f>
        <v>20.762499999999999</v>
      </c>
      <c r="J216" s="299">
        <f>'RD Plant List'!$F218/12*'RD Feedstock'!J$3*'RD Plant List'!AC$5</f>
        <v>6.875</v>
      </c>
    </row>
    <row r="217" spans="1:10" ht="18">
      <c r="A217" s="293">
        <v>50314</v>
      </c>
      <c r="B217" s="299">
        <f>'RD Plant List'!$B219/12*'RD Feedstock'!B$3*'RD Plant List'!AB$5</f>
        <v>59.770833333333336</v>
      </c>
      <c r="C217" s="299">
        <f>'RD Plant List'!$B219/12*'RD Feedstock'!C$3*'RD Plant List'!AC$5</f>
        <v>3.1250000000000004</v>
      </c>
      <c r="D217" s="299">
        <f>'RD Plant List'!$C219/12*'RD Feedstock'!D$3*'RD Plant List'!AB$5</f>
        <v>176.32395833333331</v>
      </c>
      <c r="E217" s="299">
        <f>'RD Plant List'!$C219/12*'RD Feedstock'!E$3*'RD Plant List'!AC$5</f>
        <v>9.21875</v>
      </c>
      <c r="F217" s="299">
        <f>'RD Plant List'!$D219/12*'RD Feedstock'!F$3*'RD Plant List'!AB$5</f>
        <v>2.359375</v>
      </c>
      <c r="G217" s="299">
        <f>'RD Plant List'!$D219/12*'RD Feedstock'!G$3*'RD Plant List'!AC$5</f>
        <v>0.78125</v>
      </c>
      <c r="H217" s="299">
        <f>'RD Plant List'!$E219/12*'RD Feedstock'!H$3*'RD Plant List'!AB$5</f>
        <v>138.41666666666666</v>
      </c>
      <c r="I217" s="299">
        <f>'RD Plant List'!$F219/12*'RD Feedstock'!I$3*'RD Plant List'!AB$5</f>
        <v>20.762499999999999</v>
      </c>
      <c r="J217" s="299">
        <f>'RD Plant List'!$F219/12*'RD Feedstock'!J$3*'RD Plant List'!AC$5</f>
        <v>6.875</v>
      </c>
    </row>
    <row r="218" spans="1:10" ht="18">
      <c r="A218" s="293">
        <v>50345</v>
      </c>
      <c r="B218" s="299">
        <f>'RD Plant List'!$B220/12*'RD Feedstock'!B$3*'RD Plant List'!AB$5</f>
        <v>59.770833333333336</v>
      </c>
      <c r="C218" s="299">
        <f>'RD Plant List'!$B220/12*'RD Feedstock'!C$3*'RD Plant List'!AC$5</f>
        <v>3.1250000000000004</v>
      </c>
      <c r="D218" s="299">
        <f>'RD Plant List'!$C220/12*'RD Feedstock'!D$3*'RD Plant List'!AB$5</f>
        <v>176.32395833333331</v>
      </c>
      <c r="E218" s="299">
        <f>'RD Plant List'!$C220/12*'RD Feedstock'!E$3*'RD Plant List'!AC$5</f>
        <v>9.21875</v>
      </c>
      <c r="F218" s="299">
        <f>'RD Plant List'!$D220/12*'RD Feedstock'!F$3*'RD Plant List'!AB$5</f>
        <v>2.359375</v>
      </c>
      <c r="G218" s="299">
        <f>'RD Plant List'!$D220/12*'RD Feedstock'!G$3*'RD Plant List'!AC$5</f>
        <v>0.78125</v>
      </c>
      <c r="H218" s="299">
        <f>'RD Plant List'!$E220/12*'RD Feedstock'!H$3*'RD Plant List'!AB$5</f>
        <v>138.41666666666666</v>
      </c>
      <c r="I218" s="299">
        <f>'RD Plant List'!$F220/12*'RD Feedstock'!I$3*'RD Plant List'!AB$5</f>
        <v>20.762499999999999</v>
      </c>
      <c r="J218" s="299">
        <f>'RD Plant List'!$F220/12*'RD Feedstock'!J$3*'RD Plant List'!AC$5</f>
        <v>6.875</v>
      </c>
    </row>
    <row r="219" spans="1:10" ht="18">
      <c r="A219" s="293">
        <v>50375</v>
      </c>
      <c r="B219" s="299">
        <f>'RD Plant List'!$B221/12*'RD Feedstock'!B$3*'RD Plant List'!AB$5</f>
        <v>59.770833333333336</v>
      </c>
      <c r="C219" s="299">
        <f>'RD Plant List'!$B221/12*'RD Feedstock'!C$3*'RD Plant List'!AC$5</f>
        <v>3.1250000000000004</v>
      </c>
      <c r="D219" s="299">
        <f>'RD Plant List'!$C221/12*'RD Feedstock'!D$3*'RD Plant List'!AB$5</f>
        <v>176.32395833333331</v>
      </c>
      <c r="E219" s="299">
        <f>'RD Plant List'!$C221/12*'RD Feedstock'!E$3*'RD Plant List'!AC$5</f>
        <v>9.21875</v>
      </c>
      <c r="F219" s="299">
        <f>'RD Plant List'!$D221/12*'RD Feedstock'!F$3*'RD Plant List'!AB$5</f>
        <v>2.359375</v>
      </c>
      <c r="G219" s="299">
        <f>'RD Plant List'!$D221/12*'RD Feedstock'!G$3*'RD Plant List'!AC$5</f>
        <v>0.78125</v>
      </c>
      <c r="H219" s="299">
        <f>'RD Plant List'!$E221/12*'RD Feedstock'!H$3*'RD Plant List'!AB$5</f>
        <v>138.41666666666666</v>
      </c>
      <c r="I219" s="299">
        <f>'RD Plant List'!$F221/12*'RD Feedstock'!I$3*'RD Plant List'!AB$5</f>
        <v>20.762499999999999</v>
      </c>
      <c r="J219" s="299">
        <f>'RD Plant List'!$F221/12*'RD Feedstock'!J$3*'RD Plant List'!AC$5</f>
        <v>6.875</v>
      </c>
    </row>
    <row r="220" spans="1:10" ht="18">
      <c r="A220" s="293">
        <v>50406</v>
      </c>
      <c r="B220" s="299">
        <f>'RD Plant List'!$B222/12*'RD Feedstock'!B$3*'RD Plant List'!AB$5</f>
        <v>59.770833333333336</v>
      </c>
      <c r="C220" s="299">
        <f>'RD Plant List'!$B222/12*'RD Feedstock'!C$3*'RD Plant List'!AC$5</f>
        <v>3.1250000000000004</v>
      </c>
      <c r="D220" s="299">
        <f>'RD Plant List'!$C222/12*'RD Feedstock'!D$3*'RD Plant List'!AB$5</f>
        <v>176.32395833333331</v>
      </c>
      <c r="E220" s="299">
        <f>'RD Plant List'!$C222/12*'RD Feedstock'!E$3*'RD Plant List'!AC$5</f>
        <v>9.21875</v>
      </c>
      <c r="F220" s="299">
        <f>'RD Plant List'!$D222/12*'RD Feedstock'!F$3*'RD Plant List'!AB$5</f>
        <v>2.359375</v>
      </c>
      <c r="G220" s="299">
        <f>'RD Plant List'!$D222/12*'RD Feedstock'!G$3*'RD Plant List'!AC$5</f>
        <v>0.78125</v>
      </c>
      <c r="H220" s="299">
        <f>'RD Plant List'!$E222/12*'RD Feedstock'!H$3*'RD Plant List'!AB$5</f>
        <v>138.41666666666666</v>
      </c>
      <c r="I220" s="299">
        <f>'RD Plant List'!$F222/12*'RD Feedstock'!I$3*'RD Plant List'!AB$5</f>
        <v>20.762499999999999</v>
      </c>
      <c r="J220" s="299">
        <f>'RD Plant List'!$F222/12*'RD Feedstock'!J$3*'RD Plant List'!AC$5</f>
        <v>6.875</v>
      </c>
    </row>
    <row r="221" spans="1:10" ht="18">
      <c r="A221" s="293">
        <v>50437</v>
      </c>
      <c r="B221" s="299">
        <f>'RD Plant List'!$B223/12*'RD Feedstock'!B$3*'RD Plant List'!AB$5</f>
        <v>59.770833333333336</v>
      </c>
      <c r="C221" s="299">
        <f>'RD Plant List'!$B223/12*'RD Feedstock'!C$3*'RD Plant List'!AC$5</f>
        <v>3.1250000000000004</v>
      </c>
      <c r="D221" s="299">
        <f>'RD Plant List'!$C223/12*'RD Feedstock'!D$3*'RD Plant List'!AB$5</f>
        <v>176.32395833333331</v>
      </c>
      <c r="E221" s="299">
        <f>'RD Plant List'!$C223/12*'RD Feedstock'!E$3*'RD Plant List'!AC$5</f>
        <v>9.21875</v>
      </c>
      <c r="F221" s="299">
        <f>'RD Plant List'!$D223/12*'RD Feedstock'!F$3*'RD Plant List'!AB$5</f>
        <v>2.359375</v>
      </c>
      <c r="G221" s="299">
        <f>'RD Plant List'!$D223/12*'RD Feedstock'!G$3*'RD Plant List'!AC$5</f>
        <v>0.78125</v>
      </c>
      <c r="H221" s="299">
        <f>'RD Plant List'!$E223/12*'RD Feedstock'!H$3*'RD Plant List'!AB$5</f>
        <v>138.41666666666666</v>
      </c>
      <c r="I221" s="299">
        <f>'RD Plant List'!$F223/12*'RD Feedstock'!I$3*'RD Plant List'!AB$5</f>
        <v>20.762499999999999</v>
      </c>
      <c r="J221" s="299">
        <f>'RD Plant List'!$F223/12*'RD Feedstock'!J$3*'RD Plant List'!AC$5</f>
        <v>6.875</v>
      </c>
    </row>
    <row r="222" spans="1:10" ht="18">
      <c r="A222" s="293">
        <v>50465</v>
      </c>
      <c r="B222" s="299">
        <f>'RD Plant List'!$B224/12*'RD Feedstock'!B$3*'RD Plant List'!AB$5</f>
        <v>59.770833333333336</v>
      </c>
      <c r="C222" s="299">
        <f>'RD Plant List'!$B224/12*'RD Feedstock'!C$3*'RD Plant List'!AC$5</f>
        <v>3.1250000000000004</v>
      </c>
      <c r="D222" s="299">
        <f>'RD Plant List'!$C224/12*'RD Feedstock'!D$3*'RD Plant List'!AB$5</f>
        <v>176.32395833333331</v>
      </c>
      <c r="E222" s="299">
        <f>'RD Plant List'!$C224/12*'RD Feedstock'!E$3*'RD Plant List'!AC$5</f>
        <v>9.21875</v>
      </c>
      <c r="F222" s="299">
        <f>'RD Plant List'!$D224/12*'RD Feedstock'!F$3*'RD Plant List'!AB$5</f>
        <v>2.359375</v>
      </c>
      <c r="G222" s="299">
        <f>'RD Plant List'!$D224/12*'RD Feedstock'!G$3*'RD Plant List'!AC$5</f>
        <v>0.78125</v>
      </c>
      <c r="H222" s="299">
        <f>'RD Plant List'!$E224/12*'RD Feedstock'!H$3*'RD Plant List'!AB$5</f>
        <v>138.41666666666666</v>
      </c>
      <c r="I222" s="299">
        <f>'RD Plant List'!$F224/12*'RD Feedstock'!I$3*'RD Plant List'!AB$5</f>
        <v>20.762499999999999</v>
      </c>
      <c r="J222" s="299">
        <f>'RD Plant List'!$F224/12*'RD Feedstock'!J$3*'RD Plant List'!AC$5</f>
        <v>6.875</v>
      </c>
    </row>
    <row r="223" spans="1:10" ht="18">
      <c r="A223" s="293">
        <v>50496</v>
      </c>
      <c r="B223" s="299">
        <f>'RD Plant List'!$B225/12*'RD Feedstock'!B$3*'RD Plant List'!AB$5</f>
        <v>59.770833333333336</v>
      </c>
      <c r="C223" s="299">
        <f>'RD Plant List'!$B225/12*'RD Feedstock'!C$3*'RD Plant List'!AC$5</f>
        <v>3.1250000000000004</v>
      </c>
      <c r="D223" s="299">
        <f>'RD Plant List'!$C225/12*'RD Feedstock'!D$3*'RD Plant List'!AB$5</f>
        <v>176.32395833333331</v>
      </c>
      <c r="E223" s="299">
        <f>'RD Plant List'!$C225/12*'RD Feedstock'!E$3*'RD Plant List'!AC$5</f>
        <v>9.21875</v>
      </c>
      <c r="F223" s="299">
        <f>'RD Plant List'!$D225/12*'RD Feedstock'!F$3*'RD Plant List'!AB$5</f>
        <v>2.359375</v>
      </c>
      <c r="G223" s="299">
        <f>'RD Plant List'!$D225/12*'RD Feedstock'!G$3*'RD Plant List'!AC$5</f>
        <v>0.78125</v>
      </c>
      <c r="H223" s="299">
        <f>'RD Plant List'!$E225/12*'RD Feedstock'!H$3*'RD Plant List'!AB$5</f>
        <v>138.41666666666666</v>
      </c>
      <c r="I223" s="299">
        <f>'RD Plant List'!$F225/12*'RD Feedstock'!I$3*'RD Plant List'!AB$5</f>
        <v>20.762499999999999</v>
      </c>
      <c r="J223" s="299">
        <f>'RD Plant List'!$F225/12*'RD Feedstock'!J$3*'RD Plant List'!AC$5</f>
        <v>6.875</v>
      </c>
    </row>
    <row r="224" spans="1:10" ht="18">
      <c r="A224" s="293">
        <v>50526</v>
      </c>
      <c r="B224" s="299">
        <f>'RD Plant List'!$B226/12*'RD Feedstock'!B$3*'RD Plant List'!AB$5</f>
        <v>59.770833333333336</v>
      </c>
      <c r="C224" s="299">
        <f>'RD Plant List'!$B226/12*'RD Feedstock'!C$3*'RD Plant List'!AC$5</f>
        <v>3.1250000000000004</v>
      </c>
      <c r="D224" s="299">
        <f>'RD Plant List'!$C226/12*'RD Feedstock'!D$3*'RD Plant List'!AB$5</f>
        <v>176.32395833333331</v>
      </c>
      <c r="E224" s="299">
        <f>'RD Plant List'!$C226/12*'RD Feedstock'!E$3*'RD Plant List'!AC$5</f>
        <v>9.21875</v>
      </c>
      <c r="F224" s="299">
        <f>'RD Plant List'!$D226/12*'RD Feedstock'!F$3*'RD Plant List'!AB$5</f>
        <v>2.359375</v>
      </c>
      <c r="G224" s="299">
        <f>'RD Plant List'!$D226/12*'RD Feedstock'!G$3*'RD Plant List'!AC$5</f>
        <v>0.78125</v>
      </c>
      <c r="H224" s="299">
        <f>'RD Plant List'!$E226/12*'RD Feedstock'!H$3*'RD Plant List'!AB$5</f>
        <v>138.41666666666666</v>
      </c>
      <c r="I224" s="299">
        <f>'RD Plant List'!$F226/12*'RD Feedstock'!I$3*'RD Plant List'!AB$5</f>
        <v>20.762499999999999</v>
      </c>
      <c r="J224" s="299">
        <f>'RD Plant List'!$F226/12*'RD Feedstock'!J$3*'RD Plant List'!AC$5</f>
        <v>6.875</v>
      </c>
    </row>
    <row r="225" spans="1:10" ht="18">
      <c r="A225" s="293">
        <v>50557</v>
      </c>
      <c r="B225" s="299">
        <f>'RD Plant List'!$B227/12*'RD Feedstock'!B$3*'RD Plant List'!AB$5</f>
        <v>59.770833333333336</v>
      </c>
      <c r="C225" s="299">
        <f>'RD Plant List'!$B227/12*'RD Feedstock'!C$3*'RD Plant List'!AC$5</f>
        <v>3.1250000000000004</v>
      </c>
      <c r="D225" s="299">
        <f>'RD Plant List'!$C227/12*'RD Feedstock'!D$3*'RD Plant List'!AB$5</f>
        <v>176.32395833333331</v>
      </c>
      <c r="E225" s="299">
        <f>'RD Plant List'!$C227/12*'RD Feedstock'!E$3*'RD Plant List'!AC$5</f>
        <v>9.21875</v>
      </c>
      <c r="F225" s="299">
        <f>'RD Plant List'!$D227/12*'RD Feedstock'!F$3*'RD Plant List'!AB$5</f>
        <v>2.359375</v>
      </c>
      <c r="G225" s="299">
        <f>'RD Plant List'!$D227/12*'RD Feedstock'!G$3*'RD Plant List'!AC$5</f>
        <v>0.78125</v>
      </c>
      <c r="H225" s="299">
        <f>'RD Plant List'!$E227/12*'RD Feedstock'!H$3*'RD Plant List'!AB$5</f>
        <v>138.41666666666666</v>
      </c>
      <c r="I225" s="299">
        <f>'RD Plant List'!$F227/12*'RD Feedstock'!I$3*'RD Plant List'!AB$5</f>
        <v>20.762499999999999</v>
      </c>
      <c r="J225" s="299">
        <f>'RD Plant List'!$F227/12*'RD Feedstock'!J$3*'RD Plant List'!AC$5</f>
        <v>6.875</v>
      </c>
    </row>
    <row r="226" spans="1:10" ht="18">
      <c r="A226" s="293">
        <v>50587</v>
      </c>
      <c r="B226" s="299">
        <f>'RD Plant List'!$B228/12*'RD Feedstock'!B$3*'RD Plant List'!AB$5</f>
        <v>59.770833333333336</v>
      </c>
      <c r="C226" s="299">
        <f>'RD Plant List'!$B228/12*'RD Feedstock'!C$3*'RD Plant List'!AC$5</f>
        <v>3.1250000000000004</v>
      </c>
      <c r="D226" s="299">
        <f>'RD Plant List'!$C228/12*'RD Feedstock'!D$3*'RD Plant List'!AB$5</f>
        <v>176.32395833333331</v>
      </c>
      <c r="E226" s="299">
        <f>'RD Plant List'!$C228/12*'RD Feedstock'!E$3*'RD Plant List'!AC$5</f>
        <v>9.21875</v>
      </c>
      <c r="F226" s="299">
        <f>'RD Plant List'!$D228/12*'RD Feedstock'!F$3*'RD Plant List'!AB$5</f>
        <v>2.359375</v>
      </c>
      <c r="G226" s="299">
        <f>'RD Plant List'!$D228/12*'RD Feedstock'!G$3*'RD Plant List'!AC$5</f>
        <v>0.78125</v>
      </c>
      <c r="H226" s="299">
        <f>'RD Plant List'!$E228/12*'RD Feedstock'!H$3*'RD Plant List'!AB$5</f>
        <v>138.41666666666666</v>
      </c>
      <c r="I226" s="299">
        <f>'RD Plant List'!$F228/12*'RD Feedstock'!I$3*'RD Plant List'!AB$5</f>
        <v>20.762499999999999</v>
      </c>
      <c r="J226" s="299">
        <f>'RD Plant List'!$F228/12*'RD Feedstock'!J$3*'RD Plant List'!AC$5</f>
        <v>6.875</v>
      </c>
    </row>
    <row r="227" spans="1:10" ht="18">
      <c r="A227" s="293">
        <v>50618</v>
      </c>
      <c r="B227" s="299">
        <f>'RD Plant List'!$B229/12*'RD Feedstock'!B$3*'RD Plant List'!AB$5</f>
        <v>59.770833333333336</v>
      </c>
      <c r="C227" s="299">
        <f>'RD Plant List'!$B229/12*'RD Feedstock'!C$3*'RD Plant List'!AC$5</f>
        <v>3.1250000000000004</v>
      </c>
      <c r="D227" s="299">
        <f>'RD Plant List'!$C229/12*'RD Feedstock'!D$3*'RD Plant List'!AB$5</f>
        <v>176.32395833333331</v>
      </c>
      <c r="E227" s="299">
        <f>'RD Plant List'!$C229/12*'RD Feedstock'!E$3*'RD Plant List'!AC$5</f>
        <v>9.21875</v>
      </c>
      <c r="F227" s="299">
        <f>'RD Plant List'!$D229/12*'RD Feedstock'!F$3*'RD Plant List'!AB$5</f>
        <v>2.359375</v>
      </c>
      <c r="G227" s="299">
        <f>'RD Plant List'!$D229/12*'RD Feedstock'!G$3*'RD Plant List'!AC$5</f>
        <v>0.78125</v>
      </c>
      <c r="H227" s="299">
        <f>'RD Plant List'!$E229/12*'RD Feedstock'!H$3*'RD Plant List'!AB$5</f>
        <v>138.41666666666666</v>
      </c>
      <c r="I227" s="299">
        <f>'RD Plant List'!$F229/12*'RD Feedstock'!I$3*'RD Plant List'!AB$5</f>
        <v>20.762499999999999</v>
      </c>
      <c r="J227" s="299">
        <f>'RD Plant List'!$F229/12*'RD Feedstock'!J$3*'RD Plant List'!AC$5</f>
        <v>6.875</v>
      </c>
    </row>
    <row r="228" spans="1:10" ht="18">
      <c r="A228" s="293">
        <v>50649</v>
      </c>
      <c r="B228" s="299">
        <f>'RD Plant List'!$B230/12*'RD Feedstock'!B$3*'RD Plant List'!AB$5</f>
        <v>59.770833333333336</v>
      </c>
      <c r="C228" s="299">
        <f>'RD Plant List'!$B230/12*'RD Feedstock'!C$3*'RD Plant List'!AC$5</f>
        <v>3.1250000000000004</v>
      </c>
      <c r="D228" s="299">
        <f>'RD Plant List'!$C230/12*'RD Feedstock'!D$3*'RD Plant List'!AB$5</f>
        <v>176.32395833333331</v>
      </c>
      <c r="E228" s="299">
        <f>'RD Plant List'!$C230/12*'RD Feedstock'!E$3*'RD Plant List'!AC$5</f>
        <v>9.21875</v>
      </c>
      <c r="F228" s="299">
        <f>'RD Plant List'!$D230/12*'RD Feedstock'!F$3*'RD Plant List'!AB$5</f>
        <v>2.359375</v>
      </c>
      <c r="G228" s="299">
        <f>'RD Plant List'!$D230/12*'RD Feedstock'!G$3*'RD Plant List'!AC$5</f>
        <v>0.78125</v>
      </c>
      <c r="H228" s="299">
        <f>'RD Plant List'!$E230/12*'RD Feedstock'!H$3*'RD Plant List'!AB$5</f>
        <v>138.41666666666666</v>
      </c>
      <c r="I228" s="299">
        <f>'RD Plant List'!$F230/12*'RD Feedstock'!I$3*'RD Plant List'!AB$5</f>
        <v>20.762499999999999</v>
      </c>
      <c r="J228" s="299">
        <f>'RD Plant List'!$F230/12*'RD Feedstock'!J$3*'RD Plant List'!AC$5</f>
        <v>6.875</v>
      </c>
    </row>
    <row r="229" spans="1:10" ht="18">
      <c r="A229" s="293">
        <v>50679</v>
      </c>
      <c r="B229" s="299">
        <f>'RD Plant List'!$B231/12*'RD Feedstock'!B$3*'RD Plant List'!AB$5</f>
        <v>59.770833333333336</v>
      </c>
      <c r="C229" s="299">
        <f>'RD Plant List'!$B231/12*'RD Feedstock'!C$3*'RD Plant List'!AC$5</f>
        <v>3.1250000000000004</v>
      </c>
      <c r="D229" s="299">
        <f>'RD Plant List'!$C231/12*'RD Feedstock'!D$3*'RD Plant List'!AB$5</f>
        <v>176.32395833333331</v>
      </c>
      <c r="E229" s="299">
        <f>'RD Plant List'!$C231/12*'RD Feedstock'!E$3*'RD Plant List'!AC$5</f>
        <v>9.21875</v>
      </c>
      <c r="F229" s="299">
        <f>'RD Plant List'!$D231/12*'RD Feedstock'!F$3*'RD Plant List'!AB$5</f>
        <v>2.359375</v>
      </c>
      <c r="G229" s="299">
        <f>'RD Plant List'!$D231/12*'RD Feedstock'!G$3*'RD Plant List'!AC$5</f>
        <v>0.78125</v>
      </c>
      <c r="H229" s="299">
        <f>'RD Plant List'!$E231/12*'RD Feedstock'!H$3*'RD Plant List'!AB$5</f>
        <v>138.41666666666666</v>
      </c>
      <c r="I229" s="299">
        <f>'RD Plant List'!$F231/12*'RD Feedstock'!I$3*'RD Plant List'!AB$5</f>
        <v>20.762499999999999</v>
      </c>
      <c r="J229" s="299">
        <f>'RD Plant List'!$F231/12*'RD Feedstock'!J$3*'RD Plant List'!AC$5</f>
        <v>6.875</v>
      </c>
    </row>
    <row r="230" spans="1:10" ht="18">
      <c r="A230" s="293">
        <v>50710</v>
      </c>
      <c r="B230" s="299">
        <f>'RD Plant List'!$B232/12*'RD Feedstock'!B$3*'RD Plant List'!AB$5</f>
        <v>59.770833333333336</v>
      </c>
      <c r="C230" s="299">
        <f>'RD Plant List'!$B232/12*'RD Feedstock'!C$3*'RD Plant List'!AC$5</f>
        <v>3.1250000000000004</v>
      </c>
      <c r="D230" s="299">
        <f>'RD Plant List'!$C232/12*'RD Feedstock'!D$3*'RD Plant List'!AB$5</f>
        <v>176.32395833333331</v>
      </c>
      <c r="E230" s="299">
        <f>'RD Plant List'!$C232/12*'RD Feedstock'!E$3*'RD Plant List'!AC$5</f>
        <v>9.21875</v>
      </c>
      <c r="F230" s="299">
        <f>'RD Plant List'!$D232/12*'RD Feedstock'!F$3*'RD Plant List'!AB$5</f>
        <v>2.359375</v>
      </c>
      <c r="G230" s="299">
        <f>'RD Plant List'!$D232/12*'RD Feedstock'!G$3*'RD Plant List'!AC$5</f>
        <v>0.78125</v>
      </c>
      <c r="H230" s="299">
        <f>'RD Plant List'!$E232/12*'RD Feedstock'!H$3*'RD Plant List'!AB$5</f>
        <v>138.41666666666666</v>
      </c>
      <c r="I230" s="299">
        <f>'RD Plant List'!$F232/12*'RD Feedstock'!I$3*'RD Plant List'!AB$5</f>
        <v>20.762499999999999</v>
      </c>
      <c r="J230" s="299">
        <f>'RD Plant List'!$F232/12*'RD Feedstock'!J$3*'RD Plant List'!AC$5</f>
        <v>6.875</v>
      </c>
    </row>
    <row r="231" spans="1:10" ht="18">
      <c r="A231" s="293">
        <v>50740</v>
      </c>
      <c r="B231" s="299">
        <f>'RD Plant List'!$B233/12*'RD Feedstock'!B$3*'RD Plant List'!AB$5</f>
        <v>59.770833333333336</v>
      </c>
      <c r="C231" s="299">
        <f>'RD Plant List'!$B233/12*'RD Feedstock'!C$3*'RD Plant List'!AC$5</f>
        <v>3.1250000000000004</v>
      </c>
      <c r="D231" s="299">
        <f>'RD Plant List'!$C233/12*'RD Feedstock'!D$3*'RD Plant List'!AB$5</f>
        <v>176.32395833333331</v>
      </c>
      <c r="E231" s="299">
        <f>'RD Plant List'!$C233/12*'RD Feedstock'!E$3*'RD Plant List'!AC$5</f>
        <v>9.21875</v>
      </c>
      <c r="F231" s="299">
        <f>'RD Plant List'!$D233/12*'RD Feedstock'!F$3*'RD Plant List'!AB$5</f>
        <v>2.359375</v>
      </c>
      <c r="G231" s="299">
        <f>'RD Plant List'!$D233/12*'RD Feedstock'!G$3*'RD Plant List'!AC$5</f>
        <v>0.78125</v>
      </c>
      <c r="H231" s="299">
        <f>'RD Plant List'!$E233/12*'RD Feedstock'!H$3*'RD Plant List'!AB$5</f>
        <v>138.41666666666666</v>
      </c>
      <c r="I231" s="299">
        <f>'RD Plant List'!$F233/12*'RD Feedstock'!I$3*'RD Plant List'!AB$5</f>
        <v>20.762499999999999</v>
      </c>
      <c r="J231" s="299">
        <f>'RD Plant List'!$F233/12*'RD Feedstock'!J$3*'RD Plant List'!AC$5</f>
        <v>6.875</v>
      </c>
    </row>
    <row r="232" spans="1:10" ht="18">
      <c r="A232" s="293">
        <v>50771</v>
      </c>
      <c r="B232" s="299">
        <f>'RD Plant List'!$B234/12*'RD Feedstock'!B$3*'RD Plant List'!AB$5</f>
        <v>59.770833333333336</v>
      </c>
      <c r="C232" s="299">
        <f>'RD Plant List'!$B234/12*'RD Feedstock'!C$3*'RD Plant List'!AC$5</f>
        <v>3.1250000000000004</v>
      </c>
      <c r="D232" s="299">
        <f>'RD Plant List'!$C234/12*'RD Feedstock'!D$3*'RD Plant List'!AB$5</f>
        <v>176.32395833333331</v>
      </c>
      <c r="E232" s="299">
        <f>'RD Plant List'!$C234/12*'RD Feedstock'!E$3*'RD Plant List'!AC$5</f>
        <v>9.21875</v>
      </c>
      <c r="F232" s="299">
        <f>'RD Plant List'!$D234/12*'RD Feedstock'!F$3*'RD Plant List'!AB$5</f>
        <v>2.359375</v>
      </c>
      <c r="G232" s="299">
        <f>'RD Plant List'!$D234/12*'RD Feedstock'!G$3*'RD Plant List'!AC$5</f>
        <v>0.78125</v>
      </c>
      <c r="H232" s="299">
        <f>'RD Plant List'!$E234/12*'RD Feedstock'!H$3*'RD Plant List'!AB$5</f>
        <v>138.41666666666666</v>
      </c>
      <c r="I232" s="299">
        <f>'RD Plant List'!$F234/12*'RD Feedstock'!I$3*'RD Plant List'!AB$5</f>
        <v>20.762499999999999</v>
      </c>
      <c r="J232" s="299">
        <f>'RD Plant List'!$F234/12*'RD Feedstock'!J$3*'RD Plant List'!AC$5</f>
        <v>6.875</v>
      </c>
    </row>
    <row r="233" spans="1:10" ht="18">
      <c r="A233" s="293">
        <v>50802</v>
      </c>
      <c r="B233" s="299">
        <f>'RD Plant List'!$B235/12*'RD Feedstock'!B$3*'RD Plant List'!AB$5</f>
        <v>59.770833333333336</v>
      </c>
      <c r="C233" s="299">
        <f>'RD Plant List'!$B235/12*'RD Feedstock'!C$3*'RD Plant List'!AC$5</f>
        <v>3.1250000000000004</v>
      </c>
      <c r="D233" s="299">
        <f>'RD Plant List'!$C235/12*'RD Feedstock'!D$3*'RD Plant List'!AB$5</f>
        <v>176.32395833333331</v>
      </c>
      <c r="E233" s="299">
        <f>'RD Plant List'!$C235/12*'RD Feedstock'!E$3*'RD Plant List'!AC$5</f>
        <v>9.21875</v>
      </c>
      <c r="F233" s="299">
        <f>'RD Plant List'!$D235/12*'RD Feedstock'!F$3*'RD Plant List'!AB$5</f>
        <v>2.359375</v>
      </c>
      <c r="G233" s="299">
        <f>'RD Plant List'!$D235/12*'RD Feedstock'!G$3*'RD Plant List'!AC$5</f>
        <v>0.78125</v>
      </c>
      <c r="H233" s="299">
        <f>'RD Plant List'!$E235/12*'RD Feedstock'!H$3*'RD Plant List'!AB$5</f>
        <v>138.41666666666666</v>
      </c>
      <c r="I233" s="299">
        <f>'RD Plant List'!$F235/12*'RD Feedstock'!I$3*'RD Plant List'!AB$5</f>
        <v>20.762499999999999</v>
      </c>
      <c r="J233" s="299">
        <f>'RD Plant List'!$F235/12*'RD Feedstock'!J$3*'RD Plant List'!AC$5</f>
        <v>6.875</v>
      </c>
    </row>
    <row r="234" spans="1:10" ht="18">
      <c r="A234" s="293">
        <v>50830</v>
      </c>
      <c r="B234" s="299">
        <f>'RD Plant List'!$B236/12*'RD Feedstock'!B$3*'RD Plant List'!AB$5</f>
        <v>59.770833333333336</v>
      </c>
      <c r="C234" s="299">
        <f>'RD Plant List'!$B236/12*'RD Feedstock'!C$3*'RD Plant List'!AC$5</f>
        <v>3.1250000000000004</v>
      </c>
      <c r="D234" s="299">
        <f>'RD Plant List'!$C236/12*'RD Feedstock'!D$3*'RD Plant List'!AB$5</f>
        <v>176.32395833333331</v>
      </c>
      <c r="E234" s="299">
        <f>'RD Plant List'!$C236/12*'RD Feedstock'!E$3*'RD Plant List'!AC$5</f>
        <v>9.21875</v>
      </c>
      <c r="F234" s="299">
        <f>'RD Plant List'!$D236/12*'RD Feedstock'!F$3*'RD Plant List'!AB$5</f>
        <v>2.359375</v>
      </c>
      <c r="G234" s="299">
        <f>'RD Plant List'!$D236/12*'RD Feedstock'!G$3*'RD Plant List'!AC$5</f>
        <v>0.78125</v>
      </c>
      <c r="H234" s="299">
        <f>'RD Plant List'!$E236/12*'RD Feedstock'!H$3*'RD Plant List'!AB$5</f>
        <v>138.41666666666666</v>
      </c>
      <c r="I234" s="299">
        <f>'RD Plant List'!$F236/12*'RD Feedstock'!I$3*'RD Plant List'!AB$5</f>
        <v>20.762499999999999</v>
      </c>
      <c r="J234" s="299">
        <f>'RD Plant List'!$F236/12*'RD Feedstock'!J$3*'RD Plant List'!AC$5</f>
        <v>6.875</v>
      </c>
    </row>
    <row r="235" spans="1:10" ht="18">
      <c r="A235" s="293">
        <v>50861</v>
      </c>
      <c r="B235" s="299">
        <f>'RD Plant List'!$B237/12*'RD Feedstock'!B$3*'RD Plant List'!AB$5</f>
        <v>59.770833333333336</v>
      </c>
      <c r="C235" s="299">
        <f>'RD Plant List'!$B237/12*'RD Feedstock'!C$3*'RD Plant List'!AC$5</f>
        <v>3.1250000000000004</v>
      </c>
      <c r="D235" s="299">
        <f>'RD Plant List'!$C237/12*'RD Feedstock'!D$3*'RD Plant List'!AB$5</f>
        <v>176.32395833333331</v>
      </c>
      <c r="E235" s="299">
        <f>'RD Plant List'!$C237/12*'RD Feedstock'!E$3*'RD Plant List'!AC$5</f>
        <v>9.21875</v>
      </c>
      <c r="F235" s="299">
        <f>'RD Plant List'!$D237/12*'RD Feedstock'!F$3*'RD Plant List'!AB$5</f>
        <v>2.359375</v>
      </c>
      <c r="G235" s="299">
        <f>'RD Plant List'!$D237/12*'RD Feedstock'!G$3*'RD Plant List'!AC$5</f>
        <v>0.78125</v>
      </c>
      <c r="H235" s="299">
        <f>'RD Plant List'!$E237/12*'RD Feedstock'!H$3*'RD Plant List'!AB$5</f>
        <v>138.41666666666666</v>
      </c>
      <c r="I235" s="299">
        <f>'RD Plant List'!$F237/12*'RD Feedstock'!I$3*'RD Plant List'!AB$5</f>
        <v>20.762499999999999</v>
      </c>
      <c r="J235" s="299">
        <f>'RD Plant List'!$F237/12*'RD Feedstock'!J$3*'RD Plant List'!AC$5</f>
        <v>6.875</v>
      </c>
    </row>
    <row r="236" spans="1:10" ht="18">
      <c r="A236" s="293">
        <v>50891</v>
      </c>
      <c r="B236" s="299">
        <f>'RD Plant List'!$B238/12*'RD Feedstock'!B$3*'RD Plant List'!AB$5</f>
        <v>59.770833333333336</v>
      </c>
      <c r="C236" s="299">
        <f>'RD Plant List'!$B238/12*'RD Feedstock'!C$3*'RD Plant List'!AC$5</f>
        <v>3.1250000000000004</v>
      </c>
      <c r="D236" s="299">
        <f>'RD Plant List'!$C238/12*'RD Feedstock'!D$3*'RD Plant List'!AB$5</f>
        <v>176.32395833333331</v>
      </c>
      <c r="E236" s="299">
        <f>'RD Plant List'!$C238/12*'RD Feedstock'!E$3*'RD Plant List'!AC$5</f>
        <v>9.21875</v>
      </c>
      <c r="F236" s="299">
        <f>'RD Plant List'!$D238/12*'RD Feedstock'!F$3*'RD Plant List'!AB$5</f>
        <v>2.359375</v>
      </c>
      <c r="G236" s="299">
        <f>'RD Plant List'!$D238/12*'RD Feedstock'!G$3*'RD Plant List'!AC$5</f>
        <v>0.78125</v>
      </c>
      <c r="H236" s="299">
        <f>'RD Plant List'!$E238/12*'RD Feedstock'!H$3*'RD Plant List'!AB$5</f>
        <v>138.41666666666666</v>
      </c>
      <c r="I236" s="299">
        <f>'RD Plant List'!$F238/12*'RD Feedstock'!I$3*'RD Plant List'!AB$5</f>
        <v>20.762499999999999</v>
      </c>
      <c r="J236" s="299">
        <f>'RD Plant List'!$F238/12*'RD Feedstock'!J$3*'RD Plant List'!AC$5</f>
        <v>6.875</v>
      </c>
    </row>
    <row r="237" spans="1:10" ht="18">
      <c r="A237" s="293">
        <v>50922</v>
      </c>
      <c r="B237" s="299">
        <f>'RD Plant List'!$B239/12*'RD Feedstock'!B$3*'RD Plant List'!AB$5</f>
        <v>59.770833333333336</v>
      </c>
      <c r="C237" s="299">
        <f>'RD Plant List'!$B239/12*'RD Feedstock'!C$3*'RD Plant List'!AC$5</f>
        <v>3.1250000000000004</v>
      </c>
      <c r="D237" s="299">
        <f>'RD Plant List'!$C239/12*'RD Feedstock'!D$3*'RD Plant List'!AB$5</f>
        <v>176.32395833333331</v>
      </c>
      <c r="E237" s="299">
        <f>'RD Plant List'!$C239/12*'RD Feedstock'!E$3*'RD Plant List'!AC$5</f>
        <v>9.21875</v>
      </c>
      <c r="F237" s="299">
        <f>'RD Plant List'!$D239/12*'RD Feedstock'!F$3*'RD Plant List'!AB$5</f>
        <v>2.359375</v>
      </c>
      <c r="G237" s="299">
        <f>'RD Plant List'!$D239/12*'RD Feedstock'!G$3*'RD Plant List'!AC$5</f>
        <v>0.78125</v>
      </c>
      <c r="H237" s="299">
        <f>'RD Plant List'!$E239/12*'RD Feedstock'!H$3*'RD Plant List'!AB$5</f>
        <v>138.41666666666666</v>
      </c>
      <c r="I237" s="299">
        <f>'RD Plant List'!$F239/12*'RD Feedstock'!I$3*'RD Plant List'!AB$5</f>
        <v>20.762499999999999</v>
      </c>
      <c r="J237" s="299">
        <f>'RD Plant List'!$F239/12*'RD Feedstock'!J$3*'RD Plant List'!AC$5</f>
        <v>6.875</v>
      </c>
    </row>
    <row r="238" spans="1:10" ht="18">
      <c r="A238" s="293">
        <v>50952</v>
      </c>
      <c r="B238" s="299">
        <f>'RD Plant List'!$B240/12*'RD Feedstock'!B$3*'RD Plant List'!AB$5</f>
        <v>59.770833333333336</v>
      </c>
      <c r="C238" s="299">
        <f>'RD Plant List'!$B240/12*'RD Feedstock'!C$3*'RD Plant List'!AC$5</f>
        <v>3.1250000000000004</v>
      </c>
      <c r="D238" s="299">
        <f>'RD Plant List'!$C240/12*'RD Feedstock'!D$3*'RD Plant List'!AB$5</f>
        <v>176.32395833333331</v>
      </c>
      <c r="E238" s="299">
        <f>'RD Plant List'!$C240/12*'RD Feedstock'!E$3*'RD Plant List'!AC$5</f>
        <v>9.21875</v>
      </c>
      <c r="F238" s="299">
        <f>'RD Plant List'!$D240/12*'RD Feedstock'!F$3*'RD Plant List'!AB$5</f>
        <v>2.359375</v>
      </c>
      <c r="G238" s="299">
        <f>'RD Plant List'!$D240/12*'RD Feedstock'!G$3*'RD Plant List'!AC$5</f>
        <v>0.78125</v>
      </c>
      <c r="H238" s="299">
        <f>'RD Plant List'!$E240/12*'RD Feedstock'!H$3*'RD Plant List'!AB$5</f>
        <v>138.41666666666666</v>
      </c>
      <c r="I238" s="299">
        <f>'RD Plant List'!$F240/12*'RD Feedstock'!I$3*'RD Plant List'!AB$5</f>
        <v>20.762499999999999</v>
      </c>
      <c r="J238" s="299">
        <f>'RD Plant List'!$F240/12*'RD Feedstock'!J$3*'RD Plant List'!AC$5</f>
        <v>6.875</v>
      </c>
    </row>
    <row r="239" spans="1:10" ht="18">
      <c r="A239" s="293">
        <v>50983</v>
      </c>
      <c r="B239" s="299">
        <f>'RD Plant List'!$B241/12*'RD Feedstock'!B$3*'RD Plant List'!AB$5</f>
        <v>59.770833333333336</v>
      </c>
      <c r="C239" s="299">
        <f>'RD Plant List'!$B241/12*'RD Feedstock'!C$3*'RD Plant List'!AC$5</f>
        <v>3.1250000000000004</v>
      </c>
      <c r="D239" s="299">
        <f>'RD Plant List'!$C241/12*'RD Feedstock'!D$3*'RD Plant List'!AB$5</f>
        <v>176.32395833333331</v>
      </c>
      <c r="E239" s="299">
        <f>'RD Plant List'!$C241/12*'RD Feedstock'!E$3*'RD Plant List'!AC$5</f>
        <v>9.21875</v>
      </c>
      <c r="F239" s="299">
        <f>'RD Plant List'!$D241/12*'RD Feedstock'!F$3*'RD Plant List'!AB$5</f>
        <v>2.359375</v>
      </c>
      <c r="G239" s="299">
        <f>'RD Plant List'!$D241/12*'RD Feedstock'!G$3*'RD Plant List'!AC$5</f>
        <v>0.78125</v>
      </c>
      <c r="H239" s="299">
        <f>'RD Plant List'!$E241/12*'RD Feedstock'!H$3*'RD Plant List'!AB$5</f>
        <v>138.41666666666666</v>
      </c>
      <c r="I239" s="299">
        <f>'RD Plant List'!$F241/12*'RD Feedstock'!I$3*'RD Plant List'!AB$5</f>
        <v>20.762499999999999</v>
      </c>
      <c r="J239" s="299">
        <f>'RD Plant List'!$F241/12*'RD Feedstock'!J$3*'RD Plant List'!AC$5</f>
        <v>6.875</v>
      </c>
    </row>
    <row r="240" spans="1:10" ht="18">
      <c r="A240" s="293">
        <v>51014</v>
      </c>
      <c r="B240" s="299">
        <f>'RD Plant List'!$B242/12*'RD Feedstock'!B$3*'RD Plant List'!AB$5</f>
        <v>59.770833333333336</v>
      </c>
      <c r="C240" s="299">
        <f>'RD Plant List'!$B242/12*'RD Feedstock'!C$3*'RD Plant List'!AC$5</f>
        <v>3.1250000000000004</v>
      </c>
      <c r="D240" s="299">
        <f>'RD Plant List'!$C242/12*'RD Feedstock'!D$3*'RD Plant List'!AB$5</f>
        <v>176.32395833333331</v>
      </c>
      <c r="E240" s="299">
        <f>'RD Plant List'!$C242/12*'RD Feedstock'!E$3*'RD Plant List'!AC$5</f>
        <v>9.21875</v>
      </c>
      <c r="F240" s="299">
        <f>'RD Plant List'!$D242/12*'RD Feedstock'!F$3*'RD Plant List'!AB$5</f>
        <v>2.359375</v>
      </c>
      <c r="G240" s="299">
        <f>'RD Plant List'!$D242/12*'RD Feedstock'!G$3*'RD Plant List'!AC$5</f>
        <v>0.78125</v>
      </c>
      <c r="H240" s="299">
        <f>'RD Plant List'!$E242/12*'RD Feedstock'!H$3*'RD Plant List'!AB$5</f>
        <v>138.41666666666666</v>
      </c>
      <c r="I240" s="299">
        <f>'RD Plant List'!$F242/12*'RD Feedstock'!I$3*'RD Plant List'!AB$5</f>
        <v>20.762499999999999</v>
      </c>
      <c r="J240" s="299">
        <f>'RD Plant List'!$F242/12*'RD Feedstock'!J$3*'RD Plant List'!AC$5</f>
        <v>6.875</v>
      </c>
    </row>
    <row r="241" spans="1:10" ht="18">
      <c r="A241" s="293">
        <v>51044</v>
      </c>
      <c r="B241" s="299">
        <f>'RD Plant List'!$B243/12*'RD Feedstock'!B$3*'RD Plant List'!AB$5</f>
        <v>59.770833333333336</v>
      </c>
      <c r="C241" s="299">
        <f>'RD Plant List'!$B243/12*'RD Feedstock'!C$3*'RD Plant List'!AC$5</f>
        <v>3.1250000000000004</v>
      </c>
      <c r="D241" s="299">
        <f>'RD Plant List'!$C243/12*'RD Feedstock'!D$3*'RD Plant List'!AB$5</f>
        <v>176.32395833333331</v>
      </c>
      <c r="E241" s="299">
        <f>'RD Plant List'!$C243/12*'RD Feedstock'!E$3*'RD Plant List'!AC$5</f>
        <v>9.21875</v>
      </c>
      <c r="F241" s="299">
        <f>'RD Plant List'!$D243/12*'RD Feedstock'!F$3*'RD Plant List'!AB$5</f>
        <v>2.359375</v>
      </c>
      <c r="G241" s="299">
        <f>'RD Plant List'!$D243/12*'RD Feedstock'!G$3*'RD Plant List'!AC$5</f>
        <v>0.78125</v>
      </c>
      <c r="H241" s="299">
        <f>'RD Plant List'!$E243/12*'RD Feedstock'!H$3*'RD Plant List'!AB$5</f>
        <v>138.41666666666666</v>
      </c>
      <c r="I241" s="299">
        <f>'RD Plant List'!$F243/12*'RD Feedstock'!I$3*'RD Plant List'!AB$5</f>
        <v>20.762499999999999</v>
      </c>
      <c r="J241" s="299">
        <f>'RD Plant List'!$F243/12*'RD Feedstock'!J$3*'RD Plant List'!AC$5</f>
        <v>6.875</v>
      </c>
    </row>
    <row r="242" spans="1:10" ht="18">
      <c r="A242" s="293">
        <v>51075</v>
      </c>
      <c r="B242" s="299">
        <f>'RD Plant List'!$B244/12*'RD Feedstock'!B$3*'RD Plant List'!AB$5</f>
        <v>59.770833333333336</v>
      </c>
      <c r="C242" s="299">
        <f>'RD Plant List'!$B244/12*'RD Feedstock'!C$3*'RD Plant List'!AC$5</f>
        <v>3.1250000000000004</v>
      </c>
      <c r="D242" s="299">
        <f>'RD Plant List'!$C244/12*'RD Feedstock'!D$3*'RD Plant List'!AB$5</f>
        <v>176.32395833333331</v>
      </c>
      <c r="E242" s="299">
        <f>'RD Plant List'!$C244/12*'RD Feedstock'!E$3*'RD Plant List'!AC$5</f>
        <v>9.21875</v>
      </c>
      <c r="F242" s="299">
        <f>'RD Plant List'!$D244/12*'RD Feedstock'!F$3*'RD Plant List'!AB$5</f>
        <v>2.359375</v>
      </c>
      <c r="G242" s="299">
        <f>'RD Plant List'!$D244/12*'RD Feedstock'!G$3*'RD Plant List'!AC$5</f>
        <v>0.78125</v>
      </c>
      <c r="H242" s="299">
        <f>'RD Plant List'!$E244/12*'RD Feedstock'!H$3*'RD Plant List'!AB$5</f>
        <v>138.41666666666666</v>
      </c>
      <c r="I242" s="299">
        <f>'RD Plant List'!$F244/12*'RD Feedstock'!I$3*'RD Plant List'!AB$5</f>
        <v>20.762499999999999</v>
      </c>
      <c r="J242" s="299">
        <f>'RD Plant List'!$F244/12*'RD Feedstock'!J$3*'RD Plant List'!AC$5</f>
        <v>6.875</v>
      </c>
    </row>
    <row r="243" spans="1:10" ht="18">
      <c r="A243" s="293">
        <v>51105</v>
      </c>
      <c r="B243" s="299">
        <f>'RD Plant List'!$B245/12*'RD Feedstock'!B$3*'RD Plant List'!AB$5</f>
        <v>59.770833333333336</v>
      </c>
      <c r="C243" s="299">
        <f>'RD Plant List'!$B245/12*'RD Feedstock'!C$3*'RD Plant List'!AC$5</f>
        <v>3.1250000000000004</v>
      </c>
      <c r="D243" s="299">
        <f>'RD Plant List'!$C245/12*'RD Feedstock'!D$3*'RD Plant List'!AB$5</f>
        <v>176.32395833333331</v>
      </c>
      <c r="E243" s="299">
        <f>'RD Plant List'!$C245/12*'RD Feedstock'!E$3*'RD Plant List'!AC$5</f>
        <v>9.21875</v>
      </c>
      <c r="F243" s="299">
        <f>'RD Plant List'!$D245/12*'RD Feedstock'!F$3*'RD Plant List'!AB$5</f>
        <v>2.359375</v>
      </c>
      <c r="G243" s="299">
        <f>'RD Plant List'!$D245/12*'RD Feedstock'!G$3*'RD Plant List'!AC$5</f>
        <v>0.78125</v>
      </c>
      <c r="H243" s="299">
        <f>'RD Plant List'!$E245/12*'RD Feedstock'!H$3*'RD Plant List'!AB$5</f>
        <v>138.41666666666666</v>
      </c>
      <c r="I243" s="299">
        <f>'RD Plant List'!$F245/12*'RD Feedstock'!I$3*'RD Plant List'!AB$5</f>
        <v>20.762499999999999</v>
      </c>
      <c r="J243" s="299">
        <f>'RD Plant List'!$F245/12*'RD Feedstock'!J$3*'RD Plant List'!AC$5</f>
        <v>6.875</v>
      </c>
    </row>
    <row r="244" spans="1:10" ht="18">
      <c r="A244" s="293">
        <v>51136</v>
      </c>
      <c r="B244" s="299">
        <f>'RD Plant List'!$B246/12*'RD Feedstock'!B$3*'RD Plant List'!AB$5</f>
        <v>59.770833333333336</v>
      </c>
      <c r="C244" s="299">
        <f>'RD Plant List'!$B246/12*'RD Feedstock'!C$3*'RD Plant List'!AC$5</f>
        <v>3.1250000000000004</v>
      </c>
      <c r="D244" s="299">
        <f>'RD Plant List'!$C246/12*'RD Feedstock'!D$3*'RD Plant List'!AB$5</f>
        <v>176.32395833333331</v>
      </c>
      <c r="E244" s="299">
        <f>'RD Plant List'!$C246/12*'RD Feedstock'!E$3*'RD Plant List'!AC$5</f>
        <v>9.21875</v>
      </c>
      <c r="F244" s="299">
        <f>'RD Plant List'!$D246/12*'RD Feedstock'!F$3*'RD Plant List'!AB$5</f>
        <v>2.359375</v>
      </c>
      <c r="G244" s="299">
        <f>'RD Plant List'!$D246/12*'RD Feedstock'!G$3*'RD Plant List'!AC$5</f>
        <v>0.78125</v>
      </c>
      <c r="H244" s="299">
        <f>'RD Plant List'!$E246/12*'RD Feedstock'!H$3*'RD Plant List'!AB$5</f>
        <v>138.41666666666666</v>
      </c>
      <c r="I244" s="299">
        <f>'RD Plant List'!$F246/12*'RD Feedstock'!I$3*'RD Plant List'!AB$5</f>
        <v>20.762499999999999</v>
      </c>
      <c r="J244" s="299">
        <f>'RD Plant List'!$F246/12*'RD Feedstock'!J$3*'RD Plant List'!AC$5</f>
        <v>6.875</v>
      </c>
    </row>
    <row r="245" spans="1:10" ht="18">
      <c r="A245" s="293">
        <v>51167</v>
      </c>
      <c r="B245" s="299">
        <f>'RD Plant List'!$B247/12*'RD Feedstock'!B$3*'RD Plant List'!AB$5</f>
        <v>59.770833333333336</v>
      </c>
      <c r="C245" s="299">
        <f>'RD Plant List'!$B247/12*'RD Feedstock'!C$3*'RD Plant List'!AC$5</f>
        <v>3.1250000000000004</v>
      </c>
      <c r="D245" s="299">
        <f>'RD Plant List'!$C247/12*'RD Feedstock'!D$3*'RD Plant List'!AB$5</f>
        <v>176.32395833333331</v>
      </c>
      <c r="E245" s="299">
        <f>'RD Plant List'!$C247/12*'RD Feedstock'!E$3*'RD Plant List'!AC$5</f>
        <v>9.21875</v>
      </c>
      <c r="F245" s="299">
        <f>'RD Plant List'!$D247/12*'RD Feedstock'!F$3*'RD Plant List'!AB$5</f>
        <v>2.359375</v>
      </c>
      <c r="G245" s="299">
        <f>'RD Plant List'!$D247/12*'RD Feedstock'!G$3*'RD Plant List'!AC$5</f>
        <v>0.78125</v>
      </c>
      <c r="H245" s="299">
        <f>'RD Plant List'!$E247/12*'RD Feedstock'!H$3*'RD Plant List'!AB$5</f>
        <v>138.41666666666666</v>
      </c>
      <c r="I245" s="299">
        <f>'RD Plant List'!$F247/12*'RD Feedstock'!I$3*'RD Plant List'!AB$5</f>
        <v>20.762499999999999</v>
      </c>
      <c r="J245" s="299">
        <f>'RD Plant List'!$F247/12*'RD Feedstock'!J$3*'RD Plant List'!AC$5</f>
        <v>6.875</v>
      </c>
    </row>
    <row r="246" spans="1:10" ht="18">
      <c r="A246" s="293">
        <v>51196</v>
      </c>
      <c r="B246" s="299">
        <f>'RD Plant List'!$B248/12*'RD Feedstock'!B$3*'RD Plant List'!AB$5</f>
        <v>59.770833333333336</v>
      </c>
      <c r="C246" s="299">
        <f>'RD Plant List'!$B248/12*'RD Feedstock'!C$3*'RD Plant List'!AC$5</f>
        <v>3.1250000000000004</v>
      </c>
      <c r="D246" s="299">
        <f>'RD Plant List'!$C248/12*'RD Feedstock'!D$3*'RD Plant List'!AB$5</f>
        <v>176.32395833333331</v>
      </c>
      <c r="E246" s="299">
        <f>'RD Plant List'!$C248/12*'RD Feedstock'!E$3*'RD Plant List'!AC$5</f>
        <v>9.21875</v>
      </c>
      <c r="F246" s="299">
        <f>'RD Plant List'!$D248/12*'RD Feedstock'!F$3*'RD Plant List'!AB$5</f>
        <v>2.359375</v>
      </c>
      <c r="G246" s="299">
        <f>'RD Plant List'!$D248/12*'RD Feedstock'!G$3*'RD Plant List'!AC$5</f>
        <v>0.78125</v>
      </c>
      <c r="H246" s="299">
        <f>'RD Plant List'!$E248/12*'RD Feedstock'!H$3*'RD Plant List'!AB$5</f>
        <v>138.41666666666666</v>
      </c>
      <c r="I246" s="299">
        <f>'RD Plant List'!$F248/12*'RD Feedstock'!I$3*'RD Plant List'!AB$5</f>
        <v>20.762499999999999</v>
      </c>
      <c r="J246" s="299">
        <f>'RD Plant List'!$F248/12*'RD Feedstock'!J$3*'RD Plant List'!AC$5</f>
        <v>6.875</v>
      </c>
    </row>
    <row r="247" spans="1:10" ht="18">
      <c r="A247" s="293">
        <v>51227</v>
      </c>
      <c r="B247" s="299">
        <f>'RD Plant List'!$B249/12*'RD Feedstock'!B$3*'RD Plant List'!AB$5</f>
        <v>59.770833333333336</v>
      </c>
      <c r="C247" s="299">
        <f>'RD Plant List'!$B249/12*'RD Feedstock'!C$3*'RD Plant List'!AC$5</f>
        <v>3.1250000000000004</v>
      </c>
      <c r="D247" s="299">
        <f>'RD Plant List'!$C249/12*'RD Feedstock'!D$3*'RD Plant List'!AB$5</f>
        <v>176.32395833333331</v>
      </c>
      <c r="E247" s="299">
        <f>'RD Plant List'!$C249/12*'RD Feedstock'!E$3*'RD Plant List'!AC$5</f>
        <v>9.21875</v>
      </c>
      <c r="F247" s="299">
        <f>'RD Plant List'!$D249/12*'RD Feedstock'!F$3*'RD Plant List'!AB$5</f>
        <v>2.359375</v>
      </c>
      <c r="G247" s="299">
        <f>'RD Plant List'!$D249/12*'RD Feedstock'!G$3*'RD Plant List'!AC$5</f>
        <v>0.78125</v>
      </c>
      <c r="H247" s="299">
        <f>'RD Plant List'!$E249/12*'RD Feedstock'!H$3*'RD Plant List'!AB$5</f>
        <v>138.41666666666666</v>
      </c>
      <c r="I247" s="299">
        <f>'RD Plant List'!$F249/12*'RD Feedstock'!I$3*'RD Plant List'!AB$5</f>
        <v>20.762499999999999</v>
      </c>
      <c r="J247" s="299">
        <f>'RD Plant List'!$F249/12*'RD Feedstock'!J$3*'RD Plant List'!AC$5</f>
        <v>6.875</v>
      </c>
    </row>
    <row r="248" spans="1:10" ht="18">
      <c r="A248" s="293">
        <v>51257</v>
      </c>
      <c r="B248" s="299">
        <f>'RD Plant List'!$B250/12*'RD Feedstock'!B$3*'RD Plant List'!AB$5</f>
        <v>59.770833333333336</v>
      </c>
      <c r="C248" s="299">
        <f>'RD Plant List'!$B250/12*'RD Feedstock'!C$3*'RD Plant List'!AC$5</f>
        <v>3.1250000000000004</v>
      </c>
      <c r="D248" s="299">
        <f>'RD Plant List'!$C250/12*'RD Feedstock'!D$3*'RD Plant List'!AB$5</f>
        <v>176.32395833333331</v>
      </c>
      <c r="E248" s="299">
        <f>'RD Plant List'!$C250/12*'RD Feedstock'!E$3*'RD Plant List'!AC$5</f>
        <v>9.21875</v>
      </c>
      <c r="F248" s="299">
        <f>'RD Plant List'!$D250/12*'RD Feedstock'!F$3*'RD Plant List'!AB$5</f>
        <v>2.359375</v>
      </c>
      <c r="G248" s="299">
        <f>'RD Plant List'!$D250/12*'RD Feedstock'!G$3*'RD Plant List'!AC$5</f>
        <v>0.78125</v>
      </c>
      <c r="H248" s="299">
        <f>'RD Plant List'!$E250/12*'RD Feedstock'!H$3*'RD Plant List'!AB$5</f>
        <v>138.41666666666666</v>
      </c>
      <c r="I248" s="299">
        <f>'RD Plant List'!$F250/12*'RD Feedstock'!I$3*'RD Plant List'!AB$5</f>
        <v>20.762499999999999</v>
      </c>
      <c r="J248" s="299">
        <f>'RD Plant List'!$F250/12*'RD Feedstock'!J$3*'RD Plant List'!AC$5</f>
        <v>6.875</v>
      </c>
    </row>
    <row r="249" spans="1:10" ht="18">
      <c r="A249" s="293">
        <v>51288</v>
      </c>
      <c r="B249" s="299">
        <f>'RD Plant List'!$B251/12*'RD Feedstock'!B$3*'RD Plant List'!AB$5</f>
        <v>59.770833333333336</v>
      </c>
      <c r="C249" s="299">
        <f>'RD Plant List'!$B251/12*'RD Feedstock'!C$3*'RD Plant List'!AC$5</f>
        <v>3.1250000000000004</v>
      </c>
      <c r="D249" s="299">
        <f>'RD Plant List'!$C251/12*'RD Feedstock'!D$3*'RD Plant List'!AB$5</f>
        <v>176.32395833333331</v>
      </c>
      <c r="E249" s="299">
        <f>'RD Plant List'!$C251/12*'RD Feedstock'!E$3*'RD Plant List'!AC$5</f>
        <v>9.21875</v>
      </c>
      <c r="F249" s="299">
        <f>'RD Plant List'!$D251/12*'RD Feedstock'!F$3*'RD Plant List'!AB$5</f>
        <v>2.359375</v>
      </c>
      <c r="G249" s="299">
        <f>'RD Plant List'!$D251/12*'RD Feedstock'!G$3*'RD Plant List'!AC$5</f>
        <v>0.78125</v>
      </c>
      <c r="H249" s="299">
        <f>'RD Plant List'!$E251/12*'RD Feedstock'!H$3*'RD Plant List'!AB$5</f>
        <v>138.41666666666666</v>
      </c>
      <c r="I249" s="299">
        <f>'RD Plant List'!$F251/12*'RD Feedstock'!I$3*'RD Plant List'!AB$5</f>
        <v>20.762499999999999</v>
      </c>
      <c r="J249" s="299">
        <f>'RD Plant List'!$F251/12*'RD Feedstock'!J$3*'RD Plant List'!AC$5</f>
        <v>6.875</v>
      </c>
    </row>
    <row r="250" spans="1:10" ht="18">
      <c r="A250" s="293">
        <v>51318</v>
      </c>
      <c r="B250" s="299">
        <f>'RD Plant List'!$B252/12*'RD Feedstock'!B$3*'RD Plant List'!AB$5</f>
        <v>59.770833333333336</v>
      </c>
      <c r="C250" s="299">
        <f>'RD Plant List'!$B252/12*'RD Feedstock'!C$3*'RD Plant List'!AC$5</f>
        <v>3.1250000000000004</v>
      </c>
      <c r="D250" s="299">
        <f>'RD Plant List'!$C252/12*'RD Feedstock'!D$3*'RD Plant List'!AB$5</f>
        <v>176.32395833333331</v>
      </c>
      <c r="E250" s="299">
        <f>'RD Plant List'!$C252/12*'RD Feedstock'!E$3*'RD Plant List'!AC$5</f>
        <v>9.21875</v>
      </c>
      <c r="F250" s="299">
        <f>'RD Plant List'!$D252/12*'RD Feedstock'!F$3*'RD Plant List'!AB$5</f>
        <v>2.359375</v>
      </c>
      <c r="G250" s="299">
        <f>'RD Plant List'!$D252/12*'RD Feedstock'!G$3*'RD Plant List'!AC$5</f>
        <v>0.78125</v>
      </c>
      <c r="H250" s="299">
        <f>'RD Plant List'!$E252/12*'RD Feedstock'!H$3*'RD Plant List'!AB$5</f>
        <v>138.41666666666666</v>
      </c>
      <c r="I250" s="299">
        <f>'RD Plant List'!$F252/12*'RD Feedstock'!I$3*'RD Plant List'!AB$5</f>
        <v>20.762499999999999</v>
      </c>
      <c r="J250" s="299">
        <f>'RD Plant List'!$F252/12*'RD Feedstock'!J$3*'RD Plant List'!AC$5</f>
        <v>6.875</v>
      </c>
    </row>
    <row r="251" spans="1:10" ht="18">
      <c r="A251" s="293">
        <v>51349</v>
      </c>
      <c r="B251" s="299">
        <f>'RD Plant List'!$B253/12*'RD Feedstock'!B$3*'RD Plant List'!AB$5</f>
        <v>59.770833333333336</v>
      </c>
      <c r="C251" s="299">
        <f>'RD Plant List'!$B253/12*'RD Feedstock'!C$3*'RD Plant List'!AC$5</f>
        <v>3.1250000000000004</v>
      </c>
      <c r="D251" s="299">
        <f>'RD Plant List'!$C253/12*'RD Feedstock'!D$3*'RD Plant List'!AB$5</f>
        <v>176.32395833333331</v>
      </c>
      <c r="E251" s="299">
        <f>'RD Plant List'!$C253/12*'RD Feedstock'!E$3*'RD Plant List'!AC$5</f>
        <v>9.21875</v>
      </c>
      <c r="F251" s="299">
        <f>'RD Plant List'!$D253/12*'RD Feedstock'!F$3*'RD Plant List'!AB$5</f>
        <v>2.359375</v>
      </c>
      <c r="G251" s="299">
        <f>'RD Plant List'!$D253/12*'RD Feedstock'!G$3*'RD Plant List'!AC$5</f>
        <v>0.78125</v>
      </c>
      <c r="H251" s="299">
        <f>'RD Plant List'!$E253/12*'RD Feedstock'!H$3*'RD Plant List'!AB$5</f>
        <v>138.41666666666666</v>
      </c>
      <c r="I251" s="299">
        <f>'RD Plant List'!$F253/12*'RD Feedstock'!I$3*'RD Plant List'!AB$5</f>
        <v>20.762499999999999</v>
      </c>
      <c r="J251" s="299">
        <f>'RD Plant List'!$F253/12*'RD Feedstock'!J$3*'RD Plant List'!AC$5</f>
        <v>6.875</v>
      </c>
    </row>
    <row r="252" spans="1:10" ht="18">
      <c r="A252" s="293">
        <v>51380</v>
      </c>
      <c r="B252" s="299">
        <f>'RD Plant List'!$B254/12*'RD Feedstock'!B$3*'RD Plant List'!AB$5</f>
        <v>59.770833333333336</v>
      </c>
      <c r="C252" s="299">
        <f>'RD Plant List'!$B254/12*'RD Feedstock'!C$3*'RD Plant List'!AC$5</f>
        <v>3.1250000000000004</v>
      </c>
      <c r="D252" s="299">
        <f>'RD Plant List'!$C254/12*'RD Feedstock'!D$3*'RD Plant List'!AB$5</f>
        <v>176.32395833333331</v>
      </c>
      <c r="E252" s="299">
        <f>'RD Plant List'!$C254/12*'RD Feedstock'!E$3*'RD Plant List'!AC$5</f>
        <v>9.21875</v>
      </c>
      <c r="F252" s="299">
        <f>'RD Plant List'!$D254/12*'RD Feedstock'!F$3*'RD Plant List'!AB$5</f>
        <v>2.359375</v>
      </c>
      <c r="G252" s="299">
        <f>'RD Plant List'!$D254/12*'RD Feedstock'!G$3*'RD Plant List'!AC$5</f>
        <v>0.78125</v>
      </c>
      <c r="H252" s="299">
        <f>'RD Plant List'!$E254/12*'RD Feedstock'!H$3*'RD Plant List'!AB$5</f>
        <v>138.41666666666666</v>
      </c>
      <c r="I252" s="299">
        <f>'RD Plant List'!$F254/12*'RD Feedstock'!I$3*'RD Plant List'!AB$5</f>
        <v>20.762499999999999</v>
      </c>
      <c r="J252" s="299">
        <f>'RD Plant List'!$F254/12*'RD Feedstock'!J$3*'RD Plant List'!AC$5</f>
        <v>6.875</v>
      </c>
    </row>
    <row r="253" spans="1:10" ht="18">
      <c r="A253" s="293">
        <v>51410</v>
      </c>
      <c r="B253" s="299">
        <f>'RD Plant List'!$B255/12*'RD Feedstock'!B$3*'RD Plant List'!AB$5</f>
        <v>59.770833333333336</v>
      </c>
      <c r="C253" s="299">
        <f>'RD Plant List'!$B255/12*'RD Feedstock'!C$3*'RD Plant List'!AC$5</f>
        <v>3.1250000000000004</v>
      </c>
      <c r="D253" s="299">
        <f>'RD Plant List'!$C255/12*'RD Feedstock'!D$3*'RD Plant List'!AB$5</f>
        <v>176.32395833333331</v>
      </c>
      <c r="E253" s="299">
        <f>'RD Plant List'!$C255/12*'RD Feedstock'!E$3*'RD Plant List'!AC$5</f>
        <v>9.21875</v>
      </c>
      <c r="F253" s="299">
        <f>'RD Plant List'!$D255/12*'RD Feedstock'!F$3*'RD Plant List'!AB$5</f>
        <v>2.359375</v>
      </c>
      <c r="G253" s="299">
        <f>'RD Plant List'!$D255/12*'RD Feedstock'!G$3*'RD Plant List'!AC$5</f>
        <v>0.78125</v>
      </c>
      <c r="H253" s="299">
        <f>'RD Plant List'!$E255/12*'RD Feedstock'!H$3*'RD Plant List'!AB$5</f>
        <v>138.41666666666666</v>
      </c>
      <c r="I253" s="299">
        <f>'RD Plant List'!$F255/12*'RD Feedstock'!I$3*'RD Plant List'!AB$5</f>
        <v>20.762499999999999</v>
      </c>
      <c r="J253" s="299">
        <f>'RD Plant List'!$F255/12*'RD Feedstock'!J$3*'RD Plant List'!AC$5</f>
        <v>6.875</v>
      </c>
    </row>
    <row r="254" spans="1:10" ht="18">
      <c r="A254" s="293">
        <v>51441</v>
      </c>
      <c r="B254" s="299">
        <f>'RD Plant List'!$B256/12*'RD Feedstock'!B$3*'RD Plant List'!AB$5</f>
        <v>59.770833333333336</v>
      </c>
      <c r="C254" s="299">
        <f>'RD Plant List'!$B256/12*'RD Feedstock'!C$3*'RD Plant List'!AC$5</f>
        <v>3.1250000000000004</v>
      </c>
      <c r="D254" s="299">
        <f>'RD Plant List'!$C256/12*'RD Feedstock'!D$3*'RD Plant List'!AB$5</f>
        <v>176.32395833333331</v>
      </c>
      <c r="E254" s="299">
        <f>'RD Plant List'!$C256/12*'RD Feedstock'!E$3*'RD Plant List'!AC$5</f>
        <v>9.21875</v>
      </c>
      <c r="F254" s="299">
        <f>'RD Plant List'!$D256/12*'RD Feedstock'!F$3*'RD Plant List'!AB$5</f>
        <v>2.359375</v>
      </c>
      <c r="G254" s="299">
        <f>'RD Plant List'!$D256/12*'RD Feedstock'!G$3*'RD Plant List'!AC$5</f>
        <v>0.78125</v>
      </c>
      <c r="H254" s="299">
        <f>'RD Plant List'!$E256/12*'RD Feedstock'!H$3*'RD Plant List'!AB$5</f>
        <v>138.41666666666666</v>
      </c>
      <c r="I254" s="299">
        <f>'RD Plant List'!$F256/12*'RD Feedstock'!I$3*'RD Plant List'!AB$5</f>
        <v>20.762499999999999</v>
      </c>
      <c r="J254" s="299">
        <f>'RD Plant List'!$F256/12*'RD Feedstock'!J$3*'RD Plant List'!AC$5</f>
        <v>6.875</v>
      </c>
    </row>
    <row r="255" spans="1:10" ht="18">
      <c r="A255" s="293">
        <v>51471</v>
      </c>
      <c r="B255" s="299">
        <f>'RD Plant List'!$B257/12*'RD Feedstock'!B$3*'RD Plant List'!AB$5</f>
        <v>59.770833333333336</v>
      </c>
      <c r="C255" s="299">
        <f>'RD Plant List'!$B257/12*'RD Feedstock'!C$3*'RD Plant List'!AC$5</f>
        <v>3.1250000000000004</v>
      </c>
      <c r="D255" s="299">
        <f>'RD Plant List'!$C257/12*'RD Feedstock'!D$3*'RD Plant List'!AB$5</f>
        <v>176.32395833333331</v>
      </c>
      <c r="E255" s="299">
        <f>'RD Plant List'!$C257/12*'RD Feedstock'!E$3*'RD Plant List'!AC$5</f>
        <v>9.21875</v>
      </c>
      <c r="F255" s="299">
        <f>'RD Plant List'!$D257/12*'RD Feedstock'!F$3*'RD Plant List'!AB$5</f>
        <v>2.359375</v>
      </c>
      <c r="G255" s="299">
        <f>'RD Plant List'!$D257/12*'RD Feedstock'!G$3*'RD Plant List'!AC$5</f>
        <v>0.78125</v>
      </c>
      <c r="H255" s="299">
        <f>'RD Plant List'!$E257/12*'RD Feedstock'!H$3*'RD Plant List'!AB$5</f>
        <v>138.41666666666666</v>
      </c>
      <c r="I255" s="299">
        <f>'RD Plant List'!$F257/12*'RD Feedstock'!I$3*'RD Plant List'!AB$5</f>
        <v>20.762499999999999</v>
      </c>
      <c r="J255" s="299">
        <f>'RD Plant List'!$F257/12*'RD Feedstock'!J$3*'RD Plant List'!AC$5</f>
        <v>6.875</v>
      </c>
    </row>
    <row r="256" spans="1:10" ht="18">
      <c r="A256" s="293">
        <v>51502</v>
      </c>
      <c r="B256" s="299">
        <f>'RD Plant List'!$B258/12*'RD Feedstock'!B$3*'RD Plant List'!AB$5</f>
        <v>59.770833333333336</v>
      </c>
      <c r="C256" s="299">
        <f>'RD Plant List'!$B258/12*'RD Feedstock'!C$3*'RD Plant List'!AC$5</f>
        <v>3.1250000000000004</v>
      </c>
      <c r="D256" s="299">
        <f>'RD Plant List'!$C258/12*'RD Feedstock'!D$3*'RD Plant List'!AB$5</f>
        <v>176.32395833333331</v>
      </c>
      <c r="E256" s="299">
        <f>'RD Plant List'!$C258/12*'RD Feedstock'!E$3*'RD Plant List'!AC$5</f>
        <v>9.21875</v>
      </c>
      <c r="F256" s="299">
        <f>'RD Plant List'!$D258/12*'RD Feedstock'!F$3*'RD Plant List'!AB$5</f>
        <v>2.359375</v>
      </c>
      <c r="G256" s="299">
        <f>'RD Plant List'!$D258/12*'RD Feedstock'!G$3*'RD Plant List'!AC$5</f>
        <v>0.78125</v>
      </c>
      <c r="H256" s="299">
        <f>'RD Plant List'!$E258/12*'RD Feedstock'!H$3*'RD Plant List'!AB$5</f>
        <v>138.41666666666666</v>
      </c>
      <c r="I256" s="299">
        <f>'RD Plant List'!$F258/12*'RD Feedstock'!I$3*'RD Plant List'!AB$5</f>
        <v>20.762499999999999</v>
      </c>
      <c r="J256" s="299">
        <f>'RD Plant List'!$F258/12*'RD Feedstock'!J$3*'RD Plant List'!AC$5</f>
        <v>6.875</v>
      </c>
    </row>
    <row r="257" spans="1:10" ht="18">
      <c r="A257" s="293">
        <v>51533</v>
      </c>
      <c r="B257" s="299">
        <f>'RD Plant List'!$B259/12*'RD Feedstock'!B$3*'RD Plant List'!AB$5</f>
        <v>59.770833333333336</v>
      </c>
      <c r="C257" s="299">
        <f>'RD Plant List'!$B259/12*'RD Feedstock'!C$3*'RD Plant List'!AC$5</f>
        <v>3.1250000000000004</v>
      </c>
      <c r="D257" s="299">
        <f>'RD Plant List'!$C259/12*'RD Feedstock'!D$3*'RD Plant List'!AB$5</f>
        <v>176.32395833333331</v>
      </c>
      <c r="E257" s="299">
        <f>'RD Plant List'!$C259/12*'RD Feedstock'!E$3*'RD Plant List'!AC$5</f>
        <v>9.21875</v>
      </c>
      <c r="F257" s="299">
        <f>'RD Plant List'!$D259/12*'RD Feedstock'!F$3*'RD Plant List'!AB$5</f>
        <v>2.359375</v>
      </c>
      <c r="G257" s="299">
        <f>'RD Plant List'!$D259/12*'RD Feedstock'!G$3*'RD Plant List'!AC$5</f>
        <v>0.78125</v>
      </c>
      <c r="H257" s="299">
        <f>'RD Plant List'!$E259/12*'RD Feedstock'!H$3*'RD Plant List'!AB$5</f>
        <v>138.41666666666666</v>
      </c>
      <c r="I257" s="299">
        <f>'RD Plant List'!$F259/12*'RD Feedstock'!I$3*'RD Plant List'!AB$5</f>
        <v>20.762499999999999</v>
      </c>
      <c r="J257" s="299">
        <f>'RD Plant List'!$F259/12*'RD Feedstock'!J$3*'RD Plant List'!AC$5</f>
        <v>6.875</v>
      </c>
    </row>
    <row r="258" spans="1:10" ht="18">
      <c r="A258" s="293">
        <v>51561</v>
      </c>
      <c r="B258" s="299">
        <f>'RD Plant List'!$B260/12*'RD Feedstock'!B$3*'RD Plant List'!AB$5</f>
        <v>59.770833333333336</v>
      </c>
      <c r="C258" s="299">
        <f>'RD Plant List'!$B260/12*'RD Feedstock'!C$3*'RD Plant List'!AC$5</f>
        <v>3.1250000000000004</v>
      </c>
      <c r="D258" s="299">
        <f>'RD Plant List'!$C260/12*'RD Feedstock'!D$3*'RD Plant List'!AB$5</f>
        <v>176.32395833333331</v>
      </c>
      <c r="E258" s="299">
        <f>'RD Plant List'!$C260/12*'RD Feedstock'!E$3*'RD Plant List'!AC$5</f>
        <v>9.21875</v>
      </c>
      <c r="F258" s="299">
        <f>'RD Plant List'!$D260/12*'RD Feedstock'!F$3*'RD Plant List'!AB$5</f>
        <v>2.359375</v>
      </c>
      <c r="G258" s="299">
        <f>'RD Plant List'!$D260/12*'RD Feedstock'!G$3*'RD Plant List'!AC$5</f>
        <v>0.78125</v>
      </c>
      <c r="H258" s="299">
        <f>'RD Plant List'!$E260/12*'RD Feedstock'!H$3*'RD Plant List'!AB$5</f>
        <v>138.41666666666666</v>
      </c>
      <c r="I258" s="299">
        <f>'RD Plant List'!$F260/12*'RD Feedstock'!I$3*'RD Plant List'!AB$5</f>
        <v>20.762499999999999</v>
      </c>
      <c r="J258" s="299">
        <f>'RD Plant List'!$F260/12*'RD Feedstock'!J$3*'RD Plant List'!AC$5</f>
        <v>6.875</v>
      </c>
    </row>
    <row r="259" spans="1:10" ht="18">
      <c r="A259" s="293">
        <v>51592</v>
      </c>
      <c r="B259" s="299">
        <f>'RD Plant List'!$B261/12*'RD Feedstock'!B$3*'RD Plant List'!AB$5</f>
        <v>59.770833333333336</v>
      </c>
      <c r="C259" s="299">
        <f>'RD Plant List'!$B261/12*'RD Feedstock'!C$3*'RD Plant List'!AC$5</f>
        <v>3.1250000000000004</v>
      </c>
      <c r="D259" s="299">
        <f>'RD Plant List'!$C261/12*'RD Feedstock'!D$3*'RD Plant List'!AB$5</f>
        <v>176.32395833333331</v>
      </c>
      <c r="E259" s="299">
        <f>'RD Plant List'!$C261/12*'RD Feedstock'!E$3*'RD Plant List'!AC$5</f>
        <v>9.21875</v>
      </c>
      <c r="F259" s="299">
        <f>'RD Plant List'!$D261/12*'RD Feedstock'!F$3*'RD Plant List'!AB$5</f>
        <v>2.359375</v>
      </c>
      <c r="G259" s="299">
        <f>'RD Plant List'!$D261/12*'RD Feedstock'!G$3*'RD Plant List'!AC$5</f>
        <v>0.78125</v>
      </c>
      <c r="H259" s="299">
        <f>'RD Plant List'!$E261/12*'RD Feedstock'!H$3*'RD Plant List'!AB$5</f>
        <v>138.41666666666666</v>
      </c>
      <c r="I259" s="299">
        <f>'RD Plant List'!$F261/12*'RD Feedstock'!I$3*'RD Plant List'!AB$5</f>
        <v>20.762499999999999</v>
      </c>
      <c r="J259" s="299">
        <f>'RD Plant List'!$F261/12*'RD Feedstock'!J$3*'RD Plant List'!AC$5</f>
        <v>6.875</v>
      </c>
    </row>
    <row r="260" spans="1:10" ht="18">
      <c r="A260" s="293">
        <v>51622</v>
      </c>
      <c r="B260" s="299">
        <f>'RD Plant List'!$B262/12*'RD Feedstock'!B$3*'RD Plant List'!AB$5</f>
        <v>59.770833333333336</v>
      </c>
      <c r="C260" s="299">
        <f>'RD Plant List'!$B262/12*'RD Feedstock'!C$3*'RD Plant List'!AC$5</f>
        <v>3.1250000000000004</v>
      </c>
      <c r="D260" s="299">
        <f>'RD Plant List'!$C262/12*'RD Feedstock'!D$3*'RD Plant List'!AB$5</f>
        <v>176.32395833333331</v>
      </c>
      <c r="E260" s="299">
        <f>'RD Plant List'!$C262/12*'RD Feedstock'!E$3*'RD Plant List'!AC$5</f>
        <v>9.21875</v>
      </c>
      <c r="F260" s="299">
        <f>'RD Plant List'!$D262/12*'RD Feedstock'!F$3*'RD Plant List'!AB$5</f>
        <v>2.359375</v>
      </c>
      <c r="G260" s="299">
        <f>'RD Plant List'!$D262/12*'RD Feedstock'!G$3*'RD Plant List'!AC$5</f>
        <v>0.78125</v>
      </c>
      <c r="H260" s="299">
        <f>'RD Plant List'!$E262/12*'RD Feedstock'!H$3*'RD Plant List'!AB$5</f>
        <v>138.41666666666666</v>
      </c>
      <c r="I260" s="299">
        <f>'RD Plant List'!$F262/12*'RD Feedstock'!I$3*'RD Plant List'!AB$5</f>
        <v>20.762499999999999</v>
      </c>
      <c r="J260" s="299">
        <f>'RD Plant List'!$F262/12*'RD Feedstock'!J$3*'RD Plant List'!AC$5</f>
        <v>6.875</v>
      </c>
    </row>
    <row r="261" spans="1:10" ht="18">
      <c r="A261" s="293">
        <v>51653</v>
      </c>
      <c r="B261" s="299">
        <f>'RD Plant List'!$B263/12*'RD Feedstock'!B$3*'RD Plant List'!AB$5</f>
        <v>59.770833333333336</v>
      </c>
      <c r="C261" s="299">
        <f>'RD Plant List'!$B263/12*'RD Feedstock'!C$3*'RD Plant List'!AC$5</f>
        <v>3.1250000000000004</v>
      </c>
      <c r="D261" s="299">
        <f>'RD Plant List'!$C263/12*'RD Feedstock'!D$3*'RD Plant List'!AB$5</f>
        <v>176.32395833333331</v>
      </c>
      <c r="E261" s="299">
        <f>'RD Plant List'!$C263/12*'RD Feedstock'!E$3*'RD Plant List'!AC$5</f>
        <v>9.21875</v>
      </c>
      <c r="F261" s="299">
        <f>'RD Plant List'!$D263/12*'RD Feedstock'!F$3*'RD Plant List'!AB$5</f>
        <v>2.359375</v>
      </c>
      <c r="G261" s="299">
        <f>'RD Plant List'!$D263/12*'RD Feedstock'!G$3*'RD Plant List'!AC$5</f>
        <v>0.78125</v>
      </c>
      <c r="H261" s="299">
        <f>'RD Plant List'!$E263/12*'RD Feedstock'!H$3*'RD Plant List'!AB$5</f>
        <v>138.41666666666666</v>
      </c>
      <c r="I261" s="299">
        <f>'RD Plant List'!$F263/12*'RD Feedstock'!I$3*'RD Plant List'!AB$5</f>
        <v>20.762499999999999</v>
      </c>
      <c r="J261" s="299">
        <f>'RD Plant List'!$F263/12*'RD Feedstock'!J$3*'RD Plant List'!AC$5</f>
        <v>6.875</v>
      </c>
    </row>
    <row r="262" spans="1:10" ht="18">
      <c r="A262" s="293">
        <v>51683</v>
      </c>
      <c r="B262" s="299">
        <f>'RD Plant List'!$B264/12*'RD Feedstock'!B$3*'RD Plant List'!AB$5</f>
        <v>59.770833333333336</v>
      </c>
      <c r="C262" s="299">
        <f>'RD Plant List'!$B264/12*'RD Feedstock'!C$3*'RD Plant List'!AC$5</f>
        <v>3.1250000000000004</v>
      </c>
      <c r="D262" s="299">
        <f>'RD Plant List'!$C264/12*'RD Feedstock'!D$3*'RD Plant List'!AB$5</f>
        <v>176.32395833333331</v>
      </c>
      <c r="E262" s="299">
        <f>'RD Plant List'!$C264/12*'RD Feedstock'!E$3*'RD Plant List'!AC$5</f>
        <v>9.21875</v>
      </c>
      <c r="F262" s="299">
        <f>'RD Plant List'!$D264/12*'RD Feedstock'!F$3*'RD Plant List'!AB$5</f>
        <v>2.359375</v>
      </c>
      <c r="G262" s="299">
        <f>'RD Plant List'!$D264/12*'RD Feedstock'!G$3*'RD Plant List'!AC$5</f>
        <v>0.78125</v>
      </c>
      <c r="H262" s="299">
        <f>'RD Plant List'!$E264/12*'RD Feedstock'!H$3*'RD Plant List'!AB$5</f>
        <v>138.41666666666666</v>
      </c>
      <c r="I262" s="299">
        <f>'RD Plant List'!$F264/12*'RD Feedstock'!I$3*'RD Plant List'!AB$5</f>
        <v>20.762499999999999</v>
      </c>
      <c r="J262" s="299">
        <f>'RD Plant List'!$F264/12*'RD Feedstock'!J$3*'RD Plant List'!AC$5</f>
        <v>6.875</v>
      </c>
    </row>
    <row r="263" spans="1:10" ht="18">
      <c r="A263" s="293">
        <v>51714</v>
      </c>
      <c r="B263" s="299">
        <f>'RD Plant List'!$B265/12*'RD Feedstock'!B$3*'RD Plant List'!AB$5</f>
        <v>59.770833333333336</v>
      </c>
      <c r="C263" s="299">
        <f>'RD Plant List'!$B265/12*'RD Feedstock'!C$3*'RD Plant List'!AC$5</f>
        <v>3.1250000000000004</v>
      </c>
      <c r="D263" s="299">
        <f>'RD Plant List'!$C265/12*'RD Feedstock'!D$3*'RD Plant List'!AB$5</f>
        <v>176.32395833333331</v>
      </c>
      <c r="E263" s="299">
        <f>'RD Plant List'!$C265/12*'RD Feedstock'!E$3*'RD Plant List'!AC$5</f>
        <v>9.21875</v>
      </c>
      <c r="F263" s="299">
        <f>'RD Plant List'!$D265/12*'RD Feedstock'!F$3*'RD Plant List'!AB$5</f>
        <v>2.359375</v>
      </c>
      <c r="G263" s="299">
        <f>'RD Plant List'!$D265/12*'RD Feedstock'!G$3*'RD Plant List'!AC$5</f>
        <v>0.78125</v>
      </c>
      <c r="H263" s="299">
        <f>'RD Plant List'!$E265/12*'RD Feedstock'!H$3*'RD Plant List'!AB$5</f>
        <v>138.41666666666666</v>
      </c>
      <c r="I263" s="299">
        <f>'RD Plant List'!$F265/12*'RD Feedstock'!I$3*'RD Plant List'!AB$5</f>
        <v>20.762499999999999</v>
      </c>
      <c r="J263" s="299">
        <f>'RD Plant List'!$F265/12*'RD Feedstock'!J$3*'RD Plant List'!AC$5</f>
        <v>6.875</v>
      </c>
    </row>
    <row r="264" spans="1:10" ht="18">
      <c r="A264" s="293">
        <v>51745</v>
      </c>
      <c r="B264" s="299">
        <f>'RD Plant List'!$B266/12*'RD Feedstock'!B$3*'RD Plant List'!AB$5</f>
        <v>59.770833333333336</v>
      </c>
      <c r="C264" s="299">
        <f>'RD Plant List'!$B266/12*'RD Feedstock'!C$3*'RD Plant List'!AC$5</f>
        <v>3.1250000000000004</v>
      </c>
      <c r="D264" s="299">
        <f>'RD Plant List'!$C266/12*'RD Feedstock'!D$3*'RD Plant List'!AB$5</f>
        <v>176.32395833333331</v>
      </c>
      <c r="E264" s="299">
        <f>'RD Plant List'!$C266/12*'RD Feedstock'!E$3*'RD Plant List'!AC$5</f>
        <v>9.21875</v>
      </c>
      <c r="F264" s="299">
        <f>'RD Plant List'!$D266/12*'RD Feedstock'!F$3*'RD Plant List'!AB$5</f>
        <v>2.359375</v>
      </c>
      <c r="G264" s="299">
        <f>'RD Plant List'!$D266/12*'RD Feedstock'!G$3*'RD Plant List'!AC$5</f>
        <v>0.78125</v>
      </c>
      <c r="H264" s="299">
        <f>'RD Plant List'!$E266/12*'RD Feedstock'!H$3*'RD Plant List'!AB$5</f>
        <v>138.41666666666666</v>
      </c>
      <c r="I264" s="299">
        <f>'RD Plant List'!$F266/12*'RD Feedstock'!I$3*'RD Plant List'!AB$5</f>
        <v>20.762499999999999</v>
      </c>
      <c r="J264" s="299">
        <f>'RD Plant List'!$F266/12*'RD Feedstock'!J$3*'RD Plant List'!AC$5</f>
        <v>6.875</v>
      </c>
    </row>
    <row r="265" spans="1:10" ht="18">
      <c r="A265" s="293">
        <v>51775</v>
      </c>
      <c r="B265" s="299">
        <f>'RD Plant List'!$B267/12*'RD Feedstock'!B$3*'RD Plant List'!AB$5</f>
        <v>59.770833333333336</v>
      </c>
      <c r="C265" s="299">
        <f>'RD Plant List'!$B267/12*'RD Feedstock'!C$3*'RD Plant List'!AC$5</f>
        <v>3.1250000000000004</v>
      </c>
      <c r="D265" s="299">
        <f>'RD Plant List'!$C267/12*'RD Feedstock'!D$3*'RD Plant List'!AB$5</f>
        <v>176.32395833333331</v>
      </c>
      <c r="E265" s="299">
        <f>'RD Plant List'!$C267/12*'RD Feedstock'!E$3*'RD Plant List'!AC$5</f>
        <v>9.21875</v>
      </c>
      <c r="F265" s="299">
        <f>'RD Plant List'!$D267/12*'RD Feedstock'!F$3*'RD Plant List'!AB$5</f>
        <v>2.359375</v>
      </c>
      <c r="G265" s="299">
        <f>'RD Plant List'!$D267/12*'RD Feedstock'!G$3*'RD Plant List'!AC$5</f>
        <v>0.78125</v>
      </c>
      <c r="H265" s="299">
        <f>'RD Plant List'!$E267/12*'RD Feedstock'!H$3*'RD Plant List'!AB$5</f>
        <v>138.41666666666666</v>
      </c>
      <c r="I265" s="299">
        <f>'RD Plant List'!$F267/12*'RD Feedstock'!I$3*'RD Plant List'!AB$5</f>
        <v>20.762499999999999</v>
      </c>
      <c r="J265" s="299">
        <f>'RD Plant List'!$F267/12*'RD Feedstock'!J$3*'RD Plant List'!AC$5</f>
        <v>6.875</v>
      </c>
    </row>
    <row r="266" spans="1:10" ht="18">
      <c r="A266" s="293">
        <v>51806</v>
      </c>
      <c r="B266" s="299">
        <f>'RD Plant List'!$B268/12*'RD Feedstock'!B$3*'RD Plant List'!AB$5</f>
        <v>59.770833333333336</v>
      </c>
      <c r="C266" s="299">
        <f>'RD Plant List'!$B268/12*'RD Feedstock'!C$3*'RD Plant List'!AC$5</f>
        <v>3.1250000000000004</v>
      </c>
      <c r="D266" s="299">
        <f>'RD Plant List'!$C268/12*'RD Feedstock'!D$3*'RD Plant List'!AB$5</f>
        <v>176.32395833333331</v>
      </c>
      <c r="E266" s="299">
        <f>'RD Plant List'!$C268/12*'RD Feedstock'!E$3*'RD Plant List'!AC$5</f>
        <v>9.21875</v>
      </c>
      <c r="F266" s="299">
        <f>'RD Plant List'!$D268/12*'RD Feedstock'!F$3*'RD Plant List'!AB$5</f>
        <v>2.359375</v>
      </c>
      <c r="G266" s="299">
        <f>'RD Plant List'!$D268/12*'RD Feedstock'!G$3*'RD Plant List'!AC$5</f>
        <v>0.78125</v>
      </c>
      <c r="H266" s="299">
        <f>'RD Plant List'!$E268/12*'RD Feedstock'!H$3*'RD Plant List'!AB$5</f>
        <v>138.41666666666666</v>
      </c>
      <c r="I266" s="299">
        <f>'RD Plant List'!$F268/12*'RD Feedstock'!I$3*'RD Plant List'!AB$5</f>
        <v>20.762499999999999</v>
      </c>
      <c r="J266" s="299">
        <f>'RD Plant List'!$F268/12*'RD Feedstock'!J$3*'RD Plant List'!AC$5</f>
        <v>6.875</v>
      </c>
    </row>
    <row r="267" spans="1:10" ht="18">
      <c r="A267" s="293">
        <v>51836</v>
      </c>
      <c r="B267" s="299">
        <f>'RD Plant List'!$B269/12*'RD Feedstock'!B$3*'RD Plant List'!AB$5</f>
        <v>59.770833333333336</v>
      </c>
      <c r="C267" s="299">
        <f>'RD Plant List'!$B269/12*'RD Feedstock'!C$3*'RD Plant List'!AC$5</f>
        <v>3.1250000000000004</v>
      </c>
      <c r="D267" s="299">
        <f>'RD Plant List'!$C269/12*'RD Feedstock'!D$3*'RD Plant List'!AB$5</f>
        <v>176.32395833333331</v>
      </c>
      <c r="E267" s="299">
        <f>'RD Plant List'!$C269/12*'RD Feedstock'!E$3*'RD Plant List'!AC$5</f>
        <v>9.21875</v>
      </c>
      <c r="F267" s="299">
        <f>'RD Plant List'!$D269/12*'RD Feedstock'!F$3*'RD Plant List'!AB$5</f>
        <v>2.359375</v>
      </c>
      <c r="G267" s="299">
        <f>'RD Plant List'!$D269/12*'RD Feedstock'!G$3*'RD Plant List'!AC$5</f>
        <v>0.78125</v>
      </c>
      <c r="H267" s="299">
        <f>'RD Plant List'!$E269/12*'RD Feedstock'!H$3*'RD Plant List'!AB$5</f>
        <v>138.41666666666666</v>
      </c>
      <c r="I267" s="299">
        <f>'RD Plant List'!$F269/12*'RD Feedstock'!I$3*'RD Plant List'!AB$5</f>
        <v>20.762499999999999</v>
      </c>
      <c r="J267" s="299">
        <f>'RD Plant List'!$F269/12*'RD Feedstock'!J$3*'RD Plant List'!AC$5</f>
        <v>6.875</v>
      </c>
    </row>
    <row r="268" spans="1:10" ht="18">
      <c r="A268" s="293">
        <v>51867</v>
      </c>
      <c r="B268" s="299">
        <f>'RD Plant List'!$B270/12*'RD Feedstock'!B$3*'RD Plant List'!AB$5</f>
        <v>59.770833333333336</v>
      </c>
      <c r="C268" s="299">
        <f>'RD Plant List'!$B270/12*'RD Feedstock'!C$3*'RD Plant List'!AC$5</f>
        <v>3.1250000000000004</v>
      </c>
      <c r="D268" s="299">
        <f>'RD Plant List'!$C270/12*'RD Feedstock'!D$3*'RD Plant List'!AB$5</f>
        <v>176.32395833333331</v>
      </c>
      <c r="E268" s="299">
        <f>'RD Plant List'!$C270/12*'RD Feedstock'!E$3*'RD Plant List'!AC$5</f>
        <v>9.21875</v>
      </c>
      <c r="F268" s="299">
        <f>'RD Plant List'!$D270/12*'RD Feedstock'!F$3*'RD Plant List'!AB$5</f>
        <v>2.359375</v>
      </c>
      <c r="G268" s="299">
        <f>'RD Plant List'!$D270/12*'RD Feedstock'!G$3*'RD Plant List'!AC$5</f>
        <v>0.78125</v>
      </c>
      <c r="H268" s="299">
        <f>'RD Plant List'!$E270/12*'RD Feedstock'!H$3*'RD Plant List'!AB$5</f>
        <v>138.41666666666666</v>
      </c>
      <c r="I268" s="299">
        <f>'RD Plant List'!$F270/12*'RD Feedstock'!I$3*'RD Plant List'!AB$5</f>
        <v>20.762499999999999</v>
      </c>
      <c r="J268" s="299">
        <f>'RD Plant List'!$F270/12*'RD Feedstock'!J$3*'RD Plant List'!AC$5</f>
        <v>6.875</v>
      </c>
    </row>
    <row r="269" spans="1:10" ht="18">
      <c r="A269" s="293">
        <v>51898</v>
      </c>
      <c r="B269" s="299">
        <f>'RD Plant List'!$B271/12*'RD Feedstock'!B$3*'RD Plant List'!AB$5</f>
        <v>59.770833333333336</v>
      </c>
      <c r="C269" s="299">
        <f>'RD Plant List'!$B271/12*'RD Feedstock'!C$3*'RD Plant List'!AC$5</f>
        <v>3.1250000000000004</v>
      </c>
      <c r="D269" s="299">
        <f>'RD Plant List'!$C271/12*'RD Feedstock'!D$3*'RD Plant List'!AB$5</f>
        <v>176.32395833333331</v>
      </c>
      <c r="E269" s="299">
        <f>'RD Plant List'!$C271/12*'RD Feedstock'!E$3*'RD Plant List'!AC$5</f>
        <v>9.21875</v>
      </c>
      <c r="F269" s="299">
        <f>'RD Plant List'!$D271/12*'RD Feedstock'!F$3*'RD Plant List'!AB$5</f>
        <v>2.359375</v>
      </c>
      <c r="G269" s="299">
        <f>'RD Plant List'!$D271/12*'RD Feedstock'!G$3*'RD Plant List'!AC$5</f>
        <v>0.78125</v>
      </c>
      <c r="H269" s="299">
        <f>'RD Plant List'!$E271/12*'RD Feedstock'!H$3*'RD Plant List'!AB$5</f>
        <v>138.41666666666666</v>
      </c>
      <c r="I269" s="299">
        <f>'RD Plant List'!$F271/12*'RD Feedstock'!I$3*'RD Plant List'!AB$5</f>
        <v>20.762499999999999</v>
      </c>
      <c r="J269" s="299">
        <f>'RD Plant List'!$F271/12*'RD Feedstock'!J$3*'RD Plant List'!AC$5</f>
        <v>6.875</v>
      </c>
    </row>
    <row r="270" spans="1:10" ht="18">
      <c r="A270" s="293">
        <v>51926</v>
      </c>
      <c r="B270" s="299">
        <f>'RD Plant List'!$B272/12*'RD Feedstock'!B$3*'RD Plant List'!AB$5</f>
        <v>59.770833333333336</v>
      </c>
      <c r="C270" s="299">
        <f>'RD Plant List'!$B272/12*'RD Feedstock'!C$3*'RD Plant List'!AC$5</f>
        <v>3.1250000000000004</v>
      </c>
      <c r="D270" s="299">
        <f>'RD Plant List'!$C272/12*'RD Feedstock'!D$3*'RD Plant List'!AB$5</f>
        <v>176.32395833333331</v>
      </c>
      <c r="E270" s="299">
        <f>'RD Plant List'!$C272/12*'RD Feedstock'!E$3*'RD Plant List'!AC$5</f>
        <v>9.21875</v>
      </c>
      <c r="F270" s="299">
        <f>'RD Plant List'!$D272/12*'RD Feedstock'!F$3*'RD Plant List'!AB$5</f>
        <v>2.359375</v>
      </c>
      <c r="G270" s="299">
        <f>'RD Plant List'!$D272/12*'RD Feedstock'!G$3*'RD Plant List'!AC$5</f>
        <v>0.78125</v>
      </c>
      <c r="H270" s="299">
        <f>'RD Plant List'!$E272/12*'RD Feedstock'!H$3*'RD Plant List'!AB$5</f>
        <v>138.41666666666666</v>
      </c>
      <c r="I270" s="299">
        <f>'RD Plant List'!$F272/12*'RD Feedstock'!I$3*'RD Plant List'!AB$5</f>
        <v>20.762499999999999</v>
      </c>
      <c r="J270" s="299">
        <f>'RD Plant List'!$F272/12*'RD Feedstock'!J$3*'RD Plant List'!AC$5</f>
        <v>6.875</v>
      </c>
    </row>
    <row r="271" spans="1:10" ht="18">
      <c r="A271" s="293">
        <v>51957</v>
      </c>
      <c r="B271" s="299">
        <f>'RD Plant List'!$B273/12*'RD Feedstock'!B$3*'RD Plant List'!AB$5</f>
        <v>59.770833333333336</v>
      </c>
      <c r="C271" s="299">
        <f>'RD Plant List'!$B273/12*'RD Feedstock'!C$3*'RD Plant List'!AC$5</f>
        <v>3.1250000000000004</v>
      </c>
      <c r="D271" s="299">
        <f>'RD Plant List'!$C273/12*'RD Feedstock'!D$3*'RD Plant List'!AB$5</f>
        <v>176.32395833333331</v>
      </c>
      <c r="E271" s="299">
        <f>'RD Plant List'!$C273/12*'RD Feedstock'!E$3*'RD Plant List'!AC$5</f>
        <v>9.21875</v>
      </c>
      <c r="F271" s="299">
        <f>'RD Plant List'!$D273/12*'RD Feedstock'!F$3*'RD Plant List'!AB$5</f>
        <v>2.359375</v>
      </c>
      <c r="G271" s="299">
        <f>'RD Plant List'!$D273/12*'RD Feedstock'!G$3*'RD Plant List'!AC$5</f>
        <v>0.78125</v>
      </c>
      <c r="H271" s="299">
        <f>'RD Plant List'!$E273/12*'RD Feedstock'!H$3*'RD Plant List'!AB$5</f>
        <v>138.41666666666666</v>
      </c>
      <c r="I271" s="299">
        <f>'RD Plant List'!$F273/12*'RD Feedstock'!I$3*'RD Plant List'!AB$5</f>
        <v>20.762499999999999</v>
      </c>
      <c r="J271" s="299">
        <f>'RD Plant List'!$F273/12*'RD Feedstock'!J$3*'RD Plant List'!AC$5</f>
        <v>6.875</v>
      </c>
    </row>
    <row r="272" spans="1:10" ht="18">
      <c r="A272" s="293">
        <v>51987</v>
      </c>
      <c r="B272" s="299">
        <f>'RD Plant List'!$B274/12*'RD Feedstock'!B$3*'RD Plant List'!AB$5</f>
        <v>59.770833333333336</v>
      </c>
      <c r="C272" s="299">
        <f>'RD Plant List'!$B274/12*'RD Feedstock'!C$3*'RD Plant List'!AC$5</f>
        <v>3.1250000000000004</v>
      </c>
      <c r="D272" s="299">
        <f>'RD Plant List'!$C274/12*'RD Feedstock'!D$3*'RD Plant List'!AB$5</f>
        <v>176.32395833333331</v>
      </c>
      <c r="E272" s="299">
        <f>'RD Plant List'!$C274/12*'RD Feedstock'!E$3*'RD Plant List'!AC$5</f>
        <v>9.21875</v>
      </c>
      <c r="F272" s="299">
        <f>'RD Plant List'!$D274/12*'RD Feedstock'!F$3*'RD Plant List'!AB$5</f>
        <v>2.359375</v>
      </c>
      <c r="G272" s="299">
        <f>'RD Plant List'!$D274/12*'RD Feedstock'!G$3*'RD Plant List'!AC$5</f>
        <v>0.78125</v>
      </c>
      <c r="H272" s="299">
        <f>'RD Plant List'!$E274/12*'RD Feedstock'!H$3*'RD Plant List'!AB$5</f>
        <v>138.41666666666666</v>
      </c>
      <c r="I272" s="299">
        <f>'RD Plant List'!$F274/12*'RD Feedstock'!I$3*'RD Plant List'!AB$5</f>
        <v>20.762499999999999</v>
      </c>
      <c r="J272" s="299">
        <f>'RD Plant List'!$F274/12*'RD Feedstock'!J$3*'RD Plant List'!AC$5</f>
        <v>6.875</v>
      </c>
    </row>
    <row r="273" spans="1:10" ht="18">
      <c r="A273" s="293">
        <v>52018</v>
      </c>
      <c r="B273" s="299">
        <f>'RD Plant List'!$B275/12*'RD Feedstock'!B$3*'RD Plant List'!AB$5</f>
        <v>59.770833333333336</v>
      </c>
      <c r="C273" s="299">
        <f>'RD Plant List'!$B275/12*'RD Feedstock'!C$3*'RD Plant List'!AC$5</f>
        <v>3.1250000000000004</v>
      </c>
      <c r="D273" s="299">
        <f>'RD Plant List'!$C275/12*'RD Feedstock'!D$3*'RD Plant List'!AB$5</f>
        <v>176.32395833333331</v>
      </c>
      <c r="E273" s="299">
        <f>'RD Plant List'!$C275/12*'RD Feedstock'!E$3*'RD Plant List'!AC$5</f>
        <v>9.21875</v>
      </c>
      <c r="F273" s="299">
        <f>'RD Plant List'!$D275/12*'RD Feedstock'!F$3*'RD Plant List'!AB$5</f>
        <v>2.359375</v>
      </c>
      <c r="G273" s="299">
        <f>'RD Plant List'!$D275/12*'RD Feedstock'!G$3*'RD Plant List'!AC$5</f>
        <v>0.78125</v>
      </c>
      <c r="H273" s="299">
        <f>'RD Plant List'!$E275/12*'RD Feedstock'!H$3*'RD Plant List'!AB$5</f>
        <v>138.41666666666666</v>
      </c>
      <c r="I273" s="299">
        <f>'RD Plant List'!$F275/12*'RD Feedstock'!I$3*'RD Plant List'!AB$5</f>
        <v>20.762499999999999</v>
      </c>
      <c r="J273" s="299">
        <f>'RD Plant List'!$F275/12*'RD Feedstock'!J$3*'RD Plant List'!AC$5</f>
        <v>6.875</v>
      </c>
    </row>
    <row r="274" spans="1:10" ht="18">
      <c r="A274" s="293">
        <v>52048</v>
      </c>
      <c r="B274" s="299">
        <f>'RD Plant List'!$B276/12*'RD Feedstock'!B$3*'RD Plant List'!AB$5</f>
        <v>59.770833333333336</v>
      </c>
      <c r="C274" s="299">
        <f>'RD Plant List'!$B276/12*'RD Feedstock'!C$3*'RD Plant List'!AC$5</f>
        <v>3.1250000000000004</v>
      </c>
      <c r="D274" s="299">
        <f>'RD Plant List'!$C276/12*'RD Feedstock'!D$3*'RD Plant List'!AB$5</f>
        <v>176.32395833333331</v>
      </c>
      <c r="E274" s="299">
        <f>'RD Plant List'!$C276/12*'RD Feedstock'!E$3*'RD Plant List'!AC$5</f>
        <v>9.21875</v>
      </c>
      <c r="F274" s="299">
        <f>'RD Plant List'!$D276/12*'RD Feedstock'!F$3*'RD Plant List'!AB$5</f>
        <v>2.359375</v>
      </c>
      <c r="G274" s="299">
        <f>'RD Plant List'!$D276/12*'RD Feedstock'!G$3*'RD Plant List'!AC$5</f>
        <v>0.78125</v>
      </c>
      <c r="H274" s="299">
        <f>'RD Plant List'!$E276/12*'RD Feedstock'!H$3*'RD Plant List'!AB$5</f>
        <v>138.41666666666666</v>
      </c>
      <c r="I274" s="299">
        <f>'RD Plant List'!$F276/12*'RD Feedstock'!I$3*'RD Plant List'!AB$5</f>
        <v>20.762499999999999</v>
      </c>
      <c r="J274" s="299">
        <f>'RD Plant List'!$F276/12*'RD Feedstock'!J$3*'RD Plant List'!AC$5</f>
        <v>6.875</v>
      </c>
    </row>
    <row r="275" spans="1:10" ht="18">
      <c r="A275" s="293">
        <v>52079</v>
      </c>
      <c r="B275" s="299">
        <f>'RD Plant List'!$B277/12*'RD Feedstock'!B$3*'RD Plant List'!AB$5</f>
        <v>59.770833333333336</v>
      </c>
      <c r="C275" s="299">
        <f>'RD Plant List'!$B277/12*'RD Feedstock'!C$3*'RD Plant List'!AC$5</f>
        <v>3.1250000000000004</v>
      </c>
      <c r="D275" s="299">
        <f>'RD Plant List'!$C277/12*'RD Feedstock'!D$3*'RD Plant List'!AB$5</f>
        <v>176.32395833333331</v>
      </c>
      <c r="E275" s="299">
        <f>'RD Plant List'!$C277/12*'RD Feedstock'!E$3*'RD Plant List'!AC$5</f>
        <v>9.21875</v>
      </c>
      <c r="F275" s="299">
        <f>'RD Plant List'!$D277/12*'RD Feedstock'!F$3*'RD Plant List'!AB$5</f>
        <v>2.359375</v>
      </c>
      <c r="G275" s="299">
        <f>'RD Plant List'!$D277/12*'RD Feedstock'!G$3*'RD Plant List'!AC$5</f>
        <v>0.78125</v>
      </c>
      <c r="H275" s="299">
        <f>'RD Plant List'!$E277/12*'RD Feedstock'!H$3*'RD Plant List'!AB$5</f>
        <v>138.41666666666666</v>
      </c>
      <c r="I275" s="299">
        <f>'RD Plant List'!$F277/12*'RD Feedstock'!I$3*'RD Plant List'!AB$5</f>
        <v>20.762499999999999</v>
      </c>
      <c r="J275" s="299">
        <f>'RD Plant List'!$F277/12*'RD Feedstock'!J$3*'RD Plant List'!AC$5</f>
        <v>6.875</v>
      </c>
    </row>
    <row r="276" spans="1:10" ht="18">
      <c r="A276" s="293">
        <v>52110</v>
      </c>
      <c r="B276" s="299">
        <f>'RD Plant List'!$B278/12*'RD Feedstock'!B$3*'RD Plant List'!AB$5</f>
        <v>59.770833333333336</v>
      </c>
      <c r="C276" s="299">
        <f>'RD Plant List'!$B278/12*'RD Feedstock'!C$3*'RD Plant List'!AC$5</f>
        <v>3.1250000000000004</v>
      </c>
      <c r="D276" s="299">
        <f>'RD Plant List'!$C278/12*'RD Feedstock'!D$3*'RD Plant List'!AB$5</f>
        <v>176.32395833333331</v>
      </c>
      <c r="E276" s="299">
        <f>'RD Plant List'!$C278/12*'RD Feedstock'!E$3*'RD Plant List'!AC$5</f>
        <v>9.21875</v>
      </c>
      <c r="F276" s="299">
        <f>'RD Plant List'!$D278/12*'RD Feedstock'!F$3*'RD Plant List'!AB$5</f>
        <v>2.359375</v>
      </c>
      <c r="G276" s="299">
        <f>'RD Plant List'!$D278/12*'RD Feedstock'!G$3*'RD Plant List'!AC$5</f>
        <v>0.78125</v>
      </c>
      <c r="H276" s="299">
        <f>'RD Plant List'!$E278/12*'RD Feedstock'!H$3*'RD Plant List'!AB$5</f>
        <v>138.41666666666666</v>
      </c>
      <c r="I276" s="299">
        <f>'RD Plant List'!$F278/12*'RD Feedstock'!I$3*'RD Plant List'!AB$5</f>
        <v>20.762499999999999</v>
      </c>
      <c r="J276" s="299">
        <f>'RD Plant List'!$F278/12*'RD Feedstock'!J$3*'RD Plant List'!AC$5</f>
        <v>6.875</v>
      </c>
    </row>
    <row r="277" spans="1:10" ht="18">
      <c r="A277" s="293">
        <v>52140</v>
      </c>
      <c r="B277" s="299">
        <f>'RD Plant List'!$B279/12*'RD Feedstock'!B$3*'RD Plant List'!AB$5</f>
        <v>59.770833333333336</v>
      </c>
      <c r="C277" s="299">
        <f>'RD Plant List'!$B279/12*'RD Feedstock'!C$3*'RD Plant List'!AC$5</f>
        <v>3.1250000000000004</v>
      </c>
      <c r="D277" s="299">
        <f>'RD Plant List'!$C279/12*'RD Feedstock'!D$3*'RD Plant List'!AB$5</f>
        <v>176.32395833333331</v>
      </c>
      <c r="E277" s="299">
        <f>'RD Plant List'!$C279/12*'RD Feedstock'!E$3*'RD Plant List'!AC$5</f>
        <v>9.21875</v>
      </c>
      <c r="F277" s="299">
        <f>'RD Plant List'!$D279/12*'RD Feedstock'!F$3*'RD Plant List'!AB$5</f>
        <v>2.359375</v>
      </c>
      <c r="G277" s="299">
        <f>'RD Plant List'!$D279/12*'RD Feedstock'!G$3*'RD Plant List'!AC$5</f>
        <v>0.78125</v>
      </c>
      <c r="H277" s="299">
        <f>'RD Plant List'!$E279/12*'RD Feedstock'!H$3*'RD Plant List'!AB$5</f>
        <v>138.41666666666666</v>
      </c>
      <c r="I277" s="299">
        <f>'RD Plant List'!$F279/12*'RD Feedstock'!I$3*'RD Plant List'!AB$5</f>
        <v>20.762499999999999</v>
      </c>
      <c r="J277" s="299">
        <f>'RD Plant List'!$F279/12*'RD Feedstock'!J$3*'RD Plant List'!AC$5</f>
        <v>6.875</v>
      </c>
    </row>
    <row r="278" spans="1:10" ht="18">
      <c r="A278" s="293">
        <v>52171</v>
      </c>
      <c r="B278" s="299">
        <f>'RD Plant List'!$B280/12*'RD Feedstock'!B$3*'RD Plant List'!AB$5</f>
        <v>59.770833333333336</v>
      </c>
      <c r="C278" s="299">
        <f>'RD Plant List'!$B280/12*'RD Feedstock'!C$3*'RD Plant List'!AC$5</f>
        <v>3.1250000000000004</v>
      </c>
      <c r="D278" s="299">
        <f>'RD Plant List'!$C280/12*'RD Feedstock'!D$3*'RD Plant List'!AB$5</f>
        <v>176.32395833333331</v>
      </c>
      <c r="E278" s="299">
        <f>'RD Plant List'!$C280/12*'RD Feedstock'!E$3*'RD Plant List'!AC$5</f>
        <v>9.21875</v>
      </c>
      <c r="F278" s="299">
        <f>'RD Plant List'!$D280/12*'RD Feedstock'!F$3*'RD Plant List'!AB$5</f>
        <v>2.359375</v>
      </c>
      <c r="G278" s="299">
        <f>'RD Plant List'!$D280/12*'RD Feedstock'!G$3*'RD Plant List'!AC$5</f>
        <v>0.78125</v>
      </c>
      <c r="H278" s="299">
        <f>'RD Plant List'!$E280/12*'RD Feedstock'!H$3*'RD Plant List'!AB$5</f>
        <v>138.41666666666666</v>
      </c>
      <c r="I278" s="299">
        <f>'RD Plant List'!$F280/12*'RD Feedstock'!I$3*'RD Plant List'!AB$5</f>
        <v>20.762499999999999</v>
      </c>
      <c r="J278" s="299">
        <f>'RD Plant List'!$F280/12*'RD Feedstock'!J$3*'RD Plant List'!AC$5</f>
        <v>6.875</v>
      </c>
    </row>
    <row r="279" spans="1:10" ht="18">
      <c r="A279" s="293">
        <v>52201</v>
      </c>
      <c r="B279" s="299">
        <f>'RD Plant List'!$B281/12*'RD Feedstock'!B$3*'RD Plant List'!AB$5</f>
        <v>59.770833333333336</v>
      </c>
      <c r="C279" s="299">
        <f>'RD Plant List'!$B281/12*'RD Feedstock'!C$3*'RD Plant List'!AC$5</f>
        <v>3.1250000000000004</v>
      </c>
      <c r="D279" s="299">
        <f>'RD Plant List'!$C281/12*'RD Feedstock'!D$3*'RD Plant List'!AB$5</f>
        <v>176.32395833333331</v>
      </c>
      <c r="E279" s="299">
        <f>'RD Plant List'!$C281/12*'RD Feedstock'!E$3*'RD Plant List'!AC$5</f>
        <v>9.21875</v>
      </c>
      <c r="F279" s="299">
        <f>'RD Plant List'!$D281/12*'RD Feedstock'!F$3*'RD Plant List'!AB$5</f>
        <v>2.359375</v>
      </c>
      <c r="G279" s="299">
        <f>'RD Plant List'!$D281/12*'RD Feedstock'!G$3*'RD Plant List'!AC$5</f>
        <v>0.78125</v>
      </c>
      <c r="H279" s="299">
        <f>'RD Plant List'!$E281/12*'RD Feedstock'!H$3*'RD Plant List'!AB$5</f>
        <v>138.41666666666666</v>
      </c>
      <c r="I279" s="299">
        <f>'RD Plant List'!$F281/12*'RD Feedstock'!I$3*'RD Plant List'!AB$5</f>
        <v>20.762499999999999</v>
      </c>
      <c r="J279" s="299">
        <f>'RD Plant List'!$F281/12*'RD Feedstock'!J$3*'RD Plant List'!AC$5</f>
        <v>6.875</v>
      </c>
    </row>
    <row r="280" spans="1:10" ht="18">
      <c r="A280" s="293">
        <v>52232</v>
      </c>
      <c r="B280" s="299">
        <f>'RD Plant List'!$B282/12*'RD Feedstock'!B$3*'RD Plant List'!AB$5</f>
        <v>59.770833333333336</v>
      </c>
      <c r="C280" s="299">
        <f>'RD Plant List'!$B282/12*'RD Feedstock'!C$3*'RD Plant List'!AC$5</f>
        <v>3.1250000000000004</v>
      </c>
      <c r="D280" s="299">
        <f>'RD Plant List'!$C282/12*'RD Feedstock'!D$3*'RD Plant List'!AB$5</f>
        <v>176.32395833333331</v>
      </c>
      <c r="E280" s="299">
        <f>'RD Plant List'!$C282/12*'RD Feedstock'!E$3*'RD Plant List'!AC$5</f>
        <v>9.21875</v>
      </c>
      <c r="F280" s="299">
        <f>'RD Plant List'!$D282/12*'RD Feedstock'!F$3*'RD Plant List'!AB$5</f>
        <v>2.359375</v>
      </c>
      <c r="G280" s="299">
        <f>'RD Plant List'!$D282/12*'RD Feedstock'!G$3*'RD Plant List'!AC$5</f>
        <v>0.78125</v>
      </c>
      <c r="H280" s="299">
        <f>'RD Plant List'!$E282/12*'RD Feedstock'!H$3*'RD Plant List'!AB$5</f>
        <v>138.41666666666666</v>
      </c>
      <c r="I280" s="299">
        <f>'RD Plant List'!$F282/12*'RD Feedstock'!I$3*'RD Plant List'!AB$5</f>
        <v>20.762499999999999</v>
      </c>
      <c r="J280" s="299">
        <f>'RD Plant List'!$F282/12*'RD Feedstock'!J$3*'RD Plant List'!AC$5</f>
        <v>6.875</v>
      </c>
    </row>
    <row r="281" spans="1:10" ht="18">
      <c r="A281" s="293">
        <v>52263</v>
      </c>
      <c r="B281" s="299">
        <f>'RD Plant List'!$B283/12*'RD Feedstock'!B$3*'RD Plant List'!AB$5</f>
        <v>59.770833333333336</v>
      </c>
      <c r="C281" s="299">
        <f>'RD Plant List'!$B283/12*'RD Feedstock'!C$3*'RD Plant List'!AC$5</f>
        <v>3.1250000000000004</v>
      </c>
      <c r="D281" s="299">
        <f>'RD Plant List'!$C283/12*'RD Feedstock'!D$3*'RD Plant List'!AB$5</f>
        <v>176.32395833333331</v>
      </c>
      <c r="E281" s="299">
        <f>'RD Plant List'!$C283/12*'RD Feedstock'!E$3*'RD Plant List'!AC$5</f>
        <v>9.21875</v>
      </c>
      <c r="F281" s="299">
        <f>'RD Plant List'!$D283/12*'RD Feedstock'!F$3*'RD Plant List'!AB$5</f>
        <v>2.359375</v>
      </c>
      <c r="G281" s="299">
        <f>'RD Plant List'!$D283/12*'RD Feedstock'!G$3*'RD Plant List'!AC$5</f>
        <v>0.78125</v>
      </c>
      <c r="H281" s="299">
        <f>'RD Plant List'!$E283/12*'RD Feedstock'!H$3*'RD Plant List'!AB$5</f>
        <v>138.41666666666666</v>
      </c>
      <c r="I281" s="299">
        <f>'RD Plant List'!$F283/12*'RD Feedstock'!I$3*'RD Plant List'!AB$5</f>
        <v>20.762499999999999</v>
      </c>
      <c r="J281" s="299">
        <f>'RD Plant List'!$F283/12*'RD Feedstock'!J$3*'RD Plant List'!AC$5</f>
        <v>6.875</v>
      </c>
    </row>
    <row r="282" spans="1:10" ht="18">
      <c r="A282" s="293">
        <v>52291</v>
      </c>
      <c r="B282" s="299">
        <f>'RD Plant List'!$B284/12*'RD Feedstock'!B$3*'RD Plant List'!AB$5</f>
        <v>59.770833333333336</v>
      </c>
      <c r="C282" s="299">
        <f>'RD Plant List'!$B284/12*'RD Feedstock'!C$3*'RD Plant List'!AC$5</f>
        <v>3.1250000000000004</v>
      </c>
      <c r="D282" s="299">
        <f>'RD Plant List'!$C284/12*'RD Feedstock'!D$3*'RD Plant List'!AB$5</f>
        <v>176.32395833333331</v>
      </c>
      <c r="E282" s="299">
        <f>'RD Plant List'!$C284/12*'RD Feedstock'!E$3*'RD Plant List'!AC$5</f>
        <v>9.21875</v>
      </c>
      <c r="F282" s="299">
        <f>'RD Plant List'!$D284/12*'RD Feedstock'!F$3*'RD Plant List'!AB$5</f>
        <v>2.359375</v>
      </c>
      <c r="G282" s="299">
        <f>'RD Plant List'!$D284/12*'RD Feedstock'!G$3*'RD Plant List'!AC$5</f>
        <v>0.78125</v>
      </c>
      <c r="H282" s="299">
        <f>'RD Plant List'!$E284/12*'RD Feedstock'!H$3*'RD Plant List'!AB$5</f>
        <v>138.41666666666666</v>
      </c>
      <c r="I282" s="299">
        <f>'RD Plant List'!$F284/12*'RD Feedstock'!I$3*'RD Plant List'!AB$5</f>
        <v>20.762499999999999</v>
      </c>
      <c r="J282" s="299">
        <f>'RD Plant List'!$F284/12*'RD Feedstock'!J$3*'RD Plant List'!AC$5</f>
        <v>6.875</v>
      </c>
    </row>
    <row r="283" spans="1:10" ht="18">
      <c r="A283" s="293">
        <v>52322</v>
      </c>
      <c r="B283" s="299">
        <f>'RD Plant List'!$B285/12*'RD Feedstock'!B$3*'RD Plant List'!AB$5</f>
        <v>59.770833333333336</v>
      </c>
      <c r="C283" s="299">
        <f>'RD Plant List'!$B285/12*'RD Feedstock'!C$3*'RD Plant List'!AC$5</f>
        <v>3.1250000000000004</v>
      </c>
      <c r="D283" s="299">
        <f>'RD Plant List'!$C285/12*'RD Feedstock'!D$3*'RD Plant List'!AB$5</f>
        <v>176.32395833333331</v>
      </c>
      <c r="E283" s="299">
        <f>'RD Plant List'!$C285/12*'RD Feedstock'!E$3*'RD Plant List'!AC$5</f>
        <v>9.21875</v>
      </c>
      <c r="F283" s="299">
        <f>'RD Plant List'!$D285/12*'RD Feedstock'!F$3*'RD Plant List'!AB$5</f>
        <v>2.359375</v>
      </c>
      <c r="G283" s="299">
        <f>'RD Plant List'!$D285/12*'RD Feedstock'!G$3*'RD Plant List'!AC$5</f>
        <v>0.78125</v>
      </c>
      <c r="H283" s="299">
        <f>'RD Plant List'!$E285/12*'RD Feedstock'!H$3*'RD Plant List'!AB$5</f>
        <v>138.41666666666666</v>
      </c>
      <c r="I283" s="299">
        <f>'RD Plant List'!$F285/12*'RD Feedstock'!I$3*'RD Plant List'!AB$5</f>
        <v>20.762499999999999</v>
      </c>
      <c r="J283" s="299">
        <f>'RD Plant List'!$F285/12*'RD Feedstock'!J$3*'RD Plant List'!AC$5</f>
        <v>6.875</v>
      </c>
    </row>
    <row r="284" spans="1:10" ht="18">
      <c r="A284" s="293">
        <v>52352</v>
      </c>
      <c r="B284" s="299">
        <f>'RD Plant List'!$B286/12*'RD Feedstock'!B$3*'RD Plant List'!AB$5</f>
        <v>59.770833333333336</v>
      </c>
      <c r="C284" s="299">
        <f>'RD Plant List'!$B286/12*'RD Feedstock'!C$3*'RD Plant List'!AC$5</f>
        <v>3.1250000000000004</v>
      </c>
      <c r="D284" s="299">
        <f>'RD Plant List'!$C286/12*'RD Feedstock'!D$3*'RD Plant List'!AB$5</f>
        <v>176.32395833333331</v>
      </c>
      <c r="E284" s="299">
        <f>'RD Plant List'!$C286/12*'RD Feedstock'!E$3*'RD Plant List'!AC$5</f>
        <v>9.21875</v>
      </c>
      <c r="F284" s="299">
        <f>'RD Plant List'!$D286/12*'RD Feedstock'!F$3*'RD Plant List'!AB$5</f>
        <v>2.359375</v>
      </c>
      <c r="G284" s="299">
        <f>'RD Plant List'!$D286/12*'RD Feedstock'!G$3*'RD Plant List'!AC$5</f>
        <v>0.78125</v>
      </c>
      <c r="H284" s="299">
        <f>'RD Plant List'!$E286/12*'RD Feedstock'!H$3*'RD Plant List'!AB$5</f>
        <v>138.41666666666666</v>
      </c>
      <c r="I284" s="299">
        <f>'RD Plant List'!$F286/12*'RD Feedstock'!I$3*'RD Plant List'!AB$5</f>
        <v>20.762499999999999</v>
      </c>
      <c r="J284" s="299">
        <f>'RD Plant List'!$F286/12*'RD Feedstock'!J$3*'RD Plant List'!AC$5</f>
        <v>6.875</v>
      </c>
    </row>
    <row r="285" spans="1:10" ht="18">
      <c r="A285" s="293">
        <v>52383</v>
      </c>
      <c r="B285" s="299">
        <f>'RD Plant List'!$B287/12*'RD Feedstock'!B$3*'RD Plant List'!AB$5</f>
        <v>59.770833333333336</v>
      </c>
      <c r="C285" s="299">
        <f>'RD Plant List'!$B287/12*'RD Feedstock'!C$3*'RD Plant List'!AC$5</f>
        <v>3.1250000000000004</v>
      </c>
      <c r="D285" s="299">
        <f>'RD Plant List'!$C287/12*'RD Feedstock'!D$3*'RD Plant List'!AB$5</f>
        <v>176.32395833333331</v>
      </c>
      <c r="E285" s="299">
        <f>'RD Plant List'!$C287/12*'RD Feedstock'!E$3*'RD Plant List'!AC$5</f>
        <v>9.21875</v>
      </c>
      <c r="F285" s="299">
        <f>'RD Plant List'!$D287/12*'RD Feedstock'!F$3*'RD Plant List'!AB$5</f>
        <v>2.359375</v>
      </c>
      <c r="G285" s="299">
        <f>'RD Plant List'!$D287/12*'RD Feedstock'!G$3*'RD Plant List'!AC$5</f>
        <v>0.78125</v>
      </c>
      <c r="H285" s="299">
        <f>'RD Plant List'!$E287/12*'RD Feedstock'!H$3*'RD Plant List'!AB$5</f>
        <v>138.41666666666666</v>
      </c>
      <c r="I285" s="299">
        <f>'RD Plant List'!$F287/12*'RD Feedstock'!I$3*'RD Plant List'!AB$5</f>
        <v>20.762499999999999</v>
      </c>
      <c r="J285" s="299">
        <f>'RD Plant List'!$F287/12*'RD Feedstock'!J$3*'RD Plant List'!AC$5</f>
        <v>6.875</v>
      </c>
    </row>
    <row r="286" spans="1:10" ht="18">
      <c r="A286" s="293">
        <v>52413</v>
      </c>
      <c r="B286" s="299">
        <f>'RD Plant List'!$B288/12*'RD Feedstock'!B$3*'RD Plant List'!AB$5</f>
        <v>59.770833333333336</v>
      </c>
      <c r="C286" s="299">
        <f>'RD Plant List'!$B288/12*'RD Feedstock'!C$3*'RD Plant List'!AC$5</f>
        <v>3.1250000000000004</v>
      </c>
      <c r="D286" s="299">
        <f>'RD Plant List'!$C288/12*'RD Feedstock'!D$3*'RD Plant List'!AB$5</f>
        <v>176.32395833333331</v>
      </c>
      <c r="E286" s="299">
        <f>'RD Plant List'!$C288/12*'RD Feedstock'!E$3*'RD Plant List'!AC$5</f>
        <v>9.21875</v>
      </c>
      <c r="F286" s="299">
        <f>'RD Plant List'!$D288/12*'RD Feedstock'!F$3*'RD Plant List'!AB$5</f>
        <v>2.359375</v>
      </c>
      <c r="G286" s="299">
        <f>'RD Plant List'!$D288/12*'RD Feedstock'!G$3*'RD Plant List'!AC$5</f>
        <v>0.78125</v>
      </c>
      <c r="H286" s="299">
        <f>'RD Plant List'!$E288/12*'RD Feedstock'!H$3*'RD Plant List'!AB$5</f>
        <v>138.41666666666666</v>
      </c>
      <c r="I286" s="299">
        <f>'RD Plant List'!$F288/12*'RD Feedstock'!I$3*'RD Plant List'!AB$5</f>
        <v>20.762499999999999</v>
      </c>
      <c r="J286" s="299">
        <f>'RD Plant List'!$F288/12*'RD Feedstock'!J$3*'RD Plant List'!AC$5</f>
        <v>6.875</v>
      </c>
    </row>
    <row r="287" spans="1:10" ht="18">
      <c r="A287" s="293">
        <v>52444</v>
      </c>
      <c r="B287" s="299">
        <f>'RD Plant List'!$B289/12*'RD Feedstock'!B$3*'RD Plant List'!AB$5</f>
        <v>59.770833333333336</v>
      </c>
      <c r="C287" s="299">
        <f>'RD Plant List'!$B289/12*'RD Feedstock'!C$3*'RD Plant List'!AC$5</f>
        <v>3.1250000000000004</v>
      </c>
      <c r="D287" s="299">
        <f>'RD Plant List'!$C289/12*'RD Feedstock'!D$3*'RD Plant List'!AB$5</f>
        <v>176.32395833333331</v>
      </c>
      <c r="E287" s="299">
        <f>'RD Plant List'!$C289/12*'RD Feedstock'!E$3*'RD Plant List'!AC$5</f>
        <v>9.21875</v>
      </c>
      <c r="F287" s="299">
        <f>'RD Plant List'!$D289/12*'RD Feedstock'!F$3*'RD Plant List'!AB$5</f>
        <v>2.359375</v>
      </c>
      <c r="G287" s="299">
        <f>'RD Plant List'!$D289/12*'RD Feedstock'!G$3*'RD Plant List'!AC$5</f>
        <v>0.78125</v>
      </c>
      <c r="H287" s="299">
        <f>'RD Plant List'!$E289/12*'RD Feedstock'!H$3*'RD Plant List'!AB$5</f>
        <v>138.41666666666666</v>
      </c>
      <c r="I287" s="299">
        <f>'RD Plant List'!$F289/12*'RD Feedstock'!I$3*'RD Plant List'!AB$5</f>
        <v>20.762499999999999</v>
      </c>
      <c r="J287" s="299">
        <f>'RD Plant List'!$F289/12*'RD Feedstock'!J$3*'RD Plant List'!AC$5</f>
        <v>6.875</v>
      </c>
    </row>
    <row r="288" spans="1:10" ht="18">
      <c r="A288" s="293">
        <v>52475</v>
      </c>
      <c r="B288" s="299">
        <f>'RD Plant List'!$B290/12*'RD Feedstock'!B$3*'RD Plant List'!AB$5</f>
        <v>59.770833333333336</v>
      </c>
      <c r="C288" s="299">
        <f>'RD Plant List'!$B290/12*'RD Feedstock'!C$3*'RD Plant List'!AC$5</f>
        <v>3.1250000000000004</v>
      </c>
      <c r="D288" s="299">
        <f>'RD Plant List'!$C290/12*'RD Feedstock'!D$3*'RD Plant List'!AB$5</f>
        <v>176.32395833333331</v>
      </c>
      <c r="E288" s="299">
        <f>'RD Plant List'!$C290/12*'RD Feedstock'!E$3*'RD Plant List'!AC$5</f>
        <v>9.21875</v>
      </c>
      <c r="F288" s="299">
        <f>'RD Plant List'!$D290/12*'RD Feedstock'!F$3*'RD Plant List'!AB$5</f>
        <v>2.359375</v>
      </c>
      <c r="G288" s="299">
        <f>'RD Plant List'!$D290/12*'RD Feedstock'!G$3*'RD Plant List'!AC$5</f>
        <v>0.78125</v>
      </c>
      <c r="H288" s="299">
        <f>'RD Plant List'!$E290/12*'RD Feedstock'!H$3*'RD Plant List'!AB$5</f>
        <v>138.41666666666666</v>
      </c>
      <c r="I288" s="299">
        <f>'RD Plant List'!$F290/12*'RD Feedstock'!I$3*'RD Plant List'!AB$5</f>
        <v>20.762499999999999</v>
      </c>
      <c r="J288" s="299">
        <f>'RD Plant List'!$F290/12*'RD Feedstock'!J$3*'RD Plant List'!AC$5</f>
        <v>6.875</v>
      </c>
    </row>
    <row r="289" spans="1:10" ht="18">
      <c r="A289" s="293">
        <v>52505</v>
      </c>
      <c r="B289" s="299">
        <f>'RD Plant List'!$B291/12*'RD Feedstock'!B$3*'RD Plant List'!AB$5</f>
        <v>59.770833333333336</v>
      </c>
      <c r="C289" s="299">
        <f>'RD Plant List'!$B291/12*'RD Feedstock'!C$3*'RD Plant List'!AC$5</f>
        <v>3.1250000000000004</v>
      </c>
      <c r="D289" s="299">
        <f>'RD Plant List'!$C291/12*'RD Feedstock'!D$3*'RD Plant List'!AB$5</f>
        <v>176.32395833333331</v>
      </c>
      <c r="E289" s="299">
        <f>'RD Plant List'!$C291/12*'RD Feedstock'!E$3*'RD Plant List'!AC$5</f>
        <v>9.21875</v>
      </c>
      <c r="F289" s="299">
        <f>'RD Plant List'!$D291/12*'RD Feedstock'!F$3*'RD Plant List'!AB$5</f>
        <v>2.359375</v>
      </c>
      <c r="G289" s="299">
        <f>'RD Plant List'!$D291/12*'RD Feedstock'!G$3*'RD Plant List'!AC$5</f>
        <v>0.78125</v>
      </c>
      <c r="H289" s="299">
        <f>'RD Plant List'!$E291/12*'RD Feedstock'!H$3*'RD Plant List'!AB$5</f>
        <v>138.41666666666666</v>
      </c>
      <c r="I289" s="299">
        <f>'RD Plant List'!$F291/12*'RD Feedstock'!I$3*'RD Plant List'!AB$5</f>
        <v>20.762499999999999</v>
      </c>
      <c r="J289" s="299">
        <f>'RD Plant List'!$F291/12*'RD Feedstock'!J$3*'RD Plant List'!AC$5</f>
        <v>6.875</v>
      </c>
    </row>
    <row r="290" spans="1:10" ht="18">
      <c r="A290" s="293">
        <v>52536</v>
      </c>
      <c r="B290" s="299">
        <f>'RD Plant List'!$B292/12*'RD Feedstock'!B$3*'RD Plant List'!AB$5</f>
        <v>59.770833333333336</v>
      </c>
      <c r="C290" s="299">
        <f>'RD Plant List'!$B292/12*'RD Feedstock'!C$3*'RD Plant List'!AC$5</f>
        <v>3.1250000000000004</v>
      </c>
      <c r="D290" s="299">
        <f>'RD Plant List'!$C292/12*'RD Feedstock'!D$3*'RD Plant List'!AB$5</f>
        <v>176.32395833333331</v>
      </c>
      <c r="E290" s="299">
        <f>'RD Plant List'!$C292/12*'RD Feedstock'!E$3*'RD Plant List'!AC$5</f>
        <v>9.21875</v>
      </c>
      <c r="F290" s="299">
        <f>'RD Plant List'!$D292/12*'RD Feedstock'!F$3*'RD Plant List'!AB$5</f>
        <v>2.359375</v>
      </c>
      <c r="G290" s="299">
        <f>'RD Plant List'!$D292/12*'RD Feedstock'!G$3*'RD Plant List'!AC$5</f>
        <v>0.78125</v>
      </c>
      <c r="H290" s="299">
        <f>'RD Plant List'!$E292/12*'RD Feedstock'!H$3*'RD Plant List'!AB$5</f>
        <v>138.41666666666666</v>
      </c>
      <c r="I290" s="299">
        <f>'RD Plant List'!$F292/12*'RD Feedstock'!I$3*'RD Plant List'!AB$5</f>
        <v>20.762499999999999</v>
      </c>
      <c r="J290" s="299">
        <f>'RD Plant List'!$F292/12*'RD Feedstock'!J$3*'RD Plant List'!AC$5</f>
        <v>6.875</v>
      </c>
    </row>
    <row r="291" spans="1:10" ht="18">
      <c r="A291" s="293">
        <v>52566</v>
      </c>
      <c r="B291" s="299">
        <f>'RD Plant List'!$B293/12*'RD Feedstock'!B$3*'RD Plant List'!AB$5</f>
        <v>59.770833333333336</v>
      </c>
      <c r="C291" s="299">
        <f>'RD Plant List'!$B293/12*'RD Feedstock'!C$3*'RD Plant List'!AC$5</f>
        <v>3.1250000000000004</v>
      </c>
      <c r="D291" s="299">
        <f>'RD Plant List'!$C293/12*'RD Feedstock'!D$3*'RD Plant List'!AB$5</f>
        <v>176.32395833333331</v>
      </c>
      <c r="E291" s="299">
        <f>'RD Plant List'!$C293/12*'RD Feedstock'!E$3*'RD Plant List'!AC$5</f>
        <v>9.21875</v>
      </c>
      <c r="F291" s="299">
        <f>'RD Plant List'!$D293/12*'RD Feedstock'!F$3*'RD Plant List'!AB$5</f>
        <v>2.359375</v>
      </c>
      <c r="G291" s="299">
        <f>'RD Plant List'!$D293/12*'RD Feedstock'!G$3*'RD Plant List'!AC$5</f>
        <v>0.78125</v>
      </c>
      <c r="H291" s="299">
        <f>'RD Plant List'!$E293/12*'RD Feedstock'!H$3*'RD Plant List'!AB$5</f>
        <v>138.41666666666666</v>
      </c>
      <c r="I291" s="299">
        <f>'RD Plant List'!$F293/12*'RD Feedstock'!I$3*'RD Plant List'!AB$5</f>
        <v>20.762499999999999</v>
      </c>
      <c r="J291" s="299">
        <f>'RD Plant List'!$F293/12*'RD Feedstock'!J$3*'RD Plant List'!AC$5</f>
        <v>6.875</v>
      </c>
    </row>
    <row r="292" spans="1:10" ht="18">
      <c r="A292" s="293">
        <v>52597</v>
      </c>
      <c r="B292" s="299">
        <f>'RD Plant List'!$B294/12*'RD Feedstock'!B$3*'RD Plant List'!AB$5</f>
        <v>59.770833333333336</v>
      </c>
      <c r="C292" s="299">
        <f>'RD Plant List'!$B294/12*'RD Feedstock'!C$3*'RD Plant List'!AC$5</f>
        <v>3.1250000000000004</v>
      </c>
      <c r="D292" s="299">
        <f>'RD Plant List'!$C294/12*'RD Feedstock'!D$3*'RD Plant List'!AB$5</f>
        <v>176.32395833333331</v>
      </c>
      <c r="E292" s="299">
        <f>'RD Plant List'!$C294/12*'RD Feedstock'!E$3*'RD Plant List'!AC$5</f>
        <v>9.21875</v>
      </c>
      <c r="F292" s="299">
        <f>'RD Plant List'!$D294/12*'RD Feedstock'!F$3*'RD Plant List'!AB$5</f>
        <v>2.359375</v>
      </c>
      <c r="G292" s="299">
        <f>'RD Plant List'!$D294/12*'RD Feedstock'!G$3*'RD Plant List'!AC$5</f>
        <v>0.78125</v>
      </c>
      <c r="H292" s="299">
        <f>'RD Plant List'!$E294/12*'RD Feedstock'!H$3*'RD Plant List'!AB$5</f>
        <v>138.41666666666666</v>
      </c>
      <c r="I292" s="299">
        <f>'RD Plant List'!$F294/12*'RD Feedstock'!I$3*'RD Plant List'!AB$5</f>
        <v>20.762499999999999</v>
      </c>
      <c r="J292" s="299">
        <f>'RD Plant List'!$F294/12*'RD Feedstock'!J$3*'RD Plant List'!AC$5</f>
        <v>6.875</v>
      </c>
    </row>
    <row r="293" spans="1:10" ht="18">
      <c r="A293" s="293">
        <v>52628</v>
      </c>
      <c r="B293" s="299">
        <f>'RD Plant List'!$B295/12*'RD Feedstock'!B$3*'RD Plant List'!AB$5</f>
        <v>59.770833333333336</v>
      </c>
      <c r="C293" s="299">
        <f>'RD Plant List'!$B295/12*'RD Feedstock'!C$3*'RD Plant List'!AC$5</f>
        <v>3.1250000000000004</v>
      </c>
      <c r="D293" s="299">
        <f>'RD Plant List'!$C295/12*'RD Feedstock'!D$3*'RD Plant List'!AB$5</f>
        <v>176.32395833333331</v>
      </c>
      <c r="E293" s="299">
        <f>'RD Plant List'!$C295/12*'RD Feedstock'!E$3*'RD Plant List'!AC$5</f>
        <v>9.21875</v>
      </c>
      <c r="F293" s="299">
        <f>'RD Plant List'!$D295/12*'RD Feedstock'!F$3*'RD Plant List'!AB$5</f>
        <v>2.359375</v>
      </c>
      <c r="G293" s="299">
        <f>'RD Plant List'!$D295/12*'RD Feedstock'!G$3*'RD Plant List'!AC$5</f>
        <v>0.78125</v>
      </c>
      <c r="H293" s="299">
        <f>'RD Plant List'!$E295/12*'RD Feedstock'!H$3*'RD Plant List'!AB$5</f>
        <v>138.41666666666666</v>
      </c>
      <c r="I293" s="299">
        <f>'RD Plant List'!$F295/12*'RD Feedstock'!I$3*'RD Plant List'!AB$5</f>
        <v>20.762499999999999</v>
      </c>
      <c r="J293" s="299">
        <f>'RD Plant List'!$F295/12*'RD Feedstock'!J$3*'RD Plant List'!AC$5</f>
        <v>6.875</v>
      </c>
    </row>
    <row r="294" spans="1:10" ht="18">
      <c r="A294" s="293">
        <v>52657</v>
      </c>
      <c r="B294" s="299">
        <f>'RD Plant List'!$B296/12*'RD Feedstock'!B$3*'RD Plant List'!AB$5</f>
        <v>59.770833333333336</v>
      </c>
      <c r="C294" s="299">
        <f>'RD Plant List'!$B296/12*'RD Feedstock'!C$3*'RD Plant List'!AC$5</f>
        <v>3.1250000000000004</v>
      </c>
      <c r="D294" s="299">
        <f>'RD Plant List'!$C296/12*'RD Feedstock'!D$3*'RD Plant List'!AB$5</f>
        <v>176.32395833333331</v>
      </c>
      <c r="E294" s="299">
        <f>'RD Plant List'!$C296/12*'RD Feedstock'!E$3*'RD Plant List'!AC$5</f>
        <v>9.21875</v>
      </c>
      <c r="F294" s="299">
        <f>'RD Plant List'!$D296/12*'RD Feedstock'!F$3*'RD Plant List'!AB$5</f>
        <v>2.359375</v>
      </c>
      <c r="G294" s="299">
        <f>'RD Plant List'!$D296/12*'RD Feedstock'!G$3*'RD Plant List'!AC$5</f>
        <v>0.78125</v>
      </c>
      <c r="H294" s="299">
        <f>'RD Plant List'!$E296/12*'RD Feedstock'!H$3*'RD Plant List'!AB$5</f>
        <v>138.41666666666666</v>
      </c>
      <c r="I294" s="299">
        <f>'RD Plant List'!$F296/12*'RD Feedstock'!I$3*'RD Plant List'!AB$5</f>
        <v>20.762499999999999</v>
      </c>
      <c r="J294" s="299">
        <f>'RD Plant List'!$F296/12*'RD Feedstock'!J$3*'RD Plant List'!AC$5</f>
        <v>6.875</v>
      </c>
    </row>
    <row r="295" spans="1:10" ht="18">
      <c r="A295" s="293">
        <v>52688</v>
      </c>
      <c r="B295" s="299">
        <f>'RD Plant List'!$B297/12*'RD Feedstock'!B$3*'RD Plant List'!AB$5</f>
        <v>59.770833333333336</v>
      </c>
      <c r="C295" s="299">
        <f>'RD Plant List'!$B297/12*'RD Feedstock'!C$3*'RD Plant List'!AC$5</f>
        <v>3.1250000000000004</v>
      </c>
      <c r="D295" s="299">
        <f>'RD Plant List'!$C297/12*'RD Feedstock'!D$3*'RD Plant List'!AB$5</f>
        <v>176.32395833333331</v>
      </c>
      <c r="E295" s="299">
        <f>'RD Plant List'!$C297/12*'RD Feedstock'!E$3*'RD Plant List'!AC$5</f>
        <v>9.21875</v>
      </c>
      <c r="F295" s="299">
        <f>'RD Plant List'!$D297/12*'RD Feedstock'!F$3*'RD Plant List'!AB$5</f>
        <v>2.359375</v>
      </c>
      <c r="G295" s="299">
        <f>'RD Plant List'!$D297/12*'RD Feedstock'!G$3*'RD Plant List'!AC$5</f>
        <v>0.78125</v>
      </c>
      <c r="H295" s="299">
        <f>'RD Plant List'!$E297/12*'RD Feedstock'!H$3*'RD Plant List'!AB$5</f>
        <v>138.41666666666666</v>
      </c>
      <c r="I295" s="299">
        <f>'RD Plant List'!$F297/12*'RD Feedstock'!I$3*'RD Plant List'!AB$5</f>
        <v>20.762499999999999</v>
      </c>
      <c r="J295" s="299">
        <f>'RD Plant List'!$F297/12*'RD Feedstock'!J$3*'RD Plant List'!AC$5</f>
        <v>6.875</v>
      </c>
    </row>
    <row r="296" spans="1:10" ht="18">
      <c r="A296" s="293">
        <v>52718</v>
      </c>
      <c r="B296" s="299">
        <f>'RD Plant List'!$B298/12*'RD Feedstock'!B$3*'RD Plant List'!AB$5</f>
        <v>59.770833333333336</v>
      </c>
      <c r="C296" s="299">
        <f>'RD Plant List'!$B298/12*'RD Feedstock'!C$3*'RD Plant List'!AC$5</f>
        <v>3.1250000000000004</v>
      </c>
      <c r="D296" s="299">
        <f>'RD Plant List'!$C298/12*'RD Feedstock'!D$3*'RD Plant List'!AB$5</f>
        <v>176.32395833333331</v>
      </c>
      <c r="E296" s="299">
        <f>'RD Plant List'!$C298/12*'RD Feedstock'!E$3*'RD Plant List'!AC$5</f>
        <v>9.21875</v>
      </c>
      <c r="F296" s="299">
        <f>'RD Plant List'!$D298/12*'RD Feedstock'!F$3*'RD Plant List'!AB$5</f>
        <v>2.359375</v>
      </c>
      <c r="G296" s="299">
        <f>'RD Plant List'!$D298/12*'RD Feedstock'!G$3*'RD Plant List'!AC$5</f>
        <v>0.78125</v>
      </c>
      <c r="H296" s="299">
        <f>'RD Plant List'!$E298/12*'RD Feedstock'!H$3*'RD Plant List'!AB$5</f>
        <v>138.41666666666666</v>
      </c>
      <c r="I296" s="299">
        <f>'RD Plant List'!$F298/12*'RD Feedstock'!I$3*'RD Plant List'!AB$5</f>
        <v>20.762499999999999</v>
      </c>
      <c r="J296" s="299">
        <f>'RD Plant List'!$F298/12*'RD Feedstock'!J$3*'RD Plant List'!AC$5</f>
        <v>6.875</v>
      </c>
    </row>
    <row r="297" spans="1:10" ht="18">
      <c r="A297" s="293">
        <v>52749</v>
      </c>
      <c r="B297" s="299">
        <f>'RD Plant List'!$B299/12*'RD Feedstock'!B$3*'RD Plant List'!AB$5</f>
        <v>59.770833333333336</v>
      </c>
      <c r="C297" s="299">
        <f>'RD Plant List'!$B299/12*'RD Feedstock'!C$3*'RD Plant List'!AC$5</f>
        <v>3.1250000000000004</v>
      </c>
      <c r="D297" s="299">
        <f>'RD Plant List'!$C299/12*'RD Feedstock'!D$3*'RD Plant List'!AB$5</f>
        <v>176.32395833333331</v>
      </c>
      <c r="E297" s="299">
        <f>'RD Plant List'!$C299/12*'RD Feedstock'!E$3*'RD Plant List'!AC$5</f>
        <v>9.21875</v>
      </c>
      <c r="F297" s="299">
        <f>'RD Plant List'!$D299/12*'RD Feedstock'!F$3*'RD Plant List'!AB$5</f>
        <v>2.359375</v>
      </c>
      <c r="G297" s="299">
        <f>'RD Plant List'!$D299/12*'RD Feedstock'!G$3*'RD Plant List'!AC$5</f>
        <v>0.78125</v>
      </c>
      <c r="H297" s="299">
        <f>'RD Plant List'!$E299/12*'RD Feedstock'!H$3*'RD Plant List'!AB$5</f>
        <v>138.41666666666666</v>
      </c>
      <c r="I297" s="299">
        <f>'RD Plant List'!$F299/12*'RD Feedstock'!I$3*'RD Plant List'!AB$5</f>
        <v>20.762499999999999</v>
      </c>
      <c r="J297" s="299">
        <f>'RD Plant List'!$F299/12*'RD Feedstock'!J$3*'RD Plant List'!AC$5</f>
        <v>6.875</v>
      </c>
    </row>
    <row r="298" spans="1:10" ht="18">
      <c r="A298" s="293">
        <v>52779</v>
      </c>
      <c r="B298" s="299">
        <f>'RD Plant List'!$B300/12*'RD Feedstock'!B$3*'RD Plant List'!AB$5</f>
        <v>59.770833333333336</v>
      </c>
      <c r="C298" s="299">
        <f>'RD Plant List'!$B300/12*'RD Feedstock'!C$3*'RD Plant List'!AC$5</f>
        <v>3.1250000000000004</v>
      </c>
      <c r="D298" s="299">
        <f>'RD Plant List'!$C300/12*'RD Feedstock'!D$3*'RD Plant List'!AB$5</f>
        <v>176.32395833333331</v>
      </c>
      <c r="E298" s="299">
        <f>'RD Plant List'!$C300/12*'RD Feedstock'!E$3*'RD Plant List'!AC$5</f>
        <v>9.21875</v>
      </c>
      <c r="F298" s="299">
        <f>'RD Plant List'!$D300/12*'RD Feedstock'!F$3*'RD Plant List'!AB$5</f>
        <v>2.359375</v>
      </c>
      <c r="G298" s="299">
        <f>'RD Plant List'!$D300/12*'RD Feedstock'!G$3*'RD Plant List'!AC$5</f>
        <v>0.78125</v>
      </c>
      <c r="H298" s="299">
        <f>'RD Plant List'!$E300/12*'RD Feedstock'!H$3*'RD Plant List'!AB$5</f>
        <v>138.41666666666666</v>
      </c>
      <c r="I298" s="299">
        <f>'RD Plant List'!$F300/12*'RD Feedstock'!I$3*'RD Plant List'!AB$5</f>
        <v>20.762499999999999</v>
      </c>
      <c r="J298" s="299">
        <f>'RD Plant List'!$F300/12*'RD Feedstock'!J$3*'RD Plant List'!AC$5</f>
        <v>6.875</v>
      </c>
    </row>
    <row r="299" spans="1:10" ht="18">
      <c r="A299" s="293">
        <v>52810</v>
      </c>
      <c r="B299" s="299">
        <f>'RD Plant List'!$B301/12*'RD Feedstock'!B$3*'RD Plant List'!AB$5</f>
        <v>59.770833333333336</v>
      </c>
      <c r="C299" s="299">
        <f>'RD Plant List'!$B301/12*'RD Feedstock'!C$3*'RD Plant List'!AC$5</f>
        <v>3.1250000000000004</v>
      </c>
      <c r="D299" s="299">
        <f>'RD Plant List'!$C301/12*'RD Feedstock'!D$3*'RD Plant List'!AB$5</f>
        <v>176.32395833333331</v>
      </c>
      <c r="E299" s="299">
        <f>'RD Plant List'!$C301/12*'RD Feedstock'!E$3*'RD Plant List'!AC$5</f>
        <v>9.21875</v>
      </c>
      <c r="F299" s="299">
        <f>'RD Plant List'!$D301/12*'RD Feedstock'!F$3*'RD Plant List'!AB$5</f>
        <v>2.359375</v>
      </c>
      <c r="G299" s="299">
        <f>'RD Plant List'!$D301/12*'RD Feedstock'!G$3*'RD Plant List'!AC$5</f>
        <v>0.78125</v>
      </c>
      <c r="H299" s="299">
        <f>'RD Plant List'!$E301/12*'RD Feedstock'!H$3*'RD Plant List'!AB$5</f>
        <v>138.41666666666666</v>
      </c>
      <c r="I299" s="299">
        <f>'RD Plant List'!$F301/12*'RD Feedstock'!I$3*'RD Plant List'!AB$5</f>
        <v>20.762499999999999</v>
      </c>
      <c r="J299" s="299">
        <f>'RD Plant List'!$F301/12*'RD Feedstock'!J$3*'RD Plant List'!AC$5</f>
        <v>6.875</v>
      </c>
    </row>
    <row r="300" spans="1:10" ht="18">
      <c r="A300" s="293">
        <v>52841</v>
      </c>
      <c r="B300" s="299">
        <f>'RD Plant List'!$B302/12*'RD Feedstock'!B$3*'RD Plant List'!AB$5</f>
        <v>59.770833333333336</v>
      </c>
      <c r="C300" s="299">
        <f>'RD Plant List'!$B302/12*'RD Feedstock'!C$3*'RD Plant List'!AC$5</f>
        <v>3.1250000000000004</v>
      </c>
      <c r="D300" s="299">
        <f>'RD Plant List'!$C302/12*'RD Feedstock'!D$3*'RD Plant List'!AB$5</f>
        <v>176.32395833333331</v>
      </c>
      <c r="E300" s="299">
        <f>'RD Plant List'!$C302/12*'RD Feedstock'!E$3*'RD Plant List'!AC$5</f>
        <v>9.21875</v>
      </c>
      <c r="F300" s="299">
        <f>'RD Plant List'!$D302/12*'RD Feedstock'!F$3*'RD Plant List'!AB$5</f>
        <v>2.359375</v>
      </c>
      <c r="G300" s="299">
        <f>'RD Plant List'!$D302/12*'RD Feedstock'!G$3*'RD Plant List'!AC$5</f>
        <v>0.78125</v>
      </c>
      <c r="H300" s="299">
        <f>'RD Plant List'!$E302/12*'RD Feedstock'!H$3*'RD Plant List'!AB$5</f>
        <v>138.41666666666666</v>
      </c>
      <c r="I300" s="299">
        <f>'RD Plant List'!$F302/12*'RD Feedstock'!I$3*'RD Plant List'!AB$5</f>
        <v>20.762499999999999</v>
      </c>
      <c r="J300" s="299">
        <f>'RD Plant List'!$F302/12*'RD Feedstock'!J$3*'RD Plant List'!AC$5</f>
        <v>6.875</v>
      </c>
    </row>
    <row r="301" spans="1:10" ht="18">
      <c r="A301" s="293">
        <v>52871</v>
      </c>
      <c r="B301" s="299">
        <f>'RD Plant List'!$B303/12*'RD Feedstock'!B$3*'RD Plant List'!AB$5</f>
        <v>59.770833333333336</v>
      </c>
      <c r="C301" s="299">
        <f>'RD Plant List'!$B303/12*'RD Feedstock'!C$3*'RD Plant List'!AC$5</f>
        <v>3.1250000000000004</v>
      </c>
      <c r="D301" s="299">
        <f>'RD Plant List'!$C303/12*'RD Feedstock'!D$3*'RD Plant List'!AB$5</f>
        <v>176.32395833333331</v>
      </c>
      <c r="E301" s="299">
        <f>'RD Plant List'!$C303/12*'RD Feedstock'!E$3*'RD Plant List'!AC$5</f>
        <v>9.21875</v>
      </c>
      <c r="F301" s="299">
        <f>'RD Plant List'!$D303/12*'RD Feedstock'!F$3*'RD Plant List'!AB$5</f>
        <v>2.359375</v>
      </c>
      <c r="G301" s="299">
        <f>'RD Plant List'!$D303/12*'RD Feedstock'!G$3*'RD Plant List'!AC$5</f>
        <v>0.78125</v>
      </c>
      <c r="H301" s="299">
        <f>'RD Plant List'!$E303/12*'RD Feedstock'!H$3*'RD Plant List'!AB$5</f>
        <v>138.41666666666666</v>
      </c>
      <c r="I301" s="299">
        <f>'RD Plant List'!$F303/12*'RD Feedstock'!I$3*'RD Plant List'!AB$5</f>
        <v>20.762499999999999</v>
      </c>
      <c r="J301" s="299">
        <f>'RD Plant List'!$F303/12*'RD Feedstock'!J$3*'RD Plant List'!AC$5</f>
        <v>6.875</v>
      </c>
    </row>
    <row r="302" spans="1:10" ht="18">
      <c r="A302" s="293">
        <v>52902</v>
      </c>
      <c r="B302" s="299">
        <f>'RD Plant List'!$B304/12*'RD Feedstock'!B$3*'RD Plant List'!AB$5</f>
        <v>59.770833333333336</v>
      </c>
      <c r="C302" s="299">
        <f>'RD Plant List'!$B304/12*'RD Feedstock'!C$3*'RD Plant List'!AC$5</f>
        <v>3.1250000000000004</v>
      </c>
      <c r="D302" s="299">
        <f>'RD Plant List'!$C304/12*'RD Feedstock'!D$3*'RD Plant List'!AB$5</f>
        <v>176.32395833333331</v>
      </c>
      <c r="E302" s="299">
        <f>'RD Plant List'!$C304/12*'RD Feedstock'!E$3*'RD Plant List'!AC$5</f>
        <v>9.21875</v>
      </c>
      <c r="F302" s="299">
        <f>'RD Plant List'!$D304/12*'RD Feedstock'!F$3*'RD Plant List'!AB$5</f>
        <v>2.359375</v>
      </c>
      <c r="G302" s="299">
        <f>'RD Plant List'!$D304/12*'RD Feedstock'!G$3*'RD Plant List'!AC$5</f>
        <v>0.78125</v>
      </c>
      <c r="H302" s="299">
        <f>'RD Plant List'!$E304/12*'RD Feedstock'!H$3*'RD Plant List'!AB$5</f>
        <v>138.41666666666666</v>
      </c>
      <c r="I302" s="299">
        <f>'RD Plant List'!$F304/12*'RD Feedstock'!I$3*'RD Plant List'!AB$5</f>
        <v>20.762499999999999</v>
      </c>
      <c r="J302" s="299">
        <f>'RD Plant List'!$F304/12*'RD Feedstock'!J$3*'RD Plant List'!AC$5</f>
        <v>6.875</v>
      </c>
    </row>
    <row r="303" spans="1:10" ht="18">
      <c r="A303" s="293">
        <v>52932</v>
      </c>
      <c r="B303" s="299">
        <f>'RD Plant List'!$B305/12*'RD Feedstock'!B$3*'RD Plant List'!AB$5</f>
        <v>59.770833333333336</v>
      </c>
      <c r="C303" s="299">
        <f>'RD Plant List'!$B305/12*'RD Feedstock'!C$3*'RD Plant List'!AC$5</f>
        <v>3.1250000000000004</v>
      </c>
      <c r="D303" s="299">
        <f>'RD Plant List'!$C305/12*'RD Feedstock'!D$3*'RD Plant List'!AB$5</f>
        <v>176.32395833333331</v>
      </c>
      <c r="E303" s="299">
        <f>'RD Plant List'!$C305/12*'RD Feedstock'!E$3*'RD Plant List'!AC$5</f>
        <v>9.21875</v>
      </c>
      <c r="F303" s="299">
        <f>'RD Plant List'!$D305/12*'RD Feedstock'!F$3*'RD Plant List'!AB$5</f>
        <v>2.359375</v>
      </c>
      <c r="G303" s="299">
        <f>'RD Plant List'!$D305/12*'RD Feedstock'!G$3*'RD Plant List'!AC$5</f>
        <v>0.78125</v>
      </c>
      <c r="H303" s="299">
        <f>'RD Plant List'!$E305/12*'RD Feedstock'!H$3*'RD Plant List'!AB$5</f>
        <v>138.41666666666666</v>
      </c>
      <c r="I303" s="299">
        <f>'RD Plant List'!$F305/12*'RD Feedstock'!I$3*'RD Plant List'!AB$5</f>
        <v>20.762499999999999</v>
      </c>
      <c r="J303" s="299">
        <f>'RD Plant List'!$F305/12*'RD Feedstock'!J$3*'RD Plant List'!AC$5</f>
        <v>6.875</v>
      </c>
    </row>
    <row r="304" spans="1:10" ht="18">
      <c r="A304" s="293">
        <v>52963</v>
      </c>
      <c r="B304" s="299">
        <f>'RD Plant List'!$B306/12*'RD Feedstock'!B$3*'RD Plant List'!AB$5</f>
        <v>59.770833333333336</v>
      </c>
      <c r="C304" s="299">
        <f>'RD Plant List'!$B306/12*'RD Feedstock'!C$3*'RD Plant List'!AC$5</f>
        <v>3.1250000000000004</v>
      </c>
      <c r="D304" s="299">
        <f>'RD Plant List'!$C306/12*'RD Feedstock'!D$3*'RD Plant List'!AB$5</f>
        <v>176.32395833333331</v>
      </c>
      <c r="E304" s="299">
        <f>'RD Plant List'!$C306/12*'RD Feedstock'!E$3*'RD Plant List'!AC$5</f>
        <v>9.21875</v>
      </c>
      <c r="F304" s="299">
        <f>'RD Plant List'!$D306/12*'RD Feedstock'!F$3*'RD Plant List'!AB$5</f>
        <v>2.359375</v>
      </c>
      <c r="G304" s="299">
        <f>'RD Plant List'!$D306/12*'RD Feedstock'!G$3*'RD Plant List'!AC$5</f>
        <v>0.78125</v>
      </c>
      <c r="H304" s="299">
        <f>'RD Plant List'!$E306/12*'RD Feedstock'!H$3*'RD Plant List'!AB$5</f>
        <v>138.41666666666666</v>
      </c>
      <c r="I304" s="299">
        <f>'RD Plant List'!$F306/12*'RD Feedstock'!I$3*'RD Plant List'!AB$5</f>
        <v>20.762499999999999</v>
      </c>
      <c r="J304" s="299">
        <f>'RD Plant List'!$F306/12*'RD Feedstock'!J$3*'RD Plant List'!AC$5</f>
        <v>6.875</v>
      </c>
    </row>
    <row r="305" spans="1:10" ht="18">
      <c r="A305" s="293">
        <v>52994</v>
      </c>
      <c r="B305" s="299">
        <f>'RD Plant List'!$B307/12*'RD Feedstock'!B$3*'RD Plant List'!AB$5</f>
        <v>59.770833333333336</v>
      </c>
      <c r="C305" s="299">
        <f>'RD Plant List'!$B307/12*'RD Feedstock'!C$3*'RD Plant List'!AC$5</f>
        <v>3.1250000000000004</v>
      </c>
      <c r="D305" s="299">
        <f>'RD Plant List'!$C307/12*'RD Feedstock'!D$3*'RD Plant List'!AB$5</f>
        <v>176.32395833333331</v>
      </c>
      <c r="E305" s="299">
        <f>'RD Plant List'!$C307/12*'RD Feedstock'!E$3*'RD Plant List'!AC$5</f>
        <v>9.21875</v>
      </c>
      <c r="F305" s="299">
        <f>'RD Plant List'!$D307/12*'RD Feedstock'!F$3*'RD Plant List'!AB$5</f>
        <v>2.359375</v>
      </c>
      <c r="G305" s="299">
        <f>'RD Plant List'!$D307/12*'RD Feedstock'!G$3*'RD Plant List'!AC$5</f>
        <v>0.78125</v>
      </c>
      <c r="H305" s="299">
        <f>'RD Plant List'!$E307/12*'RD Feedstock'!H$3*'RD Plant List'!AB$5</f>
        <v>138.41666666666666</v>
      </c>
      <c r="I305" s="299">
        <f>'RD Plant List'!$F307/12*'RD Feedstock'!I$3*'RD Plant List'!AB$5</f>
        <v>20.762499999999999</v>
      </c>
      <c r="J305" s="299">
        <f>'RD Plant List'!$F307/12*'RD Feedstock'!J$3*'RD Plant List'!AC$5</f>
        <v>6.875</v>
      </c>
    </row>
    <row r="306" spans="1:10" ht="18">
      <c r="A306" s="293">
        <v>53022</v>
      </c>
      <c r="B306" s="299">
        <f>'RD Plant List'!$B308/12*'RD Feedstock'!B$3*'RD Plant List'!AB$5</f>
        <v>59.770833333333336</v>
      </c>
      <c r="C306" s="299">
        <f>'RD Plant List'!$B308/12*'RD Feedstock'!C$3*'RD Plant List'!AC$5</f>
        <v>3.1250000000000004</v>
      </c>
      <c r="D306" s="299">
        <f>'RD Plant List'!$C308/12*'RD Feedstock'!D$3*'RD Plant List'!AB$5</f>
        <v>176.32395833333331</v>
      </c>
      <c r="E306" s="299">
        <f>'RD Plant List'!$C308/12*'RD Feedstock'!E$3*'RD Plant List'!AC$5</f>
        <v>9.21875</v>
      </c>
      <c r="F306" s="299">
        <f>'RD Plant List'!$D308/12*'RD Feedstock'!F$3*'RD Plant List'!AB$5</f>
        <v>2.359375</v>
      </c>
      <c r="G306" s="299">
        <f>'RD Plant List'!$D308/12*'RD Feedstock'!G$3*'RD Plant List'!AC$5</f>
        <v>0.78125</v>
      </c>
      <c r="H306" s="299">
        <f>'RD Plant List'!$E308/12*'RD Feedstock'!H$3*'RD Plant List'!AB$5</f>
        <v>138.41666666666666</v>
      </c>
      <c r="I306" s="299">
        <f>'RD Plant List'!$F308/12*'RD Feedstock'!I$3*'RD Plant List'!AB$5</f>
        <v>20.762499999999999</v>
      </c>
      <c r="J306" s="299">
        <f>'RD Plant List'!$F308/12*'RD Feedstock'!J$3*'RD Plant List'!AC$5</f>
        <v>6.875</v>
      </c>
    </row>
    <row r="307" spans="1:10" ht="18">
      <c r="A307" s="293">
        <v>53053</v>
      </c>
      <c r="B307" s="299">
        <f>'RD Plant List'!$B309/12*'RD Feedstock'!B$3*'RD Plant List'!AB$5</f>
        <v>59.770833333333336</v>
      </c>
      <c r="C307" s="299">
        <f>'RD Plant List'!$B309/12*'RD Feedstock'!C$3*'RD Plant List'!AC$5</f>
        <v>3.1250000000000004</v>
      </c>
      <c r="D307" s="299">
        <f>'RD Plant List'!$C309/12*'RD Feedstock'!D$3*'RD Plant List'!AB$5</f>
        <v>176.32395833333331</v>
      </c>
      <c r="E307" s="299">
        <f>'RD Plant List'!$C309/12*'RD Feedstock'!E$3*'RD Plant List'!AC$5</f>
        <v>9.21875</v>
      </c>
      <c r="F307" s="299">
        <f>'RD Plant List'!$D309/12*'RD Feedstock'!F$3*'RD Plant List'!AB$5</f>
        <v>2.359375</v>
      </c>
      <c r="G307" s="299">
        <f>'RD Plant List'!$D309/12*'RD Feedstock'!G$3*'RD Plant List'!AC$5</f>
        <v>0.78125</v>
      </c>
      <c r="H307" s="299">
        <f>'RD Plant List'!$E309/12*'RD Feedstock'!H$3*'RD Plant List'!AB$5</f>
        <v>138.41666666666666</v>
      </c>
      <c r="I307" s="299">
        <f>'RD Plant List'!$F309/12*'RD Feedstock'!I$3*'RD Plant List'!AB$5</f>
        <v>20.762499999999999</v>
      </c>
      <c r="J307" s="299">
        <f>'RD Plant List'!$F309/12*'RD Feedstock'!J$3*'RD Plant List'!AC$5</f>
        <v>6.875</v>
      </c>
    </row>
    <row r="308" spans="1:10" ht="18">
      <c r="A308" s="293">
        <v>53083</v>
      </c>
      <c r="B308" s="299">
        <f>'RD Plant List'!$B310/12*'RD Feedstock'!B$3*'RD Plant List'!AB$5</f>
        <v>59.770833333333336</v>
      </c>
      <c r="C308" s="299">
        <f>'RD Plant List'!$B310/12*'RD Feedstock'!C$3*'RD Plant List'!AC$5</f>
        <v>3.1250000000000004</v>
      </c>
      <c r="D308" s="299">
        <f>'RD Plant List'!$C310/12*'RD Feedstock'!D$3*'RD Plant List'!AB$5</f>
        <v>176.32395833333331</v>
      </c>
      <c r="E308" s="299">
        <f>'RD Plant List'!$C310/12*'RD Feedstock'!E$3*'RD Plant List'!AC$5</f>
        <v>9.21875</v>
      </c>
      <c r="F308" s="299">
        <f>'RD Plant List'!$D310/12*'RD Feedstock'!F$3*'RD Plant List'!AB$5</f>
        <v>2.359375</v>
      </c>
      <c r="G308" s="299">
        <f>'RD Plant List'!$D310/12*'RD Feedstock'!G$3*'RD Plant List'!AC$5</f>
        <v>0.78125</v>
      </c>
      <c r="H308" s="299">
        <f>'RD Plant List'!$E310/12*'RD Feedstock'!H$3*'RD Plant List'!AB$5</f>
        <v>138.41666666666666</v>
      </c>
      <c r="I308" s="299">
        <f>'RD Plant List'!$F310/12*'RD Feedstock'!I$3*'RD Plant List'!AB$5</f>
        <v>20.762499999999999</v>
      </c>
      <c r="J308" s="299">
        <f>'RD Plant List'!$F310/12*'RD Feedstock'!J$3*'RD Plant List'!AC$5</f>
        <v>6.875</v>
      </c>
    </row>
    <row r="309" spans="1:10" ht="18">
      <c r="A309" s="293">
        <v>53114</v>
      </c>
      <c r="B309" s="299">
        <f>'RD Plant List'!$B311/12*'RD Feedstock'!B$3*'RD Plant List'!AB$5</f>
        <v>59.770833333333336</v>
      </c>
      <c r="C309" s="299">
        <f>'RD Plant List'!$B311/12*'RD Feedstock'!C$3*'RD Plant List'!AC$5</f>
        <v>3.1250000000000004</v>
      </c>
      <c r="D309" s="299">
        <f>'RD Plant List'!$C311/12*'RD Feedstock'!D$3*'RD Plant List'!AB$5</f>
        <v>176.32395833333331</v>
      </c>
      <c r="E309" s="299">
        <f>'RD Plant List'!$C311/12*'RD Feedstock'!E$3*'RD Plant List'!AC$5</f>
        <v>9.21875</v>
      </c>
      <c r="F309" s="299">
        <f>'RD Plant List'!$D311/12*'RD Feedstock'!F$3*'RD Plant List'!AB$5</f>
        <v>2.359375</v>
      </c>
      <c r="G309" s="299">
        <f>'RD Plant List'!$D311/12*'RD Feedstock'!G$3*'RD Plant List'!AC$5</f>
        <v>0.78125</v>
      </c>
      <c r="H309" s="299">
        <f>'RD Plant List'!$E311/12*'RD Feedstock'!H$3*'RD Plant List'!AB$5</f>
        <v>138.41666666666666</v>
      </c>
      <c r="I309" s="299">
        <f>'RD Plant List'!$F311/12*'RD Feedstock'!I$3*'RD Plant List'!AB$5</f>
        <v>20.762499999999999</v>
      </c>
      <c r="J309" s="299">
        <f>'RD Plant List'!$F311/12*'RD Feedstock'!J$3*'RD Plant List'!AC$5</f>
        <v>6.875</v>
      </c>
    </row>
    <row r="310" spans="1:10" ht="18">
      <c r="A310" s="293">
        <v>53144</v>
      </c>
      <c r="B310" s="299">
        <f>'RD Plant List'!$B312/12*'RD Feedstock'!B$3*'RD Plant List'!AB$5</f>
        <v>59.770833333333336</v>
      </c>
      <c r="C310" s="299">
        <f>'RD Plant List'!$B312/12*'RD Feedstock'!C$3*'RD Plant List'!AC$5</f>
        <v>3.1250000000000004</v>
      </c>
      <c r="D310" s="299">
        <f>'RD Plant List'!$C312/12*'RD Feedstock'!D$3*'RD Plant List'!AB$5</f>
        <v>176.32395833333331</v>
      </c>
      <c r="E310" s="299">
        <f>'RD Plant List'!$C312/12*'RD Feedstock'!E$3*'RD Plant List'!AC$5</f>
        <v>9.21875</v>
      </c>
      <c r="F310" s="299">
        <f>'RD Plant List'!$D312/12*'RD Feedstock'!F$3*'RD Plant List'!AB$5</f>
        <v>2.359375</v>
      </c>
      <c r="G310" s="299">
        <f>'RD Plant List'!$D312/12*'RD Feedstock'!G$3*'RD Plant List'!AC$5</f>
        <v>0.78125</v>
      </c>
      <c r="H310" s="299">
        <f>'RD Plant List'!$E312/12*'RD Feedstock'!H$3*'RD Plant List'!AB$5</f>
        <v>138.41666666666666</v>
      </c>
      <c r="I310" s="299">
        <f>'RD Plant List'!$F312/12*'RD Feedstock'!I$3*'RD Plant List'!AB$5</f>
        <v>20.762499999999999</v>
      </c>
      <c r="J310" s="299">
        <f>'RD Plant List'!$F312/12*'RD Feedstock'!J$3*'RD Plant List'!AC$5</f>
        <v>6.875</v>
      </c>
    </row>
    <row r="311" spans="1:10" ht="18">
      <c r="A311" s="293">
        <v>53175</v>
      </c>
      <c r="B311" s="299">
        <f>'RD Plant List'!$B313/12*'RD Feedstock'!B$3*'RD Plant List'!AB$5</f>
        <v>59.770833333333336</v>
      </c>
      <c r="C311" s="299">
        <f>'RD Plant List'!$B313/12*'RD Feedstock'!C$3*'RD Plant List'!AC$5</f>
        <v>3.1250000000000004</v>
      </c>
      <c r="D311" s="299">
        <f>'RD Plant List'!$C313/12*'RD Feedstock'!D$3*'RD Plant List'!AB$5</f>
        <v>176.32395833333331</v>
      </c>
      <c r="E311" s="299">
        <f>'RD Plant List'!$C313/12*'RD Feedstock'!E$3*'RD Plant List'!AC$5</f>
        <v>9.21875</v>
      </c>
      <c r="F311" s="299">
        <f>'RD Plant List'!$D313/12*'RD Feedstock'!F$3*'RD Plant List'!AB$5</f>
        <v>2.359375</v>
      </c>
      <c r="G311" s="299">
        <f>'RD Plant List'!$D313/12*'RD Feedstock'!G$3*'RD Plant List'!AC$5</f>
        <v>0.78125</v>
      </c>
      <c r="H311" s="299">
        <f>'RD Plant List'!$E313/12*'RD Feedstock'!H$3*'RD Plant List'!AB$5</f>
        <v>138.41666666666666</v>
      </c>
      <c r="I311" s="299">
        <f>'RD Plant List'!$F313/12*'RD Feedstock'!I$3*'RD Plant List'!AB$5</f>
        <v>20.762499999999999</v>
      </c>
      <c r="J311" s="299">
        <f>'RD Plant List'!$F313/12*'RD Feedstock'!J$3*'RD Plant List'!AC$5</f>
        <v>6.875</v>
      </c>
    </row>
    <row r="312" spans="1:10" ht="18">
      <c r="A312" s="293">
        <v>53206</v>
      </c>
      <c r="B312" s="299">
        <f>'RD Plant List'!$B314/12*'RD Feedstock'!B$3*'RD Plant List'!AB$5</f>
        <v>59.770833333333336</v>
      </c>
      <c r="C312" s="299">
        <f>'RD Plant List'!$B314/12*'RD Feedstock'!C$3*'RD Plant List'!AC$5</f>
        <v>3.1250000000000004</v>
      </c>
      <c r="D312" s="299">
        <f>'RD Plant List'!$C314/12*'RD Feedstock'!D$3*'RD Plant List'!AB$5</f>
        <v>176.32395833333331</v>
      </c>
      <c r="E312" s="299">
        <f>'RD Plant List'!$C314/12*'RD Feedstock'!E$3*'RD Plant List'!AC$5</f>
        <v>9.21875</v>
      </c>
      <c r="F312" s="299">
        <f>'RD Plant List'!$D314/12*'RD Feedstock'!F$3*'RD Plant List'!AB$5</f>
        <v>2.359375</v>
      </c>
      <c r="G312" s="299">
        <f>'RD Plant List'!$D314/12*'RD Feedstock'!G$3*'RD Plant List'!AC$5</f>
        <v>0.78125</v>
      </c>
      <c r="H312" s="299">
        <f>'RD Plant List'!$E314/12*'RD Feedstock'!H$3*'RD Plant List'!AB$5</f>
        <v>138.41666666666666</v>
      </c>
      <c r="I312" s="299">
        <f>'RD Plant List'!$F314/12*'RD Feedstock'!I$3*'RD Plant List'!AB$5</f>
        <v>20.762499999999999</v>
      </c>
      <c r="J312" s="299">
        <f>'RD Plant List'!$F314/12*'RD Feedstock'!J$3*'RD Plant List'!AC$5</f>
        <v>6.875</v>
      </c>
    </row>
    <row r="313" spans="1:10" ht="18">
      <c r="A313" s="293">
        <v>53236</v>
      </c>
      <c r="B313" s="299">
        <f>'RD Plant List'!$B315/12*'RD Feedstock'!B$3*'RD Plant List'!AB$5</f>
        <v>59.770833333333336</v>
      </c>
      <c r="C313" s="299">
        <f>'RD Plant List'!$B315/12*'RD Feedstock'!C$3*'RD Plant List'!AC$5</f>
        <v>3.1250000000000004</v>
      </c>
      <c r="D313" s="299">
        <f>'RD Plant List'!$C315/12*'RD Feedstock'!D$3*'RD Plant List'!AB$5</f>
        <v>176.32395833333331</v>
      </c>
      <c r="E313" s="299">
        <f>'RD Plant List'!$C315/12*'RD Feedstock'!E$3*'RD Plant List'!AC$5</f>
        <v>9.21875</v>
      </c>
      <c r="F313" s="299">
        <f>'RD Plant List'!$D315/12*'RD Feedstock'!F$3*'RD Plant List'!AB$5</f>
        <v>2.359375</v>
      </c>
      <c r="G313" s="299">
        <f>'RD Plant List'!$D315/12*'RD Feedstock'!G$3*'RD Plant List'!AC$5</f>
        <v>0.78125</v>
      </c>
      <c r="H313" s="299">
        <f>'RD Plant List'!$E315/12*'RD Feedstock'!H$3*'RD Plant List'!AB$5</f>
        <v>138.41666666666666</v>
      </c>
      <c r="I313" s="299">
        <f>'RD Plant List'!$F315/12*'RD Feedstock'!I$3*'RD Plant List'!AB$5</f>
        <v>20.762499999999999</v>
      </c>
      <c r="J313" s="299">
        <f>'RD Plant List'!$F315/12*'RD Feedstock'!J$3*'RD Plant List'!AC$5</f>
        <v>6.875</v>
      </c>
    </row>
    <row r="314" spans="1:10" ht="18">
      <c r="A314" s="293">
        <v>53267</v>
      </c>
      <c r="B314" s="299">
        <f>'RD Plant List'!$B316/12*'RD Feedstock'!B$3*'RD Plant List'!AB$5</f>
        <v>59.770833333333336</v>
      </c>
      <c r="C314" s="299">
        <f>'RD Plant List'!$B316/12*'RD Feedstock'!C$3*'RD Plant List'!AC$5</f>
        <v>3.1250000000000004</v>
      </c>
      <c r="D314" s="299">
        <f>'RD Plant List'!$C316/12*'RD Feedstock'!D$3*'RD Plant List'!AB$5</f>
        <v>176.32395833333331</v>
      </c>
      <c r="E314" s="299">
        <f>'RD Plant List'!$C316/12*'RD Feedstock'!E$3*'RD Plant List'!AC$5</f>
        <v>9.21875</v>
      </c>
      <c r="F314" s="299">
        <f>'RD Plant List'!$D316/12*'RD Feedstock'!F$3*'RD Plant List'!AB$5</f>
        <v>2.359375</v>
      </c>
      <c r="G314" s="299">
        <f>'RD Plant List'!$D316/12*'RD Feedstock'!G$3*'RD Plant List'!AC$5</f>
        <v>0.78125</v>
      </c>
      <c r="H314" s="299">
        <f>'RD Plant List'!$E316/12*'RD Feedstock'!H$3*'RD Plant List'!AB$5</f>
        <v>138.41666666666666</v>
      </c>
      <c r="I314" s="299">
        <f>'RD Plant List'!$F316/12*'RD Feedstock'!I$3*'RD Plant List'!AB$5</f>
        <v>20.762499999999999</v>
      </c>
      <c r="J314" s="299">
        <f>'RD Plant List'!$F316/12*'RD Feedstock'!J$3*'RD Plant List'!AC$5</f>
        <v>6.875</v>
      </c>
    </row>
    <row r="315" spans="1:10" ht="18">
      <c r="A315" s="293">
        <v>53297</v>
      </c>
      <c r="B315" s="299">
        <f>'RD Plant List'!$B317/12*'RD Feedstock'!B$3*'RD Plant List'!AB$5</f>
        <v>59.770833333333336</v>
      </c>
      <c r="C315" s="299">
        <f>'RD Plant List'!$B317/12*'RD Feedstock'!C$3*'RD Plant List'!AC$5</f>
        <v>3.1250000000000004</v>
      </c>
      <c r="D315" s="299">
        <f>'RD Plant List'!$C317/12*'RD Feedstock'!D$3*'RD Plant List'!AB$5</f>
        <v>176.32395833333331</v>
      </c>
      <c r="E315" s="299">
        <f>'RD Plant List'!$C317/12*'RD Feedstock'!E$3*'RD Plant List'!AC$5</f>
        <v>9.21875</v>
      </c>
      <c r="F315" s="299">
        <f>'RD Plant List'!$D317/12*'RD Feedstock'!F$3*'RD Plant List'!AB$5</f>
        <v>2.359375</v>
      </c>
      <c r="G315" s="299">
        <f>'RD Plant List'!$D317/12*'RD Feedstock'!G$3*'RD Plant List'!AC$5</f>
        <v>0.78125</v>
      </c>
      <c r="H315" s="299">
        <f>'RD Plant List'!$E317/12*'RD Feedstock'!H$3*'RD Plant List'!AB$5</f>
        <v>138.41666666666666</v>
      </c>
      <c r="I315" s="299">
        <f>'RD Plant List'!$F317/12*'RD Feedstock'!I$3*'RD Plant List'!AB$5</f>
        <v>20.762499999999999</v>
      </c>
      <c r="J315" s="299">
        <f>'RD Plant List'!$F317/12*'RD Feedstock'!J$3*'RD Plant List'!AC$5</f>
        <v>6.875</v>
      </c>
    </row>
    <row r="316" spans="1:10" ht="18">
      <c r="A316" s="293">
        <v>53328</v>
      </c>
      <c r="B316" s="299">
        <f>'RD Plant List'!$B318/12*'RD Feedstock'!B$3*'RD Plant List'!AB$5</f>
        <v>59.770833333333336</v>
      </c>
      <c r="C316" s="299">
        <f>'RD Plant List'!$B318/12*'RD Feedstock'!C$3*'RD Plant List'!AC$5</f>
        <v>3.1250000000000004</v>
      </c>
      <c r="D316" s="299">
        <f>'RD Plant List'!$C318/12*'RD Feedstock'!D$3*'RD Plant List'!AB$5</f>
        <v>176.32395833333331</v>
      </c>
      <c r="E316" s="299">
        <f>'RD Plant List'!$C318/12*'RD Feedstock'!E$3*'RD Plant List'!AC$5</f>
        <v>9.21875</v>
      </c>
      <c r="F316" s="299">
        <f>'RD Plant List'!$D318/12*'RD Feedstock'!F$3*'RD Plant List'!AB$5</f>
        <v>2.359375</v>
      </c>
      <c r="G316" s="299">
        <f>'RD Plant List'!$D318/12*'RD Feedstock'!G$3*'RD Plant List'!AC$5</f>
        <v>0.78125</v>
      </c>
      <c r="H316" s="299">
        <f>'RD Plant List'!$E318/12*'RD Feedstock'!H$3*'RD Plant List'!AB$5</f>
        <v>138.41666666666666</v>
      </c>
      <c r="I316" s="299">
        <f>'RD Plant List'!$F318/12*'RD Feedstock'!I$3*'RD Plant List'!AB$5</f>
        <v>20.762499999999999</v>
      </c>
      <c r="J316" s="299">
        <f>'RD Plant List'!$F318/12*'RD Feedstock'!J$3*'RD Plant List'!AC$5</f>
        <v>6.875</v>
      </c>
    </row>
    <row r="317" spans="1:10" ht="18">
      <c r="A317" s="293">
        <v>53359</v>
      </c>
      <c r="B317" s="299">
        <f>'RD Plant List'!$B319/12*'RD Feedstock'!B$3*'RD Plant List'!AB$5</f>
        <v>59.770833333333336</v>
      </c>
      <c r="C317" s="299">
        <f>'RD Plant List'!$B319/12*'RD Feedstock'!C$3*'RD Plant List'!AC$5</f>
        <v>3.1250000000000004</v>
      </c>
      <c r="D317" s="299">
        <f>'RD Plant List'!$C319/12*'RD Feedstock'!D$3*'RD Plant List'!AB$5</f>
        <v>176.32395833333331</v>
      </c>
      <c r="E317" s="299">
        <f>'RD Plant List'!$C319/12*'RD Feedstock'!E$3*'RD Plant List'!AC$5</f>
        <v>9.21875</v>
      </c>
      <c r="F317" s="299">
        <f>'RD Plant List'!$D319/12*'RD Feedstock'!F$3*'RD Plant List'!AB$5</f>
        <v>2.359375</v>
      </c>
      <c r="G317" s="299">
        <f>'RD Plant List'!$D319/12*'RD Feedstock'!G$3*'RD Plant List'!AC$5</f>
        <v>0.78125</v>
      </c>
      <c r="H317" s="299">
        <f>'RD Plant List'!$E319/12*'RD Feedstock'!H$3*'RD Plant List'!AB$5</f>
        <v>138.41666666666666</v>
      </c>
      <c r="I317" s="299">
        <f>'RD Plant List'!$F319/12*'RD Feedstock'!I$3*'RD Plant List'!AB$5</f>
        <v>20.762499999999999</v>
      </c>
      <c r="J317" s="299">
        <f>'RD Plant List'!$F319/12*'RD Feedstock'!J$3*'RD Plant List'!AC$5</f>
        <v>6.875</v>
      </c>
    </row>
    <row r="318" spans="1:10" ht="18">
      <c r="A318" s="293">
        <v>53387</v>
      </c>
      <c r="B318" s="299">
        <f>'RD Plant List'!$B320/12*'RD Feedstock'!B$3*'RD Plant List'!AB$5</f>
        <v>59.770833333333336</v>
      </c>
      <c r="C318" s="299">
        <f>'RD Plant List'!$B320/12*'RD Feedstock'!C$3*'RD Plant List'!AC$5</f>
        <v>3.1250000000000004</v>
      </c>
      <c r="D318" s="299">
        <f>'RD Plant List'!$C320/12*'RD Feedstock'!D$3*'RD Plant List'!AB$5</f>
        <v>176.32395833333331</v>
      </c>
      <c r="E318" s="299">
        <f>'RD Plant List'!$C320/12*'RD Feedstock'!E$3*'RD Plant List'!AC$5</f>
        <v>9.21875</v>
      </c>
      <c r="F318" s="299">
        <f>'RD Plant List'!$D320/12*'RD Feedstock'!F$3*'RD Plant List'!AB$5</f>
        <v>2.359375</v>
      </c>
      <c r="G318" s="299">
        <f>'RD Plant List'!$D320/12*'RD Feedstock'!G$3*'RD Plant List'!AC$5</f>
        <v>0.78125</v>
      </c>
      <c r="H318" s="299">
        <f>'RD Plant List'!$E320/12*'RD Feedstock'!H$3*'RD Plant List'!AB$5</f>
        <v>138.41666666666666</v>
      </c>
      <c r="I318" s="299">
        <f>'RD Plant List'!$F320/12*'RD Feedstock'!I$3*'RD Plant List'!AB$5</f>
        <v>20.762499999999999</v>
      </c>
      <c r="J318" s="299">
        <f>'RD Plant List'!$F320/12*'RD Feedstock'!J$3*'RD Plant List'!AC$5</f>
        <v>6.875</v>
      </c>
    </row>
    <row r="319" spans="1:10" ht="18">
      <c r="A319" s="293">
        <v>53418</v>
      </c>
      <c r="B319" s="299">
        <f>'RD Plant List'!$B321/12*'RD Feedstock'!B$3*'RD Plant List'!AB$5</f>
        <v>59.770833333333336</v>
      </c>
      <c r="C319" s="299">
        <f>'RD Plant List'!$B321/12*'RD Feedstock'!C$3*'RD Plant List'!AC$5</f>
        <v>3.1250000000000004</v>
      </c>
      <c r="D319" s="299">
        <f>'RD Plant List'!$C321/12*'RD Feedstock'!D$3*'RD Plant List'!AB$5</f>
        <v>176.32395833333331</v>
      </c>
      <c r="E319" s="299">
        <f>'RD Plant List'!$C321/12*'RD Feedstock'!E$3*'RD Plant List'!AC$5</f>
        <v>9.21875</v>
      </c>
      <c r="F319" s="299">
        <f>'RD Plant List'!$D321/12*'RD Feedstock'!F$3*'RD Plant List'!AB$5</f>
        <v>2.359375</v>
      </c>
      <c r="G319" s="299">
        <f>'RD Plant List'!$D321/12*'RD Feedstock'!G$3*'RD Plant List'!AC$5</f>
        <v>0.78125</v>
      </c>
      <c r="H319" s="299">
        <f>'RD Plant List'!$E321/12*'RD Feedstock'!H$3*'RD Plant List'!AB$5</f>
        <v>138.41666666666666</v>
      </c>
      <c r="I319" s="299">
        <f>'RD Plant List'!$F321/12*'RD Feedstock'!I$3*'RD Plant List'!AB$5</f>
        <v>20.762499999999999</v>
      </c>
      <c r="J319" s="299">
        <f>'RD Plant List'!$F321/12*'RD Feedstock'!J$3*'RD Plant List'!AC$5</f>
        <v>6.875</v>
      </c>
    </row>
    <row r="320" spans="1:10" ht="18">
      <c r="A320" s="293">
        <v>53448</v>
      </c>
      <c r="B320" s="299">
        <f>'RD Plant List'!$B322/12*'RD Feedstock'!B$3*'RD Plant List'!AB$5</f>
        <v>59.770833333333336</v>
      </c>
      <c r="C320" s="299">
        <f>'RD Plant List'!$B322/12*'RD Feedstock'!C$3*'RD Plant List'!AC$5</f>
        <v>3.1250000000000004</v>
      </c>
      <c r="D320" s="299">
        <f>'RD Plant List'!$C322/12*'RD Feedstock'!D$3*'RD Plant List'!AB$5</f>
        <v>176.32395833333331</v>
      </c>
      <c r="E320" s="299">
        <f>'RD Plant List'!$C322/12*'RD Feedstock'!E$3*'RD Plant List'!AC$5</f>
        <v>9.21875</v>
      </c>
      <c r="F320" s="299">
        <f>'RD Plant List'!$D322/12*'RD Feedstock'!F$3*'RD Plant List'!AB$5</f>
        <v>2.359375</v>
      </c>
      <c r="G320" s="299">
        <f>'RD Plant List'!$D322/12*'RD Feedstock'!G$3*'RD Plant List'!AC$5</f>
        <v>0.78125</v>
      </c>
      <c r="H320" s="299">
        <f>'RD Plant List'!$E322/12*'RD Feedstock'!H$3*'RD Plant List'!AB$5</f>
        <v>138.41666666666666</v>
      </c>
      <c r="I320" s="299">
        <f>'RD Plant List'!$F322/12*'RD Feedstock'!I$3*'RD Plant List'!AB$5</f>
        <v>20.762499999999999</v>
      </c>
      <c r="J320" s="299">
        <f>'RD Plant List'!$F322/12*'RD Feedstock'!J$3*'RD Plant List'!AC$5</f>
        <v>6.875</v>
      </c>
    </row>
    <row r="321" spans="1:10" ht="18">
      <c r="A321" s="293">
        <v>53479</v>
      </c>
      <c r="B321" s="299">
        <f>'RD Plant List'!$B323/12*'RD Feedstock'!B$3*'RD Plant List'!AB$5</f>
        <v>59.770833333333336</v>
      </c>
      <c r="C321" s="299">
        <f>'RD Plant List'!$B323/12*'RD Feedstock'!C$3*'RD Plant List'!AC$5</f>
        <v>3.1250000000000004</v>
      </c>
      <c r="D321" s="299">
        <f>'RD Plant List'!$C323/12*'RD Feedstock'!D$3*'RD Plant List'!AB$5</f>
        <v>176.32395833333331</v>
      </c>
      <c r="E321" s="299">
        <f>'RD Plant List'!$C323/12*'RD Feedstock'!E$3*'RD Plant List'!AC$5</f>
        <v>9.21875</v>
      </c>
      <c r="F321" s="299">
        <f>'RD Plant List'!$D323/12*'RD Feedstock'!F$3*'RD Plant List'!AB$5</f>
        <v>2.359375</v>
      </c>
      <c r="G321" s="299">
        <f>'RD Plant List'!$D323/12*'RD Feedstock'!G$3*'RD Plant List'!AC$5</f>
        <v>0.78125</v>
      </c>
      <c r="H321" s="299">
        <f>'RD Plant List'!$E323/12*'RD Feedstock'!H$3*'RD Plant List'!AB$5</f>
        <v>138.41666666666666</v>
      </c>
      <c r="I321" s="299">
        <f>'RD Plant List'!$F323/12*'RD Feedstock'!I$3*'RD Plant List'!AB$5</f>
        <v>20.762499999999999</v>
      </c>
      <c r="J321" s="299">
        <f>'RD Plant List'!$F323/12*'RD Feedstock'!J$3*'RD Plant List'!AC$5</f>
        <v>6.875</v>
      </c>
    </row>
    <row r="322" spans="1:10" ht="18">
      <c r="A322" s="293">
        <v>53509</v>
      </c>
      <c r="B322" s="299">
        <f>'RD Plant List'!$B324/12*'RD Feedstock'!B$3*'RD Plant List'!AB$5</f>
        <v>59.770833333333336</v>
      </c>
      <c r="C322" s="299">
        <f>'RD Plant List'!$B324/12*'RD Feedstock'!C$3*'RD Plant List'!AC$5</f>
        <v>3.1250000000000004</v>
      </c>
      <c r="D322" s="299">
        <f>'RD Plant List'!$C324/12*'RD Feedstock'!D$3*'RD Plant List'!AB$5</f>
        <v>176.32395833333331</v>
      </c>
      <c r="E322" s="299">
        <f>'RD Plant List'!$C324/12*'RD Feedstock'!E$3*'RD Plant List'!AC$5</f>
        <v>9.21875</v>
      </c>
      <c r="F322" s="299">
        <f>'RD Plant List'!$D324/12*'RD Feedstock'!F$3*'RD Plant List'!AB$5</f>
        <v>2.359375</v>
      </c>
      <c r="G322" s="299">
        <f>'RD Plant List'!$D324/12*'RD Feedstock'!G$3*'RD Plant List'!AC$5</f>
        <v>0.78125</v>
      </c>
      <c r="H322" s="299">
        <f>'RD Plant List'!$E324/12*'RD Feedstock'!H$3*'RD Plant List'!AB$5</f>
        <v>138.41666666666666</v>
      </c>
      <c r="I322" s="299">
        <f>'RD Plant List'!$F324/12*'RD Feedstock'!I$3*'RD Plant List'!AB$5</f>
        <v>20.762499999999999</v>
      </c>
      <c r="J322" s="299">
        <f>'RD Plant List'!$F324/12*'RD Feedstock'!J$3*'RD Plant List'!AC$5</f>
        <v>6.875</v>
      </c>
    </row>
    <row r="323" spans="1:10" ht="18">
      <c r="A323" s="293">
        <v>53540</v>
      </c>
      <c r="B323" s="299">
        <f>'RD Plant List'!$B325/12*'RD Feedstock'!B$3*'RD Plant List'!AB$5</f>
        <v>59.770833333333336</v>
      </c>
      <c r="C323" s="299">
        <f>'RD Plant List'!$B325/12*'RD Feedstock'!C$3*'RD Plant List'!AC$5</f>
        <v>3.1250000000000004</v>
      </c>
      <c r="D323" s="299">
        <f>'RD Plant List'!$C325/12*'RD Feedstock'!D$3*'RD Plant List'!AB$5</f>
        <v>176.32395833333331</v>
      </c>
      <c r="E323" s="299">
        <f>'RD Plant List'!$C325/12*'RD Feedstock'!E$3*'RD Plant List'!AC$5</f>
        <v>9.21875</v>
      </c>
      <c r="F323" s="299">
        <f>'RD Plant List'!$D325/12*'RD Feedstock'!F$3*'RD Plant List'!AB$5</f>
        <v>2.359375</v>
      </c>
      <c r="G323" s="299">
        <f>'RD Plant List'!$D325/12*'RD Feedstock'!G$3*'RD Plant List'!AC$5</f>
        <v>0.78125</v>
      </c>
      <c r="H323" s="299">
        <f>'RD Plant List'!$E325/12*'RD Feedstock'!H$3*'RD Plant List'!AB$5</f>
        <v>138.41666666666666</v>
      </c>
      <c r="I323" s="299">
        <f>'RD Plant List'!$F325/12*'RD Feedstock'!I$3*'RD Plant List'!AB$5</f>
        <v>20.762499999999999</v>
      </c>
      <c r="J323" s="299">
        <f>'RD Plant List'!$F325/12*'RD Feedstock'!J$3*'RD Plant List'!AC$5</f>
        <v>6.875</v>
      </c>
    </row>
    <row r="324" spans="1:10" ht="18">
      <c r="A324" s="293">
        <v>53571</v>
      </c>
      <c r="B324" s="299">
        <f>'RD Plant List'!$B326/12*'RD Feedstock'!B$3*'RD Plant List'!AB$5</f>
        <v>59.770833333333336</v>
      </c>
      <c r="C324" s="299">
        <f>'RD Plant List'!$B326/12*'RD Feedstock'!C$3*'RD Plant List'!AC$5</f>
        <v>3.1250000000000004</v>
      </c>
      <c r="D324" s="299">
        <f>'RD Plant List'!$C326/12*'RD Feedstock'!D$3*'RD Plant List'!AB$5</f>
        <v>176.32395833333331</v>
      </c>
      <c r="E324" s="299">
        <f>'RD Plant List'!$C326/12*'RD Feedstock'!E$3*'RD Plant List'!AC$5</f>
        <v>9.21875</v>
      </c>
      <c r="F324" s="299">
        <f>'RD Plant List'!$D326/12*'RD Feedstock'!F$3*'RD Plant List'!AB$5</f>
        <v>2.359375</v>
      </c>
      <c r="G324" s="299">
        <f>'RD Plant List'!$D326/12*'RD Feedstock'!G$3*'RD Plant List'!AC$5</f>
        <v>0.78125</v>
      </c>
      <c r="H324" s="299">
        <f>'RD Plant List'!$E326/12*'RD Feedstock'!H$3*'RD Plant List'!AB$5</f>
        <v>138.41666666666666</v>
      </c>
      <c r="I324" s="299">
        <f>'RD Plant List'!$F326/12*'RD Feedstock'!I$3*'RD Plant List'!AB$5</f>
        <v>20.762499999999999</v>
      </c>
      <c r="J324" s="299">
        <f>'RD Plant List'!$F326/12*'RD Feedstock'!J$3*'RD Plant List'!AC$5</f>
        <v>6.875</v>
      </c>
    </row>
    <row r="325" spans="1:10" ht="18">
      <c r="A325" s="293">
        <v>53601</v>
      </c>
      <c r="B325" s="299">
        <f>'RD Plant List'!$B327/12*'RD Feedstock'!B$3*'RD Plant List'!AB$5</f>
        <v>59.770833333333336</v>
      </c>
      <c r="C325" s="299">
        <f>'RD Plant List'!$B327/12*'RD Feedstock'!C$3*'RD Plant List'!AC$5</f>
        <v>3.1250000000000004</v>
      </c>
      <c r="D325" s="299">
        <f>'RD Plant List'!$C327/12*'RD Feedstock'!D$3*'RD Plant List'!AB$5</f>
        <v>176.32395833333331</v>
      </c>
      <c r="E325" s="299">
        <f>'RD Plant List'!$C327/12*'RD Feedstock'!E$3*'RD Plant List'!AC$5</f>
        <v>9.21875</v>
      </c>
      <c r="F325" s="299">
        <f>'RD Plant List'!$D327/12*'RD Feedstock'!F$3*'RD Plant List'!AB$5</f>
        <v>2.359375</v>
      </c>
      <c r="G325" s="299">
        <f>'RD Plant List'!$D327/12*'RD Feedstock'!G$3*'RD Plant List'!AC$5</f>
        <v>0.78125</v>
      </c>
      <c r="H325" s="299">
        <f>'RD Plant List'!$E327/12*'RD Feedstock'!H$3*'RD Plant List'!AB$5</f>
        <v>138.41666666666666</v>
      </c>
      <c r="I325" s="299">
        <f>'RD Plant List'!$F327/12*'RD Feedstock'!I$3*'RD Plant List'!AB$5</f>
        <v>20.762499999999999</v>
      </c>
      <c r="J325" s="299">
        <f>'RD Plant List'!$F327/12*'RD Feedstock'!J$3*'RD Plant List'!AC$5</f>
        <v>6.875</v>
      </c>
    </row>
    <row r="326" spans="1:10" ht="18">
      <c r="A326" s="293">
        <v>53632</v>
      </c>
      <c r="B326" s="299">
        <f>'RD Plant List'!$B328/12*'RD Feedstock'!B$3*'RD Plant List'!AB$5</f>
        <v>59.770833333333336</v>
      </c>
      <c r="C326" s="299">
        <f>'RD Plant List'!$B328/12*'RD Feedstock'!C$3*'RD Plant List'!AC$5</f>
        <v>3.1250000000000004</v>
      </c>
      <c r="D326" s="299">
        <f>'RD Plant List'!$C328/12*'RD Feedstock'!D$3*'RD Plant List'!AB$5</f>
        <v>176.32395833333331</v>
      </c>
      <c r="E326" s="299">
        <f>'RD Plant List'!$C328/12*'RD Feedstock'!E$3*'RD Plant List'!AC$5</f>
        <v>9.21875</v>
      </c>
      <c r="F326" s="299">
        <f>'RD Plant List'!$D328/12*'RD Feedstock'!F$3*'RD Plant List'!AB$5</f>
        <v>2.359375</v>
      </c>
      <c r="G326" s="299">
        <f>'RD Plant List'!$D328/12*'RD Feedstock'!G$3*'RD Plant List'!AC$5</f>
        <v>0.78125</v>
      </c>
      <c r="H326" s="299">
        <f>'RD Plant List'!$E328/12*'RD Feedstock'!H$3*'RD Plant List'!AB$5</f>
        <v>138.41666666666666</v>
      </c>
      <c r="I326" s="299">
        <f>'RD Plant List'!$F328/12*'RD Feedstock'!I$3*'RD Plant List'!AB$5</f>
        <v>20.762499999999999</v>
      </c>
      <c r="J326" s="299">
        <f>'RD Plant List'!$F328/12*'RD Feedstock'!J$3*'RD Plant List'!AC$5</f>
        <v>6.875</v>
      </c>
    </row>
    <row r="327" spans="1:10" ht="18">
      <c r="A327" s="293">
        <v>53662</v>
      </c>
      <c r="B327" s="299">
        <f>'RD Plant List'!$B329/12*'RD Feedstock'!B$3*'RD Plant List'!AB$5</f>
        <v>59.770833333333336</v>
      </c>
      <c r="C327" s="299">
        <f>'RD Plant List'!$B329/12*'RD Feedstock'!C$3*'RD Plant List'!AC$5</f>
        <v>3.1250000000000004</v>
      </c>
      <c r="D327" s="299">
        <f>'RD Plant List'!$C329/12*'RD Feedstock'!D$3*'RD Plant List'!AB$5</f>
        <v>176.32395833333331</v>
      </c>
      <c r="E327" s="299">
        <f>'RD Plant List'!$C329/12*'RD Feedstock'!E$3*'RD Plant List'!AC$5</f>
        <v>9.21875</v>
      </c>
      <c r="F327" s="299">
        <f>'RD Plant List'!$D329/12*'RD Feedstock'!F$3*'RD Plant List'!AB$5</f>
        <v>2.359375</v>
      </c>
      <c r="G327" s="299">
        <f>'RD Plant List'!$D329/12*'RD Feedstock'!G$3*'RD Plant List'!AC$5</f>
        <v>0.78125</v>
      </c>
      <c r="H327" s="299">
        <f>'RD Plant List'!$E329/12*'RD Feedstock'!H$3*'RD Plant List'!AB$5</f>
        <v>138.41666666666666</v>
      </c>
      <c r="I327" s="299">
        <f>'RD Plant List'!$F329/12*'RD Feedstock'!I$3*'RD Plant List'!AB$5</f>
        <v>20.762499999999999</v>
      </c>
      <c r="J327" s="299">
        <f>'RD Plant List'!$F329/12*'RD Feedstock'!J$3*'RD Plant List'!AC$5</f>
        <v>6.875</v>
      </c>
    </row>
    <row r="328" spans="1:10" ht="18">
      <c r="A328" s="293">
        <v>53693</v>
      </c>
      <c r="B328" s="299">
        <f>'RD Plant List'!$B330/12*'RD Feedstock'!B$3*'RD Plant List'!AB$5</f>
        <v>59.770833333333336</v>
      </c>
      <c r="C328" s="299">
        <f>'RD Plant List'!$B330/12*'RD Feedstock'!C$3*'RD Plant List'!AC$5</f>
        <v>3.1250000000000004</v>
      </c>
      <c r="D328" s="299">
        <f>'RD Plant List'!$C330/12*'RD Feedstock'!D$3*'RD Plant List'!AB$5</f>
        <v>176.32395833333331</v>
      </c>
      <c r="E328" s="299">
        <f>'RD Plant List'!$C330/12*'RD Feedstock'!E$3*'RD Plant List'!AC$5</f>
        <v>9.21875</v>
      </c>
      <c r="F328" s="299">
        <f>'RD Plant List'!$D330/12*'RD Feedstock'!F$3*'RD Plant List'!AB$5</f>
        <v>2.359375</v>
      </c>
      <c r="G328" s="299">
        <f>'RD Plant List'!$D330/12*'RD Feedstock'!G$3*'RD Plant List'!AC$5</f>
        <v>0.78125</v>
      </c>
      <c r="H328" s="299">
        <f>'RD Plant List'!$E330/12*'RD Feedstock'!H$3*'RD Plant List'!AB$5</f>
        <v>138.41666666666666</v>
      </c>
      <c r="I328" s="299">
        <f>'RD Plant List'!$F330/12*'RD Feedstock'!I$3*'RD Plant List'!AB$5</f>
        <v>20.762499999999999</v>
      </c>
      <c r="J328" s="299">
        <f>'RD Plant List'!$F330/12*'RD Feedstock'!J$3*'RD Plant List'!AC$5</f>
        <v>6.875</v>
      </c>
    </row>
    <row r="329" spans="1:10" ht="18">
      <c r="A329" s="293">
        <v>53724</v>
      </c>
      <c r="B329" s="299">
        <f>'RD Plant List'!$B331/12*'RD Feedstock'!B$3*'RD Plant List'!AB$5</f>
        <v>59.770833333333336</v>
      </c>
      <c r="C329" s="299">
        <f>'RD Plant List'!$B331/12*'RD Feedstock'!C$3*'RD Plant List'!AC$5</f>
        <v>3.1250000000000004</v>
      </c>
      <c r="D329" s="299">
        <f>'RD Plant List'!$C331/12*'RD Feedstock'!D$3*'RD Plant List'!AB$5</f>
        <v>176.32395833333331</v>
      </c>
      <c r="E329" s="299">
        <f>'RD Plant List'!$C331/12*'RD Feedstock'!E$3*'RD Plant List'!AC$5</f>
        <v>9.21875</v>
      </c>
      <c r="F329" s="299">
        <f>'RD Plant List'!$D331/12*'RD Feedstock'!F$3*'RD Plant List'!AB$5</f>
        <v>2.359375</v>
      </c>
      <c r="G329" s="299">
        <f>'RD Plant List'!$D331/12*'RD Feedstock'!G$3*'RD Plant List'!AC$5</f>
        <v>0.78125</v>
      </c>
      <c r="H329" s="299">
        <f>'RD Plant List'!$E331/12*'RD Feedstock'!H$3*'RD Plant List'!AB$5</f>
        <v>138.41666666666666</v>
      </c>
      <c r="I329" s="299">
        <f>'RD Plant List'!$F331/12*'RD Feedstock'!I$3*'RD Plant List'!AB$5</f>
        <v>20.762499999999999</v>
      </c>
      <c r="J329" s="299">
        <f>'RD Plant List'!$F331/12*'RD Feedstock'!J$3*'RD Plant List'!AC$5</f>
        <v>6.875</v>
      </c>
    </row>
    <row r="330" spans="1:10" ht="18">
      <c r="A330" s="293">
        <v>53752</v>
      </c>
      <c r="B330" s="299">
        <f>'RD Plant List'!$B332/12*'RD Feedstock'!B$3*'RD Plant List'!AB$5</f>
        <v>59.770833333333336</v>
      </c>
      <c r="C330" s="299">
        <f>'RD Plant List'!$B332/12*'RD Feedstock'!C$3*'RD Plant List'!AC$5</f>
        <v>3.1250000000000004</v>
      </c>
      <c r="D330" s="299">
        <f>'RD Plant List'!$C332/12*'RD Feedstock'!D$3*'RD Plant List'!AB$5</f>
        <v>176.32395833333331</v>
      </c>
      <c r="E330" s="299">
        <f>'RD Plant List'!$C332/12*'RD Feedstock'!E$3*'RD Plant List'!AC$5</f>
        <v>9.21875</v>
      </c>
      <c r="F330" s="299">
        <f>'RD Plant List'!$D332/12*'RD Feedstock'!F$3*'RD Plant List'!AB$5</f>
        <v>2.359375</v>
      </c>
      <c r="G330" s="299">
        <f>'RD Plant List'!$D332/12*'RD Feedstock'!G$3*'RD Plant List'!AC$5</f>
        <v>0.78125</v>
      </c>
      <c r="H330" s="299">
        <f>'RD Plant List'!$E332/12*'RD Feedstock'!H$3*'RD Plant List'!AB$5</f>
        <v>138.41666666666666</v>
      </c>
      <c r="I330" s="299">
        <f>'RD Plant List'!$F332/12*'RD Feedstock'!I$3*'RD Plant List'!AB$5</f>
        <v>20.762499999999999</v>
      </c>
      <c r="J330" s="299">
        <f>'RD Plant List'!$F332/12*'RD Feedstock'!J$3*'RD Plant List'!AC$5</f>
        <v>6.875</v>
      </c>
    </row>
    <row r="331" spans="1:10" ht="18">
      <c r="A331" s="293">
        <v>53783</v>
      </c>
      <c r="B331" s="299">
        <f>'RD Plant List'!$B333/12*'RD Feedstock'!B$3*'RD Plant List'!AB$5</f>
        <v>59.770833333333336</v>
      </c>
      <c r="C331" s="299">
        <f>'RD Plant List'!$B333/12*'RD Feedstock'!C$3*'RD Plant List'!AC$5</f>
        <v>3.1250000000000004</v>
      </c>
      <c r="D331" s="299">
        <f>'RD Plant List'!$C333/12*'RD Feedstock'!D$3*'RD Plant List'!AB$5</f>
        <v>176.32395833333331</v>
      </c>
      <c r="E331" s="299">
        <f>'RD Plant List'!$C333/12*'RD Feedstock'!E$3*'RD Plant List'!AC$5</f>
        <v>9.21875</v>
      </c>
      <c r="F331" s="299">
        <f>'RD Plant List'!$D333/12*'RD Feedstock'!F$3*'RD Plant List'!AB$5</f>
        <v>2.359375</v>
      </c>
      <c r="G331" s="299">
        <f>'RD Plant List'!$D333/12*'RD Feedstock'!G$3*'RD Plant List'!AC$5</f>
        <v>0.78125</v>
      </c>
      <c r="H331" s="299">
        <f>'RD Plant List'!$E333/12*'RD Feedstock'!H$3*'RD Plant List'!AB$5</f>
        <v>138.41666666666666</v>
      </c>
      <c r="I331" s="299">
        <f>'RD Plant List'!$F333/12*'RD Feedstock'!I$3*'RD Plant List'!AB$5</f>
        <v>20.762499999999999</v>
      </c>
      <c r="J331" s="299">
        <f>'RD Plant List'!$F333/12*'RD Feedstock'!J$3*'RD Plant List'!AC$5</f>
        <v>6.875</v>
      </c>
    </row>
    <row r="332" spans="1:10" ht="18">
      <c r="A332" s="293">
        <v>53813</v>
      </c>
      <c r="B332" s="299">
        <f>'RD Plant List'!$B334/12*'RD Feedstock'!B$3*'RD Plant List'!AB$5</f>
        <v>59.770833333333336</v>
      </c>
      <c r="C332" s="299">
        <f>'RD Plant List'!$B334/12*'RD Feedstock'!C$3*'RD Plant List'!AC$5</f>
        <v>3.1250000000000004</v>
      </c>
      <c r="D332" s="299">
        <f>'RD Plant List'!$C334/12*'RD Feedstock'!D$3*'RD Plant List'!AB$5</f>
        <v>176.32395833333331</v>
      </c>
      <c r="E332" s="299">
        <f>'RD Plant List'!$C334/12*'RD Feedstock'!E$3*'RD Plant List'!AC$5</f>
        <v>9.21875</v>
      </c>
      <c r="F332" s="299">
        <f>'RD Plant List'!$D334/12*'RD Feedstock'!F$3*'RD Plant List'!AB$5</f>
        <v>2.359375</v>
      </c>
      <c r="G332" s="299">
        <f>'RD Plant List'!$D334/12*'RD Feedstock'!G$3*'RD Plant List'!AC$5</f>
        <v>0.78125</v>
      </c>
      <c r="H332" s="299">
        <f>'RD Plant List'!$E334/12*'RD Feedstock'!H$3*'RD Plant List'!AB$5</f>
        <v>138.41666666666666</v>
      </c>
      <c r="I332" s="299">
        <f>'RD Plant List'!$F334/12*'RD Feedstock'!I$3*'RD Plant List'!AB$5</f>
        <v>20.762499999999999</v>
      </c>
      <c r="J332" s="299">
        <f>'RD Plant List'!$F334/12*'RD Feedstock'!J$3*'RD Plant List'!AC$5</f>
        <v>6.875</v>
      </c>
    </row>
    <row r="333" spans="1:10" ht="18">
      <c r="A333" s="293">
        <v>53844</v>
      </c>
      <c r="B333" s="299">
        <f>'RD Plant List'!$B335/12*'RD Feedstock'!B$3*'RD Plant List'!AB$5</f>
        <v>59.770833333333336</v>
      </c>
      <c r="C333" s="299">
        <f>'RD Plant List'!$B335/12*'RD Feedstock'!C$3*'RD Plant List'!AC$5</f>
        <v>3.1250000000000004</v>
      </c>
      <c r="D333" s="299">
        <f>'RD Plant List'!$C335/12*'RD Feedstock'!D$3*'RD Plant List'!AB$5</f>
        <v>176.32395833333331</v>
      </c>
      <c r="E333" s="299">
        <f>'RD Plant List'!$C335/12*'RD Feedstock'!E$3*'RD Plant List'!AC$5</f>
        <v>9.21875</v>
      </c>
      <c r="F333" s="299">
        <f>'RD Plant List'!$D335/12*'RD Feedstock'!F$3*'RD Plant List'!AB$5</f>
        <v>2.359375</v>
      </c>
      <c r="G333" s="299">
        <f>'RD Plant List'!$D335/12*'RD Feedstock'!G$3*'RD Plant List'!AC$5</f>
        <v>0.78125</v>
      </c>
      <c r="H333" s="299">
        <f>'RD Plant List'!$E335/12*'RD Feedstock'!H$3*'RD Plant List'!AB$5</f>
        <v>138.41666666666666</v>
      </c>
      <c r="I333" s="299">
        <f>'RD Plant List'!$F335/12*'RD Feedstock'!I$3*'RD Plant List'!AB$5</f>
        <v>20.762499999999999</v>
      </c>
      <c r="J333" s="299">
        <f>'RD Plant List'!$F335/12*'RD Feedstock'!J$3*'RD Plant List'!AC$5</f>
        <v>6.875</v>
      </c>
    </row>
    <row r="334" spans="1:10" ht="18">
      <c r="A334" s="293">
        <v>53874</v>
      </c>
      <c r="B334" s="299">
        <f>'RD Plant List'!$B336/12*'RD Feedstock'!B$3*'RD Plant List'!AB$5</f>
        <v>59.770833333333336</v>
      </c>
      <c r="C334" s="299">
        <f>'RD Plant List'!$B336/12*'RD Feedstock'!C$3*'RD Plant List'!AC$5</f>
        <v>3.1250000000000004</v>
      </c>
      <c r="D334" s="299">
        <f>'RD Plant List'!$C336/12*'RD Feedstock'!D$3*'RD Plant List'!AB$5</f>
        <v>176.32395833333331</v>
      </c>
      <c r="E334" s="299">
        <f>'RD Plant List'!$C336/12*'RD Feedstock'!E$3*'RD Plant List'!AC$5</f>
        <v>9.21875</v>
      </c>
      <c r="F334" s="299">
        <f>'RD Plant List'!$D336/12*'RD Feedstock'!F$3*'RD Plant List'!AB$5</f>
        <v>2.359375</v>
      </c>
      <c r="G334" s="299">
        <f>'RD Plant List'!$D336/12*'RD Feedstock'!G$3*'RD Plant List'!AC$5</f>
        <v>0.78125</v>
      </c>
      <c r="H334" s="299">
        <f>'RD Plant List'!$E336/12*'RD Feedstock'!H$3*'RD Plant List'!AB$5</f>
        <v>138.41666666666666</v>
      </c>
      <c r="I334" s="299">
        <f>'RD Plant List'!$F336/12*'RD Feedstock'!I$3*'RD Plant List'!AB$5</f>
        <v>20.762499999999999</v>
      </c>
      <c r="J334" s="299">
        <f>'RD Plant List'!$F336/12*'RD Feedstock'!J$3*'RD Plant List'!AC$5</f>
        <v>6.875</v>
      </c>
    </row>
    <row r="335" spans="1:10" ht="18">
      <c r="A335" s="293">
        <v>53905</v>
      </c>
      <c r="B335" s="299">
        <f>'RD Plant List'!$B337/12*'RD Feedstock'!B$3*'RD Plant List'!AB$5</f>
        <v>59.770833333333336</v>
      </c>
      <c r="C335" s="299">
        <f>'RD Plant List'!$B337/12*'RD Feedstock'!C$3*'RD Plant List'!AC$5</f>
        <v>3.1250000000000004</v>
      </c>
      <c r="D335" s="299">
        <f>'RD Plant List'!$C337/12*'RD Feedstock'!D$3*'RD Plant List'!AB$5</f>
        <v>176.32395833333331</v>
      </c>
      <c r="E335" s="299">
        <f>'RD Plant List'!$C337/12*'RD Feedstock'!E$3*'RD Plant List'!AC$5</f>
        <v>9.21875</v>
      </c>
      <c r="F335" s="299">
        <f>'RD Plant List'!$D337/12*'RD Feedstock'!F$3*'RD Plant List'!AB$5</f>
        <v>2.359375</v>
      </c>
      <c r="G335" s="299">
        <f>'RD Plant List'!$D337/12*'RD Feedstock'!G$3*'RD Plant List'!AC$5</f>
        <v>0.78125</v>
      </c>
      <c r="H335" s="299">
        <f>'RD Plant List'!$E337/12*'RD Feedstock'!H$3*'RD Plant List'!AB$5</f>
        <v>138.41666666666666</v>
      </c>
      <c r="I335" s="299">
        <f>'RD Plant List'!$F337/12*'RD Feedstock'!I$3*'RD Plant List'!AB$5</f>
        <v>20.762499999999999</v>
      </c>
      <c r="J335" s="299">
        <f>'RD Plant List'!$F337/12*'RD Feedstock'!J$3*'RD Plant List'!AC$5</f>
        <v>6.875</v>
      </c>
    </row>
    <row r="336" spans="1:10" ht="18">
      <c r="A336" s="293">
        <v>53936</v>
      </c>
      <c r="B336" s="299">
        <f>'RD Plant List'!$B338/12*'RD Feedstock'!B$3*'RD Plant List'!AB$5</f>
        <v>59.770833333333336</v>
      </c>
      <c r="C336" s="299">
        <f>'RD Plant List'!$B338/12*'RD Feedstock'!C$3*'RD Plant List'!AC$5</f>
        <v>3.1250000000000004</v>
      </c>
      <c r="D336" s="299">
        <f>'RD Plant List'!$C338/12*'RD Feedstock'!D$3*'RD Plant List'!AB$5</f>
        <v>176.32395833333331</v>
      </c>
      <c r="E336" s="299">
        <f>'RD Plant List'!$C338/12*'RD Feedstock'!E$3*'RD Plant List'!AC$5</f>
        <v>9.21875</v>
      </c>
      <c r="F336" s="299">
        <f>'RD Plant List'!$D338/12*'RD Feedstock'!F$3*'RD Plant List'!AB$5</f>
        <v>2.359375</v>
      </c>
      <c r="G336" s="299">
        <f>'RD Plant List'!$D338/12*'RD Feedstock'!G$3*'RD Plant List'!AC$5</f>
        <v>0.78125</v>
      </c>
      <c r="H336" s="299">
        <f>'RD Plant List'!$E338/12*'RD Feedstock'!H$3*'RD Plant List'!AB$5</f>
        <v>138.41666666666666</v>
      </c>
      <c r="I336" s="299">
        <f>'RD Plant List'!$F338/12*'RD Feedstock'!I$3*'RD Plant List'!AB$5</f>
        <v>20.762499999999999</v>
      </c>
      <c r="J336" s="299">
        <f>'RD Plant List'!$F338/12*'RD Feedstock'!J$3*'RD Plant List'!AC$5</f>
        <v>6.875</v>
      </c>
    </row>
    <row r="337" spans="1:10" ht="18">
      <c r="A337" s="293">
        <v>53966</v>
      </c>
      <c r="B337" s="299">
        <f>'RD Plant List'!$B339/12*'RD Feedstock'!B$3*'RD Plant List'!AB$5</f>
        <v>59.770833333333336</v>
      </c>
      <c r="C337" s="299">
        <f>'RD Plant List'!$B339/12*'RD Feedstock'!C$3*'RD Plant List'!AC$5</f>
        <v>3.1250000000000004</v>
      </c>
      <c r="D337" s="299">
        <f>'RD Plant List'!$C339/12*'RD Feedstock'!D$3*'RD Plant List'!AB$5</f>
        <v>176.32395833333331</v>
      </c>
      <c r="E337" s="299">
        <f>'RD Plant List'!$C339/12*'RD Feedstock'!E$3*'RD Plant List'!AC$5</f>
        <v>9.21875</v>
      </c>
      <c r="F337" s="299">
        <f>'RD Plant List'!$D339/12*'RD Feedstock'!F$3*'RD Plant List'!AB$5</f>
        <v>2.359375</v>
      </c>
      <c r="G337" s="299">
        <f>'RD Plant List'!$D339/12*'RD Feedstock'!G$3*'RD Plant List'!AC$5</f>
        <v>0.78125</v>
      </c>
      <c r="H337" s="299">
        <f>'RD Plant List'!$E339/12*'RD Feedstock'!H$3*'RD Plant List'!AB$5</f>
        <v>138.41666666666666</v>
      </c>
      <c r="I337" s="299">
        <f>'RD Plant List'!$F339/12*'RD Feedstock'!I$3*'RD Plant List'!AB$5</f>
        <v>20.762499999999999</v>
      </c>
      <c r="J337" s="299">
        <f>'RD Plant List'!$F339/12*'RD Feedstock'!J$3*'RD Plant List'!AC$5</f>
        <v>6.875</v>
      </c>
    </row>
    <row r="338" spans="1:10" ht="18">
      <c r="A338" s="293">
        <v>53997</v>
      </c>
      <c r="B338" s="299">
        <f>'RD Plant List'!$B340/12*'RD Feedstock'!B$3*'RD Plant List'!AB$5</f>
        <v>59.770833333333336</v>
      </c>
      <c r="C338" s="299">
        <f>'RD Plant List'!$B340/12*'RD Feedstock'!C$3*'RD Plant List'!AC$5</f>
        <v>3.1250000000000004</v>
      </c>
      <c r="D338" s="299">
        <f>'RD Plant List'!$C340/12*'RD Feedstock'!D$3*'RD Plant List'!AB$5</f>
        <v>176.32395833333331</v>
      </c>
      <c r="E338" s="299">
        <f>'RD Plant List'!$C340/12*'RD Feedstock'!E$3*'RD Plant List'!AC$5</f>
        <v>9.21875</v>
      </c>
      <c r="F338" s="299">
        <f>'RD Plant List'!$D340/12*'RD Feedstock'!F$3*'RD Plant List'!AB$5</f>
        <v>2.359375</v>
      </c>
      <c r="G338" s="299">
        <f>'RD Plant List'!$D340/12*'RD Feedstock'!G$3*'RD Plant List'!AC$5</f>
        <v>0.78125</v>
      </c>
      <c r="H338" s="299">
        <f>'RD Plant List'!$E340/12*'RD Feedstock'!H$3*'RD Plant List'!AB$5</f>
        <v>138.41666666666666</v>
      </c>
      <c r="I338" s="299">
        <f>'RD Plant List'!$F340/12*'RD Feedstock'!I$3*'RD Plant List'!AB$5</f>
        <v>20.762499999999999</v>
      </c>
      <c r="J338" s="299">
        <f>'RD Plant List'!$F340/12*'RD Feedstock'!J$3*'RD Plant List'!AC$5</f>
        <v>6.875</v>
      </c>
    </row>
    <row r="339" spans="1:10" ht="18">
      <c r="A339" s="293">
        <v>54027</v>
      </c>
      <c r="B339" s="299">
        <f>'RD Plant List'!$B341/12*'RD Feedstock'!B$3*'RD Plant List'!AB$5</f>
        <v>59.770833333333336</v>
      </c>
      <c r="C339" s="299">
        <f>'RD Plant List'!$B341/12*'RD Feedstock'!C$3*'RD Plant List'!AC$5</f>
        <v>3.1250000000000004</v>
      </c>
      <c r="D339" s="299">
        <f>'RD Plant List'!$C341/12*'RD Feedstock'!D$3*'RD Plant List'!AB$5</f>
        <v>176.32395833333331</v>
      </c>
      <c r="E339" s="299">
        <f>'RD Plant List'!$C341/12*'RD Feedstock'!E$3*'RD Plant List'!AC$5</f>
        <v>9.21875</v>
      </c>
      <c r="F339" s="299">
        <f>'RD Plant List'!$D341/12*'RD Feedstock'!F$3*'RD Plant List'!AB$5</f>
        <v>2.359375</v>
      </c>
      <c r="G339" s="299">
        <f>'RD Plant List'!$D341/12*'RD Feedstock'!G$3*'RD Plant List'!AC$5</f>
        <v>0.78125</v>
      </c>
      <c r="H339" s="299">
        <f>'RD Plant List'!$E341/12*'RD Feedstock'!H$3*'RD Plant List'!AB$5</f>
        <v>138.41666666666666</v>
      </c>
      <c r="I339" s="299">
        <f>'RD Plant List'!$F341/12*'RD Feedstock'!I$3*'RD Plant List'!AB$5</f>
        <v>20.762499999999999</v>
      </c>
      <c r="J339" s="299">
        <f>'RD Plant List'!$F341/12*'RD Feedstock'!J$3*'RD Plant List'!AC$5</f>
        <v>6.875</v>
      </c>
    </row>
    <row r="340" spans="1:10" ht="18">
      <c r="A340" s="293">
        <v>54058</v>
      </c>
      <c r="B340" s="299">
        <f>'RD Plant List'!$B342/12*'RD Feedstock'!B$3*'RD Plant List'!AB$5</f>
        <v>59.770833333333336</v>
      </c>
      <c r="C340" s="299">
        <f>'RD Plant List'!$B342/12*'RD Feedstock'!C$3*'RD Plant List'!AC$5</f>
        <v>3.1250000000000004</v>
      </c>
      <c r="D340" s="299">
        <f>'RD Plant List'!$C342/12*'RD Feedstock'!D$3*'RD Plant List'!AB$5</f>
        <v>176.32395833333331</v>
      </c>
      <c r="E340" s="299">
        <f>'RD Plant List'!$C342/12*'RD Feedstock'!E$3*'RD Plant List'!AC$5</f>
        <v>9.21875</v>
      </c>
      <c r="F340" s="299">
        <f>'RD Plant List'!$D342/12*'RD Feedstock'!F$3*'RD Plant List'!AB$5</f>
        <v>2.359375</v>
      </c>
      <c r="G340" s="299">
        <f>'RD Plant List'!$D342/12*'RD Feedstock'!G$3*'RD Plant List'!AC$5</f>
        <v>0.78125</v>
      </c>
      <c r="H340" s="299">
        <f>'RD Plant List'!$E342/12*'RD Feedstock'!H$3*'RD Plant List'!AB$5</f>
        <v>138.41666666666666</v>
      </c>
      <c r="I340" s="299">
        <f>'RD Plant List'!$F342/12*'RD Feedstock'!I$3*'RD Plant List'!AB$5</f>
        <v>20.762499999999999</v>
      </c>
      <c r="J340" s="299">
        <f>'RD Plant List'!$F342/12*'RD Feedstock'!J$3*'RD Plant List'!AC$5</f>
        <v>6.875</v>
      </c>
    </row>
    <row r="341" spans="1:10" ht="18">
      <c r="A341" s="293">
        <v>54089</v>
      </c>
      <c r="B341" s="299">
        <f>'RD Plant List'!$B343/12*'RD Feedstock'!B$3*'RD Plant List'!AB$5</f>
        <v>59.770833333333336</v>
      </c>
      <c r="C341" s="299">
        <f>'RD Plant List'!$B343/12*'RD Feedstock'!C$3*'RD Plant List'!AC$5</f>
        <v>3.1250000000000004</v>
      </c>
      <c r="D341" s="299">
        <f>'RD Plant List'!$C343/12*'RD Feedstock'!D$3*'RD Plant List'!AB$5</f>
        <v>176.32395833333331</v>
      </c>
      <c r="E341" s="299">
        <f>'RD Plant List'!$C343/12*'RD Feedstock'!E$3*'RD Plant List'!AC$5</f>
        <v>9.21875</v>
      </c>
      <c r="F341" s="299">
        <f>'RD Plant List'!$D343/12*'RD Feedstock'!F$3*'RD Plant List'!AB$5</f>
        <v>2.359375</v>
      </c>
      <c r="G341" s="299">
        <f>'RD Plant List'!$D343/12*'RD Feedstock'!G$3*'RD Plant List'!AC$5</f>
        <v>0.78125</v>
      </c>
      <c r="H341" s="299">
        <f>'RD Plant List'!$E343/12*'RD Feedstock'!H$3*'RD Plant List'!AB$5</f>
        <v>138.41666666666666</v>
      </c>
      <c r="I341" s="299">
        <f>'RD Plant List'!$F343/12*'RD Feedstock'!I$3*'RD Plant List'!AB$5</f>
        <v>20.762499999999999</v>
      </c>
      <c r="J341" s="299">
        <f>'RD Plant List'!$F343/12*'RD Feedstock'!J$3*'RD Plant List'!AC$5</f>
        <v>6.875</v>
      </c>
    </row>
    <row r="342" spans="1:10" ht="18">
      <c r="A342" s="293">
        <v>54118</v>
      </c>
      <c r="B342" s="299">
        <f>'RD Plant List'!$B344/12*'RD Feedstock'!B$3*'RD Plant List'!AB$5</f>
        <v>59.770833333333336</v>
      </c>
      <c r="C342" s="299">
        <f>'RD Plant List'!$B344/12*'RD Feedstock'!C$3*'RD Plant List'!AC$5</f>
        <v>3.1250000000000004</v>
      </c>
      <c r="D342" s="299">
        <f>'RD Plant List'!$C344/12*'RD Feedstock'!D$3*'RD Plant List'!AB$5</f>
        <v>176.32395833333331</v>
      </c>
      <c r="E342" s="299">
        <f>'RD Plant List'!$C344/12*'RD Feedstock'!E$3*'RD Plant List'!AC$5</f>
        <v>9.21875</v>
      </c>
      <c r="F342" s="299">
        <f>'RD Plant List'!$D344/12*'RD Feedstock'!F$3*'RD Plant List'!AB$5</f>
        <v>2.359375</v>
      </c>
      <c r="G342" s="299">
        <f>'RD Plant List'!$D344/12*'RD Feedstock'!G$3*'RD Plant List'!AC$5</f>
        <v>0.78125</v>
      </c>
      <c r="H342" s="299">
        <f>'RD Plant List'!$E344/12*'RD Feedstock'!H$3*'RD Plant List'!AB$5</f>
        <v>138.41666666666666</v>
      </c>
      <c r="I342" s="299">
        <f>'RD Plant List'!$F344/12*'RD Feedstock'!I$3*'RD Plant List'!AB$5</f>
        <v>20.762499999999999</v>
      </c>
      <c r="J342" s="299">
        <f>'RD Plant List'!$F344/12*'RD Feedstock'!J$3*'RD Plant List'!AC$5</f>
        <v>6.875</v>
      </c>
    </row>
    <row r="343" spans="1:10" ht="18">
      <c r="A343" s="293">
        <v>54149</v>
      </c>
      <c r="B343" s="299">
        <f>'RD Plant List'!$B345/12*'RD Feedstock'!B$3*'RD Plant List'!AB$5</f>
        <v>59.770833333333336</v>
      </c>
      <c r="C343" s="299">
        <f>'RD Plant List'!$B345/12*'RD Feedstock'!C$3*'RD Plant List'!AC$5</f>
        <v>3.1250000000000004</v>
      </c>
      <c r="D343" s="299">
        <f>'RD Plant List'!$C345/12*'RD Feedstock'!D$3*'RD Plant List'!AB$5</f>
        <v>176.32395833333331</v>
      </c>
      <c r="E343" s="299">
        <f>'RD Plant List'!$C345/12*'RD Feedstock'!E$3*'RD Plant List'!AC$5</f>
        <v>9.21875</v>
      </c>
      <c r="F343" s="299">
        <f>'RD Plant List'!$D345/12*'RD Feedstock'!F$3*'RD Plant List'!AB$5</f>
        <v>2.359375</v>
      </c>
      <c r="G343" s="299">
        <f>'RD Plant List'!$D345/12*'RD Feedstock'!G$3*'RD Plant List'!AC$5</f>
        <v>0.78125</v>
      </c>
      <c r="H343" s="299">
        <f>'RD Plant List'!$E345/12*'RD Feedstock'!H$3*'RD Plant List'!AB$5</f>
        <v>138.41666666666666</v>
      </c>
      <c r="I343" s="299">
        <f>'RD Plant List'!$F345/12*'RD Feedstock'!I$3*'RD Plant List'!AB$5</f>
        <v>20.762499999999999</v>
      </c>
      <c r="J343" s="299">
        <f>'RD Plant List'!$F345/12*'RD Feedstock'!J$3*'RD Plant List'!AC$5</f>
        <v>6.875</v>
      </c>
    </row>
    <row r="344" spans="1:10" ht="18">
      <c r="A344" s="293">
        <v>54179</v>
      </c>
      <c r="B344" s="299">
        <f>'RD Plant List'!$B346/12*'RD Feedstock'!B$3*'RD Plant List'!AB$5</f>
        <v>59.770833333333336</v>
      </c>
      <c r="C344" s="299">
        <f>'RD Plant List'!$B346/12*'RD Feedstock'!C$3*'RD Plant List'!AC$5</f>
        <v>3.1250000000000004</v>
      </c>
      <c r="D344" s="299">
        <f>'RD Plant List'!$C346/12*'RD Feedstock'!D$3*'RD Plant List'!AB$5</f>
        <v>176.32395833333331</v>
      </c>
      <c r="E344" s="299">
        <f>'RD Plant List'!$C346/12*'RD Feedstock'!E$3*'RD Plant List'!AC$5</f>
        <v>9.21875</v>
      </c>
      <c r="F344" s="299">
        <f>'RD Plant List'!$D346/12*'RD Feedstock'!F$3*'RD Plant List'!AB$5</f>
        <v>2.359375</v>
      </c>
      <c r="G344" s="299">
        <f>'RD Plant List'!$D346/12*'RD Feedstock'!G$3*'RD Plant List'!AC$5</f>
        <v>0.78125</v>
      </c>
      <c r="H344" s="299">
        <f>'RD Plant List'!$E346/12*'RD Feedstock'!H$3*'RD Plant List'!AB$5</f>
        <v>138.41666666666666</v>
      </c>
      <c r="I344" s="299">
        <f>'RD Plant List'!$F346/12*'RD Feedstock'!I$3*'RD Plant List'!AB$5</f>
        <v>20.762499999999999</v>
      </c>
      <c r="J344" s="299">
        <f>'RD Plant List'!$F346/12*'RD Feedstock'!J$3*'RD Plant List'!AC$5</f>
        <v>6.875</v>
      </c>
    </row>
    <row r="345" spans="1:10" ht="18">
      <c r="A345" s="293">
        <v>54210</v>
      </c>
      <c r="B345" s="299">
        <f>'RD Plant List'!$B347/12*'RD Feedstock'!B$3*'RD Plant List'!AB$5</f>
        <v>59.770833333333336</v>
      </c>
      <c r="C345" s="299">
        <f>'RD Plant List'!$B347/12*'RD Feedstock'!C$3*'RD Plant List'!AC$5</f>
        <v>3.1250000000000004</v>
      </c>
      <c r="D345" s="299">
        <f>'RD Plant List'!$C347/12*'RD Feedstock'!D$3*'RD Plant List'!AB$5</f>
        <v>176.32395833333331</v>
      </c>
      <c r="E345" s="299">
        <f>'RD Plant List'!$C347/12*'RD Feedstock'!E$3*'RD Plant List'!AC$5</f>
        <v>9.21875</v>
      </c>
      <c r="F345" s="299">
        <f>'RD Plant List'!$D347/12*'RD Feedstock'!F$3*'RD Plant List'!AB$5</f>
        <v>2.359375</v>
      </c>
      <c r="G345" s="299">
        <f>'RD Plant List'!$D347/12*'RD Feedstock'!G$3*'RD Plant List'!AC$5</f>
        <v>0.78125</v>
      </c>
      <c r="H345" s="299">
        <f>'RD Plant List'!$E347/12*'RD Feedstock'!H$3*'RD Plant List'!AB$5</f>
        <v>138.41666666666666</v>
      </c>
      <c r="I345" s="299">
        <f>'RD Plant List'!$F347/12*'RD Feedstock'!I$3*'RD Plant List'!AB$5</f>
        <v>20.762499999999999</v>
      </c>
      <c r="J345" s="299">
        <f>'RD Plant List'!$F347/12*'RD Feedstock'!J$3*'RD Plant List'!AC$5</f>
        <v>6.875</v>
      </c>
    </row>
    <row r="346" spans="1:10" ht="18">
      <c r="A346" s="293">
        <v>54240</v>
      </c>
      <c r="B346" s="299">
        <f>'RD Plant List'!$B348/12*'RD Feedstock'!B$3*'RD Plant List'!AB$5</f>
        <v>59.770833333333336</v>
      </c>
      <c r="C346" s="299">
        <f>'RD Plant List'!$B348/12*'RD Feedstock'!C$3*'RD Plant List'!AC$5</f>
        <v>3.1250000000000004</v>
      </c>
      <c r="D346" s="299">
        <f>'RD Plant List'!$C348/12*'RD Feedstock'!D$3*'RD Plant List'!AB$5</f>
        <v>176.32395833333331</v>
      </c>
      <c r="E346" s="299">
        <f>'RD Plant List'!$C348/12*'RD Feedstock'!E$3*'RD Plant List'!AC$5</f>
        <v>9.21875</v>
      </c>
      <c r="F346" s="299">
        <f>'RD Plant List'!$D348/12*'RD Feedstock'!F$3*'RD Plant List'!AB$5</f>
        <v>2.359375</v>
      </c>
      <c r="G346" s="299">
        <f>'RD Plant List'!$D348/12*'RD Feedstock'!G$3*'RD Plant List'!AC$5</f>
        <v>0.78125</v>
      </c>
      <c r="H346" s="299">
        <f>'RD Plant List'!$E348/12*'RD Feedstock'!H$3*'RD Plant List'!AB$5</f>
        <v>138.41666666666666</v>
      </c>
      <c r="I346" s="299">
        <f>'RD Plant List'!$F348/12*'RD Feedstock'!I$3*'RD Plant List'!AB$5</f>
        <v>20.762499999999999</v>
      </c>
      <c r="J346" s="299">
        <f>'RD Plant List'!$F348/12*'RD Feedstock'!J$3*'RD Plant List'!AC$5</f>
        <v>6.875</v>
      </c>
    </row>
    <row r="347" spans="1:10" ht="18">
      <c r="A347" s="293">
        <v>54271</v>
      </c>
      <c r="B347" s="299">
        <f>'RD Plant List'!$B349/12*'RD Feedstock'!B$3*'RD Plant List'!AB$5</f>
        <v>59.770833333333336</v>
      </c>
      <c r="C347" s="299">
        <f>'RD Plant List'!$B349/12*'RD Feedstock'!C$3*'RD Plant List'!AC$5</f>
        <v>3.1250000000000004</v>
      </c>
      <c r="D347" s="299">
        <f>'RD Plant List'!$C349/12*'RD Feedstock'!D$3*'RD Plant List'!AB$5</f>
        <v>176.32395833333331</v>
      </c>
      <c r="E347" s="299">
        <f>'RD Plant List'!$C349/12*'RD Feedstock'!E$3*'RD Plant List'!AC$5</f>
        <v>9.21875</v>
      </c>
      <c r="F347" s="299">
        <f>'RD Plant List'!$D349/12*'RD Feedstock'!F$3*'RD Plant List'!AB$5</f>
        <v>2.359375</v>
      </c>
      <c r="G347" s="299">
        <f>'RD Plant List'!$D349/12*'RD Feedstock'!G$3*'RD Plant List'!AC$5</f>
        <v>0.78125</v>
      </c>
      <c r="H347" s="299">
        <f>'RD Plant List'!$E349/12*'RD Feedstock'!H$3*'RD Plant List'!AB$5</f>
        <v>138.41666666666666</v>
      </c>
      <c r="I347" s="299">
        <f>'RD Plant List'!$F349/12*'RD Feedstock'!I$3*'RD Plant List'!AB$5</f>
        <v>20.762499999999999</v>
      </c>
      <c r="J347" s="299">
        <f>'RD Plant List'!$F349/12*'RD Feedstock'!J$3*'RD Plant List'!AC$5</f>
        <v>6.875</v>
      </c>
    </row>
    <row r="348" spans="1:10" ht="18">
      <c r="A348" s="293">
        <v>54302</v>
      </c>
      <c r="B348" s="299">
        <f>'RD Plant List'!$B350/12*'RD Feedstock'!B$3*'RD Plant List'!AB$5</f>
        <v>59.770833333333336</v>
      </c>
      <c r="C348" s="299">
        <f>'RD Plant List'!$B350/12*'RD Feedstock'!C$3*'RD Plant List'!AC$5</f>
        <v>3.1250000000000004</v>
      </c>
      <c r="D348" s="299">
        <f>'RD Plant List'!$C350/12*'RD Feedstock'!D$3*'RD Plant List'!AB$5</f>
        <v>176.32395833333331</v>
      </c>
      <c r="E348" s="299">
        <f>'RD Plant List'!$C350/12*'RD Feedstock'!E$3*'RD Plant List'!AC$5</f>
        <v>9.21875</v>
      </c>
      <c r="F348" s="299">
        <f>'RD Plant List'!$D350/12*'RD Feedstock'!F$3*'RD Plant List'!AB$5</f>
        <v>2.359375</v>
      </c>
      <c r="G348" s="299">
        <f>'RD Plant List'!$D350/12*'RD Feedstock'!G$3*'RD Plant List'!AC$5</f>
        <v>0.78125</v>
      </c>
      <c r="H348" s="299">
        <f>'RD Plant List'!$E350/12*'RD Feedstock'!H$3*'RD Plant List'!AB$5</f>
        <v>138.41666666666666</v>
      </c>
      <c r="I348" s="299">
        <f>'RD Plant List'!$F350/12*'RD Feedstock'!I$3*'RD Plant List'!AB$5</f>
        <v>20.762499999999999</v>
      </c>
      <c r="J348" s="299">
        <f>'RD Plant List'!$F350/12*'RD Feedstock'!J$3*'RD Plant List'!AC$5</f>
        <v>6.875</v>
      </c>
    </row>
    <row r="349" spans="1:10" ht="18">
      <c r="A349" s="293">
        <v>54332</v>
      </c>
      <c r="B349" s="299">
        <f>'RD Plant List'!$B351/12*'RD Feedstock'!B$3*'RD Plant List'!AB$5</f>
        <v>59.770833333333336</v>
      </c>
      <c r="C349" s="299">
        <f>'RD Plant List'!$B351/12*'RD Feedstock'!C$3*'RD Plant List'!AC$5</f>
        <v>3.1250000000000004</v>
      </c>
      <c r="D349" s="299">
        <f>'RD Plant List'!$C351/12*'RD Feedstock'!D$3*'RD Plant List'!AB$5</f>
        <v>176.32395833333331</v>
      </c>
      <c r="E349" s="299">
        <f>'RD Plant List'!$C351/12*'RD Feedstock'!E$3*'RD Plant List'!AC$5</f>
        <v>9.21875</v>
      </c>
      <c r="F349" s="299">
        <f>'RD Plant List'!$D351/12*'RD Feedstock'!F$3*'RD Plant List'!AB$5</f>
        <v>2.359375</v>
      </c>
      <c r="G349" s="299">
        <f>'RD Plant List'!$D351/12*'RD Feedstock'!G$3*'RD Plant List'!AC$5</f>
        <v>0.78125</v>
      </c>
      <c r="H349" s="299">
        <f>'RD Plant List'!$E351/12*'RD Feedstock'!H$3*'RD Plant List'!AB$5</f>
        <v>138.41666666666666</v>
      </c>
      <c r="I349" s="299">
        <f>'RD Plant List'!$F351/12*'RD Feedstock'!I$3*'RD Plant List'!AB$5</f>
        <v>20.762499999999999</v>
      </c>
      <c r="J349" s="299">
        <f>'RD Plant List'!$F351/12*'RD Feedstock'!J$3*'RD Plant List'!AC$5</f>
        <v>6.875</v>
      </c>
    </row>
    <row r="350" spans="1:10" ht="18">
      <c r="A350" s="293">
        <v>54363</v>
      </c>
      <c r="B350" s="299">
        <f>'RD Plant List'!$B352/12*'RD Feedstock'!B$3*'RD Plant List'!AB$5</f>
        <v>59.770833333333336</v>
      </c>
      <c r="C350" s="299">
        <f>'RD Plant List'!$B352/12*'RD Feedstock'!C$3*'RD Plant List'!AC$5</f>
        <v>3.1250000000000004</v>
      </c>
      <c r="D350" s="299">
        <f>'RD Plant List'!$C352/12*'RD Feedstock'!D$3*'RD Plant List'!AB$5</f>
        <v>176.32395833333331</v>
      </c>
      <c r="E350" s="299">
        <f>'RD Plant List'!$C352/12*'RD Feedstock'!E$3*'RD Plant List'!AC$5</f>
        <v>9.21875</v>
      </c>
      <c r="F350" s="299">
        <f>'RD Plant List'!$D352/12*'RD Feedstock'!F$3*'RD Plant List'!AB$5</f>
        <v>2.359375</v>
      </c>
      <c r="G350" s="299">
        <f>'RD Plant List'!$D352/12*'RD Feedstock'!G$3*'RD Plant List'!AC$5</f>
        <v>0.78125</v>
      </c>
      <c r="H350" s="299">
        <f>'RD Plant List'!$E352/12*'RD Feedstock'!H$3*'RD Plant List'!AB$5</f>
        <v>138.41666666666666</v>
      </c>
      <c r="I350" s="299">
        <f>'RD Plant List'!$F352/12*'RD Feedstock'!I$3*'RD Plant List'!AB$5</f>
        <v>20.762499999999999</v>
      </c>
      <c r="J350" s="299">
        <f>'RD Plant List'!$F352/12*'RD Feedstock'!J$3*'RD Plant List'!AC$5</f>
        <v>6.875</v>
      </c>
    </row>
    <row r="351" spans="1:10" ht="18">
      <c r="A351" s="293">
        <v>54393</v>
      </c>
      <c r="B351" s="299">
        <f>'RD Plant List'!$B353/12*'RD Feedstock'!B$3*'RD Plant List'!AB$5</f>
        <v>59.770833333333336</v>
      </c>
      <c r="C351" s="299">
        <f>'RD Plant List'!$B353/12*'RD Feedstock'!C$3*'RD Plant List'!AC$5</f>
        <v>3.1250000000000004</v>
      </c>
      <c r="D351" s="299">
        <f>'RD Plant List'!$C353/12*'RD Feedstock'!D$3*'RD Plant List'!AB$5</f>
        <v>176.32395833333331</v>
      </c>
      <c r="E351" s="299">
        <f>'RD Plant List'!$C353/12*'RD Feedstock'!E$3*'RD Plant List'!AC$5</f>
        <v>9.21875</v>
      </c>
      <c r="F351" s="299">
        <f>'RD Plant List'!$D353/12*'RD Feedstock'!F$3*'RD Plant List'!AB$5</f>
        <v>2.359375</v>
      </c>
      <c r="G351" s="299">
        <f>'RD Plant List'!$D353/12*'RD Feedstock'!G$3*'RD Plant List'!AC$5</f>
        <v>0.78125</v>
      </c>
      <c r="H351" s="299">
        <f>'RD Plant List'!$E353/12*'RD Feedstock'!H$3*'RD Plant List'!AB$5</f>
        <v>138.41666666666666</v>
      </c>
      <c r="I351" s="299">
        <f>'RD Plant List'!$F353/12*'RD Feedstock'!I$3*'RD Plant List'!AB$5</f>
        <v>20.762499999999999</v>
      </c>
      <c r="J351" s="299">
        <f>'RD Plant List'!$F353/12*'RD Feedstock'!J$3*'RD Plant List'!AC$5</f>
        <v>6.875</v>
      </c>
    </row>
    <row r="352" spans="1:10" ht="18">
      <c r="A352" s="293">
        <v>54424</v>
      </c>
      <c r="B352" s="299">
        <f>'RD Plant List'!$B354/12*'RD Feedstock'!B$3*'RD Plant List'!AB$5</f>
        <v>59.770833333333336</v>
      </c>
      <c r="C352" s="299">
        <f>'RD Plant List'!$B354/12*'RD Feedstock'!C$3*'RD Plant List'!AC$5</f>
        <v>3.1250000000000004</v>
      </c>
      <c r="D352" s="299">
        <f>'RD Plant List'!$C354/12*'RD Feedstock'!D$3*'RD Plant List'!AB$5</f>
        <v>176.32395833333331</v>
      </c>
      <c r="E352" s="299">
        <f>'RD Plant List'!$C354/12*'RD Feedstock'!E$3*'RD Plant List'!AC$5</f>
        <v>9.21875</v>
      </c>
      <c r="F352" s="299">
        <f>'RD Plant List'!$D354/12*'RD Feedstock'!F$3*'RD Plant List'!AB$5</f>
        <v>2.359375</v>
      </c>
      <c r="G352" s="299">
        <f>'RD Plant List'!$D354/12*'RD Feedstock'!G$3*'RD Plant List'!AC$5</f>
        <v>0.78125</v>
      </c>
      <c r="H352" s="299">
        <f>'RD Plant List'!$E354/12*'RD Feedstock'!H$3*'RD Plant List'!AB$5</f>
        <v>138.41666666666666</v>
      </c>
      <c r="I352" s="299">
        <f>'RD Plant List'!$F354/12*'RD Feedstock'!I$3*'RD Plant List'!AB$5</f>
        <v>20.762499999999999</v>
      </c>
      <c r="J352" s="299">
        <f>'RD Plant List'!$F354/12*'RD Feedstock'!J$3*'RD Plant List'!AC$5</f>
        <v>6.875</v>
      </c>
    </row>
    <row r="353" spans="1:10" ht="18">
      <c r="A353" s="293">
        <v>54455</v>
      </c>
      <c r="B353" s="299">
        <f>'RD Plant List'!$B355/12*'RD Feedstock'!B$3*'RD Plant List'!AB$5</f>
        <v>59.770833333333336</v>
      </c>
      <c r="C353" s="299">
        <f>'RD Plant List'!$B355/12*'RD Feedstock'!C$3*'RD Plant List'!AC$5</f>
        <v>3.1250000000000004</v>
      </c>
      <c r="D353" s="299">
        <f>'RD Plant List'!$C355/12*'RD Feedstock'!D$3*'RD Plant List'!AB$5</f>
        <v>176.32395833333331</v>
      </c>
      <c r="E353" s="299">
        <f>'RD Plant List'!$C355/12*'RD Feedstock'!E$3*'RD Plant List'!AC$5</f>
        <v>9.21875</v>
      </c>
      <c r="F353" s="299">
        <f>'RD Plant List'!$D355/12*'RD Feedstock'!F$3*'RD Plant List'!AB$5</f>
        <v>2.359375</v>
      </c>
      <c r="G353" s="299">
        <f>'RD Plant List'!$D355/12*'RD Feedstock'!G$3*'RD Plant List'!AC$5</f>
        <v>0.78125</v>
      </c>
      <c r="H353" s="299">
        <f>'RD Plant List'!$E355/12*'RD Feedstock'!H$3*'RD Plant List'!AB$5</f>
        <v>138.41666666666666</v>
      </c>
      <c r="I353" s="299">
        <f>'RD Plant List'!$F355/12*'RD Feedstock'!I$3*'RD Plant List'!AB$5</f>
        <v>20.762499999999999</v>
      </c>
      <c r="J353" s="299">
        <f>'RD Plant List'!$F355/12*'RD Feedstock'!J$3*'RD Plant List'!AC$5</f>
        <v>6.875</v>
      </c>
    </row>
    <row r="354" spans="1:10" ht="18">
      <c r="A354" s="293">
        <v>54483</v>
      </c>
      <c r="B354" s="299">
        <f>'RD Plant List'!$B356/12*'RD Feedstock'!B$3*'RD Plant List'!AB$5</f>
        <v>59.770833333333336</v>
      </c>
      <c r="C354" s="299">
        <f>'RD Plant List'!$B356/12*'RD Feedstock'!C$3*'RD Plant List'!AC$5</f>
        <v>3.1250000000000004</v>
      </c>
      <c r="D354" s="299">
        <f>'RD Plant List'!$C356/12*'RD Feedstock'!D$3*'RD Plant List'!AB$5</f>
        <v>176.32395833333331</v>
      </c>
      <c r="E354" s="299">
        <f>'RD Plant List'!$C356/12*'RD Feedstock'!E$3*'RD Plant List'!AC$5</f>
        <v>9.21875</v>
      </c>
      <c r="F354" s="299">
        <f>'RD Plant List'!$D356/12*'RD Feedstock'!F$3*'RD Plant List'!AB$5</f>
        <v>2.359375</v>
      </c>
      <c r="G354" s="299">
        <f>'RD Plant List'!$D356/12*'RD Feedstock'!G$3*'RD Plant List'!AC$5</f>
        <v>0.78125</v>
      </c>
      <c r="H354" s="299">
        <f>'RD Plant List'!$E356/12*'RD Feedstock'!H$3*'RD Plant List'!AB$5</f>
        <v>138.41666666666666</v>
      </c>
      <c r="I354" s="299">
        <f>'RD Plant List'!$F356/12*'RD Feedstock'!I$3*'RD Plant List'!AB$5</f>
        <v>20.762499999999999</v>
      </c>
      <c r="J354" s="299">
        <f>'RD Plant List'!$F356/12*'RD Feedstock'!J$3*'RD Plant List'!AC$5</f>
        <v>6.875</v>
      </c>
    </row>
    <row r="355" spans="1:10" ht="18">
      <c r="A355" s="293">
        <v>54514</v>
      </c>
      <c r="B355" s="299">
        <f>'RD Plant List'!$B357/12*'RD Feedstock'!B$3*'RD Plant List'!AB$5</f>
        <v>59.770833333333336</v>
      </c>
      <c r="C355" s="299">
        <f>'RD Plant List'!$B357/12*'RD Feedstock'!C$3*'RD Plant List'!AC$5</f>
        <v>3.1250000000000004</v>
      </c>
      <c r="D355" s="299">
        <f>'RD Plant List'!$C357/12*'RD Feedstock'!D$3*'RD Plant List'!AB$5</f>
        <v>176.32395833333331</v>
      </c>
      <c r="E355" s="299">
        <f>'RD Plant List'!$C357/12*'RD Feedstock'!E$3*'RD Plant List'!AC$5</f>
        <v>9.21875</v>
      </c>
      <c r="F355" s="299">
        <f>'RD Plant List'!$D357/12*'RD Feedstock'!F$3*'RD Plant List'!AB$5</f>
        <v>2.359375</v>
      </c>
      <c r="G355" s="299">
        <f>'RD Plant List'!$D357/12*'RD Feedstock'!G$3*'RD Plant List'!AC$5</f>
        <v>0.78125</v>
      </c>
      <c r="H355" s="299">
        <f>'RD Plant List'!$E357/12*'RD Feedstock'!H$3*'RD Plant List'!AB$5</f>
        <v>138.41666666666666</v>
      </c>
      <c r="I355" s="299">
        <f>'RD Plant List'!$F357/12*'RD Feedstock'!I$3*'RD Plant List'!AB$5</f>
        <v>20.762499999999999</v>
      </c>
      <c r="J355" s="299">
        <f>'RD Plant List'!$F357/12*'RD Feedstock'!J$3*'RD Plant List'!AC$5</f>
        <v>6.875</v>
      </c>
    </row>
    <row r="356" spans="1:10" ht="18">
      <c r="A356" s="293">
        <v>54544</v>
      </c>
      <c r="B356" s="299">
        <f>'RD Plant List'!$B358/12*'RD Feedstock'!B$3*'RD Plant List'!AB$5</f>
        <v>59.770833333333336</v>
      </c>
      <c r="C356" s="299">
        <f>'RD Plant List'!$B358/12*'RD Feedstock'!C$3*'RD Plant List'!AC$5</f>
        <v>3.1250000000000004</v>
      </c>
      <c r="D356" s="299">
        <f>'RD Plant List'!$C358/12*'RD Feedstock'!D$3*'RD Plant List'!AB$5</f>
        <v>176.32395833333331</v>
      </c>
      <c r="E356" s="299">
        <f>'RD Plant List'!$C358/12*'RD Feedstock'!E$3*'RD Plant List'!AC$5</f>
        <v>9.21875</v>
      </c>
      <c r="F356" s="299">
        <f>'RD Plant List'!$D358/12*'RD Feedstock'!F$3*'RD Plant List'!AB$5</f>
        <v>2.359375</v>
      </c>
      <c r="G356" s="299">
        <f>'RD Plant List'!$D358/12*'RD Feedstock'!G$3*'RD Plant List'!AC$5</f>
        <v>0.78125</v>
      </c>
      <c r="H356" s="299">
        <f>'RD Plant List'!$E358/12*'RD Feedstock'!H$3*'RD Plant List'!AB$5</f>
        <v>138.41666666666666</v>
      </c>
      <c r="I356" s="299">
        <f>'RD Plant List'!$F358/12*'RD Feedstock'!I$3*'RD Plant List'!AB$5</f>
        <v>20.762499999999999</v>
      </c>
      <c r="J356" s="299">
        <f>'RD Plant List'!$F358/12*'RD Feedstock'!J$3*'RD Plant List'!AC$5</f>
        <v>6.875</v>
      </c>
    </row>
    <row r="357" spans="1:10" ht="18">
      <c r="A357" s="293">
        <v>54575</v>
      </c>
      <c r="B357" s="299">
        <f>'RD Plant List'!$B359/12*'RD Feedstock'!B$3*'RD Plant List'!AB$5</f>
        <v>59.770833333333336</v>
      </c>
      <c r="C357" s="299">
        <f>'RD Plant List'!$B359/12*'RD Feedstock'!C$3*'RD Plant List'!AC$5</f>
        <v>3.1250000000000004</v>
      </c>
      <c r="D357" s="299">
        <f>'RD Plant List'!$C359/12*'RD Feedstock'!D$3*'RD Plant List'!AB$5</f>
        <v>176.32395833333331</v>
      </c>
      <c r="E357" s="299">
        <f>'RD Plant List'!$C359/12*'RD Feedstock'!E$3*'RD Plant List'!AC$5</f>
        <v>9.21875</v>
      </c>
      <c r="F357" s="299">
        <f>'RD Plant List'!$D359/12*'RD Feedstock'!F$3*'RD Plant List'!AB$5</f>
        <v>2.359375</v>
      </c>
      <c r="G357" s="299">
        <f>'RD Plant List'!$D359/12*'RD Feedstock'!G$3*'RD Plant List'!AC$5</f>
        <v>0.78125</v>
      </c>
      <c r="H357" s="299">
        <f>'RD Plant List'!$E359/12*'RD Feedstock'!H$3*'RD Plant List'!AB$5</f>
        <v>138.41666666666666</v>
      </c>
      <c r="I357" s="299">
        <f>'RD Plant List'!$F359/12*'RD Feedstock'!I$3*'RD Plant List'!AB$5</f>
        <v>20.762499999999999</v>
      </c>
      <c r="J357" s="299">
        <f>'RD Plant List'!$F359/12*'RD Feedstock'!J$3*'RD Plant List'!AC$5</f>
        <v>6.875</v>
      </c>
    </row>
    <row r="358" spans="1:10" ht="18">
      <c r="A358" s="293">
        <v>54605</v>
      </c>
      <c r="B358" s="299">
        <f>'RD Plant List'!$B360/12*'RD Feedstock'!B$3*'RD Plant List'!AB$5</f>
        <v>59.770833333333336</v>
      </c>
      <c r="C358" s="299">
        <f>'RD Plant List'!$B360/12*'RD Feedstock'!C$3*'RD Plant List'!AC$5</f>
        <v>3.1250000000000004</v>
      </c>
      <c r="D358" s="299">
        <f>'RD Plant List'!$C360/12*'RD Feedstock'!D$3*'RD Plant List'!AB$5</f>
        <v>176.32395833333331</v>
      </c>
      <c r="E358" s="299">
        <f>'RD Plant List'!$C360/12*'RD Feedstock'!E$3*'RD Plant List'!AC$5</f>
        <v>9.21875</v>
      </c>
      <c r="F358" s="299">
        <f>'RD Plant List'!$D360/12*'RD Feedstock'!F$3*'RD Plant List'!AB$5</f>
        <v>2.359375</v>
      </c>
      <c r="G358" s="299">
        <f>'RD Plant List'!$D360/12*'RD Feedstock'!G$3*'RD Plant List'!AC$5</f>
        <v>0.78125</v>
      </c>
      <c r="H358" s="299">
        <f>'RD Plant List'!$E360/12*'RD Feedstock'!H$3*'RD Plant List'!AB$5</f>
        <v>138.41666666666666</v>
      </c>
      <c r="I358" s="299">
        <f>'RD Plant List'!$F360/12*'RD Feedstock'!I$3*'RD Plant List'!AB$5</f>
        <v>20.762499999999999</v>
      </c>
      <c r="J358" s="299">
        <f>'RD Plant List'!$F360/12*'RD Feedstock'!J$3*'RD Plant List'!AC$5</f>
        <v>6.875</v>
      </c>
    </row>
    <row r="359" spans="1:10" ht="18">
      <c r="A359" s="293">
        <v>54636</v>
      </c>
      <c r="B359" s="299">
        <f>'RD Plant List'!$B361/12*'RD Feedstock'!B$3*'RD Plant List'!AB$5</f>
        <v>59.770833333333336</v>
      </c>
      <c r="C359" s="299">
        <f>'RD Plant List'!$B361/12*'RD Feedstock'!C$3*'RD Plant List'!AC$5</f>
        <v>3.1250000000000004</v>
      </c>
      <c r="D359" s="299">
        <f>'RD Plant List'!$C361/12*'RD Feedstock'!D$3*'RD Plant List'!AB$5</f>
        <v>176.32395833333331</v>
      </c>
      <c r="E359" s="299">
        <f>'RD Plant List'!$C361/12*'RD Feedstock'!E$3*'RD Plant List'!AC$5</f>
        <v>9.21875</v>
      </c>
      <c r="F359" s="299">
        <f>'RD Plant List'!$D361/12*'RD Feedstock'!F$3*'RD Plant List'!AB$5</f>
        <v>2.359375</v>
      </c>
      <c r="G359" s="299">
        <f>'RD Plant List'!$D361/12*'RD Feedstock'!G$3*'RD Plant List'!AC$5</f>
        <v>0.78125</v>
      </c>
      <c r="H359" s="299">
        <f>'RD Plant List'!$E361/12*'RD Feedstock'!H$3*'RD Plant List'!AB$5</f>
        <v>138.41666666666666</v>
      </c>
      <c r="I359" s="299">
        <f>'RD Plant List'!$F361/12*'RD Feedstock'!I$3*'RD Plant List'!AB$5</f>
        <v>20.762499999999999</v>
      </c>
      <c r="J359" s="299">
        <f>'RD Plant List'!$F361/12*'RD Feedstock'!J$3*'RD Plant List'!AC$5</f>
        <v>6.875</v>
      </c>
    </row>
    <row r="360" spans="1:10" ht="18">
      <c r="A360" s="293">
        <v>54667</v>
      </c>
      <c r="B360" s="299">
        <f>'RD Plant List'!$B362/12*'RD Feedstock'!B$3*'RD Plant List'!AB$5</f>
        <v>59.770833333333336</v>
      </c>
      <c r="C360" s="299">
        <f>'RD Plant List'!$B362/12*'RD Feedstock'!C$3*'RD Plant List'!AC$5</f>
        <v>3.1250000000000004</v>
      </c>
      <c r="D360" s="299">
        <f>'RD Plant List'!$C362/12*'RD Feedstock'!D$3*'RD Plant List'!AB$5</f>
        <v>176.32395833333331</v>
      </c>
      <c r="E360" s="299">
        <f>'RD Plant List'!$C362/12*'RD Feedstock'!E$3*'RD Plant List'!AC$5</f>
        <v>9.21875</v>
      </c>
      <c r="F360" s="299">
        <f>'RD Plant List'!$D362/12*'RD Feedstock'!F$3*'RD Plant List'!AB$5</f>
        <v>2.359375</v>
      </c>
      <c r="G360" s="299">
        <f>'RD Plant List'!$D362/12*'RD Feedstock'!G$3*'RD Plant List'!AC$5</f>
        <v>0.78125</v>
      </c>
      <c r="H360" s="299">
        <f>'RD Plant List'!$E362/12*'RD Feedstock'!H$3*'RD Plant List'!AB$5</f>
        <v>138.41666666666666</v>
      </c>
      <c r="I360" s="299">
        <f>'RD Plant List'!$F362/12*'RD Feedstock'!I$3*'RD Plant List'!AB$5</f>
        <v>20.762499999999999</v>
      </c>
      <c r="J360" s="299">
        <f>'RD Plant List'!$F362/12*'RD Feedstock'!J$3*'RD Plant List'!AC$5</f>
        <v>6.875</v>
      </c>
    </row>
    <row r="361" spans="1:10" ht="18">
      <c r="A361" s="293">
        <v>54697</v>
      </c>
      <c r="B361" s="299">
        <f>'RD Plant List'!$B363/12*'RD Feedstock'!B$3*'RD Plant List'!AB$5</f>
        <v>59.770833333333336</v>
      </c>
      <c r="C361" s="299">
        <f>'RD Plant List'!$B363/12*'RD Feedstock'!C$3*'RD Plant List'!AC$5</f>
        <v>3.1250000000000004</v>
      </c>
      <c r="D361" s="299">
        <f>'RD Plant List'!$C363/12*'RD Feedstock'!D$3*'RD Plant List'!AB$5</f>
        <v>176.32395833333331</v>
      </c>
      <c r="E361" s="299">
        <f>'RD Plant List'!$C363/12*'RD Feedstock'!E$3*'RD Plant List'!AC$5</f>
        <v>9.21875</v>
      </c>
      <c r="F361" s="299">
        <f>'RD Plant List'!$D363/12*'RD Feedstock'!F$3*'RD Plant List'!AB$5</f>
        <v>2.359375</v>
      </c>
      <c r="G361" s="299">
        <f>'RD Plant List'!$D363/12*'RD Feedstock'!G$3*'RD Plant List'!AC$5</f>
        <v>0.78125</v>
      </c>
      <c r="H361" s="299">
        <f>'RD Plant List'!$E363/12*'RD Feedstock'!H$3*'RD Plant List'!AB$5</f>
        <v>138.41666666666666</v>
      </c>
      <c r="I361" s="299">
        <f>'RD Plant List'!$F363/12*'RD Feedstock'!I$3*'RD Plant List'!AB$5</f>
        <v>20.762499999999999</v>
      </c>
      <c r="J361" s="299">
        <f>'RD Plant List'!$F363/12*'RD Feedstock'!J$3*'RD Plant List'!AC$5</f>
        <v>6.875</v>
      </c>
    </row>
    <row r="362" spans="1:10" ht="18">
      <c r="A362" s="293">
        <v>54728</v>
      </c>
      <c r="B362" s="299">
        <f>'RD Plant List'!$B364/12*'RD Feedstock'!B$3*'RD Plant List'!AB$5</f>
        <v>59.770833333333336</v>
      </c>
      <c r="C362" s="299">
        <f>'RD Plant List'!$B364/12*'RD Feedstock'!C$3*'RD Plant List'!AC$5</f>
        <v>3.1250000000000004</v>
      </c>
      <c r="D362" s="299">
        <f>'RD Plant List'!$C364/12*'RD Feedstock'!D$3*'RD Plant List'!AB$5</f>
        <v>176.32395833333331</v>
      </c>
      <c r="E362" s="299">
        <f>'RD Plant List'!$C364/12*'RD Feedstock'!E$3*'RD Plant List'!AC$5</f>
        <v>9.21875</v>
      </c>
      <c r="F362" s="299">
        <f>'RD Plant List'!$D364/12*'RD Feedstock'!F$3*'RD Plant List'!AB$5</f>
        <v>2.359375</v>
      </c>
      <c r="G362" s="299">
        <f>'RD Plant List'!$D364/12*'RD Feedstock'!G$3*'RD Plant List'!AC$5</f>
        <v>0.78125</v>
      </c>
      <c r="H362" s="299">
        <f>'RD Plant List'!$E364/12*'RD Feedstock'!H$3*'RD Plant List'!AB$5</f>
        <v>138.41666666666666</v>
      </c>
      <c r="I362" s="299">
        <f>'RD Plant List'!$F364/12*'RD Feedstock'!I$3*'RD Plant List'!AB$5</f>
        <v>20.762499999999999</v>
      </c>
      <c r="J362" s="299">
        <f>'RD Plant List'!$F364/12*'RD Feedstock'!J$3*'RD Plant List'!AC$5</f>
        <v>6.875</v>
      </c>
    </row>
    <row r="363" spans="1:10" ht="18">
      <c r="A363" s="293">
        <v>54758</v>
      </c>
      <c r="B363" s="299">
        <f>'RD Plant List'!$B365/12*'RD Feedstock'!B$3*'RD Plant List'!AB$5</f>
        <v>59.770833333333336</v>
      </c>
      <c r="C363" s="299">
        <f>'RD Plant List'!$B365/12*'RD Feedstock'!C$3*'RD Plant List'!AC$5</f>
        <v>3.1250000000000004</v>
      </c>
      <c r="D363" s="299">
        <f>'RD Plant List'!$C365/12*'RD Feedstock'!D$3*'RD Plant List'!AB$5</f>
        <v>176.32395833333331</v>
      </c>
      <c r="E363" s="299">
        <f>'RD Plant List'!$C365/12*'RD Feedstock'!E$3*'RD Plant List'!AC$5</f>
        <v>9.21875</v>
      </c>
      <c r="F363" s="299">
        <f>'RD Plant List'!$D365/12*'RD Feedstock'!F$3*'RD Plant List'!AB$5</f>
        <v>2.359375</v>
      </c>
      <c r="G363" s="299">
        <f>'RD Plant List'!$D365/12*'RD Feedstock'!G$3*'RD Plant List'!AC$5</f>
        <v>0.78125</v>
      </c>
      <c r="H363" s="299">
        <f>'RD Plant List'!$E365/12*'RD Feedstock'!H$3*'RD Plant List'!AB$5</f>
        <v>138.41666666666666</v>
      </c>
      <c r="I363" s="299">
        <f>'RD Plant List'!$F365/12*'RD Feedstock'!I$3*'RD Plant List'!AB$5</f>
        <v>20.762499999999999</v>
      </c>
      <c r="J363" s="299">
        <f>'RD Plant List'!$F365/12*'RD Feedstock'!J$3*'RD Plant List'!AC$5</f>
        <v>6.875</v>
      </c>
    </row>
    <row r="364" spans="1:10" ht="18">
      <c r="A364" s="293">
        <v>54789</v>
      </c>
      <c r="B364" s="299">
        <f>'RD Plant List'!$B366/12*'RD Feedstock'!B$3*'RD Plant List'!AB$5</f>
        <v>59.770833333333336</v>
      </c>
      <c r="C364" s="299">
        <f>'RD Plant List'!$B366/12*'RD Feedstock'!C$3*'RD Plant List'!AC$5</f>
        <v>3.1250000000000004</v>
      </c>
      <c r="D364" s="299">
        <f>'RD Plant List'!$C366/12*'RD Feedstock'!D$3*'RD Plant List'!AB$5</f>
        <v>176.32395833333331</v>
      </c>
      <c r="E364" s="299">
        <f>'RD Plant List'!$C366/12*'RD Feedstock'!E$3*'RD Plant List'!AC$5</f>
        <v>9.21875</v>
      </c>
      <c r="F364" s="299">
        <f>'RD Plant List'!$D366/12*'RD Feedstock'!F$3*'RD Plant List'!AB$5</f>
        <v>2.359375</v>
      </c>
      <c r="G364" s="299">
        <f>'RD Plant List'!$D366/12*'RD Feedstock'!G$3*'RD Plant List'!AC$5</f>
        <v>0.78125</v>
      </c>
      <c r="H364" s="299">
        <f>'RD Plant List'!$E366/12*'RD Feedstock'!H$3*'RD Plant List'!AB$5</f>
        <v>138.41666666666666</v>
      </c>
      <c r="I364" s="299">
        <f>'RD Plant List'!$F366/12*'RD Feedstock'!I$3*'RD Plant List'!AB$5</f>
        <v>20.762499999999999</v>
      </c>
      <c r="J364" s="299">
        <f>'RD Plant List'!$F366/12*'RD Feedstock'!J$3*'RD Plant List'!AC$5</f>
        <v>6.875</v>
      </c>
    </row>
    <row r="365" spans="1:10" ht="18">
      <c r="A365" s="293">
        <v>54820</v>
      </c>
      <c r="B365" s="299">
        <f>'RD Plant List'!$B367/12*'RD Feedstock'!B$3*'RD Plant List'!AB$5</f>
        <v>59.770833333333336</v>
      </c>
      <c r="C365" s="299">
        <f>'RD Plant List'!$B367/12*'RD Feedstock'!C$3*'RD Plant List'!AC$5</f>
        <v>3.1250000000000004</v>
      </c>
      <c r="D365" s="299">
        <f>'RD Plant List'!$C367/12*'RD Feedstock'!D$3*'RD Plant List'!AB$5</f>
        <v>176.32395833333331</v>
      </c>
      <c r="E365" s="299">
        <f>'RD Plant List'!$C367/12*'RD Feedstock'!E$3*'RD Plant List'!AC$5</f>
        <v>9.21875</v>
      </c>
      <c r="F365" s="299">
        <f>'RD Plant List'!$D367/12*'RD Feedstock'!F$3*'RD Plant List'!AB$5</f>
        <v>2.359375</v>
      </c>
      <c r="G365" s="299">
        <f>'RD Plant List'!$D367/12*'RD Feedstock'!G$3*'RD Plant List'!AC$5</f>
        <v>0.78125</v>
      </c>
      <c r="H365" s="299">
        <f>'RD Plant List'!$E367/12*'RD Feedstock'!H$3*'RD Plant List'!AB$5</f>
        <v>138.41666666666666</v>
      </c>
      <c r="I365" s="299">
        <f>'RD Plant List'!$F367/12*'RD Feedstock'!I$3*'RD Plant List'!AB$5</f>
        <v>20.762499999999999</v>
      </c>
      <c r="J365" s="299">
        <f>'RD Plant List'!$F367/12*'RD Feedstock'!J$3*'RD Plant List'!AC$5</f>
        <v>6.875</v>
      </c>
    </row>
    <row r="366" spans="1:10" ht="18">
      <c r="A366" s="293">
        <v>54848</v>
      </c>
      <c r="B366" s="299">
        <f>'RD Plant List'!$B368/12*'RD Feedstock'!B$3*'RD Plant List'!AB$5</f>
        <v>59.770833333333336</v>
      </c>
      <c r="C366" s="299">
        <f>'RD Plant List'!$B368/12*'RD Feedstock'!C$3*'RD Plant List'!AC$5</f>
        <v>3.1250000000000004</v>
      </c>
      <c r="D366" s="299">
        <f>'RD Plant List'!$C368/12*'RD Feedstock'!D$3*'RD Plant List'!AB$5</f>
        <v>176.32395833333331</v>
      </c>
      <c r="E366" s="299">
        <f>'RD Plant List'!$C368/12*'RD Feedstock'!E$3*'RD Plant List'!AC$5</f>
        <v>9.21875</v>
      </c>
      <c r="F366" s="299">
        <f>'RD Plant List'!$D368/12*'RD Feedstock'!F$3*'RD Plant List'!AB$5</f>
        <v>2.359375</v>
      </c>
      <c r="G366" s="299">
        <f>'RD Plant List'!$D368/12*'RD Feedstock'!G$3*'RD Plant List'!AC$5</f>
        <v>0.78125</v>
      </c>
      <c r="H366" s="299">
        <f>'RD Plant List'!$E368/12*'RD Feedstock'!H$3*'RD Plant List'!AB$5</f>
        <v>138.41666666666666</v>
      </c>
      <c r="I366" s="299">
        <f>'RD Plant List'!$F368/12*'RD Feedstock'!I$3*'RD Plant List'!AB$5</f>
        <v>20.762499999999999</v>
      </c>
      <c r="J366" s="299">
        <f>'RD Plant List'!$F368/12*'RD Feedstock'!J$3*'RD Plant List'!AC$5</f>
        <v>6.875</v>
      </c>
    </row>
    <row r="367" spans="1:10" ht="18">
      <c r="A367" s="293">
        <v>54879</v>
      </c>
      <c r="B367" s="299">
        <f>'RD Plant List'!$B369/12*'RD Feedstock'!B$3*'RD Plant List'!AB$5</f>
        <v>59.770833333333336</v>
      </c>
      <c r="C367" s="299">
        <f>'RD Plant List'!$B369/12*'RD Feedstock'!C$3*'RD Plant List'!AC$5</f>
        <v>3.1250000000000004</v>
      </c>
      <c r="D367" s="299">
        <f>'RD Plant List'!$C369/12*'RD Feedstock'!D$3*'RD Plant List'!AB$5</f>
        <v>176.32395833333331</v>
      </c>
      <c r="E367" s="299">
        <f>'RD Plant List'!$C369/12*'RD Feedstock'!E$3*'RD Plant List'!AC$5</f>
        <v>9.21875</v>
      </c>
      <c r="F367" s="299">
        <f>'RD Plant List'!$D369/12*'RD Feedstock'!F$3*'RD Plant List'!AB$5</f>
        <v>2.359375</v>
      </c>
      <c r="G367" s="299">
        <f>'RD Plant List'!$D369/12*'RD Feedstock'!G$3*'RD Plant List'!AC$5</f>
        <v>0.78125</v>
      </c>
      <c r="H367" s="299">
        <f>'RD Plant List'!$E369/12*'RD Feedstock'!H$3*'RD Plant List'!AB$5</f>
        <v>138.41666666666666</v>
      </c>
      <c r="I367" s="299">
        <f>'RD Plant List'!$F369/12*'RD Feedstock'!I$3*'RD Plant List'!AB$5</f>
        <v>20.762499999999999</v>
      </c>
      <c r="J367" s="299">
        <f>'RD Plant List'!$F369/12*'RD Feedstock'!J$3*'RD Plant List'!AC$5</f>
        <v>6.875</v>
      </c>
    </row>
    <row r="368" spans="1:10" ht="18">
      <c r="A368" s="293">
        <v>54909</v>
      </c>
      <c r="B368" s="299">
        <f>'RD Plant List'!$B370/12*'RD Feedstock'!B$3*'RD Plant List'!AB$5</f>
        <v>59.770833333333336</v>
      </c>
      <c r="C368" s="299">
        <f>'RD Plant List'!$B370/12*'RD Feedstock'!C$3*'RD Plant List'!AC$5</f>
        <v>3.1250000000000004</v>
      </c>
      <c r="D368" s="299">
        <f>'RD Plant List'!$C370/12*'RD Feedstock'!D$3*'RD Plant List'!AB$5</f>
        <v>176.32395833333331</v>
      </c>
      <c r="E368" s="299">
        <f>'RD Plant List'!$C370/12*'RD Feedstock'!E$3*'RD Plant List'!AC$5</f>
        <v>9.21875</v>
      </c>
      <c r="F368" s="299">
        <f>'RD Plant List'!$D370/12*'RD Feedstock'!F$3*'RD Plant List'!AB$5</f>
        <v>2.359375</v>
      </c>
      <c r="G368" s="299">
        <f>'RD Plant List'!$D370/12*'RD Feedstock'!G$3*'RD Plant List'!AC$5</f>
        <v>0.78125</v>
      </c>
      <c r="H368" s="299">
        <f>'RD Plant List'!$E370/12*'RD Feedstock'!H$3*'RD Plant List'!AB$5</f>
        <v>138.41666666666666</v>
      </c>
      <c r="I368" s="299">
        <f>'RD Plant List'!$F370/12*'RD Feedstock'!I$3*'RD Plant List'!AB$5</f>
        <v>20.762499999999999</v>
      </c>
      <c r="J368" s="299">
        <f>'RD Plant List'!$F370/12*'RD Feedstock'!J$3*'RD Plant List'!AC$5</f>
        <v>6.875</v>
      </c>
    </row>
    <row r="369" spans="1:10" ht="18">
      <c r="A369" s="293">
        <v>54940</v>
      </c>
      <c r="B369" s="299">
        <f>'RD Plant List'!$B371/12*'RD Feedstock'!B$3*'RD Plant List'!AB$5</f>
        <v>59.770833333333336</v>
      </c>
      <c r="C369" s="299">
        <f>'RD Plant List'!$B371/12*'RD Feedstock'!C$3*'RD Plant List'!AC$5</f>
        <v>3.1250000000000004</v>
      </c>
      <c r="D369" s="299">
        <f>'RD Plant List'!$C371/12*'RD Feedstock'!D$3*'RD Plant List'!AB$5</f>
        <v>176.32395833333331</v>
      </c>
      <c r="E369" s="299">
        <f>'RD Plant List'!$C371/12*'RD Feedstock'!E$3*'RD Plant List'!AC$5</f>
        <v>9.21875</v>
      </c>
      <c r="F369" s="299">
        <f>'RD Plant List'!$D371/12*'RD Feedstock'!F$3*'RD Plant List'!AB$5</f>
        <v>2.359375</v>
      </c>
      <c r="G369" s="299">
        <f>'RD Plant List'!$D371/12*'RD Feedstock'!G$3*'RD Plant List'!AC$5</f>
        <v>0.78125</v>
      </c>
      <c r="H369" s="299">
        <f>'RD Plant List'!$E371/12*'RD Feedstock'!H$3*'RD Plant List'!AB$5</f>
        <v>138.41666666666666</v>
      </c>
      <c r="I369" s="299">
        <f>'RD Plant List'!$F371/12*'RD Feedstock'!I$3*'RD Plant List'!AB$5</f>
        <v>20.762499999999999</v>
      </c>
      <c r="J369" s="299">
        <f>'RD Plant List'!$F371/12*'RD Feedstock'!J$3*'RD Plant List'!AC$5</f>
        <v>6.875</v>
      </c>
    </row>
    <row r="370" spans="1:10" ht="18">
      <c r="A370" s="293">
        <v>54970</v>
      </c>
      <c r="B370" s="299">
        <f>'RD Plant List'!$B372/12*'RD Feedstock'!B$3*'RD Plant List'!AB$5</f>
        <v>59.770833333333336</v>
      </c>
      <c r="C370" s="299">
        <f>'RD Plant List'!$B372/12*'RD Feedstock'!C$3*'RD Plant List'!AC$5</f>
        <v>3.1250000000000004</v>
      </c>
      <c r="D370" s="299">
        <f>'RD Plant List'!$C372/12*'RD Feedstock'!D$3*'RD Plant List'!AB$5</f>
        <v>176.32395833333331</v>
      </c>
      <c r="E370" s="299">
        <f>'RD Plant List'!$C372/12*'RD Feedstock'!E$3*'RD Plant List'!AC$5</f>
        <v>9.21875</v>
      </c>
      <c r="F370" s="299">
        <f>'RD Plant List'!$D372/12*'RD Feedstock'!F$3*'RD Plant List'!AB$5</f>
        <v>2.359375</v>
      </c>
      <c r="G370" s="299">
        <f>'RD Plant List'!$D372/12*'RD Feedstock'!G$3*'RD Plant List'!AC$5</f>
        <v>0.78125</v>
      </c>
      <c r="H370" s="299">
        <f>'RD Plant List'!$E372/12*'RD Feedstock'!H$3*'RD Plant List'!AB$5</f>
        <v>138.41666666666666</v>
      </c>
      <c r="I370" s="299">
        <f>'RD Plant List'!$F372/12*'RD Feedstock'!I$3*'RD Plant List'!AB$5</f>
        <v>20.762499999999999</v>
      </c>
      <c r="J370" s="299">
        <f>'RD Plant List'!$F372/12*'RD Feedstock'!J$3*'RD Plant List'!AC$5</f>
        <v>6.875</v>
      </c>
    </row>
    <row r="371" spans="1:10" ht="18">
      <c r="A371" s="293">
        <v>55001</v>
      </c>
      <c r="B371" s="299">
        <f>'RD Plant List'!$B373/12*'RD Feedstock'!B$3*'RD Plant List'!AB$5</f>
        <v>59.770833333333336</v>
      </c>
      <c r="C371" s="299">
        <f>'RD Plant List'!$B373/12*'RD Feedstock'!C$3*'RD Plant List'!AC$5</f>
        <v>3.1250000000000004</v>
      </c>
      <c r="D371" s="299">
        <f>'RD Plant List'!$C373/12*'RD Feedstock'!D$3*'RD Plant List'!AB$5</f>
        <v>176.32395833333331</v>
      </c>
      <c r="E371" s="299">
        <f>'RD Plant List'!$C373/12*'RD Feedstock'!E$3*'RD Plant List'!AC$5</f>
        <v>9.21875</v>
      </c>
      <c r="F371" s="299">
        <f>'RD Plant List'!$D373/12*'RD Feedstock'!F$3*'RD Plant List'!AB$5</f>
        <v>2.359375</v>
      </c>
      <c r="G371" s="299">
        <f>'RD Plant List'!$D373/12*'RD Feedstock'!G$3*'RD Plant List'!AC$5</f>
        <v>0.78125</v>
      </c>
      <c r="H371" s="299">
        <f>'RD Plant List'!$E373/12*'RD Feedstock'!H$3*'RD Plant List'!AB$5</f>
        <v>138.41666666666666</v>
      </c>
      <c r="I371" s="299">
        <f>'RD Plant List'!$F373/12*'RD Feedstock'!I$3*'RD Plant List'!AB$5</f>
        <v>20.762499999999999</v>
      </c>
      <c r="J371" s="299">
        <f>'RD Plant List'!$F373/12*'RD Feedstock'!J$3*'RD Plant List'!AC$5</f>
        <v>6.875</v>
      </c>
    </row>
    <row r="372" spans="1:10" ht="18">
      <c r="A372" s="293">
        <v>55032</v>
      </c>
      <c r="B372" s="299">
        <f>'RD Plant List'!$B374/12*'RD Feedstock'!B$3*'RD Plant List'!AB$5</f>
        <v>59.770833333333336</v>
      </c>
      <c r="C372" s="299">
        <f>'RD Plant List'!$B374/12*'RD Feedstock'!C$3*'RD Plant List'!AC$5</f>
        <v>3.1250000000000004</v>
      </c>
      <c r="D372" s="299">
        <f>'RD Plant List'!$C374/12*'RD Feedstock'!D$3*'RD Plant List'!AB$5</f>
        <v>176.32395833333331</v>
      </c>
      <c r="E372" s="299">
        <f>'RD Plant List'!$C374/12*'RD Feedstock'!E$3*'RD Plant List'!AC$5</f>
        <v>9.21875</v>
      </c>
      <c r="F372" s="299">
        <f>'RD Plant List'!$D374/12*'RD Feedstock'!F$3*'RD Plant List'!AB$5</f>
        <v>2.359375</v>
      </c>
      <c r="G372" s="299">
        <f>'RD Plant List'!$D374/12*'RD Feedstock'!G$3*'RD Plant List'!AC$5</f>
        <v>0.78125</v>
      </c>
      <c r="H372" s="299">
        <f>'RD Plant List'!$E374/12*'RD Feedstock'!H$3*'RD Plant List'!AB$5</f>
        <v>138.41666666666666</v>
      </c>
      <c r="I372" s="299">
        <f>'RD Plant List'!$F374/12*'RD Feedstock'!I$3*'RD Plant List'!AB$5</f>
        <v>20.762499999999999</v>
      </c>
      <c r="J372" s="299">
        <f>'RD Plant List'!$F374/12*'RD Feedstock'!J$3*'RD Plant List'!AC$5</f>
        <v>6.875</v>
      </c>
    </row>
    <row r="373" spans="1:10" ht="18">
      <c r="A373" s="293">
        <v>55062</v>
      </c>
      <c r="B373" s="299">
        <f>'RD Plant List'!$B375/12*'RD Feedstock'!B$3*'RD Plant List'!AB$5</f>
        <v>59.770833333333336</v>
      </c>
      <c r="C373" s="299">
        <f>'RD Plant List'!$B375/12*'RD Feedstock'!C$3*'RD Plant List'!AC$5</f>
        <v>3.1250000000000004</v>
      </c>
      <c r="D373" s="299">
        <f>'RD Plant List'!$C375/12*'RD Feedstock'!D$3*'RD Plant List'!AB$5</f>
        <v>176.32395833333331</v>
      </c>
      <c r="E373" s="299">
        <f>'RD Plant List'!$C375/12*'RD Feedstock'!E$3*'RD Plant List'!AC$5</f>
        <v>9.21875</v>
      </c>
      <c r="F373" s="299">
        <f>'RD Plant List'!$D375/12*'RD Feedstock'!F$3*'RD Plant List'!AB$5</f>
        <v>2.359375</v>
      </c>
      <c r="G373" s="299">
        <f>'RD Plant List'!$D375/12*'RD Feedstock'!G$3*'RD Plant List'!AC$5</f>
        <v>0.78125</v>
      </c>
      <c r="H373" s="299">
        <f>'RD Plant List'!$E375/12*'RD Feedstock'!H$3*'RD Plant List'!AB$5</f>
        <v>138.41666666666666</v>
      </c>
      <c r="I373" s="299">
        <f>'RD Plant List'!$F375/12*'RD Feedstock'!I$3*'RD Plant List'!AB$5</f>
        <v>20.762499999999999</v>
      </c>
      <c r="J373" s="299">
        <f>'RD Plant List'!$F375/12*'RD Feedstock'!J$3*'RD Plant List'!AC$5</f>
        <v>6.875</v>
      </c>
    </row>
    <row r="374" spans="1:10" ht="18">
      <c r="A374" s="293">
        <v>55093</v>
      </c>
      <c r="B374" s="299">
        <f>'RD Plant List'!$B376/12*'RD Feedstock'!B$3*'RD Plant List'!AB$5</f>
        <v>59.770833333333336</v>
      </c>
      <c r="C374" s="299">
        <f>'RD Plant List'!$B376/12*'RD Feedstock'!C$3*'RD Plant List'!AC$5</f>
        <v>3.1250000000000004</v>
      </c>
      <c r="D374" s="299">
        <f>'RD Plant List'!$C376/12*'RD Feedstock'!D$3*'RD Plant List'!AB$5</f>
        <v>176.32395833333331</v>
      </c>
      <c r="E374" s="299">
        <f>'RD Plant List'!$C376/12*'RD Feedstock'!E$3*'RD Plant List'!AC$5</f>
        <v>9.21875</v>
      </c>
      <c r="F374" s="299">
        <f>'RD Plant List'!$D376/12*'RD Feedstock'!F$3*'RD Plant List'!AB$5</f>
        <v>2.359375</v>
      </c>
      <c r="G374" s="299">
        <f>'RD Plant List'!$D376/12*'RD Feedstock'!G$3*'RD Plant List'!AC$5</f>
        <v>0.78125</v>
      </c>
      <c r="H374" s="299">
        <f>'RD Plant List'!$E376/12*'RD Feedstock'!H$3*'RD Plant List'!AB$5</f>
        <v>138.41666666666666</v>
      </c>
      <c r="I374" s="299">
        <f>'RD Plant List'!$F376/12*'RD Feedstock'!I$3*'RD Plant List'!AB$5</f>
        <v>20.762499999999999</v>
      </c>
      <c r="J374" s="299">
        <f>'RD Plant List'!$F376/12*'RD Feedstock'!J$3*'RD Plant List'!AC$5</f>
        <v>6.875</v>
      </c>
    </row>
    <row r="375" spans="1:10" ht="18">
      <c r="A375" s="293">
        <v>55123</v>
      </c>
      <c r="B375" s="299">
        <f>'RD Plant List'!$B377/12*'RD Feedstock'!B$3*'RD Plant List'!AB$5</f>
        <v>59.770833333333336</v>
      </c>
      <c r="C375" s="299">
        <f>'RD Plant List'!$B377/12*'RD Feedstock'!C$3*'RD Plant List'!AC$5</f>
        <v>3.1250000000000004</v>
      </c>
      <c r="D375" s="299">
        <f>'RD Plant List'!$C377/12*'RD Feedstock'!D$3*'RD Plant List'!AB$5</f>
        <v>176.32395833333331</v>
      </c>
      <c r="E375" s="299">
        <f>'RD Plant List'!$C377/12*'RD Feedstock'!E$3*'RD Plant List'!AC$5</f>
        <v>9.21875</v>
      </c>
      <c r="F375" s="299">
        <f>'RD Plant List'!$D377/12*'RD Feedstock'!F$3*'RD Plant List'!AB$5</f>
        <v>2.359375</v>
      </c>
      <c r="G375" s="299">
        <f>'RD Plant List'!$D377/12*'RD Feedstock'!G$3*'RD Plant List'!AC$5</f>
        <v>0.78125</v>
      </c>
      <c r="H375" s="299">
        <f>'RD Plant List'!$E377/12*'RD Feedstock'!H$3*'RD Plant List'!AB$5</f>
        <v>138.41666666666666</v>
      </c>
      <c r="I375" s="299">
        <f>'RD Plant List'!$F377/12*'RD Feedstock'!I$3*'RD Plant List'!AB$5</f>
        <v>20.762499999999999</v>
      </c>
      <c r="J375" s="299">
        <f>'RD Plant List'!$F377/12*'RD Feedstock'!J$3*'RD Plant List'!AC$5</f>
        <v>6.875</v>
      </c>
    </row>
  </sheetData>
  <mergeCells count="4">
    <mergeCell ref="B1:C1"/>
    <mergeCell ref="D1:E1"/>
    <mergeCell ref="F1:G1"/>
    <mergeCell ref="I1:J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EB2AE-EBEE-4A04-AF47-880983A640C2}">
  <dimension ref="A1:AP35"/>
  <sheetViews>
    <sheetView topLeftCell="N15" workbookViewId="0">
      <selection activeCell="A7" sqref="A7"/>
    </sheetView>
  </sheetViews>
  <sheetFormatPr defaultColWidth="9.33203125" defaultRowHeight="12.75"/>
  <cols>
    <col min="1" max="16384" width="9.33203125" style="303"/>
  </cols>
  <sheetData>
    <row r="1" spans="1:42" ht="20.25">
      <c r="A1" s="301" t="s">
        <v>379</v>
      </c>
      <c r="B1" s="302"/>
      <c r="C1" s="302"/>
      <c r="D1" s="302"/>
      <c r="E1" s="302"/>
      <c r="F1" s="302"/>
      <c r="G1" s="302"/>
      <c r="H1" s="302"/>
      <c r="I1" s="302"/>
      <c r="J1" s="302"/>
      <c r="K1" s="302"/>
      <c r="L1" s="302"/>
      <c r="M1" s="302"/>
      <c r="N1" s="302"/>
      <c r="O1" s="302"/>
      <c r="P1" s="302"/>
      <c r="Q1" s="302"/>
      <c r="R1" s="302"/>
      <c r="S1" s="302"/>
      <c r="T1" s="302"/>
      <c r="U1" s="302"/>
      <c r="V1" s="302"/>
      <c r="W1" s="302"/>
      <c r="X1" s="302"/>
      <c r="Y1" s="302"/>
      <c r="Z1" s="302"/>
      <c r="AA1" s="302"/>
      <c r="AB1" s="302"/>
      <c r="AC1" s="302"/>
      <c r="AD1" s="302"/>
      <c r="AE1" s="302"/>
      <c r="AF1" s="302"/>
      <c r="AG1" s="302"/>
      <c r="AH1" s="302"/>
      <c r="AI1" s="302"/>
      <c r="AJ1" s="302"/>
      <c r="AK1" s="302"/>
      <c r="AL1" s="302"/>
      <c r="AM1" s="302"/>
      <c r="AN1" s="302"/>
      <c r="AO1" s="302"/>
      <c r="AP1" s="302"/>
    </row>
    <row r="3" spans="1:42" ht="15.75">
      <c r="A3" s="304" t="s">
        <v>380</v>
      </c>
    </row>
    <row r="4" spans="1:42">
      <c r="A4" s="305"/>
      <c r="B4" s="306">
        <v>2010</v>
      </c>
      <c r="C4" s="306">
        <v>2011</v>
      </c>
      <c r="D4" s="306">
        <v>2012</v>
      </c>
      <c r="E4" s="306">
        <v>2013</v>
      </c>
      <c r="F4" s="306">
        <v>2014</v>
      </c>
      <c r="G4" s="306">
        <v>2015</v>
      </c>
      <c r="H4" s="306">
        <v>2016</v>
      </c>
      <c r="I4" s="306">
        <v>2017</v>
      </c>
      <c r="J4" s="306">
        <v>2018</v>
      </c>
      <c r="K4" s="306">
        <v>2019</v>
      </c>
      <c r="L4" s="306">
        <v>2020</v>
      </c>
      <c r="M4" s="306">
        <v>2021</v>
      </c>
      <c r="N4" s="306">
        <v>2022</v>
      </c>
      <c r="O4" s="306">
        <v>2023</v>
      </c>
      <c r="P4" s="306">
        <v>2024</v>
      </c>
      <c r="Q4" s="306">
        <v>2025</v>
      </c>
      <c r="R4" s="306">
        <v>2026</v>
      </c>
      <c r="S4" s="306">
        <v>2027</v>
      </c>
      <c r="T4" s="306">
        <v>2028</v>
      </c>
      <c r="U4" s="306">
        <v>2029</v>
      </c>
      <c r="V4" s="306">
        <v>2030</v>
      </c>
      <c r="W4" s="306">
        <v>2031</v>
      </c>
      <c r="X4" s="306">
        <v>2032</v>
      </c>
      <c r="Y4" s="306">
        <v>2033</v>
      </c>
      <c r="Z4" s="306">
        <v>2034</v>
      </c>
      <c r="AA4" s="306">
        <v>2035</v>
      </c>
      <c r="AB4" s="306">
        <v>2036</v>
      </c>
      <c r="AC4" s="306">
        <v>2037</v>
      </c>
      <c r="AD4" s="306">
        <v>2038</v>
      </c>
      <c r="AE4" s="306">
        <v>2039</v>
      </c>
      <c r="AF4" s="306">
        <v>2040</v>
      </c>
      <c r="AG4" s="306">
        <v>2041</v>
      </c>
      <c r="AH4" s="306">
        <v>2042</v>
      </c>
      <c r="AI4" s="306">
        <v>2043</v>
      </c>
      <c r="AJ4" s="306">
        <v>2044</v>
      </c>
      <c r="AK4" s="306">
        <v>2045</v>
      </c>
      <c r="AL4" s="306">
        <v>2046</v>
      </c>
      <c r="AM4" s="306">
        <v>2047</v>
      </c>
      <c r="AN4" s="306">
        <v>2048</v>
      </c>
      <c r="AO4" s="306">
        <v>2049</v>
      </c>
      <c r="AP4" s="306">
        <v>2050</v>
      </c>
    </row>
    <row r="5" spans="1:42">
      <c r="A5" s="303" t="s">
        <v>276</v>
      </c>
      <c r="L5" s="307">
        <f>'Renewable Fuel Ex Ethanol'!I22*'Renewable Fuel Ex Ethanol'!$I$121/1000000</f>
        <v>10.200477297299999</v>
      </c>
      <c r="M5" s="307">
        <f>'Renewable Fuel Ex Ethanol'!J22*'Renewable Fuel Ex Ethanol'!$I$121/1000000</f>
        <v>7.6171383313999996</v>
      </c>
      <c r="N5" s="307">
        <f>'Renewable Fuel Ex Ethanol'!K22*'Renewable Fuel Ex Ethanol'!$I$121/1000000</f>
        <v>5.8516761870999998</v>
      </c>
      <c r="O5" s="307">
        <f>'Renewable Fuel Ex Ethanol'!L22*'Renewable Fuel Ex Ethanol'!$I$121/1000000</f>
        <v>9.6874550790999994</v>
      </c>
      <c r="P5" s="307">
        <f>('Renewable Fuel Ex Ethanol'!M22*'Renewable Fuel Ex Ethanol'!$I$121/1000000)*(1-'BD Plant List'!$T186)</f>
        <v>9.2665729874455174</v>
      </c>
      <c r="Q5" s="307">
        <f>('Renewable Fuel Ex Ethanol'!N22*'Renewable Fuel Ex Ethanol'!$I$121/1000000)*(1-'BD Plant List'!$T198)</f>
        <v>7.8678176728732909</v>
      </c>
      <c r="R5" s="308">
        <f>('Renewable Fuel Ex Ethanol'!O22*'Renewable Fuel Ex Ethanol'!$I$121/1000000)*(1-'BD Plant List'!$T210)</f>
        <v>9.3914164283921142</v>
      </c>
      <c r="S5" s="308">
        <f>('Renewable Fuel Ex Ethanol'!P22*'Renewable Fuel Ex Ethanol'!$I$121/1000000)*(1-'BD Plant List'!$T222)</f>
        <v>5.4125287052279063</v>
      </c>
      <c r="T5" s="308">
        <f>('Renewable Fuel Ex Ethanol'!Q22*'Renewable Fuel Ex Ethanol'!$I$121/1000000)*(1-'BD Plant List'!$T234)</f>
        <v>4.4274830185548772</v>
      </c>
      <c r="U5" s="308">
        <f>('Renewable Fuel Ex Ethanol'!R22*'Renewable Fuel Ex Ethanol'!$I$121/1000000)*(1-'BD Plant List'!$T246)</f>
        <v>4.5622547875175474</v>
      </c>
      <c r="V5" s="308">
        <f>('Renewable Fuel Ex Ethanol'!S22*'Renewable Fuel Ex Ethanol'!$I$121/1000000)*(1-'BD Plant List'!$T258)</f>
        <v>4.7298958516294691</v>
      </c>
      <c r="W5" s="308">
        <f>('Renewable Fuel Ex Ethanol'!T22*'Renewable Fuel Ex Ethanol'!$I$121/1000000)*(1-'BD Plant List'!$T270)</f>
        <v>4.8226591039194533</v>
      </c>
      <c r="X5" s="308">
        <f>('Renewable Fuel Ex Ethanol'!U22*'Renewable Fuel Ex Ethanol'!$I$121/1000000)*(1-'BD Plant List'!$T282)</f>
        <v>4.92765547243149</v>
      </c>
      <c r="Y5" s="308">
        <f>('Renewable Fuel Ex Ethanol'!V22*'Renewable Fuel Ex Ethanol'!$I$121/1000000)*(1-'BD Plant List'!$T294)</f>
        <v>4.993176009648419</v>
      </c>
      <c r="Z5" s="308">
        <f>('Renewable Fuel Ex Ethanol'!W22*'Renewable Fuel Ex Ethanol'!$I$121/1000000)*(1-'BD Plant List'!$T306)</f>
        <v>5.0810899759658819</v>
      </c>
      <c r="AA5" s="308">
        <f>('Renewable Fuel Ex Ethanol'!X22*'Renewable Fuel Ex Ethanol'!$I$121/1000000)*(1-'BD Plant List'!$T318)</f>
        <v>5.1673285022157733</v>
      </c>
      <c r="AB5" s="308">
        <f>('Renewable Fuel Ex Ethanol'!Y22*'Renewable Fuel Ex Ethanol'!$I$121/1000000)*(1-'BD Plant List'!$T330)</f>
        <v>5.2054625983026197</v>
      </c>
      <c r="AC5" s="308">
        <f>('Renewable Fuel Ex Ethanol'!Z22*'Renewable Fuel Ex Ethanol'!$I$121/1000000)*(1-'BD Plant List'!$T342)</f>
        <v>5.2068332467938916</v>
      </c>
      <c r="AD5" s="308">
        <f>('Renewable Fuel Ex Ethanol'!AA22*'Renewable Fuel Ex Ethanol'!$I$121/1000000)*(1-'BD Plant List'!$T354)</f>
        <v>5.2070936989680101</v>
      </c>
      <c r="AE5" s="308">
        <f>('Renewable Fuel Ex Ethanol'!AB22*'Renewable Fuel Ex Ethanol'!$I$121/1000000)*(1-'BD Plant List'!$T366)</f>
        <v>5.2064631813548399</v>
      </c>
      <c r="AF5" s="308">
        <f>('Renewable Fuel Ex Ethanol'!AC22*'Renewable Fuel Ex Ethanol'!$I$121/1000000)*(1-'BD Plant List'!$T378)</f>
        <v>5.2067967090389145</v>
      </c>
      <c r="AG5" s="308">
        <f>('Renewable Fuel Ex Ethanol'!AD22*'Renewable Fuel Ex Ethanol'!$I$121/1000000)*(1-'BD Plant List'!$T390)</f>
        <v>5.2067845297872539</v>
      </c>
      <c r="AH5" s="308">
        <f>('Renewable Fuel Ex Ethanol'!AE22*'Renewable Fuel Ex Ethanol'!$I$121/1000000)*(1-'BD Plant List'!$T402)</f>
        <v>5.2066814733936706</v>
      </c>
      <c r="AI5" s="308">
        <f>('Renewable Fuel Ex Ethanol'!AF22*'Renewable Fuel Ex Ethanol'!$I$121/1000000)*(1-'BD Plant List'!$T414)</f>
        <v>5.2067542374066136</v>
      </c>
      <c r="AJ5" s="308">
        <f>('Renewable Fuel Ex Ethanol'!AG22*'Renewable Fuel Ex Ethanol'!$I$121/1000000)*(1-'BD Plant List'!$T426)</f>
        <v>5.2067400801958472</v>
      </c>
      <c r="AK5" s="308">
        <f>('Renewable Fuel Ex Ethanol'!AH22*'Renewable Fuel Ex Ethanol'!$I$121/1000000)*(1-'BD Plant List'!$T438)</f>
        <v>5.2067252636653771</v>
      </c>
      <c r="AL5" s="308">
        <f>('Renewable Fuel Ex Ethanol'!AI22*'Renewable Fuel Ex Ethanol'!$I$121/1000000)*(1-'BD Plant List'!$T450)</f>
        <v>5.2067398604226121</v>
      </c>
      <c r="AM5" s="308">
        <f>('Renewable Fuel Ex Ethanol'!AJ22*'Renewable Fuel Ex Ethanol'!$I$121/1000000)*(1-'BD Plant List'!$T462)</f>
        <v>5.2067350680946136</v>
      </c>
      <c r="AN5" s="308">
        <f>('Renewable Fuel Ex Ethanol'!AK22*'Renewable Fuel Ex Ethanol'!$I$121/1000000)*(1-'BD Plant List'!$T474)</f>
        <v>5.2067333973942</v>
      </c>
      <c r="AO5" s="308">
        <f>('Renewable Fuel Ex Ethanol'!AL22*'Renewable Fuel Ex Ethanol'!$I$121/1000000)*(1-'BD Plant List'!$T486)</f>
        <v>5.2067361086371422</v>
      </c>
      <c r="AP5" s="308">
        <f>('Renewable Fuel Ex Ethanol'!AM22*'Renewable Fuel Ex Ethanol'!$I$121/1000000)*(1-'BD Plant List'!$T498)</f>
        <v>5.2067348580419859</v>
      </c>
    </row>
    <row r="6" spans="1:42">
      <c r="A6" s="303" t="s">
        <v>277</v>
      </c>
      <c r="L6" s="307">
        <f>'Renewable Fuel Ex Ethanol'!I23*'Renewable Fuel Ex Ethanol'!$I$121/1000000</f>
        <v>9.5064971906000011</v>
      </c>
      <c r="M6" s="307">
        <f>'Renewable Fuel Ex Ethanol'!J23*'Renewable Fuel Ex Ethanol'!$I$121/1000000</f>
        <v>8.1713713971999997</v>
      </c>
      <c r="N6" s="307">
        <f>'Renewable Fuel Ex Ethanol'!K23*'Renewable Fuel Ex Ethanol'!$I$121/1000000</f>
        <v>5.6242240089999997</v>
      </c>
      <c r="O6" s="307">
        <f>'Renewable Fuel Ex Ethanol'!L23*'Renewable Fuel Ex Ethanol'!$I$121/1000000</f>
        <v>9.8237678827000003</v>
      </c>
      <c r="P6" s="307">
        <f>('Renewable Fuel Ex Ethanol'!M23*'Renewable Fuel Ex Ethanol'!$I$121/1000000)*(1-'BD Plant List'!$T187)</f>
        <v>13.337916824108872</v>
      </c>
      <c r="Q6" s="307">
        <f>('Renewable Fuel Ex Ethanol'!N23*'Renewable Fuel Ex Ethanol'!$I$121/1000000)*(1-'BD Plant List'!$T199)</f>
        <v>7.9201443170529098</v>
      </c>
      <c r="R6" s="308">
        <f>('Renewable Fuel Ex Ethanol'!O23*'Renewable Fuel Ex Ethanol'!$I$121/1000000)*(1-'BD Plant List'!$T211)</f>
        <v>7.3409747943494512</v>
      </c>
      <c r="S6" s="308">
        <f>('Renewable Fuel Ex Ethanol'!P23*'Renewable Fuel Ex Ethanol'!$I$121/1000000)*(1-'BD Plant List'!$T223)</f>
        <v>6.5562229147375497</v>
      </c>
      <c r="T6" s="308">
        <f>('Renewable Fuel Ex Ethanol'!Q23*'Renewable Fuel Ex Ethanol'!$I$121/1000000)*(1-'BD Plant List'!$T235)</f>
        <v>5.0978682019808508</v>
      </c>
      <c r="U6" s="308">
        <f>('Renewable Fuel Ex Ethanol'!R23*'Renewable Fuel Ex Ethanol'!$I$121/1000000)*(1-'BD Plant List'!$T247)</f>
        <v>5.3713726954069632</v>
      </c>
      <c r="V6" s="308">
        <f>('Renewable Fuel Ex Ethanol'!S23*'Renewable Fuel Ex Ethanol'!$I$121/1000000)*(1-'BD Plant List'!$T259)</f>
        <v>5.5763484493527153</v>
      </c>
      <c r="W6" s="308">
        <f>('Renewable Fuel Ex Ethanol'!T23*'Renewable Fuel Ex Ethanol'!$I$121/1000000)*(1-'BD Plant List'!$T271)</f>
        <v>5.6402677703693991</v>
      </c>
      <c r="X6" s="308">
        <f>('Renewable Fuel Ex Ethanol'!U23*'Renewable Fuel Ex Ethanol'!$I$121/1000000)*(1-'BD Plant List'!$T283)</f>
        <v>5.7910730532107451</v>
      </c>
      <c r="Y6" s="308">
        <f>('Renewable Fuel Ex Ethanol'!V23*'Renewable Fuel Ex Ethanol'!$I$121/1000000)*(1-'BD Plant List'!$T295)</f>
        <v>5.8647204389423662</v>
      </c>
      <c r="Z6" s="308">
        <f>('Renewable Fuel Ex Ethanol'!W23*'Renewable Fuel Ex Ethanol'!$I$121/1000000)*(1-'BD Plant List'!$T307)</f>
        <v>5.9607894746546499</v>
      </c>
      <c r="AA6" s="308">
        <f>('Renewable Fuel Ex Ethanol'!X23*'Renewable Fuel Ex Ethanol'!$I$121/1000000)*(1-'BD Plant List'!$T319)</f>
        <v>6.0679341330115601</v>
      </c>
      <c r="AB6" s="308">
        <f>('Renewable Fuel Ex Ethanol'!Y23*'Renewable Fuel Ex Ethanol'!$I$121/1000000)*(1-'BD Plant List'!$T331)</f>
        <v>6.1111489230220544</v>
      </c>
      <c r="AC6" s="308">
        <f>('Renewable Fuel Ex Ethanol'!Z23*'Renewable Fuel Ex Ethanol'!$I$121/1000000)*(1-'BD Plant List'!$T343)</f>
        <v>6.1118168903936185</v>
      </c>
      <c r="AD6" s="308">
        <f>('Renewable Fuel Ex Ethanol'!AA23*'Renewable Fuel Ex Ethanol'!$I$121/1000000)*(1-'BD Plant List'!$T355)</f>
        <v>6.1132686986722033</v>
      </c>
      <c r="AE6" s="308">
        <f>('Renewable Fuel Ex Ethanol'!AB23*'Renewable Fuel Ex Ethanol'!$I$121/1000000)*(1-'BD Plant List'!$T367)</f>
        <v>6.1120781706959608</v>
      </c>
      <c r="AF6" s="308">
        <f>('Renewable Fuel Ex Ethanol'!AC23*'Renewable Fuel Ex Ethanol'!$I$121/1000000)*(1-'BD Plant List'!$T379)</f>
        <v>6.1123879199205957</v>
      </c>
      <c r="AG6" s="308">
        <f>('Renewable Fuel Ex Ethanol'!AD23*'Renewable Fuel Ex Ethanol'!$I$121/1000000)*(1-'BD Plant List'!$T391)</f>
        <v>6.1125782630962542</v>
      </c>
      <c r="AH6" s="308">
        <f>('Renewable Fuel Ex Ethanol'!AE23*'Renewable Fuel Ex Ethanol'!$I$121/1000000)*(1-'BD Plant List'!$T403)</f>
        <v>6.1123481179042694</v>
      </c>
      <c r="AI6" s="308">
        <f>('Renewable Fuel Ex Ethanol'!AF23*'Renewable Fuel Ex Ethanol'!$I$121/1000000)*(1-'BD Plant List'!$T415)</f>
        <v>6.1124381003070409</v>
      </c>
      <c r="AJ6" s="308">
        <f>('Renewable Fuel Ex Ethanol'!AG23*'Renewable Fuel Ex Ethanol'!$I$121/1000000)*(1-'BD Plant List'!$T427)</f>
        <v>6.1124548271025221</v>
      </c>
      <c r="AK6" s="308">
        <f>('Renewable Fuel Ex Ethanol'!AH23*'Renewable Fuel Ex Ethanol'!$I$121/1000000)*(1-'BD Plant List'!$T439)</f>
        <v>6.1124136817712778</v>
      </c>
      <c r="AL6" s="308">
        <f>('Renewable Fuel Ex Ethanol'!AI23*'Renewable Fuel Ex Ethanol'!$I$121/1000000)*(1-'BD Plant List'!$T451)</f>
        <v>6.1124355363936136</v>
      </c>
      <c r="AM6" s="308">
        <f>('Renewable Fuel Ex Ethanol'!AJ23*'Renewable Fuel Ex Ethanol'!$I$121/1000000)*(1-'BD Plant List'!$T463)</f>
        <v>6.1124346817558033</v>
      </c>
      <c r="AN6" s="308">
        <f>('Renewable Fuel Ex Ethanol'!AK23*'Renewable Fuel Ex Ethanol'!$I$121/1000000)*(1-'BD Plant List'!$T475)</f>
        <v>6.112427966640233</v>
      </c>
      <c r="AO6" s="308">
        <f>('Renewable Fuel Ex Ethanol'!AL23*'Renewable Fuel Ex Ethanol'!$I$121/1000000)*(1-'BD Plant List'!$T487)</f>
        <v>6.1124327282632169</v>
      </c>
      <c r="AP6" s="308">
        <f>('Renewable Fuel Ex Ethanol'!AM23*'Renewable Fuel Ex Ethanol'!$I$121/1000000)*(1-'BD Plant List'!$T499)</f>
        <v>6.1124317922197511</v>
      </c>
    </row>
    <row r="7" spans="1:42">
      <c r="A7" s="303" t="s">
        <v>278</v>
      </c>
      <c r="L7" s="307">
        <f>'Renewable Fuel Ex Ethanol'!I24*'Renewable Fuel Ex Ethanol'!$I$121/1000000</f>
        <v>8.5774039148999996</v>
      </c>
      <c r="M7" s="307">
        <f>'Renewable Fuel Ex Ethanol'!J24*'Renewable Fuel Ex Ethanol'!$I$121/1000000</f>
        <v>9.3828646478</v>
      </c>
      <c r="N7" s="307">
        <f>'Renewable Fuel Ex Ethanol'!K24*'Renewable Fuel Ex Ethanol'!$I$121/1000000</f>
        <v>7.3640614595999994</v>
      </c>
      <c r="O7" s="307">
        <f>'Renewable Fuel Ex Ethanol'!L24*'Renewable Fuel Ex Ethanol'!$I$121/1000000</f>
        <v>11.3150193872</v>
      </c>
      <c r="P7" s="307">
        <f>('Renewable Fuel Ex Ethanol'!M24*'Renewable Fuel Ex Ethanol'!$I$121/1000000)*(1-'BD Plant List'!$T188)</f>
        <v>22.900455929424101</v>
      </c>
      <c r="Q7" s="308">
        <f>('Renewable Fuel Ex Ethanol'!N24*'Renewable Fuel Ex Ethanol'!$I$121/1000000)*(1-'BD Plant List'!$T200)</f>
        <v>20.297694024072115</v>
      </c>
      <c r="R7" s="308">
        <f>('Renewable Fuel Ex Ethanol'!O24*'Renewable Fuel Ex Ethanol'!$I$121/1000000)*(1-'BD Plant List'!$T212)</f>
        <v>9.5872138392335557</v>
      </c>
      <c r="S7" s="308">
        <f>('Renewable Fuel Ex Ethanol'!P24*'Renewable Fuel Ex Ethanol'!$I$121/1000000)*(1-'BD Plant List'!$T224)</f>
        <v>12.696730860885173</v>
      </c>
      <c r="T7" s="308">
        <f>('Renewable Fuel Ex Ethanol'!Q24*'Renewable Fuel Ex Ethanol'!$I$121/1000000)*(1-'BD Plant List'!$T236)</f>
        <v>10.24009214058602</v>
      </c>
      <c r="U7" s="308">
        <f>('Renewable Fuel Ex Ethanol'!R24*'Renewable Fuel Ex Ethanol'!$I$121/1000000)*(1-'BD Plant List'!$T248)</f>
        <v>10.333567209338893</v>
      </c>
      <c r="V7" s="308">
        <f>('Renewable Fuel Ex Ethanol'!S24*'Renewable Fuel Ex Ethanol'!$I$121/1000000)*(1-'BD Plant List'!$T260)</f>
        <v>10.908017369016093</v>
      </c>
      <c r="W7" s="308">
        <f>('Renewable Fuel Ex Ethanol'!T24*'Renewable Fuel Ex Ethanol'!$I$121/1000000)*(1-'BD Plant List'!$T272)</f>
        <v>11.066286361809569</v>
      </c>
      <c r="X7" s="308">
        <f>('Renewable Fuel Ex Ethanol'!U24*'Renewable Fuel Ex Ethanol'!$I$121/1000000)*(1-'BD Plant List'!$T284)</f>
        <v>11.279079203962777</v>
      </c>
      <c r="Y7" s="308">
        <f>('Renewable Fuel Ex Ethanol'!V24*'Renewable Fuel Ex Ethanol'!$I$121/1000000)*(1-'BD Plant List'!$T296)</f>
        <v>11.466683770616704</v>
      </c>
      <c r="Z7" s="308">
        <f>('Renewable Fuel Ex Ethanol'!W24*'Renewable Fuel Ex Ethanol'!$I$121/1000000)*(1-'BD Plant List'!$T308)</f>
        <v>11.652740166778143</v>
      </c>
      <c r="AA7" s="308">
        <f>('Renewable Fuel Ex Ethanol'!X24*'Renewable Fuel Ex Ethanol'!$I$121/1000000)*(1-'BD Plant List'!$T320)</f>
        <v>11.848373304245399</v>
      </c>
      <c r="AB7" s="308">
        <f>('Renewable Fuel Ex Ethanol'!Y24*'Renewable Fuel Ex Ethanol'!$I$121/1000000)*(1-'BD Plant List'!$T332)</f>
        <v>11.942553702745984</v>
      </c>
      <c r="AC7" s="308">
        <f>('Renewable Fuel Ex Ethanol'!Z24*'Renewable Fuel Ex Ethanol'!$I$121/1000000)*(1-'BD Plant List'!$T344)</f>
        <v>11.941936379302401</v>
      </c>
      <c r="AD7" s="308">
        <f>('Renewable Fuel Ex Ethanol'!AA24*'Renewable Fuel Ex Ethanol'!$I$121/1000000)*(1-'BD Plant List'!$T356)</f>
        <v>11.94280193392172</v>
      </c>
      <c r="AE7" s="308">
        <f>('Renewable Fuel Ex Ethanol'!AB24*'Renewable Fuel Ex Ethanol'!$I$121/1000000)*(1-'BD Plant List'!$T368)</f>
        <v>11.942430671990037</v>
      </c>
      <c r="AF7" s="308">
        <f>('Renewable Fuel Ex Ethanol'!AC24*'Renewable Fuel Ex Ethanol'!$I$121/1000000)*(1-'BD Plant List'!$T380)</f>
        <v>11.942389661738055</v>
      </c>
      <c r="AG7" s="308">
        <f>('Renewable Fuel Ex Ethanol'!AD24*'Renewable Fuel Ex Ethanol'!$I$121/1000000)*(1-'BD Plant List'!$T392)</f>
        <v>11.94254075588327</v>
      </c>
      <c r="AH7" s="308">
        <f>('Renewable Fuel Ex Ethanol'!AE24*'Renewable Fuel Ex Ethanol'!$I$121/1000000)*(1-'BD Plant List'!$T404)</f>
        <v>11.942453696537122</v>
      </c>
      <c r="AI7" s="308">
        <f>('Renewable Fuel Ex Ethanol'!AF24*'Renewable Fuel Ex Ethanol'!$I$121/1000000)*(1-'BD Plant List'!$T416)</f>
        <v>11.94246137138615</v>
      </c>
      <c r="AJ7" s="308">
        <f>('Renewable Fuel Ex Ethanol'!AG24*'Renewable Fuel Ex Ethanol'!$I$121/1000000)*(1-'BD Plant List'!$T428)</f>
        <v>11.942485274602182</v>
      </c>
      <c r="AK7" s="308">
        <f>('Renewable Fuel Ex Ethanol'!AH24*'Renewable Fuel Ex Ethanol'!$I$121/1000000)*(1-'BD Plant List'!$T440)</f>
        <v>11.942466780841817</v>
      </c>
      <c r="AL7" s="308">
        <f>('Renewable Fuel Ex Ethanol'!AI24*'Renewable Fuel Ex Ethanol'!$I$121/1000000)*(1-'BD Plant List'!$T452)</f>
        <v>11.942471142276716</v>
      </c>
      <c r="AM7" s="308">
        <f>('Renewable Fuel Ex Ethanol'!AJ24*'Renewable Fuel Ex Ethanol'!$I$121/1000000)*(1-'BD Plant List'!$T464)</f>
        <v>11.942474399240242</v>
      </c>
      <c r="AN7" s="308">
        <f>('Renewable Fuel Ex Ethanol'!AK24*'Renewable Fuel Ex Ethanol'!$I$121/1000000)*(1-'BD Plant List'!$T476)</f>
        <v>11.942470774119592</v>
      </c>
      <c r="AO7" s="308">
        <f>('Renewable Fuel Ex Ethanol'!AL24*'Renewable Fuel Ex Ethanol'!$I$121/1000000)*(1-'BD Plant List'!$T488)</f>
        <v>11.942472105212184</v>
      </c>
      <c r="AP7" s="308">
        <f>('Renewable Fuel Ex Ethanol'!AM24*'Renewable Fuel Ex Ethanol'!$I$121/1000000)*(1-'BD Plant List'!$T500)</f>
        <v>11.942472426190671</v>
      </c>
    </row>
    <row r="8" spans="1:42">
      <c r="A8" s="303" t="s">
        <v>279</v>
      </c>
      <c r="L8" s="307">
        <f>'Renewable Fuel Ex Ethanol'!I25*'Renewable Fuel Ex Ethanol'!$I$121/1000000</f>
        <v>9.3165574506999995</v>
      </c>
      <c r="M8" s="307">
        <f>'Renewable Fuel Ex Ethanol'!J25*'Renewable Fuel Ex Ethanol'!$I$121/1000000</f>
        <v>9.3498431352999987</v>
      </c>
      <c r="N8" s="307">
        <f>'Renewable Fuel Ex Ethanol'!K25*'Renewable Fuel Ex Ethanol'!$I$121/1000000</f>
        <v>7.2512599729000007</v>
      </c>
      <c r="O8" s="307">
        <f>'Renewable Fuel Ex Ethanol'!L25*'Renewable Fuel Ex Ethanol'!$I$121/1000000</f>
        <v>9.1149941384000002</v>
      </c>
      <c r="P8" s="307">
        <f>('Renewable Fuel Ex Ethanol'!M25*'Renewable Fuel Ex Ethanol'!$I$121/1000000)*(1-'BD Plant List'!$T189)</f>
        <v>19.10915271022796</v>
      </c>
      <c r="Q8" s="308">
        <f>('Renewable Fuel Ex Ethanol'!N25*'Renewable Fuel Ex Ethanol'!$I$121/1000000)*(1-'BD Plant List'!$T201)</f>
        <v>18.310966452356759</v>
      </c>
      <c r="R8" s="308">
        <f>('Renewable Fuel Ex Ethanol'!O25*'Renewable Fuel Ex Ethanol'!$I$121/1000000)*(1-'BD Plant List'!$T213)</f>
        <v>8.205867135116339</v>
      </c>
      <c r="S8" s="308">
        <f>('Renewable Fuel Ex Ethanol'!P25*'Renewable Fuel Ex Ethanol'!$I$121/1000000)*(1-'BD Plant List'!$T225)</f>
        <v>10.132962948119525</v>
      </c>
      <c r="T8" s="308">
        <f>('Renewable Fuel Ex Ethanol'!Q25*'Renewable Fuel Ex Ethanol'!$I$121/1000000)*(1-'BD Plant List'!$T237)</f>
        <v>8.9104510381688122</v>
      </c>
      <c r="U8" s="308">
        <f>('Renewable Fuel Ex Ethanol'!R25*'Renewable Fuel Ex Ethanol'!$I$121/1000000)*(1-'BD Plant List'!$T249)</f>
        <v>8.9243797646077123</v>
      </c>
      <c r="V8" s="308">
        <f>('Renewable Fuel Ex Ethanol'!S25*'Renewable Fuel Ex Ethanol'!$I$121/1000000)*(1-'BD Plant List'!$T261)</f>
        <v>9.4403779247818953</v>
      </c>
      <c r="W8" s="308">
        <f>('Renewable Fuel Ex Ethanol'!T25*'Renewable Fuel Ex Ethanol'!$I$121/1000000)*(1-'BD Plant List'!$T273)</f>
        <v>9.587649128475082</v>
      </c>
      <c r="X8" s="308">
        <f>('Renewable Fuel Ex Ethanol'!U25*'Renewable Fuel Ex Ethanol'!$I$121/1000000)*(1-'BD Plant List'!$T285)</f>
        <v>9.7585325577160766</v>
      </c>
      <c r="Y8" s="308">
        <f>('Renewable Fuel Ex Ethanol'!V25*'Renewable Fuel Ex Ethanol'!$I$121/1000000)*(1-'BD Plant List'!$T297)</f>
        <v>9.9263998658527761</v>
      </c>
      <c r="Z8" s="308">
        <f>('Renewable Fuel Ex Ethanol'!W25*'Renewable Fuel Ex Ethanol'!$I$121/1000000)*(1-'BD Plant List'!$T309)</f>
        <v>10.088290817371071</v>
      </c>
      <c r="AA8" s="308">
        <f>('Renewable Fuel Ex Ethanol'!X25*'Renewable Fuel Ex Ethanol'!$I$121/1000000)*(1-'BD Plant List'!$T321)</f>
        <v>10.255221338545971</v>
      </c>
      <c r="AB8" s="308">
        <f>('Renewable Fuel Ex Ethanol'!Y25*'Renewable Fuel Ex Ethanol'!$I$121/1000000)*(1-'BD Plant List'!$T333)</f>
        <v>10.338084706888598</v>
      </c>
      <c r="AC8" s="308">
        <f>('Renewable Fuel Ex Ethanol'!Z25*'Renewable Fuel Ex Ethanol'!$I$121/1000000)*(1-'BD Plant List'!$T345)</f>
        <v>10.337465250271441</v>
      </c>
      <c r="AD8" s="308">
        <f>('Renewable Fuel Ex Ethanol'!AA25*'Renewable Fuel Ex Ethanol'!$I$121/1000000)*(1-'BD Plant List'!$T357)</f>
        <v>10.337824630917783</v>
      </c>
      <c r="AE8" s="308">
        <f>('Renewable Fuel Ex Ethanol'!AB25*'Renewable Fuel Ex Ethanol'!$I$121/1000000)*(1-'BD Plant List'!$T369)</f>
        <v>10.337791529359274</v>
      </c>
      <c r="AF8" s="308">
        <f>('Renewable Fuel Ex Ethanol'!AC25*'Renewable Fuel Ex Ethanol'!$I$121/1000000)*(1-'BD Plant List'!$T381)</f>
        <v>10.337693803516164</v>
      </c>
      <c r="AG8" s="308">
        <f>('Renewable Fuel Ex Ethanol'!AD25*'Renewable Fuel Ex Ethanol'!$I$121/1000000)*(1-'BD Plant List'!$T393)</f>
        <v>10.337769987931075</v>
      </c>
      <c r="AH8" s="308">
        <f>('Renewable Fuel Ex Ethanol'!AE25*'Renewable Fuel Ex Ethanol'!$I$121/1000000)*(1-'BD Plant List'!$T405)</f>
        <v>10.33775177360217</v>
      </c>
      <c r="AI8" s="308">
        <f>('Renewable Fuel Ex Ethanol'!AF25*'Renewable Fuel Ex Ethanol'!$I$121/1000000)*(1-'BD Plant List'!$T417)</f>
        <v>10.337738521683137</v>
      </c>
      <c r="AJ8" s="308">
        <f>('Renewable Fuel Ex Ethanol'!AG25*'Renewable Fuel Ex Ethanol'!$I$121/1000000)*(1-'BD Plant List'!$T429)</f>
        <v>10.337753427738797</v>
      </c>
      <c r="AK8" s="308">
        <f>('Renewable Fuel Ex Ethanol'!AH25*'Renewable Fuel Ex Ethanol'!$I$121/1000000)*(1-'BD Plant List'!$T441)</f>
        <v>10.337747907674704</v>
      </c>
      <c r="AL8" s="308">
        <f>('Renewable Fuel Ex Ethanol'!AI25*'Renewable Fuel Ex Ethanol'!$I$121/1000000)*(1-'BD Plant List'!$T453)</f>
        <v>10.337746619032213</v>
      </c>
      <c r="AM8" s="308">
        <f>('Renewable Fuel Ex Ethanol'!AJ25*'Renewable Fuel Ex Ethanol'!$I$121/1000000)*(1-'BD Plant List'!$T465)</f>
        <v>10.337749318148571</v>
      </c>
      <c r="AN8" s="308">
        <f>('Renewable Fuel Ex Ethanol'!AK25*'Renewable Fuel Ex Ethanol'!$I$121/1000000)*(1-'BD Plant List'!$T477)</f>
        <v>10.337747948285164</v>
      </c>
      <c r="AO8" s="308">
        <f>('Renewable Fuel Ex Ethanol'!AL25*'Renewable Fuel Ex Ethanol'!$I$121/1000000)*(1-'BD Plant List'!$T489)</f>
        <v>10.337747961821981</v>
      </c>
      <c r="AP8" s="308">
        <f>('Renewable Fuel Ex Ethanol'!AM25*'Renewable Fuel Ex Ethanol'!$I$121/1000000)*(1-'BD Plant List'!$T501)</f>
        <v>10.337748409418573</v>
      </c>
    </row>
    <row r="9" spans="1:42">
      <c r="A9" s="303" t="s">
        <v>133</v>
      </c>
      <c r="L9" s="307">
        <f>'Renewable Fuel Ex Ethanol'!I26*'Renewable Fuel Ex Ethanol'!$I$121/1000000</f>
        <v>10.687874821799999</v>
      </c>
      <c r="M9" s="307">
        <f>'Renewable Fuel Ex Ethanol'!J26*'Renewable Fuel Ex Ethanol'!$I$121/1000000</f>
        <v>7.6290260758999997</v>
      </c>
      <c r="N9" s="307">
        <f>'Renewable Fuel Ex Ethanol'!K26*'Renewable Fuel Ex Ethanol'!$I$121/1000000</f>
        <v>7.1812543664000001</v>
      </c>
      <c r="O9" s="307">
        <f>'Renewable Fuel Ex Ethanol'!L26*'Renewable Fuel Ex Ethanol'!$I$121/1000000</f>
        <v>11.232333519899999</v>
      </c>
      <c r="P9" s="307">
        <f>('Renewable Fuel Ex Ethanol'!M26*'Renewable Fuel Ex Ethanol'!$I$121/1000000)*(1-'BD Plant List'!$T190)</f>
        <v>20.446894744037394</v>
      </c>
      <c r="Q9" s="308">
        <f>('Renewable Fuel Ex Ethanol'!N26*'Renewable Fuel Ex Ethanol'!$I$121/1000000)*(1-'BD Plant List'!$T202)</f>
        <v>19.360360301423633</v>
      </c>
      <c r="R9" s="308">
        <f>('Renewable Fuel Ex Ethanol'!O26*'Renewable Fuel Ex Ethanol'!$I$121/1000000)*(1-'BD Plant List'!$T214)</f>
        <v>8.9507968388480919</v>
      </c>
      <c r="S9" s="308">
        <f>('Renewable Fuel Ex Ethanol'!P26*'Renewable Fuel Ex Ethanol'!$I$121/1000000)*(1-'BD Plant List'!$T226)</f>
        <v>9.4709202472792935</v>
      </c>
      <c r="T9" s="308">
        <f>('Renewable Fuel Ex Ethanol'!Q26*'Renewable Fuel Ex Ethanol'!$I$121/1000000)*(1-'BD Plant List'!$T238)</f>
        <v>9.5788193887294764</v>
      </c>
      <c r="U9" s="308">
        <f>('Renewable Fuel Ex Ethanol'!R26*'Renewable Fuel Ex Ethanol'!$I$121/1000000)*(1-'BD Plant List'!$T250)</f>
        <v>9.627463379403256</v>
      </c>
      <c r="V9" s="308">
        <f>('Renewable Fuel Ex Ethanol'!S26*'Renewable Fuel Ex Ethanol'!$I$121/1000000)*(1-'BD Plant List'!$T262)</f>
        <v>10.157634755863956</v>
      </c>
      <c r="W9" s="308">
        <f>('Renewable Fuel Ex Ethanol'!T26*'Renewable Fuel Ex Ethanol'!$I$121/1000000)*(1-'BD Plant List'!$T274)</f>
        <v>10.321861917526112</v>
      </c>
      <c r="X9" s="308">
        <f>('Renewable Fuel Ex Ethanol'!U26*'Renewable Fuel Ex Ethanol'!$I$121/1000000)*(1-'BD Plant List'!$T286)</f>
        <v>10.510713864584652</v>
      </c>
      <c r="Y9" s="308">
        <f>('Renewable Fuel Ex Ethanol'!V26*'Renewable Fuel Ex Ethanol'!$I$121/1000000)*(1-'BD Plant List'!$T298)</f>
        <v>10.686279495853352</v>
      </c>
      <c r="Z9" s="308">
        <f>('Renewable Fuel Ex Ethanol'!W26*'Renewable Fuel Ex Ethanol'!$I$121/1000000)*(1-'BD Plant List'!$T310)</f>
        <v>10.862430350032829</v>
      </c>
      <c r="AA9" s="308">
        <f>('Renewable Fuel Ex Ethanol'!X26*'Renewable Fuel Ex Ethanol'!$I$121/1000000)*(1-'BD Plant List'!$T322)</f>
        <v>11.042690389162171</v>
      </c>
      <c r="AB9" s="308">
        <f>('Renewable Fuel Ex Ethanol'!Y26*'Renewable Fuel Ex Ethanol'!$I$121/1000000)*(1-'BD Plant List'!$T334)</f>
        <v>11.130942703226896</v>
      </c>
      <c r="AC9" s="308">
        <f>('Renewable Fuel Ex Ethanol'!Z26*'Renewable Fuel Ex Ethanol'!$I$121/1000000)*(1-'BD Plant List'!$T346)</f>
        <v>11.13074913828231</v>
      </c>
      <c r="AD9" s="308">
        <f>('Renewable Fuel Ex Ethanol'!AA26*'Renewable Fuel Ex Ethanol'!$I$121/1000000)*(1-'BD Plant List'!$T358)</f>
        <v>11.131143793673591</v>
      </c>
      <c r="AE9" s="308">
        <f>('Renewable Fuel Ex Ethanol'!AB26*'Renewable Fuel Ex Ethanol'!$I$121/1000000)*(1-'BD Plant List'!$T370)</f>
        <v>11.1309452117276</v>
      </c>
      <c r="AF9" s="308">
        <f>('Renewable Fuel Ex Ethanol'!AC26*'Renewable Fuel Ex Ethanol'!$I$121/1000000)*(1-'BD Plant List'!$T382)</f>
        <v>11.130946047894501</v>
      </c>
      <c r="AG9" s="308">
        <f>('Renewable Fuel Ex Ethanol'!AD26*'Renewable Fuel Ex Ethanol'!$I$121/1000000)*(1-'BD Plant List'!$T394)</f>
        <v>11.131011684431897</v>
      </c>
      <c r="AH9" s="308">
        <f>('Renewable Fuel Ex Ethanol'!AE26*'Renewable Fuel Ex Ethanol'!$I$121/1000000)*(1-'BD Plant List'!$T406)</f>
        <v>11.130967648017998</v>
      </c>
      <c r="AI9" s="308">
        <f>('Renewable Fuel Ex Ethanol'!AF26*'Renewable Fuel Ex Ethanol'!$I$121/1000000)*(1-'BD Plant List'!$T418)</f>
        <v>11.130975126781466</v>
      </c>
      <c r="AJ9" s="308">
        <f>('Renewable Fuel Ex Ethanol'!AG26*'Renewable Fuel Ex Ethanol'!$I$121/1000000)*(1-'BD Plant List'!$T430)</f>
        <v>11.130984819743789</v>
      </c>
      <c r="AK9" s="308">
        <f>('Renewable Fuel Ex Ethanol'!AH26*'Renewable Fuel Ex Ethanol'!$I$121/1000000)*(1-'BD Plant List'!$T442)</f>
        <v>11.130975864847752</v>
      </c>
      <c r="AL9" s="308">
        <f>('Renewable Fuel Ex Ethanol'!AI26*'Renewable Fuel Ex Ethanol'!$I$121/1000000)*(1-'BD Plant List'!$T454)</f>
        <v>11.130978603791002</v>
      </c>
      <c r="AM9" s="308">
        <f>('Renewable Fuel Ex Ethanol'!AJ26*'Renewable Fuel Ex Ethanol'!$I$121/1000000)*(1-'BD Plant List'!$T466)</f>
        <v>11.130979762794183</v>
      </c>
      <c r="AN9" s="308">
        <f>('Renewable Fuel Ex Ethanol'!AK26*'Renewable Fuel Ex Ethanol'!$I$121/1000000)*(1-'BD Plant List'!$T478)</f>
        <v>11.130978077144313</v>
      </c>
      <c r="AO9" s="308">
        <f>('Renewable Fuel Ex Ethanol'!AL26*'Renewable Fuel Ex Ethanol'!$I$121/1000000)*(1-'BD Plant List'!$T490)</f>
        <v>11.130978814576499</v>
      </c>
      <c r="AP9" s="308">
        <f>('Renewable Fuel Ex Ethanol'!AM26*'Renewable Fuel Ex Ethanol'!$I$121/1000000)*(1-'BD Plant List'!$T502)</f>
        <v>11.130978884838333</v>
      </c>
    </row>
    <row r="10" spans="1:42">
      <c r="A10" s="303" t="s">
        <v>280</v>
      </c>
      <c r="L10" s="307">
        <f>'Renewable Fuel Ex Ethanol'!I27*'Renewable Fuel Ex Ethanol'!$I$121/1000000</f>
        <v>9.9220399039</v>
      </c>
      <c r="M10" s="307">
        <f>'Renewable Fuel Ex Ethanol'!J27*'Renewable Fuel Ex Ethanol'!$I$121/1000000</f>
        <v>10.8041105458</v>
      </c>
      <c r="N10" s="307">
        <f>'Renewable Fuel Ex Ethanol'!K27*'Renewable Fuel Ex Ethanol'!$I$121/1000000</f>
        <v>7.4076498561000008</v>
      </c>
      <c r="O10" s="307">
        <f>'Renewable Fuel Ex Ethanol'!L27*'Renewable Fuel Ex Ethanol'!$I$121/1000000</f>
        <v>12.5804037462</v>
      </c>
      <c r="P10" s="307">
        <f>('Renewable Fuel Ex Ethanol'!M27*'Renewable Fuel Ex Ethanol'!$I$121/1000000)*(1-'BD Plant List'!$T191)</f>
        <v>27.28948247541511</v>
      </c>
      <c r="Q10" s="308">
        <f>('Renewable Fuel Ex Ethanol'!N27*'Renewable Fuel Ex Ethanol'!$I$121/1000000)*(1-'BD Plant List'!$T203)</f>
        <v>23.279941949074409</v>
      </c>
      <c r="R10" s="308">
        <f>('Renewable Fuel Ex Ethanol'!O27*'Renewable Fuel Ex Ethanol'!$I$121/1000000)*(1-'BD Plant List'!$T215)</f>
        <v>11.12722098553402</v>
      </c>
      <c r="S10" s="308">
        <f>('Renewable Fuel Ex Ethanol'!P27*'Renewable Fuel Ex Ethanol'!$I$121/1000000)*(1-'BD Plant List'!$T227)</f>
        <v>10.939805568763013</v>
      </c>
      <c r="T10" s="308">
        <f>('Renewable Fuel Ex Ethanol'!Q27*'Renewable Fuel Ex Ethanol'!$I$121/1000000)*(1-'BD Plant List'!$T239)</f>
        <v>11.877299928142346</v>
      </c>
      <c r="U10" s="308">
        <f>('Renewable Fuel Ex Ethanol'!R27*'Renewable Fuel Ex Ethanol'!$I$121/1000000)*(1-'BD Plant List'!$T251)</f>
        <v>12.013041679589548</v>
      </c>
      <c r="V10" s="308">
        <f>('Renewable Fuel Ex Ethanol'!S27*'Renewable Fuel Ex Ethanol'!$I$121/1000000)*(1-'BD Plant List'!$T263)</f>
        <v>12.685740505177055</v>
      </c>
      <c r="W10" s="308">
        <f>('Renewable Fuel Ex Ethanol'!T27*'Renewable Fuel Ex Ethanol'!$I$121/1000000)*(1-'BD Plant List'!$T275)</f>
        <v>12.857047045749814</v>
      </c>
      <c r="X10" s="308">
        <f>('Renewable Fuel Ex Ethanol'!U27*'Renewable Fuel Ex Ethanol'!$I$121/1000000)*(1-'BD Plant List'!$T287)</f>
        <v>13.111206654440643</v>
      </c>
      <c r="Y10" s="308">
        <f>('Renewable Fuel Ex Ethanol'!V27*'Renewable Fuel Ex Ethanol'!$I$121/1000000)*(1-'BD Plant List'!$T299)</f>
        <v>13.328963519092246</v>
      </c>
      <c r="Z10" s="308">
        <f>('Renewable Fuel Ex Ethanol'!W27*'Renewable Fuel Ex Ethanol'!$I$121/1000000)*(1-'BD Plant List'!$T311)</f>
        <v>13.543108759187824</v>
      </c>
      <c r="AA10" s="308">
        <f>('Renewable Fuel Ex Ethanol'!X27*'Renewable Fuel Ex Ethanol'!$I$121/1000000)*(1-'BD Plant List'!$T323)</f>
        <v>13.772018299048243</v>
      </c>
      <c r="AB10" s="308">
        <f>('Renewable Fuel Ex Ethanol'!Y27*'Renewable Fuel Ex Ethanol'!$I$121/1000000)*(1-'BD Plant List'!$T335)</f>
        <v>13.881178475863495</v>
      </c>
      <c r="AC10" s="308">
        <f>('Renewable Fuel Ex Ethanol'!Z27*'Renewable Fuel Ex Ethanol'!$I$121/1000000)*(1-'BD Plant List'!$T347)</f>
        <v>13.88015685111171</v>
      </c>
      <c r="AD10" s="308">
        <f>('Renewable Fuel Ex Ethanol'!AA27*'Renewable Fuel Ex Ethanol'!$I$121/1000000)*(1-'BD Plant List'!$T359)</f>
        <v>13.881468457895538</v>
      </c>
      <c r="AE10" s="308">
        <f>('Renewable Fuel Ex Ethanol'!AB27*'Renewable Fuel Ex Ethanol'!$I$121/1000000)*(1-'BD Plant List'!$T371)</f>
        <v>13.880934594956912</v>
      </c>
      <c r="AF10" s="308">
        <f>('Renewable Fuel Ex Ethanol'!AC27*'Renewable Fuel Ex Ethanol'!$I$121/1000000)*(1-'BD Plant List'!$T383)</f>
        <v>13.880853301321386</v>
      </c>
      <c r="AG10" s="308">
        <f>('Renewable Fuel Ex Ethanol'!AD27*'Renewable Fuel Ex Ethanol'!$I$121/1000000)*(1-'BD Plant List'!$T395)</f>
        <v>13.88108545139128</v>
      </c>
      <c r="AH10" s="308">
        <f>('Renewable Fuel Ex Ethanol'!AE27*'Renewable Fuel Ex Ethanol'!$I$121/1000000)*(1-'BD Plant List'!$T407)</f>
        <v>13.880957782556528</v>
      </c>
      <c r="AI10" s="308">
        <f>('Renewable Fuel Ex Ethanol'!AF27*'Renewable Fuel Ex Ethanol'!$I$121/1000000)*(1-'BD Plant List'!$T419)</f>
        <v>13.880965511756399</v>
      </c>
      <c r="AJ10" s="308">
        <f>('Renewable Fuel Ex Ethanol'!AG27*'Renewable Fuel Ex Ethanol'!$I$121/1000000)*(1-'BD Plant List'!$T431)</f>
        <v>13.881002915234737</v>
      </c>
      <c r="AK10" s="308">
        <f>('Renewable Fuel Ex Ethanol'!AH27*'Renewable Fuel Ex Ethanol'!$I$121/1000000)*(1-'BD Plant List'!$T443)</f>
        <v>13.880975403182553</v>
      </c>
      <c r="AL10" s="308">
        <f>('Renewable Fuel Ex Ethanol'!AI27*'Renewable Fuel Ex Ethanol'!$I$121/1000000)*(1-'BD Plant List'!$T455)</f>
        <v>13.880981276724564</v>
      </c>
      <c r="AM10" s="308">
        <f>('Renewable Fuel Ex Ethanol'!AJ27*'Renewable Fuel Ex Ethanol'!$I$121/1000000)*(1-'BD Plant List'!$T467)</f>
        <v>13.880986531713953</v>
      </c>
      <c r="AN10" s="308">
        <f>('Renewable Fuel Ex Ethanol'!AK27*'Renewable Fuel Ex Ethanol'!$I$121/1000000)*(1-'BD Plant List'!$T479)</f>
        <v>13.880981070540358</v>
      </c>
      <c r="AO10" s="308">
        <f>('Renewable Fuel Ex Ethanol'!AL27*'Renewable Fuel Ex Ethanol'!$I$121/1000000)*(1-'BD Plant List'!$T491)</f>
        <v>13.880982959659626</v>
      </c>
      <c r="AP10" s="308">
        <f>('Renewable Fuel Ex Ethanol'!AM27*'Renewable Fuel Ex Ethanol'!$I$121/1000000)*(1-'BD Plant List'!$T503)</f>
        <v>13.880983520637981</v>
      </c>
    </row>
    <row r="11" spans="1:42">
      <c r="A11" s="303" t="s">
        <v>281</v>
      </c>
      <c r="L11" s="307">
        <f>'Renewable Fuel Ex Ethanol'!I28*'Renewable Fuel Ex Ethanol'!$I$121/1000000</f>
        <v>12.294569534000001</v>
      </c>
      <c r="M11" s="307">
        <f>'Renewable Fuel Ex Ethanol'!J28*'Renewable Fuel Ex Ethanol'!$I$121/1000000</f>
        <v>10.0084241806</v>
      </c>
      <c r="N11" s="307">
        <f>'Renewable Fuel Ex Ethanol'!K28*'Renewable Fuel Ex Ethanol'!$I$121/1000000</f>
        <v>7.0961909501999996</v>
      </c>
      <c r="O11" s="307">
        <f>'Renewable Fuel Ex Ethanol'!L28*'Renewable Fuel Ex Ethanol'!$I$121/1000000</f>
        <v>12.192599103399999</v>
      </c>
      <c r="P11" s="307">
        <f>('Renewable Fuel Ex Ethanol'!M28*'Renewable Fuel Ex Ethanol'!$I$121/1000000)*(1-'BD Plant List'!$T192)</f>
        <v>22.124242903312972</v>
      </c>
      <c r="Q11" s="308">
        <f>('Renewable Fuel Ex Ethanol'!N28*'Renewable Fuel Ex Ethanol'!$I$121/1000000)*(1-'BD Plant List'!$T204)</f>
        <v>21.517904289516757</v>
      </c>
      <c r="R11" s="308">
        <f>('Renewable Fuel Ex Ethanol'!O28*'Renewable Fuel Ex Ethanol'!$I$121/1000000)*(1-'BD Plant List'!$T216)</f>
        <v>9.79552063586255</v>
      </c>
      <c r="S11" s="308">
        <f>('Renewable Fuel Ex Ethanol'!P28*'Renewable Fuel Ex Ethanol'!$I$121/1000000)*(1-'BD Plant List'!$T228)</f>
        <v>9.5126068682633118</v>
      </c>
      <c r="T11" s="308">
        <f>('Renewable Fuel Ex Ethanol'!Q28*'Renewable Fuel Ex Ethanol'!$I$121/1000000)*(1-'BD Plant List'!$T240)</f>
        <v>10.529194142178277</v>
      </c>
      <c r="U11" s="308">
        <f>('Renewable Fuel Ex Ethanol'!R28*'Renewable Fuel Ex Ethanol'!$I$121/1000000)*(1-'BD Plant List'!$T252)</f>
        <v>10.558075972520598</v>
      </c>
      <c r="V11" s="308">
        <f>('Renewable Fuel Ex Ethanol'!S28*'Renewable Fuel Ex Ethanol'!$I$121/1000000)*(1-'BD Plant List'!$T264)</f>
        <v>11.145003118395174</v>
      </c>
      <c r="W11" s="308">
        <f>('Renewable Fuel Ex Ethanol'!T28*'Renewable Fuel Ex Ethanol'!$I$121/1000000)*(1-'BD Plant List'!$T276)</f>
        <v>11.330132409208817</v>
      </c>
      <c r="X11" s="308">
        <f>('Renewable Fuel Ex Ethanol'!U28*'Renewable Fuel Ex Ethanol'!$I$121/1000000)*(1-'BD Plant List'!$T288)</f>
        <v>11.532304606552373</v>
      </c>
      <c r="Y11" s="308">
        <f>('Renewable Fuel Ex Ethanol'!V28*'Renewable Fuel Ex Ethanol'!$I$121/1000000)*(1-'BD Plant List'!$T300)</f>
        <v>11.726703494536679</v>
      </c>
      <c r="Z11" s="308">
        <f>('Renewable Fuel Ex Ethanol'!W28*'Renewable Fuel Ex Ethanol'!$I$121/1000000)*(1-'BD Plant List'!$T312)</f>
        <v>11.920551249311693</v>
      </c>
      <c r="AA11" s="308">
        <f>('Renewable Fuel Ex Ethanol'!X28*'Renewable Fuel Ex Ethanol'!$I$121/1000000)*(1-'BD Plant List'!$T324)</f>
        <v>12.117403776249143</v>
      </c>
      <c r="AB11" s="308">
        <f>('Renewable Fuel Ex Ethanol'!Y28*'Renewable Fuel Ex Ethanol'!$I$121/1000000)*(1-'BD Plant List'!$T336)</f>
        <v>12.214705778721827</v>
      </c>
      <c r="AC11" s="308">
        <f>('Renewable Fuel Ex Ethanol'!Z28*'Renewable Fuel Ex Ethanol'!$I$121/1000000)*(1-'BD Plant List'!$T348)</f>
        <v>12.214508357238092</v>
      </c>
      <c r="AD11" s="308">
        <f>('Renewable Fuel Ex Ethanol'!AA28*'Renewable Fuel Ex Ethanol'!$I$121/1000000)*(1-'BD Plant List'!$T360)</f>
        <v>12.214778713973619</v>
      </c>
      <c r="AE11" s="308">
        <f>('Renewable Fuel Ex Ethanol'!AB28*'Renewable Fuel Ex Ethanol'!$I$121/1000000)*(1-'BD Plant List'!$T372)</f>
        <v>12.214664283311176</v>
      </c>
      <c r="AF11" s="308">
        <f>('Renewable Fuel Ex Ethanol'!AC28*'Renewable Fuel Ex Ethanol'!$I$121/1000000)*(1-'BD Plant List'!$T384)</f>
        <v>12.21465045150763</v>
      </c>
      <c r="AG11" s="308">
        <f>('Renewable Fuel Ex Ethanol'!AD28*'Renewable Fuel Ex Ethanol'!$I$121/1000000)*(1-'BD Plant List'!$T396)</f>
        <v>12.214697816264144</v>
      </c>
      <c r="AH11" s="308">
        <f>('Renewable Fuel Ex Ethanol'!AE28*'Renewable Fuel Ex Ethanol'!$I$121/1000000)*(1-'BD Plant List'!$T408)</f>
        <v>12.214670850360985</v>
      </c>
      <c r="AI11" s="308">
        <f>('Renewable Fuel Ex Ethanol'!AF28*'Renewable Fuel Ex Ethanol'!$I$121/1000000)*(1-'BD Plant List'!$T420)</f>
        <v>12.214673039377589</v>
      </c>
      <c r="AJ11" s="308">
        <f>('Renewable Fuel Ex Ethanol'!AG28*'Renewable Fuel Ex Ethanol'!$I$121/1000000)*(1-'BD Plant List'!$T432)</f>
        <v>12.214680568667573</v>
      </c>
      <c r="AK11" s="308">
        <f>('Renewable Fuel Ex Ethanol'!AH28*'Renewable Fuel Ex Ethanol'!$I$121/1000000)*(1-'BD Plant List'!$T444)</f>
        <v>12.214674819468717</v>
      </c>
      <c r="AL11" s="308">
        <f>('Renewable Fuel Ex Ethanol'!AI28*'Renewable Fuel Ex Ethanol'!$I$121/1000000)*(1-'BD Plant List'!$T456)</f>
        <v>12.214676142504626</v>
      </c>
      <c r="AM11" s="308">
        <f>('Renewable Fuel Ex Ethanol'!AJ28*'Renewable Fuel Ex Ethanol'!$I$121/1000000)*(1-'BD Plant List'!$T468)</f>
        <v>12.214677176880306</v>
      </c>
      <c r="AN11" s="308">
        <f>('Renewable Fuel Ex Ethanol'!AK28*'Renewable Fuel Ex Ethanol'!$I$121/1000000)*(1-'BD Plant List'!$T480)</f>
        <v>12.21467604628455</v>
      </c>
      <c r="AO11" s="308">
        <f>('Renewable Fuel Ex Ethanol'!AL28*'Renewable Fuel Ex Ethanol'!$I$121/1000000)*(1-'BD Plant List'!$T492)</f>
        <v>12.214676455223163</v>
      </c>
      <c r="AP11" s="308">
        <f>('Renewable Fuel Ex Ethanol'!AM28*'Renewable Fuel Ex Ethanol'!$I$121/1000000)*(1-'BD Plant List'!$T504)</f>
        <v>12.214676559462673</v>
      </c>
    </row>
    <row r="12" spans="1:42">
      <c r="A12" s="303" t="s">
        <v>282</v>
      </c>
      <c r="L12" s="307">
        <f>'Renewable Fuel Ex Ethanol'!I29*'Renewable Fuel Ex Ethanol'!$I$121/1000000</f>
        <v>9.9133222245999999</v>
      </c>
      <c r="M12" s="307">
        <f>'Renewable Fuel Ex Ethanol'!J29*'Renewable Fuel Ex Ethanol'!$I$121/1000000</f>
        <v>9.8393540365999996</v>
      </c>
      <c r="N12" s="307">
        <f>'Renewable Fuel Ex Ethanol'!K29*'Renewable Fuel Ex Ethanol'!$I$121/1000000</f>
        <v>7.4705228158999999</v>
      </c>
      <c r="O12" s="307">
        <f>('Renewable Fuel Ex Ethanol'!L29*'Renewable Fuel Ex Ethanol'!$I$121/1000000)*(1-'BD Plant List'!$T181)</f>
        <v>8.6032862369157019</v>
      </c>
      <c r="P12" s="307">
        <f>('Renewable Fuel Ex Ethanol'!M29*'Renewable Fuel Ex Ethanol'!$I$121/1000000)*(1-'BD Plant List'!$T193)</f>
        <v>18.925699218578462</v>
      </c>
      <c r="Q12" s="308">
        <f>('Renewable Fuel Ex Ethanol'!N29*'Renewable Fuel Ex Ethanol'!$I$121/1000000)*(1-'BD Plant List'!$T205)</f>
        <v>19.218189610898634</v>
      </c>
      <c r="R12" s="308">
        <f>('Renewable Fuel Ex Ethanol'!O29*'Renewable Fuel Ex Ethanol'!$I$121/1000000)*(1-'BD Plant List'!$T217)</f>
        <v>8.609338395137403</v>
      </c>
      <c r="S12" s="308">
        <f>('Renewable Fuel Ex Ethanol'!P29*'Renewable Fuel Ex Ethanol'!$I$121/1000000)*(1-'BD Plant List'!$T229)</f>
        <v>8.3319224467435689</v>
      </c>
      <c r="T12" s="308">
        <f>('Renewable Fuel Ex Ethanol'!Q29*'Renewable Fuel Ex Ethanol'!$I$121/1000000)*(1-'BD Plant List'!$T241)</f>
        <v>9.2791145604198189</v>
      </c>
      <c r="U12" s="308">
        <f>('Renewable Fuel Ex Ethanol'!R29*'Renewable Fuel Ex Ethanol'!$I$121/1000000)*(1-'BD Plant List'!$T253)</f>
        <v>9.2780757877086266</v>
      </c>
      <c r="V12" s="308">
        <f>('Renewable Fuel Ex Ethanol'!S29*'Renewable Fuel Ex Ethanol'!$I$121/1000000)*(1-'BD Plant List'!$T265)</f>
        <v>9.793478781518882</v>
      </c>
      <c r="W12" s="308">
        <f>('Renewable Fuel Ex Ethanol'!T29*'Renewable Fuel Ex Ethanol'!$I$121/1000000)*(1-'BD Plant List'!$T277)</f>
        <v>9.9656897546639112</v>
      </c>
      <c r="X12" s="308">
        <f>('Renewable Fuel Ex Ethanol'!U29*'Renewable Fuel Ex Ethanol'!$I$121/1000000)*(1-'BD Plant List'!$T289)</f>
        <v>10.137262811299374</v>
      </c>
      <c r="Y12" s="308">
        <f>('Renewable Fuel Ex Ethanol'!V29*'Renewable Fuel Ex Ethanol'!$I$121/1000000)*(1-'BD Plant List'!$T301)</f>
        <v>10.309114257752473</v>
      </c>
      <c r="Z12" s="308">
        <f>('Renewable Fuel Ex Ethanol'!W29*'Renewable Fuel Ex Ethanol'!$I$121/1000000)*(1-'BD Plant List'!$T313)</f>
        <v>10.480994781054582</v>
      </c>
      <c r="AA12" s="308">
        <f>('Renewable Fuel Ex Ethanol'!X29*'Renewable Fuel Ex Ethanol'!$I$121/1000000)*(1-'BD Plant List'!$T325)</f>
        <v>10.652761415036654</v>
      </c>
      <c r="AB12" s="308">
        <f>('Renewable Fuel Ex Ethanol'!Y29*'Renewable Fuel Ex Ethanol'!$I$121/1000000)*(1-'BD Plant List'!$T337)</f>
        <v>10.738685264290883</v>
      </c>
      <c r="AC12" s="308">
        <f>('Renewable Fuel Ex Ethanol'!Z29*'Renewable Fuel Ex Ethanol'!$I$121/1000000)*(1-'BD Plant List'!$T349)</f>
        <v>10.738693214414459</v>
      </c>
      <c r="AD12" s="308">
        <f>('Renewable Fuel Ex Ethanol'!AA29*'Renewable Fuel Ex Ethanol'!$I$121/1000000)*(1-'BD Plant List'!$T361)</f>
        <v>10.738683119566176</v>
      </c>
      <c r="AE12" s="308">
        <f>('Renewable Fuel Ex Ethanol'!AB29*'Renewable Fuel Ex Ethanol'!$I$121/1000000)*(1-'BD Plant List'!$T373)</f>
        <v>10.738687199423842</v>
      </c>
      <c r="AF12" s="308">
        <f>('Renewable Fuel Ex Ethanol'!AC29*'Renewable Fuel Ex Ethanol'!$I$121/1000000)*(1-'BD Plant List'!$T385)</f>
        <v>10.738687844468158</v>
      </c>
      <c r="AG12" s="308">
        <f>('Renewable Fuel Ex Ethanol'!AD29*'Renewable Fuel Ex Ethanol'!$I$121/1000000)*(1-'BD Plant List'!$T397)</f>
        <v>10.738686054486058</v>
      </c>
      <c r="AH12" s="308">
        <f>('Renewable Fuel Ex Ethanol'!AE29*'Renewable Fuel Ex Ethanol'!$I$121/1000000)*(1-'BD Plant List'!$T409)</f>
        <v>10.738687032792686</v>
      </c>
      <c r="AI12" s="308">
        <f>('Renewable Fuel Ex Ethanol'!AF29*'Renewable Fuel Ex Ethanol'!$I$121/1000000)*(1-'BD Plant List'!$T421)</f>
        <v>10.738686977248966</v>
      </c>
      <c r="AJ12" s="308">
        <f>('Renewable Fuel Ex Ethanol'!AG29*'Renewable Fuel Ex Ethanol'!$I$121/1000000)*(1-'BD Plant List'!$T433)</f>
        <v>10.738686688175903</v>
      </c>
      <c r="AK12" s="308">
        <f>('Renewable Fuel Ex Ethanol'!AH29*'Renewable Fuel Ex Ethanol'!$I$121/1000000)*(1-'BD Plant List'!$T445)</f>
        <v>10.738686899405856</v>
      </c>
      <c r="AL12" s="308">
        <f>('Renewable Fuel Ex Ethanol'!AI29*'Renewable Fuel Ex Ethanol'!$I$121/1000000)*(1-'BD Plant List'!$T457)</f>
        <v>10.738686854943577</v>
      </c>
      <c r="AM12" s="308">
        <f>('Renewable Fuel Ex Ethanol'!AJ29*'Renewable Fuel Ex Ethanol'!$I$121/1000000)*(1-'BD Plant List'!$T469)</f>
        <v>10.738686814175114</v>
      </c>
      <c r="AN12" s="308">
        <f>('Renewable Fuel Ex Ethanol'!AK29*'Renewable Fuel Ex Ethanol'!$I$121/1000000)*(1-'BD Plant List'!$T481)</f>
        <v>10.738686856174848</v>
      </c>
      <c r="AO12" s="308">
        <f>('Renewable Fuel Ex Ethanol'!AL29*'Renewable Fuel Ex Ethanol'!$I$121/1000000)*(1-'BD Plant List'!$T493)</f>
        <v>10.738686841764515</v>
      </c>
      <c r="AP12" s="308">
        <f>('Renewable Fuel Ex Ethanol'!AM29*'Renewable Fuel Ex Ethanol'!$I$121/1000000)*(1-'BD Plant List'!$T505)</f>
        <v>10.738686837371493</v>
      </c>
    </row>
    <row r="13" spans="1:42">
      <c r="A13" s="303" t="s">
        <v>283</v>
      </c>
      <c r="L13" s="307">
        <f>'Renewable Fuel Ex Ethanol'!I30*'Renewable Fuel Ex Ethanol'!$I$121/1000000</f>
        <v>9.4317364863000002</v>
      </c>
      <c r="M13" s="307">
        <f>'Renewable Fuel Ex Ethanol'!J30*'Renewable Fuel Ex Ethanol'!$I$121/1000000</f>
        <v>9.9172848060999996</v>
      </c>
      <c r="N13" s="307">
        <f>'Renewable Fuel Ex Ethanol'!K30*'Renewable Fuel Ex Ethanol'!$I$121/1000000</f>
        <v>9.6689630320999989</v>
      </c>
      <c r="O13" s="307">
        <f>('Renewable Fuel Ex Ethanol'!L30*'Renewable Fuel Ex Ethanol'!$I$121/1000000)*(1-'BD Plant List'!$T182)</f>
        <v>7.9162146481224243</v>
      </c>
      <c r="P13" s="307">
        <f>('Renewable Fuel Ex Ethanol'!M30*'Renewable Fuel Ex Ethanol'!$I$121/1000000)*(1-'BD Plant List'!$T194)</f>
        <v>21.907904287455725</v>
      </c>
      <c r="Q13" s="308">
        <f>('Renewable Fuel Ex Ethanol'!N30*'Renewable Fuel Ex Ethanol'!$I$121/1000000)*(1-'BD Plant List'!$T206)</f>
        <v>20.674157455307739</v>
      </c>
      <c r="R13" s="308">
        <f>('Renewable Fuel Ex Ethanol'!O30*'Renewable Fuel Ex Ethanol'!$I$121/1000000)*(1-'BD Plant List'!$T218)</f>
        <v>9.3001715975960053</v>
      </c>
      <c r="S13" s="308">
        <f>('Renewable Fuel Ex Ethanol'!P30*'Renewable Fuel Ex Ethanol'!$I$121/1000000)*(1-'BD Plant List'!$T230)</f>
        <v>9.1861043129930646</v>
      </c>
      <c r="T13" s="308">
        <f>('Renewable Fuel Ex Ethanol'!Q30*'Renewable Fuel Ex Ethanol'!$I$121/1000000)*(1-'BD Plant List'!$T242)</f>
        <v>10.099661475592013</v>
      </c>
      <c r="U13" s="308">
        <f>('Renewable Fuel Ex Ethanol'!R30*'Renewable Fuel Ex Ethanol'!$I$121/1000000)*(1-'BD Plant List'!$T254)</f>
        <v>10.123826211718484</v>
      </c>
      <c r="V13" s="308">
        <f>('Renewable Fuel Ex Ethanol'!S30*'Renewable Fuel Ex Ethanol'!$I$121/1000000)*(1-'BD Plant List'!$T266)</f>
        <v>10.711480792442829</v>
      </c>
      <c r="W13" s="308">
        <f>('Renewable Fuel Ex Ethanol'!T30*'Renewable Fuel Ex Ethanol'!$I$121/1000000)*(1-'BD Plant List'!$T278)</f>
        <v>10.874110132276927</v>
      </c>
      <c r="X13" s="308">
        <f>('Renewable Fuel Ex Ethanol'!U30*'Renewable Fuel Ex Ethanol'!$I$121/1000000)*(1-'BD Plant List'!$T290)</f>
        <v>11.070151544673706</v>
      </c>
      <c r="Y13" s="308">
        <f>('Renewable Fuel Ex Ethanol'!V30*'Renewable Fuel Ex Ethanol'!$I$121/1000000)*(1-'BD Plant List'!$T302)</f>
        <v>11.260600851514988</v>
      </c>
      <c r="Z13" s="308">
        <f>('Renewable Fuel Ex Ethanol'!W30*'Renewable Fuel Ex Ethanol'!$I$121/1000000)*(1-'BD Plant List'!$T314)</f>
        <v>11.44348369625086</v>
      </c>
      <c r="AA13" s="308">
        <f>('Renewable Fuel Ex Ethanol'!X30*'Renewable Fuel Ex Ethanol'!$I$121/1000000)*(1-'BD Plant List'!$T326)</f>
        <v>11.633347987395842</v>
      </c>
      <c r="AB13" s="308">
        <f>('Renewable Fuel Ex Ethanol'!Y30*'Renewable Fuel Ex Ethanol'!$I$121/1000000)*(1-'BD Plant List'!$T338)</f>
        <v>11.727265210096208</v>
      </c>
      <c r="AC13" s="308">
        <f>('Renewable Fuel Ex Ethanol'!Z30*'Renewable Fuel Ex Ethanol'!$I$121/1000000)*(1-'BD Plant List'!$T350)</f>
        <v>11.726447740479415</v>
      </c>
      <c r="AD13" s="308">
        <f>('Renewable Fuel Ex Ethanol'!AA30*'Renewable Fuel Ex Ethanol'!$I$121/1000000)*(1-'BD Plant List'!$T362)</f>
        <v>11.726958869642871</v>
      </c>
      <c r="AE13" s="308">
        <f>('Renewable Fuel Ex Ethanol'!AB30*'Renewable Fuel Ex Ethanol'!$I$121/1000000)*(1-'BD Plant List'!$T374)</f>
        <v>11.726890606739499</v>
      </c>
      <c r="AF13" s="308">
        <f>('Renewable Fuel Ex Ethanol'!AC30*'Renewable Fuel Ex Ethanol'!$I$121/1000000)*(1-'BD Plant List'!$T386)</f>
        <v>11.726765738953928</v>
      </c>
      <c r="AG13" s="308">
        <f>('Renewable Fuel Ex Ethanol'!AD30*'Renewable Fuel Ex Ethanol'!$I$121/1000000)*(1-'BD Plant List'!$T398)</f>
        <v>11.726871738445434</v>
      </c>
      <c r="AH13" s="308">
        <f>('Renewable Fuel Ex Ethanol'!AE30*'Renewable Fuel Ex Ethanol'!$I$121/1000000)*(1-'BD Plant List'!$T410)</f>
        <v>11.726842694712957</v>
      </c>
      <c r="AI13" s="308">
        <f>('Renewable Fuel Ex Ethanol'!AF30*'Renewable Fuel Ex Ethanol'!$I$121/1000000)*(1-'BD Plant List'!$T422)</f>
        <v>11.726826724037439</v>
      </c>
      <c r="AJ13" s="308">
        <f>('Renewable Fuel Ex Ethanol'!AG30*'Renewable Fuel Ex Ethanol'!$I$121/1000000)*(1-'BD Plant List'!$T434)</f>
        <v>11.726847052398611</v>
      </c>
      <c r="AK13" s="308">
        <f>('Renewable Fuel Ex Ethanol'!AH30*'Renewable Fuel Ex Ethanol'!$I$121/1000000)*(1-'BD Plant List'!$T446)</f>
        <v>11.726838823716335</v>
      </c>
      <c r="AL13" s="308">
        <f>('Renewable Fuel Ex Ethanol'!AI30*'Renewable Fuel Ex Ethanol'!$I$121/1000000)*(1-'BD Plant List'!$T458)</f>
        <v>11.726837533384131</v>
      </c>
      <c r="AM13" s="308">
        <f>('Renewable Fuel Ex Ethanol'!AJ30*'Renewable Fuel Ex Ethanol'!$I$121/1000000)*(1-'BD Plant List'!$T470)</f>
        <v>11.726841136499692</v>
      </c>
      <c r="AN13" s="308">
        <f>('Renewable Fuel Ex Ethanol'!AK30*'Renewable Fuel Ex Ethanol'!$I$121/1000000)*(1-'BD Plant List'!$T482)</f>
        <v>11.726839164533388</v>
      </c>
      <c r="AO13" s="308">
        <f>('Renewable Fuel Ex Ethanol'!AL30*'Renewable Fuel Ex Ethanol'!$I$121/1000000)*(1-'BD Plant List'!$T494)</f>
        <v>11.726839278139069</v>
      </c>
      <c r="AP13" s="308">
        <f>('Renewable Fuel Ex Ethanol'!AM30*'Renewable Fuel Ex Ethanol'!$I$121/1000000)*(1-'BD Plant List'!$T506)</f>
        <v>11.72683985972405</v>
      </c>
    </row>
    <row r="14" spans="1:42">
      <c r="A14" s="303" t="s">
        <v>284</v>
      </c>
      <c r="L14" s="307">
        <f>'Renewable Fuel Ex Ethanol'!I31*'Renewable Fuel Ex Ethanol'!$I$121/1000000</f>
        <v>9.7912747144000001</v>
      </c>
      <c r="M14" s="307">
        <f>'Renewable Fuel Ex Ethanol'!J31*'Renewable Fuel Ex Ethanol'!$I$121/1000000</f>
        <v>9.3720335917000011</v>
      </c>
      <c r="N14" s="307">
        <f>'Renewable Fuel Ex Ethanol'!K31*'Renewable Fuel Ex Ethanol'!$I$121/1000000</f>
        <v>11.0643200643</v>
      </c>
      <c r="O14" s="307">
        <f>('Renewable Fuel Ex Ethanol'!L31*'Renewable Fuel Ex Ethanol'!$I$121/1000000)*(1-'BD Plant List'!$T183)</f>
        <v>8.4245897129188965</v>
      </c>
      <c r="P14" s="307">
        <f>('Renewable Fuel Ex Ethanol'!M31*'Renewable Fuel Ex Ethanol'!$I$121/1000000)*(1-'BD Plant List'!$T195)</f>
        <v>14.09717022641475</v>
      </c>
      <c r="Q14" s="308">
        <f>('Renewable Fuel Ex Ethanol'!N31*'Renewable Fuel Ex Ethanol'!$I$121/1000000)*(1-'BD Plant List'!$T207)</f>
        <v>18.173515796205233</v>
      </c>
      <c r="R14" s="308">
        <f>('Renewable Fuel Ex Ethanol'!O31*'Renewable Fuel Ex Ethanol'!$I$121/1000000)*(1-'BD Plant List'!$T219)</f>
        <v>7.4947715962104553</v>
      </c>
      <c r="S14" s="308">
        <f>('Renewable Fuel Ex Ethanol'!P31*'Renewable Fuel Ex Ethanol'!$I$121/1000000)*(1-'BD Plant List'!$T231)</f>
        <v>7.1272657250678977</v>
      </c>
      <c r="T14" s="308">
        <f>('Renewable Fuel Ex Ethanol'!Q31*'Renewable Fuel Ex Ethanol'!$I$121/1000000)*(1-'BD Plant List'!$T243)</f>
        <v>8.2000284294283183</v>
      </c>
      <c r="U14" s="308">
        <f>('Renewable Fuel Ex Ethanol'!R31*'Renewable Fuel Ex Ethanol'!$I$121/1000000)*(1-'BD Plant List'!$T255)</f>
        <v>8.0754576311931885</v>
      </c>
      <c r="V14" s="308">
        <f>('Renewable Fuel Ex Ethanol'!S31*'Renewable Fuel Ex Ethanol'!$I$121/1000000)*(1-'BD Plant List'!$T267)</f>
        <v>8.5236859538932634</v>
      </c>
      <c r="W14" s="308">
        <f>('Renewable Fuel Ex Ethanol'!T31*'Renewable Fuel Ex Ethanol'!$I$121/1000000)*(1-'BD Plant List'!$T279)</f>
        <v>8.7172847081324658</v>
      </c>
      <c r="X14" s="308">
        <f>('Renewable Fuel Ex Ethanol'!U31*'Renewable Fuel Ex Ethanol'!$I$121/1000000)*(1-'BD Plant List'!$T291)</f>
        <v>8.8382796999995055</v>
      </c>
      <c r="Y14" s="308">
        <f>('Renewable Fuel Ex Ethanol'!V31*'Renewable Fuel Ex Ethanol'!$I$121/1000000)*(1-'BD Plant List'!$T303)</f>
        <v>8.9928449524224963</v>
      </c>
      <c r="Z14" s="308">
        <f>('Renewable Fuel Ex Ethanol'!W31*'Renewable Fuel Ex Ethanol'!$I$121/1000000)*(1-'BD Plant List'!$T315)</f>
        <v>9.1494518135244203</v>
      </c>
      <c r="AA14" s="308">
        <f>('Renewable Fuel Ex Ethanol'!X31*'Renewable Fuel Ex Ethanol'!$I$121/1000000)*(1-'BD Plant List'!$T327)</f>
        <v>9.2933096716037635</v>
      </c>
      <c r="AB14" s="308">
        <f>('Renewable Fuel Ex Ethanol'!Y31*'Renewable Fuel Ex Ethanol'!$I$121/1000000)*(1-'BD Plant List'!$T339)</f>
        <v>9.3700841658301499</v>
      </c>
      <c r="AC14" s="308">
        <f>('Renewable Fuel Ex Ethanol'!Z31*'Renewable Fuel Ex Ethanol'!$I$121/1000000)*(1-'BD Plant List'!$T351)</f>
        <v>9.3709048689212704</v>
      </c>
      <c r="AD14" s="308">
        <f>('Renewable Fuel Ex Ethanol'!AA31*'Renewable Fuel Ex Ethanol'!$I$121/1000000)*(1-'BD Plant List'!$T363)</f>
        <v>9.3697522414288734</v>
      </c>
      <c r="AE14" s="308">
        <f>('Renewable Fuel Ex Ethanol'!AB31*'Renewable Fuel Ex Ethanol'!$I$121/1000000)*(1-'BD Plant List'!$T375)</f>
        <v>9.3702470920600991</v>
      </c>
      <c r="AF14" s="308">
        <f>('Renewable Fuel Ex Ethanol'!AC31*'Renewable Fuel Ex Ethanol'!$I$121/1000000)*(1-'BD Plant List'!$T387)</f>
        <v>9.3703014008034149</v>
      </c>
      <c r="AG14" s="308">
        <f>('Renewable Fuel Ex Ethanol'!AD31*'Renewable Fuel Ex Ethanol'!$I$121/1000000)*(1-'BD Plant List'!$T399)</f>
        <v>9.370100244764128</v>
      </c>
      <c r="AH14" s="308">
        <f>('Renewable Fuel Ex Ethanol'!AE31*'Renewable Fuel Ex Ethanol'!$I$121/1000000)*(1-'BD Plant List'!$T411)</f>
        <v>9.3702162458758824</v>
      </c>
      <c r="AI14" s="308">
        <f>('Renewable Fuel Ex Ethanol'!AF31*'Renewable Fuel Ex Ethanol'!$I$121/1000000)*(1-'BD Plant List'!$T423)</f>
        <v>9.3702059638144757</v>
      </c>
      <c r="AJ14" s="308">
        <f>('Renewable Fuel Ex Ethanol'!AG31*'Renewable Fuel Ex Ethanol'!$I$121/1000000)*(1-'BD Plant List'!$T435)</f>
        <v>9.3701741514848269</v>
      </c>
      <c r="AK14" s="308">
        <f>('Renewable Fuel Ex Ethanol'!AH31*'Renewable Fuel Ex Ethanol'!$I$121/1000000)*(1-'BD Plant List'!$T447)</f>
        <v>9.3701987870583956</v>
      </c>
      <c r="AL14" s="308">
        <f>('Renewable Fuel Ex Ethanol'!AI31*'Renewable Fuel Ex Ethanol'!$I$121/1000000)*(1-'BD Plant List'!$T459)</f>
        <v>9.3701929674525672</v>
      </c>
      <c r="AM14" s="308">
        <f>('Renewable Fuel Ex Ethanol'!AJ31*'Renewable Fuel Ex Ethanol'!$I$121/1000000)*(1-'BD Plant List'!$T471)</f>
        <v>9.3701886353319317</v>
      </c>
      <c r="AN14" s="308">
        <f>('Renewable Fuel Ex Ethanol'!AK31*'Renewable Fuel Ex Ethanol'!$I$121/1000000)*(1-'BD Plant List'!$T483)</f>
        <v>9.3701934632809678</v>
      </c>
      <c r="AO14" s="308">
        <f>('Renewable Fuel Ex Ethanol'!AL31*'Renewable Fuel Ex Ethanol'!$I$121/1000000)*(1-'BD Plant List'!$T495)</f>
        <v>9.3701916886884895</v>
      </c>
      <c r="AP14" s="308">
        <f>('Renewable Fuel Ex Ethanol'!AM31*'Renewable Fuel Ex Ethanol'!$I$121/1000000)*(1-'BD Plant List'!$T507)</f>
        <v>9.370191262433794</v>
      </c>
    </row>
    <row r="15" spans="1:42">
      <c r="A15" s="303" t="s">
        <v>285</v>
      </c>
      <c r="L15" s="307">
        <f>'Renewable Fuel Ex Ethanol'!I32*'Renewable Fuel Ex Ethanol'!$I$121/1000000</f>
        <v>11.5924000922</v>
      </c>
      <c r="M15" s="307">
        <f>'Renewable Fuel Ex Ethanol'!J32*'Renewable Fuel Ex Ethanol'!$I$121/1000000</f>
        <v>10.461743504200001</v>
      </c>
      <c r="N15" s="307">
        <f>'Renewable Fuel Ex Ethanol'!K32*'Renewable Fuel Ex Ethanol'!$I$121/1000000</f>
        <v>11.579455659299999</v>
      </c>
      <c r="O15" s="307">
        <f>('Renewable Fuel Ex Ethanol'!L32*'Renewable Fuel Ex Ethanol'!$I$121/1000000)*(1-'BD Plant List'!$T184)</f>
        <v>11.043610642747094</v>
      </c>
      <c r="P15" s="307">
        <f>('Renewable Fuel Ex Ethanol'!M32*'Renewable Fuel Ex Ethanol'!$I$121/1000000)*(1-'BD Plant List'!$T196)</f>
        <v>19.457652296957846</v>
      </c>
      <c r="Q15" s="308">
        <f>('Renewable Fuel Ex Ethanol'!N32*'Renewable Fuel Ex Ethanol'!$I$121/1000000)*(1-'BD Plant List'!$T208)</f>
        <v>22.362464922755688</v>
      </c>
      <c r="R15" s="308">
        <f>('Renewable Fuel Ex Ethanol'!O32*'Renewable Fuel Ex Ethanol'!$I$121/1000000)*(1-'BD Plant List'!$T220)</f>
        <v>9.7358122998874119</v>
      </c>
      <c r="S15" s="308">
        <f>('Renewable Fuel Ex Ethanol'!P32*'Renewable Fuel Ex Ethanol'!$I$121/1000000)*(1-'BD Plant List'!$T232)</f>
        <v>9.2449484412402576</v>
      </c>
      <c r="T15" s="308">
        <f>('Renewable Fuel Ex Ethanol'!Q32*'Renewable Fuel Ex Ethanol'!$I$121/1000000)*(1-'BD Plant List'!$T244)</f>
        <v>10.489413421593383</v>
      </c>
      <c r="U15" s="308">
        <f>('Renewable Fuel Ex Ethanol'!R32*'Renewable Fuel Ex Ethanol'!$I$121/1000000)*(1-'BD Plant List'!$T256)</f>
        <v>10.422000191714929</v>
      </c>
      <c r="V15" s="308">
        <f>('Renewable Fuel Ex Ethanol'!S32*'Renewable Fuel Ex Ethanol'!$I$121/1000000)*(1-'BD Plant List'!$T268)</f>
        <v>10.983467329771681</v>
      </c>
      <c r="W15" s="308">
        <f>('Renewable Fuel Ex Ethanol'!T32*'Renewable Fuel Ex Ethanol'!$I$121/1000000)*(1-'BD Plant List'!$T280)</f>
        <v>11.211533907264483</v>
      </c>
      <c r="X15" s="308">
        <f>('Renewable Fuel Ex Ethanol'!U32*'Renewable Fuel Ex Ethanol'!$I$121/1000000)*(1-'BD Plant List'!$T292)</f>
        <v>11.387000498794761</v>
      </c>
      <c r="Y15" s="308">
        <f>('Renewable Fuel Ex Ethanol'!V32*'Renewable Fuel Ex Ethanol'!$I$121/1000000)*(1-'BD Plant List'!$T304)</f>
        <v>11.580000598562391</v>
      </c>
      <c r="Z15" s="308">
        <f>('Renewable Fuel Ex Ethanol'!W32*'Renewable Fuel Ex Ethanol'!$I$121/1000000)*(1-'BD Plant List'!$T316)</f>
        <v>11.779043137185988</v>
      </c>
      <c r="AA15" s="308">
        <f>('Renewable Fuel Ex Ethanol'!X32*'Renewable Fuel Ex Ethanol'!$I$121/1000000)*(1-'BD Plant List'!$T328)</f>
        <v>11.968081903009299</v>
      </c>
      <c r="AB15" s="308">
        <f>('Renewable Fuel Ex Ethanol'!Y32*'Renewable Fuel Ex Ethanol'!$I$121/1000000)*(1-'BD Plant List'!$T340)</f>
        <v>12.065275149848931</v>
      </c>
      <c r="AC15" s="308">
        <f>('Renewable Fuel Ex Ethanol'!Z32*'Renewable Fuel Ex Ethanol'!$I$121/1000000)*(1-'BD Plant List'!$T352)</f>
        <v>12.066172570769615</v>
      </c>
      <c r="AD15" s="308">
        <f>('Renewable Fuel Ex Ethanol'!AA32*'Renewable Fuel Ex Ethanol'!$I$121/1000000)*(1-'BD Plant List'!$T364)</f>
        <v>12.065350810036046</v>
      </c>
      <c r="AE15" s="308">
        <f>('Renewable Fuel Ex Ethanol'!AB32*'Renewable Fuel Ex Ethanol'!$I$121/1000000)*(1-'BD Plant List'!$T376)</f>
        <v>12.065599510218199</v>
      </c>
      <c r="AF15" s="308">
        <f>('Renewable Fuel Ex Ethanol'!AC32*'Renewable Fuel Ex Ethanol'!$I$121/1000000)*(1-'BD Plant List'!$T388)</f>
        <v>12.065707630341286</v>
      </c>
      <c r="AG15" s="308">
        <f>('Renewable Fuel Ex Ethanol'!AD32*'Renewable Fuel Ex Ethanol'!$I$121/1000000)*(1-'BD Plant List'!$T400)</f>
        <v>12.065552650198512</v>
      </c>
      <c r="AH15" s="308">
        <f>('Renewable Fuel Ex Ethanol'!AE32*'Renewable Fuel Ex Ethanol'!$I$121/1000000)*(1-'BD Plant List'!$T412)</f>
        <v>12.065619930252666</v>
      </c>
      <c r="AI15" s="308">
        <f>('Renewable Fuel Ex Ethanol'!AF32*'Renewable Fuel Ex Ethanol'!$I$121/1000000)*(1-'BD Plant List'!$T424)</f>
        <v>12.065626736930822</v>
      </c>
      <c r="AJ15" s="308">
        <f>('Renewable Fuel Ex Ethanol'!AG32*'Renewable Fuel Ex Ethanol'!$I$121/1000000)*(1-'BD Plant List'!$T436)</f>
        <v>12.065599772460667</v>
      </c>
      <c r="AK15" s="308">
        <f>('Renewable Fuel Ex Ethanol'!AH32*'Renewable Fuel Ex Ethanol'!$I$121/1000000)*(1-'BD Plant List'!$T448)</f>
        <v>12.065615479881385</v>
      </c>
      <c r="AL15" s="308">
        <f>('Renewable Fuel Ex Ethanol'!AI32*'Renewable Fuel Ex Ethanol'!$I$121/1000000)*(1-'BD Plant List'!$T460)</f>
        <v>12.065613996424291</v>
      </c>
      <c r="AM15" s="308">
        <f>('Renewable Fuel Ex Ethanol'!AJ32*'Renewable Fuel Ex Ethanol'!$I$121/1000000)*(1-'BD Plant List'!$T472)</f>
        <v>12.065609749588781</v>
      </c>
      <c r="AN15" s="308">
        <f>('Renewable Fuel Ex Ethanol'!AK32*'Renewable Fuel Ex Ethanol'!$I$121/1000000)*(1-'BD Plant List'!$T484)</f>
        <v>12.065613075298154</v>
      </c>
      <c r="AO15" s="308">
        <f>('Renewable Fuel Ex Ethanol'!AL32*'Renewable Fuel Ex Ethanol'!$I$121/1000000)*(1-'BD Plant List'!$T496)</f>
        <v>12.065612273770411</v>
      </c>
      <c r="AP15" s="308">
        <f>('Renewable Fuel Ex Ethanol'!AM32*'Renewable Fuel Ex Ethanol'!$I$121/1000000)*(1-'BD Plant List'!$T508)</f>
        <v>12.06561169955245</v>
      </c>
    </row>
    <row r="16" spans="1:42">
      <c r="A16" s="303" t="s">
        <v>286</v>
      </c>
      <c r="L16" s="307">
        <f>'Renewable Fuel Ex Ethanol'!I33*'Renewable Fuel Ex Ethanol'!$I$121/1000000</f>
        <v>9.7064754703000009</v>
      </c>
      <c r="M16" s="307">
        <f>'Renewable Fuel Ex Ethanol'!J33*'Renewable Fuel Ex Ethanol'!$I$121/1000000</f>
        <v>11.2368244456</v>
      </c>
      <c r="N16" s="307">
        <f>'Renewable Fuel Ex Ethanol'!K33*'Renewable Fuel Ex Ethanol'!$I$121/1000000</f>
        <v>9.9706475703000006</v>
      </c>
      <c r="O16" s="307">
        <f>('Renewable Fuel Ex Ethanol'!L33*'Renewable Fuel Ex Ethanol'!$I$121/1000000)*(1-'BD Plant List'!$T185)</f>
        <v>9.6413393086054864</v>
      </c>
      <c r="P16" s="307">
        <f>('Renewable Fuel Ex Ethanol'!M33*'Renewable Fuel Ex Ethanol'!$I$121/1000000)*(1-'BD Plant List'!$T197)</f>
        <v>22.843372317591786</v>
      </c>
      <c r="Q16" s="308">
        <f>('Renewable Fuel Ex Ethanol'!N33*'Renewable Fuel Ex Ethanol'!$I$121/1000000)*(1-'BD Plant List'!$T209)</f>
        <v>35.891775745085305</v>
      </c>
      <c r="R16" s="308">
        <f>('Renewable Fuel Ex Ethanol'!O33*'Renewable Fuel Ex Ethanol'!$I$121/1000000)*(1-'BD Plant List'!$T221)</f>
        <v>12.592767738673858</v>
      </c>
      <c r="S16" s="308">
        <f>('Renewable Fuel Ex Ethanol'!P33*'Renewable Fuel Ex Ethanol'!$I$121/1000000)*(1-'BD Plant List'!$T233)</f>
        <v>12.583511265346186</v>
      </c>
      <c r="T16" s="308">
        <f>('Renewable Fuel Ex Ethanol'!Q33*'Renewable Fuel Ex Ethanol'!$I$121/1000000)*(1-'BD Plant List'!$T245)</f>
        <v>14.734223292058903</v>
      </c>
      <c r="U16" s="308">
        <f>('Renewable Fuel Ex Ethanol'!R33*'Renewable Fuel Ex Ethanol'!$I$121/1000000)*(1-'BD Plant List'!$T257)</f>
        <v>14.174133726713357</v>
      </c>
      <c r="V16" s="308">
        <f>('Renewable Fuel Ex Ethanol'!S33*'Renewable Fuel Ex Ethanol'!$I$121/1000000)*(1-'BD Plant List'!$T269)</f>
        <v>15.112054263225264</v>
      </c>
      <c r="W16" s="308">
        <f>('Renewable Fuel Ex Ethanol'!T33*'Renewable Fuel Ex Ethanol'!$I$121/1000000)*(1-'BD Plant List'!$T281)</f>
        <v>15.473841541550634</v>
      </c>
      <c r="X16" s="308">
        <f>('Renewable Fuel Ex Ethanol'!U33*'Renewable Fuel Ex Ethanol'!$I$121/1000000)*(1-'BD Plant List'!$T293)</f>
        <v>15.626282499158965</v>
      </c>
      <c r="Y16" s="308">
        <f>('Renewable Fuel Ex Ethanol'!V33*'Renewable Fuel Ex Ethanol'!$I$121/1000000)*(1-'BD Plant List'!$T305)</f>
        <v>15.935233897908581</v>
      </c>
      <c r="Z16" s="308">
        <f>('Renewable Fuel Ex Ethanol'!W33*'Renewable Fuel Ex Ethanol'!$I$121/1000000)*(1-'BD Plant List'!$T317)</f>
        <v>16.209925617263906</v>
      </c>
      <c r="AA16" s="308">
        <f>('Renewable Fuel Ex Ethanol'!X33*'Renewable Fuel Ex Ethanol'!$I$121/1000000)*(1-'BD Plant List'!$T329)</f>
        <v>16.454607804936398</v>
      </c>
      <c r="AB16" s="308">
        <f>('Renewable Fuel Ex Ethanol'!Y33*'Renewable Fuel Ex Ethanol'!$I$121/1000000)*(1-'BD Plant List'!$T341)</f>
        <v>16.598281188561785</v>
      </c>
      <c r="AC16" s="308">
        <f>('Renewable Fuel Ex Ethanol'!Z33*'Renewable Fuel Ex Ethanol'!$I$121/1000000)*(1-'BD Plant List'!$T353)</f>
        <v>16.59798335942121</v>
      </c>
      <c r="AD16" s="308">
        <f>('Renewable Fuel Ex Ethanol'!AA33*'Renewable Fuel Ex Ethanol'!$I$121/1000000)*(1-'BD Plant List'!$T365)</f>
        <v>16.594542898702993</v>
      </c>
      <c r="AE16" s="308">
        <f>('Renewable Fuel Ex Ethanol'!AB33*'Renewable Fuel Ex Ethanol'!$I$121/1000000)*(1-'BD Plant List'!$T377)</f>
        <v>16.596935815561991</v>
      </c>
      <c r="AF16" s="308">
        <f>('Renewable Fuel Ex Ethanol'!AC33*'Renewable Fuel Ex Ethanol'!$I$121/1000000)*(1-'BD Plant List'!$T389)</f>
        <v>16.596487357895391</v>
      </c>
      <c r="AG16" s="308">
        <f>('Renewable Fuel Ex Ethanol'!AD33*'Renewable Fuel Ex Ethanol'!$I$121/1000000)*(1-'BD Plant List'!$T401)</f>
        <v>16.595988690720105</v>
      </c>
      <c r="AH16" s="308">
        <f>('Renewable Fuel Ex Ethanol'!AE33*'Renewable Fuel Ex Ethanol'!$I$121/1000000)*(1-'BD Plant List'!$T413)</f>
        <v>16.59647062139247</v>
      </c>
      <c r="AI16" s="308">
        <f>('Renewable Fuel Ex Ethanol'!AF33*'Renewable Fuel Ex Ethanol'!$I$121/1000000)*(1-'BD Plant List'!$T425)</f>
        <v>16.596315556669328</v>
      </c>
      <c r="AJ16" s="308">
        <f>('Renewable Fuel Ex Ethanol'!AG33*'Renewable Fuel Ex Ethanol'!$I$121/1000000)*(1-'BD Plant List'!$T437)</f>
        <v>16.596258289593983</v>
      </c>
      <c r="AK16" s="308">
        <f>('Renewable Fuel Ex Ethanol'!AH33*'Renewable Fuel Ex Ethanol'!$I$121/1000000)*(1-'BD Plant List'!$T449)</f>
        <v>16.596348155885259</v>
      </c>
      <c r="AL16" s="308">
        <f>('Renewable Fuel Ex Ethanol'!AI33*'Renewable Fuel Ex Ethanol'!$I$121/1000000)*(1-'BD Plant List'!$T461)</f>
        <v>16.596307334049506</v>
      </c>
      <c r="AM16" s="308">
        <f>('Renewable Fuel Ex Ethanol'!AJ33*'Renewable Fuel Ex Ethanol'!$I$121/1000000)*(1-'BD Plant List'!$T473)</f>
        <v>16.596304593176239</v>
      </c>
      <c r="AN16" s="308">
        <f>('Renewable Fuel Ex Ethanol'!AK33*'Renewable Fuel Ex Ethanol'!$I$121/1000000)*(1-'BD Plant List'!$T485)</f>
        <v>16.596320027703648</v>
      </c>
      <c r="AO16" s="308">
        <f>('Renewable Fuel Ex Ethanol'!AL33*'Renewable Fuel Ex Ethanol'!$I$121/1000000)*(1-'BD Plant List'!$T497)</f>
        <v>16.596310651643115</v>
      </c>
      <c r="AP16" s="308">
        <f>('Renewable Fuel Ex Ethanol'!AM33*'Renewable Fuel Ex Ethanol'!$I$121/1000000)*(1-'BD Plant List'!$T509)</f>
        <v>16.596311757507664</v>
      </c>
    </row>
    <row r="17" spans="1:42" ht="13.5" thickBot="1">
      <c r="A17" s="303" t="s">
        <v>141</v>
      </c>
      <c r="L17" s="307">
        <f t="shared" ref="L17:Q17" si="0">SUM(L5:L16)</f>
        <v>120.940629101</v>
      </c>
      <c r="M17" s="307">
        <f t="shared" si="0"/>
        <v>113.79001869820002</v>
      </c>
      <c r="N17" s="307">
        <f t="shared" si="0"/>
        <v>97.530225943199994</v>
      </c>
      <c r="O17" s="307">
        <f t="shared" si="0"/>
        <v>121.5756134062096</v>
      </c>
      <c r="P17" s="307">
        <f t="shared" si="0"/>
        <v>231.7065169209705</v>
      </c>
      <c r="Q17" s="308">
        <f t="shared" si="0"/>
        <v>234.87493253662251</v>
      </c>
      <c r="R17" s="308">
        <f t="shared" ref="R17:AP17" si="1">SUM(R5:R16)</f>
        <v>112.13187228484125</v>
      </c>
      <c r="S17" s="308">
        <f t="shared" si="1"/>
        <v>111.19553030466675</v>
      </c>
      <c r="T17" s="308">
        <f t="shared" si="1"/>
        <v>113.46364903743309</v>
      </c>
      <c r="U17" s="308">
        <f t="shared" si="1"/>
        <v>113.4636490374331</v>
      </c>
      <c r="V17" s="308">
        <f t="shared" si="1"/>
        <v>119.76718509506827</v>
      </c>
      <c r="W17" s="308">
        <f t="shared" si="1"/>
        <v>121.86836378094668</v>
      </c>
      <c r="X17" s="308">
        <f t="shared" si="1"/>
        <v>123.96954246682508</v>
      </c>
      <c r="Y17" s="308">
        <f t="shared" si="1"/>
        <v>126.0707211527035</v>
      </c>
      <c r="Z17" s="308">
        <f t="shared" si="1"/>
        <v>128.17189983858185</v>
      </c>
      <c r="AA17" s="308">
        <f t="shared" si="1"/>
        <v>130.2730785244602</v>
      </c>
      <c r="AB17" s="308">
        <f t="shared" si="1"/>
        <v>131.32366786739942</v>
      </c>
      <c r="AC17" s="308">
        <f t="shared" si="1"/>
        <v>131.32366786739942</v>
      </c>
      <c r="AD17" s="308">
        <f t="shared" si="1"/>
        <v>131.32366786739942</v>
      </c>
      <c r="AE17" s="308">
        <f t="shared" si="1"/>
        <v>131.32366786739942</v>
      </c>
      <c r="AF17" s="308">
        <f t="shared" si="1"/>
        <v>131.32366786739942</v>
      </c>
      <c r="AG17" s="308">
        <f t="shared" si="1"/>
        <v>131.32366786739942</v>
      </c>
      <c r="AH17" s="308">
        <f t="shared" si="1"/>
        <v>131.32366786739942</v>
      </c>
      <c r="AI17" s="308">
        <f t="shared" si="1"/>
        <v>131.32366786739942</v>
      </c>
      <c r="AJ17" s="308">
        <f t="shared" si="1"/>
        <v>131.32366786739945</v>
      </c>
      <c r="AK17" s="308">
        <f t="shared" si="1"/>
        <v>131.32366786739942</v>
      </c>
      <c r="AL17" s="308">
        <f t="shared" si="1"/>
        <v>131.32366786739942</v>
      </c>
      <c r="AM17" s="308">
        <f t="shared" si="1"/>
        <v>131.32366786739939</v>
      </c>
      <c r="AN17" s="308">
        <f t="shared" si="1"/>
        <v>131.32366786739942</v>
      </c>
      <c r="AO17" s="308">
        <f t="shared" si="1"/>
        <v>131.32366786739942</v>
      </c>
      <c r="AP17" s="308">
        <f t="shared" si="1"/>
        <v>131.32366786739942</v>
      </c>
    </row>
    <row r="18" spans="1:42">
      <c r="A18" s="309"/>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c r="AA18" s="309"/>
      <c r="AB18" s="309"/>
      <c r="AC18" s="309"/>
      <c r="AD18" s="309"/>
      <c r="AE18" s="309"/>
      <c r="AF18" s="309"/>
      <c r="AG18" s="309"/>
      <c r="AH18" s="309"/>
      <c r="AI18" s="309"/>
      <c r="AJ18" s="309"/>
      <c r="AK18" s="309"/>
      <c r="AL18" s="309"/>
      <c r="AM18" s="309"/>
      <c r="AN18" s="309"/>
      <c r="AO18" s="309"/>
      <c r="AP18" s="309"/>
    </row>
    <row r="19" spans="1:42" ht="15.75">
      <c r="A19" s="304" t="s">
        <v>381</v>
      </c>
    </row>
    <row r="20" spans="1:42">
      <c r="A20" s="305"/>
      <c r="B20" s="306">
        <f>B4</f>
        <v>2010</v>
      </c>
      <c r="C20" s="306">
        <f t="shared" ref="C20:AP20" si="2">C4</f>
        <v>2011</v>
      </c>
      <c r="D20" s="306">
        <f t="shared" si="2"/>
        <v>2012</v>
      </c>
      <c r="E20" s="306">
        <f t="shared" si="2"/>
        <v>2013</v>
      </c>
      <c r="F20" s="306">
        <f t="shared" si="2"/>
        <v>2014</v>
      </c>
      <c r="G20" s="306">
        <f t="shared" si="2"/>
        <v>2015</v>
      </c>
      <c r="H20" s="306">
        <f t="shared" si="2"/>
        <v>2016</v>
      </c>
      <c r="I20" s="306">
        <f t="shared" si="2"/>
        <v>2017</v>
      </c>
      <c r="J20" s="306">
        <f t="shared" si="2"/>
        <v>2018</v>
      </c>
      <c r="K20" s="306">
        <f t="shared" si="2"/>
        <v>2019</v>
      </c>
      <c r="L20" s="306">
        <f t="shared" si="2"/>
        <v>2020</v>
      </c>
      <c r="M20" s="306">
        <f t="shared" si="2"/>
        <v>2021</v>
      </c>
      <c r="N20" s="306">
        <f t="shared" si="2"/>
        <v>2022</v>
      </c>
      <c r="O20" s="306">
        <f t="shared" si="2"/>
        <v>2023</v>
      </c>
      <c r="P20" s="306">
        <f t="shared" si="2"/>
        <v>2024</v>
      </c>
      <c r="Q20" s="306">
        <f t="shared" si="2"/>
        <v>2025</v>
      </c>
      <c r="R20" s="306">
        <f t="shared" si="2"/>
        <v>2026</v>
      </c>
      <c r="S20" s="306">
        <f t="shared" si="2"/>
        <v>2027</v>
      </c>
      <c r="T20" s="306">
        <f t="shared" si="2"/>
        <v>2028</v>
      </c>
      <c r="U20" s="306">
        <f t="shared" si="2"/>
        <v>2029</v>
      </c>
      <c r="V20" s="306">
        <f t="shared" si="2"/>
        <v>2030</v>
      </c>
      <c r="W20" s="306">
        <f t="shared" si="2"/>
        <v>2031</v>
      </c>
      <c r="X20" s="306">
        <f t="shared" si="2"/>
        <v>2032</v>
      </c>
      <c r="Y20" s="306">
        <f t="shared" si="2"/>
        <v>2033</v>
      </c>
      <c r="Z20" s="306">
        <f t="shared" si="2"/>
        <v>2034</v>
      </c>
      <c r="AA20" s="306">
        <f t="shared" si="2"/>
        <v>2035</v>
      </c>
      <c r="AB20" s="306">
        <f t="shared" si="2"/>
        <v>2036</v>
      </c>
      <c r="AC20" s="306">
        <f t="shared" si="2"/>
        <v>2037</v>
      </c>
      <c r="AD20" s="306">
        <f t="shared" si="2"/>
        <v>2038</v>
      </c>
      <c r="AE20" s="306">
        <f t="shared" si="2"/>
        <v>2039</v>
      </c>
      <c r="AF20" s="306">
        <f t="shared" si="2"/>
        <v>2040</v>
      </c>
      <c r="AG20" s="306">
        <f t="shared" si="2"/>
        <v>2041</v>
      </c>
      <c r="AH20" s="306">
        <f t="shared" si="2"/>
        <v>2042</v>
      </c>
      <c r="AI20" s="306">
        <f t="shared" si="2"/>
        <v>2043</v>
      </c>
      <c r="AJ20" s="306">
        <f t="shared" si="2"/>
        <v>2044</v>
      </c>
      <c r="AK20" s="306">
        <f t="shared" si="2"/>
        <v>2045</v>
      </c>
      <c r="AL20" s="306">
        <f t="shared" si="2"/>
        <v>2046</v>
      </c>
      <c r="AM20" s="306">
        <f t="shared" si="2"/>
        <v>2047</v>
      </c>
      <c r="AN20" s="306">
        <f t="shared" si="2"/>
        <v>2048</v>
      </c>
      <c r="AO20" s="306">
        <f t="shared" si="2"/>
        <v>2049</v>
      </c>
      <c r="AP20" s="306">
        <f t="shared" si="2"/>
        <v>2050</v>
      </c>
    </row>
    <row r="21" spans="1:42">
      <c r="A21" s="303" t="s">
        <v>276</v>
      </c>
      <c r="L21" s="307">
        <v>0</v>
      </c>
      <c r="M21" s="307">
        <v>0</v>
      </c>
      <c r="N21" s="307">
        <v>0</v>
      </c>
      <c r="O21" s="307">
        <f>('Renewable Fuel Ex Ethanol'!L22*'Renewable Fuel Ex Ethanol'!$I$121*'BD Plant List'!$T174)/1000000</f>
        <v>0</v>
      </c>
      <c r="P21" s="307">
        <f>('Renewable Fuel Ex Ethanol'!M22*'Renewable Fuel Ex Ethanol'!$I$121*'BD Plant List'!$T186)/1000000</f>
        <v>2.569393780954484</v>
      </c>
      <c r="Q21" s="307">
        <f>('Renewable Fuel Ex Ethanol'!N22*'Renewable Fuel Ex Ethanol'!$I$121*'BD Plant List'!$T198)/1000000</f>
        <v>2.1815531832267103</v>
      </c>
      <c r="R21" s="308">
        <f>('Renewable Fuel Ex Ethanol'!O22*'Renewable Fuel Ex Ethanol'!$I$121*'BD Plant List'!$T210)/1000000</f>
        <v>6.607276320239345</v>
      </c>
      <c r="S21" s="308">
        <f>('Renewable Fuel Ex Ethanol'!P22*'Renewable Fuel Ex Ethanol'!$I$121*'BD Plant List'!$T222)/1000000</f>
        <v>13.608845609702417</v>
      </c>
      <c r="T21" s="308">
        <f>('Renewable Fuel Ex Ethanol'!Q22*'Renewable Fuel Ex Ethanol'!$I$121*'BD Plant List'!$T234)/1000000</f>
        <v>16.643942502325952</v>
      </c>
      <c r="U21" s="308">
        <f>('Renewable Fuel Ex Ethanol'!R22*'Renewable Fuel Ex Ethanol'!$I$121*'BD Plant List'!$T246)/1000000</f>
        <v>17.150581051621526</v>
      </c>
      <c r="V21" s="308">
        <f>('Renewable Fuel Ex Ethanol'!S22*'Renewable Fuel Ex Ethanol'!$I$121*'BD Plant List'!$T258)/1000000</f>
        <v>17.780782956499369</v>
      </c>
      <c r="W21" s="308">
        <f>('Renewable Fuel Ex Ethanol'!T22*'Renewable Fuel Ex Ethanol'!$I$121*'BD Plant List'!$T270)/1000000</f>
        <v>18.129501682460102</v>
      </c>
      <c r="X21" s="308">
        <f>('Renewable Fuel Ex Ethanol'!U22*'Renewable Fuel Ex Ethanol'!$I$121*'BD Plant List'!$T282)/1000000</f>
        <v>18.524207548782716</v>
      </c>
      <c r="Y21" s="308">
        <f>('Renewable Fuel Ex Ethanol'!V22*'Renewable Fuel Ex Ethanol'!$I$121*'BD Plant List'!$T294)/1000000</f>
        <v>18.77051454749731</v>
      </c>
      <c r="Z21" s="308">
        <f>('Renewable Fuel Ex Ethanol'!W22*'Renewable Fuel Ex Ethanol'!$I$121*'BD Plant List'!$T306)/1000000</f>
        <v>19.101003675159024</v>
      </c>
      <c r="AA21" s="308">
        <f>('Renewable Fuel Ex Ethanol'!X22*'Renewable Fuel Ex Ethanol'!$I$121*'BD Plant List'!$T318)/1000000</f>
        <v>19.425194432384565</v>
      </c>
      <c r="AB21" s="308">
        <f>('Renewable Fuel Ex Ethanol'!Y22*'Renewable Fuel Ex Ethanol'!$I$121*'BD Plant List'!$T330)/1000000</f>
        <v>19.56854940404402</v>
      </c>
      <c r="AC21" s="308">
        <f>('Renewable Fuel Ex Ethanol'!Z22*'Renewable Fuel Ex Ethanol'!$I$121*'BD Plant List'!$T342)/1000000</f>
        <v>19.573701991774797</v>
      </c>
      <c r="AD21" s="308">
        <f>('Renewable Fuel Ex Ethanol'!AA22*'Renewable Fuel Ex Ethanol'!$I$121*'BD Plant List'!$T354)/1000000</f>
        <v>19.574681092313966</v>
      </c>
      <c r="AE21" s="308">
        <f>('Renewable Fuel Ex Ethanol'!AB22*'Renewable Fuel Ex Ethanol'!$I$121*'BD Plant List'!$T366)/1000000</f>
        <v>19.572310829377596</v>
      </c>
      <c r="AF21" s="308">
        <f>('Renewable Fuel Ex Ethanol'!AC22*'Renewable Fuel Ex Ethanol'!$I$121*'BD Plant List'!$T378)/1000000</f>
        <v>19.57356463782212</v>
      </c>
      <c r="AG21" s="308">
        <f>('Renewable Fuel Ex Ethanol'!AD22*'Renewable Fuel Ex Ethanol'!$I$121*'BD Plant List'!$T390)/1000000</f>
        <v>19.573518853171226</v>
      </c>
      <c r="AH21" s="308">
        <f>('Renewable Fuel Ex Ethanol'!AE22*'Renewable Fuel Ex Ethanol'!$I$121*'BD Plant List'!$T402)/1000000</f>
        <v>19.57313144012365</v>
      </c>
      <c r="AI21" s="308">
        <f>('Renewable Fuel Ex Ethanol'!AF22*'Renewable Fuel Ex Ethanol'!$I$121*'BD Plant List'!$T414)/1000000</f>
        <v>19.573404977038997</v>
      </c>
      <c r="AJ21" s="308">
        <f>('Renewable Fuel Ex Ethanol'!AG22*'Renewable Fuel Ex Ethanol'!$I$121*'BD Plant List'!$T426)/1000000</f>
        <v>19.57335175677796</v>
      </c>
      <c r="AK21" s="308">
        <f>('Renewable Fuel Ex Ethanol'!AH22*'Renewable Fuel Ex Ethanol'!$I$121*'BD Plant List'!$T438)/1000000</f>
        <v>19.573296057980201</v>
      </c>
      <c r="AL21" s="308">
        <f>('Renewable Fuel Ex Ethanol'!AI22*'Renewable Fuel Ex Ethanol'!$I$121*'BD Plant List'!$T450)/1000000</f>
        <v>19.573350930599052</v>
      </c>
      <c r="AM21" s="308">
        <f>('Renewable Fuel Ex Ethanol'!AJ22*'Renewable Fuel Ex Ethanol'!$I$121*'BD Plant List'!$T462)/1000000</f>
        <v>19.573332915119078</v>
      </c>
      <c r="AN21" s="308">
        <f>('Renewable Fuel Ex Ethanol'!AK22*'Renewable Fuel Ex Ethanol'!$I$121*'BD Plant List'!$T474)/1000000</f>
        <v>19.573326634566115</v>
      </c>
      <c r="AO21" s="308">
        <f>('Renewable Fuel Ex Ethanol'!AL22*'Renewable Fuel Ex Ethanol'!$I$121*'BD Plant List'!$T486)/1000000</f>
        <v>19.573336826761413</v>
      </c>
      <c r="AP21" s="308">
        <f>('Renewable Fuel Ex Ethanol'!AM22*'Renewable Fuel Ex Ethanol'!$I$121*'BD Plant List'!$T498)/1000000</f>
        <v>19.573332125482203</v>
      </c>
    </row>
    <row r="22" spans="1:42">
      <c r="A22" s="303" t="s">
        <v>277</v>
      </c>
      <c r="L22" s="307">
        <v>0</v>
      </c>
      <c r="M22" s="307">
        <v>0</v>
      </c>
      <c r="N22" s="307">
        <v>0</v>
      </c>
      <c r="O22" s="307">
        <f>('Renewable Fuel Ex Ethanol'!L23*'Renewable Fuel Ex Ethanol'!$I$121*'BD Plant List'!$T175)/1000000</f>
        <v>0</v>
      </c>
      <c r="P22" s="307">
        <f>('Renewable Fuel Ex Ethanol'!M23*'Renewable Fuel Ex Ethanol'!$I$121*'BD Plant List'!$T187)/1000000</f>
        <v>3.6982777327911278</v>
      </c>
      <c r="Q22" s="307">
        <f>('Renewable Fuel Ex Ethanol'!N23*'Renewable Fuel Ex Ethanol'!$I$121*'BD Plant List'!$T199)/1000000</f>
        <v>2.1960620803470894</v>
      </c>
      <c r="R22" s="308">
        <f>('Renewable Fuel Ex Ethanol'!O23*'Renewable Fuel Ex Ethanol'!$I$121*'BD Plant List'!$T211)/1000000</f>
        <v>11.395738482751065</v>
      </c>
      <c r="S22" s="308">
        <f>('Renewable Fuel Ex Ethanol'!P23*'Renewable Fuel Ex Ethanol'!$I$121*'BD Plant List'!$T223)/1000000</f>
        <v>16.484462307475109</v>
      </c>
      <c r="T22" s="308">
        <f>('Renewable Fuel Ex Ethanol'!Q23*'Renewable Fuel Ex Ethanol'!$I$121*'BD Plant List'!$T235)/1000000</f>
        <v>19.164076944534393</v>
      </c>
      <c r="U22" s="308">
        <f>('Renewable Fuel Ex Ethanol'!R23*'Renewable Fuel Ex Ethanol'!$I$121*'BD Plant List'!$T247)/1000000</f>
        <v>20.192244199752423</v>
      </c>
      <c r="V22" s="308">
        <f>('Renewable Fuel Ex Ethanol'!S23*'Renewable Fuel Ex Ethanol'!$I$121*'BD Plant List'!$T259)/1000000</f>
        <v>20.962795921519966</v>
      </c>
      <c r="W22" s="308">
        <f>('Renewable Fuel Ex Ethanol'!T23*'Renewable Fuel Ex Ethanol'!$I$121*'BD Plant List'!$T271)/1000000</f>
        <v>21.203083574647238</v>
      </c>
      <c r="X22" s="308">
        <f>('Renewable Fuel Ex Ethanol'!U23*'Renewable Fuel Ex Ethanol'!$I$121*'BD Plant List'!$T283)/1000000</f>
        <v>21.769995846504489</v>
      </c>
      <c r="Y22" s="308">
        <f>('Renewable Fuel Ex Ethanol'!V23*'Renewable Fuel Ex Ethanol'!$I$121*'BD Plant List'!$T295)/1000000</f>
        <v>22.046853566438514</v>
      </c>
      <c r="Z22" s="308">
        <f>('Renewable Fuel Ex Ethanol'!W23*'Renewable Fuel Ex Ethanol'!$I$121*'BD Plant List'!$T307)/1000000</f>
        <v>22.407999504197765</v>
      </c>
      <c r="AA22" s="308">
        <f>('Renewable Fuel Ex Ethanol'!X23*'Renewable Fuel Ex Ethanol'!$I$121*'BD Plant List'!$T319)/1000000</f>
        <v>22.810781293681814</v>
      </c>
      <c r="AB22" s="308">
        <f>('Renewable Fuel Ex Ethanol'!Y23*'Renewable Fuel Ex Ethanol'!$I$121*'BD Plant List'!$T331)/1000000</f>
        <v>22.973235780163282</v>
      </c>
      <c r="AC22" s="308">
        <f>('Renewable Fuel Ex Ethanol'!Z23*'Renewable Fuel Ex Ethanol'!$I$121*'BD Plant List'!$T343)/1000000</f>
        <v>22.975746825486134</v>
      </c>
      <c r="AD22" s="308">
        <f>('Renewable Fuel Ex Ethanol'!AA23*'Renewable Fuel Ex Ethanol'!$I$121*'BD Plant List'!$T355)/1000000</f>
        <v>22.981204511808567</v>
      </c>
      <c r="AE22" s="308">
        <f>('Renewable Fuel Ex Ethanol'!AB23*'Renewable Fuel Ex Ethanol'!$I$121*'BD Plant List'!$T367)/1000000</f>
        <v>22.976729039152666</v>
      </c>
      <c r="AF22" s="308">
        <f>('Renewable Fuel Ex Ethanol'!AC23*'Renewable Fuel Ex Ethanol'!$I$121*'BD Plant List'!$T379)/1000000</f>
        <v>22.977893458815796</v>
      </c>
      <c r="AG22" s="308">
        <f>('Renewable Fuel Ex Ethanol'!AD23*'Renewable Fuel Ex Ethanol'!$I$121*'BD Plant List'!$T391)/1000000</f>
        <v>22.97860900325901</v>
      </c>
      <c r="AH22" s="308">
        <f>('Renewable Fuel Ex Ethanol'!AE23*'Renewable Fuel Ex Ethanol'!$I$121*'BD Plant List'!$T403)/1000000</f>
        <v>22.97774383374249</v>
      </c>
      <c r="AI22" s="308">
        <f>('Renewable Fuel Ex Ethanol'!AF23*'Renewable Fuel Ex Ethanol'!$I$121*'BD Plant List'!$T415)/1000000</f>
        <v>22.978082098605771</v>
      </c>
      <c r="AJ22" s="308">
        <f>('Renewable Fuel Ex Ethanol'!AG23*'Renewable Fuel Ex Ethanol'!$I$121*'BD Plant List'!$T427)/1000000</f>
        <v>22.978144978535756</v>
      </c>
      <c r="AK22" s="308">
        <f>('Renewable Fuel Ex Ethanol'!AH23*'Renewable Fuel Ex Ethanol'!$I$121*'BD Plant List'!$T439)/1000000</f>
        <v>22.977990303628005</v>
      </c>
      <c r="AL22" s="308">
        <f>('Renewable Fuel Ex Ethanol'!AI23*'Renewable Fuel Ex Ethanol'!$I$121*'BD Plant List'!$T451)/1000000</f>
        <v>22.978072460256513</v>
      </c>
      <c r="AM22" s="308">
        <f>('Renewable Fuel Ex Ethanol'!AJ23*'Renewable Fuel Ex Ethanol'!$I$121*'BD Plant List'!$T463)/1000000</f>
        <v>22.978069247473421</v>
      </c>
      <c r="AN22" s="308">
        <f>('Renewable Fuel Ex Ethanol'!AK23*'Renewable Fuel Ex Ethanol'!$I$121*'BD Plant List'!$T475)/1000000</f>
        <v>22.978044003785982</v>
      </c>
      <c r="AO22" s="308">
        <f>('Renewable Fuel Ex Ethanol'!AL23*'Renewable Fuel Ex Ethanol'!$I$121*'BD Plant List'!$T487)/1000000</f>
        <v>22.978061903838643</v>
      </c>
      <c r="AP22" s="308">
        <f>('Renewable Fuel Ex Ethanol'!AM23*'Renewable Fuel Ex Ethanol'!$I$121*'BD Plant List'!$T499)/1000000</f>
        <v>22.978058385032682</v>
      </c>
    </row>
    <row r="23" spans="1:42">
      <c r="A23" s="303" t="s">
        <v>278</v>
      </c>
      <c r="L23" s="307">
        <v>0</v>
      </c>
      <c r="M23" s="307">
        <v>0</v>
      </c>
      <c r="N23" s="307">
        <v>0</v>
      </c>
      <c r="O23" s="307">
        <f>('Renewable Fuel Ex Ethanol'!L24*'Renewable Fuel Ex Ethanol'!$I$121*'BD Plant List'!$T176)/1000000</f>
        <v>0</v>
      </c>
      <c r="P23" s="307">
        <f>('Renewable Fuel Ex Ethanol'!M24*'Renewable Fuel Ex Ethanol'!$I$121*'BD Plant List'!$T188)/1000000</f>
        <v>6.3497356709759014</v>
      </c>
      <c r="Q23" s="308">
        <f>('Renewable Fuel Ex Ethanol'!N24*'Renewable Fuel Ex Ethanol'!$I$121*'BD Plant List'!$T200)/1000000</f>
        <v>5.6280535278603203</v>
      </c>
      <c r="R23" s="308">
        <f>('Renewable Fuel Ex Ethanol'!O24*'Renewable Fuel Ex Ethanol'!$I$121*'BD Plant List'!$T212)/1000000</f>
        <v>24.10535261259886</v>
      </c>
      <c r="S23" s="308">
        <f>('Renewable Fuel Ex Ethanol'!P24*'Renewable Fuel Ex Ethanol'!$I$121*'BD Plant List'!$T224)/1000000</f>
        <v>31.923682892773634</v>
      </c>
      <c r="T23" s="308">
        <f>('Renewable Fuel Ex Ethanol'!Q24*'Renewable Fuel Ex Ethanol'!$I$121*'BD Plant List'!$T236)/1000000</f>
        <v>38.494897460287369</v>
      </c>
      <c r="U23" s="308">
        <f>('Renewable Fuel Ex Ethanol'!R24*'Renewable Fuel Ex Ethanol'!$I$121*'BD Plant List'!$T248)/1000000</f>
        <v>38.846292070544187</v>
      </c>
      <c r="V23" s="308">
        <f>('Renewable Fuel Ex Ethanol'!S24*'Renewable Fuel Ex Ethanol'!$I$121*'BD Plant List'!$T260)/1000000</f>
        <v>41.005784357256559</v>
      </c>
      <c r="W23" s="308">
        <f>('Renewable Fuel Ex Ethanol'!T24*'Renewable Fuel Ex Ethanol'!$I$121*'BD Plant List'!$T272)/1000000</f>
        <v>41.600754457630991</v>
      </c>
      <c r="X23" s="308">
        <f>('Renewable Fuel Ex Ethanol'!U24*'Renewable Fuel Ex Ethanol'!$I$121*'BD Plant List'!$T284)/1000000</f>
        <v>42.400692439292754</v>
      </c>
      <c r="Y23" s="308">
        <f>('Renewable Fuel Ex Ethanol'!V24*'Renewable Fuel Ex Ethanol'!$I$121*'BD Plant List'!$T296)/1000000</f>
        <v>43.105941811786316</v>
      </c>
      <c r="Z23" s="308">
        <f>('Renewable Fuel Ex Ethanol'!W24*'Renewable Fuel Ex Ethanol'!$I$121*'BD Plant List'!$T308)/1000000</f>
        <v>43.805371249894414</v>
      </c>
      <c r="AA23" s="308">
        <f>('Renewable Fuel Ex Ethanol'!X24*'Renewable Fuel Ex Ethanol'!$I$121*'BD Plant List'!$T320)/1000000</f>
        <v>44.54080189477974</v>
      </c>
      <c r="AB23" s="308">
        <f>('Renewable Fuel Ex Ethanol'!Y24*'Renewable Fuel Ex Ethanol'!$I$121*'BD Plant List'!$T332)/1000000</f>
        <v>44.894848004255621</v>
      </c>
      <c r="AC23" s="308">
        <f>('Renewable Fuel Ex Ethanol'!Z24*'Renewable Fuel Ex Ethanol'!$I$121*'BD Plant List'!$T344)/1000000</f>
        <v>44.892527341283611</v>
      </c>
      <c r="AD23" s="308">
        <f>('Renewable Fuel Ex Ethanol'!AA24*'Renewable Fuel Ex Ethanol'!$I$121*'BD Plant List'!$T356)/1000000</f>
        <v>44.89578116320822</v>
      </c>
      <c r="AE23" s="308">
        <f>('Renewable Fuel Ex Ethanol'!AB24*'Renewable Fuel Ex Ethanol'!$I$121*'BD Plant List'!$T368)/1000000</f>
        <v>44.894385502915824</v>
      </c>
      <c r="AF23" s="308">
        <f>('Renewable Fuel Ex Ethanol'!AC24*'Renewable Fuel Ex Ethanol'!$I$121*'BD Plant List'!$T380)/1000000</f>
        <v>44.894231335802566</v>
      </c>
      <c r="AG23" s="308">
        <f>('Renewable Fuel Ex Ethanol'!AD24*'Renewable Fuel Ex Ethanol'!$I$121*'BD Plant List'!$T392)/1000000</f>
        <v>44.894799333975534</v>
      </c>
      <c r="AH23" s="308">
        <f>('Renewable Fuel Ex Ethanol'!AE24*'Renewable Fuel Ex Ethanol'!$I$121*'BD Plant List'!$T404)/1000000</f>
        <v>44.894472057564641</v>
      </c>
      <c r="AI23" s="308">
        <f>('Renewable Fuel Ex Ethanol'!AF24*'Renewable Fuel Ex Ethanol'!$I$121*'BD Plant List'!$T416)/1000000</f>
        <v>44.89450090911425</v>
      </c>
      <c r="AJ23" s="308">
        <f>('Renewable Fuel Ex Ethanol'!AG24*'Renewable Fuel Ex Ethanol'!$I$121*'BD Plant List'!$T428)/1000000</f>
        <v>44.894590766884811</v>
      </c>
      <c r="AK23" s="308">
        <f>('Renewable Fuel Ex Ethanol'!AH24*'Renewable Fuel Ex Ethanol'!$I$121*'BD Plant List'!$T440)/1000000</f>
        <v>44.894521244521229</v>
      </c>
      <c r="AL23" s="308">
        <f>('Renewable Fuel Ex Ethanol'!AI24*'Renewable Fuel Ex Ethanol'!$I$121*'BD Plant List'!$T452)/1000000</f>
        <v>44.894537640173425</v>
      </c>
      <c r="AM23" s="308">
        <f>('Renewable Fuel Ex Ethanol'!AJ24*'Renewable Fuel Ex Ethanol'!$I$121*'BD Plant List'!$T464)/1000000</f>
        <v>44.894549883859838</v>
      </c>
      <c r="AN23" s="308">
        <f>('Renewable Fuel Ex Ethanol'!AK24*'Renewable Fuel Ex Ethanol'!$I$121*'BD Plant List'!$T476)/1000000</f>
        <v>44.894536256184828</v>
      </c>
      <c r="AO23" s="308">
        <f>('Renewable Fuel Ex Ethanol'!AL24*'Renewable Fuel Ex Ethanol'!$I$121*'BD Plant List'!$T488)/1000000</f>
        <v>44.894541260072707</v>
      </c>
      <c r="AP23" s="308">
        <f>('Renewable Fuel Ex Ethanol'!AM24*'Renewable Fuel Ex Ethanol'!$I$121*'BD Plant List'!$T500)/1000000</f>
        <v>44.894542466705786</v>
      </c>
    </row>
    <row r="24" spans="1:42">
      <c r="A24" s="303" t="s">
        <v>279</v>
      </c>
      <c r="L24" s="307">
        <v>0</v>
      </c>
      <c r="M24" s="307">
        <v>0</v>
      </c>
      <c r="N24" s="307">
        <v>0</v>
      </c>
      <c r="O24" s="307">
        <f>('Renewable Fuel Ex Ethanol'!L25*'Renewable Fuel Ex Ethanol'!$I$121*'BD Plant List'!$T177)/1000000</f>
        <v>0.53412094307964353</v>
      </c>
      <c r="P24" s="307">
        <f>('Renewable Fuel Ex Ethanol'!M25*'Renewable Fuel Ex Ethanol'!$I$121*'BD Plant List'!$T189)/1000000</f>
        <v>5.2985001250720387</v>
      </c>
      <c r="Q24" s="308">
        <f>('Renewable Fuel Ex Ethanol'!N25*'Renewable Fuel Ex Ethanol'!$I$121*'BD Plant List'!$T201)/1000000</f>
        <v>5.0771826207696256</v>
      </c>
      <c r="R24" s="308">
        <f>('Renewable Fuel Ex Ethanol'!O25*'Renewable Fuel Ex Ethanol'!$I$121*'BD Plant List'!$T213)/1000000</f>
        <v>20.63220077293375</v>
      </c>
      <c r="S24" s="308">
        <f>('Renewable Fuel Ex Ethanol'!P25*'Renewable Fuel Ex Ethanol'!$I$121*'BD Plant List'!$T225)/1000000</f>
        <v>28.344503905952934</v>
      </c>
      <c r="T24" s="308">
        <f>('Renewable Fuel Ex Ethanol'!Q25*'Renewable Fuel Ex Ethanol'!$I$121*'BD Plant List'!$T237)/1000000</f>
        <v>33.496466079609903</v>
      </c>
      <c r="U24" s="308">
        <f>('Renewable Fuel Ex Ethanol'!R25*'Renewable Fuel Ex Ethanol'!$I$121*'BD Plant List'!$T249)/1000000</f>
        <v>33.548827414708896</v>
      </c>
      <c r="V24" s="308">
        <f>('Renewable Fuel Ex Ethanol'!S25*'Renewable Fuel Ex Ethanol'!$I$121*'BD Plant List'!$T261)/1000000</f>
        <v>35.488584986506048</v>
      </c>
      <c r="W24" s="308">
        <f>('Renewable Fuel Ex Ethanol'!T25*'Renewable Fuel Ex Ethanol'!$I$121*'BD Plant List'!$T273)/1000000</f>
        <v>36.042211829623284</v>
      </c>
      <c r="X24" s="308">
        <f>('Renewable Fuel Ex Ethanol'!U25*'Renewable Fuel Ex Ethanol'!$I$121*'BD Plant List'!$T285)/1000000</f>
        <v>36.684602542126953</v>
      </c>
      <c r="Y24" s="308">
        <f>('Renewable Fuel Ex Ethanol'!V25*'Renewable Fuel Ex Ethanol'!$I$121*'BD Plant List'!$T297)/1000000</f>
        <v>37.315654951122859</v>
      </c>
      <c r="Z24" s="308">
        <f>('Renewable Fuel Ex Ethanol'!W25*'Renewable Fuel Ex Ethanol'!$I$121*'BD Plant List'!$T309)/1000000</f>
        <v>37.924240840086199</v>
      </c>
      <c r="AA24" s="308">
        <f>('Renewable Fuel Ex Ethanol'!X25*'Renewable Fuel Ex Ethanol'!$I$121*'BD Plant List'!$T321)/1000000</f>
        <v>38.551771648149057</v>
      </c>
      <c r="AB24" s="308">
        <f>('Renewable Fuel Ex Ethanol'!Y25*'Renewable Fuel Ex Ethanol'!$I$121*'BD Plant List'!$T333)/1000000</f>
        <v>38.863274398687878</v>
      </c>
      <c r="AC24" s="308">
        <f>('Renewable Fuel Ex Ethanol'!Z25*'Renewable Fuel Ex Ethanol'!$I$121*'BD Plant List'!$T345)/1000000</f>
        <v>38.860945716618296</v>
      </c>
      <c r="AD24" s="308">
        <f>('Renewable Fuel Ex Ethanol'!AA25*'Renewable Fuel Ex Ethanol'!$I$121*'BD Plant List'!$T357)/1000000</f>
        <v>38.862296712384769</v>
      </c>
      <c r="AE24" s="308">
        <f>('Renewable Fuel Ex Ethanol'!AB25*'Renewable Fuel Ex Ethanol'!$I$121*'BD Plant List'!$T369)/1000000</f>
        <v>38.862172275896981</v>
      </c>
      <c r="AF24" s="308">
        <f>('Renewable Fuel Ex Ethanol'!AC25*'Renewable Fuel Ex Ethanol'!$I$121*'BD Plant List'!$T381)/1000000</f>
        <v>38.861804901633342</v>
      </c>
      <c r="AG24" s="308">
        <f>('Renewable Fuel Ex Ethanol'!AD25*'Renewable Fuel Ex Ethanol'!$I$121*'BD Plant List'!$T393)/1000000</f>
        <v>38.862091296638368</v>
      </c>
      <c r="AH24" s="308">
        <f>('Renewable Fuel Ex Ethanol'!AE25*'Renewable Fuel Ex Ethanol'!$I$121*'BD Plant List'!$T405)/1000000</f>
        <v>38.862022824722892</v>
      </c>
      <c r="AI24" s="308">
        <f>('Renewable Fuel Ex Ethanol'!AF25*'Renewable Fuel Ex Ethanol'!$I$121*'BD Plant List'!$T417)/1000000</f>
        <v>38.861973007664872</v>
      </c>
      <c r="AJ24" s="308">
        <f>('Renewable Fuel Ex Ethanol'!AG25*'Renewable Fuel Ex Ethanol'!$I$121*'BD Plant List'!$T429)/1000000</f>
        <v>38.862029043008725</v>
      </c>
      <c r="AK24" s="308">
        <f>('Renewable Fuel Ex Ethanol'!AH25*'Renewable Fuel Ex Ethanol'!$I$121*'BD Plant List'!$T441)/1000000</f>
        <v>38.862008291798837</v>
      </c>
      <c r="AL24" s="308">
        <f>('Renewable Fuel Ex Ethanol'!AI25*'Renewable Fuel Ex Ethanol'!$I$121*'BD Plant List'!$T453)/1000000</f>
        <v>38.862003447490814</v>
      </c>
      <c r="AM24" s="308">
        <f>('Renewable Fuel Ex Ethanol'!AJ25*'Renewable Fuel Ex Ethanol'!$I$121*'BD Plant List'!$T465)/1000000</f>
        <v>38.862013594099452</v>
      </c>
      <c r="AN24" s="308">
        <f>('Renewable Fuel Ex Ethanol'!AK25*'Renewable Fuel Ex Ethanol'!$I$121*'BD Plant List'!$T477)/1000000</f>
        <v>38.862008444463044</v>
      </c>
      <c r="AO24" s="308">
        <f>('Renewable Fuel Ex Ethanol'!AL25*'Renewable Fuel Ex Ethanol'!$I$121*'BD Plant List'!$T489)/1000000</f>
        <v>38.862008495351098</v>
      </c>
      <c r="AP24" s="308">
        <f>('Renewable Fuel Ex Ethanol'!AM25*'Renewable Fuel Ex Ethanol'!$I$121*'BD Plant List'!$T501)/1000000</f>
        <v>38.8620101779712</v>
      </c>
    </row>
    <row r="25" spans="1:42">
      <c r="A25" s="303" t="s">
        <v>133</v>
      </c>
      <c r="L25" s="307">
        <v>0</v>
      </c>
      <c r="M25" s="307">
        <v>0</v>
      </c>
      <c r="N25" s="307">
        <v>0</v>
      </c>
      <c r="O25" s="307">
        <f>('Renewable Fuel Ex Ethanol'!L26*'Renewable Fuel Ex Ethanol'!$I$121*'BD Plant List'!$T178)/1000000</f>
        <v>1.5362741872785017</v>
      </c>
      <c r="P25" s="307">
        <f>('Renewable Fuel Ex Ethanol'!M26*'Renewable Fuel Ex Ethanol'!$I$121*'BD Plant List'!$T190)/1000000</f>
        <v>5.6694232340626112</v>
      </c>
      <c r="Q25" s="308">
        <f>('Renewable Fuel Ex Ethanol'!N26*'Renewable Fuel Ex Ethanol'!$I$121*'BD Plant List'!$T202)/1000000</f>
        <v>5.3681538388474745</v>
      </c>
      <c r="R25" s="308">
        <f>('Renewable Fuel Ex Ethanol'!O26*'Renewable Fuel Ex Ethanol'!$I$121*'BD Plant List'!$T214)/1000000</f>
        <v>22.50519468765885</v>
      </c>
      <c r="S25" s="308">
        <f>('Renewable Fuel Ex Ethanol'!P26*'Renewable Fuel Ex Ethanol'!$I$121*'BD Plant List'!$T226)/1000000</f>
        <v>31.851894605244354</v>
      </c>
      <c r="T25" s="308">
        <f>('Renewable Fuel Ex Ethanol'!Q26*'Renewable Fuel Ex Ethanol'!$I$121*'BD Plant List'!$T238)/1000000</f>
        <v>36.009018776138845</v>
      </c>
      <c r="U25" s="308">
        <f>('Renewable Fuel Ex Ethanol'!R26*'Renewable Fuel Ex Ethanol'!$I$121*'BD Plant List'!$T250)/1000000</f>
        <v>36.191882895654388</v>
      </c>
      <c r="V25" s="308">
        <f>('Renewable Fuel Ex Ethanol'!S26*'Renewable Fuel Ex Ethanol'!$I$121*'BD Plant List'!$T262)/1000000</f>
        <v>38.184920896977104</v>
      </c>
      <c r="W25" s="308">
        <f>('Renewable Fuel Ex Ethanol'!T26*'Renewable Fuel Ex Ethanol'!$I$121*'BD Plant List'!$T274)/1000000</f>
        <v>38.802289145385942</v>
      </c>
      <c r="X25" s="308">
        <f>('Renewable Fuel Ex Ethanol'!U26*'Renewable Fuel Ex Ethanol'!$I$121*'BD Plant List'!$T286)/1000000</f>
        <v>39.512227712088929</v>
      </c>
      <c r="Y25" s="308">
        <f>('Renewable Fuel Ex Ethanol'!V26*'Renewable Fuel Ex Ethanol'!$I$121*'BD Plant List'!$T298)/1000000</f>
        <v>40.17221991532827</v>
      </c>
      <c r="Z25" s="308">
        <f>('Renewable Fuel Ex Ethanol'!W26*'Renewable Fuel Ex Ethanol'!$I$121*'BD Plant List'!$T310)/1000000</f>
        <v>40.834412108141194</v>
      </c>
      <c r="AA25" s="308">
        <f>('Renewable Fuel Ex Ethanol'!X26*'Renewable Fuel Ex Ethanol'!$I$121*'BD Plant List'!$T322)/1000000</f>
        <v>41.512051686692317</v>
      </c>
      <c r="AB25" s="308">
        <f>('Renewable Fuel Ex Ethanol'!Y26*'Renewable Fuel Ex Ethanol'!$I$121*'BD Plant List'!$T334)/1000000</f>
        <v>41.843812742541594</v>
      </c>
      <c r="AC25" s="308">
        <f>('Renewable Fuel Ex Ethanol'!Z26*'Renewable Fuel Ex Ethanol'!$I$121*'BD Plant List'!$T346)/1000000</f>
        <v>41.843085086716677</v>
      </c>
      <c r="AD25" s="308">
        <f>('Renewable Fuel Ex Ethanol'!AA26*'Renewable Fuel Ex Ethanol'!$I$121*'BD Plant List'!$T358)/1000000</f>
        <v>41.844568688486163</v>
      </c>
      <c r="AE25" s="308">
        <f>('Renewable Fuel Ex Ethanol'!AB26*'Renewable Fuel Ex Ethanol'!$I$121*'BD Plant List'!$T370)/1000000</f>
        <v>41.843822172581476</v>
      </c>
      <c r="AF25" s="308">
        <f>('Renewable Fuel Ex Ethanol'!AC26*'Renewable Fuel Ex Ethanol'!$I$121*'BD Plant List'!$T382)/1000000</f>
        <v>41.843825315928107</v>
      </c>
      <c r="AG25" s="308">
        <f>('Renewable Fuel Ex Ethanol'!AD26*'Renewable Fuel Ex Ethanol'!$I$121*'BD Plant List'!$T394)/1000000</f>
        <v>41.844072058998584</v>
      </c>
      <c r="AH25" s="308">
        <f>('Renewable Fuel Ex Ethanol'!AE26*'Renewable Fuel Ex Ethanol'!$I$121*'BD Plant List'!$T406)/1000000</f>
        <v>41.843906515836053</v>
      </c>
      <c r="AI25" s="308">
        <f>('Renewable Fuel Ex Ethanol'!AF26*'Renewable Fuel Ex Ethanol'!$I$121*'BD Plant List'!$T418)/1000000</f>
        <v>41.843934630254253</v>
      </c>
      <c r="AJ25" s="308">
        <f>('Renewable Fuel Ex Ethanol'!AG26*'Renewable Fuel Ex Ethanol'!$I$121*'BD Plant List'!$T430)/1000000</f>
        <v>41.843971068362968</v>
      </c>
      <c r="AK25" s="308">
        <f>('Renewable Fuel Ex Ethanol'!AH26*'Renewable Fuel Ex Ethanol'!$I$121*'BD Plant List'!$T442)/1000000</f>
        <v>41.843937404817765</v>
      </c>
      <c r="AL25" s="308">
        <f>('Renewable Fuel Ex Ethanol'!AI26*'Renewable Fuel Ex Ethanol'!$I$121*'BD Plant List'!$T454)/1000000</f>
        <v>41.843947701144991</v>
      </c>
      <c r="AM25" s="308">
        <f>('Renewable Fuel Ex Ethanol'!AJ26*'Renewable Fuel Ex Ethanol'!$I$121*'BD Plant List'!$T466)/1000000</f>
        <v>41.843952058108584</v>
      </c>
      <c r="AN25" s="308">
        <f>('Renewable Fuel Ex Ethanol'!AK26*'Renewable Fuel Ex Ethanol'!$I$121*'BD Plant List'!$T478)/1000000</f>
        <v>41.843945721357116</v>
      </c>
      <c r="AO25" s="308">
        <f>('Renewable Fuel Ex Ethanol'!AL26*'Renewable Fuel Ex Ethanol'!$I$121*'BD Plant List'!$T490)/1000000</f>
        <v>41.843948493536899</v>
      </c>
      <c r="AP25" s="308">
        <f>('Renewable Fuel Ex Ethanol'!AM26*'Renewable Fuel Ex Ethanol'!$I$121*'BD Plant List'!$T502)/1000000</f>
        <v>41.843948757667533</v>
      </c>
    </row>
    <row r="26" spans="1:42">
      <c r="A26" s="303" t="s">
        <v>280</v>
      </c>
      <c r="L26" s="307">
        <v>0</v>
      </c>
      <c r="M26" s="307">
        <v>0</v>
      </c>
      <c r="N26" s="307">
        <v>0</v>
      </c>
      <c r="O26" s="307">
        <f>('Renewable Fuel Ex Ethanol'!L27*'Renewable Fuel Ex Ethanol'!$I$121*'BD Plant List'!$T179)/1000000</f>
        <v>2.7309988089593435</v>
      </c>
      <c r="P26" s="307">
        <f>('Renewable Fuel Ex Ethanol'!M27*'Renewable Fuel Ex Ethanol'!$I$121*'BD Plant List'!$T191)/1000000</f>
        <v>7.5667052590848884</v>
      </c>
      <c r="Q26" s="308">
        <f>('Renewable Fuel Ex Ethanol'!N27*'Renewable Fuel Ex Ethanol'!$I$121*'BD Plant List'!$T203)/1000000</f>
        <v>6.4549578518371193</v>
      </c>
      <c r="R26" s="308">
        <f>('Renewable Fuel Ex Ethanol'!O27*'Renewable Fuel Ex Ethanol'!$I$121*'BD Plant List'!$T215)/1000000</f>
        <v>27.977428057039194</v>
      </c>
      <c r="S26" s="308">
        <f>('Renewable Fuel Ex Ethanol'!P27*'Renewable Fuel Ex Ethanol'!$I$121*'BD Plant List'!$T227)/1000000</f>
        <v>41.125283622781225</v>
      </c>
      <c r="T26" s="308">
        <f>('Renewable Fuel Ex Ethanol'!Q27*'Renewable Fuel Ex Ethanol'!$I$121*'BD Plant List'!$T239)/1000000</f>
        <v>44.649543828494558</v>
      </c>
      <c r="U26" s="308">
        <f>('Renewable Fuel Ex Ethanol'!R27*'Renewable Fuel Ex Ethanol'!$I$121*'BD Plant List'!$T251)/1000000</f>
        <v>45.159828768444406</v>
      </c>
      <c r="V26" s="308">
        <f>('Renewable Fuel Ex Ethanol'!S27*'Renewable Fuel Ex Ethanol'!$I$121*'BD Plant List'!$T263)/1000000</f>
        <v>47.688660731783052</v>
      </c>
      <c r="W26" s="308">
        <f>('Renewable Fuel Ex Ethanol'!T27*'Renewable Fuel Ex Ethanol'!$I$121*'BD Plant List'!$T275)/1000000</f>
        <v>48.332642018581076</v>
      </c>
      <c r="X26" s="308">
        <f>('Renewable Fuel Ex Ethanol'!U27*'Renewable Fuel Ex Ethanol'!$I$121*'BD Plant List'!$T287)/1000000</f>
        <v>49.288087334968665</v>
      </c>
      <c r="Y26" s="308">
        <f>('Renewable Fuel Ex Ethanol'!V27*'Renewable Fuel Ex Ethanol'!$I$121*'BD Plant List'!$T299)/1000000</f>
        <v>50.106686236321657</v>
      </c>
      <c r="Z26" s="308">
        <f>('Renewable Fuel Ex Ethanol'!W27*'Renewable Fuel Ex Ethanol'!$I$121*'BD Plant List'!$T311)/1000000</f>
        <v>50.911708197639292</v>
      </c>
      <c r="AA26" s="308">
        <f>('Renewable Fuel Ex Ethanol'!X27*'Renewable Fuel Ex Ethanol'!$I$121*'BD Plant List'!$T323)/1000000</f>
        <v>51.772232609297966</v>
      </c>
      <c r="AB26" s="308">
        <f>('Renewable Fuel Ex Ethanol'!Y27*'Renewable Fuel Ex Ethanol'!$I$121*'BD Plant List'!$T335)/1000000</f>
        <v>52.182591203298813</v>
      </c>
      <c r="AC26" s="308">
        <f>('Renewable Fuel Ex Ethanol'!Z27*'Renewable Fuel Ex Ethanol'!$I$121*'BD Plant List'!$T347)/1000000</f>
        <v>52.178750677303256</v>
      </c>
      <c r="AD26" s="308">
        <f>('Renewable Fuel Ex Ethanol'!AA27*'Renewable Fuel Ex Ethanol'!$I$121*'BD Plant List'!$T359)/1000000</f>
        <v>52.183681313469258</v>
      </c>
      <c r="AE26" s="308">
        <f>('Renewable Fuel Ex Ethanol'!AB27*'Renewable Fuel Ex Ethanol'!$I$121*'BD Plant List'!$T371)/1000000</f>
        <v>52.181674398023773</v>
      </c>
      <c r="AF26" s="308">
        <f>('Renewable Fuel Ex Ethanol'!AC27*'Renewable Fuel Ex Ethanol'!$I$121*'BD Plant List'!$T383)/1000000</f>
        <v>52.181368796265431</v>
      </c>
      <c r="AG26" s="308">
        <f>('Renewable Fuel Ex Ethanol'!AD27*'Renewable Fuel Ex Ethanol'!$I$121*'BD Plant List'!$T395)/1000000</f>
        <v>52.182241502586166</v>
      </c>
      <c r="AH26" s="308">
        <f>('Renewable Fuel Ex Ethanol'!AE27*'Renewable Fuel Ex Ethanol'!$I$121*'BD Plant List'!$T407)/1000000</f>
        <v>52.181761565625131</v>
      </c>
      <c r="AI26" s="308">
        <f>('Renewable Fuel Ex Ethanol'!AF27*'Renewable Fuel Ex Ethanol'!$I$121*'BD Plant List'!$T419)/1000000</f>
        <v>52.181790621492247</v>
      </c>
      <c r="AJ26" s="308">
        <f>('Renewable Fuel Ex Ethanol'!AG27*'Renewable Fuel Ex Ethanol'!$I$121*'BD Plant List'!$T431)/1000000</f>
        <v>52.181931229901181</v>
      </c>
      <c r="AK26" s="308">
        <f>('Renewable Fuel Ex Ethanol'!AH27*'Renewable Fuel Ex Ethanol'!$I$121*'BD Plant List'!$T443)/1000000</f>
        <v>52.181827805672846</v>
      </c>
      <c r="AL26" s="308">
        <f>('Renewable Fuel Ex Ethanol'!AI27*'Renewable Fuel Ex Ethanol'!$I$121*'BD Plant List'!$T455)/1000000</f>
        <v>52.181849885688763</v>
      </c>
      <c r="AM26" s="308">
        <f>('Renewable Fuel Ex Ethanol'!AJ27*'Renewable Fuel Ex Ethanol'!$I$121*'BD Plant List'!$T467)/1000000</f>
        <v>52.181869640420928</v>
      </c>
      <c r="AN26" s="308">
        <f>('Renewable Fuel Ex Ethanol'!AK27*'Renewable Fuel Ex Ethanol'!$I$121*'BD Plant List'!$T479)/1000000</f>
        <v>52.181849110594186</v>
      </c>
      <c r="AO26" s="308">
        <f>('Renewable Fuel Ex Ethanol'!AL27*'Renewable Fuel Ex Ethanol'!$I$121*'BD Plant List'!$T491)/1000000</f>
        <v>52.181856212234621</v>
      </c>
      <c r="AP26" s="308">
        <f>('Renewable Fuel Ex Ethanol'!AM27*'Renewable Fuel Ex Ethanol'!$I$121*'BD Plant List'!$T503)/1000000</f>
        <v>52.181858321083254</v>
      </c>
    </row>
    <row r="27" spans="1:42">
      <c r="A27" s="303" t="s">
        <v>281</v>
      </c>
      <c r="L27" s="307">
        <v>0</v>
      </c>
      <c r="M27" s="307">
        <v>0</v>
      </c>
      <c r="N27" s="307">
        <v>0</v>
      </c>
      <c r="O27" s="307">
        <f>('Renewable Fuel Ex Ethanol'!L28*'Renewable Fuel Ex Ethanol'!$I$121*'BD Plant List'!$T180)/1000000</f>
        <v>2.6468127972094733</v>
      </c>
      <c r="P27" s="307">
        <f>('Renewable Fuel Ex Ethanol'!M28*'Renewable Fuel Ex Ethanol'!$I$121*'BD Plant List'!$T192)/1000000</f>
        <v>6.1345108057870297</v>
      </c>
      <c r="Q27" s="308">
        <f>('Renewable Fuel Ex Ethanol'!N28*'Renewable Fuel Ex Ethanol'!$I$121*'BD Plant List'!$T204)/1000000</f>
        <v>5.9663879554570061</v>
      </c>
      <c r="R27" s="308">
        <f>('Renewable Fuel Ex Ethanol'!O28*'Renewable Fuel Ex Ethanol'!$I$121*'BD Plant List'!$T216)/1000000</f>
        <v>24.629103190039221</v>
      </c>
      <c r="S27" s="308">
        <f>('Renewable Fuel Ex Ethanol'!P28*'Renewable Fuel Ex Ethanol'!$I$121*'BD Plant List'!$T228)/1000000</f>
        <v>35.760110450809421</v>
      </c>
      <c r="T27" s="308">
        <f>('Renewable Fuel Ex Ethanol'!Q28*'Renewable Fuel Ex Ethanol'!$I$121*'BD Plant List'!$T240)/1000000</f>
        <v>39.581699390784536</v>
      </c>
      <c r="U27" s="308">
        <f>('Renewable Fuel Ex Ethanol'!R28*'Renewable Fuel Ex Ethanol'!$I$121*'BD Plant List'!$T252)/1000000</f>
        <v>39.690272935068052</v>
      </c>
      <c r="V27" s="308">
        <f>('Renewable Fuel Ex Ethanol'!S28*'Renewable Fuel Ex Ethanol'!$I$121*'BD Plant List'!$T264)/1000000</f>
        <v>41.896669126324184</v>
      </c>
      <c r="W27" s="308">
        <f>('Renewable Fuel Ex Ethanol'!T28*'Renewable Fuel Ex Ethanol'!$I$121*'BD Plant List'!$T276)/1000000</f>
        <v>42.592613358946977</v>
      </c>
      <c r="X27" s="308">
        <f>('Renewable Fuel Ex Ethanol'!U28*'Renewable Fuel Ex Ethanol'!$I$121*'BD Plant List'!$T288)/1000000</f>
        <v>43.352625856804821</v>
      </c>
      <c r="Y27" s="308">
        <f>('Renewable Fuel Ex Ethanol'!V28*'Renewable Fuel Ex Ethanol'!$I$121*'BD Plant List'!$T300)/1000000</f>
        <v>44.083416669681377</v>
      </c>
      <c r="Z27" s="308">
        <f>('Renewable Fuel Ex Ethanol'!W28*'Renewable Fuel Ex Ethanol'!$I$121*'BD Plant List'!$T312)/1000000</f>
        <v>44.812135644132333</v>
      </c>
      <c r="AA27" s="308">
        <f>('Renewable Fuel Ex Ethanol'!X28*'Renewable Fuel Ex Ethanol'!$I$121*'BD Plant List'!$T324)/1000000</f>
        <v>45.552150258768599</v>
      </c>
      <c r="AB27" s="308">
        <f>('Renewable Fuel Ex Ethanol'!Y28*'Renewable Fuel Ex Ethanol'!$I$121*'BD Plant List'!$T336)/1000000</f>
        <v>45.917931206483019</v>
      </c>
      <c r="AC27" s="308">
        <f>('Renewable Fuel Ex Ethanol'!Z28*'Renewable Fuel Ex Ethanol'!$I$121*'BD Plant List'!$T348)/1000000</f>
        <v>45.917189053026931</v>
      </c>
      <c r="AD27" s="308">
        <f>('Renewable Fuel Ex Ethanol'!AA28*'Renewable Fuel Ex Ethanol'!$I$121*'BD Plant List'!$T360)/1000000</f>
        <v>45.918205387125184</v>
      </c>
      <c r="AE27" s="308">
        <f>('Renewable Fuel Ex Ethanol'!AB28*'Renewable Fuel Ex Ethanol'!$I$121*'BD Plant List'!$T372)/1000000</f>
        <v>45.917775215545035</v>
      </c>
      <c r="AF27" s="308">
        <f>('Renewable Fuel Ex Ethanol'!AC28*'Renewable Fuel Ex Ethanol'!$I$121*'BD Plant List'!$T384)/1000000</f>
        <v>45.917723218565726</v>
      </c>
      <c r="AG27" s="308">
        <f>('Renewable Fuel Ex Ethanol'!AD28*'Renewable Fuel Ex Ethanol'!$I$121*'BD Plant List'!$T396)/1000000</f>
        <v>45.917901273745322</v>
      </c>
      <c r="AH27" s="308">
        <f>('Renewable Fuel Ex Ethanol'!AE28*'Renewable Fuel Ex Ethanol'!$I$121*'BD Plant List'!$T408)/1000000</f>
        <v>45.917799902618704</v>
      </c>
      <c r="AI27" s="308">
        <f>('Renewable Fuel Ex Ethanol'!AF28*'Renewable Fuel Ex Ethanol'!$I$121*'BD Plant List'!$T420)/1000000</f>
        <v>45.917808131643255</v>
      </c>
      <c r="AJ27" s="308">
        <f>('Renewable Fuel Ex Ethanol'!AG28*'Renewable Fuel Ex Ethanol'!$I$121*'BD Plant List'!$T432)/1000000</f>
        <v>45.917836436002425</v>
      </c>
      <c r="AK27" s="308">
        <f>('Renewable Fuel Ex Ethanol'!AH28*'Renewable Fuel Ex Ethanol'!$I$121*'BD Plant List'!$T444)/1000000</f>
        <v>45.917814823421473</v>
      </c>
      <c r="AL27" s="308">
        <f>('Renewable Fuel Ex Ethanol'!AI28*'Renewable Fuel Ex Ethanol'!$I$121*'BD Plant List'!$T456)/1000000</f>
        <v>45.917819797022389</v>
      </c>
      <c r="AM27" s="308">
        <f>('Renewable Fuel Ex Ethanol'!AJ28*'Renewable Fuel Ex Ethanol'!$I$121*'BD Plant List'!$T468)/1000000</f>
        <v>45.917823685482091</v>
      </c>
      <c r="AN27" s="308">
        <f>('Renewable Fuel Ex Ethanol'!AK28*'Renewable Fuel Ex Ethanol'!$I$121*'BD Plant List'!$T480)/1000000</f>
        <v>45.917819435308658</v>
      </c>
      <c r="AO27" s="308">
        <f>('Renewable Fuel Ex Ethanol'!AL28*'Renewable Fuel Ex Ethanol'!$I$121*'BD Plant List'!$T492)/1000000</f>
        <v>45.917820972604382</v>
      </c>
      <c r="AP27" s="308">
        <f>('Renewable Fuel Ex Ethanol'!AM28*'Renewable Fuel Ex Ethanol'!$I$121*'BD Plant List'!$T504)/1000000</f>
        <v>45.917821364465041</v>
      </c>
    </row>
    <row r="28" spans="1:42">
      <c r="A28" s="303" t="s">
        <v>282</v>
      </c>
      <c r="L28" s="307">
        <v>0</v>
      </c>
      <c r="M28" s="307">
        <v>0</v>
      </c>
      <c r="N28" s="307">
        <v>0</v>
      </c>
      <c r="O28" s="307">
        <f>('Renewable Fuel Ex Ethanol'!L29*'Renewable Fuel Ex Ethanol'!$I$121*'BD Plant List'!$T181)/1000000</f>
        <v>2.3854806067842973</v>
      </c>
      <c r="P28" s="307">
        <f>('Renewable Fuel Ex Ethanol'!M29*'Renewable Fuel Ex Ethanol'!$I$121*'BD Plant List'!$T193)/1000000</f>
        <v>5.2476329640215376</v>
      </c>
      <c r="Q28" s="308">
        <f>('Renewable Fuel Ex Ethanol'!N29*'Renewable Fuel Ex Ethanol'!$I$121*'BD Plant List'!$T205)/1000000</f>
        <v>5.3287333876662402</v>
      </c>
      <c r="R28" s="308">
        <f>('Renewable Fuel Ex Ethanol'!O29*'Renewable Fuel Ex Ethanol'!$I$121*'BD Plant List'!$T217)/1000000</f>
        <v>21.646657856602474</v>
      </c>
      <c r="S28" s="308">
        <f>('Renewable Fuel Ex Ethanol'!P29*'Renewable Fuel Ex Ethanol'!$I$121*'BD Plant List'!$T229)/1000000</f>
        <v>31.321642015625969</v>
      </c>
      <c r="T28" s="308">
        <f>('Renewable Fuel Ex Ethanol'!Q29*'Renewable Fuel Ex Ethanol'!$I$121*'BD Plant List'!$T241)/1000000</f>
        <v>34.882358344207113</v>
      </c>
      <c r="U28" s="308">
        <f>('Renewable Fuel Ex Ethanol'!R29*'Renewable Fuel Ex Ethanol'!$I$121*'BD Plant List'!$T253)/1000000</f>
        <v>34.878453355028029</v>
      </c>
      <c r="V28" s="308">
        <f>('Renewable Fuel Ex Ethanol'!S29*'Renewable Fuel Ex Ethanol'!$I$121*'BD Plant List'!$T265)/1000000</f>
        <v>36.81597355748935</v>
      </c>
      <c r="W28" s="308">
        <f>('Renewable Fuel Ex Ethanol'!T29*'Renewable Fuel Ex Ethanol'!$I$121*'BD Plant List'!$T277)/1000000</f>
        <v>37.463354817515281</v>
      </c>
      <c r="X28" s="308">
        <f>('Renewable Fuel Ex Ethanol'!U29*'Renewable Fuel Ex Ethanol'!$I$121*'BD Plant List'!$T289)/1000000</f>
        <v>38.108338000425604</v>
      </c>
      <c r="Y28" s="308">
        <f>('Renewable Fuel Ex Ethanol'!V29*'Renewable Fuel Ex Ethanol'!$I$121*'BD Plant List'!$T301)/1000000</f>
        <v>38.754367715665609</v>
      </c>
      <c r="Z28" s="308">
        <f>('Renewable Fuel Ex Ethanol'!W29*'Renewable Fuel Ex Ethanol'!$I$121*'BD Plant List'!$T313)/1000000</f>
        <v>39.400506737570602</v>
      </c>
      <c r="AA28" s="308">
        <f>('Renewable Fuel Ex Ethanol'!X29*'Renewable Fuel Ex Ethanol'!$I$121*'BD Plant List'!$T325)/1000000</f>
        <v>40.046217622927941</v>
      </c>
      <c r="AB28" s="308">
        <f>('Renewable Fuel Ex Ethanol'!Y29*'Renewable Fuel Ex Ethanol'!$I$121*'BD Plant List'!$T337)/1000000</f>
        <v>40.369225435848406</v>
      </c>
      <c r="AC28" s="308">
        <f>('Renewable Fuel Ex Ethanol'!Z29*'Renewable Fuel Ex Ethanol'!$I$121*'BD Plant List'!$T349)/1000000</f>
        <v>40.36925532221931</v>
      </c>
      <c r="AD28" s="308">
        <f>('Renewable Fuel Ex Ethanol'!AA29*'Renewable Fuel Ex Ethanol'!$I$121*'BD Plant List'!$T361)/1000000</f>
        <v>40.369217373327437</v>
      </c>
      <c r="AE28" s="308">
        <f>('Renewable Fuel Ex Ethanol'!AB29*'Renewable Fuel Ex Ethanol'!$I$121*'BD Plant List'!$T373)/1000000</f>
        <v>40.369232710465056</v>
      </c>
      <c r="AF28" s="308">
        <f>('Renewable Fuel Ex Ethanol'!AC29*'Renewable Fuel Ex Ethanol'!$I$121*'BD Plant List'!$T385)/1000000</f>
        <v>40.369235135337263</v>
      </c>
      <c r="AG28" s="308">
        <f>('Renewable Fuel Ex Ethanol'!AD29*'Renewable Fuel Ex Ethanol'!$I$121*'BD Plant List'!$T397)/1000000</f>
        <v>40.369228406376585</v>
      </c>
      <c r="AH28" s="308">
        <f>('Renewable Fuel Ex Ethanol'!AE29*'Renewable Fuel Ex Ethanol'!$I$121*'BD Plant List'!$T409)/1000000</f>
        <v>40.369232084059639</v>
      </c>
      <c r="AI28" s="308">
        <f>('Renewable Fuel Ex Ethanol'!AF29*'Renewable Fuel Ex Ethanol'!$I$121*'BD Plant List'!$T421)/1000000</f>
        <v>40.369231875257825</v>
      </c>
      <c r="AJ28" s="308">
        <f>('Renewable Fuel Ex Ethanol'!AG29*'Renewable Fuel Ex Ethanol'!$I$121*'BD Plant List'!$T433)/1000000</f>
        <v>40.369230788564693</v>
      </c>
      <c r="AK28" s="308">
        <f>('Renewable Fuel Ex Ethanol'!AH29*'Renewable Fuel Ex Ethanol'!$I$121*'BD Plant List'!$T445)/1000000</f>
        <v>40.369231582627393</v>
      </c>
      <c r="AL28" s="308">
        <f>('Renewable Fuel Ex Ethanol'!AI29*'Renewable Fuel Ex Ethanol'!$I$121*'BD Plant List'!$T457)/1000000</f>
        <v>40.369231415483313</v>
      </c>
      <c r="AM28" s="308">
        <f>('Renewable Fuel Ex Ethanol'!AJ29*'Renewable Fuel Ex Ethanol'!$I$121*'BD Plant List'!$T469)/1000000</f>
        <v>40.369231262225135</v>
      </c>
      <c r="AN28" s="308">
        <f>('Renewable Fuel Ex Ethanol'!AK29*'Renewable Fuel Ex Ethanol'!$I$121*'BD Plant List'!$T481)/1000000</f>
        <v>40.369231420111937</v>
      </c>
      <c r="AO28" s="308">
        <f>('Renewable Fuel Ex Ethanol'!AL29*'Renewable Fuel Ex Ethanol'!$I$121*'BD Plant List'!$T493)/1000000</f>
        <v>40.369231365940138</v>
      </c>
      <c r="AP28" s="308">
        <f>('Renewable Fuel Ex Ethanol'!AM29*'Renewable Fuel Ex Ethanol'!$I$121*'BD Plant List'!$T505)/1000000</f>
        <v>40.369231349425739</v>
      </c>
    </row>
    <row r="29" spans="1:42">
      <c r="A29" s="303" t="s">
        <v>283</v>
      </c>
      <c r="L29" s="307">
        <v>0</v>
      </c>
      <c r="M29" s="307">
        <v>0</v>
      </c>
      <c r="N29" s="307">
        <v>0</v>
      </c>
      <c r="O29" s="307">
        <f>('Renewable Fuel Ex Ethanol'!L30*'Renewable Fuel Ex Ethanol'!$I$121*'BD Plant List'!$T182)/1000000</f>
        <v>2.1949724793775749</v>
      </c>
      <c r="P29" s="307">
        <f>('Renewable Fuel Ex Ethanol'!M30*'Renewable Fuel Ex Ethanol'!$I$121*'BD Plant List'!$T194)/1000000</f>
        <v>6.0745254050442741</v>
      </c>
      <c r="Q29" s="308">
        <f>('Renewable Fuel Ex Ethanol'!N30*'Renewable Fuel Ex Ethanol'!$I$121*'BD Plant List'!$T206)/1000000</f>
        <v>5.7324376189675803</v>
      </c>
      <c r="R29" s="308">
        <f>('Renewable Fuel Ex Ethanol'!O30*'Renewable Fuel Ex Ethanol'!$I$121*'BD Plant List'!$T218)/1000000</f>
        <v>23.383635691978142</v>
      </c>
      <c r="S29" s="308">
        <f>('Renewable Fuel Ex Ethanol'!P30*'Renewable Fuel Ex Ethanol'!$I$121*'BD Plant List'!$T230)/1000000</f>
        <v>34.532711105852869</v>
      </c>
      <c r="T29" s="308">
        <f>('Renewable Fuel Ex Ethanol'!Q30*'Renewable Fuel Ex Ethanol'!$I$121*'BD Plant List'!$T242)/1000000</f>
        <v>37.966985799434397</v>
      </c>
      <c r="U29" s="308">
        <f>('Renewable Fuel Ex Ethanol'!R30*'Renewable Fuel Ex Ethanol'!$I$121*'BD Plant List'!$T254)/1000000</f>
        <v>38.057826685099521</v>
      </c>
      <c r="V29" s="308">
        <f>('Renewable Fuel Ex Ethanol'!S30*'Renewable Fuel Ex Ethanol'!$I$121*'BD Plant List'!$T266)/1000000</f>
        <v>40.266957473814998</v>
      </c>
      <c r="W29" s="308">
        <f>('Renewable Fuel Ex Ethanol'!T30*'Renewable Fuel Ex Ethanol'!$I$121*'BD Plant List'!$T278)/1000000</f>
        <v>40.878319136874161</v>
      </c>
      <c r="X29" s="308">
        <f>('Renewable Fuel Ex Ethanol'!U30*'Renewable Fuel Ex Ethanol'!$I$121*'BD Plant List'!$T290)/1000000</f>
        <v>41.615284582553457</v>
      </c>
      <c r="Y29" s="308">
        <f>('Renewable Fuel Ex Ethanol'!V30*'Renewable Fuel Ex Ethanol'!$I$121*'BD Plant List'!$T302)/1000000</f>
        <v>42.33122799766987</v>
      </c>
      <c r="Z29" s="308">
        <f>('Renewable Fuel Ex Ethanol'!W30*'Renewable Fuel Ex Ethanol'!$I$121*'BD Plant List'!$T314)/1000000</f>
        <v>43.018727314931887</v>
      </c>
      <c r="AA29" s="308">
        <f>('Renewable Fuel Ex Ethanol'!X30*'Renewable Fuel Ex Ethanol'!$I$121*'BD Plant List'!$T326)/1000000</f>
        <v>43.732471519442335</v>
      </c>
      <c r="AB29" s="308">
        <f>('Renewable Fuel Ex Ethanol'!Y30*'Renewable Fuel Ex Ethanol'!$I$121*'BD Plant List'!$T338)/1000000</f>
        <v>44.085528289632549</v>
      </c>
      <c r="AC29" s="308">
        <f>('Renewable Fuel Ex Ethanol'!Z30*'Renewable Fuel Ex Ethanol'!$I$121*'BD Plant List'!$T350)/1000000</f>
        <v>44.082455230460496</v>
      </c>
      <c r="AD29" s="308">
        <f>('Renewable Fuel Ex Ethanol'!AA30*'Renewable Fuel Ex Ethanol'!$I$121*'BD Plant List'!$T362)/1000000</f>
        <v>44.084376684336696</v>
      </c>
      <c r="AE29" s="308">
        <f>('Renewable Fuel Ex Ethanol'!AB30*'Renewable Fuel Ex Ethanol'!$I$121*'BD Plant List'!$T374)/1000000</f>
        <v>44.084120068143257</v>
      </c>
      <c r="AF29" s="308">
        <f>('Renewable Fuel Ex Ethanol'!AC30*'Renewable Fuel Ex Ethanol'!$I$121*'BD Plant List'!$T386)/1000000</f>
        <v>44.083650660980148</v>
      </c>
      <c r="AG29" s="308">
        <f>('Renewable Fuel Ex Ethanol'!AD30*'Renewable Fuel Ex Ethanol'!$I$121*'BD Plant List'!$T398)/1000000</f>
        <v>44.084049137820045</v>
      </c>
      <c r="AH29" s="308">
        <f>('Renewable Fuel Ex Ethanol'!AE30*'Renewable Fuel Ex Ethanol'!$I$121*'BD Plant List'!$T410)/1000000</f>
        <v>44.083939955647821</v>
      </c>
      <c r="AI29" s="308">
        <f>('Renewable Fuel Ex Ethanol'!AF30*'Renewable Fuel Ex Ethanol'!$I$121*'BD Plant List'!$T422)/1000000</f>
        <v>44.083879918149336</v>
      </c>
      <c r="AJ29" s="308">
        <f>('Renewable Fuel Ex Ethanol'!AG30*'Renewable Fuel Ex Ethanol'!$I$121*'BD Plant List'!$T434)/1000000</f>
        <v>44.083956337205741</v>
      </c>
      <c r="AK29" s="308">
        <f>('Renewable Fuel Ex Ethanol'!AH30*'Renewable Fuel Ex Ethanol'!$I$121*'BD Plant List'!$T446)/1000000</f>
        <v>44.083925403667628</v>
      </c>
      <c r="AL29" s="308">
        <f>('Renewable Fuel Ex Ethanol'!AI30*'Renewable Fuel Ex Ethanol'!$I$121*'BD Plant List'!$T458)/1000000</f>
        <v>44.08392055300758</v>
      </c>
      <c r="AM29" s="308">
        <f>('Renewable Fuel Ex Ethanol'!AJ30*'Renewable Fuel Ex Ethanol'!$I$121*'BD Plant List'!$T470)/1000000</f>
        <v>44.083934097960309</v>
      </c>
      <c r="AN29" s="308">
        <f>('Renewable Fuel Ex Ethanol'!AK30*'Renewable Fuel Ex Ethanol'!$I$121*'BD Plant List'!$T482)/1000000</f>
        <v>44.083926684878513</v>
      </c>
      <c r="AO29" s="308">
        <f>('Renewable Fuel Ex Ethanol'!AL30*'Renewable Fuel Ex Ethanol'!$I$121*'BD Plant List'!$T494)/1000000</f>
        <v>44.083927111948796</v>
      </c>
      <c r="AP29" s="308">
        <f>('Renewable Fuel Ex Ethanol'!AM30*'Renewable Fuel Ex Ethanol'!$I$121*'BD Plant List'!$T506)/1000000</f>
        <v>44.083929298262539</v>
      </c>
    </row>
    <row r="30" spans="1:42">
      <c r="A30" s="303" t="s">
        <v>284</v>
      </c>
      <c r="L30" s="307">
        <v>0</v>
      </c>
      <c r="M30" s="307">
        <v>0</v>
      </c>
      <c r="N30" s="307">
        <v>0</v>
      </c>
      <c r="O30" s="307">
        <f>('Renewable Fuel Ex Ethanol'!L31*'Renewable Fuel Ex Ethanol'!$I$121*'BD Plant List'!$T183)/1000000</f>
        <v>2.3359324363811038</v>
      </c>
      <c r="P30" s="307">
        <f>('Renewable Fuel Ex Ethanol'!M31*'Renewable Fuel Ex Ethanol'!$I$121*'BD Plant List'!$T195)/1000000</f>
        <v>3.9088001095852518</v>
      </c>
      <c r="Q30" s="308">
        <f>('Renewable Fuel Ex Ethanol'!N31*'Renewable Fuel Ex Ethanol'!$I$121*'BD Plant List'!$T207)/1000000</f>
        <v>5.0390709195417474</v>
      </c>
      <c r="R30" s="308">
        <f>('Renewable Fuel Ex Ethanol'!O31*'Renewable Fuel Ex Ethanol'!$I$121*'BD Plant List'!$T219)/1000000</f>
        <v>18.844276878253766</v>
      </c>
      <c r="S30" s="308">
        <f>('Renewable Fuel Ex Ethanol'!P31*'Renewable Fuel Ex Ethanol'!$I$121*'BD Plant List'!$T231)/1000000</f>
        <v>26.793056106525242</v>
      </c>
      <c r="T30" s="308">
        <f>('Renewable Fuel Ex Ethanol'!Q31*'Renewable Fuel Ex Ethanol'!$I$121*'BD Plant List'!$T243)/1000000</f>
        <v>30.82582160673994</v>
      </c>
      <c r="U30" s="308">
        <f>('Renewable Fuel Ex Ethanol'!R31*'Renewable Fuel Ex Ethanol'!$I$121*'BD Plant List'!$T255)/1000000</f>
        <v>30.357530888378008</v>
      </c>
      <c r="V30" s="308">
        <f>('Renewable Fuel Ex Ethanol'!S31*'Renewable Fuel Ex Ethanol'!$I$121*'BD Plant List'!$T267)/1000000</f>
        <v>32.042525816572919</v>
      </c>
      <c r="W30" s="308">
        <f>('Renewable Fuel Ex Ethanol'!T31*'Renewable Fuel Ex Ethanol'!$I$121*'BD Plant List'!$T279)/1000000</f>
        <v>32.770308739867097</v>
      </c>
      <c r="X30" s="308">
        <f>('Renewable Fuel Ex Ethanol'!U31*'Renewable Fuel Ex Ethanol'!$I$121*'BD Plant List'!$T291)/1000000</f>
        <v>33.225157167125822</v>
      </c>
      <c r="Y30" s="308">
        <f>('Renewable Fuel Ex Ethanol'!V31*'Renewable Fuel Ex Ethanol'!$I$121*'BD Plant List'!$T303)/1000000</f>
        <v>33.806204042608911</v>
      </c>
      <c r="Z30" s="308">
        <f>('Renewable Fuel Ex Ethanol'!W31*'Renewable Fuel Ex Ethanol'!$I$121*'BD Plant List'!$T315)/1000000</f>
        <v>34.394925801840181</v>
      </c>
      <c r="AA30" s="308">
        <f>('Renewable Fuel Ex Ethanol'!X31*'Renewable Fuel Ex Ethanol'!$I$121*'BD Plant List'!$T327)/1000000</f>
        <v>34.935721081764683</v>
      </c>
      <c r="AB30" s="308">
        <f>('Renewable Fuel Ex Ethanol'!Y31*'Renewable Fuel Ex Ethanol'!$I$121*'BD Plant List'!$T339)/1000000</f>
        <v>35.224334332723281</v>
      </c>
      <c r="AC30" s="308">
        <f>('Renewable Fuel Ex Ethanol'!Z31*'Renewable Fuel Ex Ethanol'!$I$121*'BD Plant List'!$T351)/1000000</f>
        <v>35.227419547280363</v>
      </c>
      <c r="AD30" s="308">
        <f>('Renewable Fuel Ex Ethanol'!AA31*'Renewable Fuel Ex Ethanol'!$I$121*'BD Plant List'!$T363)/1000000</f>
        <v>35.223086551393159</v>
      </c>
      <c r="AE30" s="308">
        <f>('Renewable Fuel Ex Ethanol'!AB31*'Renewable Fuel Ex Ethanol'!$I$121*'BD Plant List'!$T375)/1000000</f>
        <v>35.22494681046561</v>
      </c>
      <c r="AF30" s="308">
        <f>('Renewable Fuel Ex Ethanol'!AC31*'Renewable Fuel Ex Ethanol'!$I$121*'BD Plant List'!$T387)/1000000</f>
        <v>35.225150969713049</v>
      </c>
      <c r="AG30" s="308">
        <f>('Renewable Fuel Ex Ethanol'!AD31*'Renewable Fuel Ex Ethanol'!$I$121*'BD Plant List'!$T399)/1000000</f>
        <v>35.224394777190604</v>
      </c>
      <c r="AH30" s="308">
        <f>('Renewable Fuel Ex Ethanol'!AE31*'Renewable Fuel Ex Ethanol'!$I$121*'BD Plant List'!$T411)/1000000</f>
        <v>35.224830852456421</v>
      </c>
      <c r="AI30" s="308">
        <f>('Renewable Fuel Ex Ethanol'!AF31*'Renewable Fuel Ex Ethanol'!$I$121*'BD Plant List'!$T423)/1000000</f>
        <v>35.224792199786691</v>
      </c>
      <c r="AJ30" s="308">
        <f>('Renewable Fuel Ex Ethanol'!AG31*'Renewable Fuel Ex Ethanol'!$I$121*'BD Plant List'!$T435)/1000000</f>
        <v>35.224672609811236</v>
      </c>
      <c r="AK30" s="308">
        <f>('Renewable Fuel Ex Ethanol'!AH31*'Renewable Fuel Ex Ethanol'!$I$121*'BD Plant List'!$T447)/1000000</f>
        <v>35.22476522068478</v>
      </c>
      <c r="AL30" s="308">
        <f>('Renewable Fuel Ex Ethanol'!AI31*'Renewable Fuel Ex Ethanol'!$I$121*'BD Plant List'!$T459)/1000000</f>
        <v>35.224743343427569</v>
      </c>
      <c r="AM30" s="308">
        <f>('Renewable Fuel Ex Ethanol'!AJ31*'Renewable Fuel Ex Ethanol'!$I$121*'BD Plant List'!$T471)/1000000</f>
        <v>35.22472705797454</v>
      </c>
      <c r="AN30" s="308">
        <f>('Renewable Fuel Ex Ethanol'!AK31*'Renewable Fuel Ex Ethanol'!$I$121*'BD Plant List'!$T483)/1000000</f>
        <v>35.224745207362304</v>
      </c>
      <c r="AO30" s="308">
        <f>('Renewable Fuel Ex Ethanol'!AL31*'Renewable Fuel Ex Ethanol'!$I$121*'BD Plant List'!$T495)/1000000</f>
        <v>35.224738536254812</v>
      </c>
      <c r="AP30" s="308">
        <f>('Renewable Fuel Ex Ethanol'!AM31*'Renewable Fuel Ex Ethanol'!$I$121*'BD Plant List'!$T507)/1000000</f>
        <v>35.22473693386388</v>
      </c>
    </row>
    <row r="31" spans="1:42">
      <c r="A31" s="303" t="s">
        <v>285</v>
      </c>
      <c r="L31" s="307">
        <v>0</v>
      </c>
      <c r="M31" s="307">
        <v>0</v>
      </c>
      <c r="N31" s="307">
        <v>0</v>
      </c>
      <c r="O31" s="307">
        <f>('Renewable Fuel Ex Ethanol'!L32*'Renewable Fuel Ex Ethanol'!$I$121*'BD Plant List'!$T184)/1000000</f>
        <v>3.0621228088529064</v>
      </c>
      <c r="P31" s="307">
        <f>('Renewable Fuel Ex Ethanol'!M32*'Renewable Fuel Ex Ethanol'!$I$121*'BD Plant List'!$T196)/1000000</f>
        <v>5.3951305268421557</v>
      </c>
      <c r="Q31" s="308">
        <f>('Renewable Fuel Ex Ethanol'!N32*'Renewable Fuel Ex Ethanol'!$I$121*'BD Plant List'!$T208)/1000000</f>
        <v>6.2005639384901121</v>
      </c>
      <c r="R31" s="308">
        <f>('Renewable Fuel Ex Ethanol'!O32*'Renewable Fuel Ex Ethanol'!$I$121*'BD Plant List'!$T220)/1000000</f>
        <v>24.478977145421101</v>
      </c>
      <c r="S31" s="308">
        <f>('Renewable Fuel Ex Ethanol'!P32*'Renewable Fuel Ex Ethanol'!$I$121*'BD Plant List'!$T232)/1000000</f>
        <v>34.753919924281149</v>
      </c>
      <c r="T31" s="308">
        <f>('Renewable Fuel Ex Ethanol'!Q32*'Renewable Fuel Ex Ethanol'!$I$121*'BD Plant List'!$T244)/1000000</f>
        <v>39.432154373143305</v>
      </c>
      <c r="U31" s="308">
        <f>('Renewable Fuel Ex Ethanol'!R32*'Renewable Fuel Ex Ethanol'!$I$121*'BD Plant List'!$T256)/1000000</f>
        <v>39.178732300762476</v>
      </c>
      <c r="V31" s="308">
        <f>('Renewable Fuel Ex Ethanol'!S32*'Renewable Fuel Ex Ethanol'!$I$121*'BD Plant List'!$T268)/1000000</f>
        <v>41.289418377614403</v>
      </c>
      <c r="W31" s="308">
        <f>('Renewable Fuel Ex Ethanol'!T32*'Renewable Fuel Ex Ethanol'!$I$121*'BD Plant List'!$T280)/1000000</f>
        <v>42.146773896898004</v>
      </c>
      <c r="X31" s="308">
        <f>('Renewable Fuel Ex Ethanol'!U32*'Renewable Fuel Ex Ethanol'!$I$121*'BD Plant List'!$T292)/1000000</f>
        <v>42.80639378663443</v>
      </c>
      <c r="Y31" s="308">
        <f>('Renewable Fuel Ex Ethanol'!V32*'Renewable Fuel Ex Ethanol'!$I$121*'BD Plant List'!$T304)/1000000</f>
        <v>43.531926227981678</v>
      </c>
      <c r="Z31" s="308">
        <f>('Renewable Fuel Ex Ethanol'!W32*'Renewable Fuel Ex Ethanol'!$I$121*'BD Plant List'!$T316)/1000000</f>
        <v>44.28017360792294</v>
      </c>
      <c r="AA31" s="308">
        <f>('Renewable Fuel Ex Ethanol'!X32*'Renewable Fuel Ex Ethanol'!$I$121*'BD Plant List'!$T328)/1000000</f>
        <v>44.990814469985658</v>
      </c>
      <c r="AB31" s="308">
        <f>('Renewable Fuel Ex Ethanol'!Y32*'Renewable Fuel Ex Ethanol'!$I$121*'BD Plant List'!$T340)/1000000</f>
        <v>45.356186579880557</v>
      </c>
      <c r="AC31" s="308">
        <f>('Renewable Fuel Ex Ethanol'!Z32*'Renewable Fuel Ex Ethanol'!$I$121*'BD Plant List'!$T352)/1000000</f>
        <v>45.359560194672888</v>
      </c>
      <c r="AD31" s="308">
        <f>('Renewable Fuel Ex Ethanol'!AA32*'Renewable Fuel Ex Ethanol'!$I$121*'BD Plant List'!$T364)/1000000</f>
        <v>45.35647100419088</v>
      </c>
      <c r="AE31" s="308">
        <f>('Renewable Fuel Ex Ethanol'!AB32*'Renewable Fuel Ex Ethanol'!$I$121*'BD Plant List'!$T376)/1000000</f>
        <v>45.35740592624812</v>
      </c>
      <c r="AF31" s="308">
        <f>('Renewable Fuel Ex Ethanol'!AC32*'Renewable Fuel Ex Ethanol'!$I$121*'BD Plant List'!$T388)/1000000</f>
        <v>45.357812375037298</v>
      </c>
      <c r="AG31" s="308">
        <f>('Renewable Fuel Ex Ethanol'!AD32*'Renewable Fuel Ex Ethanol'!$I$121*'BD Plant List'!$T400)/1000000</f>
        <v>45.357229768492104</v>
      </c>
      <c r="AH31" s="308">
        <f>('Renewable Fuel Ex Ethanol'!AE32*'Renewable Fuel Ex Ethanol'!$I$121*'BD Plant List'!$T412)/1000000</f>
        <v>45.357482689925845</v>
      </c>
      <c r="AI31" s="308">
        <f>('Renewable Fuel Ex Ethanol'!AF32*'Renewable Fuel Ex Ethanol'!$I$121*'BD Plant List'!$T424)/1000000</f>
        <v>45.357508277818411</v>
      </c>
      <c r="AJ31" s="308">
        <f>('Renewable Fuel Ex Ethanol'!AG32*'Renewable Fuel Ex Ethanol'!$I$121*'BD Plant List'!$T436)/1000000</f>
        <v>45.35740691207878</v>
      </c>
      <c r="AK31" s="308">
        <f>('Renewable Fuel Ex Ethanol'!AH32*'Renewable Fuel Ex Ethanol'!$I$121*'BD Plant List'!$T448)/1000000</f>
        <v>45.357465959941024</v>
      </c>
      <c r="AL31" s="308">
        <f>('Renewable Fuel Ex Ethanol'!AI32*'Renewable Fuel Ex Ethanol'!$I$121*'BD Plant List'!$T460)/1000000</f>
        <v>45.357460383279403</v>
      </c>
      <c r="AM31" s="308">
        <f>('Renewable Fuel Ex Ethanol'!AJ32*'Renewable Fuel Ex Ethanol'!$I$121*'BD Plant List'!$T472)/1000000</f>
        <v>45.357444418433069</v>
      </c>
      <c r="AN31" s="308">
        <f>('Renewable Fuel Ex Ethanol'!AK32*'Renewable Fuel Ex Ethanol'!$I$121*'BD Plant List'!$T484)/1000000</f>
        <v>45.357456920551172</v>
      </c>
      <c r="AO31" s="308">
        <f>('Renewable Fuel Ex Ethanol'!AL32*'Renewable Fuel Ex Ethanol'!$I$121*'BD Plant List'!$T496)/1000000</f>
        <v>45.357453907421224</v>
      </c>
      <c r="AP31" s="308">
        <f>('Renewable Fuel Ex Ethanol'!AM32*'Renewable Fuel Ex Ethanol'!$I$121*'BD Plant List'!$T508)/1000000</f>
        <v>45.357451748801829</v>
      </c>
    </row>
    <row r="32" spans="1:42">
      <c r="A32" s="303" t="s">
        <v>286</v>
      </c>
      <c r="L32" s="307">
        <v>0</v>
      </c>
      <c r="M32" s="307">
        <v>0</v>
      </c>
      <c r="N32" s="307">
        <v>0</v>
      </c>
      <c r="O32" s="307">
        <f>('Renewable Fuel Ex Ethanol'!L33*'Renewable Fuel Ex Ethanol'!$I$121*'BD Plant List'!$T185)/1000000</f>
        <v>2.6733073049945144</v>
      </c>
      <c r="P32" s="307">
        <f>('Renewable Fuel Ex Ethanol'!M33*'Renewable Fuel Ex Ethanol'!$I$121*'BD Plant List'!$T197)/1000000</f>
        <v>6.3339077832082138</v>
      </c>
      <c r="Q32" s="308">
        <f>('Renewable Fuel Ex Ethanol'!N33*'Renewable Fuel Ex Ethanol'!$I$121*'BD Plant List'!$T209)/1000000</f>
        <v>9.9519105403665691</v>
      </c>
      <c r="R32" s="308">
        <f>('Renewable Fuel Ex Ethanol'!O33*'Renewable Fuel Ex Ethanol'!$I$121*'BD Plant List'!$T221)/1000000</f>
        <v>31.662286019642995</v>
      </c>
      <c r="S32" s="308">
        <f>('Renewable Fuel Ex Ethanol'!P33*'Renewable Fuel Ex Ethanol'!$I$121*'BD Plant List'!$T233)/1000000</f>
        <v>47.304357148308924</v>
      </c>
      <c r="T32" s="308">
        <f>('Renewable Fuel Ex Ethanol'!Q33*'Renewable Fuel Ex Ethanol'!$I$121*'BD Plant List'!$T245)/1000000</f>
        <v>55.389385856866525</v>
      </c>
      <c r="U32" s="308">
        <f>('Renewable Fuel Ex Ethanol'!R33*'Renewable Fuel Ex Ethanol'!$I$121*'BD Plant List'!$T257)/1000000</f>
        <v>53.283878397504942</v>
      </c>
      <c r="V32" s="308">
        <f>('Renewable Fuel Ex Ethanol'!S33*'Renewable Fuel Ex Ethanol'!$I$121*'BD Plant List'!$T269)/1000000</f>
        <v>56.809740702573741</v>
      </c>
      <c r="W32" s="308">
        <f>('Renewable Fuel Ex Ethanol'!T33*'Renewable Fuel Ex Ethanol'!$I$121*'BD Plant List'!$T281)/1000000</f>
        <v>58.169783560623124</v>
      </c>
      <c r="X32" s="308">
        <f>('Renewable Fuel Ex Ethanol'!U33*'Renewable Fuel Ex Ethanol'!$I$121*'BD Plant List'!$T293)/1000000</f>
        <v>58.742844715866298</v>
      </c>
      <c r="Y32" s="308">
        <f>('Renewable Fuel Ex Ethanol'!V33*'Renewable Fuel Ex Ethanol'!$I$121*'BD Plant List'!$T305)/1000000</f>
        <v>59.904265165194225</v>
      </c>
      <c r="Z32" s="308">
        <f>('Renewable Fuel Ex Ethanol'!W33*'Renewable Fuel Ex Ethanol'!$I$121*'BD Plant List'!$T317)/1000000</f>
        <v>60.936895479902319</v>
      </c>
      <c r="AA32" s="308">
        <f>('Renewable Fuel Ex Ethanol'!X33*'Renewable Fuel Ex Ethanol'!$I$121*'BD Plant List'!$T329)/1000000</f>
        <v>61.85671295766501</v>
      </c>
      <c r="AB32" s="308">
        <f>('Renewable Fuel Ex Ethanol'!Y33*'Renewable Fuel Ex Ethanol'!$I$121*'BD Plant List'!$T341)/1000000</f>
        <v>62.396814755041547</v>
      </c>
      <c r="AC32" s="308">
        <f>('Renewable Fuel Ex Ethanol'!Z33*'Renewable Fuel Ex Ethanol'!$I$121*'BD Plant List'!$T353)/1000000</f>
        <v>62.395695145757777</v>
      </c>
      <c r="AD32" s="308">
        <f>('Renewable Fuel Ex Ethanol'!AA33*'Renewable Fuel Ex Ethanol'!$I$121*'BD Plant List'!$T365)/1000000</f>
        <v>62.382761650556205</v>
      </c>
      <c r="AE32" s="308">
        <f>('Renewable Fuel Ex Ethanol'!AB33*'Renewable Fuel Ex Ethanol'!$I$121*'BD Plant List'!$T377)/1000000</f>
        <v>62.39175718378516</v>
      </c>
      <c r="AF32" s="308">
        <f>('Renewable Fuel Ex Ethanol'!AC33*'Renewable Fuel Ex Ethanol'!$I$121*'BD Plant List'!$T389)/1000000</f>
        <v>62.39007132669969</v>
      </c>
      <c r="AG32" s="308">
        <f>('Renewable Fuel Ex Ethanol'!AD33*'Renewable Fuel Ex Ethanol'!$I$121*'BD Plant List'!$T401)/1000000</f>
        <v>62.388196720346947</v>
      </c>
      <c r="AH32" s="308">
        <f>('Renewable Fuel Ex Ethanol'!AE33*'Renewable Fuel Ex Ethanol'!$I$121*'BD Plant List'!$T413)/1000000</f>
        <v>62.390008410277176</v>
      </c>
      <c r="AI32" s="308">
        <f>('Renewable Fuel Ex Ethanol'!AF33*'Renewable Fuel Ex Ethanol'!$I$121*'BD Plant List'!$T425)/1000000</f>
        <v>62.389425485774623</v>
      </c>
      <c r="AJ32" s="308">
        <f>('Renewable Fuel Ex Ethanol'!AG33*'Renewable Fuel Ex Ethanol'!$I$121*'BD Plant List'!$T437)/1000000</f>
        <v>62.389210205466306</v>
      </c>
      <c r="AK32" s="308">
        <f>('Renewable Fuel Ex Ethanol'!AH33*'Renewable Fuel Ex Ethanol'!$I$121*'BD Plant List'!$T449)/1000000</f>
        <v>62.389548033839368</v>
      </c>
      <c r="AL32" s="308">
        <f>('Renewable Fuel Ex Ethanol'!AI33*'Renewable Fuel Ex Ethanol'!$I$121*'BD Plant List'!$T461)/1000000</f>
        <v>62.389394575026706</v>
      </c>
      <c r="AM32" s="308">
        <f>('Renewable Fuel Ex Ethanol'!AJ33*'Renewable Fuel Ex Ethanol'!$I$121*'BD Plant List'!$T473)/1000000</f>
        <v>62.389384271444072</v>
      </c>
      <c r="AN32" s="308">
        <f>('Renewable Fuel Ex Ethanol'!AK33*'Renewable Fuel Ex Ethanol'!$I$121*'BD Plant List'!$T485)/1000000</f>
        <v>62.389442293436637</v>
      </c>
      <c r="AO32" s="308">
        <f>('Renewable Fuel Ex Ethanol'!AL33*'Renewable Fuel Ex Ethanol'!$I$121*'BD Plant List'!$T497)/1000000</f>
        <v>62.389407046635746</v>
      </c>
      <c r="AP32" s="308">
        <f>('Renewable Fuel Ex Ethanol'!AM33*'Renewable Fuel Ex Ethanol'!$I$121*'BD Plant List'!$T509)/1000000</f>
        <v>62.389411203838812</v>
      </c>
    </row>
    <row r="33" spans="1:42" ht="13.5" thickBot="1">
      <c r="A33" s="303" t="s">
        <v>141</v>
      </c>
      <c r="L33" s="307">
        <f t="shared" ref="L33:Q33" si="3">SUM(L21:L32)</f>
        <v>0</v>
      </c>
      <c r="M33" s="307">
        <f t="shared" si="3"/>
        <v>0</v>
      </c>
      <c r="N33" s="307">
        <f t="shared" si="3"/>
        <v>0</v>
      </c>
      <c r="O33" s="307">
        <f t="shared" si="3"/>
        <v>20.100022372917358</v>
      </c>
      <c r="P33" s="307">
        <f t="shared" si="3"/>
        <v>64.246543397429519</v>
      </c>
      <c r="Q33" s="308">
        <f t="shared" si="3"/>
        <v>65.125067463377604</v>
      </c>
      <c r="R33" s="308">
        <f t="shared" ref="R33:Y33" si="4">SUM(R21:R32)</f>
        <v>257.86812771515878</v>
      </c>
      <c r="S33" s="308">
        <f t="shared" si="4"/>
        <v>373.80446969533318</v>
      </c>
      <c r="T33" s="308">
        <f t="shared" si="4"/>
        <v>426.53635096256681</v>
      </c>
      <c r="U33" s="308">
        <f t="shared" si="4"/>
        <v>426.53635096256687</v>
      </c>
      <c r="V33" s="308">
        <f t="shared" si="4"/>
        <v>450.23281490493167</v>
      </c>
      <c r="W33" s="308">
        <f t="shared" si="4"/>
        <v>458.13163621905329</v>
      </c>
      <c r="X33" s="308">
        <f t="shared" si="4"/>
        <v>466.03045753317491</v>
      </c>
      <c r="Y33" s="308">
        <f t="shared" si="4"/>
        <v>473.92927884729659</v>
      </c>
      <c r="Z33" s="308">
        <f>SUM(Z21:Z32)</f>
        <v>481.82810016141815</v>
      </c>
      <c r="AA33" s="308">
        <f>SUM(AA21:AA32)</f>
        <v>489.72692147553971</v>
      </c>
      <c r="AB33" s="308">
        <f>SUM(AB21:AB32)</f>
        <v>493.67633213260052</v>
      </c>
      <c r="AC33" s="308">
        <f t="shared" ref="AC33:AK33" si="5">SUM(AC21:AC32)</f>
        <v>493.67633213260052</v>
      </c>
      <c r="AD33" s="308">
        <f t="shared" si="5"/>
        <v>493.67633213260058</v>
      </c>
      <c r="AE33" s="308">
        <f t="shared" si="5"/>
        <v>493.67633213260052</v>
      </c>
      <c r="AF33" s="308">
        <f t="shared" si="5"/>
        <v>493.67633213260052</v>
      </c>
      <c r="AG33" s="308">
        <f t="shared" si="5"/>
        <v>493.67633213260052</v>
      </c>
      <c r="AH33" s="308">
        <f t="shared" si="5"/>
        <v>493.67633213260052</v>
      </c>
      <c r="AI33" s="308">
        <f t="shared" si="5"/>
        <v>493.67633213260052</v>
      </c>
      <c r="AJ33" s="308">
        <f t="shared" si="5"/>
        <v>493.67633213260058</v>
      </c>
      <c r="AK33" s="308">
        <f t="shared" si="5"/>
        <v>493.67633213260058</v>
      </c>
      <c r="AL33" s="308">
        <f>SUM(AL21:AL32)</f>
        <v>493.67633213260058</v>
      </c>
      <c r="AM33" s="308">
        <f>SUM(AM21:AM32)</f>
        <v>493.67633213260058</v>
      </c>
      <c r="AN33" s="308">
        <f>SUM(AN21:AN32)</f>
        <v>493.67633213260041</v>
      </c>
      <c r="AO33" s="308">
        <f>SUM(AO21:AO32)</f>
        <v>493.67633213260052</v>
      </c>
      <c r="AP33" s="308">
        <f>SUM(AP21:AP32)</f>
        <v>493.67633213260052</v>
      </c>
    </row>
    <row r="34" spans="1:42">
      <c r="A34" s="309"/>
      <c r="B34" s="309"/>
      <c r="C34" s="309"/>
      <c r="D34" s="309"/>
      <c r="E34" s="309"/>
      <c r="F34" s="309"/>
      <c r="G34" s="309"/>
      <c r="H34" s="309"/>
      <c r="I34" s="309"/>
      <c r="J34" s="309"/>
      <c r="K34" s="309"/>
      <c r="L34" s="309"/>
      <c r="M34" s="309"/>
      <c r="N34" s="309"/>
      <c r="O34" s="309"/>
      <c r="P34" s="309"/>
      <c r="Q34" s="309"/>
      <c r="R34" s="309"/>
      <c r="S34" s="309"/>
      <c r="T34" s="309"/>
      <c r="U34" s="309"/>
      <c r="V34" s="309"/>
      <c r="W34" s="309"/>
      <c r="X34" s="309"/>
      <c r="Y34" s="309"/>
      <c r="Z34" s="309"/>
      <c r="AA34" s="309"/>
      <c r="AB34" s="309"/>
      <c r="AC34" s="309"/>
      <c r="AD34" s="309"/>
      <c r="AE34" s="309"/>
      <c r="AF34" s="309"/>
      <c r="AG34" s="309"/>
      <c r="AH34" s="309"/>
      <c r="AI34" s="309"/>
      <c r="AJ34" s="309"/>
      <c r="AK34" s="309"/>
      <c r="AL34" s="309"/>
      <c r="AM34" s="309"/>
      <c r="AN34" s="309"/>
      <c r="AO34" s="309"/>
      <c r="AP34" s="309"/>
    </row>
    <row r="35" spans="1:42">
      <c r="L35" s="310">
        <f>L33+L17-'Annual Diesel Sales'!AC8</f>
        <v>4.5780999997191429E-5</v>
      </c>
      <c r="M35" s="310">
        <f>M33+M17-'Annual Diesel Sales'!AD8</f>
        <v>4.3074200007708896E-5</v>
      </c>
      <c r="N35" s="310">
        <f>N33+N17-'Annual Diesel Sales'!AE8</f>
        <v>3.6919199985163687E-5</v>
      </c>
      <c r="O35" s="310">
        <f>O33+O17-'Annual Diesel Sales'!AF8</f>
        <v>7.4482575471269286</v>
      </c>
      <c r="P35" s="310">
        <f>P33+P17-'Annual Diesel Sales'!AG8</f>
        <v>1.1203039997553788E-4</v>
      </c>
      <c r="Q35" s="310">
        <f>Q33+Q17-'Annual Diesel Sales'!AH8</f>
        <v>1.1356233312653785E-4</v>
      </c>
      <c r="R35" s="310">
        <f>R33+R17-'Annual Diesel Sales'!AI8</f>
        <v>1.4006021069690178E-4</v>
      </c>
      <c r="S35" s="310">
        <f>S33+S17-'Annual Diesel Sales'!AJ8</f>
        <v>1.8359243830445848E-4</v>
      </c>
      <c r="T35" s="310">
        <f>T33+T17-'Annual Diesel Sales'!AK8</f>
        <v>2.0441219942313182E-4</v>
      </c>
      <c r="U35" s="310">
        <f>U33+U17-'Annual Diesel Sales'!AL8</f>
        <v>2.0441219953681866E-4</v>
      </c>
      <c r="V35" s="310">
        <f>V33+V17-'Annual Diesel Sales'!AM8</f>
        <v>2.1576843289494718E-4</v>
      </c>
      <c r="W35" s="310">
        <f>W33+W17-'Annual Diesel Sales'!AN8</f>
        <v>2.1955384386274091E-4</v>
      </c>
      <c r="X35" s="310">
        <f>X33+X17-'Annual Diesel Sales'!AO8</f>
        <v>2.2333925483053463E-4</v>
      </c>
      <c r="Y35" s="310">
        <f>Y33+Y17-'Annual Diesel Sales'!AP8</f>
        <v>2.2712466613938886E-4</v>
      </c>
      <c r="Z35" s="310">
        <f>Z33+Z17-'Annual Diesel Sales'!AQ8</f>
        <v>2.3091007710718259E-4</v>
      </c>
      <c r="AA35" s="310">
        <f>AA33+AA17-'Annual Diesel Sales'!AR8</f>
        <v>2.3469548818866315E-4</v>
      </c>
      <c r="AB35" s="310">
        <f>AB33+AB17-'Annual Diesel Sales'!AS8</f>
        <v>2.3658819372940343E-4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5F36-5BAC-4851-80BB-F743CEBAFBFB}">
  <dimension ref="A1:BG89"/>
  <sheetViews>
    <sheetView zoomScale="85" zoomScaleNormal="85" workbookViewId="0">
      <pane xSplit="1" ySplit="2" topLeftCell="AH55" activePane="bottomRight" state="frozen"/>
      <selection activeCell="A7" sqref="A7"/>
      <selection pane="topRight" activeCell="A7" sqref="A7"/>
      <selection pane="bottomLeft" activeCell="A7" sqref="A7"/>
      <selection pane="bottomRight" activeCell="A7" sqref="A7"/>
    </sheetView>
  </sheetViews>
  <sheetFormatPr defaultRowHeight="15.75"/>
  <cols>
    <col min="1" max="1" width="50" customWidth="1"/>
    <col min="2" max="30" width="11.6640625" style="320" customWidth="1"/>
    <col min="31" max="59" width="11.6640625" style="325" customWidth="1"/>
  </cols>
  <sheetData>
    <row r="1" spans="1:59" ht="18">
      <c r="A1" s="311" t="s">
        <v>382</v>
      </c>
      <c r="B1" s="312"/>
      <c r="C1" s="312"/>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2"/>
      <c r="AO1" s="312"/>
      <c r="AP1" s="312"/>
      <c r="AQ1" s="312"/>
      <c r="AR1" s="312"/>
      <c r="AS1" s="312"/>
      <c r="AT1" s="312"/>
      <c r="AU1" s="312"/>
      <c r="AV1" s="312"/>
      <c r="AW1" s="312"/>
      <c r="AX1" s="312"/>
      <c r="AY1" s="312"/>
      <c r="AZ1" s="312"/>
      <c r="BA1" s="312"/>
      <c r="BB1" s="312"/>
      <c r="BC1" s="312"/>
      <c r="BD1" s="312"/>
      <c r="BE1" s="312"/>
      <c r="BF1" s="312"/>
      <c r="BG1" s="312"/>
    </row>
    <row r="2" spans="1:59" thickBot="1">
      <c r="A2" s="313"/>
      <c r="B2" s="314">
        <v>1993</v>
      </c>
      <c r="C2" s="314">
        <v>1994</v>
      </c>
      <c r="D2" s="314">
        <v>1995</v>
      </c>
      <c r="E2" s="314">
        <v>1996</v>
      </c>
      <c r="F2" s="314">
        <v>1997</v>
      </c>
      <c r="G2" s="314">
        <v>1998</v>
      </c>
      <c r="H2" s="314">
        <v>1999</v>
      </c>
      <c r="I2" s="314">
        <v>2000</v>
      </c>
      <c r="J2" s="314">
        <v>2001</v>
      </c>
      <c r="K2" s="314">
        <v>2002</v>
      </c>
      <c r="L2" s="314">
        <v>2003</v>
      </c>
      <c r="M2" s="314">
        <v>2004</v>
      </c>
      <c r="N2" s="314">
        <v>2005</v>
      </c>
      <c r="O2" s="314">
        <v>2006</v>
      </c>
      <c r="P2" s="314">
        <v>2007</v>
      </c>
      <c r="Q2" s="314">
        <v>2008</v>
      </c>
      <c r="R2" s="314">
        <v>2009</v>
      </c>
      <c r="S2" s="314">
        <v>2010</v>
      </c>
      <c r="T2" s="314">
        <v>2011</v>
      </c>
      <c r="U2" s="314">
        <v>2012</v>
      </c>
      <c r="V2" s="314">
        <v>2013</v>
      </c>
      <c r="W2" s="314">
        <v>2014</v>
      </c>
      <c r="X2" s="314">
        <v>2015</v>
      </c>
      <c r="Y2" s="314">
        <v>2016</v>
      </c>
      <c r="Z2" s="314">
        <v>2017</v>
      </c>
      <c r="AA2" s="314">
        <v>2018</v>
      </c>
      <c r="AB2" s="314">
        <v>2019</v>
      </c>
      <c r="AC2" s="314">
        <v>2020</v>
      </c>
      <c r="AD2" s="314">
        <v>2021</v>
      </c>
      <c r="AE2" s="314">
        <v>2022</v>
      </c>
      <c r="AF2" s="314">
        <v>2023</v>
      </c>
      <c r="AG2" s="314">
        <v>2024</v>
      </c>
      <c r="AH2" s="314">
        <v>2025</v>
      </c>
      <c r="AI2" s="314">
        <v>2026</v>
      </c>
      <c r="AJ2" s="314">
        <v>2027</v>
      </c>
      <c r="AK2" s="314">
        <v>2028</v>
      </c>
      <c r="AL2" s="314">
        <v>2029</v>
      </c>
      <c r="AM2" s="314">
        <v>2030</v>
      </c>
      <c r="AN2" s="314">
        <v>2031</v>
      </c>
      <c r="AO2" s="314">
        <v>2032</v>
      </c>
      <c r="AP2" s="314">
        <v>2033</v>
      </c>
      <c r="AQ2" s="314">
        <v>2034</v>
      </c>
      <c r="AR2" s="314">
        <v>2035</v>
      </c>
      <c r="AS2" s="314">
        <v>2036</v>
      </c>
      <c r="AT2" s="314">
        <v>2037</v>
      </c>
      <c r="AU2" s="314">
        <v>2038</v>
      </c>
      <c r="AV2" s="314">
        <v>2039</v>
      </c>
      <c r="AW2" s="314">
        <v>2040</v>
      </c>
      <c r="AX2" s="314">
        <v>2041</v>
      </c>
      <c r="AY2" s="314">
        <v>2042</v>
      </c>
      <c r="AZ2" s="314">
        <v>2043</v>
      </c>
      <c r="BA2" s="314">
        <v>2044</v>
      </c>
      <c r="BB2" s="314">
        <v>2045</v>
      </c>
      <c r="BC2" s="314">
        <v>2046</v>
      </c>
      <c r="BD2" s="314">
        <v>2047</v>
      </c>
      <c r="BE2" s="314">
        <v>2048</v>
      </c>
      <c r="BF2" s="314">
        <v>2049</v>
      </c>
      <c r="BG2" s="314">
        <v>2050</v>
      </c>
    </row>
    <row r="3" spans="1:59" ht="18">
      <c r="A3" s="315" t="s">
        <v>383</v>
      </c>
      <c r="B3" s="316">
        <f>'[5]Fuel Data'!B$5/'[5]Fuel Data'!$B$191/1000</f>
        <v>2377.6906596643425</v>
      </c>
      <c r="C3" s="316">
        <f>'[5]Fuel Data'!C$5/'[5]Fuel Data'!$B$191/1000</f>
        <v>2624.9082662115861</v>
      </c>
      <c r="D3" s="316">
        <f>'[5]Fuel Data'!D$5/'[5]Fuel Data'!$B$191/1000</f>
        <v>2782.675324469476</v>
      </c>
      <c r="E3" s="316">
        <f>'[5]Fuel Data'!E$5/'[5]Fuel Data'!$B$191/1000</f>
        <v>2931.570952684121</v>
      </c>
      <c r="F3" s="316">
        <f>'[5]Fuel Data'!F$5/'[5]Fuel Data'!$B$191/1000</f>
        <v>3220.0488190182832</v>
      </c>
      <c r="G3" s="316">
        <f>'[5]Fuel Data'!G$5/'[5]Fuel Data'!$B$191/1000</f>
        <v>3201.0949936730763</v>
      </c>
      <c r="H3" s="316">
        <f>'[5]Fuel Data'!H$5/'[5]Fuel Data'!$B$191/1000</f>
        <v>3391.5287908046948</v>
      </c>
      <c r="I3" s="316">
        <f>'[5]Fuel Data'!I$5/'[5]Fuel Data'!$B$191/1000</f>
        <v>3481.7084543021761</v>
      </c>
      <c r="J3" s="316">
        <f>'[5]Fuel Data'!J$5/'[5]Fuel Data'!$B$191/1000</f>
        <v>3523.0915541513332</v>
      </c>
      <c r="K3" s="316">
        <f>'[5]Fuel Data'!K$5/'[5]Fuel Data'!$B$191/1000</f>
        <v>3629.1043770687979</v>
      </c>
      <c r="L3" s="316">
        <f>'[5]Fuel Data'!L$5/'[5]Fuel Data'!$B$191/1000</f>
        <v>3888.7819285097253</v>
      </c>
      <c r="M3" s="316">
        <f>'[5]Fuel Data'!M$5/'[5]Fuel Data'!$B$191/1000</f>
        <v>4139.8802243350128</v>
      </c>
      <c r="N3" s="316">
        <f>'[5]Fuel Data'!N$5/'[5]Fuel Data'!$B$191/1000</f>
        <v>4283.9269722434292</v>
      </c>
      <c r="O3" s="316">
        <f>'[5]Fuel Data'!O$5/'[5]Fuel Data'!$B$191/1000</f>
        <v>4388.3803868009009</v>
      </c>
      <c r="P3" s="316">
        <f>'[5]Fuel Data'!P$5/'[5]Fuel Data'!$B$191/1000</f>
        <v>4526.1852745145179</v>
      </c>
      <c r="Q3" s="316">
        <f>'[5]Fuel Data'!Q$5/'[5]Fuel Data'!$B$191/1000</f>
        <v>4373.4551871527783</v>
      </c>
      <c r="R3" s="316">
        <f>'[5]Fuel Data'!R$5/'[5]Fuel Data'!$B$191/1000</f>
        <v>4276.5232828148073</v>
      </c>
      <c r="S3" s="316">
        <f>'[5]Fuel Data'!S$5/'[5]Fuel Data'!$B$191/1000</f>
        <v>4432.4149827891824</v>
      </c>
      <c r="T3" s="316">
        <f>'[5]Fuel Data'!T$5/'[5]Fuel Data'!$B$191/1000</f>
        <v>4701.6074876961811</v>
      </c>
      <c r="U3" s="316">
        <f>'[5]Fuel Data'!U$5/'[5]Fuel Data'!$B$191/1000</f>
        <v>4611.2970589711549</v>
      </c>
      <c r="V3" s="316">
        <f>'[5]Fuel Data'!V$5/'[5]Fuel Data'!$B$191/1000</f>
        <v>4726.8919350876131</v>
      </c>
      <c r="W3" s="316">
        <f>'[5]Fuel Data'!W$5/'[5]Fuel Data'!$B$191/1000</f>
        <v>4786.44585394977</v>
      </c>
      <c r="X3" s="316">
        <f>'[5]Fuel Data'!X$5/'[5]Fuel Data'!$B$191/1000</f>
        <v>4753.4824497214304</v>
      </c>
      <c r="Y3" s="316">
        <f>'[5]Fuel Data'!Y$5/'[5]Fuel Data'!$B$191/1000</f>
        <v>4496.0067733746146</v>
      </c>
      <c r="Z3" s="316">
        <f>'[5]Fuel Data'!Z$5/'[5]Fuel Data'!$B$191/1000</f>
        <v>4770.0328366015829</v>
      </c>
      <c r="AA3" s="316">
        <f>'[5]Fuel Data'!AA$5/'[5]Fuel Data'!$B$191/1000</f>
        <v>4823.0754396485454</v>
      </c>
      <c r="AB3" s="316">
        <f>'[5]Fuel Data'!AB$5/'[5]Fuel Data'!$B$191/1000</f>
        <v>4711.9263170964305</v>
      </c>
      <c r="AC3" s="316">
        <f>'[5]Fuel Data'!AC$5/'[5]Fuel Data'!$B$191/1000</f>
        <v>4285.5872943749819</v>
      </c>
      <c r="AD3" s="316">
        <f>'[5]Fuel Data'!AD$5/'[5]Fuel Data'!$B$191/1000</f>
        <v>4724.9814419045751</v>
      </c>
      <c r="AE3" s="317">
        <f>AD3+(AD3*'[2]Canadian GDP'!$E$5)</f>
        <v>4803.5538505175136</v>
      </c>
      <c r="AF3" s="317">
        <f>AE3+(AE3*'[2]Canadian GDP'!$E$6)</f>
        <v>4870.7727931689287</v>
      </c>
      <c r="AG3" s="317">
        <f>AF3+(AF3*'[2]Canadian GDP'!$E$7)</f>
        <v>4935.9285923866391</v>
      </c>
      <c r="AH3" s="317">
        <f>AG3+(AG3*'[2]Canadian GDP'!$E$8)</f>
        <v>4999.1818521505138</v>
      </c>
      <c r="AI3" s="317">
        <f>AH3+(AH3*'[2]Canadian GDP'!$E$9)</f>
        <v>5060.9896760955662</v>
      </c>
      <c r="AJ3" s="317">
        <f>AI3+(AI3*'[2]Canadian GDP'!$E$10)</f>
        <v>5121.3397100694974</v>
      </c>
      <c r="AK3" s="317">
        <f>AJ3+(AJ3*'[2]Canadian GDP'!$E$11)</f>
        <v>5180.17018331082</v>
      </c>
      <c r="AL3" s="317">
        <f>AK3+(AK3*'[2]Canadian GDP'!$E$12)</f>
        <v>5237.4193250580465</v>
      </c>
      <c r="AM3" s="317">
        <f>AL3+(AL3*'[2]Canadian GDP'!$E$13)</f>
        <v>5293.0130103973897</v>
      </c>
      <c r="AN3" s="317">
        <f>AM3+(AM3*'[2]Canadian GDP'!$E$14)</f>
        <v>5346.8771144150651</v>
      </c>
      <c r="AO3" s="317">
        <f>AN3+(AN3*'[2]Canadian GDP'!$E$15)</f>
        <v>5398.9622205018804</v>
      </c>
      <c r="AP3" s="317">
        <f>AO3+(AO3*'[2]Canadian GDP'!$E$15)</f>
        <v>5451.554699063885</v>
      </c>
      <c r="AQ3" s="317">
        <f>AP3+(AP3*'[2]Canadian GDP'!$E$15)</f>
        <v>5504.6594925279633</v>
      </c>
      <c r="AR3" s="317">
        <f>AQ3+(AQ3*'[2]Canadian GDP'!$E$15)</f>
        <v>5558.2815914662669</v>
      </c>
      <c r="AS3" s="317">
        <f>AR3+(AR3*'[2]Canadian GDP'!$E$15)</f>
        <v>5612.4260350652075</v>
      </c>
      <c r="AT3" s="317">
        <f>AS3+(AS3*'[2]Canadian GDP'!$E$15)</f>
        <v>5667.0979115990212</v>
      </c>
      <c r="AU3" s="317">
        <f>AT3+(AT3*'[2]Canadian GDP'!$E$15)</f>
        <v>5722.302358907943</v>
      </c>
      <c r="AV3" s="317">
        <f>AU3+(AU3*'[2]Canadian GDP'!$E$15)</f>
        <v>5778.0445648810382</v>
      </c>
      <c r="AW3" s="317">
        <f>AV3+(AV3*'[2]Canadian GDP'!$E$15)</f>
        <v>5834.3297679437419</v>
      </c>
      <c r="AX3" s="317">
        <f>AW3+(AW3*'[2]Canadian GDP'!$E$15)</f>
        <v>5891.1632575501435</v>
      </c>
      <c r="AY3" s="317">
        <f>AX3+(AX3*'[2]Canadian GDP'!$E$15)</f>
        <v>5948.5503746800678</v>
      </c>
      <c r="AZ3" s="317">
        <f>AY3+(AY3*'[2]Canadian GDP'!$E$15)</f>
        <v>6006.4965123409984</v>
      </c>
      <c r="BA3" s="317">
        <f>AZ3+(AZ3*'[2]Canadian GDP'!$E$15)</f>
        <v>6065.007116074893</v>
      </c>
      <c r="BB3" s="317">
        <f>BA3+(BA3*'[2]Canadian GDP'!$E$15)</f>
        <v>6124.0876844699287</v>
      </c>
      <c r="BC3" s="317">
        <f>BB3+(BB3*'[2]Canadian GDP'!$E$15)</f>
        <v>6183.7437696772413</v>
      </c>
      <c r="BD3" s="317">
        <f>BC3+(BC3*'[2]Canadian GDP'!$E$15)</f>
        <v>6243.9809779326915</v>
      </c>
      <c r="BE3" s="317">
        <f>BD3+(BD3*'[2]Canadian GDP'!$E$15)</f>
        <v>6304.8049700837173</v>
      </c>
      <c r="BF3" s="317">
        <f>BE3+(BE3*'[2]Canadian GDP'!$E$15)</f>
        <v>6366.2214621213161</v>
      </c>
      <c r="BG3" s="317">
        <f>BF3+(BF3*'[2]Canadian GDP'!$E$15)</f>
        <v>6428.2362257172108</v>
      </c>
    </row>
    <row r="4" spans="1:59" ht="15">
      <c r="A4" s="318" t="s">
        <v>384</v>
      </c>
      <c r="B4" s="319"/>
      <c r="C4" s="319"/>
      <c r="D4" s="319"/>
      <c r="E4" s="319"/>
      <c r="F4" s="319"/>
      <c r="G4" s="319"/>
      <c r="H4" s="319"/>
      <c r="I4" s="319"/>
      <c r="J4" s="319"/>
      <c r="K4" s="319"/>
      <c r="L4" s="319"/>
      <c r="M4" s="319"/>
      <c r="N4" s="319"/>
      <c r="O4" s="319"/>
      <c r="P4" s="319"/>
      <c r="Q4" s="316">
        <f t="shared" ref="Q4:AC4" si="0">Q75+Q81+Q87</f>
        <v>46.733378947062533</v>
      </c>
      <c r="R4" s="316">
        <f t="shared" si="0"/>
        <v>42.056474727968698</v>
      </c>
      <c r="S4" s="316">
        <f t="shared" si="0"/>
        <v>35.356011634142668</v>
      </c>
      <c r="T4" s="316">
        <f t="shared" si="0"/>
        <v>49.521187929444892</v>
      </c>
      <c r="U4" s="316">
        <f t="shared" si="0"/>
        <v>49.712976929843791</v>
      </c>
      <c r="V4" s="316">
        <f t="shared" si="0"/>
        <v>39.970571219498019</v>
      </c>
      <c r="W4" s="316">
        <f t="shared" si="0"/>
        <v>45.06064072319775</v>
      </c>
      <c r="X4" s="316">
        <f t="shared" si="0"/>
        <v>49.457786606998972</v>
      </c>
      <c r="Y4" s="316">
        <f t="shared" si="0"/>
        <v>54.578500083214237</v>
      </c>
      <c r="Z4" s="316">
        <f t="shared" si="0"/>
        <v>55.031555366525687</v>
      </c>
      <c r="AA4" s="316">
        <f t="shared" si="0"/>
        <v>55.597147997178631</v>
      </c>
      <c r="AB4" s="316">
        <f t="shared" si="0"/>
        <v>50.156257842611502</v>
      </c>
      <c r="AC4" s="316">
        <f t="shared" si="0"/>
        <v>45.318472767811144</v>
      </c>
      <c r="AD4" s="316">
        <f>AD75+AD81+AD87</f>
        <v>53.024639338935543</v>
      </c>
      <c r="AE4" s="317">
        <f>AE75+AE81+AE87</f>
        <v>53.906393834676628</v>
      </c>
      <c r="AF4" s="317">
        <f t="shared" ref="AF4:BG4" si="1">AF75+AF81+AF87</f>
        <v>54.660737578595999</v>
      </c>
      <c r="AG4" s="317">
        <f t="shared" si="1"/>
        <v>55.391928334969968</v>
      </c>
      <c r="AH4" s="317">
        <f t="shared" si="1"/>
        <v>56.101768432170338</v>
      </c>
      <c r="AI4" s="317">
        <f t="shared" si="1"/>
        <v>56.795387574024531</v>
      </c>
      <c r="AJ4" s="317">
        <f t="shared" si="1"/>
        <v>57.472647119888549</v>
      </c>
      <c r="AK4" s="317">
        <f t="shared" si="1"/>
        <v>58.132853866542476</v>
      </c>
      <c r="AL4" s="317">
        <f t="shared" si="1"/>
        <v>58.775314610766408</v>
      </c>
      <c r="AM4" s="317">
        <f t="shared" si="1"/>
        <v>59.399197508696425</v>
      </c>
      <c r="AN4" s="317">
        <f t="shared" si="1"/>
        <v>60.003670716468612</v>
      </c>
      <c r="AO4" s="317">
        <f t="shared" si="1"/>
        <v>60.588179671507035</v>
      </c>
      <c r="AP4" s="317">
        <f t="shared" si="1"/>
        <v>61.159240484078971</v>
      </c>
      <c r="AQ4" s="317">
        <f t="shared" si="1"/>
        <v>61.716159950964489</v>
      </c>
      <c r="AR4" s="317">
        <f t="shared" si="1"/>
        <v>62.259076712807591</v>
      </c>
      <c r="AS4" s="317">
        <f t="shared" si="1"/>
        <v>62.788545332184185</v>
      </c>
      <c r="AT4" s="317">
        <f t="shared" si="1"/>
        <v>63.304981731026253</v>
      </c>
      <c r="AU4" s="317">
        <f t="shared" si="1"/>
        <v>63.809772315773628</v>
      </c>
      <c r="AV4" s="317">
        <f t="shared" si="1"/>
        <v>64.304580774154104</v>
      </c>
      <c r="AW4" s="317">
        <f t="shared" si="1"/>
        <v>64.790932153251561</v>
      </c>
      <c r="AX4" s="317">
        <f t="shared" si="1"/>
        <v>65.280961927590866</v>
      </c>
      <c r="AY4" s="317">
        <f t="shared" si="1"/>
        <v>65.774697917781069</v>
      </c>
      <c r="AZ4" s="317">
        <f t="shared" si="1"/>
        <v>66.272168154845247</v>
      </c>
      <c r="BA4" s="317">
        <f t="shared" si="1"/>
        <v>66.773400881812051</v>
      </c>
      <c r="BB4" s="317">
        <f t="shared" si="1"/>
        <v>67.278424555319134</v>
      </c>
      <c r="BC4" s="317">
        <f t="shared" si="1"/>
        <v>67.787267847228662</v>
      </c>
      <c r="BD4" s="317">
        <f t="shared" si="1"/>
        <v>68.299959646255189</v>
      </c>
      <c r="BE4" s="317">
        <f t="shared" si="1"/>
        <v>68.816529059605713</v>
      </c>
      <c r="BF4" s="317">
        <f t="shared" si="1"/>
        <v>69.337005414632216</v>
      </c>
      <c r="BG4" s="317">
        <f t="shared" si="1"/>
        <v>69.861418260496649</v>
      </c>
    </row>
    <row r="5" spans="1:59" ht="15">
      <c r="A5" s="318" t="s">
        <v>385</v>
      </c>
      <c r="B5" s="319"/>
      <c r="C5" s="319"/>
      <c r="D5" s="319"/>
      <c r="E5" s="319"/>
      <c r="F5" s="319"/>
      <c r="G5" s="319"/>
      <c r="H5" s="319"/>
      <c r="I5" s="319"/>
      <c r="J5" s="319"/>
      <c r="K5" s="319"/>
      <c r="L5" s="319"/>
      <c r="M5" s="319"/>
      <c r="N5" s="319"/>
      <c r="O5" s="319"/>
      <c r="P5" s="319"/>
      <c r="Q5" s="316">
        <f t="shared" ref="Q5:AC5" si="2">Q3-Q4</f>
        <v>4326.7218082057161</v>
      </c>
      <c r="R5" s="316">
        <f t="shared" si="2"/>
        <v>4234.4668080868387</v>
      </c>
      <c r="S5" s="316">
        <f t="shared" si="2"/>
        <v>4397.0589711550401</v>
      </c>
      <c r="T5" s="316">
        <f t="shared" si="2"/>
        <v>4652.0862997667364</v>
      </c>
      <c r="U5" s="316">
        <f t="shared" si="2"/>
        <v>4561.5840820413114</v>
      </c>
      <c r="V5" s="316">
        <f t="shared" si="2"/>
        <v>4686.9213638681149</v>
      </c>
      <c r="W5" s="316">
        <f t="shared" si="2"/>
        <v>4741.385213226572</v>
      </c>
      <c r="X5" s="316">
        <f t="shared" si="2"/>
        <v>4704.0246631144319</v>
      </c>
      <c r="Y5" s="316">
        <f t="shared" si="2"/>
        <v>4441.4282732914007</v>
      </c>
      <c r="Z5" s="316">
        <f t="shared" si="2"/>
        <v>4715.0012812350569</v>
      </c>
      <c r="AA5" s="316">
        <f t="shared" si="2"/>
        <v>4767.4782916513668</v>
      </c>
      <c r="AB5" s="316">
        <f t="shared" si="2"/>
        <v>4661.7700592538185</v>
      </c>
      <c r="AC5" s="316">
        <f t="shared" si="2"/>
        <v>4240.268821607171</v>
      </c>
      <c r="AD5" s="316">
        <f>AD3-AD4</f>
        <v>4671.9568025656399</v>
      </c>
      <c r="AE5" s="317">
        <f>AE3-AE4</f>
        <v>4749.6474566828374</v>
      </c>
      <c r="AF5" s="317">
        <f t="shared" ref="AF5:BG5" si="3">AF3-AF4</f>
        <v>4816.1120555903326</v>
      </c>
      <c r="AG5" s="317">
        <f t="shared" si="3"/>
        <v>4880.5366640516695</v>
      </c>
      <c r="AH5" s="317">
        <f t="shared" si="3"/>
        <v>4943.0800837183433</v>
      </c>
      <c r="AI5" s="317">
        <f t="shared" si="3"/>
        <v>5004.1942885215412</v>
      </c>
      <c r="AJ5" s="317">
        <f t="shared" si="3"/>
        <v>5063.8670629496091</v>
      </c>
      <c r="AK5" s="317">
        <f t="shared" si="3"/>
        <v>5122.0373294442779</v>
      </c>
      <c r="AL5" s="317">
        <f t="shared" si="3"/>
        <v>5178.6440104472804</v>
      </c>
      <c r="AM5" s="317">
        <f t="shared" si="3"/>
        <v>5233.6138128886932</v>
      </c>
      <c r="AN5" s="317">
        <f t="shared" si="3"/>
        <v>5286.873443698596</v>
      </c>
      <c r="AO5" s="317">
        <f t="shared" si="3"/>
        <v>5338.3740408303738</v>
      </c>
      <c r="AP5" s="317">
        <f t="shared" si="3"/>
        <v>5390.3954585798056</v>
      </c>
      <c r="AQ5" s="317">
        <f t="shared" si="3"/>
        <v>5442.9433325769987</v>
      </c>
      <c r="AR5" s="317">
        <f t="shared" si="3"/>
        <v>5496.0225147534593</v>
      </c>
      <c r="AS5" s="317">
        <f t="shared" si="3"/>
        <v>5549.6374897330234</v>
      </c>
      <c r="AT5" s="317">
        <f t="shared" si="3"/>
        <v>5603.7929298679946</v>
      </c>
      <c r="AU5" s="317">
        <f t="shared" si="3"/>
        <v>5658.4925865921696</v>
      </c>
      <c r="AV5" s="317">
        <f t="shared" si="3"/>
        <v>5713.7399841068845</v>
      </c>
      <c r="AW5" s="317">
        <f t="shared" si="3"/>
        <v>5769.5388357904903</v>
      </c>
      <c r="AX5" s="317">
        <f t="shared" si="3"/>
        <v>5825.8822956225522</v>
      </c>
      <c r="AY5" s="317">
        <f t="shared" si="3"/>
        <v>5882.7756767622868</v>
      </c>
      <c r="AZ5" s="317">
        <f t="shared" si="3"/>
        <v>5940.2243441861528</v>
      </c>
      <c r="BA5" s="317">
        <f t="shared" si="3"/>
        <v>5998.2337151930806</v>
      </c>
      <c r="BB5" s="317">
        <f t="shared" si="3"/>
        <v>6056.8092599146094</v>
      </c>
      <c r="BC5" s="317">
        <f t="shared" si="3"/>
        <v>6115.9565018300127</v>
      </c>
      <c r="BD5" s="317">
        <f t="shared" si="3"/>
        <v>6175.6810182864365</v>
      </c>
      <c r="BE5" s="317">
        <f t="shared" si="3"/>
        <v>6235.988441024112</v>
      </c>
      <c r="BF5" s="317">
        <f t="shared" si="3"/>
        <v>6296.8844567066835</v>
      </c>
      <c r="BG5" s="317">
        <f t="shared" si="3"/>
        <v>6358.3748074567138</v>
      </c>
    </row>
    <row r="6" spans="1:59" ht="15">
      <c r="A6" s="318" t="s">
        <v>386</v>
      </c>
      <c r="AC6" s="317">
        <f>AC17+AC23+AC29+AC35+AC41+AC47+AC53+AC59+AC65+AC71+AC77+AC83+AC89</f>
        <v>54.76134949714826</v>
      </c>
      <c r="AD6" s="317">
        <f>AD17+AD23+AD29+AD35+AD41+AD47+AD53+AD59+AD65+AD71+AD77+AD83+AD89</f>
        <v>69.225352075468706</v>
      </c>
      <c r="AE6" s="317">
        <f>AE17+AE23+AE29+AE35+AE41+AE47+AE53+AE59+AE65+AE71+AE77+AE83+AE89</f>
        <v>46.844277565494082</v>
      </c>
      <c r="AF6" s="317">
        <f t="shared" ref="AF6:BG6" si="4">AF17+AF23+AF29+AF35+AF41+AF47+AF53+AF59+AF65+AF71+AF77+AF83+AF89</f>
        <v>57.408476696564655</v>
      </c>
      <c r="AG6" s="317">
        <f t="shared" si="4"/>
        <v>58.20864921409165</v>
      </c>
      <c r="AH6" s="317">
        <f t="shared" si="4"/>
        <v>58.993008191250382</v>
      </c>
      <c r="AI6" s="317">
        <f t="shared" si="4"/>
        <v>59.766056869033584</v>
      </c>
      <c r="AJ6" s="317">
        <f t="shared" si="4"/>
        <v>60.527721091794035</v>
      </c>
      <c r="AK6" s="317">
        <f t="shared" si="4"/>
        <v>61.277445563198626</v>
      </c>
      <c r="AL6" s="317">
        <f t="shared" si="4"/>
        <v>62.014675770020602</v>
      </c>
      <c r="AM6" s="317">
        <f t="shared" si="4"/>
        <v>140.58750252931901</v>
      </c>
      <c r="AN6" s="317">
        <f t="shared" si="4"/>
        <v>142.59228095013353</v>
      </c>
      <c r="AO6" s="317">
        <f t="shared" si="4"/>
        <v>144.6043133221433</v>
      </c>
      <c r="AP6" s="317">
        <f t="shared" si="4"/>
        <v>146.62967122207397</v>
      </c>
      <c r="AQ6" s="317">
        <f t="shared" si="4"/>
        <v>148.66816818723504</v>
      </c>
      <c r="AR6" s="317">
        <f t="shared" si="4"/>
        <v>150.72034753790547</v>
      </c>
      <c r="AS6" s="317">
        <f t="shared" si="4"/>
        <v>152.78712105911151</v>
      </c>
      <c r="AT6" s="317">
        <f t="shared" si="4"/>
        <v>154.86928720657241</v>
      </c>
      <c r="AU6" s="317">
        <f t="shared" si="4"/>
        <v>156.96849504753817</v>
      </c>
      <c r="AV6" s="317">
        <f t="shared" si="4"/>
        <v>159.08664199291022</v>
      </c>
      <c r="AW6" s="317">
        <f t="shared" si="4"/>
        <v>161.22551248686329</v>
      </c>
      <c r="AX6" s="317">
        <f t="shared" si="4"/>
        <v>163.39611899640369</v>
      </c>
      <c r="AY6" s="317">
        <f t="shared" si="4"/>
        <v>165.5989602852373</v>
      </c>
      <c r="AZ6" s="317">
        <f t="shared" si="4"/>
        <v>167.83454319190815</v>
      </c>
      <c r="BA6" s="317">
        <f t="shared" si="4"/>
        <v>170.10338276241873</v>
      </c>
      <c r="BB6" s="317">
        <f t="shared" si="4"/>
        <v>172.40600238504246</v>
      </c>
      <c r="BC6" s="317">
        <f t="shared" si="4"/>
        <v>174.74293392736598</v>
      </c>
      <c r="BD6" s="317">
        <f t="shared" si="4"/>
        <v>177.11471787559705</v>
      </c>
      <c r="BE6" s="317">
        <f t="shared" si="4"/>
        <v>179.52190347617676</v>
      </c>
      <c r="BF6" s="317">
        <f t="shared" si="4"/>
        <v>181.96504887973302</v>
      </c>
      <c r="BG6" s="317">
        <f t="shared" si="4"/>
        <v>184.44472128741566</v>
      </c>
    </row>
    <row r="7" spans="1:59" ht="15">
      <c r="A7" s="318" t="s">
        <v>387</v>
      </c>
      <c r="AC7" s="317">
        <f>(AC5*0.02)+AC6</f>
        <v>139.56672592929169</v>
      </c>
      <c r="AD7" s="317">
        <f>(AD5*0.02)+AD6</f>
        <v>162.66448812678152</v>
      </c>
      <c r="AE7" s="317">
        <f t="shared" ref="AE7:BG7" si="5">(AE5*0.02)+AE6</f>
        <v>141.83722669915085</v>
      </c>
      <c r="AF7" s="317">
        <f t="shared" si="5"/>
        <v>153.73071780837131</v>
      </c>
      <c r="AG7" s="317">
        <f t="shared" si="5"/>
        <v>155.81938249512504</v>
      </c>
      <c r="AH7" s="317">
        <f t="shared" si="5"/>
        <v>157.85460986561725</v>
      </c>
      <c r="AI7" s="317">
        <f t="shared" si="5"/>
        <v>159.84994263946442</v>
      </c>
      <c r="AJ7" s="317">
        <f t="shared" si="5"/>
        <v>161.80506235078622</v>
      </c>
      <c r="AK7" s="317">
        <f t="shared" si="5"/>
        <v>163.71819215208419</v>
      </c>
      <c r="AL7" s="317">
        <f t="shared" si="5"/>
        <v>165.58755597896621</v>
      </c>
      <c r="AM7" s="317">
        <f t="shared" si="5"/>
        <v>245.2597787870929</v>
      </c>
      <c r="AN7" s="317">
        <f t="shared" si="5"/>
        <v>248.32974982410545</v>
      </c>
      <c r="AO7" s="317">
        <f t="shared" si="5"/>
        <v>251.37179413875077</v>
      </c>
      <c r="AP7" s="317">
        <f t="shared" si="5"/>
        <v>254.43758039367009</v>
      </c>
      <c r="AQ7" s="317">
        <f t="shared" si="5"/>
        <v>257.52703483877502</v>
      </c>
      <c r="AR7" s="317">
        <f t="shared" si="5"/>
        <v>260.64079783297467</v>
      </c>
      <c r="AS7" s="317">
        <f t="shared" si="5"/>
        <v>263.77987085377197</v>
      </c>
      <c r="AT7" s="317">
        <f t="shared" si="5"/>
        <v>266.94514580393229</v>
      </c>
      <c r="AU7" s="317">
        <f t="shared" si="5"/>
        <v>270.13834677938155</v>
      </c>
      <c r="AV7" s="317">
        <f t="shared" si="5"/>
        <v>273.3614416750479</v>
      </c>
      <c r="AW7" s="317">
        <f t="shared" si="5"/>
        <v>276.6162892026731</v>
      </c>
      <c r="AX7" s="317">
        <f t="shared" si="5"/>
        <v>279.91376490885472</v>
      </c>
      <c r="AY7" s="317">
        <f t="shared" si="5"/>
        <v>283.25447382048304</v>
      </c>
      <c r="AZ7" s="317">
        <f t="shared" si="5"/>
        <v>286.63903007563124</v>
      </c>
      <c r="BA7" s="317">
        <f t="shared" si="5"/>
        <v>290.06805706628035</v>
      </c>
      <c r="BB7" s="317">
        <f t="shared" si="5"/>
        <v>293.54218758333468</v>
      </c>
      <c r="BC7" s="317">
        <f t="shared" si="5"/>
        <v>297.06206396396624</v>
      </c>
      <c r="BD7" s="317">
        <f t="shared" si="5"/>
        <v>300.62833824132576</v>
      </c>
      <c r="BE7" s="317">
        <f t="shared" si="5"/>
        <v>304.24167229665898</v>
      </c>
      <c r="BF7" s="317">
        <f t="shared" si="5"/>
        <v>307.90273801386672</v>
      </c>
      <c r="BG7" s="317">
        <f t="shared" si="5"/>
        <v>311.61221743654994</v>
      </c>
    </row>
    <row r="8" spans="1:59" ht="15">
      <c r="A8" s="318" t="s">
        <v>388</v>
      </c>
      <c r="S8" s="321">
        <f>137/'[5]Fuel Data'!$B$191</f>
        <v>36.191588229544486</v>
      </c>
      <c r="T8" s="321">
        <f>119/'[5]Fuel Data'!$B$191</f>
        <v>31.436489046100686</v>
      </c>
      <c r="U8" s="321">
        <f>114/'[5]Fuel Data'!$B$191</f>
        <v>30.11562816181074</v>
      </c>
      <c r="V8" s="321">
        <f>157/'[5]Fuel Data'!$B$191</f>
        <v>41.475031766704262</v>
      </c>
      <c r="W8" s="321">
        <f>347/'[5]Fuel Data'!$B$191</f>
        <v>91.667745369722169</v>
      </c>
      <c r="X8" s="321">
        <f>347/'[5]Fuel Data'!$B$191</f>
        <v>91.667745369722169</v>
      </c>
      <c r="Y8" s="321">
        <f>457/'[5]Fuel Data'!$B$191</f>
        <v>120.72668482410096</v>
      </c>
      <c r="Z8" s="321">
        <f>391/'[5]Fuel Data'!$B$191</f>
        <v>103.29132115147368</v>
      </c>
      <c r="AA8" s="321">
        <f>303/'[5]Fuel Data'!$B$191</f>
        <v>80.044169587970657</v>
      </c>
      <c r="AB8" s="321">
        <f>354/'[5]Fuel Data'!$B$191</f>
        <v>93.516950607728091</v>
      </c>
      <c r="AC8" s="316">
        <f>'Renewable Fuel Ex Ethanol'!I4*264.172/1000000</f>
        <v>120.94058332</v>
      </c>
      <c r="AD8" s="316">
        <f>'Renewable Fuel Ex Ethanol'!J4*264.172/1000000</f>
        <v>113.78997562400001</v>
      </c>
      <c r="AE8" s="317">
        <f>'Renewable Fuel Ex Ethanol'!K4*264.172/1000000</f>
        <v>97.530189024000009</v>
      </c>
      <c r="AF8" s="317">
        <f>'Renewable Fuel Ex Ethanol'!L4*264.172/1000000</f>
        <v>134.22737823200004</v>
      </c>
      <c r="AG8" s="317">
        <f>'Renewable Fuel Ex Ethanol'!M4*264.172/1000000</f>
        <v>295.95294828800007</v>
      </c>
      <c r="AH8" s="317">
        <f>'Renewable Fuel Ex Ethanol'!N4*264.172/1000000</f>
        <v>299.99988643766699</v>
      </c>
      <c r="AI8" s="317">
        <f>'Renewable Fuel Ex Ethanol'!O4*264.172/1000000</f>
        <v>369.9998599397893</v>
      </c>
      <c r="AJ8" s="317">
        <f>'Renewable Fuel Ex Ethanol'!P4*264.172/1000000</f>
        <v>484.99981640756164</v>
      </c>
      <c r="AK8" s="317">
        <f>'Renewable Fuel Ex Ethanol'!Q4*264.172/1000000</f>
        <v>539.99979558780046</v>
      </c>
      <c r="AL8" s="317">
        <f>'Renewable Fuel Ex Ethanol'!R4*264.172/1000000</f>
        <v>539.99979558780046</v>
      </c>
      <c r="AM8" s="317">
        <f>'Renewable Fuel Ex Ethanol'!S4*264.172/1000000</f>
        <v>569.99978423156711</v>
      </c>
      <c r="AN8" s="317">
        <f>'Renewable Fuel Ex Ethanol'!T4*264.172/1000000</f>
        <v>579.99978044615614</v>
      </c>
      <c r="AO8" s="317">
        <f>'Renewable Fuel Ex Ethanol'!U4*264.172/1000000</f>
        <v>589.99977666074517</v>
      </c>
      <c r="AP8" s="317">
        <f>'Renewable Fuel Ex Ethanol'!V4*264.172/1000000</f>
        <v>599.99977287533397</v>
      </c>
      <c r="AQ8" s="317">
        <f>'Renewable Fuel Ex Ethanol'!W4*264.172/1000000</f>
        <v>609.99976908992289</v>
      </c>
      <c r="AR8" s="317">
        <f>'Renewable Fuel Ex Ethanol'!X4*264.172/1000000</f>
        <v>619.9997653045117</v>
      </c>
      <c r="AS8" s="317">
        <f>'Renewable Fuel Ex Ethanol'!Y4*264.172/1000000</f>
        <v>624.99976341180627</v>
      </c>
      <c r="AT8" s="317">
        <f>'Renewable Fuel Ex Ethanol'!Z4*264.172/1000000</f>
        <v>624.99976341180627</v>
      </c>
      <c r="AU8" s="317">
        <f>'Renewable Fuel Ex Ethanol'!AA4*264.172/1000000</f>
        <v>624.99976341180627</v>
      </c>
      <c r="AV8" s="317">
        <f>'Renewable Fuel Ex Ethanol'!AB4*264.172/1000000</f>
        <v>624.99976341180627</v>
      </c>
      <c r="AW8" s="317">
        <f>'Renewable Fuel Ex Ethanol'!AC4*264.172/1000000</f>
        <v>624.99976341180627</v>
      </c>
      <c r="AX8" s="317">
        <f>'Renewable Fuel Ex Ethanol'!AD4*264.172/1000000</f>
        <v>624.99976341180627</v>
      </c>
      <c r="AY8" s="317">
        <f>'Renewable Fuel Ex Ethanol'!AE4*264.172/1000000</f>
        <v>624.99976341180627</v>
      </c>
      <c r="AZ8" s="317">
        <f>'Renewable Fuel Ex Ethanol'!AF4*264.172/1000000</f>
        <v>624.99976341180627</v>
      </c>
      <c r="BA8" s="317">
        <f>'Renewable Fuel Ex Ethanol'!AG4*264.172/1000000</f>
        <v>624.99976341180627</v>
      </c>
      <c r="BB8" s="317">
        <f>'Renewable Fuel Ex Ethanol'!AH4*264.172/1000000</f>
        <v>624.99976341180627</v>
      </c>
      <c r="BC8" s="317">
        <f>'Renewable Fuel Ex Ethanol'!AI4*264.172/1000000</f>
        <v>624.99976341180627</v>
      </c>
      <c r="BD8" s="317">
        <f>'Renewable Fuel Ex Ethanol'!AJ4*264.172/1000000</f>
        <v>624.99976341180627</v>
      </c>
      <c r="BE8" s="317">
        <f>'Renewable Fuel Ex Ethanol'!AK4*264.172/1000000</f>
        <v>624.99976341180627</v>
      </c>
      <c r="BF8" s="317">
        <f>'Renewable Fuel Ex Ethanol'!AL4*264.172/1000000</f>
        <v>624.99976341180627</v>
      </c>
      <c r="BG8" s="317">
        <f>'Renewable Fuel Ex Ethanol'!AM4*264.172/1000000</f>
        <v>624.99976341180627</v>
      </c>
    </row>
    <row r="9" spans="1:59" ht="15">
      <c r="A9" s="318" t="s">
        <v>389</v>
      </c>
      <c r="S9" s="321"/>
      <c r="T9" s="321">
        <f>-247.5/'[5]Fuel Data'!$B$191</f>
        <v>-65.382613772352272</v>
      </c>
      <c r="U9" s="321">
        <f>-327.7/'[5]Fuel Data'!$B$191</f>
        <v>-86.569222356362971</v>
      </c>
      <c r="V9" s="321">
        <f>-473.8/'[5]Fuel Data'!$B$191</f>
        <v>-125.16477739531517</v>
      </c>
      <c r="W9" s="321">
        <f>-319.8/'[5]Fuel Data'!$B$191</f>
        <v>-84.48226215918487</v>
      </c>
      <c r="X9" s="321">
        <f>-241.8/'[5]Fuel Data'!$B$191</f>
        <v>-63.87683236426173</v>
      </c>
      <c r="Y9" s="321">
        <f>-116.9/'[5]Fuel Data'!$B$191</f>
        <v>-30.881727474698909</v>
      </c>
      <c r="Z9" s="321">
        <f>-318.6/'[5]Fuel Data'!$B$191</f>
        <v>-84.165255546955279</v>
      </c>
      <c r="AA9" s="321">
        <f>-437.9/'[5]Fuel Data'!$B$191</f>
        <v>-115.68099624611335</v>
      </c>
      <c r="AB9" s="321">
        <f>-189.7/'[5]Fuel Data'!$B$191</f>
        <v>-50.113461949960502</v>
      </c>
      <c r="AC9" s="322">
        <f>(('Renewable Fuel Ex Ethanol'!I5-'Renewable Fuel Ex Ethanol'!I8)*'Renewable Fuel Ex Ethanol'!$I$121)/1000000</f>
        <v>27.585758218832328</v>
      </c>
      <c r="AD9" s="322">
        <f>(('Renewable Fuel Ex Ethanol'!J5-'Renewable Fuel Ex Ethanol'!J8)*'Renewable Fuel Ex Ethanol'!$I$121)/1000000</f>
        <v>27.058222359041117</v>
      </c>
      <c r="AE9" s="321">
        <f>(('Renewable Fuel Ex Ethanol'!K5-'Renewable Fuel Ex Ethanol'!K8)*'Renewable Fuel Ex Ethanol'!$I$121)/1000000</f>
        <v>79.147478247535886</v>
      </c>
      <c r="AF9" s="321">
        <f>(('Renewable Fuel Ex Ethanol'!L5-'Renewable Fuel Ex Ethanol'!L8)*'Renewable Fuel Ex Ethanol'!$I$121)/1000000</f>
        <v>78.066295467000131</v>
      </c>
      <c r="AG9" s="321">
        <f>(('Renewable Fuel Ex Ethanol'!M5-'Renewable Fuel Ex Ethanol'!M8)*'Renewable Fuel Ex Ethanol'!$I$121)/1000000</f>
        <v>34.651457527065212</v>
      </c>
      <c r="AH9" s="321">
        <f>(('Renewable Fuel Ex Ethanol'!N5-'Renewable Fuel Ex Ethanol'!N8)*'Renewable Fuel Ex Ethanol'!$I$121)/1000000</f>
        <v>16.642842300000002</v>
      </c>
      <c r="AI9" s="321">
        <f>(('Renewable Fuel Ex Ethanol'!O5-'Renewable Fuel Ex Ethanol'!O8)*'Renewable Fuel Ex Ethanol'!$I$121)/1000000</f>
        <v>-1.0566883999999999</v>
      </c>
      <c r="AJ9" s="321">
        <f>(('Renewable Fuel Ex Ethanol'!P5-'Renewable Fuel Ex Ethanol'!P8)*'Renewable Fuel Ex Ethanol'!$I$121)/1000000</f>
        <v>-22.982972699999998</v>
      </c>
      <c r="AK9" s="321">
        <f>(('Renewable Fuel Ex Ethanol'!Q5-'Renewable Fuel Ex Ethanol'!Q8)*'Renewable Fuel Ex Ethanol'!$I$121)/1000000</f>
        <v>-28.794758899999998</v>
      </c>
      <c r="AL9" s="321">
        <f>(('Renewable Fuel Ex Ethanol'!R5-'Renewable Fuel Ex Ethanol'!R8)*'Renewable Fuel Ex Ethanol'!$I$121)/1000000</f>
        <v>-37.776610299999994</v>
      </c>
      <c r="AM9" s="321">
        <f>(('Renewable Fuel Ex Ethanol'!S5-'Renewable Fuel Ex Ethanol'!S8)*'Renewable Fuel Ex Ethanol'!$I$121)/1000000</f>
        <v>-48.343494299999996</v>
      </c>
      <c r="AN9" s="321">
        <f>(('Renewable Fuel Ex Ethanol'!T5-'Renewable Fuel Ex Ethanol'!T8)*'Renewable Fuel Ex Ethanol'!$I$121)/1000000</f>
        <v>-54.947796799999999</v>
      </c>
      <c r="AO9" s="321">
        <f>(('Renewable Fuel Ex Ethanol'!U5-'Renewable Fuel Ex Ethanol'!U8)*'Renewable Fuel Ex Ethanol'!$I$121)/1000000</f>
        <v>-67.892229700000001</v>
      </c>
      <c r="AP9" s="321">
        <f>(('Renewable Fuel Ex Ethanol'!V5-'Renewable Fuel Ex Ethanol'!V8)*'Renewable Fuel Ex Ethanol'!$I$121)/1000000</f>
        <v>-68.9489181</v>
      </c>
      <c r="AQ9" s="321">
        <f>(('Renewable Fuel Ex Ethanol'!W5-'Renewable Fuel Ex Ethanol'!W8)*'Renewable Fuel Ex Ethanol'!$I$121)/1000000</f>
        <v>-76.345736900000006</v>
      </c>
      <c r="AR9" s="321">
        <f>(('Renewable Fuel Ex Ethanol'!X5-'Renewable Fuel Ex Ethanol'!X8)*'Renewable Fuel Ex Ethanol'!$I$121)/1000000</f>
        <v>-77.930769499999997</v>
      </c>
      <c r="AS9" s="321">
        <f>(('Renewable Fuel Ex Ethanol'!Y5-'Renewable Fuel Ex Ethanol'!Y8)*'Renewable Fuel Ex Ethanol'!$I$121)/1000000</f>
        <v>-84.270899900000003</v>
      </c>
      <c r="AT9" s="321">
        <f>(('Renewable Fuel Ex Ethanol'!Z5-'Renewable Fuel Ex Ethanol'!Z8)*'Renewable Fuel Ex Ethanol'!$I$121)/1000000</f>
        <v>-84.270899900000003</v>
      </c>
      <c r="AU9" s="321">
        <f>(('Renewable Fuel Ex Ethanol'!AA5-'Renewable Fuel Ex Ethanol'!AA8)*'Renewable Fuel Ex Ethanol'!$I$121)/1000000</f>
        <v>-84.270899900000003</v>
      </c>
      <c r="AV9" s="321">
        <f>(('Renewable Fuel Ex Ethanol'!AB5-'Renewable Fuel Ex Ethanol'!AB8)*'Renewable Fuel Ex Ethanol'!$I$121)/1000000</f>
        <v>-89.818513999999993</v>
      </c>
      <c r="AW9" s="321">
        <f>(('Renewable Fuel Ex Ethanol'!AC5-'Renewable Fuel Ex Ethanol'!AC8)*'Renewable Fuel Ex Ethanol'!$I$121)/1000000</f>
        <v>-89.818513999999993</v>
      </c>
      <c r="AX9" s="321">
        <f>(('Renewable Fuel Ex Ethanol'!AD5-'Renewable Fuel Ex Ethanol'!AD8)*'Renewable Fuel Ex Ethanol'!$I$121)/1000000</f>
        <v>-89.818513999999993</v>
      </c>
      <c r="AY9" s="321">
        <f>(('Renewable Fuel Ex Ethanol'!AE5-'Renewable Fuel Ex Ethanol'!AE8)*'Renewable Fuel Ex Ethanol'!$I$121)/1000000</f>
        <v>-89.818513999999993</v>
      </c>
      <c r="AZ9" s="321">
        <f>(('Renewable Fuel Ex Ethanol'!AF5-'Renewable Fuel Ex Ethanol'!AF8)*'Renewable Fuel Ex Ethanol'!$I$121)/1000000</f>
        <v>-89.818513999999993</v>
      </c>
      <c r="BA9" s="321">
        <f>(('Renewable Fuel Ex Ethanol'!AG5-'Renewable Fuel Ex Ethanol'!AG8)*'Renewable Fuel Ex Ethanol'!$I$121)/1000000</f>
        <v>-89.818513999999993</v>
      </c>
      <c r="BB9" s="321">
        <f>(('Renewable Fuel Ex Ethanol'!AH5-'Renewable Fuel Ex Ethanol'!AH8)*'Renewable Fuel Ex Ethanol'!$I$121)/1000000</f>
        <v>-95.366128099999997</v>
      </c>
      <c r="BC9" s="321">
        <f>(('Renewable Fuel Ex Ethanol'!AI5-'Renewable Fuel Ex Ethanol'!AI8)*'Renewable Fuel Ex Ethanol'!$I$121)/1000000</f>
        <v>-95.366128099999997</v>
      </c>
      <c r="BD9" s="321">
        <f>(('Renewable Fuel Ex Ethanol'!AJ5-'Renewable Fuel Ex Ethanol'!AJ8)*'Renewable Fuel Ex Ethanol'!$I$121)/1000000</f>
        <v>-95.366128099999997</v>
      </c>
      <c r="BE9" s="321">
        <f>(('Renewable Fuel Ex Ethanol'!AK5-'Renewable Fuel Ex Ethanol'!AK8)*'Renewable Fuel Ex Ethanol'!$I$121)/1000000</f>
        <v>-95.366128099999997</v>
      </c>
      <c r="BF9" s="321">
        <f>(('Renewable Fuel Ex Ethanol'!AL5-'Renewable Fuel Ex Ethanol'!AL8)*'Renewable Fuel Ex Ethanol'!$I$121)/1000000</f>
        <v>-95.366128099999997</v>
      </c>
      <c r="BG9" s="321">
        <f>(('Renewable Fuel Ex Ethanol'!AM5-'Renewable Fuel Ex Ethanol'!AM8)*'Renewable Fuel Ex Ethanol'!$I$121)/1000000</f>
        <v>-95.366128099999997</v>
      </c>
    </row>
    <row r="10" spans="1:59" ht="15">
      <c r="A10" s="318" t="s">
        <v>390</v>
      </c>
      <c r="S10" s="321">
        <f>242/'[5]Fuel Data'!$B$191</f>
        <v>63.929666799633324</v>
      </c>
      <c r="T10" s="321">
        <f>285/'[5]Fuel Data'!$B$191</f>
        <v>75.289070404526854</v>
      </c>
      <c r="U10" s="321">
        <f>300/'[5]Fuel Data'!$B$191</f>
        <v>79.25165305739668</v>
      </c>
      <c r="V10" s="321">
        <f>452/'[5]Fuel Data'!$B$191</f>
        <v>119.405823939811</v>
      </c>
      <c r="W10" s="321">
        <f>440/'[5]Fuel Data'!$B$191</f>
        <v>116.23575781751514</v>
      </c>
      <c r="X10" s="321">
        <f>351/'[5]Fuel Data'!$B$191</f>
        <v>92.724434077154129</v>
      </c>
      <c r="Y10" s="321">
        <f>357/'[5]Fuel Data'!$B$191</f>
        <v>94.309467138302054</v>
      </c>
      <c r="Z10" s="321">
        <f>386/'[5]Fuel Data'!$B$191</f>
        <v>101.97046026718374</v>
      </c>
      <c r="AA10" s="321">
        <f>399/'[5]Fuel Data'!$B$191</f>
        <v>105.40469856633759</v>
      </c>
      <c r="AB10" s="321">
        <f>375/'[5]Fuel Data'!$B$191</f>
        <v>99.064566321745858</v>
      </c>
      <c r="AC10" s="322">
        <f>('Renewable Fuel Ex Ethanol'!I7*'Renewable Fuel Ex Ethanol'!$I$121)/1000000</f>
        <v>147.82976549213234</v>
      </c>
      <c r="AD10" s="322">
        <f>('Renewable Fuel Ex Ethanol'!J7*'Renewable Fuel Ex Ethanol'!$I$121)/1000000</f>
        <v>141.36020658704112</v>
      </c>
      <c r="AE10" s="321">
        <f>('Renewable Fuel Ex Ethanol'!K7*'Renewable Fuel Ex Ethanol'!$I$121)/1000000</f>
        <v>177.17091350143588</v>
      </c>
      <c r="AF10" s="321">
        <f>('Renewable Fuel Ex Ethanol'!L7*'Renewable Fuel Ex Ethanol'!$I$121)/1000000</f>
        <v>210.68755814160014</v>
      </c>
      <c r="AG10" s="321">
        <f>('Renewable Fuel Ex Ethanol'!M7*'Renewable Fuel Ex Ethanol'!$I$121)/1000000</f>
        <v>320.58948936236527</v>
      </c>
      <c r="AH10" s="321">
        <f>('Renewable Fuel Ex Ethanol'!N7*'Renewable Fuel Ex Ethanol'!$I$121)/1000000</f>
        <v>317.71273930500001</v>
      </c>
      <c r="AI10" s="321">
        <f>('Renewable Fuel Ex Ethanol'!O7*'Renewable Fuel Ex Ethanol'!$I$121)/1000000</f>
        <v>367.62245110000003</v>
      </c>
      <c r="AJ10" s="321">
        <f>('Renewable Fuel Ex Ethanol'!P7*'Renewable Fuel Ex Ethanol'!$I$121)/1000000</f>
        <v>462.0170273</v>
      </c>
      <c r="AK10" s="321">
        <f>('Renewable Fuel Ex Ethanol'!Q7*'Renewable Fuel Ex Ethanol'!$I$121)/1000000</f>
        <v>510.67689689999992</v>
      </c>
      <c r="AL10" s="321">
        <f>('Renewable Fuel Ex Ethanol'!R7*'Renewable Fuel Ex Ethanol'!$I$121)/1000000</f>
        <v>501.43087339999994</v>
      </c>
      <c r="AM10" s="321">
        <f>('Renewable Fuel Ex Ethanol'!S7*'Renewable Fuel Ex Ethanol'!$I$121)/1000000</f>
        <v>521.65650569999991</v>
      </c>
      <c r="AN10" s="321">
        <f>('Renewable Fuel Ex Ethanol'!T7*'Renewable Fuel Ex Ethanol'!$I$121)/1000000</f>
        <v>525.05220320000001</v>
      </c>
      <c r="AO10" s="321">
        <f>('Renewable Fuel Ex Ethanol'!U7*'Renewable Fuel Ex Ethanol'!$I$121)/1000000</f>
        <v>522.10777029999997</v>
      </c>
      <c r="AP10" s="321">
        <f>('Renewable Fuel Ex Ethanol'!V7*'Renewable Fuel Ex Ethanol'!$I$121)/1000000</f>
        <v>531.0510819000001</v>
      </c>
      <c r="AQ10" s="321">
        <f>('Renewable Fuel Ex Ethanol'!W7*'Renewable Fuel Ex Ethanol'!$I$121)/1000000</f>
        <v>532.3334026</v>
      </c>
      <c r="AR10" s="321">
        <f>('Renewable Fuel Ex Ethanol'!X7*'Renewable Fuel Ex Ethanol'!$I$121)/1000000</f>
        <v>542.06923049999989</v>
      </c>
      <c r="AS10" s="321">
        <f>('Renewable Fuel Ex Ethanol'!Y7*'Renewable Fuel Ex Ethanol'!$I$121)/1000000</f>
        <v>540.72910009999987</v>
      </c>
      <c r="AT10" s="321">
        <f>('Renewable Fuel Ex Ethanol'!Z7*'Renewable Fuel Ex Ethanol'!$I$121)/1000000</f>
        <v>540.72910009999987</v>
      </c>
      <c r="AU10" s="321">
        <f>('Renewable Fuel Ex Ethanol'!AA7*'Renewable Fuel Ex Ethanol'!$I$121)/1000000</f>
        <v>540.72910009999987</v>
      </c>
      <c r="AV10" s="321">
        <f>('Renewable Fuel Ex Ethanol'!AB7*'Renewable Fuel Ex Ethanol'!$I$121)/1000000</f>
        <v>535.18148599999995</v>
      </c>
      <c r="AW10" s="321">
        <f>('Renewable Fuel Ex Ethanol'!AC7*'Renewable Fuel Ex Ethanol'!$I$121)/1000000</f>
        <v>535.18148599999995</v>
      </c>
      <c r="AX10" s="321">
        <f>('Renewable Fuel Ex Ethanol'!AD7*'Renewable Fuel Ex Ethanol'!$I$121)/1000000</f>
        <v>535.18148599999995</v>
      </c>
      <c r="AY10" s="321">
        <f>('Renewable Fuel Ex Ethanol'!AE7*'Renewable Fuel Ex Ethanol'!$I$121)/1000000</f>
        <v>535.18148599999995</v>
      </c>
      <c r="AZ10" s="321">
        <f>('Renewable Fuel Ex Ethanol'!AF7*'Renewable Fuel Ex Ethanol'!$I$121)/1000000</f>
        <v>535.18148599999995</v>
      </c>
      <c r="BA10" s="321">
        <f>('Renewable Fuel Ex Ethanol'!AG7*'Renewable Fuel Ex Ethanol'!$I$121)/1000000</f>
        <v>535.18148599999995</v>
      </c>
      <c r="BB10" s="321">
        <f>('Renewable Fuel Ex Ethanol'!AH7*'Renewable Fuel Ex Ethanol'!$I$121)/1000000</f>
        <v>529.63387189999992</v>
      </c>
      <c r="BC10" s="321">
        <f>('Renewable Fuel Ex Ethanol'!AI7*'Renewable Fuel Ex Ethanol'!$I$121)/1000000</f>
        <v>529.63387189999992</v>
      </c>
      <c r="BD10" s="321">
        <f>('Renewable Fuel Ex Ethanol'!AJ7*'Renewable Fuel Ex Ethanol'!$I$121)/1000000</f>
        <v>529.63387189999992</v>
      </c>
      <c r="BE10" s="321">
        <f>('Renewable Fuel Ex Ethanol'!AK7*'Renewable Fuel Ex Ethanol'!$I$121)/1000000</f>
        <v>529.63387189999992</v>
      </c>
      <c r="BF10" s="321">
        <f>('Renewable Fuel Ex Ethanol'!AL7*'Renewable Fuel Ex Ethanol'!$I$121)/1000000</f>
        <v>529.63387189999992</v>
      </c>
      <c r="BG10" s="321">
        <f>('Renewable Fuel Ex Ethanol'!AM7*'Renewable Fuel Ex Ethanol'!$I$121)/1000000</f>
        <v>529.63387189999992</v>
      </c>
    </row>
    <row r="11" spans="1:59" ht="15">
      <c r="A11" s="318" t="s">
        <v>4</v>
      </c>
      <c r="S11" s="321"/>
      <c r="T11" s="321"/>
      <c r="U11" s="321"/>
      <c r="V11" s="321"/>
      <c r="W11" s="321"/>
      <c r="X11" s="321"/>
      <c r="Y11" s="321"/>
      <c r="Z11" s="321"/>
      <c r="AA11" s="321"/>
      <c r="AB11" s="321"/>
      <c r="AC11" s="322">
        <f>'Renewable Fuel Ex Ethanol'!I16*'Renewable Fuel Ex Ethanol'!$I$121/1000000</f>
        <v>120.24215806860001</v>
      </c>
      <c r="AD11" s="322">
        <f>'Renewable Fuel Ex Ethanol'!J16*'Renewable Fuel Ex Ethanol'!$I$121/1000000</f>
        <v>114.92886462129999</v>
      </c>
      <c r="AE11" s="321">
        <f>'Renewable Fuel Ex Ethanol'!K16*'Renewable Fuel Ex Ethanol'!$I$121/1000000</f>
        <v>99.245759560599993</v>
      </c>
      <c r="AF11" s="321">
        <f>'Renewable Fuel Ex Ethanol'!L16*'Renewable Fuel Ex Ethanol'!$I$121/1000000</f>
        <v>135.7939695956</v>
      </c>
      <c r="AG11" s="321">
        <f>'Renewable Fuel Ex Ethanol'!M16*'Renewable Fuel Ex Ethanol'!$I$121/1000000</f>
        <v>295.95306031840005</v>
      </c>
      <c r="AH11" s="321">
        <f>'Renewable Fuel Ex Ethanol'!N16*'Renewable Fuel Ex Ethanol'!$I$121/1000000</f>
        <v>277.90333307008353</v>
      </c>
      <c r="AI11" s="321">
        <f>'Renewable Fuel Ex Ethanol'!O16*'Renewable Fuel Ex Ethanol'!$I$121/1000000</f>
        <v>321.55935797717007</v>
      </c>
      <c r="AJ11" s="321">
        <f>'Renewable Fuel Ex Ethanol'!P16*'Renewable Fuel Ex Ethanol'!$I$121/1000000</f>
        <v>404.12629377931006</v>
      </c>
      <c r="AK11" s="321">
        <f>'Renewable Fuel Ex Ethanol'!Q16*'Renewable Fuel Ex Ethanol'!$I$121/1000000</f>
        <v>446.68908171842992</v>
      </c>
      <c r="AL11" s="321">
        <f>'Renewable Fuel Ex Ethanol'!R16*'Renewable Fuel Ex Ethanol'!$I$121/1000000</f>
        <v>438.60158496297993</v>
      </c>
      <c r="AM11" s="321">
        <f>'Renewable Fuel Ex Ethanol'!S16*'Renewable Fuel Ex Ethanol'!$I$121/1000000</f>
        <v>456.29294553578995</v>
      </c>
      <c r="AN11" s="321">
        <f>'Renewable Fuel Ex Ethanol'!T16*'Renewable Fuel Ex Ethanol'!$I$121/1000000</f>
        <v>459.26316213903999</v>
      </c>
      <c r="AO11" s="321">
        <f>'Renewable Fuel Ex Ethanol'!U16*'Renewable Fuel Ex Ethanol'!$I$121/1000000</f>
        <v>456.68766668141006</v>
      </c>
      <c r="AP11" s="321">
        <f>'Renewable Fuel Ex Ethanol'!V16*'Renewable Fuel Ex Ethanol'!$I$121/1000000</f>
        <v>464.51038133793008</v>
      </c>
      <c r="AQ11" s="321">
        <f>'Renewable Fuel Ex Ethanol'!W16*'Renewable Fuel Ex Ethanol'!$I$121/1000000</f>
        <v>465.63202725422002</v>
      </c>
      <c r="AR11" s="321">
        <f>'Renewable Fuel Ex Ethanol'!X16*'Renewable Fuel Ex Ethanol'!$I$121/1000000</f>
        <v>474.14795591834996</v>
      </c>
      <c r="AS11" s="321">
        <f>'Renewable Fuel Ex Ethanol'!Y16*'Renewable Fuel Ex Ethanol'!$I$121/1000000</f>
        <v>472.97574385746998</v>
      </c>
      <c r="AT11" s="321">
        <f>'Renewable Fuel Ex Ethanol'!Z16*'Renewable Fuel Ex Ethanol'!$I$121/1000000</f>
        <v>472.97574385746998</v>
      </c>
      <c r="AU11" s="321">
        <f>'Renewable Fuel Ex Ethanol'!AA16*'Renewable Fuel Ex Ethanol'!$I$121/1000000</f>
        <v>472.97574385746998</v>
      </c>
      <c r="AV11" s="321">
        <f>'Renewable Fuel Ex Ethanol'!AB16*'Renewable Fuel Ex Ethanol'!$I$121/1000000</f>
        <v>468.1232458042</v>
      </c>
      <c r="AW11" s="321">
        <f>'Renewable Fuel Ex Ethanol'!AC16*'Renewable Fuel Ex Ethanol'!$I$121/1000000</f>
        <v>468.1232458042</v>
      </c>
      <c r="AX11" s="321">
        <f>'Renewable Fuel Ex Ethanol'!AD16*'Renewable Fuel Ex Ethanol'!$I$121/1000000</f>
        <v>468.1232458042</v>
      </c>
      <c r="AY11" s="321">
        <f>'Renewable Fuel Ex Ethanol'!AE16*'Renewable Fuel Ex Ethanol'!$I$121/1000000</f>
        <v>468.1232458042</v>
      </c>
      <c r="AZ11" s="321">
        <f>'Renewable Fuel Ex Ethanol'!AF16*'Renewable Fuel Ex Ethanol'!$I$121/1000000</f>
        <v>468.1232458042</v>
      </c>
      <c r="BA11" s="321">
        <f>'Renewable Fuel Ex Ethanol'!AG16*'Renewable Fuel Ex Ethanol'!$I$121/1000000</f>
        <v>468.1232458042</v>
      </c>
      <c r="BB11" s="321">
        <f>'Renewable Fuel Ex Ethanol'!AH16*'Renewable Fuel Ex Ethanol'!$I$121/1000000</f>
        <v>463.27074775092996</v>
      </c>
      <c r="BC11" s="321">
        <f>'Renewable Fuel Ex Ethanol'!AI16*'Renewable Fuel Ex Ethanol'!$I$121/1000000</f>
        <v>463.27074775092996</v>
      </c>
      <c r="BD11" s="321">
        <f>'Renewable Fuel Ex Ethanol'!AJ16*'Renewable Fuel Ex Ethanol'!$I$121/1000000</f>
        <v>463.27074775092996</v>
      </c>
      <c r="BE11" s="321">
        <f>'Renewable Fuel Ex Ethanol'!AK16*'Renewable Fuel Ex Ethanol'!$I$121/1000000</f>
        <v>463.27074775092996</v>
      </c>
      <c r="BF11" s="321">
        <f>'Renewable Fuel Ex Ethanol'!AL16*'Renewable Fuel Ex Ethanol'!$I$121/1000000</f>
        <v>463.27074775092996</v>
      </c>
      <c r="BG11" s="321">
        <f>'Renewable Fuel Ex Ethanol'!AM16*'Renewable Fuel Ex Ethanol'!$I$121/1000000</f>
        <v>463.27074775092996</v>
      </c>
    </row>
    <row r="12" spans="1:59" ht="15">
      <c r="A12" s="318" t="s">
        <v>391</v>
      </c>
      <c r="S12" s="323">
        <f t="shared" ref="S12:BG12" si="6">S10/S3</f>
        <v>1.4423213315510533E-2</v>
      </c>
      <c r="T12" s="323">
        <f t="shared" si="6"/>
        <v>1.6013474242916648E-2</v>
      </c>
      <c r="U12" s="323">
        <f t="shared" si="6"/>
        <v>1.7186412422338898E-2</v>
      </c>
      <c r="V12" s="323">
        <f t="shared" si="6"/>
        <v>2.5260959120614594E-2</v>
      </c>
      <c r="W12" s="323">
        <f t="shared" si="6"/>
        <v>2.4284356569415178E-2</v>
      </c>
      <c r="X12" s="323">
        <f t="shared" si="6"/>
        <v>1.950663225496669E-2</v>
      </c>
      <c r="Y12" s="323">
        <f t="shared" si="6"/>
        <v>2.0976273367025029E-2</v>
      </c>
      <c r="Z12" s="323">
        <f t="shared" si="6"/>
        <v>2.1377307821602493E-2</v>
      </c>
      <c r="AA12" s="323">
        <f t="shared" si="6"/>
        <v>2.1854250443575553E-2</v>
      </c>
      <c r="AB12" s="323">
        <f t="shared" si="6"/>
        <v>2.1024218049061332E-2</v>
      </c>
      <c r="AC12" s="324">
        <f t="shared" si="6"/>
        <v>3.4494634069446042E-2</v>
      </c>
      <c r="AD12" s="324">
        <f t="shared" si="6"/>
        <v>2.9917621545209872E-2</v>
      </c>
      <c r="AE12" s="323">
        <f t="shared" si="6"/>
        <v>3.6883299118703181E-2</v>
      </c>
      <c r="AF12" s="323">
        <f t="shared" si="6"/>
        <v>4.3255468297983705E-2</v>
      </c>
      <c r="AG12" s="323">
        <f t="shared" si="6"/>
        <v>6.495018786472205E-2</v>
      </c>
      <c r="AH12" s="323">
        <f t="shared" si="6"/>
        <v>6.3552947002383703E-2</v>
      </c>
      <c r="AI12" s="323">
        <f t="shared" si="6"/>
        <v>7.263845109907674E-2</v>
      </c>
      <c r="AJ12" s="323">
        <f t="shared" si="6"/>
        <v>9.0214095032905048E-2</v>
      </c>
      <c r="AK12" s="323">
        <f t="shared" si="6"/>
        <v>9.8583034693583996E-2</v>
      </c>
      <c r="AL12" s="323">
        <f t="shared" si="6"/>
        <v>9.574006629580735E-2</v>
      </c>
      <c r="AM12" s="323">
        <f t="shared" si="6"/>
        <v>9.8555681740301423E-2</v>
      </c>
      <c r="AN12" s="323">
        <f t="shared" si="6"/>
        <v>9.8197918516674088E-2</v>
      </c>
      <c r="AO12" s="323">
        <f t="shared" si="6"/>
        <v>9.6705209070988007E-2</v>
      </c>
      <c r="AP12" s="323">
        <f t="shared" si="6"/>
        <v>9.7412776944380594E-2</v>
      </c>
      <c r="AQ12" s="323">
        <f t="shared" si="6"/>
        <v>9.6705963978805681E-2</v>
      </c>
      <c r="AR12" s="323">
        <f t="shared" si="6"/>
        <v>9.7524607485207096E-2</v>
      </c>
      <c r="AS12" s="323">
        <f t="shared" si="6"/>
        <v>9.6344984632606823E-2</v>
      </c>
      <c r="AT12" s="323">
        <f t="shared" si="6"/>
        <v>9.5415521054131286E-2</v>
      </c>
      <c r="AU12" s="323">
        <f t="shared" si="6"/>
        <v>9.4495024237620642E-2</v>
      </c>
      <c r="AV12" s="323">
        <f t="shared" si="6"/>
        <v>9.2623288032915779E-2</v>
      </c>
      <c r="AW12" s="323">
        <f t="shared" si="6"/>
        <v>9.1729728569768507E-2</v>
      </c>
      <c r="AX12" s="323">
        <f t="shared" si="6"/>
        <v>9.0844789492823638E-2</v>
      </c>
      <c r="AY12" s="323">
        <f t="shared" si="6"/>
        <v>8.9968387639111774E-2</v>
      </c>
      <c r="AZ12" s="323">
        <f t="shared" si="6"/>
        <v>8.910044064795701E-2</v>
      </c>
      <c r="BA12" s="323">
        <f t="shared" si="6"/>
        <v>8.8240866953236949E-2</v>
      </c>
      <c r="BB12" s="323">
        <f t="shared" si="6"/>
        <v>8.6483717932892806E-2</v>
      </c>
      <c r="BC12" s="323">
        <f t="shared" si="6"/>
        <v>8.5649388400781679E-2</v>
      </c>
      <c r="BD12" s="323">
        <f t="shared" si="6"/>
        <v>8.4823107849273979E-2</v>
      </c>
      <c r="BE12" s="323">
        <f t="shared" si="6"/>
        <v>8.4004798627889551E-2</v>
      </c>
      <c r="BF12" s="323">
        <f t="shared" si="6"/>
        <v>8.3194383835261412E-2</v>
      </c>
      <c r="BG12" s="323">
        <f t="shared" si="6"/>
        <v>8.2391787311908812E-2</v>
      </c>
    </row>
    <row r="13" spans="1:59" ht="18.75" thickBot="1">
      <c r="A13" s="315" t="s">
        <v>46</v>
      </c>
    </row>
    <row r="14" spans="1:59" ht="16.5" thickBot="1">
      <c r="A14" s="326"/>
      <c r="B14" s="327">
        <f>B2</f>
        <v>1993</v>
      </c>
      <c r="C14" s="327">
        <f t="shared" ref="C14:BG14" si="7">C2</f>
        <v>1994</v>
      </c>
      <c r="D14" s="327">
        <f t="shared" si="7"/>
        <v>1995</v>
      </c>
      <c r="E14" s="327">
        <f t="shared" si="7"/>
        <v>1996</v>
      </c>
      <c r="F14" s="327">
        <f t="shared" si="7"/>
        <v>1997</v>
      </c>
      <c r="G14" s="327">
        <f t="shared" si="7"/>
        <v>1998</v>
      </c>
      <c r="H14" s="327">
        <f t="shared" si="7"/>
        <v>1999</v>
      </c>
      <c r="I14" s="327">
        <f t="shared" si="7"/>
        <v>2000</v>
      </c>
      <c r="J14" s="327">
        <f t="shared" si="7"/>
        <v>2001</v>
      </c>
      <c r="K14" s="327">
        <f t="shared" si="7"/>
        <v>2002</v>
      </c>
      <c r="L14" s="327">
        <f t="shared" si="7"/>
        <v>2003</v>
      </c>
      <c r="M14" s="327">
        <f t="shared" si="7"/>
        <v>2004</v>
      </c>
      <c r="N14" s="327">
        <f t="shared" si="7"/>
        <v>2005</v>
      </c>
      <c r="O14" s="327">
        <f t="shared" si="7"/>
        <v>2006</v>
      </c>
      <c r="P14" s="327">
        <f t="shared" si="7"/>
        <v>2007</v>
      </c>
      <c r="Q14" s="327">
        <f t="shared" si="7"/>
        <v>2008</v>
      </c>
      <c r="R14" s="327">
        <f t="shared" si="7"/>
        <v>2009</v>
      </c>
      <c r="S14" s="327">
        <f t="shared" si="7"/>
        <v>2010</v>
      </c>
      <c r="T14" s="327">
        <f t="shared" si="7"/>
        <v>2011</v>
      </c>
      <c r="U14" s="327">
        <f t="shared" si="7"/>
        <v>2012</v>
      </c>
      <c r="V14" s="327">
        <f t="shared" si="7"/>
        <v>2013</v>
      </c>
      <c r="W14" s="327">
        <f t="shared" si="7"/>
        <v>2014</v>
      </c>
      <c r="X14" s="327">
        <f t="shared" si="7"/>
        <v>2015</v>
      </c>
      <c r="Y14" s="327">
        <f t="shared" si="7"/>
        <v>2016</v>
      </c>
      <c r="Z14" s="327">
        <f t="shared" si="7"/>
        <v>2017</v>
      </c>
      <c r="AA14" s="327">
        <f t="shared" si="7"/>
        <v>2018</v>
      </c>
      <c r="AB14" s="327">
        <f t="shared" si="7"/>
        <v>2019</v>
      </c>
      <c r="AC14" s="327">
        <f t="shared" si="7"/>
        <v>2020</v>
      </c>
      <c r="AD14" s="327">
        <f t="shared" si="7"/>
        <v>2021</v>
      </c>
      <c r="AE14" s="327">
        <f t="shared" si="7"/>
        <v>2022</v>
      </c>
      <c r="AF14" s="327">
        <f t="shared" si="7"/>
        <v>2023</v>
      </c>
      <c r="AG14" s="327">
        <f t="shared" si="7"/>
        <v>2024</v>
      </c>
      <c r="AH14" s="327">
        <f t="shared" si="7"/>
        <v>2025</v>
      </c>
      <c r="AI14" s="327">
        <f t="shared" si="7"/>
        <v>2026</v>
      </c>
      <c r="AJ14" s="327">
        <f t="shared" si="7"/>
        <v>2027</v>
      </c>
      <c r="AK14" s="327">
        <f t="shared" si="7"/>
        <v>2028</v>
      </c>
      <c r="AL14" s="327">
        <f t="shared" si="7"/>
        <v>2029</v>
      </c>
      <c r="AM14" s="327">
        <f t="shared" si="7"/>
        <v>2030</v>
      </c>
      <c r="AN14" s="327">
        <f t="shared" si="7"/>
        <v>2031</v>
      </c>
      <c r="AO14" s="327">
        <f t="shared" si="7"/>
        <v>2032</v>
      </c>
      <c r="AP14" s="327">
        <f t="shared" si="7"/>
        <v>2033</v>
      </c>
      <c r="AQ14" s="327">
        <f t="shared" si="7"/>
        <v>2034</v>
      </c>
      <c r="AR14" s="327">
        <f t="shared" si="7"/>
        <v>2035</v>
      </c>
      <c r="AS14" s="327">
        <f t="shared" si="7"/>
        <v>2036</v>
      </c>
      <c r="AT14" s="327">
        <f t="shared" si="7"/>
        <v>2037</v>
      </c>
      <c r="AU14" s="327">
        <f t="shared" si="7"/>
        <v>2038</v>
      </c>
      <c r="AV14" s="327">
        <f t="shared" si="7"/>
        <v>2039</v>
      </c>
      <c r="AW14" s="327">
        <f t="shared" si="7"/>
        <v>2040</v>
      </c>
      <c r="AX14" s="327">
        <f t="shared" si="7"/>
        <v>2041</v>
      </c>
      <c r="AY14" s="327">
        <f t="shared" si="7"/>
        <v>2042</v>
      </c>
      <c r="AZ14" s="327">
        <f t="shared" si="7"/>
        <v>2043</v>
      </c>
      <c r="BA14" s="327">
        <f t="shared" si="7"/>
        <v>2044</v>
      </c>
      <c r="BB14" s="327">
        <f t="shared" si="7"/>
        <v>2045</v>
      </c>
      <c r="BC14" s="327">
        <f t="shared" si="7"/>
        <v>2046</v>
      </c>
      <c r="BD14" s="327">
        <f t="shared" si="7"/>
        <v>2047</v>
      </c>
      <c r="BE14" s="327">
        <f t="shared" si="7"/>
        <v>2048</v>
      </c>
      <c r="BF14" s="327">
        <f t="shared" si="7"/>
        <v>2049</v>
      </c>
      <c r="BG14" s="327">
        <f t="shared" si="7"/>
        <v>2050</v>
      </c>
    </row>
    <row r="15" spans="1:59" ht="15">
      <c r="A15" s="318" t="s">
        <v>392</v>
      </c>
      <c r="B15" s="316">
        <f>'[5]Fuel Data'!B$18/'[5]Fuel Data'!$B$191/1000</f>
        <v>596.13040595338407</v>
      </c>
      <c r="C15" s="316">
        <f>'[5]Fuel Data'!C$18/'[5]Fuel Data'!$B$191/1000</f>
        <v>632.66066291366064</v>
      </c>
      <c r="D15" s="316">
        <f>'[5]Fuel Data'!D$18/'[5]Fuel Data'!$B$191/1000</f>
        <v>687.57519000583818</v>
      </c>
      <c r="E15" s="316">
        <f>'[5]Fuel Data'!E$18/'[5]Fuel Data'!$B$191/1000</f>
        <v>712.51779860041586</v>
      </c>
      <c r="F15" s="316">
        <f>'[5]Fuel Data'!F$18/'[5]Fuel Data'!$B$191/1000</f>
        <v>782.56727804914124</v>
      </c>
      <c r="G15" s="316">
        <f>'[5]Fuel Data'!G$18/'[5]Fuel Data'!$B$191/1000</f>
        <v>789.9054527779025</v>
      </c>
      <c r="H15" s="316">
        <f>'[5]Fuel Data'!H$18/'[5]Fuel Data'!$B$191/1000</f>
        <v>812.35823860559356</v>
      </c>
      <c r="I15" s="316">
        <f>'[5]Fuel Data'!I$18/'[5]Fuel Data'!$B$191/1000</f>
        <v>771.92351687135601</v>
      </c>
      <c r="J15" s="316">
        <f>'[5]Fuel Data'!J$18/'[5]Fuel Data'!$B$191/1000</f>
        <v>765.87899329266838</v>
      </c>
      <c r="K15" s="316">
        <f>'[5]Fuel Data'!K$18/'[5]Fuel Data'!$B$191/1000</f>
        <v>793.21922856440904</v>
      </c>
      <c r="L15" s="316">
        <f>'[5]Fuel Data'!L$18/'[5]Fuel Data'!$B$191/1000</f>
        <v>822.02641193424222</v>
      </c>
      <c r="M15" s="316">
        <f>'[5]Fuel Data'!M$18/'[5]Fuel Data'!$B$191/1000</f>
        <v>869.97339786179043</v>
      </c>
      <c r="N15" s="316">
        <f>'[5]Fuel Data'!N$18/'[5]Fuel Data'!$B$191/1000</f>
        <v>856.66625279692289</v>
      </c>
      <c r="O15" s="316">
        <f>'[5]Fuel Data'!O$18/'[5]Fuel Data'!$B$191/1000</f>
        <v>843.62644997503571</v>
      </c>
      <c r="P15" s="316">
        <f>'[5]Fuel Data'!P$18/'[5]Fuel Data'!$B$191/1000</f>
        <v>839.17197872885629</v>
      </c>
      <c r="Q15" s="316">
        <f>'[5]Fuel Data'!Q$18/'[5]Fuel Data'!$B$191/1000</f>
        <v>773.87812680792831</v>
      </c>
      <c r="R15" s="316">
        <f>'[5]Fuel Data'!R$18/'[5]Fuel Data'!$B$191/1000</f>
        <v>778.9066441944201</v>
      </c>
      <c r="S15" s="316">
        <f>'[5]Fuel Data'!S$18/'[5]Fuel Data'!$B$191/1000</f>
        <v>780.12976137327269</v>
      </c>
      <c r="T15" s="316">
        <f>'[5]Fuel Data'!T$18/'[5]Fuel Data'!$B$191/1000</f>
        <v>823.68726241014838</v>
      </c>
      <c r="U15" s="316">
        <f>'[5]Fuel Data'!U$18/'[5]Fuel Data'!$B$191/1000</f>
        <v>826.1543663698252</v>
      </c>
      <c r="V15" s="316">
        <f>'[5]Fuel Data'!V$18/'[5]Fuel Data'!$B$191/1000</f>
        <v>781.65271397285892</v>
      </c>
      <c r="W15" s="316">
        <f>'[5]Fuel Data'!W$18/'[5]Fuel Data'!$B$191/1000</f>
        <v>847.27440356526768</v>
      </c>
      <c r="X15" s="316">
        <f>'[5]Fuel Data'!X$18/'[5]Fuel Data'!$B$191/1000</f>
        <v>839.19654674130413</v>
      </c>
      <c r="Y15" s="316">
        <f>'[5]Fuel Data'!Y$18/'[5]Fuel Data'!$B$191/1000</f>
        <v>734.42427636636455</v>
      </c>
      <c r="Z15" s="316">
        <f>'[5]Fuel Data'!Z$18/'[5]Fuel Data'!$B$191/1000</f>
        <v>803.72641272675878</v>
      </c>
      <c r="AA15" s="316">
        <f>'[5]Fuel Data'!AA$18/'[5]Fuel Data'!$B$191/1000</f>
        <v>845.640498651401</v>
      </c>
      <c r="AB15" s="316">
        <f>'[5]Fuel Data'!AB$18/'[5]Fuel Data'!$B$191/1000</f>
        <v>887.55511292039694</v>
      </c>
      <c r="AC15" s="316">
        <f>'[5]Fuel Data'!AC$18/'[5]Fuel Data'!$B$191/1000</f>
        <v>782.50968851458617</v>
      </c>
      <c r="AD15" s="316">
        <f>'[5]Fuel Data'!AD$18/'[5]Fuel Data'!$B$191/1000</f>
        <v>958.7175497502252</v>
      </c>
      <c r="AE15" s="317">
        <f>AD15+(AD15*'[2]Canadian GDP'!$E$5)</f>
        <v>974.66020433830454</v>
      </c>
      <c r="AF15" s="317">
        <f>AE15+(AE15*'[2]Canadian GDP'!$E$5)</f>
        <v>990.86797166514725</v>
      </c>
      <c r="AG15" s="317">
        <f>AF15+(AF15*'[2]Canadian GDP'!$E$5)</f>
        <v>1007.3452603293256</v>
      </c>
      <c r="AH15" s="317">
        <f>AG15+(AG15*'[2]Canadian GDP'!$E$5)</f>
        <v>1024.0965522406434</v>
      </c>
      <c r="AI15" s="317">
        <f>AH15+(AH15*'[2]Canadian GDP'!$E$5)</f>
        <v>1041.1264038392389</v>
      </c>
      <c r="AJ15" s="317">
        <f>AI15+(AI15*'[2]Canadian GDP'!$E$5)</f>
        <v>1058.4394473349614</v>
      </c>
      <c r="AK15" s="317">
        <f>AJ15+(AJ15*'[2]Canadian GDP'!$E$5)</f>
        <v>1076.0403919673561</v>
      </c>
      <c r="AL15" s="317">
        <f>AK15+(AK15*'[2]Canadian GDP'!$E$5)</f>
        <v>1093.9340252866027</v>
      </c>
      <c r="AM15" s="317">
        <f>AL15+(AL15*'[2]Canadian GDP'!$E$5)</f>
        <v>1112.1252144557541</v>
      </c>
      <c r="AN15" s="317">
        <f>AM15+(AM15*'[2]Canadian GDP'!$E$5)</f>
        <v>1130.6189075746304</v>
      </c>
      <c r="AO15" s="317">
        <f>AN15+(AN15*'[2]Canadian GDP'!$E$5)</f>
        <v>1149.420135025729</v>
      </c>
      <c r="AP15" s="317">
        <f>AO15+(AO15*'[2]Canadian GDP'!$E$5)</f>
        <v>1168.5340108425146</v>
      </c>
      <c r="AQ15" s="317">
        <f>AP15+(AP15*'[2]Canadian GDP'!$E$5)</f>
        <v>1187.9657341004634</v>
      </c>
      <c r="AR15" s="317">
        <f>AQ15+(AQ15*'[2]Canadian GDP'!$E$5)</f>
        <v>1207.7205903312397</v>
      </c>
      <c r="AS15" s="317">
        <f>AR15+(AR15*'[2]Canadian GDP'!$E$5)</f>
        <v>1227.803952960388</v>
      </c>
      <c r="AT15" s="317">
        <f>AS15+(AS15*'[2]Canadian GDP'!$E$5)</f>
        <v>1248.2212847689332</v>
      </c>
      <c r="AU15" s="317">
        <f>AT15+(AT15*'[2]Canadian GDP'!$E$5)</f>
        <v>1268.9781393792866</v>
      </c>
      <c r="AV15" s="317">
        <f>AU15+(AU15*'[2]Canadian GDP'!$E$5)</f>
        <v>1290.08016276586</v>
      </c>
      <c r="AW15" s="317">
        <f>AV15+(AV15*'[2]Canadian GDP'!$E$5)</f>
        <v>1311.5330947908008</v>
      </c>
      <c r="AX15" s="317">
        <f>AW15+(AW15*'[2]Canadian GDP'!$E$5)</f>
        <v>1333.3427707652647</v>
      </c>
      <c r="AY15" s="317">
        <f>AX15+(AX15*'[2]Canadian GDP'!$E$5)</f>
        <v>1355.5151230366521</v>
      </c>
      <c r="AZ15" s="317">
        <f>AY15+(AY15*'[2]Canadian GDP'!$E$5)</f>
        <v>1378.0561826022367</v>
      </c>
      <c r="BA15" s="317">
        <f>AZ15+(AZ15*'[2]Canadian GDP'!$E$5)</f>
        <v>1400.9720807496301</v>
      </c>
      <c r="BB15" s="317">
        <f>BA15+(BA15*'[2]Canadian GDP'!$E$5)</f>
        <v>1424.2690507245234</v>
      </c>
      <c r="BC15" s="317">
        <f>BB15+(BB15*'[2]Canadian GDP'!$E$5)</f>
        <v>1447.9534294261634</v>
      </c>
      <c r="BD15" s="317">
        <f>BC15+(BC15*'[2]Canadian GDP'!$E$5)</f>
        <v>1472.0316591310232</v>
      </c>
      <c r="BE15" s="317">
        <f>BD15+(BD15*'[2]Canadian GDP'!$E$5)</f>
        <v>1496.5102892451348</v>
      </c>
      <c r="BF15" s="317">
        <f>BE15+(BE15*'[2]Canadian GDP'!$E$5)</f>
        <v>1521.395978085563</v>
      </c>
      <c r="BG15" s="317">
        <f>BF15+(BF15*'[2]Canadian GDP'!$E$5)</f>
        <v>1546.6954946915023</v>
      </c>
    </row>
    <row r="16" spans="1:59" ht="15">
      <c r="A16" s="318" t="s">
        <v>393</v>
      </c>
      <c r="AE16" s="328"/>
      <c r="AF16" s="329">
        <v>0.03</v>
      </c>
      <c r="AG16" s="329">
        <v>0.03</v>
      </c>
      <c r="AH16" s="329">
        <v>0.03</v>
      </c>
      <c r="AI16" s="329">
        <v>0.03</v>
      </c>
      <c r="AJ16" s="329">
        <v>0.03</v>
      </c>
      <c r="AK16" s="329">
        <v>0.03</v>
      </c>
      <c r="AL16" s="329">
        <v>0.03</v>
      </c>
      <c r="AM16" s="329">
        <v>0.1</v>
      </c>
      <c r="AN16" s="329">
        <v>0.1</v>
      </c>
      <c r="AO16" s="329">
        <v>0.1</v>
      </c>
      <c r="AP16" s="329">
        <v>0.1</v>
      </c>
      <c r="AQ16" s="329">
        <v>0.1</v>
      </c>
      <c r="AR16" s="329">
        <v>0.1</v>
      </c>
      <c r="AS16" s="329">
        <v>0.1</v>
      </c>
      <c r="AT16" s="329">
        <v>0.1</v>
      </c>
      <c r="AU16" s="329">
        <v>0.1</v>
      </c>
      <c r="AV16" s="329">
        <v>0.1</v>
      </c>
      <c r="AW16" s="329">
        <v>0.1</v>
      </c>
      <c r="AX16" s="329">
        <v>0.1</v>
      </c>
      <c r="AY16" s="329">
        <v>0.1</v>
      </c>
      <c r="AZ16" s="329">
        <v>0.1</v>
      </c>
      <c r="BA16" s="329">
        <v>0.1</v>
      </c>
      <c r="BB16" s="329">
        <v>0.1</v>
      </c>
      <c r="BC16" s="329">
        <v>0.1</v>
      </c>
      <c r="BD16" s="329">
        <v>0.1</v>
      </c>
      <c r="BE16" s="329">
        <v>0.1</v>
      </c>
      <c r="BF16" s="329">
        <v>0.1</v>
      </c>
      <c r="BG16" s="329">
        <v>0.1</v>
      </c>
    </row>
    <row r="17" spans="1:59">
      <c r="A17" s="318" t="s">
        <v>394</v>
      </c>
      <c r="AF17" s="317">
        <f>(AF15*AF16)-(AF15*0.02)</f>
        <v>9.90867971665147</v>
      </c>
      <c r="AG17" s="317">
        <f t="shared" ref="AG17:BG17" si="8">(AG15*AG16)-(AG15*0.02)</f>
        <v>10.073452603293251</v>
      </c>
      <c r="AH17" s="317">
        <f t="shared" si="8"/>
        <v>10.240965522406434</v>
      </c>
      <c r="AI17" s="317">
        <f t="shared" si="8"/>
        <v>10.411264038392389</v>
      </c>
      <c r="AJ17" s="317">
        <f t="shared" si="8"/>
        <v>10.584394473349612</v>
      </c>
      <c r="AK17" s="317">
        <f t="shared" si="8"/>
        <v>10.760403919673557</v>
      </c>
      <c r="AL17" s="317">
        <f t="shared" si="8"/>
        <v>10.939340252866025</v>
      </c>
      <c r="AM17" s="317">
        <f t="shared" si="8"/>
        <v>88.970017156460329</v>
      </c>
      <c r="AN17" s="317">
        <f t="shared" si="8"/>
        <v>90.44951260597044</v>
      </c>
      <c r="AO17" s="317">
        <f t="shared" si="8"/>
        <v>91.953610802058321</v>
      </c>
      <c r="AP17" s="317">
        <f t="shared" si="8"/>
        <v>93.48272086740117</v>
      </c>
      <c r="AQ17" s="317">
        <f t="shared" si="8"/>
        <v>95.037258728037074</v>
      </c>
      <c r="AR17" s="317">
        <f t="shared" si="8"/>
        <v>96.617647226499187</v>
      </c>
      <c r="AS17" s="317">
        <f t="shared" si="8"/>
        <v>98.224316236831044</v>
      </c>
      <c r="AT17" s="317">
        <f t="shared" si="8"/>
        <v>99.857702781514661</v>
      </c>
      <c r="AU17" s="317">
        <f t="shared" si="8"/>
        <v>101.51825115034293</v>
      </c>
      <c r="AV17" s="317">
        <f t="shared" si="8"/>
        <v>103.2064130212688</v>
      </c>
      <c r="AW17" s="317">
        <f t="shared" si="8"/>
        <v>104.92264758326408</v>
      </c>
      <c r="AX17" s="317">
        <f t="shared" si="8"/>
        <v>106.6674216612212</v>
      </c>
      <c r="AY17" s="317">
        <f t="shared" si="8"/>
        <v>108.44120984293218</v>
      </c>
      <c r="AZ17" s="317">
        <f t="shared" si="8"/>
        <v>110.24449460817894</v>
      </c>
      <c r="BA17" s="317">
        <f t="shared" si="8"/>
        <v>112.07776645997042</v>
      </c>
      <c r="BB17" s="317">
        <f t="shared" si="8"/>
        <v>113.94152405796187</v>
      </c>
      <c r="BC17" s="317">
        <f t="shared" si="8"/>
        <v>115.83627435409308</v>
      </c>
      <c r="BD17" s="317">
        <f t="shared" si="8"/>
        <v>117.76253273048185</v>
      </c>
      <c r="BE17" s="317">
        <f t="shared" si="8"/>
        <v>119.7208231396108</v>
      </c>
      <c r="BF17" s="317">
        <f t="shared" si="8"/>
        <v>121.71167824684505</v>
      </c>
      <c r="BG17" s="317">
        <f t="shared" si="8"/>
        <v>123.73563957532019</v>
      </c>
    </row>
    <row r="19" spans="1:59" ht="18.75" thickBot="1">
      <c r="A19" s="315" t="s">
        <v>45</v>
      </c>
    </row>
    <row r="20" spans="1:59" ht="16.5" thickBot="1">
      <c r="A20" s="326"/>
      <c r="B20" s="327">
        <f>B2</f>
        <v>1993</v>
      </c>
      <c r="C20" s="327">
        <f t="shared" ref="C20:BG20" si="9">C2</f>
        <v>1994</v>
      </c>
      <c r="D20" s="327">
        <f t="shared" si="9"/>
        <v>1995</v>
      </c>
      <c r="E20" s="327">
        <f t="shared" si="9"/>
        <v>1996</v>
      </c>
      <c r="F20" s="327">
        <f t="shared" si="9"/>
        <v>1997</v>
      </c>
      <c r="G20" s="327">
        <f t="shared" si="9"/>
        <v>1998</v>
      </c>
      <c r="H20" s="327">
        <f t="shared" si="9"/>
        <v>1999</v>
      </c>
      <c r="I20" s="327">
        <f t="shared" si="9"/>
        <v>2000</v>
      </c>
      <c r="J20" s="327">
        <f t="shared" si="9"/>
        <v>2001</v>
      </c>
      <c r="K20" s="327">
        <f t="shared" si="9"/>
        <v>2002</v>
      </c>
      <c r="L20" s="327">
        <f t="shared" si="9"/>
        <v>2003</v>
      </c>
      <c r="M20" s="327">
        <f t="shared" si="9"/>
        <v>2004</v>
      </c>
      <c r="N20" s="327">
        <f t="shared" si="9"/>
        <v>2005</v>
      </c>
      <c r="O20" s="327">
        <f t="shared" si="9"/>
        <v>2006</v>
      </c>
      <c r="P20" s="327">
        <f t="shared" si="9"/>
        <v>2007</v>
      </c>
      <c r="Q20" s="327">
        <f t="shared" si="9"/>
        <v>2008</v>
      </c>
      <c r="R20" s="327">
        <f t="shared" si="9"/>
        <v>2009</v>
      </c>
      <c r="S20" s="327">
        <f t="shared" si="9"/>
        <v>2010</v>
      </c>
      <c r="T20" s="327">
        <f t="shared" si="9"/>
        <v>2011</v>
      </c>
      <c r="U20" s="327">
        <f t="shared" si="9"/>
        <v>2012</v>
      </c>
      <c r="V20" s="327">
        <f t="shared" si="9"/>
        <v>2013</v>
      </c>
      <c r="W20" s="327">
        <f t="shared" si="9"/>
        <v>2014</v>
      </c>
      <c r="X20" s="327">
        <f t="shared" si="9"/>
        <v>2015</v>
      </c>
      <c r="Y20" s="327">
        <f t="shared" si="9"/>
        <v>2016</v>
      </c>
      <c r="Z20" s="327">
        <f t="shared" si="9"/>
        <v>2017</v>
      </c>
      <c r="AA20" s="327">
        <f t="shared" si="9"/>
        <v>2018</v>
      </c>
      <c r="AB20" s="327">
        <f t="shared" si="9"/>
        <v>2019</v>
      </c>
      <c r="AC20" s="327">
        <f t="shared" si="9"/>
        <v>2020</v>
      </c>
      <c r="AD20" s="327">
        <f t="shared" si="9"/>
        <v>2021</v>
      </c>
      <c r="AE20" s="327">
        <f t="shared" si="9"/>
        <v>2022</v>
      </c>
      <c r="AF20" s="327">
        <f t="shared" si="9"/>
        <v>2023</v>
      </c>
      <c r="AG20" s="327">
        <f t="shared" si="9"/>
        <v>2024</v>
      </c>
      <c r="AH20" s="327">
        <f t="shared" si="9"/>
        <v>2025</v>
      </c>
      <c r="AI20" s="327">
        <f t="shared" si="9"/>
        <v>2026</v>
      </c>
      <c r="AJ20" s="327">
        <f t="shared" si="9"/>
        <v>2027</v>
      </c>
      <c r="AK20" s="327">
        <f t="shared" si="9"/>
        <v>2028</v>
      </c>
      <c r="AL20" s="327">
        <f t="shared" si="9"/>
        <v>2029</v>
      </c>
      <c r="AM20" s="327">
        <f t="shared" si="9"/>
        <v>2030</v>
      </c>
      <c r="AN20" s="327">
        <f t="shared" si="9"/>
        <v>2031</v>
      </c>
      <c r="AO20" s="327">
        <f t="shared" si="9"/>
        <v>2032</v>
      </c>
      <c r="AP20" s="327">
        <f t="shared" si="9"/>
        <v>2033</v>
      </c>
      <c r="AQ20" s="327">
        <f t="shared" si="9"/>
        <v>2034</v>
      </c>
      <c r="AR20" s="327">
        <f t="shared" si="9"/>
        <v>2035</v>
      </c>
      <c r="AS20" s="327">
        <f t="shared" si="9"/>
        <v>2036</v>
      </c>
      <c r="AT20" s="327">
        <f t="shared" si="9"/>
        <v>2037</v>
      </c>
      <c r="AU20" s="327">
        <f t="shared" si="9"/>
        <v>2038</v>
      </c>
      <c r="AV20" s="327">
        <f t="shared" si="9"/>
        <v>2039</v>
      </c>
      <c r="AW20" s="327">
        <f t="shared" si="9"/>
        <v>2040</v>
      </c>
      <c r="AX20" s="327">
        <f t="shared" si="9"/>
        <v>2041</v>
      </c>
      <c r="AY20" s="327">
        <f t="shared" si="9"/>
        <v>2042</v>
      </c>
      <c r="AZ20" s="327">
        <f t="shared" si="9"/>
        <v>2043</v>
      </c>
      <c r="BA20" s="327">
        <f t="shared" si="9"/>
        <v>2044</v>
      </c>
      <c r="BB20" s="327">
        <f t="shared" si="9"/>
        <v>2045</v>
      </c>
      <c r="BC20" s="327">
        <f t="shared" si="9"/>
        <v>2046</v>
      </c>
      <c r="BD20" s="327">
        <f t="shared" si="9"/>
        <v>2047</v>
      </c>
      <c r="BE20" s="327">
        <f t="shared" si="9"/>
        <v>2048</v>
      </c>
      <c r="BF20" s="327">
        <f t="shared" si="9"/>
        <v>2049</v>
      </c>
      <c r="BG20" s="327">
        <f t="shared" si="9"/>
        <v>2050</v>
      </c>
    </row>
    <row r="21" spans="1:59" ht="15">
      <c r="A21" s="318" t="s">
        <v>392</v>
      </c>
      <c r="B21" s="316">
        <f>'[5]Fuel Data'!B$31/'[5]Fuel Data'!$B$191/1000</f>
        <v>747.73934659653776</v>
      </c>
      <c r="C21" s="316">
        <f>'[5]Fuel Data'!C$31/'[5]Fuel Data'!$B$191/1000</f>
        <v>811.11425182476933</v>
      </c>
      <c r="D21" s="316">
        <f>'[5]Fuel Data'!D$31/'[5]Fuel Data'!$B$191/1000</f>
        <v>877.39505099843871</v>
      </c>
      <c r="E21" s="316">
        <f>'[5]Fuel Data'!E$31/'[5]Fuel Data'!$B$191/1000</f>
        <v>912.08085781989269</v>
      </c>
      <c r="F21" s="316">
        <f>'[5]Fuel Data'!F$31/'[5]Fuel Data'!$B$191/1000</f>
        <v>1000.050192713603</v>
      </c>
      <c r="G21" s="316">
        <f>'[5]Fuel Data'!G$31/'[5]Fuel Data'!$B$191/1000</f>
        <v>996.69520606750655</v>
      </c>
      <c r="H21" s="316">
        <f>'[5]Fuel Data'!H$31/'[5]Fuel Data'!$B$191/1000</f>
        <v>1064.2176144724085</v>
      </c>
      <c r="I21" s="316">
        <f>'[5]Fuel Data'!I$31/'[5]Fuel Data'!$B$191/1000</f>
        <v>1145.1863866793822</v>
      </c>
      <c r="J21" s="316">
        <f>'[5]Fuel Data'!J$31/'[5]Fuel Data'!$B$191/1000</f>
        <v>1150.4975682951119</v>
      </c>
      <c r="K21" s="316">
        <f>'[5]Fuel Data'!K$31/'[5]Fuel Data'!$B$191/1000</f>
        <v>1204.8966954702398</v>
      </c>
      <c r="L21" s="316">
        <f>'[5]Fuel Data'!L$31/'[5]Fuel Data'!$B$191/1000</f>
        <v>1328.7435178752103</v>
      </c>
      <c r="M21" s="316">
        <f>'[5]Fuel Data'!M$31/'[5]Fuel Data'!$B$191/1000</f>
        <v>1401.0374041385212</v>
      </c>
      <c r="N21" s="316">
        <f>'[5]Fuel Data'!N$31/'[5]Fuel Data'!$B$191/1000</f>
        <v>1434.5566266269702</v>
      </c>
      <c r="O21" s="316">
        <f>'[5]Fuel Data'!O$31/'[5]Fuel Data'!$B$191/1000</f>
        <v>1422.3933470878981</v>
      </c>
      <c r="P21" s="316">
        <f>'[5]Fuel Data'!P$31/'[5]Fuel Data'!$B$191/1000</f>
        <v>1421.3733783130492</v>
      </c>
      <c r="Q21" s="316">
        <f>'[5]Fuel Data'!Q$31/'[5]Fuel Data'!$B$191/1000</f>
        <v>1355.8465265321324</v>
      </c>
      <c r="R21" s="316">
        <f>'[5]Fuel Data'!R$31/'[5]Fuel Data'!$B$191/1000</f>
        <v>1257.4846582008288</v>
      </c>
      <c r="S21" s="316">
        <f>'[5]Fuel Data'!S$31/'[5]Fuel Data'!$B$191/1000</f>
        <v>1317.3006358624295</v>
      </c>
      <c r="T21" s="316">
        <f>'[5]Fuel Data'!T$31/'[5]Fuel Data'!$B$191/1000</f>
        <v>1326.3657041113115</v>
      </c>
      <c r="U21" s="316">
        <f>'[5]Fuel Data'!U$31/'[5]Fuel Data'!$B$191/1000</f>
        <v>1332.4559294765957</v>
      </c>
      <c r="V21" s="316">
        <f>'[5]Fuel Data'!V$31/'[5]Fuel Data'!$B$191/1000</f>
        <v>1366.1130498413645</v>
      </c>
      <c r="W21" s="316">
        <f>'[5]Fuel Data'!W$31/'[5]Fuel Data'!$B$191/1000</f>
        <v>1305.6897403451671</v>
      </c>
      <c r="X21" s="316">
        <f>'[5]Fuel Data'!X$31/'[5]Fuel Data'!$B$191/1000</f>
        <v>1434.9970016457926</v>
      </c>
      <c r="Y21" s="316">
        <f>'[5]Fuel Data'!Y$31/'[5]Fuel Data'!$B$191/1000</f>
        <v>1442.1285937322509</v>
      </c>
      <c r="Z21" s="316">
        <f>'[5]Fuel Data'!Z$31/'[5]Fuel Data'!$B$191/1000</f>
        <v>1453.3004350915751</v>
      </c>
      <c r="AA21" s="316">
        <f>'[5]Fuel Data'!AA$31/'[5]Fuel Data'!$B$191/1000</f>
        <v>1464.8400041210859</v>
      </c>
      <c r="AB21" s="316">
        <f>'[5]Fuel Data'!AB$31/'[5]Fuel Data'!$B$191/1000</f>
        <v>1471.3692836443079</v>
      </c>
      <c r="AC21" s="316">
        <f>'[5]Fuel Data'!AC$31/'[5]Fuel Data'!$B$191/1000</f>
        <v>1369.0337374287064</v>
      </c>
      <c r="AD21" s="316">
        <f>'[5]Fuel Data'!AD$31/'[5]Fuel Data'!$B$191/1000</f>
        <v>1455.0019680827177</v>
      </c>
      <c r="AE21" s="317">
        <f>AD21+(AD21*'[2]Canadian GDP'!$E$5)</f>
        <v>1479.1974089695168</v>
      </c>
      <c r="AF21" s="317">
        <f>AE21+(AE21*'[2]Canadian GDP'!$E$6)</f>
        <v>1499.8966847344655</v>
      </c>
      <c r="AG21" s="317">
        <f>AF21+(AF21*'[2]Canadian GDP'!$E$7)</f>
        <v>1519.9606399604056</v>
      </c>
      <c r="AH21" s="317">
        <f>AG21+(AG21*'[2]Canadian GDP'!$E$8)</f>
        <v>1539.4387307371996</v>
      </c>
      <c r="AI21" s="317">
        <f>AH21+(AH21*'[2]Canadian GDP'!$E$9)</f>
        <v>1558.4717167052274</v>
      </c>
      <c r="AJ21" s="317">
        <f>AI21+(AI21*'[2]Canadian GDP'!$E$10)</f>
        <v>1577.0557935498837</v>
      </c>
      <c r="AK21" s="317">
        <f>AJ21+(AJ21*'[2]Canadian GDP'!$E$11)</f>
        <v>1595.1719396981443</v>
      </c>
      <c r="AL21" s="317">
        <f>AK21+(AK21*'[2]Canadian GDP'!$E$12)</f>
        <v>1612.8011335769852</v>
      </c>
      <c r="AM21" s="317">
        <f>AL21+(AL21*'[2]Canadian GDP'!$E$13)</f>
        <v>1629.9205492987769</v>
      </c>
      <c r="AN21" s="317">
        <f>AM21+(AM21*'[2]Canadian GDP'!$E$14)</f>
        <v>1646.5073609758908</v>
      </c>
      <c r="AO21" s="317">
        <f>AN21+(AN21*'[2]Canadian GDP'!$E$15)</f>
        <v>1662.5463513499071</v>
      </c>
      <c r="AP21" s="317">
        <f>AO21+(AO21*'[2]Canadian GDP'!$E$16)</f>
        <v>1678.2163232072539</v>
      </c>
      <c r="AQ21" s="317">
        <f>AP21+(AP21*'[2]Canadian GDP'!$E$17)</f>
        <v>1693.4982549749068</v>
      </c>
      <c r="AR21" s="317">
        <f>AQ21+(AQ21*'[2]Canadian GDP'!$E$18)</f>
        <v>1708.3959509674708</v>
      </c>
      <c r="AS21" s="317">
        <f>AR21+(AR21*'[2]Canadian GDP'!$E$19)</f>
        <v>1722.9246284433646</v>
      </c>
      <c r="AT21" s="317">
        <f>AS21+(AS21*'[2]Canadian GDP'!$E$20)</f>
        <v>1737.0957003464032</v>
      </c>
      <c r="AU21" s="317">
        <f>AT21+(AT21*'[2]Canadian GDP'!$E$21)</f>
        <v>1750.9472098226356</v>
      </c>
      <c r="AV21" s="317">
        <f>AU21+(AU21*'[2]Canadian GDP'!$E$22)</f>
        <v>1764.5248086473187</v>
      </c>
      <c r="AW21" s="317">
        <f>AV21+(AV21*'[2]Canadian GDP'!$E$23)</f>
        <v>1777.8703442811068</v>
      </c>
      <c r="AX21" s="317">
        <f>AW21+(AW21*'[2]Canadian GDP'!$E$23)</f>
        <v>1791.3168154871692</v>
      </c>
      <c r="AY21" s="317">
        <f>AX21+(AX21*'[2]Canadian GDP'!$E$23)</f>
        <v>1804.8649856660936</v>
      </c>
      <c r="AZ21" s="317">
        <f>AY21+(AY21*'[2]Canadian GDP'!$E$23)</f>
        <v>1818.5156239922549</v>
      </c>
      <c r="BA21" s="317">
        <f>AZ21+(AZ21*'[2]Canadian GDP'!$E$23)</f>
        <v>1832.2695054574829</v>
      </c>
      <c r="BB21" s="317">
        <f>BA21+(BA21*'[2]Canadian GDP'!$E$23)</f>
        <v>1846.1274109150613</v>
      </c>
      <c r="BC21" s="317">
        <f>BB21+(BB21*'[2]Canadian GDP'!$E$23)</f>
        <v>1860.09012712406</v>
      </c>
      <c r="BD21" s="317">
        <f>BC21+(BC21*'[2]Canadian GDP'!$E$23)</f>
        <v>1874.1584467940008</v>
      </c>
      <c r="BE21" s="317">
        <f>BD21+(BD21*'[2]Canadian GDP'!$E$23)</f>
        <v>1888.3331686298634</v>
      </c>
      <c r="BF21" s="317">
        <f>BE21+(BE21*'[2]Canadian GDP'!$E$23)</f>
        <v>1902.6150973774297</v>
      </c>
      <c r="BG21" s="317">
        <f>BF21+(BF21*'[2]Canadian GDP'!$E$23)</f>
        <v>1917.0050438689721</v>
      </c>
    </row>
    <row r="22" spans="1:59" ht="15">
      <c r="A22" s="318" t="s">
        <v>393</v>
      </c>
      <c r="AC22" s="328">
        <v>0.04</v>
      </c>
      <c r="AD22" s="328">
        <v>0.04</v>
      </c>
      <c r="AE22" s="329">
        <v>0.04</v>
      </c>
      <c r="AF22" s="329">
        <v>0.04</v>
      </c>
      <c r="AG22" s="329">
        <v>0.04</v>
      </c>
      <c r="AH22" s="329">
        <v>0.04</v>
      </c>
      <c r="AI22" s="329">
        <v>0.04</v>
      </c>
      <c r="AJ22" s="329">
        <v>0.04</v>
      </c>
      <c r="AK22" s="329">
        <v>0.04</v>
      </c>
      <c r="AL22" s="329">
        <v>0.04</v>
      </c>
      <c r="AM22" s="329">
        <v>0.04</v>
      </c>
      <c r="AN22" s="329">
        <v>0.04</v>
      </c>
      <c r="AO22" s="329">
        <v>0.04</v>
      </c>
      <c r="AP22" s="329">
        <v>0.04</v>
      </c>
      <c r="AQ22" s="329">
        <v>0.04</v>
      </c>
      <c r="AR22" s="329">
        <v>0.04</v>
      </c>
      <c r="AS22" s="329">
        <v>0.04</v>
      </c>
      <c r="AT22" s="329">
        <v>0.04</v>
      </c>
      <c r="AU22" s="329">
        <v>0.04</v>
      </c>
      <c r="AV22" s="329">
        <v>0.04</v>
      </c>
      <c r="AW22" s="329">
        <v>0.04</v>
      </c>
      <c r="AX22" s="329">
        <v>0.04</v>
      </c>
      <c r="AY22" s="329">
        <v>0.04</v>
      </c>
      <c r="AZ22" s="329">
        <v>0.04</v>
      </c>
      <c r="BA22" s="329">
        <v>0.04</v>
      </c>
      <c r="BB22" s="329">
        <v>0.04</v>
      </c>
      <c r="BC22" s="329">
        <v>0.04</v>
      </c>
      <c r="BD22" s="329">
        <v>0.04</v>
      </c>
      <c r="BE22" s="329">
        <v>0.04</v>
      </c>
      <c r="BF22" s="329">
        <v>0.04</v>
      </c>
      <c r="BG22" s="329">
        <v>0.04</v>
      </c>
    </row>
    <row r="23" spans="1:59" ht="15">
      <c r="A23" s="318" t="s">
        <v>394</v>
      </c>
      <c r="AC23" s="316">
        <f>AC21*AC22</f>
        <v>54.76134949714826</v>
      </c>
      <c r="AD23" s="316">
        <f>AD21*AD22</f>
        <v>58.200078723308707</v>
      </c>
      <c r="AE23" s="317">
        <f>(AE21*AE22)-(AE21*0.02)</f>
        <v>29.583948179390337</v>
      </c>
      <c r="AF23" s="317">
        <f t="shared" ref="AF23:AS23" si="10">(AF21*AF22)-(AF21*0.02)</f>
        <v>29.997933694689308</v>
      </c>
      <c r="AG23" s="317">
        <f t="shared" si="10"/>
        <v>30.399212799208112</v>
      </c>
      <c r="AH23" s="317">
        <f t="shared" si="10"/>
        <v>30.788774614743993</v>
      </c>
      <c r="AI23" s="317">
        <f t="shared" si="10"/>
        <v>31.169434334104551</v>
      </c>
      <c r="AJ23" s="317">
        <f t="shared" si="10"/>
        <v>31.541115870997675</v>
      </c>
      <c r="AK23" s="317">
        <f t="shared" si="10"/>
        <v>31.903438793962888</v>
      </c>
      <c r="AL23" s="317">
        <f t="shared" si="10"/>
        <v>32.256022671539704</v>
      </c>
      <c r="AM23" s="317">
        <f t="shared" si="10"/>
        <v>32.598410985975541</v>
      </c>
      <c r="AN23" s="317">
        <f t="shared" si="10"/>
        <v>32.930147219517821</v>
      </c>
      <c r="AO23" s="317">
        <f t="shared" si="10"/>
        <v>33.250927026998141</v>
      </c>
      <c r="AP23" s="317">
        <f t="shared" si="10"/>
        <v>33.564326464145083</v>
      </c>
      <c r="AQ23" s="317">
        <f t="shared" si="10"/>
        <v>33.869965099498138</v>
      </c>
      <c r="AR23" s="317">
        <f t="shared" si="10"/>
        <v>34.167919019349412</v>
      </c>
      <c r="AS23" s="317">
        <f t="shared" si="10"/>
        <v>34.458492568867293</v>
      </c>
      <c r="AT23" s="317">
        <f>(AT21*AT22)-(AT21*0.02)</f>
        <v>34.741914006928063</v>
      </c>
      <c r="AU23" s="317">
        <f>(AU21*AU22)-(AU21*0.02)</f>
        <v>35.018944196452715</v>
      </c>
      <c r="AV23" s="317">
        <f>(AV21*AV22)-(AV21*0.02)</f>
        <v>35.290496172946376</v>
      </c>
      <c r="AW23" s="317">
        <f>(AW21*AW22)-(AW21*0.02)</f>
        <v>35.557406885622136</v>
      </c>
      <c r="AX23" s="317">
        <f t="shared" ref="AX23:BG23" si="11">(AX21*AX22)-(AX21*0.02)</f>
        <v>35.826336309743382</v>
      </c>
      <c r="AY23" s="317">
        <f t="shared" si="11"/>
        <v>36.097299713321874</v>
      </c>
      <c r="AZ23" s="317">
        <f t="shared" si="11"/>
        <v>36.370312479845097</v>
      </c>
      <c r="BA23" s="317">
        <f t="shared" si="11"/>
        <v>36.645390109149659</v>
      </c>
      <c r="BB23" s="317">
        <f t="shared" si="11"/>
        <v>36.92254821830123</v>
      </c>
      <c r="BC23" s="317">
        <f t="shared" si="11"/>
        <v>37.201802542481204</v>
      </c>
      <c r="BD23" s="317">
        <f t="shared" si="11"/>
        <v>37.483168935880016</v>
      </c>
      <c r="BE23" s="317">
        <f t="shared" si="11"/>
        <v>37.766663372597272</v>
      </c>
      <c r="BF23" s="317">
        <f t="shared" si="11"/>
        <v>38.052301947548592</v>
      </c>
      <c r="BG23" s="317">
        <f t="shared" si="11"/>
        <v>38.340100877379442</v>
      </c>
    </row>
    <row r="24" spans="1:59" ht="15">
      <c r="AE24" s="320"/>
      <c r="AF24" s="320"/>
      <c r="AG24" s="320"/>
      <c r="AH24" s="320"/>
      <c r="AI24" s="320"/>
      <c r="AJ24" s="320"/>
      <c r="AK24" s="320"/>
      <c r="AL24" s="320"/>
      <c r="AM24" s="320"/>
      <c r="AN24" s="320"/>
      <c r="AO24" s="320"/>
      <c r="AP24" s="320"/>
      <c r="AQ24" s="320"/>
      <c r="AR24" s="320"/>
      <c r="AS24" s="320"/>
      <c r="AT24" s="320"/>
      <c r="AU24" s="320"/>
      <c r="AV24" s="320"/>
      <c r="AW24" s="320"/>
      <c r="AX24" s="320"/>
      <c r="AY24" s="320"/>
      <c r="AZ24" s="320"/>
      <c r="BA24" s="320"/>
      <c r="BB24" s="320"/>
      <c r="BC24" s="320"/>
      <c r="BD24" s="320"/>
      <c r="BE24" s="320"/>
      <c r="BF24" s="320"/>
      <c r="BG24" s="320"/>
    </row>
    <row r="25" spans="1:59" ht="18.75" thickBot="1">
      <c r="A25" s="315" t="s">
        <v>44</v>
      </c>
      <c r="AE25" s="320"/>
      <c r="AF25" s="320"/>
      <c r="AG25" s="320"/>
      <c r="AH25" s="320"/>
      <c r="AI25" s="320"/>
      <c r="AJ25" s="320"/>
      <c r="AK25" s="320"/>
      <c r="AL25" s="320"/>
      <c r="AM25" s="320"/>
      <c r="AN25" s="320"/>
      <c r="AO25" s="320"/>
      <c r="AP25" s="320"/>
      <c r="AQ25" s="320"/>
      <c r="AR25" s="320"/>
      <c r="AS25" s="320"/>
      <c r="AT25" s="320"/>
      <c r="AU25" s="320"/>
      <c r="AV25" s="320"/>
      <c r="AW25" s="320"/>
      <c r="AX25" s="320"/>
      <c r="AY25" s="320"/>
      <c r="AZ25" s="320"/>
      <c r="BA25" s="320"/>
      <c r="BB25" s="320"/>
      <c r="BC25" s="320"/>
      <c r="BD25" s="320"/>
      <c r="BE25" s="320"/>
      <c r="BF25" s="320"/>
      <c r="BG25" s="320"/>
    </row>
    <row r="26" spans="1:59" ht="16.5" thickBot="1">
      <c r="A26" s="326"/>
      <c r="B26" s="327">
        <f>B2</f>
        <v>1993</v>
      </c>
      <c r="C26" s="327">
        <f t="shared" ref="C26:BG26" si="12">C2</f>
        <v>1994</v>
      </c>
      <c r="D26" s="327">
        <f t="shared" si="12"/>
        <v>1995</v>
      </c>
      <c r="E26" s="327">
        <f t="shared" si="12"/>
        <v>1996</v>
      </c>
      <c r="F26" s="327">
        <f t="shared" si="12"/>
        <v>1997</v>
      </c>
      <c r="G26" s="327">
        <f t="shared" si="12"/>
        <v>1998</v>
      </c>
      <c r="H26" s="327">
        <f t="shared" si="12"/>
        <v>1999</v>
      </c>
      <c r="I26" s="327">
        <f t="shared" si="12"/>
        <v>2000</v>
      </c>
      <c r="J26" s="327">
        <f t="shared" si="12"/>
        <v>2001</v>
      </c>
      <c r="K26" s="327">
        <f t="shared" si="12"/>
        <v>2002</v>
      </c>
      <c r="L26" s="327">
        <f t="shared" si="12"/>
        <v>2003</v>
      </c>
      <c r="M26" s="327">
        <f t="shared" si="12"/>
        <v>2004</v>
      </c>
      <c r="N26" s="327">
        <f t="shared" si="12"/>
        <v>2005</v>
      </c>
      <c r="O26" s="327">
        <f t="shared" si="12"/>
        <v>2006</v>
      </c>
      <c r="P26" s="327">
        <f t="shared" si="12"/>
        <v>2007</v>
      </c>
      <c r="Q26" s="327">
        <f t="shared" si="12"/>
        <v>2008</v>
      </c>
      <c r="R26" s="327">
        <f t="shared" si="12"/>
        <v>2009</v>
      </c>
      <c r="S26" s="327">
        <f t="shared" si="12"/>
        <v>2010</v>
      </c>
      <c r="T26" s="327">
        <f t="shared" si="12"/>
        <v>2011</v>
      </c>
      <c r="U26" s="327">
        <f t="shared" si="12"/>
        <v>2012</v>
      </c>
      <c r="V26" s="327">
        <f t="shared" si="12"/>
        <v>2013</v>
      </c>
      <c r="W26" s="327">
        <f t="shared" si="12"/>
        <v>2014</v>
      </c>
      <c r="X26" s="327">
        <f t="shared" si="12"/>
        <v>2015</v>
      </c>
      <c r="Y26" s="327">
        <f t="shared" si="12"/>
        <v>2016</v>
      </c>
      <c r="Z26" s="327">
        <f t="shared" si="12"/>
        <v>2017</v>
      </c>
      <c r="AA26" s="327">
        <f t="shared" si="12"/>
        <v>2018</v>
      </c>
      <c r="AB26" s="327">
        <f t="shared" si="12"/>
        <v>2019</v>
      </c>
      <c r="AC26" s="327">
        <f t="shared" si="12"/>
        <v>2020</v>
      </c>
      <c r="AD26" s="327">
        <f t="shared" si="12"/>
        <v>2021</v>
      </c>
      <c r="AE26" s="327">
        <f t="shared" si="12"/>
        <v>2022</v>
      </c>
      <c r="AF26" s="327">
        <f t="shared" si="12"/>
        <v>2023</v>
      </c>
      <c r="AG26" s="327">
        <f t="shared" si="12"/>
        <v>2024</v>
      </c>
      <c r="AH26" s="327">
        <f t="shared" si="12"/>
        <v>2025</v>
      </c>
      <c r="AI26" s="327">
        <f t="shared" si="12"/>
        <v>2026</v>
      </c>
      <c r="AJ26" s="327">
        <f t="shared" si="12"/>
        <v>2027</v>
      </c>
      <c r="AK26" s="327">
        <f t="shared" si="12"/>
        <v>2028</v>
      </c>
      <c r="AL26" s="327">
        <f t="shared" si="12"/>
        <v>2029</v>
      </c>
      <c r="AM26" s="327">
        <f t="shared" si="12"/>
        <v>2030</v>
      </c>
      <c r="AN26" s="327">
        <f t="shared" si="12"/>
        <v>2031</v>
      </c>
      <c r="AO26" s="327">
        <f t="shared" si="12"/>
        <v>2032</v>
      </c>
      <c r="AP26" s="327">
        <f t="shared" si="12"/>
        <v>2033</v>
      </c>
      <c r="AQ26" s="327">
        <f t="shared" si="12"/>
        <v>2034</v>
      </c>
      <c r="AR26" s="327">
        <f t="shared" si="12"/>
        <v>2035</v>
      </c>
      <c r="AS26" s="327">
        <f t="shared" si="12"/>
        <v>2036</v>
      </c>
      <c r="AT26" s="327">
        <f t="shared" si="12"/>
        <v>2037</v>
      </c>
      <c r="AU26" s="327">
        <f t="shared" si="12"/>
        <v>2038</v>
      </c>
      <c r="AV26" s="327">
        <f t="shared" si="12"/>
        <v>2039</v>
      </c>
      <c r="AW26" s="327">
        <f t="shared" si="12"/>
        <v>2040</v>
      </c>
      <c r="AX26" s="327">
        <f t="shared" si="12"/>
        <v>2041</v>
      </c>
      <c r="AY26" s="327">
        <f t="shared" si="12"/>
        <v>2042</v>
      </c>
      <c r="AZ26" s="327">
        <f t="shared" si="12"/>
        <v>2043</v>
      </c>
      <c r="BA26" s="327">
        <f t="shared" si="12"/>
        <v>2044</v>
      </c>
      <c r="BB26" s="327">
        <f t="shared" si="12"/>
        <v>2045</v>
      </c>
      <c r="BC26" s="327">
        <f t="shared" si="12"/>
        <v>2046</v>
      </c>
      <c r="BD26" s="327">
        <f t="shared" si="12"/>
        <v>2047</v>
      </c>
      <c r="BE26" s="327">
        <f t="shared" si="12"/>
        <v>2048</v>
      </c>
      <c r="BF26" s="327">
        <f t="shared" si="12"/>
        <v>2049</v>
      </c>
      <c r="BG26" s="327">
        <f t="shared" si="12"/>
        <v>2050</v>
      </c>
    </row>
    <row r="27" spans="1:59" ht="15">
      <c r="A27" s="318" t="s">
        <v>392</v>
      </c>
      <c r="B27" s="316">
        <f>'[5]Fuel Data'!B$44/'[5]Fuel Data'!$B$191/1000</f>
        <v>95.509337165591049</v>
      </c>
      <c r="C27" s="316">
        <f>'[5]Fuel Data'!C$44/'[5]Fuel Data'!$B$191/1000</f>
        <v>102.38124800219791</v>
      </c>
      <c r="D27" s="316">
        <f>'[5]Fuel Data'!D$44/'[5]Fuel Data'!$B$191/1000</f>
        <v>106.92712282157018</v>
      </c>
      <c r="E27" s="316">
        <f>'[5]Fuel Data'!E$44/'[5]Fuel Data'!$B$191/1000</f>
        <v>114.97248646778024</v>
      </c>
      <c r="F27" s="316">
        <f>'[5]Fuel Data'!F$44/'[5]Fuel Data'!$B$191/1000</f>
        <v>114.99837534111232</v>
      </c>
      <c r="G27" s="316">
        <f>'[5]Fuel Data'!G$44/'[5]Fuel Data'!$B$191/1000</f>
        <v>115.98215252773147</v>
      </c>
      <c r="H27" s="316">
        <f>'[5]Fuel Data'!H$44/'[5]Fuel Data'!$B$191/1000</f>
        <v>120.93062574463531</v>
      </c>
      <c r="I27" s="316">
        <f>'[5]Fuel Data'!I$44/'[5]Fuel Data'!$B$191/1000</f>
        <v>121.50810612324688</v>
      </c>
      <c r="J27" s="316">
        <f>'[5]Fuel Data'!J$44/'[5]Fuel Data'!$B$191/1000</f>
        <v>124.10914537659065</v>
      </c>
      <c r="K27" s="316">
        <f>'[5]Fuel Data'!K$44/'[5]Fuel Data'!$B$191/1000</f>
        <v>128.63626397140598</v>
      </c>
      <c r="L27" s="316">
        <f>'[5]Fuel Data'!L$44/'[5]Fuel Data'!$B$191/1000</f>
        <v>128.96489415941733</v>
      </c>
      <c r="M27" s="316">
        <f>'[5]Fuel Data'!M$44/'[5]Fuel Data'!$B$191/1000</f>
        <v>138.91097661812063</v>
      </c>
      <c r="N27" s="316">
        <f>'[5]Fuel Data'!N$44/'[5]Fuel Data'!$B$191/1000</f>
        <v>144.1283771110659</v>
      </c>
      <c r="O27" s="316">
        <f>'[5]Fuel Data'!O$44/'[5]Fuel Data'!$B$191/1000</f>
        <v>148.04948473216902</v>
      </c>
      <c r="P27" s="316">
        <f>'[5]Fuel Data'!P$44/'[5]Fuel Data'!$B$191/1000</f>
        <v>182.82431757722415</v>
      </c>
      <c r="Q27" s="316">
        <f>'[5]Fuel Data'!Q$44/'[5]Fuel Data'!$B$191/1000</f>
        <v>194.88747586126732</v>
      </c>
      <c r="R27" s="316">
        <f>'[5]Fuel Data'!R$44/'[5]Fuel Data'!$B$191/1000</f>
        <v>192.17944687629608</v>
      </c>
      <c r="S27" s="316">
        <f>'[5]Fuel Data'!S$44/'[5]Fuel Data'!$B$191/1000</f>
        <v>207.36353525773956</v>
      </c>
      <c r="T27" s="316">
        <f>'[5]Fuel Data'!T$44/'[5]Fuel Data'!$B$191/1000</f>
        <v>206.33907555588431</v>
      </c>
      <c r="U27" s="316">
        <f>'[5]Fuel Data'!U$44/'[5]Fuel Data'!$B$191/1000</f>
        <v>205.50138558306762</v>
      </c>
      <c r="V27" s="316">
        <f>'[5]Fuel Data'!V$44/'[5]Fuel Data'!$B$191/1000</f>
        <v>208.38614575435685</v>
      </c>
      <c r="W27" s="316">
        <f>'[5]Fuel Data'!W$44/'[5]Fuel Data'!$B$191/1000</f>
        <v>215.23877202205307</v>
      </c>
      <c r="X27" s="316">
        <f>'[5]Fuel Data'!X$44/'[5]Fuel Data'!$B$191/1000</f>
        <v>209.75772769660355</v>
      </c>
      <c r="Y27" s="316">
        <f>'[5]Fuel Data'!Y$44/'[5]Fuel Data'!$B$191/1000</f>
        <v>204.46979323243715</v>
      </c>
      <c r="Z27" s="316">
        <f>'[5]Fuel Data'!Z$44/'[5]Fuel Data'!$B$191/1000</f>
        <v>211.27434016394525</v>
      </c>
      <c r="AA27" s="316">
        <f>'[5]Fuel Data'!AA$44/'[5]Fuel Data'!$B$191/1000</f>
        <v>208.70235985005587</v>
      </c>
      <c r="AB27" s="316">
        <f>'[5]Fuel Data'!AB$44/'[5]Fuel Data'!$B$191/1000</f>
        <v>203.87963258933644</v>
      </c>
      <c r="AC27" s="316">
        <f>'[5]Fuel Data'!AC$44/'[5]Fuel Data'!$B$191/1000</f>
        <v>191.8402498012104</v>
      </c>
      <c r="AD27" s="316">
        <f>'[5]Fuel Data'!AD$44/'[5]Fuel Data'!$B$191/1000</f>
        <v>198.4242129650421</v>
      </c>
      <c r="AE27" s="317">
        <f>AD27+(AD27*'[2]Canadian GDP'!$E$5)</f>
        <v>201.72383827182546</v>
      </c>
      <c r="AF27" s="317">
        <f>AE27+(AE27*'[2]Canadian GDP'!$E$6)</f>
        <v>204.54667809795882</v>
      </c>
      <c r="AG27" s="317">
        <f>AF27+(AF27*'[2]Canadian GDP'!$E$7)</f>
        <v>207.28287681933861</v>
      </c>
      <c r="AH27" s="317">
        <f>AG27+(AG27*'[2]Canadian GDP'!$E$8)</f>
        <v>209.9391789531013</v>
      </c>
      <c r="AI27" s="317">
        <f>AH27+(AH27*'[2]Canadian GDP'!$E$9)</f>
        <v>212.53478043263544</v>
      </c>
      <c r="AJ27" s="317">
        <f>AI27+(AI27*'[2]Canadian GDP'!$E$10)</f>
        <v>215.06916244893051</v>
      </c>
      <c r="AK27" s="317">
        <f>AJ27+(AJ27*'[2]Canadian GDP'!$E$11)</f>
        <v>217.53973095693402</v>
      </c>
      <c r="AL27" s="317">
        <f>AK27+(AK27*'[2]Canadian GDP'!$E$12)</f>
        <v>219.94389191159348</v>
      </c>
      <c r="AM27" s="317">
        <f>AL27+(AL27*'[2]Canadian GDP'!$E$13)</f>
        <v>222.27853245884586</v>
      </c>
      <c r="AN27" s="317">
        <f>AM27+(AM27*'[2]Canadian GDP'!$E$14)</f>
        <v>224.54053974462818</v>
      </c>
      <c r="AO27" s="317">
        <f>AN27+(AN27*'[2]Canadian GDP'!$E$15)</f>
        <v>226.72783853289837</v>
      </c>
      <c r="AP27" s="317">
        <f>AO27+(AO27*'[2]Canadian GDP'!$E$16)</f>
        <v>228.86481284715003</v>
      </c>
      <c r="AQ27" s="317">
        <f>AP27+(AP27*'[2]Canadian GDP'!$E$17)</f>
        <v>230.94886864233064</v>
      </c>
      <c r="AR27" s="317">
        <f>AQ27+(AQ27*'[2]Canadian GDP'!$E$18)</f>
        <v>232.98052472745073</v>
      </c>
      <c r="AS27" s="317">
        <f>AR27+(AR27*'[2]Canadian GDP'!$E$19)</f>
        <v>234.9618563385522</v>
      </c>
      <c r="AT27" s="317">
        <f>AS27+(AS27*'[2]Canadian GDP'!$E$20)</f>
        <v>236.89441990266664</v>
      </c>
      <c r="AU27" s="317">
        <f>AT27+(AT27*'[2]Canadian GDP'!$E$21)</f>
        <v>238.7834035098991</v>
      </c>
      <c r="AV27" s="317">
        <f>AU27+(AU27*'[2]Canadian GDP'!$E$22)</f>
        <v>240.63503286837545</v>
      </c>
      <c r="AW27" s="317">
        <f>AV27+(AV27*'[2]Canadian GDP'!$E$23)</f>
        <v>242.45501487721134</v>
      </c>
      <c r="AX27" s="317">
        <f>AW27+(AW27*'[2]Canadian GDP'!$E$23)</f>
        <v>244.28876185814212</v>
      </c>
      <c r="AY27" s="317">
        <f>AX27+(AX27*'[2]Canadian GDP'!$E$23)</f>
        <v>246.13637791904131</v>
      </c>
      <c r="AZ27" s="317">
        <f>AY27+(AY27*'[2]Canadian GDP'!$E$23)</f>
        <v>247.99796795517588</v>
      </c>
      <c r="BA27" s="317">
        <f>AZ27+(AZ27*'[2]Canadian GDP'!$E$23)</f>
        <v>249.87363765516159</v>
      </c>
      <c r="BB27" s="317">
        <f>BA27+(BA27*'[2]Canadian GDP'!$E$23)</f>
        <v>251.76349350696319</v>
      </c>
      <c r="BC27" s="317">
        <f>BB27+(BB27*'[2]Canadian GDP'!$E$23)</f>
        <v>253.66764280394014</v>
      </c>
      <c r="BD27" s="317">
        <f>BC27+(BC27*'[2]Canadian GDP'!$E$23)</f>
        <v>255.58619365093799</v>
      </c>
      <c r="BE27" s="317">
        <f>BD27+(BD27*'[2]Canadian GDP'!$E$23)</f>
        <v>257.51925497042589</v>
      </c>
      <c r="BF27" s="317">
        <f>BE27+(BE27*'[2]Canadian GDP'!$E$23)</f>
        <v>259.46693650868036</v>
      </c>
      <c r="BG27" s="317">
        <f>BF27+(BF27*'[2]Canadian GDP'!$E$23)</f>
        <v>261.42934884201611</v>
      </c>
    </row>
    <row r="28" spans="1:59" ht="15">
      <c r="A28" s="318" t="s">
        <v>393</v>
      </c>
      <c r="AE28" s="329">
        <v>0.05</v>
      </c>
      <c r="AF28" s="329">
        <v>0.05</v>
      </c>
      <c r="AG28" s="329">
        <v>0.05</v>
      </c>
      <c r="AH28" s="329">
        <v>0.05</v>
      </c>
      <c r="AI28" s="329">
        <v>0.05</v>
      </c>
      <c r="AJ28" s="329">
        <v>0.05</v>
      </c>
      <c r="AK28" s="329">
        <v>0.05</v>
      </c>
      <c r="AL28" s="329">
        <v>0.05</v>
      </c>
      <c r="AM28" s="329">
        <v>0.05</v>
      </c>
      <c r="AN28" s="329">
        <v>0.05</v>
      </c>
      <c r="AO28" s="329">
        <v>0.05</v>
      </c>
      <c r="AP28" s="329">
        <v>0.05</v>
      </c>
      <c r="AQ28" s="329">
        <v>0.05</v>
      </c>
      <c r="AR28" s="329">
        <v>0.05</v>
      </c>
      <c r="AS28" s="329">
        <v>0.05</v>
      </c>
      <c r="AT28" s="329">
        <v>0.05</v>
      </c>
      <c r="AU28" s="329">
        <v>0.05</v>
      </c>
      <c r="AV28" s="329">
        <v>0.05</v>
      </c>
      <c r="AW28" s="329">
        <v>0.05</v>
      </c>
      <c r="AX28" s="329">
        <v>0.05</v>
      </c>
      <c r="AY28" s="329">
        <v>0.05</v>
      </c>
      <c r="AZ28" s="329">
        <v>0.05</v>
      </c>
      <c r="BA28" s="329">
        <v>0.05</v>
      </c>
      <c r="BB28" s="329">
        <v>0.05</v>
      </c>
      <c r="BC28" s="329">
        <v>0.05</v>
      </c>
      <c r="BD28" s="329">
        <v>0.05</v>
      </c>
      <c r="BE28" s="329">
        <v>0.05</v>
      </c>
      <c r="BF28" s="329">
        <v>0.05</v>
      </c>
      <c r="BG28" s="329">
        <v>0.05</v>
      </c>
    </row>
    <row r="29" spans="1:59" ht="15">
      <c r="A29" s="318" t="s">
        <v>394</v>
      </c>
      <c r="AE29" s="317">
        <f t="shared" ref="AE29:BG29" si="13">(AE27*AE28)-(AE27*0.02)</f>
        <v>6.0517151481547637</v>
      </c>
      <c r="AF29" s="317">
        <f t="shared" si="13"/>
        <v>6.1364003429387646</v>
      </c>
      <c r="AG29" s="317">
        <f t="shared" si="13"/>
        <v>6.2184863045801597</v>
      </c>
      <c r="AH29" s="317">
        <f t="shared" si="13"/>
        <v>6.2981753685930402</v>
      </c>
      <c r="AI29" s="317">
        <f t="shared" si="13"/>
        <v>6.3760434129790635</v>
      </c>
      <c r="AJ29" s="317">
        <f t="shared" si="13"/>
        <v>6.4520748734679154</v>
      </c>
      <c r="AK29" s="317">
        <f t="shared" si="13"/>
        <v>6.5261919287080215</v>
      </c>
      <c r="AL29" s="317">
        <f t="shared" si="13"/>
        <v>6.5983167573478054</v>
      </c>
      <c r="AM29" s="317">
        <f t="shared" si="13"/>
        <v>6.6683559737653768</v>
      </c>
      <c r="AN29" s="317">
        <f t="shared" si="13"/>
        <v>6.7362161923388459</v>
      </c>
      <c r="AO29" s="317">
        <f t="shared" si="13"/>
        <v>6.8018351559869519</v>
      </c>
      <c r="AP29" s="317">
        <f t="shared" si="13"/>
        <v>6.865944385414501</v>
      </c>
      <c r="AQ29" s="317">
        <f t="shared" si="13"/>
        <v>6.928466059269919</v>
      </c>
      <c r="AR29" s="317">
        <f t="shared" si="13"/>
        <v>6.9894157418235219</v>
      </c>
      <c r="AS29" s="317">
        <f t="shared" si="13"/>
        <v>7.0488556901565653</v>
      </c>
      <c r="AT29" s="317">
        <f t="shared" si="13"/>
        <v>7.1068325970799995</v>
      </c>
      <c r="AU29" s="317">
        <f t="shared" si="13"/>
        <v>7.1635021052969741</v>
      </c>
      <c r="AV29" s="317">
        <f t="shared" si="13"/>
        <v>7.2190509860512631</v>
      </c>
      <c r="AW29" s="317">
        <f t="shared" si="13"/>
        <v>7.2736504463163412</v>
      </c>
      <c r="AX29" s="317">
        <f t="shared" si="13"/>
        <v>7.3286628557442643</v>
      </c>
      <c r="AY29" s="317">
        <f t="shared" si="13"/>
        <v>7.38409133757124</v>
      </c>
      <c r="AZ29" s="317">
        <f t="shared" si="13"/>
        <v>7.4399390386552771</v>
      </c>
      <c r="BA29" s="317">
        <f t="shared" si="13"/>
        <v>7.496209129654849</v>
      </c>
      <c r="BB29" s="317">
        <f t="shared" si="13"/>
        <v>7.5529048052088958</v>
      </c>
      <c r="BC29" s="317">
        <f t="shared" si="13"/>
        <v>7.6100292841182045</v>
      </c>
      <c r="BD29" s="317">
        <f t="shared" si="13"/>
        <v>7.6675858095281404</v>
      </c>
      <c r="BE29" s="317">
        <f t="shared" si="13"/>
        <v>7.7255776491127781</v>
      </c>
      <c r="BF29" s="317">
        <f t="shared" si="13"/>
        <v>7.784008095260412</v>
      </c>
      <c r="BG29" s="317">
        <f t="shared" si="13"/>
        <v>7.8428804652604835</v>
      </c>
    </row>
    <row r="30" spans="1:59" ht="15">
      <c r="AE30" s="320"/>
      <c r="AF30" s="320"/>
      <c r="AG30" s="320"/>
      <c r="AH30" s="320"/>
      <c r="AI30" s="320"/>
      <c r="AJ30" s="320"/>
      <c r="AK30" s="320"/>
      <c r="AL30" s="320"/>
      <c r="AM30" s="320"/>
      <c r="AN30" s="320"/>
      <c r="AO30" s="320"/>
      <c r="AP30" s="320"/>
      <c r="AQ30" s="320"/>
      <c r="AR30" s="320"/>
      <c r="AS30" s="320"/>
      <c r="AT30" s="320"/>
      <c r="AU30" s="320"/>
      <c r="AV30" s="320"/>
      <c r="AW30" s="320"/>
      <c r="AX30" s="320"/>
      <c r="AY30" s="320"/>
      <c r="AZ30" s="320"/>
      <c r="BA30" s="320"/>
      <c r="BB30" s="320"/>
      <c r="BC30" s="320"/>
      <c r="BD30" s="320"/>
      <c r="BE30" s="320"/>
      <c r="BF30" s="320"/>
      <c r="BG30" s="320"/>
    </row>
    <row r="31" spans="1:59" ht="18.75" thickBot="1">
      <c r="A31" s="315" t="s">
        <v>58</v>
      </c>
      <c r="AE31" s="320"/>
      <c r="AF31" s="320"/>
      <c r="AG31" s="320"/>
      <c r="AH31" s="320"/>
      <c r="AI31" s="320"/>
      <c r="AJ31" s="320"/>
      <c r="AK31" s="320"/>
      <c r="AL31" s="320"/>
      <c r="AM31" s="320"/>
      <c r="AN31" s="320"/>
      <c r="AO31" s="320"/>
      <c r="AP31" s="320"/>
      <c r="AQ31" s="320"/>
      <c r="AR31" s="320"/>
      <c r="AS31" s="320"/>
      <c r="AT31" s="320"/>
      <c r="AU31" s="320"/>
      <c r="AV31" s="320"/>
      <c r="AW31" s="320"/>
      <c r="AX31" s="320"/>
      <c r="AY31" s="320"/>
      <c r="AZ31" s="320"/>
      <c r="BA31" s="320"/>
      <c r="BB31" s="320"/>
      <c r="BC31" s="320"/>
      <c r="BD31" s="320"/>
      <c r="BE31" s="320"/>
      <c r="BF31" s="320"/>
      <c r="BG31" s="320"/>
    </row>
    <row r="32" spans="1:59" ht="16.5" thickBot="1">
      <c r="A32" s="326"/>
      <c r="B32" s="327">
        <f>B2</f>
        <v>1993</v>
      </c>
      <c r="C32" s="327">
        <f t="shared" ref="C32:BG32" si="14">C2</f>
        <v>1994</v>
      </c>
      <c r="D32" s="327">
        <f t="shared" si="14"/>
        <v>1995</v>
      </c>
      <c r="E32" s="327">
        <f t="shared" si="14"/>
        <v>1996</v>
      </c>
      <c r="F32" s="327">
        <f t="shared" si="14"/>
        <v>1997</v>
      </c>
      <c r="G32" s="327">
        <f t="shared" si="14"/>
        <v>1998</v>
      </c>
      <c r="H32" s="327">
        <f t="shared" si="14"/>
        <v>1999</v>
      </c>
      <c r="I32" s="327">
        <f t="shared" si="14"/>
        <v>2000</v>
      </c>
      <c r="J32" s="327">
        <f t="shared" si="14"/>
        <v>2001</v>
      </c>
      <c r="K32" s="327">
        <f t="shared" si="14"/>
        <v>2002</v>
      </c>
      <c r="L32" s="327">
        <f t="shared" si="14"/>
        <v>2003</v>
      </c>
      <c r="M32" s="327">
        <f t="shared" si="14"/>
        <v>2004</v>
      </c>
      <c r="N32" s="327">
        <f t="shared" si="14"/>
        <v>2005</v>
      </c>
      <c r="O32" s="327">
        <f t="shared" si="14"/>
        <v>2006</v>
      </c>
      <c r="P32" s="327">
        <f t="shared" si="14"/>
        <v>2007</v>
      </c>
      <c r="Q32" s="327">
        <f t="shared" si="14"/>
        <v>2008</v>
      </c>
      <c r="R32" s="327">
        <f t="shared" si="14"/>
        <v>2009</v>
      </c>
      <c r="S32" s="327">
        <f t="shared" si="14"/>
        <v>2010</v>
      </c>
      <c r="T32" s="327">
        <f t="shared" si="14"/>
        <v>2011</v>
      </c>
      <c r="U32" s="327">
        <f t="shared" si="14"/>
        <v>2012</v>
      </c>
      <c r="V32" s="327">
        <f t="shared" si="14"/>
        <v>2013</v>
      </c>
      <c r="W32" s="327">
        <f t="shared" si="14"/>
        <v>2014</v>
      </c>
      <c r="X32" s="327">
        <f t="shared" si="14"/>
        <v>2015</v>
      </c>
      <c r="Y32" s="327">
        <f t="shared" si="14"/>
        <v>2016</v>
      </c>
      <c r="Z32" s="327">
        <f t="shared" si="14"/>
        <v>2017</v>
      </c>
      <c r="AA32" s="327">
        <f t="shared" si="14"/>
        <v>2018</v>
      </c>
      <c r="AB32" s="327">
        <f t="shared" si="14"/>
        <v>2019</v>
      </c>
      <c r="AC32" s="327">
        <f t="shared" si="14"/>
        <v>2020</v>
      </c>
      <c r="AD32" s="327">
        <f t="shared" si="14"/>
        <v>2021</v>
      </c>
      <c r="AE32" s="327">
        <f t="shared" si="14"/>
        <v>2022</v>
      </c>
      <c r="AF32" s="327">
        <f t="shared" si="14"/>
        <v>2023</v>
      </c>
      <c r="AG32" s="327">
        <f t="shared" si="14"/>
        <v>2024</v>
      </c>
      <c r="AH32" s="327">
        <f t="shared" si="14"/>
        <v>2025</v>
      </c>
      <c r="AI32" s="327">
        <f t="shared" si="14"/>
        <v>2026</v>
      </c>
      <c r="AJ32" s="327">
        <f t="shared" si="14"/>
        <v>2027</v>
      </c>
      <c r="AK32" s="327">
        <f t="shared" si="14"/>
        <v>2028</v>
      </c>
      <c r="AL32" s="327">
        <f t="shared" si="14"/>
        <v>2029</v>
      </c>
      <c r="AM32" s="327">
        <f t="shared" si="14"/>
        <v>2030</v>
      </c>
      <c r="AN32" s="327">
        <f t="shared" si="14"/>
        <v>2031</v>
      </c>
      <c r="AO32" s="327">
        <f t="shared" si="14"/>
        <v>2032</v>
      </c>
      <c r="AP32" s="327">
        <f t="shared" si="14"/>
        <v>2033</v>
      </c>
      <c r="AQ32" s="327">
        <f t="shared" si="14"/>
        <v>2034</v>
      </c>
      <c r="AR32" s="327">
        <f t="shared" si="14"/>
        <v>2035</v>
      </c>
      <c r="AS32" s="327">
        <f t="shared" si="14"/>
        <v>2036</v>
      </c>
      <c r="AT32" s="327">
        <f t="shared" si="14"/>
        <v>2037</v>
      </c>
      <c r="AU32" s="327">
        <f t="shared" si="14"/>
        <v>2038</v>
      </c>
      <c r="AV32" s="327">
        <f t="shared" si="14"/>
        <v>2039</v>
      </c>
      <c r="AW32" s="327">
        <f t="shared" si="14"/>
        <v>2040</v>
      </c>
      <c r="AX32" s="327">
        <f t="shared" si="14"/>
        <v>2041</v>
      </c>
      <c r="AY32" s="327">
        <f t="shared" si="14"/>
        <v>2042</v>
      </c>
      <c r="AZ32" s="327">
        <f t="shared" si="14"/>
        <v>2043</v>
      </c>
      <c r="BA32" s="327">
        <f t="shared" si="14"/>
        <v>2044</v>
      </c>
      <c r="BB32" s="327">
        <f t="shared" si="14"/>
        <v>2045</v>
      </c>
      <c r="BC32" s="327">
        <f t="shared" si="14"/>
        <v>2046</v>
      </c>
      <c r="BD32" s="327">
        <f t="shared" si="14"/>
        <v>2047</v>
      </c>
      <c r="BE32" s="327">
        <f t="shared" si="14"/>
        <v>2048</v>
      </c>
      <c r="BF32" s="327">
        <f t="shared" si="14"/>
        <v>2049</v>
      </c>
      <c r="BG32" s="327">
        <f t="shared" si="14"/>
        <v>2050</v>
      </c>
    </row>
    <row r="33" spans="1:59" ht="15">
      <c r="A33" s="318" t="s">
        <v>392</v>
      </c>
      <c r="B33" s="316">
        <f>'[5]Fuel Data'!B$57/'[5]Fuel Data'!$B$191/1000</f>
        <v>135.32695269468829</v>
      </c>
      <c r="C33" s="316">
        <f>'[5]Fuel Data'!C$57/'[5]Fuel Data'!$B$191/1000</f>
        <v>158.92730245865044</v>
      </c>
      <c r="D33" s="316">
        <f>'[5]Fuel Data'!D$57/'[5]Fuel Data'!$B$191/1000</f>
        <v>157.55334296681204</v>
      </c>
      <c r="E33" s="316">
        <f>'[5]Fuel Data'!E$57/'[5]Fuel Data'!$B$191/1000</f>
        <v>176.03113004932092</v>
      </c>
      <c r="F33" s="316">
        <f>'[5]Fuel Data'!F$57/'[5]Fuel Data'!$B$191/1000</f>
        <v>230.91052224197642</v>
      </c>
      <c r="G33" s="316">
        <f>'[5]Fuel Data'!G$57/'[5]Fuel Data'!$B$191/1000</f>
        <v>204.51179660855757</v>
      </c>
      <c r="H33" s="316">
        <f>'[5]Fuel Data'!H$57/'[5]Fuel Data'!$B$191/1000</f>
        <v>214.41402648590244</v>
      </c>
      <c r="I33" s="316">
        <f>'[5]Fuel Data'!I$57/'[5]Fuel Data'!$B$191/1000</f>
        <v>220.09346411617233</v>
      </c>
      <c r="J33" s="316">
        <f>'[5]Fuel Data'!J$57/'[5]Fuel Data'!$B$191/1000</f>
        <v>225.70263194739803</v>
      </c>
      <c r="K33" s="316">
        <f>'[5]Fuel Data'!K$57/'[5]Fuel Data'!$B$191/1000</f>
        <v>216.41169648730255</v>
      </c>
      <c r="L33" s="316">
        <f>'[5]Fuel Data'!L$57/'[5]Fuel Data'!$B$191/1000</f>
        <v>226.17021670043667</v>
      </c>
      <c r="M33" s="316">
        <f>'[5]Fuel Data'!M$57/'[5]Fuel Data'!$B$191/1000</f>
        <v>239.28425190402095</v>
      </c>
      <c r="N33" s="316">
        <f>'[5]Fuel Data'!N$57/'[5]Fuel Data'!$B$191/1000</f>
        <v>252.49550246868898</v>
      </c>
      <c r="O33" s="316">
        <f>'[5]Fuel Data'!O$57/'[5]Fuel Data'!$B$191/1000</f>
        <v>266.60678763991217</v>
      </c>
      <c r="P33" s="316">
        <f>'[5]Fuel Data'!P$57/'[5]Fuel Data'!$B$191/1000</f>
        <v>287.15462790028027</v>
      </c>
      <c r="Q33" s="316">
        <f>'[5]Fuel Data'!Q$57/'[5]Fuel Data'!$B$191/1000</f>
        <v>314.88372461635595</v>
      </c>
      <c r="R33" s="316">
        <f>'[5]Fuel Data'!R$57/'[5]Fuel Data'!$B$191/1000</f>
        <v>309.70912001606166</v>
      </c>
      <c r="S33" s="316">
        <f>'[5]Fuel Data'!S$57/'[5]Fuel Data'!$B$191/1000</f>
        <v>325.39460718918161</v>
      </c>
      <c r="T33" s="316">
        <f>'[5]Fuel Data'!T$57/'[5]Fuel Data'!$B$191/1000</f>
        <v>367.20170338219634</v>
      </c>
      <c r="U33" s="316">
        <f>'[5]Fuel Data'!U$57/'[5]Fuel Data'!$B$191/1000</f>
        <v>370.99442332534647</v>
      </c>
      <c r="V33" s="316">
        <f>'[5]Fuel Data'!V$57/'[5]Fuel Data'!$B$191/1000</f>
        <v>358.2333221500445</v>
      </c>
      <c r="W33" s="316">
        <f>'[5]Fuel Data'!W$57/'[5]Fuel Data'!$B$191/1000</f>
        <v>388.74256685537364</v>
      </c>
      <c r="X33" s="316">
        <f>'[5]Fuel Data'!X$57/'[5]Fuel Data'!$B$191/1000</f>
        <v>347.29210310111716</v>
      </c>
      <c r="Y33" s="316">
        <f>'[5]Fuel Data'!Y$57/'[5]Fuel Data'!$B$191/1000</f>
        <v>331.79893327274982</v>
      </c>
      <c r="Z33" s="316">
        <f>'[5]Fuel Data'!Z$57/'[5]Fuel Data'!$B$191/1000</f>
        <v>380.37147891509773</v>
      </c>
      <c r="AA33" s="316">
        <f>'[5]Fuel Data'!AA$57/'[5]Fuel Data'!$B$191/1000</f>
        <v>352.35760459236911</v>
      </c>
      <c r="AB33" s="316">
        <f>'[5]Fuel Data'!AB$57/'[5]Fuel Data'!$B$191/1000</f>
        <v>350.53613743293329</v>
      </c>
      <c r="AC33" s="316">
        <f>'[5]Fuel Data'!AC$57/'[5]Fuel Data'!$B$191/1000</f>
        <v>287.04341141382309</v>
      </c>
      <c r="AD33" s="316">
        <f>'[5]Fuel Data'!AD$57/'[5]Fuel Data'!$B$191/1000</f>
        <v>346.31783611286488</v>
      </c>
      <c r="AE33" s="317">
        <f>AD33+(AD33*'[2]Canadian GDP'!$E$5)</f>
        <v>352.07680614556836</v>
      </c>
      <c r="AF33" s="317">
        <f>AE33+(AE33*'[2]Canadian GDP'!$E$6)</f>
        <v>357.00362311851484</v>
      </c>
      <c r="AG33" s="317">
        <f>AF33+(AF33*'[2]Canadian GDP'!$E$7)</f>
        <v>361.7792218531813</v>
      </c>
      <c r="AH33" s="317">
        <f>AG33+(AG33*'[2]Canadian GDP'!$E$8)</f>
        <v>366.41537382919415</v>
      </c>
      <c r="AI33" s="317">
        <f>AH33+(AH33*'[2]Canadian GDP'!$E$9)</f>
        <v>370.94558248856771</v>
      </c>
      <c r="AJ33" s="317">
        <f>AI33+(AI33*'[2]Canadian GDP'!$E$10)</f>
        <v>375.3689423328691</v>
      </c>
      <c r="AK33" s="317">
        <f>AJ33+(AJ33*'[2]Canadian GDP'!$E$11)</f>
        <v>379.68092586993419</v>
      </c>
      <c r="AL33" s="317">
        <f>AK33+(AK33*'[2]Canadian GDP'!$E$12)</f>
        <v>383.87700560759902</v>
      </c>
      <c r="AM33" s="317">
        <f>AL33+(AL33*'[2]Canadian GDP'!$E$13)</f>
        <v>387.95174855526659</v>
      </c>
      <c r="AN33" s="317">
        <f>AM33+(AM33*'[2]Canadian GDP'!$E$14)</f>
        <v>391.89972172234008</v>
      </c>
      <c r="AO33" s="317">
        <f>AN33+(AN33*'[2]Canadian GDP'!$E$15)</f>
        <v>395.71730311508816</v>
      </c>
      <c r="AP33" s="317">
        <f>AO33+(AO33*'[2]Canadian GDP'!$E$16)</f>
        <v>399.44705115985323</v>
      </c>
      <c r="AQ33" s="317">
        <f>AP33+(AP33*'[2]Canadian GDP'!$E$17)</f>
        <v>403.08443836447117</v>
      </c>
      <c r="AR33" s="317">
        <f>AQ33+(AQ33*'[2]Canadian GDP'!$E$18)</f>
        <v>406.63037022737484</v>
      </c>
      <c r="AS33" s="317">
        <f>AR33+(AR33*'[2]Canadian GDP'!$E$19)</f>
        <v>410.08846874229533</v>
      </c>
      <c r="AT33" s="317">
        <f>AS33+(AS33*'[2]Canadian GDP'!$E$20)</f>
        <v>413.46145040453126</v>
      </c>
      <c r="AU33" s="317">
        <f>AT33+(AT33*'[2]Canadian GDP'!$E$21)</f>
        <v>416.75837019841083</v>
      </c>
      <c r="AV33" s="317">
        <f>AU33+(AU33*'[2]Canadian GDP'!$E$22)</f>
        <v>419.99009410512758</v>
      </c>
      <c r="AW33" s="317">
        <f>AV33+(AV33*'[2]Canadian GDP'!$E$23)</f>
        <v>423.16658260744271</v>
      </c>
      <c r="AX33" s="317">
        <f>AW33+(AW33*'[2]Canadian GDP'!$E$23)</f>
        <v>426.36709567449628</v>
      </c>
      <c r="AY33" s="317">
        <f>AX33+(AX33*'[2]Canadian GDP'!$E$23)</f>
        <v>429.59181500998739</v>
      </c>
      <c r="AZ33" s="317">
        <f>AY33+(AY33*'[2]Canadian GDP'!$E$23)</f>
        <v>432.84092369188488</v>
      </c>
      <c r="BA33" s="317">
        <f>AZ33+(AZ33*'[2]Canadian GDP'!$E$23)</f>
        <v>436.11460618282138</v>
      </c>
      <c r="BB33" s="317">
        <f>BA33+(BA33*'[2]Canadian GDP'!$E$23)</f>
        <v>439.41304834056587</v>
      </c>
      <c r="BC33" s="317">
        <f>BB33+(BB33*'[2]Canadian GDP'!$E$23)</f>
        <v>442.73643742857536</v>
      </c>
      <c r="BD33" s="317">
        <f>BC33+(BC33*'[2]Canadian GDP'!$E$23)</f>
        <v>446.08496212662646</v>
      </c>
      <c r="BE33" s="317">
        <f>BD33+(BD33*'[2]Canadian GDP'!$E$23)</f>
        <v>449.45881254152749</v>
      </c>
      <c r="BF33" s="317">
        <f>BE33+(BE33*'[2]Canadian GDP'!$E$23)</f>
        <v>452.85818021791135</v>
      </c>
      <c r="BG33" s="317">
        <f>BF33+(BF33*'[2]Canadian GDP'!$E$23)</f>
        <v>456.28325814911011</v>
      </c>
    </row>
    <row r="34" spans="1:59" ht="15">
      <c r="A34" s="318" t="s">
        <v>393</v>
      </c>
      <c r="N34" s="330">
        <f>2%/12*2</f>
        <v>3.3333333333333335E-3</v>
      </c>
      <c r="O34" s="329">
        <v>0.02</v>
      </c>
      <c r="P34" s="329">
        <v>0.02</v>
      </c>
      <c r="Q34" s="329">
        <v>0.02</v>
      </c>
      <c r="R34" s="329">
        <v>0.02</v>
      </c>
      <c r="S34" s="329">
        <v>0.02</v>
      </c>
      <c r="T34" s="329">
        <v>0.02</v>
      </c>
      <c r="U34" s="329">
        <v>0.02</v>
      </c>
      <c r="V34" s="329">
        <v>0.02</v>
      </c>
      <c r="W34" s="329">
        <v>0.02</v>
      </c>
      <c r="X34" s="329">
        <v>0.02</v>
      </c>
      <c r="Y34" s="329">
        <v>0.02</v>
      </c>
      <c r="Z34" s="329">
        <v>0.02</v>
      </c>
      <c r="AA34" s="329">
        <v>0.02</v>
      </c>
      <c r="AB34" s="329">
        <v>0.02</v>
      </c>
      <c r="AC34" s="329">
        <v>0.02</v>
      </c>
      <c r="AD34" s="329">
        <v>0.02</v>
      </c>
      <c r="AE34" s="329">
        <v>0.02</v>
      </c>
      <c r="AF34" s="329">
        <v>0.02</v>
      </c>
      <c r="AG34" s="329">
        <v>0.02</v>
      </c>
      <c r="AH34" s="329">
        <v>0.02</v>
      </c>
      <c r="AI34" s="329">
        <v>0.02</v>
      </c>
      <c r="AJ34" s="329">
        <v>0.02</v>
      </c>
      <c r="AK34" s="329">
        <v>0.02</v>
      </c>
      <c r="AL34" s="329">
        <v>0.02</v>
      </c>
      <c r="AM34" s="329">
        <v>0.02</v>
      </c>
      <c r="AN34" s="329">
        <v>0.02</v>
      </c>
      <c r="AO34" s="329">
        <v>0.02</v>
      </c>
      <c r="AP34" s="329">
        <v>0.02</v>
      </c>
      <c r="AQ34" s="329">
        <v>0.02</v>
      </c>
      <c r="AR34" s="329">
        <v>0.02</v>
      </c>
      <c r="AS34" s="329">
        <v>0.02</v>
      </c>
      <c r="AT34" s="329">
        <v>0.02</v>
      </c>
      <c r="AU34" s="329">
        <v>0.02</v>
      </c>
      <c r="AV34" s="329">
        <v>0.02</v>
      </c>
      <c r="AW34" s="329">
        <v>0.02</v>
      </c>
      <c r="AX34" s="329">
        <v>0.02</v>
      </c>
      <c r="AY34" s="329">
        <v>0.02</v>
      </c>
      <c r="AZ34" s="329">
        <v>0.02</v>
      </c>
      <c r="BA34" s="329">
        <v>0.02</v>
      </c>
      <c r="BB34" s="329">
        <v>0.02</v>
      </c>
      <c r="BC34" s="329">
        <v>0.02</v>
      </c>
      <c r="BD34" s="329">
        <v>0.02</v>
      </c>
      <c r="BE34" s="329">
        <v>0.02</v>
      </c>
      <c r="BF34" s="329">
        <v>0.02</v>
      </c>
      <c r="BG34" s="329">
        <v>0.02</v>
      </c>
    </row>
    <row r="35" spans="1:59" ht="15">
      <c r="A35" s="318" t="s">
        <v>394</v>
      </c>
      <c r="N35" s="317">
        <f t="shared" ref="N35:BG35" si="15">(N33*N34)-(N33*0.02)</f>
        <v>-4.2082583744781497</v>
      </c>
      <c r="O35" s="317">
        <f t="shared" si="15"/>
        <v>0</v>
      </c>
      <c r="P35" s="317">
        <f t="shared" si="15"/>
        <v>0</v>
      </c>
      <c r="Q35" s="317">
        <f t="shared" si="15"/>
        <v>0</v>
      </c>
      <c r="R35" s="317">
        <f t="shared" si="15"/>
        <v>0</v>
      </c>
      <c r="S35" s="317">
        <f t="shared" si="15"/>
        <v>0</v>
      </c>
      <c r="T35" s="317">
        <f t="shared" si="15"/>
        <v>0</v>
      </c>
      <c r="U35" s="317">
        <f t="shared" si="15"/>
        <v>0</v>
      </c>
      <c r="V35" s="317">
        <f t="shared" si="15"/>
        <v>0</v>
      </c>
      <c r="W35" s="317">
        <f t="shared" si="15"/>
        <v>0</v>
      </c>
      <c r="X35" s="317">
        <f t="shared" si="15"/>
        <v>0</v>
      </c>
      <c r="Y35" s="317">
        <f t="shared" si="15"/>
        <v>0</v>
      </c>
      <c r="Z35" s="317">
        <f t="shared" si="15"/>
        <v>0</v>
      </c>
      <c r="AA35" s="317">
        <f t="shared" si="15"/>
        <v>0</v>
      </c>
      <c r="AB35" s="317">
        <f t="shared" si="15"/>
        <v>0</v>
      </c>
      <c r="AC35" s="317">
        <f t="shared" si="15"/>
        <v>0</v>
      </c>
      <c r="AD35" s="317">
        <f t="shared" si="15"/>
        <v>0</v>
      </c>
      <c r="AE35" s="317">
        <f t="shared" si="15"/>
        <v>0</v>
      </c>
      <c r="AF35" s="317">
        <f t="shared" si="15"/>
        <v>0</v>
      </c>
      <c r="AG35" s="317">
        <f t="shared" si="15"/>
        <v>0</v>
      </c>
      <c r="AH35" s="317">
        <f t="shared" si="15"/>
        <v>0</v>
      </c>
      <c r="AI35" s="317">
        <f t="shared" si="15"/>
        <v>0</v>
      </c>
      <c r="AJ35" s="317">
        <f t="shared" si="15"/>
        <v>0</v>
      </c>
      <c r="AK35" s="317">
        <f t="shared" si="15"/>
        <v>0</v>
      </c>
      <c r="AL35" s="317">
        <f t="shared" si="15"/>
        <v>0</v>
      </c>
      <c r="AM35" s="317">
        <f t="shared" si="15"/>
        <v>0</v>
      </c>
      <c r="AN35" s="317">
        <f t="shared" si="15"/>
        <v>0</v>
      </c>
      <c r="AO35" s="317">
        <f t="shared" si="15"/>
        <v>0</v>
      </c>
      <c r="AP35" s="317">
        <f t="shared" si="15"/>
        <v>0</v>
      </c>
      <c r="AQ35" s="317">
        <f t="shared" si="15"/>
        <v>0</v>
      </c>
      <c r="AR35" s="317">
        <f t="shared" si="15"/>
        <v>0</v>
      </c>
      <c r="AS35" s="317">
        <f t="shared" si="15"/>
        <v>0</v>
      </c>
      <c r="AT35" s="317">
        <f t="shared" si="15"/>
        <v>0</v>
      </c>
      <c r="AU35" s="317">
        <f t="shared" si="15"/>
        <v>0</v>
      </c>
      <c r="AV35" s="317">
        <f t="shared" si="15"/>
        <v>0</v>
      </c>
      <c r="AW35" s="317">
        <f t="shared" si="15"/>
        <v>0</v>
      </c>
      <c r="AX35" s="317">
        <f t="shared" si="15"/>
        <v>0</v>
      </c>
      <c r="AY35" s="317">
        <f t="shared" si="15"/>
        <v>0</v>
      </c>
      <c r="AZ35" s="317">
        <f t="shared" si="15"/>
        <v>0</v>
      </c>
      <c r="BA35" s="317">
        <f t="shared" si="15"/>
        <v>0</v>
      </c>
      <c r="BB35" s="317">
        <f t="shared" si="15"/>
        <v>0</v>
      </c>
      <c r="BC35" s="317">
        <f t="shared" si="15"/>
        <v>0</v>
      </c>
      <c r="BD35" s="317">
        <f t="shared" si="15"/>
        <v>0</v>
      </c>
      <c r="BE35" s="317">
        <f t="shared" si="15"/>
        <v>0</v>
      </c>
      <c r="BF35" s="317">
        <f t="shared" si="15"/>
        <v>0</v>
      </c>
      <c r="BG35" s="317">
        <f t="shared" si="15"/>
        <v>0</v>
      </c>
    </row>
    <row r="36" spans="1:59" ht="15">
      <c r="A36" s="164"/>
      <c r="AE36" s="320"/>
      <c r="AF36" s="320"/>
      <c r="AG36" s="320"/>
      <c r="AH36" s="320"/>
      <c r="AI36" s="320"/>
      <c r="AJ36" s="320"/>
      <c r="AK36" s="320"/>
      <c r="AL36" s="320"/>
      <c r="AM36" s="320"/>
      <c r="AN36" s="320"/>
      <c r="AO36" s="320"/>
      <c r="AP36" s="320"/>
      <c r="AQ36" s="320"/>
      <c r="AR36" s="320"/>
      <c r="AS36" s="320"/>
      <c r="AT36" s="320"/>
      <c r="AU36" s="320"/>
      <c r="AV36" s="320"/>
      <c r="AW36" s="320"/>
      <c r="AX36" s="320"/>
      <c r="AY36" s="320"/>
      <c r="AZ36" s="320"/>
      <c r="BA36" s="320"/>
      <c r="BB36" s="320"/>
      <c r="BC36" s="320"/>
      <c r="BD36" s="320"/>
      <c r="BE36" s="320"/>
      <c r="BF36" s="320"/>
      <c r="BG36" s="320"/>
    </row>
    <row r="37" spans="1:59" ht="18.75" thickBot="1">
      <c r="A37" s="315" t="s">
        <v>59</v>
      </c>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c r="BA37" s="320"/>
      <c r="BB37" s="320"/>
      <c r="BC37" s="320"/>
      <c r="BD37" s="320"/>
      <c r="BE37" s="320"/>
      <c r="BF37" s="320"/>
      <c r="BG37" s="320"/>
    </row>
    <row r="38" spans="1:59" ht="16.5" thickBot="1">
      <c r="A38" s="326"/>
      <c r="B38" s="327">
        <f>B2</f>
        <v>1993</v>
      </c>
      <c r="C38" s="327">
        <f t="shared" ref="C38:BG38" si="16">C2</f>
        <v>1994</v>
      </c>
      <c r="D38" s="327">
        <f t="shared" si="16"/>
        <v>1995</v>
      </c>
      <c r="E38" s="327">
        <f t="shared" si="16"/>
        <v>1996</v>
      </c>
      <c r="F38" s="327">
        <f t="shared" si="16"/>
        <v>1997</v>
      </c>
      <c r="G38" s="327">
        <f t="shared" si="16"/>
        <v>1998</v>
      </c>
      <c r="H38" s="327">
        <f t="shared" si="16"/>
        <v>1999</v>
      </c>
      <c r="I38" s="327">
        <f t="shared" si="16"/>
        <v>2000</v>
      </c>
      <c r="J38" s="327">
        <f t="shared" si="16"/>
        <v>2001</v>
      </c>
      <c r="K38" s="327">
        <f t="shared" si="16"/>
        <v>2002</v>
      </c>
      <c r="L38" s="327">
        <f t="shared" si="16"/>
        <v>2003</v>
      </c>
      <c r="M38" s="327">
        <f t="shared" si="16"/>
        <v>2004</v>
      </c>
      <c r="N38" s="327">
        <f t="shared" si="16"/>
        <v>2005</v>
      </c>
      <c r="O38" s="327">
        <f t="shared" si="16"/>
        <v>2006</v>
      </c>
      <c r="P38" s="327">
        <f t="shared" si="16"/>
        <v>2007</v>
      </c>
      <c r="Q38" s="327">
        <f t="shared" si="16"/>
        <v>2008</v>
      </c>
      <c r="R38" s="327">
        <f t="shared" si="16"/>
        <v>2009</v>
      </c>
      <c r="S38" s="327">
        <f t="shared" si="16"/>
        <v>2010</v>
      </c>
      <c r="T38" s="327">
        <f t="shared" si="16"/>
        <v>2011</v>
      </c>
      <c r="U38" s="327">
        <f t="shared" si="16"/>
        <v>2012</v>
      </c>
      <c r="V38" s="327">
        <f t="shared" si="16"/>
        <v>2013</v>
      </c>
      <c r="W38" s="327">
        <f t="shared" si="16"/>
        <v>2014</v>
      </c>
      <c r="X38" s="327">
        <f t="shared" si="16"/>
        <v>2015</v>
      </c>
      <c r="Y38" s="327">
        <f t="shared" si="16"/>
        <v>2016</v>
      </c>
      <c r="Z38" s="327">
        <f t="shared" si="16"/>
        <v>2017</v>
      </c>
      <c r="AA38" s="327">
        <f t="shared" si="16"/>
        <v>2018</v>
      </c>
      <c r="AB38" s="327">
        <f t="shared" si="16"/>
        <v>2019</v>
      </c>
      <c r="AC38" s="327">
        <f t="shared" si="16"/>
        <v>2020</v>
      </c>
      <c r="AD38" s="327">
        <f t="shared" si="16"/>
        <v>2021</v>
      </c>
      <c r="AE38" s="327">
        <f t="shared" si="16"/>
        <v>2022</v>
      </c>
      <c r="AF38" s="327">
        <f t="shared" si="16"/>
        <v>2023</v>
      </c>
      <c r="AG38" s="327">
        <f t="shared" si="16"/>
        <v>2024</v>
      </c>
      <c r="AH38" s="327">
        <f t="shared" si="16"/>
        <v>2025</v>
      </c>
      <c r="AI38" s="327">
        <f t="shared" si="16"/>
        <v>2026</v>
      </c>
      <c r="AJ38" s="327">
        <f t="shared" si="16"/>
        <v>2027</v>
      </c>
      <c r="AK38" s="327">
        <f t="shared" si="16"/>
        <v>2028</v>
      </c>
      <c r="AL38" s="327">
        <f t="shared" si="16"/>
        <v>2029</v>
      </c>
      <c r="AM38" s="327">
        <f t="shared" si="16"/>
        <v>2030</v>
      </c>
      <c r="AN38" s="327">
        <f t="shared" si="16"/>
        <v>2031</v>
      </c>
      <c r="AO38" s="327">
        <f t="shared" si="16"/>
        <v>2032</v>
      </c>
      <c r="AP38" s="327">
        <f t="shared" si="16"/>
        <v>2033</v>
      </c>
      <c r="AQ38" s="327">
        <f t="shared" si="16"/>
        <v>2034</v>
      </c>
      <c r="AR38" s="327">
        <f t="shared" si="16"/>
        <v>2035</v>
      </c>
      <c r="AS38" s="327">
        <f t="shared" si="16"/>
        <v>2036</v>
      </c>
      <c r="AT38" s="327">
        <f t="shared" si="16"/>
        <v>2037</v>
      </c>
      <c r="AU38" s="327">
        <f t="shared" si="16"/>
        <v>2038</v>
      </c>
      <c r="AV38" s="327">
        <f t="shared" si="16"/>
        <v>2039</v>
      </c>
      <c r="AW38" s="327">
        <f t="shared" si="16"/>
        <v>2040</v>
      </c>
      <c r="AX38" s="327">
        <f t="shared" si="16"/>
        <v>2041</v>
      </c>
      <c r="AY38" s="327">
        <f t="shared" si="16"/>
        <v>2042</v>
      </c>
      <c r="AZ38" s="327">
        <f t="shared" si="16"/>
        <v>2043</v>
      </c>
      <c r="BA38" s="327">
        <f t="shared" si="16"/>
        <v>2044</v>
      </c>
      <c r="BB38" s="327">
        <f t="shared" si="16"/>
        <v>2045</v>
      </c>
      <c r="BC38" s="327">
        <f t="shared" si="16"/>
        <v>2046</v>
      </c>
      <c r="BD38" s="327">
        <f t="shared" si="16"/>
        <v>2047</v>
      </c>
      <c r="BE38" s="327">
        <f t="shared" si="16"/>
        <v>2048</v>
      </c>
      <c r="BF38" s="327">
        <f t="shared" si="16"/>
        <v>2049</v>
      </c>
      <c r="BG38" s="327">
        <f t="shared" si="16"/>
        <v>2050</v>
      </c>
    </row>
    <row r="39" spans="1:59" ht="15">
      <c r="A39" s="318" t="s">
        <v>392</v>
      </c>
      <c r="B39" s="316">
        <f>'[5]Fuel Data'!B$70/'[5]Fuel Data'!$B$191/1000</f>
        <v>261.42954131784933</v>
      </c>
      <c r="C39" s="316">
        <f>'[5]Fuel Data'!C$70/'[5]Fuel Data'!$B$191/1000</f>
        <v>285.44966067083885</v>
      </c>
      <c r="D39" s="316">
        <f>'[5]Fuel Data'!D$70/'[5]Fuel Data'!$B$191/1000</f>
        <v>297.55508650317927</v>
      </c>
      <c r="E39" s="316">
        <f>'[5]Fuel Data'!E$70/'[5]Fuel Data'!$B$191/1000</f>
        <v>310.02797583352924</v>
      </c>
      <c r="F39" s="316">
        <f>'[5]Fuel Data'!F$70/'[5]Fuel Data'!$B$191/1000</f>
        <v>317.89687246559816</v>
      </c>
      <c r="G39" s="316">
        <f>'[5]Fuel Data'!G$70/'[5]Fuel Data'!$B$191/1000</f>
        <v>310.0652241104662</v>
      </c>
      <c r="H39" s="316">
        <f>'[5]Fuel Data'!H$70/'[5]Fuel Data'!$B$191/1000</f>
        <v>348.44627134180973</v>
      </c>
      <c r="I39" s="316">
        <f>'[5]Fuel Data'!I$70/'[5]Fuel Data'!$B$191/1000</f>
        <v>361.93543103653235</v>
      </c>
      <c r="J39" s="316">
        <f>'[5]Fuel Data'!J$70/'[5]Fuel Data'!$B$191/1000</f>
        <v>351.32284217561636</v>
      </c>
      <c r="K39" s="316">
        <f>'[5]Fuel Data'!K$70/'[5]Fuel Data'!$B$191/1000</f>
        <v>374.83786432645343</v>
      </c>
      <c r="L39" s="316">
        <f>'[5]Fuel Data'!L$70/'[5]Fuel Data'!$B$191/1000</f>
        <v>400.25651118372912</v>
      </c>
      <c r="M39" s="316">
        <f>'[5]Fuel Data'!M$70/'[5]Fuel Data'!$B$191/1000</f>
        <v>435.18456389136179</v>
      </c>
      <c r="N39" s="316">
        <f>'[5]Fuel Data'!N$70/'[5]Fuel Data'!$B$191/1000</f>
        <v>444.10909254215522</v>
      </c>
      <c r="O39" s="316">
        <f>'[5]Fuel Data'!O$70/'[5]Fuel Data'!$B$191/1000</f>
        <v>454.80806570490381</v>
      </c>
      <c r="P39" s="316">
        <f>'[5]Fuel Data'!P$70/'[5]Fuel Data'!$B$191/1000</f>
        <v>474.61463883700839</v>
      </c>
      <c r="Q39" s="316">
        <f>'[5]Fuel Data'!Q$70/'[5]Fuel Data'!$B$191/1000</f>
        <v>452.79930047207563</v>
      </c>
      <c r="R39" s="316">
        <f>'[5]Fuel Data'!R$70/'[5]Fuel Data'!$B$191/1000</f>
        <v>435.32299011203543</v>
      </c>
      <c r="S39" s="316">
        <f>'[5]Fuel Data'!S$70/'[5]Fuel Data'!$B$191/1000</f>
        <v>485.7011525832076</v>
      </c>
      <c r="T39" s="316">
        <f>'[5]Fuel Data'!T$70/'[5]Fuel Data'!$B$191/1000</f>
        <v>586.81569499737145</v>
      </c>
      <c r="U39" s="316">
        <f>'[5]Fuel Data'!U$70/'[5]Fuel Data'!$B$191/1000</f>
        <v>465.37548112357712</v>
      </c>
      <c r="V39" s="316">
        <f>'[5]Fuel Data'!V$70/'[5]Fuel Data'!$B$191/1000</f>
        <v>566.78563220364504</v>
      </c>
      <c r="W39" s="316">
        <f>'[5]Fuel Data'!W$70/'[5]Fuel Data'!$B$191/1000</f>
        <v>507.87708596955144</v>
      </c>
      <c r="X39" s="316">
        <f>'[5]Fuel Data'!X$70/'[5]Fuel Data'!$B$191/1000</f>
        <v>489.48356981146026</v>
      </c>
      <c r="Y39" s="316">
        <f>'[5]Fuel Data'!Y$70/'[5]Fuel Data'!$B$191/1000</f>
        <v>485.47502119981721</v>
      </c>
      <c r="Z39" s="316">
        <f>'[5]Fuel Data'!Z$70/'[5]Fuel Data'!$B$191/1000</f>
        <v>504.61006865834878</v>
      </c>
      <c r="AA39" s="316">
        <f>'[5]Fuel Data'!AA$70/'[5]Fuel Data'!$B$191/1000</f>
        <v>518.70391846589928</v>
      </c>
      <c r="AB39" s="316">
        <f>'[5]Fuel Data'!AB$70/'[5]Fuel Data'!$B$191/1000</f>
        <v>480.59840281501874</v>
      </c>
      <c r="AC39" s="316">
        <f>'[5]Fuel Data'!AC$70/'[5]Fuel Data'!$B$191/1000</f>
        <v>488.97926512583842</v>
      </c>
      <c r="AD39" s="316">
        <f>'[5]Fuel Data'!AD$70/'[5]Fuel Data'!$B$191/1000</f>
        <v>551.26366760800022</v>
      </c>
      <c r="AE39" s="317">
        <f>AD39+(AD39*'[2]Canadian GDP'!$E$5)</f>
        <v>560.43071189744899</v>
      </c>
      <c r="AF39" s="317">
        <f>AE39+(AE39*'[2]Canadian GDP'!$E$6)</f>
        <v>568.27314711425572</v>
      </c>
      <c r="AG39" s="317">
        <f>AF39+(AF39*'[2]Canadian GDP'!$E$7)</f>
        <v>575.87487535050627</v>
      </c>
      <c r="AH39" s="317">
        <f>AG39+(AG39*'[2]Canadian GDP'!$E$8)</f>
        <v>583.25463427534555</v>
      </c>
      <c r="AI39" s="317">
        <f>AH39+(AH39*'[2]Canadian GDP'!$E$9)</f>
        <v>590.46575417787903</v>
      </c>
      <c r="AJ39" s="317">
        <f>AI39+(AI39*'[2]Canadian GDP'!$E$10)</f>
        <v>597.50679369894146</v>
      </c>
      <c r="AK39" s="317">
        <f>AJ39+(AJ39*'[2]Canadian GDP'!$E$11)</f>
        <v>604.37054604270804</v>
      </c>
      <c r="AL39" s="317">
        <f>AK39+(AK39*'[2]Canadian GDP'!$E$12)</f>
        <v>611.04980441335363</v>
      </c>
      <c r="AM39" s="317">
        <f>AL39+(AL39*'[2]Canadian GDP'!$E$13)</f>
        <v>617.53592065588816</v>
      </c>
      <c r="AN39" s="317">
        <f>AM39+(AM39*'[2]Canadian GDP'!$E$14)</f>
        <v>623.82024661532171</v>
      </c>
      <c r="AO39" s="317">
        <f>AN39+(AN39*'[2]Canadian GDP'!$E$15)</f>
        <v>629.89701685499404</v>
      </c>
      <c r="AP39" s="317">
        <f>AO39+(AO39*'[2]Canadian GDP'!$E$16)</f>
        <v>635.83397525566068</v>
      </c>
      <c r="AQ39" s="317">
        <f>AP39+(AP39*'[2]Canadian GDP'!$E$17)</f>
        <v>641.62391502149649</v>
      </c>
      <c r="AR39" s="317">
        <f>AQ39+(AQ39*'[2]Canadian GDP'!$E$18)</f>
        <v>647.26827751166661</v>
      </c>
      <c r="AS39" s="317">
        <f>AR39+(AR39*'[2]Canadian GDP'!$E$19)</f>
        <v>652.77282816283082</v>
      </c>
      <c r="AT39" s="317">
        <f>AS39+(AS39*'[2]Canadian GDP'!$E$20)</f>
        <v>658.14189105248431</v>
      </c>
      <c r="AU39" s="317">
        <f>AT39+(AT39*'[2]Canadian GDP'!$E$21)</f>
        <v>663.38987977227737</v>
      </c>
      <c r="AV39" s="317">
        <f>AU39+(AU39*'[2]Canadian GDP'!$E$22)</f>
        <v>668.53409063218965</v>
      </c>
      <c r="AW39" s="317">
        <f>AV39+(AV39*'[2]Canadian GDP'!$E$23)</f>
        <v>673.59037858303668</v>
      </c>
      <c r="AX39" s="317">
        <f>AW39+(AW39*'[2]Canadian GDP'!$E$23)</f>
        <v>678.68490848474323</v>
      </c>
      <c r="AY39" s="317">
        <f>AX39+(AX39*'[2]Canadian GDP'!$E$23)</f>
        <v>683.81796957060055</v>
      </c>
      <c r="AZ39" s="317">
        <f>AY39+(AY39*'[2]Canadian GDP'!$E$23)</f>
        <v>688.98985326144248</v>
      </c>
      <c r="BA39" s="317">
        <f>AZ39+(AZ39*'[2]Canadian GDP'!$E$23)</f>
        <v>694.20085318219049</v>
      </c>
      <c r="BB39" s="317">
        <f>BA39+(BA39*'[2]Canadian GDP'!$E$23)</f>
        <v>699.4512651785235</v>
      </c>
      <c r="BC39" s="317">
        <f>BB39+(BB39*'[2]Canadian GDP'!$E$23)</f>
        <v>704.7413873336742</v>
      </c>
      <c r="BD39" s="317">
        <f>BC39+(BC39*'[2]Canadian GDP'!$E$23)</f>
        <v>710.0715199853521</v>
      </c>
      <c r="BE39" s="317">
        <f>BD39+(BD39*'[2]Canadian GDP'!$E$23)</f>
        <v>715.44196574279499</v>
      </c>
      <c r="BF39" s="317">
        <f>BE39+(BE39*'[2]Canadian GDP'!$E$23)</f>
        <v>720.85302950394851</v>
      </c>
      <c r="BG39" s="317">
        <f>BF39+(BF39*'[2]Canadian GDP'!$E$23)</f>
        <v>726.30501847277685</v>
      </c>
    </row>
    <row r="40" spans="1:59" ht="15">
      <c r="A40" s="318" t="s">
        <v>393</v>
      </c>
      <c r="AD40" s="329">
        <v>0.04</v>
      </c>
      <c r="AE40" s="329">
        <v>0.04</v>
      </c>
      <c r="AF40" s="329">
        <v>0.04</v>
      </c>
      <c r="AG40" s="329">
        <v>0.04</v>
      </c>
      <c r="AH40" s="329">
        <v>0.04</v>
      </c>
      <c r="AI40" s="329">
        <v>0.04</v>
      </c>
      <c r="AJ40" s="329">
        <v>0.04</v>
      </c>
      <c r="AK40" s="329">
        <v>0.04</v>
      </c>
      <c r="AL40" s="329">
        <v>0.04</v>
      </c>
      <c r="AM40" s="329">
        <v>0.04</v>
      </c>
      <c r="AN40" s="329">
        <v>0.04</v>
      </c>
      <c r="AO40" s="329">
        <v>0.04</v>
      </c>
      <c r="AP40" s="329">
        <v>0.04</v>
      </c>
      <c r="AQ40" s="329">
        <v>0.04</v>
      </c>
      <c r="AR40" s="329">
        <v>0.04</v>
      </c>
      <c r="AS40" s="329">
        <v>0.04</v>
      </c>
      <c r="AT40" s="329">
        <v>0.04</v>
      </c>
      <c r="AU40" s="329">
        <v>0.04</v>
      </c>
      <c r="AV40" s="329">
        <v>0.04</v>
      </c>
      <c r="AW40" s="329">
        <v>0.04</v>
      </c>
      <c r="AX40" s="329">
        <v>0.04</v>
      </c>
      <c r="AY40" s="329">
        <v>0.04</v>
      </c>
      <c r="AZ40" s="329">
        <v>0.04</v>
      </c>
      <c r="BA40" s="329">
        <v>0.04</v>
      </c>
      <c r="BB40" s="329">
        <v>0.04</v>
      </c>
      <c r="BC40" s="329">
        <v>0.04</v>
      </c>
      <c r="BD40" s="329">
        <v>0.04</v>
      </c>
      <c r="BE40" s="329">
        <v>0.04</v>
      </c>
      <c r="BF40" s="329">
        <v>0.04</v>
      </c>
      <c r="BG40" s="329">
        <v>0.04</v>
      </c>
    </row>
    <row r="41" spans="1:59" ht="15">
      <c r="A41" s="318" t="s">
        <v>394</v>
      </c>
      <c r="AD41" s="317">
        <f t="shared" ref="AD41:BG41" si="17">(AD39*AD40)-(AD39*0.02)</f>
        <v>11.025273352160005</v>
      </c>
      <c r="AE41" s="317">
        <f t="shared" si="17"/>
        <v>11.20861423794898</v>
      </c>
      <c r="AF41" s="317">
        <f t="shared" si="17"/>
        <v>11.365462942285115</v>
      </c>
      <c r="AG41" s="317">
        <f t="shared" si="17"/>
        <v>11.517497507010125</v>
      </c>
      <c r="AH41" s="317">
        <f t="shared" si="17"/>
        <v>11.665092685506911</v>
      </c>
      <c r="AI41" s="317">
        <f t="shared" si="17"/>
        <v>11.80931508355758</v>
      </c>
      <c r="AJ41" s="317">
        <f t="shared" si="17"/>
        <v>11.95013587397883</v>
      </c>
      <c r="AK41" s="317">
        <f t="shared" si="17"/>
        <v>12.087410920854161</v>
      </c>
      <c r="AL41" s="317">
        <f t="shared" si="17"/>
        <v>12.220996088267073</v>
      </c>
      <c r="AM41" s="317">
        <f t="shared" si="17"/>
        <v>12.350718413117763</v>
      </c>
      <c r="AN41" s="317">
        <f t="shared" si="17"/>
        <v>12.476404932306435</v>
      </c>
      <c r="AO41" s="317">
        <f t="shared" si="17"/>
        <v>12.597940337099882</v>
      </c>
      <c r="AP41" s="317">
        <f t="shared" si="17"/>
        <v>12.716679505113214</v>
      </c>
      <c r="AQ41" s="317">
        <f t="shared" si="17"/>
        <v>12.83247830042993</v>
      </c>
      <c r="AR41" s="317">
        <f t="shared" si="17"/>
        <v>12.945365550233333</v>
      </c>
      <c r="AS41" s="317">
        <f t="shared" si="17"/>
        <v>13.055456563256616</v>
      </c>
      <c r="AT41" s="317">
        <f t="shared" si="17"/>
        <v>13.162837821049687</v>
      </c>
      <c r="AU41" s="317">
        <f t="shared" si="17"/>
        <v>13.267797595445547</v>
      </c>
      <c r="AV41" s="317">
        <f t="shared" si="17"/>
        <v>13.370681812643793</v>
      </c>
      <c r="AW41" s="317">
        <f t="shared" si="17"/>
        <v>13.471807571660733</v>
      </c>
      <c r="AX41" s="317">
        <f t="shared" si="17"/>
        <v>13.573698169694865</v>
      </c>
      <c r="AY41" s="317">
        <f t="shared" si="17"/>
        <v>13.676359391412012</v>
      </c>
      <c r="AZ41" s="317">
        <f t="shared" si="17"/>
        <v>13.77979706522885</v>
      </c>
      <c r="BA41" s="317">
        <f t="shared" si="17"/>
        <v>13.88401706364381</v>
      </c>
      <c r="BB41" s="317">
        <f t="shared" si="17"/>
        <v>13.98902530357047</v>
      </c>
      <c r="BC41" s="317">
        <f t="shared" si="17"/>
        <v>14.094827746673484</v>
      </c>
      <c r="BD41" s="317">
        <f t="shared" si="17"/>
        <v>14.201430399707043</v>
      </c>
      <c r="BE41" s="317">
        <f t="shared" si="17"/>
        <v>14.3088393148559</v>
      </c>
      <c r="BF41" s="317">
        <f t="shared" si="17"/>
        <v>14.41706059007897</v>
      </c>
      <c r="BG41" s="317">
        <f t="shared" si="17"/>
        <v>14.526100369455538</v>
      </c>
    </row>
    <row r="42" spans="1:59" ht="15">
      <c r="A42" s="164"/>
      <c r="AE42" s="320"/>
      <c r="AF42" s="320"/>
      <c r="AG42" s="320"/>
      <c r="AH42" s="320"/>
      <c r="AI42" s="320"/>
      <c r="AJ42" s="320"/>
      <c r="AK42" s="320"/>
      <c r="AL42" s="320"/>
      <c r="AM42" s="320"/>
      <c r="AN42" s="320"/>
      <c r="AO42" s="320"/>
      <c r="AP42" s="320"/>
      <c r="AQ42" s="320"/>
      <c r="AR42" s="320"/>
      <c r="AS42" s="320"/>
      <c r="AT42" s="320"/>
      <c r="AU42" s="320"/>
      <c r="AV42" s="320"/>
      <c r="AW42" s="320"/>
      <c r="AX42" s="320"/>
      <c r="AY42" s="320"/>
      <c r="AZ42" s="320"/>
      <c r="BA42" s="320"/>
      <c r="BB42" s="320"/>
      <c r="BC42" s="320"/>
      <c r="BD42" s="320"/>
      <c r="BE42" s="320"/>
      <c r="BF42" s="320"/>
      <c r="BG42" s="320"/>
    </row>
    <row r="43" spans="1:59" ht="18.75" thickBot="1">
      <c r="A43" s="315" t="s">
        <v>57</v>
      </c>
      <c r="AE43" s="320"/>
      <c r="AF43" s="320"/>
      <c r="AG43" s="320"/>
      <c r="AH43" s="320"/>
      <c r="AI43" s="320"/>
      <c r="AJ43" s="320"/>
      <c r="AK43" s="320"/>
      <c r="AL43" s="320"/>
      <c r="AM43" s="320"/>
      <c r="AN43" s="320"/>
      <c r="AO43" s="320"/>
      <c r="AP43" s="320"/>
      <c r="AQ43" s="320"/>
      <c r="AR43" s="320"/>
      <c r="AS43" s="320"/>
      <c r="AT43" s="320"/>
      <c r="AU43" s="320"/>
      <c r="AV43" s="320"/>
      <c r="AW43" s="320"/>
      <c r="AX43" s="320"/>
      <c r="AY43" s="320"/>
      <c r="AZ43" s="320"/>
      <c r="BA43" s="320"/>
      <c r="BB43" s="320"/>
      <c r="BC43" s="320"/>
      <c r="BD43" s="320"/>
      <c r="BE43" s="320"/>
      <c r="BF43" s="320"/>
      <c r="BG43" s="320"/>
    </row>
    <row r="44" spans="1:59" ht="16.5" thickBot="1">
      <c r="A44" s="326"/>
      <c r="B44" s="327">
        <f>B2</f>
        <v>1993</v>
      </c>
      <c r="C44" s="327">
        <f t="shared" ref="C44:BG44" si="18">C2</f>
        <v>1994</v>
      </c>
      <c r="D44" s="327">
        <f t="shared" si="18"/>
        <v>1995</v>
      </c>
      <c r="E44" s="327">
        <f t="shared" si="18"/>
        <v>1996</v>
      </c>
      <c r="F44" s="327">
        <f t="shared" si="18"/>
        <v>1997</v>
      </c>
      <c r="G44" s="327">
        <f t="shared" si="18"/>
        <v>1998</v>
      </c>
      <c r="H44" s="327">
        <f t="shared" si="18"/>
        <v>1999</v>
      </c>
      <c r="I44" s="327">
        <f t="shared" si="18"/>
        <v>2000</v>
      </c>
      <c r="J44" s="327">
        <f t="shared" si="18"/>
        <v>2001</v>
      </c>
      <c r="K44" s="327">
        <f t="shared" si="18"/>
        <v>2002</v>
      </c>
      <c r="L44" s="327">
        <f t="shared" si="18"/>
        <v>2003</v>
      </c>
      <c r="M44" s="327">
        <f t="shared" si="18"/>
        <v>2004</v>
      </c>
      <c r="N44" s="327">
        <f t="shared" si="18"/>
        <v>2005</v>
      </c>
      <c r="O44" s="327">
        <f t="shared" si="18"/>
        <v>2006</v>
      </c>
      <c r="P44" s="327">
        <f t="shared" si="18"/>
        <v>2007</v>
      </c>
      <c r="Q44" s="327">
        <f t="shared" si="18"/>
        <v>2008</v>
      </c>
      <c r="R44" s="327">
        <f t="shared" si="18"/>
        <v>2009</v>
      </c>
      <c r="S44" s="327">
        <f t="shared" si="18"/>
        <v>2010</v>
      </c>
      <c r="T44" s="327">
        <f t="shared" si="18"/>
        <v>2011</v>
      </c>
      <c r="U44" s="327">
        <f t="shared" si="18"/>
        <v>2012</v>
      </c>
      <c r="V44" s="327">
        <f t="shared" si="18"/>
        <v>2013</v>
      </c>
      <c r="W44" s="327">
        <f t="shared" si="18"/>
        <v>2014</v>
      </c>
      <c r="X44" s="327">
        <f t="shared" si="18"/>
        <v>2015</v>
      </c>
      <c r="Y44" s="327">
        <f t="shared" si="18"/>
        <v>2016</v>
      </c>
      <c r="Z44" s="327">
        <f t="shared" si="18"/>
        <v>2017</v>
      </c>
      <c r="AA44" s="327">
        <f t="shared" si="18"/>
        <v>2018</v>
      </c>
      <c r="AB44" s="327">
        <f t="shared" si="18"/>
        <v>2019</v>
      </c>
      <c r="AC44" s="327">
        <f t="shared" si="18"/>
        <v>2020</v>
      </c>
      <c r="AD44" s="327">
        <f t="shared" si="18"/>
        <v>2021</v>
      </c>
      <c r="AE44" s="327">
        <f t="shared" si="18"/>
        <v>2022</v>
      </c>
      <c r="AF44" s="327">
        <f t="shared" si="18"/>
        <v>2023</v>
      </c>
      <c r="AG44" s="327">
        <f t="shared" si="18"/>
        <v>2024</v>
      </c>
      <c r="AH44" s="327">
        <f t="shared" si="18"/>
        <v>2025</v>
      </c>
      <c r="AI44" s="327">
        <f t="shared" si="18"/>
        <v>2026</v>
      </c>
      <c r="AJ44" s="327">
        <f t="shared" si="18"/>
        <v>2027</v>
      </c>
      <c r="AK44" s="327">
        <f t="shared" si="18"/>
        <v>2028</v>
      </c>
      <c r="AL44" s="327">
        <f t="shared" si="18"/>
        <v>2029</v>
      </c>
      <c r="AM44" s="327">
        <f t="shared" si="18"/>
        <v>2030</v>
      </c>
      <c r="AN44" s="327">
        <f t="shared" si="18"/>
        <v>2031</v>
      </c>
      <c r="AO44" s="327">
        <f t="shared" si="18"/>
        <v>2032</v>
      </c>
      <c r="AP44" s="327">
        <f t="shared" si="18"/>
        <v>2033</v>
      </c>
      <c r="AQ44" s="327">
        <f t="shared" si="18"/>
        <v>2034</v>
      </c>
      <c r="AR44" s="327">
        <f t="shared" si="18"/>
        <v>2035</v>
      </c>
      <c r="AS44" s="327">
        <f t="shared" si="18"/>
        <v>2036</v>
      </c>
      <c r="AT44" s="327">
        <f t="shared" si="18"/>
        <v>2037</v>
      </c>
      <c r="AU44" s="327">
        <f t="shared" si="18"/>
        <v>2038</v>
      </c>
      <c r="AV44" s="327">
        <f t="shared" si="18"/>
        <v>2039</v>
      </c>
      <c r="AW44" s="327">
        <f t="shared" si="18"/>
        <v>2040</v>
      </c>
      <c r="AX44" s="327">
        <f t="shared" si="18"/>
        <v>2041</v>
      </c>
      <c r="AY44" s="327">
        <f t="shared" si="18"/>
        <v>2042</v>
      </c>
      <c r="AZ44" s="327">
        <f t="shared" si="18"/>
        <v>2043</v>
      </c>
      <c r="BA44" s="327">
        <f t="shared" si="18"/>
        <v>2044</v>
      </c>
      <c r="BB44" s="327">
        <f t="shared" si="18"/>
        <v>2045</v>
      </c>
      <c r="BC44" s="327">
        <f t="shared" si="18"/>
        <v>2046</v>
      </c>
      <c r="BD44" s="327">
        <f t="shared" si="18"/>
        <v>2047</v>
      </c>
      <c r="BE44" s="327">
        <f t="shared" si="18"/>
        <v>2048</v>
      </c>
      <c r="BF44" s="327">
        <f t="shared" si="18"/>
        <v>2049</v>
      </c>
      <c r="BG44" s="327">
        <f t="shared" si="18"/>
        <v>2050</v>
      </c>
    </row>
    <row r="45" spans="1:59" ht="15">
      <c r="A45" s="318" t="s">
        <v>392</v>
      </c>
      <c r="B45" s="316">
        <f>'[5]Fuel Data'!B$83/'[5]Fuel Data'!$B$191/1000</f>
        <v>330.45297603165835</v>
      </c>
      <c r="C45" s="316">
        <f>'[5]Fuel Data'!C$83/'[5]Fuel Data'!$B$191/1000</f>
        <v>403.1267418852911</v>
      </c>
      <c r="D45" s="316">
        <f>'[5]Fuel Data'!D$83/'[5]Fuel Data'!$B$191/1000</f>
        <v>410.86698666723021</v>
      </c>
      <c r="E45" s="316">
        <f>'[5]Fuel Data'!E$83/'[5]Fuel Data'!$B$191/1000</f>
        <v>452.18351512781965</v>
      </c>
      <c r="F45" s="316">
        <f>'[5]Fuel Data'!F$83/'[5]Fuel Data'!$B$191/1000</f>
        <v>520.28710232180924</v>
      </c>
      <c r="G45" s="316">
        <f>'[5]Fuel Data'!G$83/'[5]Fuel Data'!$B$191/1000</f>
        <v>511.06749334946545</v>
      </c>
      <c r="H45" s="316">
        <f>'[5]Fuel Data'!H$83/'[5]Fuel Data'!$B$191/1000</f>
        <v>521.42304268229861</v>
      </c>
      <c r="I45" s="316">
        <f>'[5]Fuel Data'!I$83/'[5]Fuel Data'!$B$191/1000</f>
        <v>574.17822640083898</v>
      </c>
      <c r="J45" s="316">
        <f>'[5]Fuel Data'!J$83/'[5]Fuel Data'!$B$191/1000</f>
        <v>605.98455649454093</v>
      </c>
      <c r="K45" s="316">
        <f>'[5]Fuel Data'!K$83/'[5]Fuel Data'!$B$191/1000</f>
        <v>603.87117907967695</v>
      </c>
      <c r="L45" s="316">
        <f>'[5]Fuel Data'!L$83/'[5]Fuel Data'!$B$191/1000</f>
        <v>659.40017065522625</v>
      </c>
      <c r="M45" s="316">
        <f>'[5]Fuel Data'!M$83/'[5]Fuel Data'!$B$191/1000</f>
        <v>717.43879791092638</v>
      </c>
      <c r="N45" s="316">
        <f>'[5]Fuel Data'!N$83/'[5]Fuel Data'!$B$191/1000</f>
        <v>794.76199407725983</v>
      </c>
      <c r="O45" s="316">
        <f>'[5]Fuel Data'!O$83/'[5]Fuel Data'!$B$191/1000</f>
        <v>891.15842141273993</v>
      </c>
      <c r="P45" s="316">
        <f>'[5]Fuel Data'!P$83/'[5]Fuel Data'!$B$191/1000</f>
        <v>945.73639315160051</v>
      </c>
      <c r="Q45" s="316">
        <f>'[5]Fuel Data'!Q$83/'[5]Fuel Data'!$B$191/1000</f>
        <v>921.64389062215184</v>
      </c>
      <c r="R45" s="316">
        <f>'[5]Fuel Data'!R$83/'[5]Fuel Data'!$B$191/1000</f>
        <v>959.6582668720165</v>
      </c>
      <c r="S45" s="316">
        <f>'[5]Fuel Data'!S$83/'[5]Fuel Data'!$B$191/1000</f>
        <v>958.83933312375666</v>
      </c>
      <c r="T45" s="316">
        <f>'[5]Fuel Data'!T$83/'[5]Fuel Data'!$B$191/1000</f>
        <v>1271.1965150406429</v>
      </c>
      <c r="U45" s="316">
        <f>'[5]Fuel Data'!U$83/'[5]Fuel Data'!$B$191/1000</f>
        <v>1770.481929302242</v>
      </c>
      <c r="V45" s="316">
        <f>'[5]Fuel Data'!V$83/'[5]Fuel Data'!$B$191/1000</f>
        <v>1915.2482822204199</v>
      </c>
      <c r="W45" s="316">
        <f>'[5]Fuel Data'!W$83/'[5]Fuel Data'!$B$191/1000</f>
        <v>2000.5758953455502</v>
      </c>
      <c r="X45" s="316">
        <f>'[5]Fuel Data'!X$83/'[5]Fuel Data'!$B$191/1000</f>
        <v>1681.9842500548154</v>
      </c>
      <c r="Y45" s="316">
        <f>'[5]Fuel Data'!Y$83/'[5]Fuel Data'!$B$191/1000</f>
        <v>1511.8573681582709</v>
      </c>
      <c r="Z45" s="316">
        <f>'[5]Fuel Data'!Z$83/'[5]Fuel Data'!$B$191/1000</f>
        <v>1727.9502088281058</v>
      </c>
      <c r="AA45" s="316">
        <f>'[5]Fuel Data'!AA$83/'[5]Fuel Data'!$B$191/1000</f>
        <v>1678.5500117556619</v>
      </c>
      <c r="AB45" s="316">
        <f>'[5]Fuel Data'!AB$83/'[5]Fuel Data'!$B$191/1000</f>
        <v>1649.4910723012831</v>
      </c>
      <c r="AC45" s="316">
        <f>'[5]Fuel Data'!AC$83/'[5]Fuel Data'!$B$191/1000</f>
        <v>833.17262859241146</v>
      </c>
      <c r="AD45" s="316">
        <f>'[5]Fuel Data'!AD$83/'[5]Fuel Data'!$B$191/1000</f>
        <v>857.15946225111679</v>
      </c>
      <c r="AE45" s="317">
        <f>AD45+(AD45*'[2]Canadian GDP'!$E$5)</f>
        <v>871.41329252379057</v>
      </c>
      <c r="AF45" s="317">
        <f>AE45+(AE45*'[2]Canadian GDP'!$E$6)</f>
        <v>883.60748914542864</v>
      </c>
      <c r="AG45" s="317">
        <f>AF45+(AF45*'[2]Canadian GDP'!$E$7)</f>
        <v>895.42741066399503</v>
      </c>
      <c r="AH45" s="317">
        <f>AG45+(AG45*'[2]Canadian GDP'!$E$8)</f>
        <v>906.90219226715374</v>
      </c>
      <c r="AI45" s="317">
        <f>AH45+(AH45*'[2]Canadian GDP'!$E$9)</f>
        <v>918.1147571813342</v>
      </c>
      <c r="AJ45" s="317">
        <f>AI45+(AI45*'[2]Canadian GDP'!$E$10)</f>
        <v>929.06286423825429</v>
      </c>
      <c r="AK45" s="317">
        <f>AJ45+(AJ45*'[2]Canadian GDP'!$E$11)</f>
        <v>939.73530759650475</v>
      </c>
      <c r="AL45" s="317">
        <f>AK45+(AK45*'[2]Canadian GDP'!$E$12)</f>
        <v>950.12088141467632</v>
      </c>
      <c r="AM45" s="317">
        <f>AL45+(AL45*'[2]Canadian GDP'!$E$13)</f>
        <v>960.2061386830776</v>
      </c>
      <c r="AN45" s="317">
        <f>AM45+(AM45*'[2]Canadian GDP'!$E$14)</f>
        <v>969.97763239201754</v>
      </c>
      <c r="AO45" s="317">
        <f>AN45+(AN45*'[2]Canadian GDP'!$E$15)</f>
        <v>979.42639786836855</v>
      </c>
      <c r="AP45" s="317">
        <f>AO45+(AO45*'[2]Canadian GDP'!$E$16)</f>
        <v>988.6577700213785</v>
      </c>
      <c r="AQ45" s="317">
        <f>AP45+(AP45*'[2]Canadian GDP'!$E$17)</f>
        <v>997.66054300963799</v>
      </c>
      <c r="AR45" s="317">
        <f>AQ45+(AQ45*'[2]Canadian GDP'!$E$18)</f>
        <v>1006.436958001429</v>
      </c>
      <c r="AS45" s="317">
        <f>AR45+(AR45*'[2]Canadian GDP'!$E$19)</f>
        <v>1014.9959796698788</v>
      </c>
      <c r="AT45" s="317">
        <f>AS45+(AS45*'[2]Canadian GDP'!$E$20)</f>
        <v>1023.3443315198331</v>
      </c>
      <c r="AU45" s="317">
        <f>AT45+(AT45*'[2]Canadian GDP'!$E$21)</f>
        <v>1031.5044252341108</v>
      </c>
      <c r="AV45" s="317">
        <f>AU45+(AU45*'[2]Canadian GDP'!$E$22)</f>
        <v>1039.5031548320937</v>
      </c>
      <c r="AW45" s="317">
        <f>AV45+(AV45*'[2]Canadian GDP'!$E$23)</f>
        <v>1047.3651731648831</v>
      </c>
      <c r="AX45" s="317">
        <f>AW45+(AW45*'[2]Canadian GDP'!$E$23)</f>
        <v>1055.2866538783087</v>
      </c>
      <c r="AY45" s="317">
        <f>AX45+(AX45*'[2]Canadian GDP'!$E$23)</f>
        <v>1063.2680467009975</v>
      </c>
      <c r="AZ45" s="317">
        <f>AY45+(AY45*'[2]Canadian GDP'!$E$23)</f>
        <v>1071.3098047629851</v>
      </c>
      <c r="BA45" s="317">
        <f>AZ45+(AZ45*'[2]Canadian GDP'!$E$23)</f>
        <v>1079.4123846214407</v>
      </c>
      <c r="BB45" s="317">
        <f>BA45+(BA45*'[2]Canadian GDP'!$E$23)</f>
        <v>1087.5762462865882</v>
      </c>
      <c r="BC45" s="317">
        <f>BB45+(BB45*'[2]Canadian GDP'!$E$23)</f>
        <v>1095.801853247822</v>
      </c>
      <c r="BD45" s="317">
        <f>BC45+(BC45*'[2]Canadian GDP'!$E$23)</f>
        <v>1104.0896725000209</v>
      </c>
      <c r="BE45" s="317">
        <f>BD45+(BD45*'[2]Canadian GDP'!$E$23)</f>
        <v>1112.4401745700611</v>
      </c>
      <c r="BF45" s="317">
        <f>BE45+(BE45*'[2]Canadian GDP'!$E$23)</f>
        <v>1120.8538335435292</v>
      </c>
      <c r="BG45" s="317">
        <f>BF45+(BF45*'[2]Canadian GDP'!$E$23)</f>
        <v>1129.3311270916377</v>
      </c>
    </row>
    <row r="46" spans="1:59" ht="15">
      <c r="A46" s="318" t="s">
        <v>393</v>
      </c>
      <c r="AE46" s="329">
        <v>0.02</v>
      </c>
      <c r="AF46" s="329">
        <v>0.02</v>
      </c>
      <c r="AG46" s="329">
        <v>0.02</v>
      </c>
      <c r="AH46" s="329">
        <v>0.02</v>
      </c>
      <c r="AI46" s="329">
        <v>0.02</v>
      </c>
      <c r="AJ46" s="329">
        <v>0.02</v>
      </c>
      <c r="AK46" s="329">
        <v>0.02</v>
      </c>
      <c r="AL46" s="329">
        <v>0.02</v>
      </c>
      <c r="AM46" s="329">
        <v>0.02</v>
      </c>
      <c r="AN46" s="329">
        <v>0.02</v>
      </c>
      <c r="AO46" s="329">
        <v>0.02</v>
      </c>
      <c r="AP46" s="329">
        <v>0.02</v>
      </c>
      <c r="AQ46" s="329">
        <v>0.02</v>
      </c>
      <c r="AR46" s="329">
        <v>0.02</v>
      </c>
      <c r="AS46" s="329">
        <v>0.02</v>
      </c>
      <c r="AT46" s="329">
        <v>0.02</v>
      </c>
      <c r="AU46" s="329">
        <v>0.02</v>
      </c>
      <c r="AV46" s="329">
        <v>0.02</v>
      </c>
      <c r="AW46" s="329">
        <v>0.02</v>
      </c>
      <c r="AX46" s="329">
        <v>0.02</v>
      </c>
      <c r="AY46" s="329">
        <v>0.02</v>
      </c>
      <c r="AZ46" s="329">
        <v>0.02</v>
      </c>
      <c r="BA46" s="329">
        <v>0.02</v>
      </c>
      <c r="BB46" s="329">
        <v>0.02</v>
      </c>
      <c r="BC46" s="329">
        <v>0.02</v>
      </c>
      <c r="BD46" s="329">
        <v>0.02</v>
      </c>
      <c r="BE46" s="329">
        <v>0.02</v>
      </c>
      <c r="BF46" s="329">
        <v>0.02</v>
      </c>
      <c r="BG46" s="329">
        <v>0.02</v>
      </c>
    </row>
    <row r="47" spans="1:59" ht="15">
      <c r="A47" s="318" t="s">
        <v>394</v>
      </c>
      <c r="AE47" s="317">
        <f t="shared" ref="AE47:AS47" si="19">(AE45*AE46)-(AE45*0.02)</f>
        <v>0</v>
      </c>
      <c r="AF47" s="317">
        <f t="shared" si="19"/>
        <v>0</v>
      </c>
      <c r="AG47" s="317">
        <f t="shared" si="19"/>
        <v>0</v>
      </c>
      <c r="AH47" s="317">
        <f t="shared" si="19"/>
        <v>0</v>
      </c>
      <c r="AI47" s="317">
        <f t="shared" si="19"/>
        <v>0</v>
      </c>
      <c r="AJ47" s="317">
        <f t="shared" si="19"/>
        <v>0</v>
      </c>
      <c r="AK47" s="317">
        <f t="shared" si="19"/>
        <v>0</v>
      </c>
      <c r="AL47" s="317">
        <f t="shared" si="19"/>
        <v>0</v>
      </c>
      <c r="AM47" s="317">
        <f t="shared" si="19"/>
        <v>0</v>
      </c>
      <c r="AN47" s="317">
        <f t="shared" si="19"/>
        <v>0</v>
      </c>
      <c r="AO47" s="317">
        <f t="shared" si="19"/>
        <v>0</v>
      </c>
      <c r="AP47" s="317">
        <f t="shared" si="19"/>
        <v>0</v>
      </c>
      <c r="AQ47" s="317">
        <f t="shared" si="19"/>
        <v>0</v>
      </c>
      <c r="AR47" s="317">
        <f t="shared" si="19"/>
        <v>0</v>
      </c>
      <c r="AS47" s="317">
        <f t="shared" si="19"/>
        <v>0</v>
      </c>
      <c r="AT47" s="317">
        <f>(AT45*AT46)-(AT45*0.02)</f>
        <v>0</v>
      </c>
      <c r="AU47" s="317">
        <f>(AU45*AU46)-(AU45*0.02)</f>
        <v>0</v>
      </c>
      <c r="AV47" s="317">
        <f>(AV45*AV46)-(AV45*0.02)</f>
        <v>0</v>
      </c>
      <c r="AW47" s="317">
        <f>(AW45*AW46)-(AW45*0.02)</f>
        <v>0</v>
      </c>
      <c r="AX47" s="317">
        <f t="shared" ref="AX47:BG47" si="20">(AX45*AX46)-(AX45*0.02)</f>
        <v>0</v>
      </c>
      <c r="AY47" s="317">
        <f t="shared" si="20"/>
        <v>0</v>
      </c>
      <c r="AZ47" s="317">
        <f t="shared" si="20"/>
        <v>0</v>
      </c>
      <c r="BA47" s="317">
        <f t="shared" si="20"/>
        <v>0</v>
      </c>
      <c r="BB47" s="317">
        <f t="shared" si="20"/>
        <v>0</v>
      </c>
      <c r="BC47" s="317">
        <f t="shared" si="20"/>
        <v>0</v>
      </c>
      <c r="BD47" s="317">
        <f t="shared" si="20"/>
        <v>0</v>
      </c>
      <c r="BE47" s="317">
        <f t="shared" si="20"/>
        <v>0</v>
      </c>
      <c r="BF47" s="317">
        <f t="shared" si="20"/>
        <v>0</v>
      </c>
      <c r="BG47" s="317">
        <f t="shared" si="20"/>
        <v>0</v>
      </c>
    </row>
    <row r="48" spans="1:59" ht="15">
      <c r="A48" s="164"/>
      <c r="AE48" s="320"/>
      <c r="AF48" s="320"/>
      <c r="AG48" s="320"/>
      <c r="AH48" s="320"/>
      <c r="AI48" s="320"/>
      <c r="AJ48" s="320"/>
      <c r="AK48" s="320"/>
      <c r="AL48" s="320"/>
      <c r="AM48" s="320"/>
      <c r="AN48" s="320"/>
      <c r="AO48" s="320"/>
      <c r="AP48" s="320"/>
      <c r="AQ48" s="320"/>
      <c r="AR48" s="320"/>
      <c r="AS48" s="320"/>
      <c r="AT48" s="320"/>
      <c r="AU48" s="320"/>
      <c r="AV48" s="320"/>
      <c r="AW48" s="320"/>
      <c r="AX48" s="320"/>
      <c r="AY48" s="320"/>
      <c r="AZ48" s="320"/>
      <c r="BA48" s="320"/>
      <c r="BB48" s="320"/>
      <c r="BC48" s="320"/>
      <c r="BD48" s="320"/>
      <c r="BE48" s="320"/>
      <c r="BF48" s="320"/>
      <c r="BG48" s="320"/>
    </row>
    <row r="49" spans="1:59" ht="18.75" thickBot="1">
      <c r="A49" s="315" t="s">
        <v>47</v>
      </c>
      <c r="AE49" s="320"/>
      <c r="AF49" s="320"/>
      <c r="AG49" s="320"/>
      <c r="AH49" s="320"/>
      <c r="AI49" s="320"/>
      <c r="AJ49" s="320"/>
      <c r="AK49" s="320"/>
      <c r="AL49" s="320"/>
      <c r="AM49" s="320"/>
      <c r="AN49" s="320"/>
      <c r="AO49" s="320"/>
      <c r="AP49" s="320"/>
      <c r="AQ49" s="320"/>
      <c r="AR49" s="320"/>
      <c r="AS49" s="320"/>
      <c r="AT49" s="320"/>
      <c r="AU49" s="320"/>
      <c r="AV49" s="320"/>
      <c r="AW49" s="320"/>
      <c r="AX49" s="320"/>
      <c r="AY49" s="320"/>
      <c r="AZ49" s="320"/>
      <c r="BA49" s="320"/>
      <c r="BB49" s="320"/>
      <c r="BC49" s="320"/>
      <c r="BD49" s="320"/>
      <c r="BE49" s="320"/>
      <c r="BF49" s="320"/>
      <c r="BG49" s="320"/>
    </row>
    <row r="50" spans="1:59" ht="16.5" thickBot="1">
      <c r="A50" s="326"/>
      <c r="B50" s="327">
        <f>B2</f>
        <v>1993</v>
      </c>
      <c r="C50" s="327">
        <f t="shared" ref="C50:BG50" si="21">C2</f>
        <v>1994</v>
      </c>
      <c r="D50" s="327">
        <f t="shared" si="21"/>
        <v>1995</v>
      </c>
      <c r="E50" s="327">
        <f t="shared" si="21"/>
        <v>1996</v>
      </c>
      <c r="F50" s="327">
        <f t="shared" si="21"/>
        <v>1997</v>
      </c>
      <c r="G50" s="327">
        <f t="shared" si="21"/>
        <v>1998</v>
      </c>
      <c r="H50" s="327">
        <f t="shared" si="21"/>
        <v>1999</v>
      </c>
      <c r="I50" s="327">
        <f t="shared" si="21"/>
        <v>2000</v>
      </c>
      <c r="J50" s="327">
        <f t="shared" si="21"/>
        <v>2001</v>
      </c>
      <c r="K50" s="327">
        <f t="shared" si="21"/>
        <v>2002</v>
      </c>
      <c r="L50" s="327">
        <f t="shared" si="21"/>
        <v>2003</v>
      </c>
      <c r="M50" s="327">
        <f t="shared" si="21"/>
        <v>2004</v>
      </c>
      <c r="N50" s="327">
        <f t="shared" si="21"/>
        <v>2005</v>
      </c>
      <c r="O50" s="327">
        <f t="shared" si="21"/>
        <v>2006</v>
      </c>
      <c r="P50" s="327">
        <f t="shared" si="21"/>
        <v>2007</v>
      </c>
      <c r="Q50" s="327">
        <f t="shared" si="21"/>
        <v>2008</v>
      </c>
      <c r="R50" s="327">
        <f t="shared" si="21"/>
        <v>2009</v>
      </c>
      <c r="S50" s="327">
        <f t="shared" si="21"/>
        <v>2010</v>
      </c>
      <c r="T50" s="327">
        <f t="shared" si="21"/>
        <v>2011</v>
      </c>
      <c r="U50" s="327">
        <f t="shared" si="21"/>
        <v>2012</v>
      </c>
      <c r="V50" s="327">
        <f t="shared" si="21"/>
        <v>2013</v>
      </c>
      <c r="W50" s="327">
        <f t="shared" si="21"/>
        <v>2014</v>
      </c>
      <c r="X50" s="327">
        <f t="shared" si="21"/>
        <v>2015</v>
      </c>
      <c r="Y50" s="327">
        <f t="shared" si="21"/>
        <v>2016</v>
      </c>
      <c r="Z50" s="327">
        <f t="shared" si="21"/>
        <v>2017</v>
      </c>
      <c r="AA50" s="327">
        <f t="shared" si="21"/>
        <v>2018</v>
      </c>
      <c r="AB50" s="327">
        <f t="shared" si="21"/>
        <v>2019</v>
      </c>
      <c r="AC50" s="327">
        <f t="shared" si="21"/>
        <v>2020</v>
      </c>
      <c r="AD50" s="327">
        <f t="shared" si="21"/>
        <v>2021</v>
      </c>
      <c r="AE50" s="327">
        <f t="shared" si="21"/>
        <v>2022</v>
      </c>
      <c r="AF50" s="327">
        <f t="shared" si="21"/>
        <v>2023</v>
      </c>
      <c r="AG50" s="327">
        <f t="shared" si="21"/>
        <v>2024</v>
      </c>
      <c r="AH50" s="327">
        <f t="shared" si="21"/>
        <v>2025</v>
      </c>
      <c r="AI50" s="327">
        <f t="shared" si="21"/>
        <v>2026</v>
      </c>
      <c r="AJ50" s="327">
        <f t="shared" si="21"/>
        <v>2027</v>
      </c>
      <c r="AK50" s="327">
        <f t="shared" si="21"/>
        <v>2028</v>
      </c>
      <c r="AL50" s="327">
        <f t="shared" si="21"/>
        <v>2029</v>
      </c>
      <c r="AM50" s="327">
        <f t="shared" si="21"/>
        <v>2030</v>
      </c>
      <c r="AN50" s="327">
        <f t="shared" si="21"/>
        <v>2031</v>
      </c>
      <c r="AO50" s="327">
        <f t="shared" si="21"/>
        <v>2032</v>
      </c>
      <c r="AP50" s="327">
        <f t="shared" si="21"/>
        <v>2033</v>
      </c>
      <c r="AQ50" s="327">
        <f t="shared" si="21"/>
        <v>2034</v>
      </c>
      <c r="AR50" s="327">
        <f t="shared" si="21"/>
        <v>2035</v>
      </c>
      <c r="AS50" s="327">
        <f t="shared" si="21"/>
        <v>2036</v>
      </c>
      <c r="AT50" s="327">
        <f t="shared" si="21"/>
        <v>2037</v>
      </c>
      <c r="AU50" s="327">
        <f t="shared" si="21"/>
        <v>2038</v>
      </c>
      <c r="AV50" s="327">
        <f t="shared" si="21"/>
        <v>2039</v>
      </c>
      <c r="AW50" s="327">
        <f t="shared" si="21"/>
        <v>2040</v>
      </c>
      <c r="AX50" s="327">
        <f t="shared" si="21"/>
        <v>2041</v>
      </c>
      <c r="AY50" s="327">
        <f t="shared" si="21"/>
        <v>2042</v>
      </c>
      <c r="AZ50" s="327">
        <f t="shared" si="21"/>
        <v>2043</v>
      </c>
      <c r="BA50" s="327">
        <f t="shared" si="21"/>
        <v>2044</v>
      </c>
      <c r="BB50" s="327">
        <f t="shared" si="21"/>
        <v>2045</v>
      </c>
      <c r="BC50" s="327">
        <f t="shared" si="21"/>
        <v>2046</v>
      </c>
      <c r="BD50" s="327">
        <f t="shared" si="21"/>
        <v>2047</v>
      </c>
      <c r="BE50" s="327">
        <f t="shared" si="21"/>
        <v>2048</v>
      </c>
      <c r="BF50" s="327">
        <f t="shared" si="21"/>
        <v>2049</v>
      </c>
      <c r="BG50" s="327">
        <f t="shared" si="21"/>
        <v>2050</v>
      </c>
    </row>
    <row r="51" spans="1:59" ht="15">
      <c r="A51" s="318" t="s">
        <v>392</v>
      </c>
      <c r="B51" s="316">
        <f>'[5]Fuel Data'!B$98/'[5]Fuel Data'!$B$191/1000</f>
        <v>36.778842978699792</v>
      </c>
      <c r="C51" s="316">
        <f>'[5]Fuel Data'!C$98/'[5]Fuel Data'!$B$191/1000</f>
        <v>39.90188645351494</v>
      </c>
      <c r="D51" s="316">
        <f>'[5]Fuel Data'!D$98/'[5]Fuel Data'!$B$191/1000</f>
        <v>37.753374139128915</v>
      </c>
      <c r="E51" s="316">
        <f>'[5]Fuel Data'!E$98/'[5]Fuel Data'!$B$191/1000</f>
        <v>37.409686137036672</v>
      </c>
      <c r="F51" s="316">
        <f>'[5]Fuel Data'!F$98/'[5]Fuel Data'!$B$191/1000</f>
        <v>38.92920449832382</v>
      </c>
      <c r="G51" s="316">
        <f>'[5]Fuel Data'!G$98/'[5]Fuel Data'!$B$191/1000</f>
        <v>39.559783484483845</v>
      </c>
      <c r="H51" s="316">
        <f>'[5]Fuel Data'!H$98/'[5]Fuel Data'!$B$191/1000</f>
        <v>44.299824853846737</v>
      </c>
      <c r="I51" s="316">
        <f>'[5]Fuel Data'!I$98/'[5]Fuel Data'!$B$191/1000</f>
        <v>49.362156278976386</v>
      </c>
      <c r="J51" s="316">
        <f>'[5]Fuel Data'!J$98/'[5]Fuel Data'!$B$191/1000</f>
        <v>48.211686448759842</v>
      </c>
      <c r="K51" s="316">
        <f>'[5]Fuel Data'!K$98/'[5]Fuel Data'!$B$191/1000</f>
        <v>49.412084820402548</v>
      </c>
      <c r="L51" s="316">
        <f>'[5]Fuel Data'!L$98/'[5]Fuel Data'!$B$191/1000</f>
        <v>50.68671557374234</v>
      </c>
      <c r="M51" s="316">
        <f>'[5]Fuel Data'!M$98/'[5]Fuel Data'!$B$191/1000</f>
        <v>53.247864828380543</v>
      </c>
      <c r="N51" s="316">
        <f>'[5]Fuel Data'!N$98/'[5]Fuel Data'!$B$191/1000</f>
        <v>59.268877083327823</v>
      </c>
      <c r="O51" s="316">
        <f>'[5]Fuel Data'!O$98/'[5]Fuel Data'!$B$191/1000</f>
        <v>63.058691132532537</v>
      </c>
      <c r="P51" s="316">
        <f>'[5]Fuel Data'!P$98/'[5]Fuel Data'!$B$191/1000</f>
        <v>64.904462132239303</v>
      </c>
      <c r="Q51" s="316">
        <f>'[5]Fuel Data'!Q$98/'[5]Fuel Data'!$B$191/1000</f>
        <v>69.802742635540142</v>
      </c>
      <c r="R51" s="316">
        <f>'[5]Fuel Data'!R$98/'[5]Fuel Data'!$B$191/1000</f>
        <v>63.269500529665208</v>
      </c>
      <c r="S51" s="316">
        <f>'[5]Fuel Data'!S$98/'[5]Fuel Data'!$B$191/1000</f>
        <v>73.055758821369409</v>
      </c>
      <c r="T51" s="316">
        <f>'[5]Fuel Data'!T$98/'[5]Fuel Data'!$B$191/1000</f>
        <v>76.605968706163921</v>
      </c>
      <c r="U51" s="316">
        <f>'[5]Fuel Data'!U$98/'[5]Fuel Data'!$B$191/1000</f>
        <v>70.46792817686854</v>
      </c>
      <c r="V51" s="316">
        <f>'[5]Fuel Data'!V$98/'[5]Fuel Data'!$B$191/1000</f>
        <v>82.490403945675624</v>
      </c>
      <c r="W51" s="316">
        <f>'[5]Fuel Data'!W$98/'[5]Fuel Data'!$B$191/1000</f>
        <v>83.627929339226128</v>
      </c>
      <c r="X51" s="316">
        <f>'[5]Fuel Data'!X$98/'[5]Fuel Data'!$B$191/1000</f>
        <v>95.158252342546774</v>
      </c>
      <c r="Y51" s="316">
        <f>'[5]Fuel Data'!Y$98/'[5]Fuel Data'!$B$191/1000</f>
        <v>92.234394689082549</v>
      </c>
      <c r="Z51" s="316">
        <f>'[5]Fuel Data'!Z$98/'[5]Fuel Data'!$B$191/1000</f>
        <v>91.706050335366569</v>
      </c>
      <c r="AA51" s="316">
        <f>'[5]Fuel Data'!AA$98/'[5]Fuel Data'!$B$191/1000</f>
        <v>51.919871295315431</v>
      </c>
      <c r="AB51" s="316">
        <f>'[5]Fuel Data'!AB$98/'[5]Fuel Data'!$B$191/1000</f>
        <v>77.522117815507428</v>
      </c>
      <c r="AC51" s="316">
        <f>'[5]Fuel Data'!AC$98/'[5]Fuel Data'!$B$191/1000</f>
        <v>75.674233438385798</v>
      </c>
      <c r="AD51" s="316">
        <f>'[5]Fuel Data'!AD$98/'[5]Fuel Data'!$B$191/1000</f>
        <v>75.557733508391422</v>
      </c>
      <c r="AE51" s="317">
        <f>AD51+(AD51*'[2]Canadian GDP'!$E$5)</f>
        <v>76.81419412820199</v>
      </c>
      <c r="AF51" s="317">
        <f>AE51+(AE51*'[2]Canadian GDP'!$E$6)</f>
        <v>77.88910013958396</v>
      </c>
      <c r="AG51" s="317">
        <f>AF51+(AF51*'[2]Canadian GDP'!$E$7)</f>
        <v>78.931014181860846</v>
      </c>
      <c r="AH51" s="317">
        <f>AG51+(AG51*'[2]Canadian GDP'!$E$8)</f>
        <v>79.942504492148586</v>
      </c>
      <c r="AI51" s="317">
        <f>AH51+(AH51*'[2]Canadian GDP'!$E$9)</f>
        <v>80.93088066839266</v>
      </c>
      <c r="AJ51" s="317">
        <f>AI51+(AI51*'[2]Canadian GDP'!$E$10)</f>
        <v>81.895945153891816</v>
      </c>
      <c r="AK51" s="317">
        <f>AJ51+(AJ51*'[2]Canadian GDP'!$E$11)</f>
        <v>82.83671016513992</v>
      </c>
      <c r="AL51" s="317">
        <f>AK51+(AK51*'[2]Canadian GDP'!$E$12)</f>
        <v>83.752187918630838</v>
      </c>
      <c r="AM51" s="317">
        <f>AL51+(AL51*'[2]Canadian GDP'!$E$13)</f>
        <v>84.641193074157187</v>
      </c>
      <c r="AN51" s="317">
        <f>AM51+(AM51*'[2]Canadian GDP'!$E$14)</f>
        <v>85.502540291511608</v>
      </c>
      <c r="AO51" s="317">
        <f>AN51+(AN51*'[2]Canadian GDP'!$E$15)</f>
        <v>86.335439343889178</v>
      </c>
      <c r="AP51" s="317">
        <f>AO51+(AO51*'[2]Canadian GDP'!$E$16)</f>
        <v>87.149175396247628</v>
      </c>
      <c r="AQ51" s="317">
        <f>AP51+(AP51*'[2]Canadian GDP'!$E$17)</f>
        <v>87.942760665080812</v>
      </c>
      <c r="AR51" s="317">
        <f>AQ51+(AQ51*'[2]Canadian GDP'!$E$18)</f>
        <v>88.716392707089966</v>
      </c>
      <c r="AS51" s="317">
        <f>AR51+(AR51*'[2]Canadian GDP'!$E$19)</f>
        <v>89.470861749079972</v>
      </c>
      <c r="AT51" s="317">
        <f>AS51+(AS51*'[2]Canadian GDP'!$E$20)</f>
        <v>90.206760461154545</v>
      </c>
      <c r="AU51" s="317">
        <f>AT51+(AT51*'[2]Canadian GDP'!$E$21)</f>
        <v>90.926064410325992</v>
      </c>
      <c r="AV51" s="317">
        <f>AU51+(AU51*'[2]Canadian GDP'!$E$22)</f>
        <v>91.631144277008985</v>
      </c>
      <c r="AW51" s="317">
        <f>AV51+(AV51*'[2]Canadian GDP'!$E$23)</f>
        <v>92.324173184917086</v>
      </c>
      <c r="AX51" s="317">
        <f>AW51+(AW51*'[2]Canadian GDP'!$E$23)</f>
        <v>93.022443641110826</v>
      </c>
      <c r="AY51" s="317">
        <f>AX51+(AX51*'[2]Canadian GDP'!$E$23)</f>
        <v>93.725995288710607</v>
      </c>
      <c r="AZ51" s="317">
        <f>AY51+(AY51*'[2]Canadian GDP'!$E$23)</f>
        <v>94.434868070667477</v>
      </c>
      <c r="BA51" s="317">
        <f>AZ51+(AZ51*'[2]Canadian GDP'!$E$23)</f>
        <v>95.149102232030899</v>
      </c>
      <c r="BB51" s="317">
        <f>BA51+(BA51*'[2]Canadian GDP'!$E$23)</f>
        <v>95.86873832223354</v>
      </c>
      <c r="BC51" s="317">
        <f>BB51+(BB51*'[2]Canadian GDP'!$E$23)</f>
        <v>96.593817197393406</v>
      </c>
      <c r="BD51" s="317">
        <f>BC51+(BC51*'[2]Canadian GDP'!$E$23)</f>
        <v>97.324380022633392</v>
      </c>
      <c r="BE51" s="317">
        <f>BD51+(BD51*'[2]Canadian GDP'!$E$23)</f>
        <v>98.060468274418355</v>
      </c>
      <c r="BF51" s="317">
        <f>BE51+(BE51*'[2]Canadian GDP'!$E$23)</f>
        <v>98.802123742909856</v>
      </c>
      <c r="BG51" s="317">
        <f>BF51+(BF51*'[2]Canadian GDP'!$E$23)</f>
        <v>99.54938853433876</v>
      </c>
    </row>
    <row r="52" spans="1:59" ht="15">
      <c r="A52" s="318" t="s">
        <v>393</v>
      </c>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0"/>
      <c r="BD52" s="320"/>
      <c r="BE52" s="320"/>
      <c r="BF52" s="320"/>
      <c r="BG52" s="320"/>
    </row>
    <row r="53" spans="1:59" ht="15">
      <c r="A53" s="318" t="s">
        <v>394</v>
      </c>
      <c r="AE53" s="320"/>
      <c r="AF53" s="320"/>
      <c r="AG53" s="320"/>
      <c r="AH53" s="320"/>
      <c r="AI53" s="320"/>
      <c r="AJ53" s="320"/>
      <c r="AK53" s="320"/>
      <c r="AL53" s="320"/>
      <c r="AM53" s="320"/>
      <c r="AN53" s="320"/>
      <c r="AO53" s="320"/>
      <c r="AP53" s="320"/>
      <c r="AQ53" s="320"/>
      <c r="AR53" s="320"/>
      <c r="AS53" s="320"/>
      <c r="AT53" s="320"/>
      <c r="AU53" s="320"/>
      <c r="AV53" s="320"/>
      <c r="AW53" s="320"/>
      <c r="AX53" s="320"/>
      <c r="AY53" s="320"/>
      <c r="AZ53" s="320"/>
      <c r="BA53" s="320"/>
      <c r="BB53" s="320"/>
      <c r="BC53" s="320"/>
      <c r="BD53" s="320"/>
      <c r="BE53" s="320"/>
      <c r="BF53" s="320"/>
      <c r="BG53" s="320"/>
    </row>
    <row r="54" spans="1:59" ht="15">
      <c r="A54" s="164"/>
      <c r="AE54" s="320"/>
      <c r="AF54" s="320"/>
      <c r="AG54" s="320"/>
      <c r="AH54" s="320"/>
      <c r="AI54" s="320"/>
      <c r="AJ54" s="320"/>
      <c r="AK54" s="320"/>
      <c r="AL54" s="320"/>
      <c r="AM54" s="320"/>
      <c r="AN54" s="320"/>
      <c r="AO54" s="320"/>
      <c r="AP54" s="320"/>
      <c r="AQ54" s="320"/>
      <c r="AR54" s="320"/>
      <c r="AS54" s="320"/>
      <c r="AT54" s="320"/>
      <c r="AU54" s="320"/>
      <c r="AV54" s="320"/>
      <c r="AW54" s="320"/>
      <c r="AX54" s="320"/>
      <c r="AY54" s="320"/>
      <c r="AZ54" s="320"/>
      <c r="BA54" s="320"/>
      <c r="BB54" s="320"/>
      <c r="BC54" s="320"/>
      <c r="BD54" s="320"/>
      <c r="BE54" s="320"/>
      <c r="BF54" s="320"/>
      <c r="BG54" s="320"/>
    </row>
    <row r="55" spans="1:59" ht="18.75" thickBot="1">
      <c r="A55" s="315" t="s">
        <v>48</v>
      </c>
      <c r="AE55" s="320"/>
      <c r="AF55" s="320"/>
      <c r="AG55" s="320"/>
      <c r="AH55" s="320"/>
      <c r="AI55" s="320"/>
      <c r="AJ55" s="320"/>
      <c r="AK55" s="320"/>
      <c r="AL55" s="320"/>
      <c r="AM55" s="320"/>
      <c r="AN55" s="320"/>
      <c r="AO55" s="320"/>
      <c r="AP55" s="320"/>
      <c r="AQ55" s="320"/>
      <c r="AR55" s="320"/>
      <c r="AS55" s="320"/>
      <c r="AT55" s="320"/>
      <c r="AU55" s="320"/>
      <c r="AV55" s="320"/>
      <c r="AW55" s="320"/>
      <c r="AX55" s="320"/>
      <c r="AY55" s="320"/>
      <c r="AZ55" s="320"/>
      <c r="BA55" s="320"/>
      <c r="BB55" s="320"/>
      <c r="BC55" s="320"/>
      <c r="BD55" s="320"/>
      <c r="BE55" s="320"/>
      <c r="BF55" s="320"/>
      <c r="BG55" s="320"/>
    </row>
    <row r="56" spans="1:59" ht="16.5" thickBot="1">
      <c r="A56" s="326"/>
      <c r="B56" s="327">
        <f>B$2</f>
        <v>1993</v>
      </c>
      <c r="C56" s="327">
        <f t="shared" ref="C56:BG56" si="22">C$2</f>
        <v>1994</v>
      </c>
      <c r="D56" s="327">
        <f t="shared" si="22"/>
        <v>1995</v>
      </c>
      <c r="E56" s="327">
        <f t="shared" si="22"/>
        <v>1996</v>
      </c>
      <c r="F56" s="327">
        <f t="shared" si="22"/>
        <v>1997</v>
      </c>
      <c r="G56" s="327">
        <f t="shared" si="22"/>
        <v>1998</v>
      </c>
      <c r="H56" s="327">
        <f t="shared" si="22"/>
        <v>1999</v>
      </c>
      <c r="I56" s="327">
        <f t="shared" si="22"/>
        <v>2000</v>
      </c>
      <c r="J56" s="327">
        <f t="shared" si="22"/>
        <v>2001</v>
      </c>
      <c r="K56" s="327">
        <f t="shared" si="22"/>
        <v>2002</v>
      </c>
      <c r="L56" s="327">
        <f t="shared" si="22"/>
        <v>2003</v>
      </c>
      <c r="M56" s="327">
        <f t="shared" si="22"/>
        <v>2004</v>
      </c>
      <c r="N56" s="327">
        <f t="shared" si="22"/>
        <v>2005</v>
      </c>
      <c r="O56" s="327">
        <f t="shared" si="22"/>
        <v>2006</v>
      </c>
      <c r="P56" s="327">
        <f t="shared" si="22"/>
        <v>2007</v>
      </c>
      <c r="Q56" s="327">
        <f t="shared" si="22"/>
        <v>2008</v>
      </c>
      <c r="R56" s="327">
        <f t="shared" si="22"/>
        <v>2009</v>
      </c>
      <c r="S56" s="327">
        <f t="shared" si="22"/>
        <v>2010</v>
      </c>
      <c r="T56" s="327">
        <f t="shared" si="22"/>
        <v>2011</v>
      </c>
      <c r="U56" s="327">
        <f t="shared" si="22"/>
        <v>2012</v>
      </c>
      <c r="V56" s="327">
        <f t="shared" si="22"/>
        <v>2013</v>
      </c>
      <c r="W56" s="327">
        <f t="shared" si="22"/>
        <v>2014</v>
      </c>
      <c r="X56" s="327">
        <f t="shared" si="22"/>
        <v>2015</v>
      </c>
      <c r="Y56" s="327">
        <f t="shared" si="22"/>
        <v>2016</v>
      </c>
      <c r="Z56" s="327">
        <f t="shared" si="22"/>
        <v>2017</v>
      </c>
      <c r="AA56" s="327">
        <f t="shared" si="22"/>
        <v>2018</v>
      </c>
      <c r="AB56" s="327">
        <f t="shared" si="22"/>
        <v>2019</v>
      </c>
      <c r="AC56" s="327">
        <f t="shared" si="22"/>
        <v>2020</v>
      </c>
      <c r="AD56" s="327">
        <f t="shared" si="22"/>
        <v>2021</v>
      </c>
      <c r="AE56" s="327">
        <f t="shared" si="22"/>
        <v>2022</v>
      </c>
      <c r="AF56" s="327">
        <f t="shared" si="22"/>
        <v>2023</v>
      </c>
      <c r="AG56" s="327">
        <f t="shared" si="22"/>
        <v>2024</v>
      </c>
      <c r="AH56" s="327">
        <f t="shared" si="22"/>
        <v>2025</v>
      </c>
      <c r="AI56" s="327">
        <f t="shared" si="22"/>
        <v>2026</v>
      </c>
      <c r="AJ56" s="327">
        <f t="shared" si="22"/>
        <v>2027</v>
      </c>
      <c r="AK56" s="327">
        <f t="shared" si="22"/>
        <v>2028</v>
      </c>
      <c r="AL56" s="327">
        <f t="shared" si="22"/>
        <v>2029</v>
      </c>
      <c r="AM56" s="327">
        <f t="shared" si="22"/>
        <v>2030</v>
      </c>
      <c r="AN56" s="327">
        <f t="shared" si="22"/>
        <v>2031</v>
      </c>
      <c r="AO56" s="327">
        <f t="shared" si="22"/>
        <v>2032</v>
      </c>
      <c r="AP56" s="327">
        <f t="shared" si="22"/>
        <v>2033</v>
      </c>
      <c r="AQ56" s="327">
        <f t="shared" si="22"/>
        <v>2034</v>
      </c>
      <c r="AR56" s="327">
        <f t="shared" si="22"/>
        <v>2035</v>
      </c>
      <c r="AS56" s="327">
        <f t="shared" si="22"/>
        <v>2036</v>
      </c>
      <c r="AT56" s="327">
        <f t="shared" si="22"/>
        <v>2037</v>
      </c>
      <c r="AU56" s="327">
        <f t="shared" si="22"/>
        <v>2038</v>
      </c>
      <c r="AV56" s="327">
        <f t="shared" si="22"/>
        <v>2039</v>
      </c>
      <c r="AW56" s="327">
        <f t="shared" si="22"/>
        <v>2040</v>
      </c>
      <c r="AX56" s="327">
        <f t="shared" si="22"/>
        <v>2041</v>
      </c>
      <c r="AY56" s="327">
        <f t="shared" si="22"/>
        <v>2042</v>
      </c>
      <c r="AZ56" s="327">
        <f t="shared" si="22"/>
        <v>2043</v>
      </c>
      <c r="BA56" s="327">
        <f t="shared" si="22"/>
        <v>2044</v>
      </c>
      <c r="BB56" s="327">
        <f t="shared" si="22"/>
        <v>2045</v>
      </c>
      <c r="BC56" s="327">
        <f t="shared" si="22"/>
        <v>2046</v>
      </c>
      <c r="BD56" s="327">
        <f t="shared" si="22"/>
        <v>2047</v>
      </c>
      <c r="BE56" s="327">
        <f t="shared" si="22"/>
        <v>2048</v>
      </c>
      <c r="BF56" s="327">
        <f t="shared" si="22"/>
        <v>2049</v>
      </c>
      <c r="BG56" s="327">
        <f t="shared" si="22"/>
        <v>2050</v>
      </c>
    </row>
    <row r="57" spans="1:59" ht="15">
      <c r="A57" s="318" t="s">
        <v>392</v>
      </c>
      <c r="B57" s="316">
        <f>'[5]Fuel Data'!B$111/'[5]Fuel Data'!$B$191/1000</f>
        <v>80.953714392892707</v>
      </c>
      <c r="C57" s="316">
        <f>'[5]Fuel Data'!C$111/'[5]Fuel Data'!$B$191/1000</f>
        <v>89.073574592976712</v>
      </c>
      <c r="D57" s="316">
        <f>'[5]Fuel Data'!D$111/'[5]Fuel Data'!$B$191/1000</f>
        <v>97.232532275235698</v>
      </c>
      <c r="E57" s="316">
        <f>'[5]Fuel Data'!E$111/'[5]Fuel Data'!$B$191/1000</f>
        <v>97.480854121482224</v>
      </c>
      <c r="F57" s="316">
        <f>'[5]Fuel Data'!F$111/'[5]Fuel Data'!$B$191/1000</f>
        <v>103.31245492562232</v>
      </c>
      <c r="G57" s="316">
        <f>'[5]Fuel Data'!G$111/'[5]Fuel Data'!$B$191/1000</f>
        <v>101.4154345236051</v>
      </c>
      <c r="H57" s="316">
        <f>'[5]Fuel Data'!H$111/'[5]Fuel Data'!$B$191/1000</f>
        <v>125.27889977571782</v>
      </c>
      <c r="I57" s="316">
        <f>'[5]Fuel Data'!I$111/'[5]Fuel Data'!$B$191/1000</f>
        <v>119.75083280278754</v>
      </c>
      <c r="J57" s="316">
        <f>'[5]Fuel Data'!J$111/'[5]Fuel Data'!$B$191/1000</f>
        <v>108.30372403517717</v>
      </c>
      <c r="K57" s="316">
        <f>'[5]Fuel Data'!K$111/'[5]Fuel Data'!$B$191/1000</f>
        <v>113.86507670239153</v>
      </c>
      <c r="L57" s="316">
        <f>'[5]Fuel Data'!L$111/'[5]Fuel Data'!$B$191/1000</f>
        <v>121.19902467632303</v>
      </c>
      <c r="M57" s="316">
        <f>'[5]Fuel Data'!M$111/'[5]Fuel Data'!$B$191/1000</f>
        <v>120.96179806150457</v>
      </c>
      <c r="N57" s="316">
        <f>'[5]Fuel Data'!N$111/'[5]Fuel Data'!$B$191/1000</f>
        <v>126.90144528597959</v>
      </c>
      <c r="O57" s="316">
        <f>'[5]Fuel Data'!O$111/'[5]Fuel Data'!$B$191/1000</f>
        <v>123.11955640208062</v>
      </c>
      <c r="P57" s="316">
        <f>'[5]Fuel Data'!P$111/'[5]Fuel Data'!$B$191/1000</f>
        <v>126.87344303523263</v>
      </c>
      <c r="Q57" s="316">
        <f>'[5]Fuel Data'!Q$111/'[5]Fuel Data'!$B$191/1000</f>
        <v>123.81459339939398</v>
      </c>
      <c r="R57" s="316">
        <f>'[5]Fuel Data'!R$111/'[5]Fuel Data'!$B$191/1000</f>
        <v>119.48586810939898</v>
      </c>
      <c r="S57" s="316">
        <f>'[5]Fuel Data'!S$111/'[5]Fuel Data'!$B$191/1000</f>
        <v>126.33902272144893</v>
      </c>
      <c r="T57" s="316">
        <f>'[5]Fuel Data'!T$111/'[5]Fuel Data'!$B$191/1000</f>
        <v>124.75187628288612</v>
      </c>
      <c r="U57" s="316">
        <f>'[5]Fuel Data'!U$111/'[5]Fuel Data'!$B$191/1000</f>
        <v>112.92198203100853</v>
      </c>
      <c r="V57" s="316">
        <f>'[5]Fuel Data'!V$111/'[5]Fuel Data'!$B$191/1000</f>
        <v>97.922550001188768</v>
      </c>
      <c r="W57" s="316">
        <f>'[5]Fuel Data'!W$111/'[5]Fuel Data'!$B$191/1000</f>
        <v>100.72224673152974</v>
      </c>
      <c r="X57" s="316">
        <f>'[5]Fuel Data'!X$111/'[5]Fuel Data'!$B$191/1000</f>
        <v>113.08761798589849</v>
      </c>
      <c r="Y57" s="316">
        <f>'[5]Fuel Data'!Y$111/'[5]Fuel Data'!$B$191/1000</f>
        <v>107.10992996795591</v>
      </c>
      <c r="Z57" s="316">
        <f>'[5]Fuel Data'!Z$111/'[5]Fuel Data'!$B$191/1000</f>
        <v>126.45816437321189</v>
      </c>
      <c r="AA57" s="316">
        <f>'[5]Fuel Data'!AA$111/'[5]Fuel Data'!$B$191/1000</f>
        <v>108.58295402611606</v>
      </c>
      <c r="AB57" s="316">
        <f>'[5]Fuel Data'!AB$111/'[5]Fuel Data'!$B$191/1000</f>
        <v>117.03936957951714</v>
      </c>
      <c r="AC57" s="316">
        <f>'[5]Fuel Data'!AC$111/'[5]Fuel Data'!$B$191/1000</f>
        <v>106.52056184138573</v>
      </c>
      <c r="AD57" s="316">
        <f>'[5]Fuel Data'!AD$111/'[5]Fuel Data'!$B$191/1000</f>
        <v>105.90530484148347</v>
      </c>
      <c r="AE57" s="317">
        <f>AD57+(AD57*'[2]Canadian GDP'!$E$5)</f>
        <v>107.666419670948</v>
      </c>
      <c r="AF57" s="317">
        <f>AE57+(AE57*'[2]Canadian GDP'!$E$6)</f>
        <v>109.17305894565186</v>
      </c>
      <c r="AG57" s="317">
        <f>AF57+(AF57*'[2]Canadian GDP'!$E$7)</f>
        <v>110.6334551108399</v>
      </c>
      <c r="AH57" s="317">
        <f>AG57+(AG57*'[2]Canadian GDP'!$E$8)</f>
        <v>112.05120792952832</v>
      </c>
      <c r="AI57" s="317">
        <f>AH57+(AH57*'[2]Canadian GDP'!$E$9)</f>
        <v>113.43656288107094</v>
      </c>
      <c r="AJ57" s="317">
        <f>AI57+(AI57*'[2]Canadian GDP'!$E$10)</f>
        <v>114.78924306062035</v>
      </c>
      <c r="AK57" s="317">
        <f>AJ57+(AJ57*'[2]Canadian GDP'!$E$11)</f>
        <v>116.10786394393955</v>
      </c>
      <c r="AL57" s="317">
        <f>AK57+(AK57*'[2]Canadian GDP'!$E$12)</f>
        <v>117.39104100679155</v>
      </c>
      <c r="AM57" s="317">
        <f>AL57+(AL57*'[2]Canadian GDP'!$E$13)</f>
        <v>118.63711282009193</v>
      </c>
      <c r="AN57" s="317">
        <f>AM57+(AM57*'[2]Canadian GDP'!$E$14)</f>
        <v>119.84441795475631</v>
      </c>
      <c r="AO57" s="317">
        <f>AN57+(AN57*'[2]Canadian GDP'!$E$15)</f>
        <v>121.01184879139505</v>
      </c>
      <c r="AP57" s="317">
        <f>AO57+(AO57*'[2]Canadian GDP'!$E$16)</f>
        <v>122.15241985783599</v>
      </c>
      <c r="AQ57" s="317">
        <f>AP57+(AP57*'[2]Canadian GDP'!$E$17)</f>
        <v>123.26474662984212</v>
      </c>
      <c r="AR57" s="317">
        <f>AQ57+(AQ57*'[2]Canadian GDP'!$E$18)</f>
        <v>124.34910601226086</v>
      </c>
      <c r="AS57" s="317">
        <f>AR57+(AR57*'[2]Canadian GDP'!$E$19)</f>
        <v>125.40660562448176</v>
      </c>
      <c r="AT57" s="317">
        <f>AS57+(AS57*'[2]Canadian GDP'!$E$20)</f>
        <v>126.43807618104705</v>
      </c>
      <c r="AU57" s="317">
        <f>AT57+(AT57*'[2]Canadian GDP'!$E$21)</f>
        <v>127.44628673043078</v>
      </c>
      <c r="AV57" s="317">
        <f>AU57+(AU57*'[2]Canadian GDP'!$E$22)</f>
        <v>128.43456013080166</v>
      </c>
      <c r="AW57" s="317">
        <f>AV57+(AV57*'[2]Canadian GDP'!$E$23)</f>
        <v>129.40594233548117</v>
      </c>
      <c r="AX57" s="317">
        <f>AW57+(AW57*'[2]Canadian GDP'!$E$23)</f>
        <v>130.38467134297301</v>
      </c>
      <c r="AY57" s="317">
        <f>AX57+(AX57*'[2]Canadian GDP'!$E$23)</f>
        <v>131.37080271895596</v>
      </c>
      <c r="AZ57" s="317">
        <f>AY57+(AY57*'[2]Canadian GDP'!$E$23)</f>
        <v>132.36439244936571</v>
      </c>
      <c r="BA57" s="317">
        <f>AZ57+(AZ57*'[2]Canadian GDP'!$E$23)</f>
        <v>133.36549694357336</v>
      </c>
      <c r="BB57" s="317">
        <f>BA57+(BA57*'[2]Canadian GDP'!$E$23)</f>
        <v>134.37417303758801</v>
      </c>
      <c r="BC57" s="317">
        <f>BB57+(BB57*'[2]Canadian GDP'!$E$23)</f>
        <v>135.39047799728345</v>
      </c>
      <c r="BD57" s="317">
        <f>BC57+(BC57*'[2]Canadian GDP'!$E$23)</f>
        <v>136.41446952164944</v>
      </c>
      <c r="BE57" s="317">
        <f>BD57+(BD57*'[2]Canadian GDP'!$E$23)</f>
        <v>137.44620574606733</v>
      </c>
      <c r="BF57" s="317">
        <f>BE57+(BE57*'[2]Canadian GDP'!$E$23)</f>
        <v>138.48574524561073</v>
      </c>
      <c r="BG57" s="317">
        <f>BF57+(BF57*'[2]Canadian GDP'!$E$23)</f>
        <v>139.53314703837091</v>
      </c>
    </row>
    <row r="58" spans="1:59" ht="15">
      <c r="A58" s="318" t="s">
        <v>393</v>
      </c>
      <c r="AE58" s="320"/>
      <c r="AF58" s="320"/>
      <c r="AG58" s="320"/>
      <c r="AH58" s="320"/>
      <c r="AI58" s="320"/>
      <c r="AJ58" s="320"/>
      <c r="AK58" s="320"/>
      <c r="AL58" s="320"/>
      <c r="AM58" s="320"/>
      <c r="AN58" s="320"/>
      <c r="AO58" s="320"/>
      <c r="AP58" s="320"/>
      <c r="AQ58" s="320"/>
      <c r="AR58" s="320"/>
      <c r="AS58" s="320"/>
      <c r="AT58" s="320"/>
      <c r="AU58" s="320"/>
      <c r="AV58" s="320"/>
      <c r="AW58" s="320"/>
      <c r="AX58" s="320"/>
      <c r="AY58" s="320"/>
      <c r="AZ58" s="320"/>
      <c r="BA58" s="320"/>
      <c r="BB58" s="320"/>
      <c r="BC58" s="320"/>
      <c r="BD58" s="320"/>
      <c r="BE58" s="320"/>
      <c r="BF58" s="320"/>
      <c r="BG58" s="320"/>
    </row>
    <row r="59" spans="1:59" ht="15">
      <c r="A59" s="318" t="s">
        <v>394</v>
      </c>
      <c r="AE59" s="320"/>
      <c r="AF59" s="320"/>
      <c r="AG59" s="320"/>
      <c r="AH59" s="320"/>
      <c r="AI59" s="320"/>
      <c r="AJ59" s="320"/>
      <c r="AK59" s="320"/>
      <c r="AL59" s="320"/>
      <c r="AM59" s="320"/>
      <c r="AN59" s="320"/>
      <c r="AO59" s="320"/>
      <c r="AP59" s="320"/>
      <c r="AQ59" s="320"/>
      <c r="AR59" s="320"/>
      <c r="AS59" s="320"/>
      <c r="AT59" s="320"/>
      <c r="AU59" s="320"/>
      <c r="AV59" s="320"/>
      <c r="AW59" s="320"/>
      <c r="AX59" s="320"/>
      <c r="AY59" s="320"/>
      <c r="AZ59" s="320"/>
      <c r="BA59" s="320"/>
      <c r="BB59" s="320"/>
      <c r="BC59" s="320"/>
      <c r="BD59" s="320"/>
      <c r="BE59" s="320"/>
      <c r="BF59" s="320"/>
      <c r="BG59" s="320"/>
    </row>
    <row r="60" spans="1:59" ht="15">
      <c r="AE60" s="320"/>
      <c r="AF60" s="320"/>
      <c r="AG60" s="320"/>
      <c r="AH60" s="320"/>
      <c r="AI60" s="320"/>
      <c r="AJ60" s="320"/>
      <c r="AK60" s="320"/>
      <c r="AL60" s="320"/>
      <c r="AM60" s="320"/>
      <c r="AN60" s="320"/>
      <c r="AO60" s="320"/>
      <c r="AP60" s="320"/>
      <c r="AQ60" s="320"/>
      <c r="AR60" s="320"/>
      <c r="AS60" s="320"/>
      <c r="AT60" s="320"/>
      <c r="AU60" s="320"/>
      <c r="AV60" s="320"/>
      <c r="AW60" s="320"/>
      <c r="AX60" s="320"/>
      <c r="AY60" s="320"/>
      <c r="AZ60" s="320"/>
      <c r="BA60" s="320"/>
      <c r="BB60" s="320"/>
      <c r="BC60" s="320"/>
      <c r="BD60" s="320"/>
      <c r="BE60" s="320"/>
      <c r="BF60" s="320"/>
      <c r="BG60" s="320"/>
    </row>
    <row r="61" spans="1:59" ht="18.75" thickBot="1">
      <c r="A61" s="315" t="s">
        <v>395</v>
      </c>
      <c r="AE61" s="320"/>
      <c r="AF61" s="320"/>
      <c r="AG61" s="320"/>
      <c r="AH61" s="320"/>
      <c r="AI61" s="320"/>
      <c r="AJ61" s="320"/>
      <c r="AK61" s="320"/>
      <c r="AL61" s="320"/>
      <c r="AM61" s="320"/>
      <c r="AN61" s="320"/>
      <c r="AO61" s="320"/>
      <c r="AP61" s="320"/>
      <c r="AQ61" s="320"/>
      <c r="AR61" s="320"/>
      <c r="AS61" s="320"/>
      <c r="AT61" s="320"/>
      <c r="AU61" s="320"/>
      <c r="AV61" s="320"/>
      <c r="AW61" s="320"/>
      <c r="AX61" s="320"/>
      <c r="AY61" s="320"/>
      <c r="AZ61" s="320"/>
      <c r="BA61" s="320"/>
      <c r="BB61" s="320"/>
      <c r="BC61" s="320"/>
      <c r="BD61" s="320"/>
      <c r="BE61" s="320"/>
      <c r="BF61" s="320"/>
      <c r="BG61" s="320"/>
    </row>
    <row r="62" spans="1:59" ht="16.5" thickBot="1">
      <c r="A62" s="326"/>
      <c r="B62" s="327">
        <f>B$2</f>
        <v>1993</v>
      </c>
      <c r="C62" s="327">
        <f t="shared" ref="C62:BG62" si="23">C$2</f>
        <v>1994</v>
      </c>
      <c r="D62" s="327">
        <f t="shared" si="23"/>
        <v>1995</v>
      </c>
      <c r="E62" s="327">
        <f t="shared" si="23"/>
        <v>1996</v>
      </c>
      <c r="F62" s="327">
        <f t="shared" si="23"/>
        <v>1997</v>
      </c>
      <c r="G62" s="327">
        <f t="shared" si="23"/>
        <v>1998</v>
      </c>
      <c r="H62" s="327">
        <f t="shared" si="23"/>
        <v>1999</v>
      </c>
      <c r="I62" s="327">
        <f t="shared" si="23"/>
        <v>2000</v>
      </c>
      <c r="J62" s="327">
        <f t="shared" si="23"/>
        <v>2001</v>
      </c>
      <c r="K62" s="327">
        <f t="shared" si="23"/>
        <v>2002</v>
      </c>
      <c r="L62" s="327">
        <f t="shared" si="23"/>
        <v>2003</v>
      </c>
      <c r="M62" s="327">
        <f t="shared" si="23"/>
        <v>2004</v>
      </c>
      <c r="N62" s="327">
        <f t="shared" si="23"/>
        <v>2005</v>
      </c>
      <c r="O62" s="327">
        <f t="shared" si="23"/>
        <v>2006</v>
      </c>
      <c r="P62" s="327">
        <f t="shared" si="23"/>
        <v>2007</v>
      </c>
      <c r="Q62" s="327">
        <f t="shared" si="23"/>
        <v>2008</v>
      </c>
      <c r="R62" s="327">
        <f t="shared" si="23"/>
        <v>2009</v>
      </c>
      <c r="S62" s="327">
        <f t="shared" si="23"/>
        <v>2010</v>
      </c>
      <c r="T62" s="327">
        <f t="shared" si="23"/>
        <v>2011</v>
      </c>
      <c r="U62" s="327">
        <f t="shared" si="23"/>
        <v>2012</v>
      </c>
      <c r="V62" s="327">
        <f t="shared" si="23"/>
        <v>2013</v>
      </c>
      <c r="W62" s="327">
        <f t="shared" si="23"/>
        <v>2014</v>
      </c>
      <c r="X62" s="327">
        <f t="shared" si="23"/>
        <v>2015</v>
      </c>
      <c r="Y62" s="327">
        <f t="shared" si="23"/>
        <v>2016</v>
      </c>
      <c r="Z62" s="327">
        <f t="shared" si="23"/>
        <v>2017</v>
      </c>
      <c r="AA62" s="327">
        <f t="shared" si="23"/>
        <v>2018</v>
      </c>
      <c r="AB62" s="327">
        <f t="shared" si="23"/>
        <v>2019</v>
      </c>
      <c r="AC62" s="327">
        <f t="shared" si="23"/>
        <v>2020</v>
      </c>
      <c r="AD62" s="327">
        <f t="shared" si="23"/>
        <v>2021</v>
      </c>
      <c r="AE62" s="327">
        <f t="shared" si="23"/>
        <v>2022</v>
      </c>
      <c r="AF62" s="327">
        <f t="shared" si="23"/>
        <v>2023</v>
      </c>
      <c r="AG62" s="327">
        <f t="shared" si="23"/>
        <v>2024</v>
      </c>
      <c r="AH62" s="327">
        <f t="shared" si="23"/>
        <v>2025</v>
      </c>
      <c r="AI62" s="327">
        <f t="shared" si="23"/>
        <v>2026</v>
      </c>
      <c r="AJ62" s="327">
        <f t="shared" si="23"/>
        <v>2027</v>
      </c>
      <c r="AK62" s="327">
        <f t="shared" si="23"/>
        <v>2028</v>
      </c>
      <c r="AL62" s="327">
        <f t="shared" si="23"/>
        <v>2029</v>
      </c>
      <c r="AM62" s="327">
        <f t="shared" si="23"/>
        <v>2030</v>
      </c>
      <c r="AN62" s="327">
        <f t="shared" si="23"/>
        <v>2031</v>
      </c>
      <c r="AO62" s="327">
        <f t="shared" si="23"/>
        <v>2032</v>
      </c>
      <c r="AP62" s="327">
        <f t="shared" si="23"/>
        <v>2033</v>
      </c>
      <c r="AQ62" s="327">
        <f t="shared" si="23"/>
        <v>2034</v>
      </c>
      <c r="AR62" s="327">
        <f t="shared" si="23"/>
        <v>2035</v>
      </c>
      <c r="AS62" s="327">
        <f t="shared" si="23"/>
        <v>2036</v>
      </c>
      <c r="AT62" s="327">
        <f t="shared" si="23"/>
        <v>2037</v>
      </c>
      <c r="AU62" s="327">
        <f t="shared" si="23"/>
        <v>2038</v>
      </c>
      <c r="AV62" s="327">
        <f t="shared" si="23"/>
        <v>2039</v>
      </c>
      <c r="AW62" s="327">
        <f t="shared" si="23"/>
        <v>2040</v>
      </c>
      <c r="AX62" s="327">
        <f t="shared" si="23"/>
        <v>2041</v>
      </c>
      <c r="AY62" s="327">
        <f t="shared" si="23"/>
        <v>2042</v>
      </c>
      <c r="AZ62" s="327">
        <f t="shared" si="23"/>
        <v>2043</v>
      </c>
      <c r="BA62" s="327">
        <f t="shared" si="23"/>
        <v>2044</v>
      </c>
      <c r="BB62" s="327">
        <f t="shared" si="23"/>
        <v>2045</v>
      </c>
      <c r="BC62" s="327">
        <f t="shared" si="23"/>
        <v>2046</v>
      </c>
      <c r="BD62" s="327">
        <f t="shared" si="23"/>
        <v>2047</v>
      </c>
      <c r="BE62" s="327">
        <f t="shared" si="23"/>
        <v>2048</v>
      </c>
      <c r="BF62" s="327">
        <f t="shared" si="23"/>
        <v>2049</v>
      </c>
      <c r="BG62" s="327">
        <f t="shared" si="23"/>
        <v>2050</v>
      </c>
    </row>
    <row r="63" spans="1:59" ht="15">
      <c r="A63" s="318" t="s">
        <v>392</v>
      </c>
      <c r="B63" s="316">
        <f>'[5]Fuel Data'!B$124/'[5]Fuel Data'!$B$191/1000</f>
        <v>8.3193101936117877</v>
      </c>
      <c r="C63" s="316">
        <f>'[5]Fuel Data'!C$124/'[5]Fuel Data'!$B$191/1000</f>
        <v>8.9979685159599612</v>
      </c>
      <c r="D63" s="316">
        <f>'[5]Fuel Data'!D$124/'[5]Fuel Data'!$B$191/1000</f>
        <v>8.7137192536607646</v>
      </c>
      <c r="E63" s="316">
        <f>'[5]Fuel Data'!E$124/'[5]Fuel Data'!$B$191/1000</f>
        <v>9.4388718791359469</v>
      </c>
      <c r="F63" s="316">
        <f>'[5]Fuel Data'!F$124/'[5]Fuel Data'!$B$191/1000</f>
        <v>9.7545576304812425</v>
      </c>
      <c r="G63" s="316">
        <f>'[5]Fuel Data'!G$124/'[5]Fuel Data'!$B$191/1000</f>
        <v>11.064323283343152</v>
      </c>
      <c r="H63" s="316">
        <f>'[5]Fuel Data'!H$124/'[5]Fuel Data'!$B$191/1000</f>
        <v>11.477752740125903</v>
      </c>
      <c r="I63" s="316">
        <f>'[5]Fuel Data'!I$124/'[5]Fuel Data'!$B$191/1000</f>
        <v>11.823289947456153</v>
      </c>
      <c r="J63" s="316">
        <f>'[5]Fuel Data'!J$124/'[5]Fuel Data'!$B$191/1000</f>
        <v>11.762002002425101</v>
      </c>
      <c r="K63" s="316">
        <f>'[5]Fuel Data'!K$124/'[5]Fuel Data'!$B$191/1000</f>
        <v>11.50575499087285</v>
      </c>
      <c r="L63" s="316">
        <f>'[5]Fuel Data'!L$124/'[5]Fuel Data'!$B$191/1000</f>
        <v>12.612372239730966</v>
      </c>
      <c r="M63" s="316">
        <f>'[5]Fuel Data'!M$124/'[5]Fuel Data'!$B$191/1000</f>
        <v>14.208500532306937</v>
      </c>
      <c r="N63" s="316">
        <f>'[5]Fuel Data'!N$124/'[5]Fuel Data'!$B$191/1000</f>
        <v>12.249135496551231</v>
      </c>
      <c r="O63" s="316">
        <f>'[5]Fuel Data'!O$124/'[5]Fuel Data'!$B$191/1000</f>
        <v>12.221925762334859</v>
      </c>
      <c r="P63" s="316">
        <f>'[5]Fuel Data'!P$124/'[5]Fuel Data'!$B$191/1000</f>
        <v>12.39786443212228</v>
      </c>
      <c r="Q63" s="316">
        <f>'[5]Fuel Data'!Q$124/'[5]Fuel Data'!$B$191/1000</f>
        <v>11.598743597126862</v>
      </c>
      <c r="R63" s="316">
        <f>'[5]Fuel Data'!R$124/'[5]Fuel Data'!$B$191/1000</f>
        <v>15.516945324284556</v>
      </c>
      <c r="S63" s="316">
        <f>'[5]Fuel Data'!S$124/'[5]Fuel Data'!$B$191/1000</f>
        <v>12.090632190436438</v>
      </c>
      <c r="T63" s="316">
        <f>'[5]Fuel Data'!T$124/'[5]Fuel Data'!$B$191/1000</f>
        <v>12.851183887610588</v>
      </c>
      <c r="U63" s="316">
        <f>'[5]Fuel Data'!U$124/'[5]Fuel Data'!$B$191/1000</f>
        <v>10.814680576212352</v>
      </c>
      <c r="V63" s="316">
        <f>'[5]Fuel Data'!V$124/'[5]Fuel Data'!$B$191/1000</f>
        <v>9.9357797438058224</v>
      </c>
      <c r="W63" s="316">
        <f>'[5]Fuel Data'!W$124/'[5]Fuel Data'!$B$191/1000</f>
        <v>10.535186413096598</v>
      </c>
      <c r="X63" s="316">
        <f>'[5]Fuel Data'!X$124/'[5]Fuel Data'!$B$191/1000</f>
        <v>12.798349452238989</v>
      </c>
      <c r="Y63" s="316">
        <f>'[5]Fuel Data'!Y$124/'[5]Fuel Data'!$B$191/1000</f>
        <v>12.314650196412012</v>
      </c>
      <c r="Z63" s="316">
        <f>'[5]Fuel Data'!Z$124/'[5]Fuel Data'!$B$191/1000</f>
        <v>12.570104691433688</v>
      </c>
      <c r="AA63" s="316">
        <f>'[5]Fuel Data'!AA$124/'[5]Fuel Data'!$B$191/1000</f>
        <v>13.23317685534724</v>
      </c>
      <c r="AB63" s="316">
        <f>'[5]Fuel Data'!AB$124/'[5]Fuel Data'!$B$191/1000</f>
        <v>13.700233264032166</v>
      </c>
      <c r="AC63" s="316">
        <f>'[5]Fuel Data'!AC$124/'[5]Fuel Data'!$B$191/1000</f>
        <v>13.253782285142163</v>
      </c>
      <c r="AD63" s="316">
        <f>'[5]Fuel Data'!AD$124/'[5]Fuel Data'!$B$191/1000</f>
        <v>13.74567087845174</v>
      </c>
      <c r="AE63" s="317">
        <f>AD63+(AD63*'[2]Canadian GDP'!$E$5)</f>
        <v>13.974249653246956</v>
      </c>
      <c r="AF63" s="317">
        <f>AE63+(AE63*'[2]Canadian GDP'!$E$6)</f>
        <v>14.16979951388544</v>
      </c>
      <c r="AG63" s="317">
        <f>AF63+(AF63*'[2]Canadian GDP'!$E$7)</f>
        <v>14.359347384682605</v>
      </c>
      <c r="AH63" s="317">
        <f>AG63+(AG63*'[2]Canadian GDP'!$E$8)</f>
        <v>14.54336048640454</v>
      </c>
      <c r="AI63" s="317">
        <f>AH63+(AH63*'[2]Canadian GDP'!$E$9)</f>
        <v>14.723168601231658</v>
      </c>
      <c r="AJ63" s="317">
        <f>AI63+(AI63*'[2]Canadian GDP'!$E$10)</f>
        <v>14.898735789105027</v>
      </c>
      <c r="AK63" s="317">
        <f>AJ63+(AJ63*'[2]Canadian GDP'!$E$11)</f>
        <v>15.069882349729998</v>
      </c>
      <c r="AL63" s="317">
        <f>AK63+(AK63*'[2]Canadian GDP'!$E$12)</f>
        <v>15.236428582811921</v>
      </c>
      <c r="AM63" s="317">
        <f>AL63+(AL63*'[2]Canadian GDP'!$E$13)</f>
        <v>15.398158847997216</v>
      </c>
      <c r="AN63" s="317">
        <f>AM63+(AM63*'[2]Canadian GDP'!$E$14)</f>
        <v>15.554857504932302</v>
      </c>
      <c r="AO63" s="317">
        <f>AN63+(AN63*'[2]Canadian GDP'!$E$15)</f>
        <v>15.706380793381458</v>
      </c>
      <c r="AP63" s="317">
        <f>AO63+(AO63*'[2]Canadian GDP'!$E$16)</f>
        <v>15.854417896114397</v>
      </c>
      <c r="AQ63" s="317">
        <f>AP63+(AP63*'[2]Canadian GDP'!$E$17)</f>
        <v>15.998789112836469</v>
      </c>
      <c r="AR63" s="317">
        <f>AQ63+(AQ63*'[2]Canadian GDP'!$E$18)</f>
        <v>16.139530383606608</v>
      </c>
      <c r="AS63" s="317">
        <f>AR63+(AR63*'[2]Canadian GDP'!$E$19)</f>
        <v>16.276785468660524</v>
      </c>
      <c r="AT63" s="317">
        <f>AS63+(AS63*'[2]Canadian GDP'!$E$20)</f>
        <v>16.410662188175017</v>
      </c>
      <c r="AU63" s="317">
        <f>AT63+(AT63*'[2]Canadian GDP'!$E$21)</f>
        <v>16.541519942739388</v>
      </c>
      <c r="AV63" s="317">
        <f>AU63+(AU63*'[2]Canadian GDP'!$E$22)</f>
        <v>16.669790013060791</v>
      </c>
      <c r="AW63" s="317">
        <f>AV63+(AV63*'[2]Canadian GDP'!$E$23)</f>
        <v>16.795867739787461</v>
      </c>
      <c r="AX63" s="317">
        <f>AW63+(AW63*'[2]Canadian GDP'!$E$23)</f>
        <v>16.922899023407417</v>
      </c>
      <c r="AY63" s="317">
        <f>AX63+(AX63*'[2]Canadian GDP'!$E$23)</f>
        <v>17.05089107590625</v>
      </c>
      <c r="AZ63" s="317">
        <f>AY63+(AY63*'[2]Canadian GDP'!$E$23)</f>
        <v>17.179851163815577</v>
      </c>
      <c r="BA63" s="317">
        <f>AZ63+(AZ63*'[2]Canadian GDP'!$E$23)</f>
        <v>17.309786608625583</v>
      </c>
      <c r="BB63" s="317">
        <f>BA63+(BA63*'[2]Canadian GDP'!$E$23)</f>
        <v>17.440704787200684</v>
      </c>
      <c r="BC63" s="317">
        <f>BB63+(BB63*'[2]Canadian GDP'!$E$23)</f>
        <v>17.572613132198335</v>
      </c>
      <c r="BD63" s="317">
        <f>BC63+(BC63*'[2]Canadian GDP'!$E$23)</f>
        <v>17.705519132491016</v>
      </c>
      <c r="BE63" s="317">
        <f>BD63+(BD63*'[2]Canadian GDP'!$E$23)</f>
        <v>17.839430333591395</v>
      </c>
      <c r="BF63" s="317">
        <f>BE63+(BE63*'[2]Canadian GDP'!$E$23)</f>
        <v>17.974354338080701</v>
      </c>
      <c r="BG63" s="317">
        <f>BF63+(BF63*'[2]Canadian GDP'!$E$23)</f>
        <v>18.110298806040369</v>
      </c>
    </row>
    <row r="64" spans="1:59" ht="15">
      <c r="A64" s="318" t="s">
        <v>393</v>
      </c>
      <c r="AE64" s="320"/>
      <c r="AF64" s="320"/>
      <c r="AG64" s="320"/>
      <c r="AH64" s="320"/>
      <c r="AI64" s="320"/>
      <c r="AJ64" s="320"/>
      <c r="AK64" s="320"/>
      <c r="AL64" s="320"/>
      <c r="AM64" s="320"/>
      <c r="AN64" s="320"/>
      <c r="AO64" s="320"/>
      <c r="AP64" s="320"/>
      <c r="AQ64" s="320"/>
      <c r="AR64" s="320"/>
      <c r="AS64" s="320"/>
      <c r="AT64" s="320"/>
      <c r="AU64" s="320"/>
      <c r="AV64" s="320"/>
      <c r="AW64" s="320"/>
      <c r="AX64" s="320"/>
      <c r="AY64" s="320"/>
      <c r="AZ64" s="320"/>
      <c r="BA64" s="320"/>
      <c r="BB64" s="320"/>
      <c r="BC64" s="320"/>
      <c r="BD64" s="320"/>
      <c r="BE64" s="320"/>
      <c r="BF64" s="320"/>
      <c r="BG64" s="320"/>
    </row>
    <row r="65" spans="1:59" ht="15">
      <c r="A65" s="318" t="s">
        <v>394</v>
      </c>
      <c r="AE65" s="320"/>
      <c r="AF65" s="320"/>
      <c r="AG65" s="320"/>
      <c r="AH65" s="320"/>
      <c r="AI65" s="320"/>
      <c r="AJ65" s="320"/>
      <c r="AK65" s="320"/>
      <c r="AL65" s="320"/>
      <c r="AM65" s="320"/>
      <c r="AN65" s="320"/>
      <c r="AO65" s="320"/>
      <c r="AP65" s="320"/>
      <c r="AQ65" s="320"/>
      <c r="AR65" s="320"/>
      <c r="AS65" s="320"/>
      <c r="AT65" s="320"/>
      <c r="AU65" s="320"/>
      <c r="AV65" s="320"/>
      <c r="AW65" s="320"/>
      <c r="AX65" s="320"/>
      <c r="AY65" s="320"/>
      <c r="AZ65" s="320"/>
      <c r="BA65" s="320"/>
      <c r="BB65" s="320"/>
      <c r="BC65" s="320"/>
      <c r="BD65" s="320"/>
      <c r="BE65" s="320"/>
      <c r="BF65" s="320"/>
      <c r="BG65" s="320"/>
    </row>
    <row r="66" spans="1:59" ht="15">
      <c r="AE66" s="320"/>
      <c r="AF66" s="320"/>
      <c r="AG66" s="320"/>
      <c r="AH66" s="320"/>
      <c r="AI66" s="320"/>
      <c r="AJ66" s="320"/>
      <c r="AK66" s="320"/>
      <c r="AL66" s="320"/>
      <c r="AM66" s="320"/>
      <c r="AN66" s="320"/>
      <c r="AO66" s="320"/>
      <c r="AP66" s="320"/>
      <c r="AQ66" s="320"/>
      <c r="AR66" s="320"/>
      <c r="AS66" s="320"/>
      <c r="AT66" s="320"/>
      <c r="AU66" s="320"/>
      <c r="AV66" s="320"/>
      <c r="AW66" s="320"/>
      <c r="AX66" s="320"/>
      <c r="AY66" s="320"/>
      <c r="AZ66" s="320"/>
      <c r="BA66" s="320"/>
      <c r="BB66" s="320"/>
      <c r="BC66" s="320"/>
      <c r="BD66" s="320"/>
      <c r="BE66" s="320"/>
      <c r="BF66" s="320"/>
      <c r="BG66" s="320"/>
    </row>
    <row r="67" spans="1:59" ht="18.75" thickBot="1">
      <c r="A67" s="315" t="s">
        <v>50</v>
      </c>
      <c r="AE67" s="320"/>
      <c r="AF67" s="320"/>
      <c r="AG67" s="320"/>
      <c r="AH67" s="320"/>
      <c r="AI67" s="320"/>
      <c r="AJ67" s="320"/>
      <c r="AK67" s="320"/>
      <c r="AL67" s="320"/>
      <c r="AM67" s="320"/>
      <c r="AN67" s="320"/>
      <c r="AO67" s="320"/>
      <c r="AP67" s="320"/>
      <c r="AQ67" s="320"/>
      <c r="AR67" s="320"/>
      <c r="AS67" s="320"/>
      <c r="AT67" s="320"/>
      <c r="AU67" s="320"/>
      <c r="AV67" s="320"/>
      <c r="AW67" s="320"/>
      <c r="AX67" s="320"/>
      <c r="AY67" s="320"/>
      <c r="AZ67" s="320"/>
      <c r="BA67" s="320"/>
      <c r="BB67" s="320"/>
      <c r="BC67" s="320"/>
      <c r="BD67" s="320"/>
      <c r="BE67" s="320"/>
      <c r="BF67" s="320"/>
      <c r="BG67" s="320"/>
    </row>
    <row r="68" spans="1:59" ht="16.5" thickBot="1">
      <c r="A68" s="326"/>
      <c r="B68" s="327">
        <f>B$2</f>
        <v>1993</v>
      </c>
      <c r="C68" s="327">
        <f t="shared" ref="C68:BG68" si="24">C$2</f>
        <v>1994</v>
      </c>
      <c r="D68" s="327">
        <f t="shared" si="24"/>
        <v>1995</v>
      </c>
      <c r="E68" s="327">
        <f t="shared" si="24"/>
        <v>1996</v>
      </c>
      <c r="F68" s="327">
        <f t="shared" si="24"/>
        <v>1997</v>
      </c>
      <c r="G68" s="327">
        <f t="shared" si="24"/>
        <v>1998</v>
      </c>
      <c r="H68" s="327">
        <f t="shared" si="24"/>
        <v>1999</v>
      </c>
      <c r="I68" s="327">
        <f t="shared" si="24"/>
        <v>2000</v>
      </c>
      <c r="J68" s="327">
        <f t="shared" si="24"/>
        <v>2001</v>
      </c>
      <c r="K68" s="327">
        <f t="shared" si="24"/>
        <v>2002</v>
      </c>
      <c r="L68" s="327">
        <f t="shared" si="24"/>
        <v>2003</v>
      </c>
      <c r="M68" s="327">
        <f t="shared" si="24"/>
        <v>2004</v>
      </c>
      <c r="N68" s="327">
        <f t="shared" si="24"/>
        <v>2005</v>
      </c>
      <c r="O68" s="327">
        <f t="shared" si="24"/>
        <v>2006</v>
      </c>
      <c r="P68" s="327">
        <f t="shared" si="24"/>
        <v>2007</v>
      </c>
      <c r="Q68" s="327">
        <f t="shared" si="24"/>
        <v>2008</v>
      </c>
      <c r="R68" s="327">
        <f t="shared" si="24"/>
        <v>2009</v>
      </c>
      <c r="S68" s="327">
        <f t="shared" si="24"/>
        <v>2010</v>
      </c>
      <c r="T68" s="327">
        <f t="shared" si="24"/>
        <v>2011</v>
      </c>
      <c r="U68" s="327">
        <f t="shared" si="24"/>
        <v>2012</v>
      </c>
      <c r="V68" s="327">
        <f t="shared" si="24"/>
        <v>2013</v>
      </c>
      <c r="W68" s="327">
        <f t="shared" si="24"/>
        <v>2014</v>
      </c>
      <c r="X68" s="327">
        <f t="shared" si="24"/>
        <v>2015</v>
      </c>
      <c r="Y68" s="327">
        <f t="shared" si="24"/>
        <v>2016</v>
      </c>
      <c r="Z68" s="327">
        <f t="shared" si="24"/>
        <v>2017</v>
      </c>
      <c r="AA68" s="327">
        <f t="shared" si="24"/>
        <v>2018</v>
      </c>
      <c r="AB68" s="327">
        <f t="shared" si="24"/>
        <v>2019</v>
      </c>
      <c r="AC68" s="327">
        <f t="shared" si="24"/>
        <v>2020</v>
      </c>
      <c r="AD68" s="327">
        <f t="shared" si="24"/>
        <v>2021</v>
      </c>
      <c r="AE68" s="327">
        <f t="shared" si="24"/>
        <v>2022</v>
      </c>
      <c r="AF68" s="327">
        <f t="shared" si="24"/>
        <v>2023</v>
      </c>
      <c r="AG68" s="327">
        <f t="shared" si="24"/>
        <v>2024</v>
      </c>
      <c r="AH68" s="327">
        <f t="shared" si="24"/>
        <v>2025</v>
      </c>
      <c r="AI68" s="327">
        <f t="shared" si="24"/>
        <v>2026</v>
      </c>
      <c r="AJ68" s="327">
        <f t="shared" si="24"/>
        <v>2027</v>
      </c>
      <c r="AK68" s="327">
        <f t="shared" si="24"/>
        <v>2028</v>
      </c>
      <c r="AL68" s="327">
        <f t="shared" si="24"/>
        <v>2029</v>
      </c>
      <c r="AM68" s="327">
        <f t="shared" si="24"/>
        <v>2030</v>
      </c>
      <c r="AN68" s="327">
        <f t="shared" si="24"/>
        <v>2031</v>
      </c>
      <c r="AO68" s="327">
        <f t="shared" si="24"/>
        <v>2032</v>
      </c>
      <c r="AP68" s="327">
        <f t="shared" si="24"/>
        <v>2033</v>
      </c>
      <c r="AQ68" s="327">
        <f t="shared" si="24"/>
        <v>2034</v>
      </c>
      <c r="AR68" s="327">
        <f t="shared" si="24"/>
        <v>2035</v>
      </c>
      <c r="AS68" s="327">
        <f t="shared" si="24"/>
        <v>2036</v>
      </c>
      <c r="AT68" s="327">
        <f t="shared" si="24"/>
        <v>2037</v>
      </c>
      <c r="AU68" s="327">
        <f t="shared" si="24"/>
        <v>2038</v>
      </c>
      <c r="AV68" s="327">
        <f t="shared" si="24"/>
        <v>2039</v>
      </c>
      <c r="AW68" s="327">
        <f t="shared" si="24"/>
        <v>2040</v>
      </c>
      <c r="AX68" s="327">
        <f t="shared" si="24"/>
        <v>2041</v>
      </c>
      <c r="AY68" s="327">
        <f t="shared" si="24"/>
        <v>2042</v>
      </c>
      <c r="AZ68" s="327">
        <f t="shared" si="24"/>
        <v>2043</v>
      </c>
      <c r="BA68" s="327">
        <f t="shared" si="24"/>
        <v>2044</v>
      </c>
      <c r="BB68" s="327">
        <f t="shared" si="24"/>
        <v>2045</v>
      </c>
      <c r="BC68" s="327">
        <f t="shared" si="24"/>
        <v>2046</v>
      </c>
      <c r="BD68" s="327">
        <f t="shared" si="24"/>
        <v>2047</v>
      </c>
      <c r="BE68" s="327">
        <f t="shared" si="24"/>
        <v>2048</v>
      </c>
      <c r="BF68" s="327">
        <f t="shared" si="24"/>
        <v>2049</v>
      </c>
      <c r="BG68" s="327">
        <f t="shared" si="24"/>
        <v>2050</v>
      </c>
    </row>
    <row r="69" spans="1:59" ht="15">
      <c r="A69" s="318" t="s">
        <v>392</v>
      </c>
      <c r="B69" s="316">
        <f>'[5]Fuel Data'!B$137/'[5]Fuel Data'!$B$191/1000</f>
        <v>72.637574265403217</v>
      </c>
      <c r="C69" s="316">
        <f>'[5]Fuel Data'!C$137/'[5]Fuel Data'!$B$191/1000</f>
        <v>74.426019902731795</v>
      </c>
      <c r="D69" s="316">
        <f>'[5]Fuel Data'!D$137/'[5]Fuel Data'!$B$191/1000</f>
        <v>76.812287176290013</v>
      </c>
      <c r="E69" s="316">
        <f>'[5]Fuel Data'!E$137/'[5]Fuel Data'!$B$191/1000</f>
        <v>83.289524780671044</v>
      </c>
      <c r="F69" s="316">
        <f>'[5]Fuel Data'!F$137/'[5]Fuel Data'!$B$191/1000</f>
        <v>80.550059306653694</v>
      </c>
      <c r="G69" s="316">
        <f>'[5]Fuel Data'!G$137/'[5]Fuel Data'!$B$191/1000</f>
        <v>86.714517053634879</v>
      </c>
      <c r="H69" s="316">
        <f>'[5]Fuel Data'!H$137/'[5]Fuel Data'!$B$191/1000</f>
        <v>90.979312676830247</v>
      </c>
      <c r="I69" s="316">
        <f>'[5]Fuel Data'!I$137/'[5]Fuel Data'!$B$191/1000</f>
        <v>93.230587968014035</v>
      </c>
      <c r="J69" s="316">
        <f>'[5]Fuel Data'!J$137/'[5]Fuel Data'!$B$191/1000</f>
        <v>95.187311282001161</v>
      </c>
      <c r="K69" s="316">
        <f>'[5]Fuel Data'!K$137/'[5]Fuel Data'!$B$191/1000</f>
        <v>96.443185810784044</v>
      </c>
      <c r="L69" s="316">
        <f>'[5]Fuel Data'!L$137/'[5]Fuel Data'!$B$191/1000</f>
        <v>104.73343706494146</v>
      </c>
      <c r="M69" s="316">
        <f>'[5]Fuel Data'!M$137/'[5]Fuel Data'!$B$191/1000</f>
        <v>110.6276466749969</v>
      </c>
      <c r="N69" s="316">
        <f>'[5]Fuel Data'!N$137/'[5]Fuel Data'!$B$191/1000</f>
        <v>110.38777833840984</v>
      </c>
      <c r="O69" s="316">
        <f>'[5]Fuel Data'!O$137/'[5]Fuel Data'!$B$191/1000</f>
        <v>120.70792859954403</v>
      </c>
      <c r="P69" s="316">
        <f>'[5]Fuel Data'!P$137/'[5]Fuel Data'!$B$191/1000</f>
        <v>115.0041871290032</v>
      </c>
      <c r="Q69" s="316">
        <f>'[5]Fuel Data'!Q$137/'[5]Fuel Data'!$B$191/1000</f>
        <v>110.66357409104958</v>
      </c>
      <c r="R69" s="316">
        <f>'[5]Fuel Data'!R$137/'[5]Fuel Data'!$B$191/1000</f>
        <v>107.62031061364554</v>
      </c>
      <c r="S69" s="316">
        <f>'[5]Fuel Data'!S$137/'[5]Fuel Data'!$B$191/1000</f>
        <v>112.0972364948579</v>
      </c>
      <c r="T69" s="316">
        <f>'[5]Fuel Data'!T$137/'[5]Fuel Data'!$B$191/1000</f>
        <v>109.74425491558378</v>
      </c>
      <c r="U69" s="316">
        <f>'[5]Fuel Data'!U$137/'[5]Fuel Data'!$B$191/1000</f>
        <v>102.35562330104268</v>
      </c>
      <c r="V69" s="316">
        <f>'[5]Fuel Data'!V$137/'[5]Fuel Data'!$B$191/1000</f>
        <v>105.94096808535932</v>
      </c>
      <c r="W69" s="316">
        <f>'[5]Fuel Data'!W$137/'[5]Fuel Data'!$B$191/1000</f>
        <v>106.10792490113356</v>
      </c>
      <c r="X69" s="316">
        <f>'[5]Fuel Data'!X$137/'[5]Fuel Data'!$B$191/1000</f>
        <v>102.81977381578217</v>
      </c>
      <c r="Y69" s="316">
        <f>'[5]Fuel Data'!Y$137/'[5]Fuel Data'!$B$191/1000</f>
        <v>101.61356365624859</v>
      </c>
      <c r="Z69" s="316">
        <f>'[5]Fuel Data'!Z$137/'[5]Fuel Data'!$B$191/1000</f>
        <v>108.64133607720167</v>
      </c>
      <c r="AA69" s="316">
        <f>'[5]Fuel Data'!AA$137/'[5]Fuel Data'!$B$191/1000</f>
        <v>111.36997049196783</v>
      </c>
      <c r="AB69" s="316">
        <f>'[5]Fuel Data'!AB$137/'[5]Fuel Data'!$B$191/1000</f>
        <v>103.16451850658186</v>
      </c>
      <c r="AC69" s="316">
        <f>'[5]Fuel Data'!AC$137/'[5]Fuel Data'!$B$191/1000</f>
        <v>92.764324075859676</v>
      </c>
      <c r="AD69" s="316">
        <f>'[5]Fuel Data'!AD$137/'[5]Fuel Data'!$B$191/1000</f>
        <v>105.19838009621151</v>
      </c>
      <c r="AE69" s="317">
        <f>AD69+(AD69*'[2]Canadian GDP'!$E$5)</f>
        <v>106.94773937052157</v>
      </c>
      <c r="AF69" s="317">
        <f>AE69+(AE69*'[2]Canadian GDP'!$E$6)</f>
        <v>108.44432173082363</v>
      </c>
      <c r="AG69" s="317">
        <f>AF69+(AF69*'[2]Canadian GDP'!$E$7)</f>
        <v>109.89496965735057</v>
      </c>
      <c r="AH69" s="317">
        <f>AG69+(AG69*'[2]Canadian GDP'!$E$8)</f>
        <v>111.30325888446811</v>
      </c>
      <c r="AI69" s="317">
        <f>AH69+(AH69*'[2]Canadian GDP'!$E$9)</f>
        <v>112.6793665022941</v>
      </c>
      <c r="AJ69" s="317">
        <f>AI69+(AI69*'[2]Canadian GDP'!$E$10)</f>
        <v>114.02301745433887</v>
      </c>
      <c r="AK69" s="317">
        <f>AJ69+(AJ69*'[2]Canadian GDP'!$E$11)</f>
        <v>115.33283645815405</v>
      </c>
      <c r="AL69" s="317">
        <f>AK69+(AK69*'[2]Canadian GDP'!$E$12)</f>
        <v>116.6074482312913</v>
      </c>
      <c r="AM69" s="317">
        <f>AL69+(AL69*'[2]Canadian GDP'!$E$13)</f>
        <v>117.84520243481258</v>
      </c>
      <c r="AN69" s="317">
        <f>AM69+(AM69*'[2]Canadian GDP'!$E$14)</f>
        <v>119.04444872977987</v>
      </c>
      <c r="AO69" s="317">
        <f>AN69+(AN69*'[2]Canadian GDP'!$E$15)</f>
        <v>120.20408689023446</v>
      </c>
      <c r="AP69" s="317">
        <f>AO69+(AO69*'[2]Canadian GDP'!$E$16)</f>
        <v>121.33704457119094</v>
      </c>
      <c r="AQ69" s="317">
        <f>AP69+(AP69*'[2]Canadian GDP'!$E$17)</f>
        <v>122.44194649020093</v>
      </c>
      <c r="AR69" s="317">
        <f>AQ69+(AQ69*'[2]Canadian GDP'!$E$18)</f>
        <v>123.51906770375413</v>
      </c>
      <c r="AS69" s="317">
        <f>AR69+(AR69*'[2]Canadian GDP'!$E$19)</f>
        <v>124.56950843780918</v>
      </c>
      <c r="AT69" s="317">
        <f>AS69+(AS69*'[2]Canadian GDP'!$E$20)</f>
        <v>125.59409386183512</v>
      </c>
      <c r="AU69" s="317">
        <f>AT69+(AT69*'[2]Canadian GDP'!$E$21)</f>
        <v>126.59557454072869</v>
      </c>
      <c r="AV69" s="317">
        <f>AU69+(AU69*'[2]Canadian GDP'!$E$22)</f>
        <v>127.57725115236589</v>
      </c>
      <c r="AW69" s="317">
        <f>AV69+(AV69*'[2]Canadian GDP'!$E$23)</f>
        <v>128.54214931813317</v>
      </c>
      <c r="AX69" s="317">
        <f>AW69+(AW69*'[2]Canadian GDP'!$E$23)</f>
        <v>129.51434524632981</v>
      </c>
      <c r="AY69" s="317">
        <f>AX69+(AX69*'[2]Canadian GDP'!$E$23)</f>
        <v>130.49389413173009</v>
      </c>
      <c r="AZ69" s="317">
        <f>AY69+(AY69*'[2]Canadian GDP'!$E$23)</f>
        <v>131.48085158655999</v>
      </c>
      <c r="BA69" s="317">
        <f>AZ69+(AZ69*'[2]Canadian GDP'!$E$23)</f>
        <v>132.47527364365445</v>
      </c>
      <c r="BB69" s="317">
        <f>BA69+(BA69*'[2]Canadian GDP'!$E$23)</f>
        <v>133.47721675963848</v>
      </c>
      <c r="BC69" s="317">
        <f>BB69+(BB69*'[2]Canadian GDP'!$E$23)</f>
        <v>134.48673781813253</v>
      </c>
      <c r="BD69" s="317">
        <f>BC69+(BC69*'[2]Canadian GDP'!$E$23)</f>
        <v>135.5038941329818</v>
      </c>
      <c r="BE69" s="317">
        <f>BD69+(BD69*'[2]Canadian GDP'!$E$23)</f>
        <v>136.52874345151025</v>
      </c>
      <c r="BF69" s="317">
        <f>BE69+(BE69*'[2]Canadian GDP'!$E$23)</f>
        <v>137.5613439577991</v>
      </c>
      <c r="BG69" s="317">
        <f>BF69+(BF69*'[2]Canadian GDP'!$E$23)</f>
        <v>138.60175427599006</v>
      </c>
    </row>
    <row r="70" spans="1:59" ht="15">
      <c r="A70" s="318" t="s">
        <v>393</v>
      </c>
      <c r="AE70" s="320"/>
      <c r="AF70" s="320"/>
      <c r="AG70" s="320"/>
      <c r="AH70" s="320"/>
      <c r="AI70" s="320"/>
      <c r="AJ70" s="320"/>
      <c r="AK70" s="320"/>
      <c r="AL70" s="320"/>
      <c r="AM70" s="320"/>
      <c r="AN70" s="320"/>
      <c r="AO70" s="320"/>
      <c r="AP70" s="320"/>
      <c r="AQ70" s="320"/>
      <c r="AR70" s="320"/>
      <c r="AS70" s="320"/>
      <c r="AT70" s="320"/>
      <c r="AU70" s="320"/>
      <c r="AV70" s="320"/>
      <c r="AW70" s="320"/>
      <c r="AX70" s="320"/>
      <c r="AY70" s="320"/>
      <c r="AZ70" s="320"/>
      <c r="BA70" s="320"/>
      <c r="BB70" s="320"/>
      <c r="BC70" s="320"/>
      <c r="BD70" s="320"/>
      <c r="BE70" s="320"/>
      <c r="BF70" s="320"/>
      <c r="BG70" s="320"/>
    </row>
    <row r="71" spans="1:59" ht="15">
      <c r="A71" s="318" t="s">
        <v>394</v>
      </c>
      <c r="AE71" s="320"/>
      <c r="AF71" s="320"/>
      <c r="AG71" s="320"/>
      <c r="AH71" s="320"/>
      <c r="AI71" s="320"/>
      <c r="AJ71" s="320"/>
      <c r="AK71" s="320"/>
      <c r="AL71" s="320"/>
      <c r="AM71" s="320"/>
      <c r="AN71" s="320"/>
      <c r="AO71" s="320"/>
      <c r="AP71" s="320"/>
      <c r="AQ71" s="320"/>
      <c r="AR71" s="320"/>
      <c r="AS71" s="320"/>
      <c r="AT71" s="320"/>
      <c r="AU71" s="320"/>
      <c r="AV71" s="320"/>
      <c r="AW71" s="320"/>
      <c r="AX71" s="320"/>
      <c r="AY71" s="320"/>
      <c r="AZ71" s="320"/>
      <c r="BA71" s="320"/>
      <c r="BB71" s="320"/>
      <c r="BC71" s="320"/>
      <c r="BD71" s="320"/>
      <c r="BE71" s="320"/>
      <c r="BF71" s="320"/>
      <c r="BG71" s="320"/>
    </row>
    <row r="72" spans="1:59" ht="15">
      <c r="AE72" s="320"/>
      <c r="AF72" s="320"/>
      <c r="AG72" s="320"/>
      <c r="AH72" s="320"/>
      <c r="AI72" s="320"/>
      <c r="AJ72" s="320"/>
      <c r="AK72" s="320"/>
      <c r="AL72" s="320"/>
      <c r="AM72" s="320"/>
      <c r="AN72" s="320"/>
      <c r="AO72" s="320"/>
      <c r="AP72" s="320"/>
      <c r="AQ72" s="320"/>
      <c r="AR72" s="320"/>
      <c r="AS72" s="320"/>
      <c r="AT72" s="320"/>
      <c r="AU72" s="320"/>
      <c r="AV72" s="320"/>
      <c r="AW72" s="320"/>
      <c r="AX72" s="320"/>
      <c r="AY72" s="320"/>
      <c r="AZ72" s="320"/>
      <c r="BA72" s="320"/>
      <c r="BB72" s="320"/>
      <c r="BC72" s="320"/>
      <c r="BD72" s="320"/>
      <c r="BE72" s="320"/>
      <c r="BF72" s="320"/>
      <c r="BG72" s="320"/>
    </row>
    <row r="73" spans="1:59" ht="18.75" thickBot="1">
      <c r="A73" s="315" t="s">
        <v>38</v>
      </c>
      <c r="AE73" s="320"/>
      <c r="AF73" s="320"/>
      <c r="AG73" s="320"/>
      <c r="AH73" s="320"/>
      <c r="AI73" s="320"/>
      <c r="AJ73" s="320"/>
      <c r="AK73" s="320"/>
      <c r="AL73" s="320"/>
      <c r="AM73" s="320"/>
      <c r="AN73" s="320"/>
      <c r="AO73" s="320"/>
      <c r="AP73" s="320"/>
      <c r="AQ73" s="320"/>
      <c r="AR73" s="320"/>
      <c r="AS73" s="320"/>
      <c r="AT73" s="320"/>
      <c r="AU73" s="320"/>
      <c r="AV73" s="320"/>
      <c r="AW73" s="320"/>
      <c r="AX73" s="320"/>
      <c r="AY73" s="320"/>
      <c r="AZ73" s="320"/>
      <c r="BA73" s="320"/>
      <c r="BB73" s="320"/>
      <c r="BC73" s="320"/>
      <c r="BD73" s="320"/>
      <c r="BE73" s="320"/>
      <c r="BF73" s="320"/>
      <c r="BG73" s="320"/>
    </row>
    <row r="74" spans="1:59" ht="16.5" thickBot="1">
      <c r="A74" s="326"/>
      <c r="B74" s="327">
        <f>B$2</f>
        <v>1993</v>
      </c>
      <c r="C74" s="327">
        <f t="shared" ref="C74:BG74" si="25">C$2</f>
        <v>1994</v>
      </c>
      <c r="D74" s="327">
        <f t="shared" si="25"/>
        <v>1995</v>
      </c>
      <c r="E74" s="327">
        <f t="shared" si="25"/>
        <v>1996</v>
      </c>
      <c r="F74" s="327">
        <f t="shared" si="25"/>
        <v>1997</v>
      </c>
      <c r="G74" s="327">
        <f t="shared" si="25"/>
        <v>1998</v>
      </c>
      <c r="H74" s="327">
        <f t="shared" si="25"/>
        <v>1999</v>
      </c>
      <c r="I74" s="327">
        <f t="shared" si="25"/>
        <v>2000</v>
      </c>
      <c r="J74" s="327">
        <f t="shared" si="25"/>
        <v>2001</v>
      </c>
      <c r="K74" s="327">
        <f t="shared" si="25"/>
        <v>2002</v>
      </c>
      <c r="L74" s="327">
        <f t="shared" si="25"/>
        <v>2003</v>
      </c>
      <c r="M74" s="327">
        <f t="shared" si="25"/>
        <v>2004</v>
      </c>
      <c r="N74" s="327">
        <f t="shared" si="25"/>
        <v>2005</v>
      </c>
      <c r="O74" s="327">
        <f t="shared" si="25"/>
        <v>2006</v>
      </c>
      <c r="P74" s="327">
        <f t="shared" si="25"/>
        <v>2007</v>
      </c>
      <c r="Q74" s="327">
        <f t="shared" si="25"/>
        <v>2008</v>
      </c>
      <c r="R74" s="327">
        <f t="shared" si="25"/>
        <v>2009</v>
      </c>
      <c r="S74" s="327">
        <f t="shared" si="25"/>
        <v>2010</v>
      </c>
      <c r="T74" s="327">
        <f t="shared" si="25"/>
        <v>2011</v>
      </c>
      <c r="U74" s="327">
        <f t="shared" si="25"/>
        <v>2012</v>
      </c>
      <c r="V74" s="327">
        <f t="shared" si="25"/>
        <v>2013</v>
      </c>
      <c r="W74" s="327">
        <f t="shared" si="25"/>
        <v>2014</v>
      </c>
      <c r="X74" s="327">
        <f t="shared" si="25"/>
        <v>2015</v>
      </c>
      <c r="Y74" s="327">
        <f t="shared" si="25"/>
        <v>2016</v>
      </c>
      <c r="Z74" s="327">
        <f t="shared" si="25"/>
        <v>2017</v>
      </c>
      <c r="AA74" s="327">
        <f t="shared" si="25"/>
        <v>2018</v>
      </c>
      <c r="AB74" s="327">
        <f t="shared" si="25"/>
        <v>2019</v>
      </c>
      <c r="AC74" s="327">
        <f t="shared" si="25"/>
        <v>2020</v>
      </c>
      <c r="AD74" s="327">
        <f t="shared" si="25"/>
        <v>2021</v>
      </c>
      <c r="AE74" s="327">
        <f t="shared" si="25"/>
        <v>2022</v>
      </c>
      <c r="AF74" s="327">
        <f t="shared" si="25"/>
        <v>2023</v>
      </c>
      <c r="AG74" s="327">
        <f t="shared" si="25"/>
        <v>2024</v>
      </c>
      <c r="AH74" s="327">
        <f t="shared" si="25"/>
        <v>2025</v>
      </c>
      <c r="AI74" s="327">
        <f t="shared" si="25"/>
        <v>2026</v>
      </c>
      <c r="AJ74" s="327">
        <f t="shared" si="25"/>
        <v>2027</v>
      </c>
      <c r="AK74" s="327">
        <f t="shared" si="25"/>
        <v>2028</v>
      </c>
      <c r="AL74" s="327">
        <f t="shared" si="25"/>
        <v>2029</v>
      </c>
      <c r="AM74" s="327">
        <f t="shared" si="25"/>
        <v>2030</v>
      </c>
      <c r="AN74" s="327">
        <f t="shared" si="25"/>
        <v>2031</v>
      </c>
      <c r="AO74" s="327">
        <f t="shared" si="25"/>
        <v>2032</v>
      </c>
      <c r="AP74" s="327">
        <f t="shared" si="25"/>
        <v>2033</v>
      </c>
      <c r="AQ74" s="327">
        <f t="shared" si="25"/>
        <v>2034</v>
      </c>
      <c r="AR74" s="327">
        <f t="shared" si="25"/>
        <v>2035</v>
      </c>
      <c r="AS74" s="327">
        <f t="shared" si="25"/>
        <v>2036</v>
      </c>
      <c r="AT74" s="327">
        <f t="shared" si="25"/>
        <v>2037</v>
      </c>
      <c r="AU74" s="327">
        <f t="shared" si="25"/>
        <v>2038</v>
      </c>
      <c r="AV74" s="327">
        <f t="shared" si="25"/>
        <v>2039</v>
      </c>
      <c r="AW74" s="327">
        <f t="shared" si="25"/>
        <v>2040</v>
      </c>
      <c r="AX74" s="327">
        <f t="shared" si="25"/>
        <v>2041</v>
      </c>
      <c r="AY74" s="327">
        <f t="shared" si="25"/>
        <v>2042</v>
      </c>
      <c r="AZ74" s="327">
        <f t="shared" si="25"/>
        <v>2043</v>
      </c>
      <c r="BA74" s="327">
        <f t="shared" si="25"/>
        <v>2044</v>
      </c>
      <c r="BB74" s="327">
        <f t="shared" si="25"/>
        <v>2045</v>
      </c>
      <c r="BC74" s="327">
        <f t="shared" si="25"/>
        <v>2046</v>
      </c>
      <c r="BD74" s="327">
        <f t="shared" si="25"/>
        <v>2047</v>
      </c>
      <c r="BE74" s="327">
        <f t="shared" si="25"/>
        <v>2048</v>
      </c>
      <c r="BF74" s="327">
        <f t="shared" si="25"/>
        <v>2049</v>
      </c>
      <c r="BG74" s="327">
        <f t="shared" si="25"/>
        <v>2050</v>
      </c>
    </row>
    <row r="75" spans="1:59" ht="15">
      <c r="A75" s="318" t="s">
        <v>392</v>
      </c>
      <c r="B75" s="316">
        <f>'[5]Fuel Data'!B$150/'[5]Fuel Data'!$B$191/1000</f>
        <v>6.1470223833085447</v>
      </c>
      <c r="C75" s="316">
        <f>'[5]Fuel Data'!C$150/'[5]Fuel Data'!$B$191/1000</f>
        <v>10.435065158067422</v>
      </c>
      <c r="D75" s="316">
        <f>'[5]Fuel Data'!D$150/'[5]Fuel Data'!$B$191/1000</f>
        <v>12.683698727482625</v>
      </c>
      <c r="E75" s="316">
        <f>'[5]Fuel Data'!E$150/'[5]Fuel Data'!$B$191/1000</f>
        <v>12.193659339411052</v>
      </c>
      <c r="F75" s="316">
        <f>'[5]Fuel Data'!F$150/'[5]Fuel Data'!$B$191/1000</f>
        <v>8.1222377496757279</v>
      </c>
      <c r="G75" s="316">
        <f>'[5]Fuel Data'!G$150/'[5]Fuel Data'!$B$191/1000</f>
        <v>8.5042307174123799</v>
      </c>
      <c r="H75" s="316">
        <f>'[5]Fuel Data'!H$150/'[5]Fuel Data'!$B$191/1000</f>
        <v>10.675197666831332</v>
      </c>
      <c r="I75" s="316">
        <f>'[5]Fuel Data'!I$150/'[5]Fuel Data'!$B$191/1000</f>
        <v>11.523454526722336</v>
      </c>
      <c r="J75" s="316">
        <f>'[5]Fuel Data'!J$150/'[5]Fuel Data'!$B$191/1000</f>
        <v>10.336264763922534</v>
      </c>
      <c r="K75" s="316">
        <f>'[5]Fuel Data'!K$150/'[5]Fuel Data'!$B$191/1000</f>
        <v>11.038698582187926</v>
      </c>
      <c r="L75" s="316">
        <f>'[5]Fuel Data'!L$150/'[5]Fuel Data'!$B$191/1000</f>
        <v>9.8927196789779703</v>
      </c>
      <c r="M75" s="316">
        <f>'[5]Fuel Data'!M$150/'[5]Fuel Data'!$B$191/1000</f>
        <v>10.950729247294216</v>
      </c>
      <c r="N75" s="316">
        <f>'[5]Fuel Data'!N$150/'[5]Fuel Data'!$B$191/1000</f>
        <v>11.82751670228588</v>
      </c>
      <c r="O75" s="316">
        <f>'[5]Fuel Data'!O$150/'[5]Fuel Data'!$B$191/1000</f>
        <v>11.39559519312307</v>
      </c>
      <c r="P75" s="316">
        <f>'[5]Fuel Data'!P$150/'[5]Fuel Data'!$B$191/1000</f>
        <v>11.567835452434478</v>
      </c>
      <c r="Q75" s="316">
        <f>'[5]Fuel Data'!Q$150/'[5]Fuel Data'!$B$191/1000</f>
        <v>12.370390525729048</v>
      </c>
      <c r="R75" s="316">
        <f>'[5]Fuel Data'!R$150/'[5]Fuel Data'!$B$191/1000</f>
        <v>13.260650761740472</v>
      </c>
      <c r="S75" s="316">
        <f>'[5]Fuel Data'!S$150/'[5]Fuel Data'!$B$191/1000</f>
        <v>14.782546672619347</v>
      </c>
      <c r="T75" s="316">
        <f>'[5]Fuel Data'!T$150/'[5]Fuel Data'!$B$191/1000</f>
        <v>16.797387865515226</v>
      </c>
      <c r="U75" s="316">
        <f>'[5]Fuel Data'!U$150/'[5]Fuel Data'!$B$191/1000</f>
        <v>15.910297695626101</v>
      </c>
      <c r="V75" s="316">
        <f>'[5]Fuel Data'!V$150/'[5]Fuel Data'!$B$191/1000</f>
        <v>13.962027891298431</v>
      </c>
      <c r="W75" s="316">
        <f>'[5]Fuel Data'!W$150/'[5]Fuel Data'!$B$191/1000</f>
        <v>14.502788337326736</v>
      </c>
      <c r="X75" s="316">
        <f>'[5]Fuel Data'!X$150/'[5]Fuel Data'!$B$191/1000</f>
        <v>15.123064608589294</v>
      </c>
      <c r="Y75" s="316">
        <f>'[5]Fuel Data'!Y$150/'[5]Fuel Data'!$B$191/1000</f>
        <v>14.741335813029501</v>
      </c>
      <c r="Z75" s="316">
        <f>'[5]Fuel Data'!Z$150/'[5]Fuel Data'!$B$191/1000</f>
        <v>14.497504893789575</v>
      </c>
      <c r="AA75" s="316">
        <f>'[5]Fuel Data'!AA$150/'[5]Fuel Data'!$B$191/1000</f>
        <v>16.213039010305355</v>
      </c>
      <c r="AB75" s="316">
        <f>'[5]Fuel Data'!AB$150/'[5]Fuel Data'!$B$191/1000</f>
        <v>16.188470997857564</v>
      </c>
      <c r="AC75" s="316">
        <f>'[5]Fuel Data'!AC$150/'[5]Fuel Data'!$B$191/1000</f>
        <v>15.274699438105779</v>
      </c>
      <c r="AD75" s="316">
        <f>'[5]Fuel Data'!AD$150/'[5]Fuel Data'!$B$191/1000</f>
        <v>15.99853120269667</v>
      </c>
      <c r="AE75" s="317">
        <f>AD75+(AD75*'[2]Canadian GDP'!$E$5)</f>
        <v>16.264573121870523</v>
      </c>
      <c r="AF75" s="317">
        <f>AE75+(AE75*'[2]Canadian GDP'!$E$6)</f>
        <v>16.492172820333561</v>
      </c>
      <c r="AG75" s="317">
        <f>AF75+(AF75*'[2]Canadian GDP'!$E$7)</f>
        <v>16.712786826893765</v>
      </c>
      <c r="AH75" s="317">
        <f>AG75+(AG75*'[2]Canadian GDP'!$E$8)</f>
        <v>16.926958937926802</v>
      </c>
      <c r="AI75" s="317">
        <f>AH75+(AH75*'[2]Canadian GDP'!$E$9)</f>
        <v>17.136236881578814</v>
      </c>
      <c r="AJ75" s="317">
        <f>AI75+(AI75*'[2]Canadian GDP'!$E$10)</f>
        <v>17.340578827359359</v>
      </c>
      <c r="AK75" s="317">
        <f>AJ75+(AJ75*'[2]Canadian GDP'!$E$11)</f>
        <v>17.539775622816258</v>
      </c>
      <c r="AL75" s="317">
        <f>AK75+(AK75*'[2]Canadian GDP'!$E$12)</f>
        <v>17.733618115497332</v>
      </c>
      <c r="AM75" s="317">
        <f>AL75+(AL75*'[2]Canadian GDP'!$E$13)</f>
        <v>17.921855322459965</v>
      </c>
      <c r="AN75" s="317">
        <f>AM75+(AM75*'[2]Canadian GDP'!$E$14)</f>
        <v>18.104236260761539</v>
      </c>
      <c r="AO75" s="317">
        <f>AN75+(AN75*'[2]Canadian GDP'!$E$15)</f>
        <v>18.280593608440306</v>
      </c>
      <c r="AP75" s="317">
        <f>AO75+(AO75*'[2]Canadian GDP'!$E$16)</f>
        <v>18.452893398546767</v>
      </c>
      <c r="AQ75" s="317">
        <f>AP75+(AP75*'[2]Canadian GDP'!$E$17)</f>
        <v>18.620926478628743</v>
      </c>
      <c r="AR75" s="317">
        <f>AQ75+(AQ75*'[2]Canadian GDP'!$E$18)</f>
        <v>18.784734679176669</v>
      </c>
      <c r="AS75" s="317">
        <f>AR75+(AR75*'[2]Canadian GDP'!$E$19)</f>
        <v>18.944485322152286</v>
      </c>
      <c r="AT75" s="317">
        <f>AS75+(AS75*'[2]Canadian GDP'!$E$20)</f>
        <v>19.100303899026908</v>
      </c>
      <c r="AU75" s="317">
        <f>AT75+(AT75*'[2]Canadian GDP'!$E$21)</f>
        <v>19.252608714704898</v>
      </c>
      <c r="AV75" s="317">
        <f>AU75+(AU75*'[2]Canadian GDP'!$E$22)</f>
        <v>19.40190173507148</v>
      </c>
      <c r="AW75" s="317">
        <f>AV75+(AV75*'[2]Canadian GDP'!$E$23)</f>
        <v>19.548643095521463</v>
      </c>
      <c r="AX75" s="317">
        <f>AW75+(AW75*'[2]Canadian GDP'!$E$23)</f>
        <v>19.696494297014905</v>
      </c>
      <c r="AY75" s="317">
        <f>AX75+(AX75*'[2]Canadian GDP'!$E$23)</f>
        <v>19.845463733552908</v>
      </c>
      <c r="AZ75" s="317">
        <f>AY75+(AY75*'[2]Canadian GDP'!$E$23)</f>
        <v>19.995559862622475</v>
      </c>
      <c r="BA75" s="317">
        <f>AZ75+(AZ75*'[2]Canadian GDP'!$E$23)</f>
        <v>20.146791205676667</v>
      </c>
      <c r="BB75" s="317">
        <f>BA75+(BA75*'[2]Canadian GDP'!$E$23)</f>
        <v>20.299166348618389</v>
      </c>
      <c r="BC75" s="317">
        <f>BB75+(BB75*'[2]Canadian GDP'!$E$23)</f>
        <v>20.452693942287844</v>
      </c>
      <c r="BD75" s="317">
        <f>BC75+(BC75*'[2]Canadian GDP'!$E$23)</f>
        <v>20.607382702953675</v>
      </c>
      <c r="BE75" s="317">
        <f>BD75+(BD75*'[2]Canadian GDP'!$E$23)</f>
        <v>20.763241412807805</v>
      </c>
      <c r="BF75" s="317">
        <f>BE75+(BE75*'[2]Canadian GDP'!$E$23)</f>
        <v>20.920278920464042</v>
      </c>
      <c r="BG75" s="317">
        <f>BF75+(BF75*'[2]Canadian GDP'!$E$23)</f>
        <v>21.078504141460435</v>
      </c>
    </row>
    <row r="76" spans="1:59" ht="15">
      <c r="A76" s="318" t="s">
        <v>393</v>
      </c>
      <c r="AE76" s="320"/>
      <c r="AF76" s="320"/>
      <c r="AG76" s="320"/>
      <c r="AH76" s="320"/>
      <c r="AI76" s="320"/>
      <c r="AJ76" s="320"/>
      <c r="AK76" s="320"/>
      <c r="AL76" s="320"/>
      <c r="AM76" s="320"/>
      <c r="AN76" s="320"/>
      <c r="AO76" s="320"/>
      <c r="AP76" s="320"/>
      <c r="AQ76" s="320"/>
      <c r="AR76" s="320"/>
      <c r="AS76" s="320"/>
      <c r="AT76" s="320"/>
      <c r="AU76" s="320"/>
      <c r="AV76" s="320"/>
      <c r="AW76" s="320"/>
      <c r="AX76" s="320"/>
      <c r="AY76" s="320"/>
      <c r="AZ76" s="320"/>
      <c r="BA76" s="320"/>
      <c r="BB76" s="320"/>
      <c r="BC76" s="320"/>
      <c r="BD76" s="320"/>
      <c r="BE76" s="320"/>
      <c r="BF76" s="320"/>
      <c r="BG76" s="320"/>
    </row>
    <row r="77" spans="1:59" ht="15">
      <c r="A77" s="318" t="s">
        <v>394</v>
      </c>
      <c r="AE77" s="320"/>
      <c r="AF77" s="320"/>
      <c r="AG77" s="320"/>
      <c r="AH77" s="320"/>
      <c r="AI77" s="320"/>
      <c r="AJ77" s="320"/>
      <c r="AK77" s="320"/>
      <c r="AL77" s="320"/>
      <c r="AM77" s="320"/>
      <c r="AN77" s="320"/>
      <c r="AO77" s="320"/>
      <c r="AP77" s="320"/>
      <c r="AQ77" s="320"/>
      <c r="AR77" s="320"/>
      <c r="AS77" s="320"/>
      <c r="AT77" s="320"/>
      <c r="AU77" s="320"/>
      <c r="AV77" s="320"/>
      <c r="AW77" s="320"/>
      <c r="AX77" s="320"/>
      <c r="AY77" s="320"/>
      <c r="AZ77" s="320"/>
      <c r="BA77" s="320"/>
      <c r="BB77" s="320"/>
      <c r="BC77" s="320"/>
      <c r="BD77" s="320"/>
      <c r="BE77" s="320"/>
      <c r="BF77" s="320"/>
      <c r="BG77" s="320"/>
    </row>
    <row r="78" spans="1:59" ht="15">
      <c r="AE78" s="320"/>
      <c r="AF78" s="320"/>
      <c r="AG78" s="320"/>
      <c r="AH78" s="320"/>
      <c r="AI78" s="320"/>
      <c r="AJ78" s="320"/>
      <c r="AK78" s="320"/>
      <c r="AL78" s="320"/>
      <c r="AM78" s="320"/>
      <c r="AN78" s="320"/>
      <c r="AO78" s="320"/>
      <c r="AP78" s="320"/>
      <c r="AQ78" s="320"/>
      <c r="AR78" s="320"/>
      <c r="AS78" s="320"/>
      <c r="AT78" s="320"/>
      <c r="AU78" s="320"/>
      <c r="AV78" s="320"/>
      <c r="AW78" s="320"/>
      <c r="AX78" s="320"/>
      <c r="AY78" s="320"/>
      <c r="AZ78" s="320"/>
      <c r="BA78" s="320"/>
      <c r="BB78" s="320"/>
      <c r="BC78" s="320"/>
      <c r="BD78" s="320"/>
      <c r="BE78" s="320"/>
      <c r="BF78" s="320"/>
      <c r="BG78" s="320"/>
    </row>
    <row r="79" spans="1:59" ht="18.75" thickBot="1">
      <c r="A79" s="315" t="s">
        <v>396</v>
      </c>
      <c r="AE79" s="320"/>
      <c r="AF79" s="320"/>
      <c r="AG79" s="320"/>
      <c r="AH79" s="320"/>
      <c r="AI79" s="320"/>
      <c r="AJ79" s="320"/>
      <c r="AK79" s="320"/>
      <c r="AL79" s="320"/>
      <c r="AM79" s="320"/>
      <c r="AN79" s="320"/>
      <c r="AO79" s="320"/>
      <c r="AP79" s="320"/>
      <c r="AQ79" s="320"/>
      <c r="AR79" s="320"/>
      <c r="AS79" s="320"/>
      <c r="AT79" s="320"/>
      <c r="AU79" s="320"/>
      <c r="AV79" s="320"/>
      <c r="AW79" s="320"/>
      <c r="AX79" s="320"/>
      <c r="AY79" s="320"/>
      <c r="AZ79" s="320"/>
      <c r="BA79" s="320"/>
      <c r="BB79" s="320"/>
      <c r="BC79" s="320"/>
      <c r="BD79" s="320"/>
      <c r="BE79" s="320"/>
      <c r="BF79" s="320"/>
      <c r="BG79" s="320"/>
    </row>
    <row r="80" spans="1:59" ht="16.5" thickBot="1">
      <c r="A80" s="326"/>
      <c r="B80" s="327">
        <f>B$2</f>
        <v>1993</v>
      </c>
      <c r="C80" s="327">
        <f t="shared" ref="C80:BG80" si="26">C$2</f>
        <v>1994</v>
      </c>
      <c r="D80" s="327">
        <f t="shared" si="26"/>
        <v>1995</v>
      </c>
      <c r="E80" s="327">
        <f t="shared" si="26"/>
        <v>1996</v>
      </c>
      <c r="F80" s="327">
        <f t="shared" si="26"/>
        <v>1997</v>
      </c>
      <c r="G80" s="327">
        <f t="shared" si="26"/>
        <v>1998</v>
      </c>
      <c r="H80" s="327">
        <f t="shared" si="26"/>
        <v>1999</v>
      </c>
      <c r="I80" s="327">
        <f t="shared" si="26"/>
        <v>2000</v>
      </c>
      <c r="J80" s="327">
        <f t="shared" si="26"/>
        <v>2001</v>
      </c>
      <c r="K80" s="327">
        <f t="shared" si="26"/>
        <v>2002</v>
      </c>
      <c r="L80" s="327">
        <f t="shared" si="26"/>
        <v>2003</v>
      </c>
      <c r="M80" s="327">
        <f t="shared" si="26"/>
        <v>2004</v>
      </c>
      <c r="N80" s="327">
        <f t="shared" si="26"/>
        <v>2005</v>
      </c>
      <c r="O80" s="327">
        <f t="shared" si="26"/>
        <v>2006</v>
      </c>
      <c r="P80" s="327">
        <f t="shared" si="26"/>
        <v>2007</v>
      </c>
      <c r="Q80" s="327">
        <f t="shared" si="26"/>
        <v>2008</v>
      </c>
      <c r="R80" s="327">
        <f t="shared" si="26"/>
        <v>2009</v>
      </c>
      <c r="S80" s="327">
        <f t="shared" si="26"/>
        <v>2010</v>
      </c>
      <c r="T80" s="327">
        <f t="shared" si="26"/>
        <v>2011</v>
      </c>
      <c r="U80" s="327">
        <f t="shared" si="26"/>
        <v>2012</v>
      </c>
      <c r="V80" s="327">
        <f t="shared" si="26"/>
        <v>2013</v>
      </c>
      <c r="W80" s="327">
        <f t="shared" si="26"/>
        <v>2014</v>
      </c>
      <c r="X80" s="327">
        <f t="shared" si="26"/>
        <v>2015</v>
      </c>
      <c r="Y80" s="327">
        <f t="shared" si="26"/>
        <v>2016</v>
      </c>
      <c r="Z80" s="327">
        <f t="shared" si="26"/>
        <v>2017</v>
      </c>
      <c r="AA80" s="327">
        <f t="shared" si="26"/>
        <v>2018</v>
      </c>
      <c r="AB80" s="327">
        <f t="shared" si="26"/>
        <v>2019</v>
      </c>
      <c r="AC80" s="327">
        <f t="shared" si="26"/>
        <v>2020</v>
      </c>
      <c r="AD80" s="327">
        <f t="shared" si="26"/>
        <v>2021</v>
      </c>
      <c r="AE80" s="327">
        <f t="shared" si="26"/>
        <v>2022</v>
      </c>
      <c r="AF80" s="327">
        <f t="shared" si="26"/>
        <v>2023</v>
      </c>
      <c r="AG80" s="327">
        <f t="shared" si="26"/>
        <v>2024</v>
      </c>
      <c r="AH80" s="327">
        <f t="shared" si="26"/>
        <v>2025</v>
      </c>
      <c r="AI80" s="327">
        <f t="shared" si="26"/>
        <v>2026</v>
      </c>
      <c r="AJ80" s="327">
        <f t="shared" si="26"/>
        <v>2027</v>
      </c>
      <c r="AK80" s="327">
        <f t="shared" si="26"/>
        <v>2028</v>
      </c>
      <c r="AL80" s="327">
        <f t="shared" si="26"/>
        <v>2029</v>
      </c>
      <c r="AM80" s="327">
        <f t="shared" si="26"/>
        <v>2030</v>
      </c>
      <c r="AN80" s="327">
        <f t="shared" si="26"/>
        <v>2031</v>
      </c>
      <c r="AO80" s="327">
        <f t="shared" si="26"/>
        <v>2032</v>
      </c>
      <c r="AP80" s="327">
        <f t="shared" si="26"/>
        <v>2033</v>
      </c>
      <c r="AQ80" s="327">
        <f t="shared" si="26"/>
        <v>2034</v>
      </c>
      <c r="AR80" s="327">
        <f t="shared" si="26"/>
        <v>2035</v>
      </c>
      <c r="AS80" s="327">
        <f t="shared" si="26"/>
        <v>2036</v>
      </c>
      <c r="AT80" s="327">
        <f t="shared" si="26"/>
        <v>2037</v>
      </c>
      <c r="AU80" s="327">
        <f t="shared" si="26"/>
        <v>2038</v>
      </c>
      <c r="AV80" s="327">
        <f t="shared" si="26"/>
        <v>2039</v>
      </c>
      <c r="AW80" s="327">
        <f t="shared" si="26"/>
        <v>2040</v>
      </c>
      <c r="AX80" s="327">
        <f t="shared" si="26"/>
        <v>2041</v>
      </c>
      <c r="AY80" s="327">
        <f t="shared" si="26"/>
        <v>2042</v>
      </c>
      <c r="AZ80" s="327">
        <f t="shared" si="26"/>
        <v>2043</v>
      </c>
      <c r="BA80" s="327">
        <f t="shared" si="26"/>
        <v>2044</v>
      </c>
      <c r="BB80" s="327">
        <f t="shared" si="26"/>
        <v>2045</v>
      </c>
      <c r="BC80" s="327">
        <f t="shared" si="26"/>
        <v>2046</v>
      </c>
      <c r="BD80" s="327">
        <f t="shared" si="26"/>
        <v>2047</v>
      </c>
      <c r="BE80" s="327">
        <f t="shared" si="26"/>
        <v>2048</v>
      </c>
      <c r="BF80" s="327">
        <f t="shared" si="26"/>
        <v>2049</v>
      </c>
      <c r="BG80" s="327">
        <f t="shared" si="26"/>
        <v>2050</v>
      </c>
    </row>
    <row r="81" spans="1:59" ht="15">
      <c r="A81" s="318" t="s">
        <v>392</v>
      </c>
      <c r="B81" s="316">
        <f>'[5]Fuel Data'!B$163/'[5]Fuel Data'!$B$191/1000</f>
        <v>6.1146650588184155</v>
      </c>
      <c r="C81" s="316">
        <f>'[5]Fuel Data'!C$163/'[5]Fuel Data'!$B$191/1000</f>
        <v>2.9326547741437978</v>
      </c>
      <c r="D81" s="316">
        <f>'[5]Fuel Data'!D$163/'[5]Fuel Data'!$B$191/1000</f>
        <v>11.21097728341549</v>
      </c>
      <c r="E81" s="316">
        <f>'[5]Fuel Data'!E$163/'[5]Fuel Data'!$B$191/1000</f>
        <v>13.307474500217666</v>
      </c>
      <c r="F81" s="316">
        <f>'[5]Fuel Data'!F$163/'[5]Fuel Data'!$B$191/1000</f>
        <v>12.068971207249152</v>
      </c>
      <c r="G81" s="316">
        <f>'[5]Fuel Data'!G$163/'[5]Fuel Data'!$B$191/1000</f>
        <v>24.426550502065208</v>
      </c>
      <c r="H81" s="316">
        <f>'[5]Fuel Data'!H$163/'[5]Fuel Data'!$B$191/1000</f>
        <v>26.377856031447056</v>
      </c>
      <c r="I81" s="316">
        <f>'[5]Fuel Data'!I$163/'[5]Fuel Data'!$B$191/1000</f>
        <v>0.4158070063744746</v>
      </c>
      <c r="J81" s="316">
        <f>'[5]Fuel Data'!J$163/'[5]Fuel Data'!$B$191/1000</f>
        <v>24.914870516007511</v>
      </c>
      <c r="K81" s="316">
        <f>'[5]Fuel Data'!K$163/'[5]Fuel Data'!$B$191/1000</f>
        <v>23.825688630822025</v>
      </c>
      <c r="L81" s="316">
        <f>'[5]Fuel Data'!L$163/'[5]Fuel Data'!$B$191/1000</f>
        <v>22.953920447190658</v>
      </c>
      <c r="M81" s="316">
        <f>'[5]Fuel Data'!M$163/'[5]Fuel Data'!$B$191/1000</f>
        <v>26.758263966122559</v>
      </c>
      <c r="N81" s="316">
        <f>'[5]Fuel Data'!N$163/'[5]Fuel Data'!$B$191/1000</f>
        <v>35.337783753939469</v>
      </c>
      <c r="O81" s="316">
        <f>'[5]Fuel Data'!O$163/'[5]Fuel Data'!$B$191/1000</f>
        <v>29.86334373291136</v>
      </c>
      <c r="P81" s="316">
        <f>'[5]Fuel Data'!P$163/'[5]Fuel Data'!$B$191/1000</f>
        <v>42.882276952826771</v>
      </c>
      <c r="Q81" s="316">
        <f>'[5]Fuel Data'!Q$163/'[5]Fuel Data'!$B$191/1000</f>
        <v>29.690575129246238</v>
      </c>
      <c r="R81" s="316">
        <f>'[5]Fuel Data'!R$163/'[5]Fuel Data'!$B$191/1000</f>
        <v>22.722241448086201</v>
      </c>
      <c r="S81" s="316">
        <f>'[5]Fuel Data'!S$163/'[5]Fuel Data'!$B$191/1000</f>
        <v>17.32652473576178</v>
      </c>
      <c r="T81" s="316">
        <f>'[5]Fuel Data'!T$163/'[5]Fuel Data'!$B$191/1000</f>
        <v>27.616823540911025</v>
      </c>
      <c r="U81" s="316">
        <f>'[5]Fuel Data'!U$163/'[5]Fuel Data'!$B$191/1000</f>
        <v>24.636697213776049</v>
      </c>
      <c r="V81" s="316">
        <f>'[5]Fuel Data'!V$163/'[5]Fuel Data'!$B$191/1000</f>
        <v>22.335757553342965</v>
      </c>
      <c r="W81" s="316">
        <f>'[5]Fuel Data'!W$163/'[5]Fuel Data'!$B$191/1000</f>
        <v>25.10137607286925</v>
      </c>
      <c r="X81" s="316">
        <f>'[5]Fuel Data'!X$163/'[5]Fuel Data'!$B$191/1000</f>
        <v>28.976517735199092</v>
      </c>
      <c r="Y81" s="316">
        <f>'[5]Fuel Data'!Y$163/'[5]Fuel Data'!$B$191/1000</f>
        <v>33.201687531865772</v>
      </c>
      <c r="Z81" s="316">
        <f>'[5]Fuel Data'!Z$163/'[5]Fuel Data'!$B$191/1000</f>
        <v>36.437532526199277</v>
      </c>
      <c r="AA81" s="316">
        <f>'[5]Fuel Data'!AA$163/'[5]Fuel Data'!$B$191/1000</f>
        <v>35.2281523005434</v>
      </c>
      <c r="AB81" s="316">
        <f>'[5]Fuel Data'!AB$163/'[5]Fuel Data'!$B$191/1000</f>
        <v>29.857796117197346</v>
      </c>
      <c r="AC81" s="316">
        <f>'[5]Fuel Data'!AC$163/'[5]Fuel Data'!$B$191/1000</f>
        <v>26.513112185998345</v>
      </c>
      <c r="AD81" s="316">
        <f>'[5]Fuel Data'!AD$163/'[5]Fuel Data'!$B$191/1000</f>
        <v>30.970753498300052</v>
      </c>
      <c r="AE81" s="317">
        <f>AD81+(AD81*'[2]Canadian GDP'!$E$5)</f>
        <v>31.485770695476202</v>
      </c>
      <c r="AF81" s="317">
        <f>AE81+(AE81*'[2]Canadian GDP'!$E$6)</f>
        <v>31.926369527211332</v>
      </c>
      <c r="AG81" s="317">
        <f>AF81+(AF81*'[2]Canadian GDP'!$E$7)</f>
        <v>32.353445108643257</v>
      </c>
      <c r="AH81" s="317">
        <f>AG81+(AG81*'[2]Canadian GDP'!$E$8)</f>
        <v>32.7680501478794</v>
      </c>
      <c r="AI81" s="317">
        <f>AH81+(AH81*'[2]Canadian GDP'!$E$9)</f>
        <v>33.17318081414863</v>
      </c>
      <c r="AJ81" s="317">
        <f>AI81+(AI81*'[2]Canadian GDP'!$E$10)</f>
        <v>33.568756129904209</v>
      </c>
      <c r="AK81" s="317">
        <f>AJ81+(AJ81*'[2]Canadian GDP'!$E$11)</f>
        <v>33.954371207412514</v>
      </c>
      <c r="AL81" s="317">
        <f>AK81+(AK81*'[2]Canadian GDP'!$E$12)</f>
        <v>34.329621158939922</v>
      </c>
      <c r="AM81" s="317">
        <f>AL81+(AL81*'[2]Canadian GDP'!$E$13)</f>
        <v>34.694020119206066</v>
      </c>
      <c r="AN81" s="317">
        <f>AM81+(AM81*'[2]Canadian GDP'!$E$14)</f>
        <v>35.047082222930598</v>
      </c>
      <c r="AO81" s="317">
        <f>AN81+(AN81*'[2]Canadian GDP'!$E$15)</f>
        <v>35.388483559926613</v>
      </c>
      <c r="AP81" s="317">
        <f>AO81+(AO81*'[2]Canadian GDP'!$E$16)</f>
        <v>35.72203007489022</v>
      </c>
      <c r="AQ81" s="317">
        <f>AP81+(AP81*'[2]Canadian GDP'!$E$17)</f>
        <v>36.047316880087799</v>
      </c>
      <c r="AR81" s="317">
        <f>AQ81+(AQ81*'[2]Canadian GDP'!$E$18)</f>
        <v>36.364424953066077</v>
      </c>
      <c r="AS81" s="317">
        <f>AR81+(AR81*'[2]Canadian GDP'!$E$19)</f>
        <v>36.673678204011942</v>
      </c>
      <c r="AT81" s="317">
        <f>AS81+(AS81*'[2]Canadian GDP'!$E$20)</f>
        <v>36.975319565565584</v>
      </c>
      <c r="AU81" s="317">
        <f>AT81+(AT81*'[2]Canadian GDP'!$E$21)</f>
        <v>37.270158813194264</v>
      </c>
      <c r="AV81" s="317">
        <f>AU81+(AU81*'[2]Canadian GDP'!$E$22)</f>
        <v>37.559167677458674</v>
      </c>
      <c r="AW81" s="317">
        <f>AV81+(AV81*'[2]Canadian GDP'!$E$23)</f>
        <v>37.84323691137282</v>
      </c>
      <c r="AX81" s="317">
        <f>AW81+(AW81*'[2]Canadian GDP'!$E$23)</f>
        <v>38.129454630853779</v>
      </c>
      <c r="AY81" s="317">
        <f>AX81+(AX81*'[2]Canadian GDP'!$E$23)</f>
        <v>38.417837085426953</v>
      </c>
      <c r="AZ81" s="317">
        <f>AY81+(AY81*'[2]Canadian GDP'!$E$23)</f>
        <v>38.708400647516896</v>
      </c>
      <c r="BA81" s="317">
        <f>AZ81+(AZ81*'[2]Canadian GDP'!$E$23)</f>
        <v>39.001161813376839</v>
      </c>
      <c r="BB81" s="317">
        <f>BA81+(BA81*'[2]Canadian GDP'!$E$23)</f>
        <v>39.29613720402525</v>
      </c>
      <c r="BC81" s="317">
        <f>BB81+(BB81*'[2]Canadian GDP'!$E$23)</f>
        <v>39.593343566189446</v>
      </c>
      <c r="BD81" s="317">
        <f>BC81+(BC81*'[2]Canadian GDP'!$E$23)</f>
        <v>39.892797773256369</v>
      </c>
      <c r="BE81" s="317">
        <f>BD81+(BD81*'[2]Canadian GDP'!$E$23)</f>
        <v>40.19451682623054</v>
      </c>
      <c r="BF81" s="317">
        <f>BE81+(BE81*'[2]Canadian GDP'!$E$23)</f>
        <v>40.498517854699259</v>
      </c>
      <c r="BG81" s="317">
        <f>BF81+(BF81*'[2]Canadian GDP'!$E$23)</f>
        <v>40.804818117805119</v>
      </c>
    </row>
    <row r="82" spans="1:59" ht="15">
      <c r="A82" s="318" t="s">
        <v>393</v>
      </c>
      <c r="AE82" s="320"/>
      <c r="AF82" s="320"/>
      <c r="AG82" s="320"/>
      <c r="AH82" s="320"/>
      <c r="AI82" s="320"/>
      <c r="AJ82" s="320"/>
      <c r="AK82" s="320"/>
      <c r="AL82" s="320"/>
      <c r="AM82" s="320"/>
      <c r="AN82" s="320"/>
      <c r="AO82" s="320"/>
      <c r="AP82" s="320"/>
      <c r="AQ82" s="320"/>
      <c r="AR82" s="320"/>
      <c r="AS82" s="320"/>
      <c r="AT82" s="320"/>
      <c r="AU82" s="320"/>
      <c r="AV82" s="320"/>
      <c r="AW82" s="320"/>
      <c r="AX82" s="320"/>
      <c r="AY82" s="320"/>
      <c r="AZ82" s="320"/>
      <c r="BA82" s="320"/>
      <c r="BB82" s="320"/>
      <c r="BC82" s="320"/>
      <c r="BD82" s="320"/>
      <c r="BE82" s="320"/>
      <c r="BF82" s="320"/>
      <c r="BG82" s="320"/>
    </row>
    <row r="83" spans="1:59" ht="15">
      <c r="A83" s="318" t="s">
        <v>394</v>
      </c>
      <c r="AE83" s="320"/>
      <c r="AF83" s="320"/>
      <c r="AG83" s="320"/>
      <c r="AH83" s="320"/>
      <c r="AI83" s="320"/>
      <c r="AJ83" s="320"/>
      <c r="AK83" s="320"/>
      <c r="AL83" s="320"/>
      <c r="AM83" s="320"/>
      <c r="AN83" s="320"/>
      <c r="AO83" s="320"/>
      <c r="AP83" s="320"/>
      <c r="AQ83" s="320"/>
      <c r="AR83" s="320"/>
      <c r="AS83" s="320"/>
      <c r="AT83" s="320"/>
      <c r="AU83" s="320"/>
      <c r="AV83" s="320"/>
      <c r="AW83" s="320"/>
      <c r="AX83" s="320"/>
      <c r="AY83" s="320"/>
      <c r="AZ83" s="320"/>
      <c r="BA83" s="320"/>
      <c r="BB83" s="320"/>
      <c r="BC83" s="320"/>
      <c r="BD83" s="320"/>
      <c r="BE83" s="320"/>
      <c r="BF83" s="320"/>
      <c r="BG83" s="320"/>
    </row>
    <row r="84" spans="1:59" ht="15">
      <c r="AE84" s="320"/>
      <c r="AF84" s="320"/>
      <c r="AG84" s="320"/>
      <c r="AH84" s="320"/>
      <c r="AI84" s="320"/>
      <c r="AJ84" s="320"/>
      <c r="AK84" s="320"/>
      <c r="AL84" s="320"/>
      <c r="AM84" s="320"/>
      <c r="AN84" s="320"/>
      <c r="AO84" s="320"/>
      <c r="AP84" s="320"/>
      <c r="AQ84" s="320"/>
      <c r="AR84" s="320"/>
      <c r="AS84" s="320"/>
      <c r="AT84" s="320"/>
      <c r="AU84" s="320"/>
      <c r="AV84" s="320"/>
      <c r="AW84" s="320"/>
      <c r="AX84" s="320"/>
      <c r="AY84" s="320"/>
      <c r="AZ84" s="320"/>
      <c r="BA84" s="320"/>
      <c r="BB84" s="320"/>
      <c r="BC84" s="320"/>
      <c r="BD84" s="320"/>
      <c r="BE84" s="320"/>
      <c r="BF84" s="320"/>
      <c r="BG84" s="320"/>
    </row>
    <row r="85" spans="1:59" ht="18.75" thickBot="1">
      <c r="A85" s="315" t="s">
        <v>42</v>
      </c>
      <c r="AE85" s="320"/>
      <c r="AF85" s="320"/>
      <c r="AG85" s="320"/>
      <c r="AH85" s="320"/>
      <c r="AI85" s="320"/>
      <c r="AJ85" s="320"/>
      <c r="AK85" s="320"/>
      <c r="AL85" s="320"/>
      <c r="AM85" s="320"/>
      <c r="AN85" s="320"/>
      <c r="AO85" s="320"/>
      <c r="AP85" s="320"/>
      <c r="AQ85" s="320"/>
      <c r="AR85" s="320"/>
      <c r="AS85" s="320"/>
      <c r="AT85" s="320"/>
      <c r="AU85" s="320"/>
      <c r="AV85" s="320"/>
      <c r="AW85" s="320"/>
      <c r="AX85" s="320"/>
      <c r="AY85" s="320"/>
      <c r="AZ85" s="320"/>
      <c r="BA85" s="320"/>
      <c r="BB85" s="320"/>
      <c r="BC85" s="320"/>
      <c r="BD85" s="320"/>
      <c r="BE85" s="320"/>
      <c r="BF85" s="320"/>
      <c r="BG85" s="320"/>
    </row>
    <row r="86" spans="1:59" ht="16.5" thickBot="1">
      <c r="A86" s="326"/>
      <c r="B86" s="327">
        <f>B$2</f>
        <v>1993</v>
      </c>
      <c r="C86" s="327">
        <f t="shared" ref="C86:BG86" si="27">C$2</f>
        <v>1994</v>
      </c>
      <c r="D86" s="327">
        <f t="shared" si="27"/>
        <v>1995</v>
      </c>
      <c r="E86" s="327">
        <f t="shared" si="27"/>
        <v>1996</v>
      </c>
      <c r="F86" s="327">
        <f t="shared" si="27"/>
        <v>1997</v>
      </c>
      <c r="G86" s="327">
        <f t="shared" si="27"/>
        <v>1998</v>
      </c>
      <c r="H86" s="327">
        <f t="shared" si="27"/>
        <v>1999</v>
      </c>
      <c r="I86" s="327">
        <f t="shared" si="27"/>
        <v>2000</v>
      </c>
      <c r="J86" s="327">
        <f t="shared" si="27"/>
        <v>2001</v>
      </c>
      <c r="K86" s="327">
        <f t="shared" si="27"/>
        <v>2002</v>
      </c>
      <c r="L86" s="327">
        <f t="shared" si="27"/>
        <v>2003</v>
      </c>
      <c r="M86" s="327">
        <f t="shared" si="27"/>
        <v>2004</v>
      </c>
      <c r="N86" s="327">
        <f t="shared" si="27"/>
        <v>2005</v>
      </c>
      <c r="O86" s="327">
        <f t="shared" si="27"/>
        <v>2006</v>
      </c>
      <c r="P86" s="327">
        <f t="shared" si="27"/>
        <v>2007</v>
      </c>
      <c r="Q86" s="327">
        <f t="shared" si="27"/>
        <v>2008</v>
      </c>
      <c r="R86" s="327">
        <f t="shared" si="27"/>
        <v>2009</v>
      </c>
      <c r="S86" s="327">
        <f t="shared" si="27"/>
        <v>2010</v>
      </c>
      <c r="T86" s="327">
        <f t="shared" si="27"/>
        <v>2011</v>
      </c>
      <c r="U86" s="327">
        <f t="shared" si="27"/>
        <v>2012</v>
      </c>
      <c r="V86" s="327">
        <f t="shared" si="27"/>
        <v>2013</v>
      </c>
      <c r="W86" s="327">
        <f t="shared" si="27"/>
        <v>2014</v>
      </c>
      <c r="X86" s="327">
        <f t="shared" si="27"/>
        <v>2015</v>
      </c>
      <c r="Y86" s="327">
        <f t="shared" si="27"/>
        <v>2016</v>
      </c>
      <c r="Z86" s="327">
        <f t="shared" si="27"/>
        <v>2017</v>
      </c>
      <c r="AA86" s="327">
        <f t="shared" si="27"/>
        <v>2018</v>
      </c>
      <c r="AB86" s="327">
        <f t="shared" si="27"/>
        <v>2019</v>
      </c>
      <c r="AC86" s="327">
        <f t="shared" si="27"/>
        <v>2020</v>
      </c>
      <c r="AD86" s="327">
        <f t="shared" si="27"/>
        <v>2021</v>
      </c>
      <c r="AE86" s="327">
        <f t="shared" si="27"/>
        <v>2022</v>
      </c>
      <c r="AF86" s="327">
        <f t="shared" si="27"/>
        <v>2023</v>
      </c>
      <c r="AG86" s="327">
        <f t="shared" si="27"/>
        <v>2024</v>
      </c>
      <c r="AH86" s="327">
        <f t="shared" si="27"/>
        <v>2025</v>
      </c>
      <c r="AI86" s="327">
        <f t="shared" si="27"/>
        <v>2026</v>
      </c>
      <c r="AJ86" s="327">
        <f t="shared" si="27"/>
        <v>2027</v>
      </c>
      <c r="AK86" s="327">
        <f t="shared" si="27"/>
        <v>2028</v>
      </c>
      <c r="AL86" s="327">
        <f t="shared" si="27"/>
        <v>2029</v>
      </c>
      <c r="AM86" s="327">
        <f t="shared" si="27"/>
        <v>2030</v>
      </c>
      <c r="AN86" s="327">
        <f t="shared" si="27"/>
        <v>2031</v>
      </c>
      <c r="AO86" s="327">
        <f t="shared" si="27"/>
        <v>2032</v>
      </c>
      <c r="AP86" s="327">
        <f t="shared" si="27"/>
        <v>2033</v>
      </c>
      <c r="AQ86" s="327">
        <f t="shared" si="27"/>
        <v>2034</v>
      </c>
      <c r="AR86" s="327">
        <f t="shared" si="27"/>
        <v>2035</v>
      </c>
      <c r="AS86" s="327">
        <f t="shared" si="27"/>
        <v>2036</v>
      </c>
      <c r="AT86" s="327">
        <f t="shared" si="27"/>
        <v>2037</v>
      </c>
      <c r="AU86" s="327">
        <f t="shared" si="27"/>
        <v>2038</v>
      </c>
      <c r="AV86" s="327">
        <f t="shared" si="27"/>
        <v>2039</v>
      </c>
      <c r="AW86" s="327">
        <f t="shared" si="27"/>
        <v>2040</v>
      </c>
      <c r="AX86" s="327">
        <f t="shared" si="27"/>
        <v>2041</v>
      </c>
      <c r="AY86" s="327">
        <f t="shared" si="27"/>
        <v>2042</v>
      </c>
      <c r="AZ86" s="327">
        <f t="shared" si="27"/>
        <v>2043</v>
      </c>
      <c r="BA86" s="327">
        <f t="shared" si="27"/>
        <v>2044</v>
      </c>
      <c r="BB86" s="327">
        <f t="shared" si="27"/>
        <v>2045</v>
      </c>
      <c r="BC86" s="327">
        <f t="shared" si="27"/>
        <v>2046</v>
      </c>
      <c r="BD86" s="327">
        <f t="shared" si="27"/>
        <v>2047</v>
      </c>
      <c r="BE86" s="327">
        <f t="shared" si="27"/>
        <v>2048</v>
      </c>
      <c r="BF86" s="327">
        <f t="shared" si="27"/>
        <v>2049</v>
      </c>
      <c r="BG86" s="327">
        <f t="shared" si="27"/>
        <v>2050</v>
      </c>
    </row>
    <row r="87" spans="1:59" ht="15">
      <c r="A87" s="318" t="s">
        <v>392</v>
      </c>
      <c r="B87" s="316">
        <f>'[5]Fuel Data'!B$175/'[5]Fuel Data'!$B$191/1000</f>
        <v>1.5695165445751285</v>
      </c>
      <c r="C87" s="316">
        <f>'[5]Fuel Data'!C$175/'[5]Fuel Data'!$B$191/1000</f>
        <v>2.7942918957254155</v>
      </c>
      <c r="D87" s="316">
        <f>'[5]Fuel Data'!D$175/'[5]Fuel Data'!$B$191/1000</f>
        <v>2.6232580882070757</v>
      </c>
      <c r="E87" s="316">
        <f>'[5]Fuel Data'!E$175/'[5]Fuel Data'!$B$191/1000</f>
        <v>3.6976602406099159</v>
      </c>
      <c r="F87" s="316">
        <f>'[5]Fuel Data'!F$175/'[5]Fuel Data'!$B$191/1000</f>
        <v>3.1329936298523351</v>
      </c>
      <c r="G87" s="316">
        <f>'[5]Fuel Data'!G$175/'[5]Fuel Data'!$B$191/1000</f>
        <v>3.2159907605660347</v>
      </c>
      <c r="H87" s="316">
        <f>'[5]Fuel Data'!H$175/'[5]Fuel Data'!$B$191/1000</f>
        <v>2.0053309945289941</v>
      </c>
      <c r="I87" s="316">
        <f>'[5]Fuel Data'!I$175/'[5]Fuel Data'!$B$191/1000</f>
        <v>2.6071152134114932</v>
      </c>
      <c r="J87" s="316">
        <f>'[5]Fuel Data'!J$175/'[5]Fuel Data'!$B$191/1000</f>
        <v>2.5048805809674515</v>
      </c>
      <c r="K87" s="316">
        <f>'[5]Fuel Data'!K$175/'[5]Fuel Data'!$B$191/1000</f>
        <v>2.8903077870032572</v>
      </c>
      <c r="L87" s="316">
        <f>'[5]Fuel Data'!L$175/'[5]Fuel Data'!$B$191/1000</f>
        <v>2.8554370596580023</v>
      </c>
      <c r="M87" s="316">
        <f>'[5]Fuel Data'!M$175/'[5]Fuel Data'!$B$191/1000</f>
        <v>3.0321682459759973</v>
      </c>
      <c r="N87" s="316">
        <f>'[5]Fuel Data'!N$175/'[5]Fuel Data'!$B$191/1000</f>
        <v>6.1729112566406279</v>
      </c>
      <c r="O87" s="316">
        <f>'[5]Fuel Data'!O$175/'[5]Fuel Data'!$B$191/1000</f>
        <v>3.1742928771255952</v>
      </c>
      <c r="P87" s="316">
        <f>'[5]Fuel Data'!P$175/'[5]Fuel Data'!$B$191/1000</f>
        <v>4.5382138262433918</v>
      </c>
      <c r="Q87" s="316">
        <f>'[5]Fuel Data'!Q$175/'[5]Fuel Data'!$B$191/1000</f>
        <v>4.672413292087251</v>
      </c>
      <c r="R87" s="316">
        <f>'[5]Fuel Data'!R$175/'[5]Fuel Data'!$B$191/1000</f>
        <v>6.0735825181420244</v>
      </c>
      <c r="S87" s="316">
        <f>'[5]Fuel Data'!S$175/'[5]Fuel Data'!$B$191/1000</f>
        <v>3.2469402257615418</v>
      </c>
      <c r="T87" s="316">
        <f>'[5]Fuel Data'!T$175/'[5]Fuel Data'!$B$191/1000</f>
        <v>5.1069765230186421</v>
      </c>
      <c r="U87" s="316">
        <f>'[5]Fuel Data'!U$175/'[5]Fuel Data'!$B$191/1000</f>
        <v>9.1659820204416427</v>
      </c>
      <c r="V87" s="316">
        <f>'[5]Fuel Data'!V$175/'[5]Fuel Data'!$B$191/1000</f>
        <v>3.6727857748566204</v>
      </c>
      <c r="W87" s="316">
        <f>'[5]Fuel Data'!W$175/'[5]Fuel Data'!$B$191/1000</f>
        <v>5.4564763130017617</v>
      </c>
      <c r="X87" s="316">
        <f>'[5]Fuel Data'!X$175/'[5]Fuel Data'!$B$191/1000</f>
        <v>5.3582042632105891</v>
      </c>
      <c r="Y87" s="316">
        <f>'[5]Fuel Data'!Y$175/'[5]Fuel Data'!$B$191/1000</f>
        <v>6.6354767383189666</v>
      </c>
      <c r="Z87" s="316">
        <f>'[5]Fuel Data'!Z$175/'[5]Fuel Data'!$B$191/1000</f>
        <v>4.0965179465368342</v>
      </c>
      <c r="AA87" s="316">
        <f>'[5]Fuel Data'!AA$175/'[5]Fuel Data'!$B$191/1000</f>
        <v>4.1559566863298825</v>
      </c>
      <c r="AB87" s="316">
        <f>'[5]Fuel Data'!AB$175/'[5]Fuel Data'!$B$191/1000</f>
        <v>4.1099907275565917</v>
      </c>
      <c r="AC87" s="316">
        <f>'[5]Fuel Data'!AC$175/'[5]Fuel Data'!$B$191/1000</f>
        <v>3.5306611437070226</v>
      </c>
      <c r="AD87" s="316">
        <f>'[5]Fuel Data'!AD$175/'[5]Fuel Data'!$B$191/1000</f>
        <v>6.055354637938823</v>
      </c>
      <c r="AE87" s="317">
        <f>AD87+(AD87*'[2]Canadian GDP'!$E$5)</f>
        <v>6.1560500173299006</v>
      </c>
      <c r="AF87" s="317">
        <f>AE87+(AE87*'[2]Canadian GDP'!$E$6)</f>
        <v>6.2421952310511042</v>
      </c>
      <c r="AG87" s="317">
        <f>AF87+(AF87*'[2]Canadian GDP'!$E$7)</f>
        <v>6.3256963994329514</v>
      </c>
      <c r="AH87" s="317">
        <f>AG87+(AG87*'[2]Canadian GDP'!$E$8)</f>
        <v>6.406759346364133</v>
      </c>
      <c r="AI87" s="317">
        <f>AH87+(AH87*'[2]Canadian GDP'!$E$9)</f>
        <v>6.4859698782970829</v>
      </c>
      <c r="AJ87" s="317">
        <f>AI87+(AI87*'[2]Canadian GDP'!$E$10)</f>
        <v>6.5633121626249782</v>
      </c>
      <c r="AK87" s="317">
        <f>AJ87+(AJ87*'[2]Canadian GDP'!$E$11)</f>
        <v>6.638707036313706</v>
      </c>
      <c r="AL87" s="317">
        <f>AK87+(AK87*'[2]Canadian GDP'!$E$12)</f>
        <v>6.7120753363291552</v>
      </c>
      <c r="AM87" s="317">
        <f>AL87+(AL87*'[2]Canadian GDP'!$E$13)</f>
        <v>6.7833220670303893</v>
      </c>
      <c r="AN87" s="317">
        <f>AM87+(AM87*'[2]Canadian GDP'!$E$14)</f>
        <v>6.8523522327764743</v>
      </c>
      <c r="AO87" s="317">
        <f>AN87+(AN87*'[2]Canadian GDP'!$E$15)</f>
        <v>6.9191025031401185</v>
      </c>
      <c r="AP87" s="317">
        <f>AO87+(AO87*'[2]Canadian GDP'!$E$16)</f>
        <v>6.9843170106419814</v>
      </c>
      <c r="AQ87" s="317">
        <f>AP87+(AP87*'[2]Canadian GDP'!$E$17)</f>
        <v>7.0479165922479492</v>
      </c>
      <c r="AR87" s="317">
        <f>AQ87+(AQ87*'[2]Canadian GDP'!$E$18)</f>
        <v>7.1099170805648466</v>
      </c>
      <c r="AS87" s="317">
        <f>AR87+(AR87*'[2]Canadian GDP'!$E$19)</f>
        <v>7.1703818060199591</v>
      </c>
      <c r="AT87" s="317">
        <f>AS87+(AS87*'[2]Canadian GDP'!$E$20)</f>
        <v>7.2293582664337581</v>
      </c>
      <c r="AU87" s="317">
        <f>AT87+(AT87*'[2]Canadian GDP'!$E$21)</f>
        <v>7.2870047878744693</v>
      </c>
      <c r="AV87" s="317">
        <f>AU87+(AU87*'[2]Canadian GDP'!$E$22)</f>
        <v>7.3435113616239578</v>
      </c>
      <c r="AW87" s="317">
        <f>AV87+(AV87*'[2]Canadian GDP'!$E$23)</f>
        <v>7.3990521463572767</v>
      </c>
      <c r="AX87" s="317">
        <f>AW87+(AW87*'[2]Canadian GDP'!$E$23)</f>
        <v>7.4550129997221921</v>
      </c>
      <c r="AY87" s="317">
        <f>AX87+(AX87*'[2]Canadian GDP'!$E$23)</f>
        <v>7.5113970988012051</v>
      </c>
      <c r="AZ87" s="317">
        <f>AY87+(AY87*'[2]Canadian GDP'!$E$23)</f>
        <v>7.5682076447058737</v>
      </c>
      <c r="BA87" s="317">
        <f>AZ87+(AZ87*'[2]Canadian GDP'!$E$23)</f>
        <v>7.6254478627585502</v>
      </c>
      <c r="BB87" s="317">
        <f>BA87+(BA87*'[2]Canadian GDP'!$E$23)</f>
        <v>7.6831210026754952</v>
      </c>
      <c r="BC87" s="317">
        <f>BB87+(BB87*'[2]Canadian GDP'!$E$23)</f>
        <v>7.7412303387513735</v>
      </c>
      <c r="BD87" s="317">
        <f>BC87+(BC87*'[2]Canadian GDP'!$E$23)</f>
        <v>7.799779170045146</v>
      </c>
      <c r="BE87" s="317">
        <f>BD87+(BD87*'[2]Canadian GDP'!$E$23)</f>
        <v>7.8587708205673694</v>
      </c>
      <c r="BF87" s="317">
        <f>BE87+(BE87*'[2]Canadian GDP'!$E$23)</f>
        <v>7.9182086394689106</v>
      </c>
      <c r="BG87" s="317">
        <f>BF87+(BF87*'[2]Canadian GDP'!$E$23)</f>
        <v>7.9780960012310898</v>
      </c>
    </row>
    <row r="88" spans="1:59">
      <c r="A88" s="318" t="s">
        <v>393</v>
      </c>
    </row>
    <row r="89" spans="1:59">
      <c r="A89" s="318" t="s">
        <v>394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8A40-8C22-4884-8F94-F0A479F82F3F}">
  <dimension ref="A4:I144"/>
  <sheetViews>
    <sheetView topLeftCell="A139" workbookViewId="0">
      <selection activeCell="A7" sqref="A7"/>
    </sheetView>
  </sheetViews>
  <sheetFormatPr defaultRowHeight="12.75"/>
  <cols>
    <col min="2" max="2" width="43.1640625" bestFit="1" customWidth="1"/>
    <col min="3" max="3" width="69" bestFit="1" customWidth="1"/>
    <col min="4" max="4" width="50" bestFit="1" customWidth="1"/>
    <col min="5" max="5" width="19.83203125" bestFit="1" customWidth="1"/>
    <col min="6" max="6" width="24.83203125" bestFit="1" customWidth="1"/>
    <col min="7" max="7" width="23.1640625" bestFit="1" customWidth="1"/>
    <col min="8" max="8" width="81" bestFit="1" customWidth="1"/>
    <col min="9" max="9" width="92.6640625" bestFit="1" customWidth="1"/>
  </cols>
  <sheetData>
    <row r="4" spans="2:9" ht="21">
      <c r="B4" s="331"/>
      <c r="C4" s="332" t="s">
        <v>397</v>
      </c>
      <c r="D4" s="333"/>
      <c r="E4" s="334"/>
      <c r="F4" s="335"/>
      <c r="G4" s="335"/>
      <c r="H4" s="336"/>
      <c r="I4" s="337"/>
    </row>
    <row r="5" spans="2:9" ht="15.75">
      <c r="B5" s="338"/>
      <c r="C5" s="339"/>
      <c r="D5" s="340"/>
      <c r="E5" s="341"/>
      <c r="F5" s="341"/>
      <c r="G5" s="341"/>
      <c r="H5" s="342"/>
      <c r="I5" s="337"/>
    </row>
    <row r="6" spans="2:9">
      <c r="B6" s="343" t="s">
        <v>398</v>
      </c>
      <c r="C6" s="344" t="s">
        <v>318</v>
      </c>
      <c r="D6" s="344" t="s">
        <v>399</v>
      </c>
      <c r="E6" s="345" t="s">
        <v>400</v>
      </c>
      <c r="F6" s="346" t="s">
        <v>401</v>
      </c>
      <c r="G6" s="346" t="s">
        <v>402</v>
      </c>
      <c r="H6" s="347" t="s">
        <v>403</v>
      </c>
      <c r="I6" s="348" t="s">
        <v>349</v>
      </c>
    </row>
    <row r="7" spans="2:9">
      <c r="B7" s="349"/>
      <c r="C7" s="350"/>
      <c r="D7" s="350"/>
      <c r="E7" s="351"/>
      <c r="F7" s="352"/>
      <c r="G7" s="352"/>
      <c r="H7" s="353"/>
      <c r="I7" s="354"/>
    </row>
    <row r="8" spans="2:9" ht="15.75">
      <c r="B8" s="355" t="s">
        <v>404</v>
      </c>
      <c r="C8" s="356" t="s">
        <v>405</v>
      </c>
      <c r="D8" s="356" t="s">
        <v>406</v>
      </c>
      <c r="E8" s="357">
        <v>0.25</v>
      </c>
      <c r="F8" s="358">
        <v>90000000</v>
      </c>
      <c r="G8" s="359">
        <v>1</v>
      </c>
      <c r="H8" s="355">
        <v>2010</v>
      </c>
      <c r="I8" s="355">
        <v>0</v>
      </c>
    </row>
    <row r="9" spans="2:9" ht="15.75">
      <c r="B9" s="355" t="s">
        <v>407</v>
      </c>
      <c r="C9" s="356" t="s">
        <v>408</v>
      </c>
      <c r="D9" s="356" t="s">
        <v>409</v>
      </c>
      <c r="E9" s="357">
        <v>0.8529411764705882</v>
      </c>
      <c r="F9" s="358">
        <v>290000000</v>
      </c>
      <c r="G9" s="359">
        <v>1</v>
      </c>
      <c r="H9" s="355">
        <v>0</v>
      </c>
      <c r="I9" s="355">
        <v>0</v>
      </c>
    </row>
    <row r="10" spans="2:9" ht="15.75">
      <c r="B10" s="355" t="s">
        <v>410</v>
      </c>
      <c r="C10" s="356" t="s">
        <v>411</v>
      </c>
      <c r="D10" s="356" t="s">
        <v>412</v>
      </c>
      <c r="E10" s="357">
        <v>0.13</v>
      </c>
      <c r="F10" s="358">
        <v>45000020</v>
      </c>
      <c r="G10" s="359">
        <v>1</v>
      </c>
      <c r="H10" s="355" t="s">
        <v>413</v>
      </c>
      <c r="I10" s="355">
        <v>0</v>
      </c>
    </row>
    <row r="11" spans="2:9" ht="15.75">
      <c r="B11" s="355" t="s">
        <v>414</v>
      </c>
      <c r="C11" s="356" t="s">
        <v>415</v>
      </c>
      <c r="D11" s="356">
        <v>0</v>
      </c>
      <c r="E11" s="357">
        <v>0.45088235294117646</v>
      </c>
      <c r="F11" s="358">
        <v>153300000</v>
      </c>
      <c r="G11" s="359">
        <v>1</v>
      </c>
      <c r="H11" s="355" t="s">
        <v>416</v>
      </c>
      <c r="I11" s="355" t="s">
        <v>417</v>
      </c>
    </row>
    <row r="12" spans="2:9" ht="15.75">
      <c r="B12" s="355" t="s">
        <v>418</v>
      </c>
      <c r="C12" s="356" t="s">
        <v>419</v>
      </c>
      <c r="D12" s="356">
        <v>0</v>
      </c>
      <c r="E12" s="357">
        <v>5.8823529411764705E-2</v>
      </c>
      <c r="F12" s="358">
        <v>20000000</v>
      </c>
      <c r="G12" s="359">
        <v>1</v>
      </c>
      <c r="H12" s="355">
        <v>0</v>
      </c>
      <c r="I12" s="355">
        <v>0</v>
      </c>
    </row>
    <row r="13" spans="2:9" ht="15.75">
      <c r="B13" s="355" t="s">
        <v>420</v>
      </c>
      <c r="C13" s="356" t="s">
        <v>421</v>
      </c>
      <c r="D13" s="356" t="s">
        <v>422</v>
      </c>
      <c r="E13" s="357">
        <v>0.54105882352941181</v>
      </c>
      <c r="F13" s="358">
        <v>183960000</v>
      </c>
      <c r="G13" s="359">
        <v>1</v>
      </c>
      <c r="H13" s="355" t="s">
        <v>423</v>
      </c>
      <c r="I13" s="355" t="s">
        <v>424</v>
      </c>
    </row>
    <row r="14" spans="2:9" ht="15.75">
      <c r="B14" s="355" t="s">
        <v>425</v>
      </c>
      <c r="C14" s="356" t="s">
        <v>426</v>
      </c>
      <c r="D14" s="356">
        <v>0</v>
      </c>
      <c r="E14" s="357">
        <v>8.8235294117647058E-3</v>
      </c>
      <c r="F14" s="358">
        <v>3000000</v>
      </c>
      <c r="G14" s="359">
        <v>1</v>
      </c>
      <c r="H14" s="355">
        <v>0</v>
      </c>
      <c r="I14" s="355" t="s">
        <v>427</v>
      </c>
    </row>
    <row r="15" spans="2:9" ht="15.75">
      <c r="B15" s="355" t="s">
        <v>197</v>
      </c>
      <c r="C15" s="355"/>
      <c r="D15" s="355"/>
      <c r="E15" s="355" t="s">
        <v>197</v>
      </c>
      <c r="F15" s="360">
        <v>785260020</v>
      </c>
      <c r="G15" s="360">
        <v>785260020</v>
      </c>
      <c r="H15" s="355"/>
      <c r="I15" s="355"/>
    </row>
    <row r="18" spans="1:9" ht="21">
      <c r="A18" s="355"/>
      <c r="B18" s="331"/>
      <c r="C18" s="332" t="s">
        <v>428</v>
      </c>
      <c r="D18" s="333"/>
      <c r="E18" s="361"/>
      <c r="F18" s="337"/>
      <c r="G18" s="337"/>
      <c r="H18" s="337"/>
      <c r="I18" s="337"/>
    </row>
    <row r="19" spans="1:9" ht="15.75">
      <c r="A19" s="355"/>
      <c r="B19" s="338"/>
      <c r="C19" s="339"/>
      <c r="D19" s="340"/>
      <c r="E19" s="362"/>
      <c r="F19" s="362"/>
      <c r="G19" s="362"/>
      <c r="H19" s="337"/>
      <c r="I19" s="337"/>
    </row>
    <row r="20" spans="1:9" ht="15.75">
      <c r="A20" s="355"/>
      <c r="B20" s="343" t="s">
        <v>398</v>
      </c>
      <c r="C20" s="344" t="s">
        <v>318</v>
      </c>
      <c r="D20" s="344" t="s">
        <v>399</v>
      </c>
      <c r="E20" s="345" t="s">
        <v>400</v>
      </c>
      <c r="F20" s="346" t="s">
        <v>401</v>
      </c>
      <c r="G20" s="346" t="s">
        <v>402</v>
      </c>
      <c r="H20" s="344" t="s">
        <v>403</v>
      </c>
      <c r="I20" s="348" t="s">
        <v>349</v>
      </c>
    </row>
    <row r="21" spans="1:9" ht="15.75">
      <c r="A21" s="355"/>
      <c r="B21" s="349"/>
      <c r="C21" s="350"/>
      <c r="D21" s="350"/>
      <c r="E21" s="351"/>
      <c r="F21" s="352"/>
      <c r="G21" s="352"/>
      <c r="H21" s="350"/>
      <c r="I21" s="354"/>
    </row>
    <row r="22" spans="1:9" ht="15.75">
      <c r="A22" s="355"/>
      <c r="B22" s="355" t="s">
        <v>429</v>
      </c>
      <c r="C22" s="356" t="s">
        <v>430</v>
      </c>
      <c r="D22" s="356">
        <v>0</v>
      </c>
      <c r="E22" s="357">
        <v>0.12</v>
      </c>
      <c r="F22" s="358">
        <v>40800000</v>
      </c>
      <c r="G22" s="359">
        <v>1</v>
      </c>
      <c r="H22" s="355">
        <v>0</v>
      </c>
      <c r="I22" s="355">
        <v>0</v>
      </c>
    </row>
    <row r="23" spans="1:9" ht="15.75">
      <c r="A23" s="355"/>
      <c r="B23" s="355" t="s">
        <v>431</v>
      </c>
      <c r="C23" s="356" t="s">
        <v>432</v>
      </c>
      <c r="D23" s="356">
        <v>0</v>
      </c>
      <c r="E23" s="357">
        <v>1.2E-2</v>
      </c>
      <c r="F23" s="358">
        <v>4080000</v>
      </c>
      <c r="G23" s="359">
        <v>1</v>
      </c>
      <c r="H23" s="355">
        <v>0</v>
      </c>
      <c r="I23" s="355">
        <v>0</v>
      </c>
    </row>
    <row r="24" spans="1:9" ht="15.75">
      <c r="A24" s="355"/>
      <c r="B24" s="355" t="s">
        <v>433</v>
      </c>
      <c r="C24" s="356" t="s">
        <v>434</v>
      </c>
      <c r="D24" s="356">
        <v>0</v>
      </c>
      <c r="E24" s="357">
        <v>0</v>
      </c>
      <c r="F24" s="363">
        <v>0</v>
      </c>
      <c r="G24" s="359">
        <v>0.95</v>
      </c>
      <c r="H24" s="355" t="s">
        <v>435</v>
      </c>
      <c r="I24" s="355"/>
    </row>
    <row r="25" spans="1:9" ht="15.75">
      <c r="A25" s="355"/>
      <c r="B25" s="355" t="s">
        <v>197</v>
      </c>
      <c r="C25" s="355"/>
      <c r="D25" s="355"/>
      <c r="E25" s="355" t="s">
        <v>197</v>
      </c>
      <c r="F25" s="360">
        <v>44880000</v>
      </c>
      <c r="G25" s="360">
        <v>44880000</v>
      </c>
      <c r="H25" s="355"/>
      <c r="I25" s="355"/>
    </row>
    <row r="27" spans="1:9" ht="21">
      <c r="A27" s="355"/>
      <c r="B27" s="331"/>
      <c r="C27" s="332" t="s">
        <v>436</v>
      </c>
      <c r="D27" s="333"/>
      <c r="E27" s="361"/>
      <c r="F27" s="337"/>
      <c r="G27" s="337"/>
      <c r="H27" s="337"/>
      <c r="I27" s="337"/>
    </row>
    <row r="28" spans="1:9" ht="15.75">
      <c r="A28" s="355"/>
      <c r="B28" s="338"/>
      <c r="C28" s="339"/>
      <c r="D28" s="340"/>
      <c r="E28" s="362"/>
      <c r="F28" s="362"/>
      <c r="G28" s="362"/>
      <c r="H28" s="337"/>
      <c r="I28" s="337"/>
    </row>
    <row r="29" spans="1:9" ht="15.75">
      <c r="A29" s="355"/>
      <c r="B29" s="343" t="s">
        <v>398</v>
      </c>
      <c r="C29" s="344" t="s">
        <v>318</v>
      </c>
      <c r="D29" s="344" t="s">
        <v>399</v>
      </c>
      <c r="E29" s="345" t="s">
        <v>400</v>
      </c>
      <c r="F29" s="346" t="s">
        <v>401</v>
      </c>
      <c r="G29" s="346" t="s">
        <v>402</v>
      </c>
      <c r="H29" s="344" t="s">
        <v>403</v>
      </c>
      <c r="I29" s="348" t="s">
        <v>349</v>
      </c>
    </row>
    <row r="30" spans="1:9" ht="15.75">
      <c r="A30" s="355"/>
      <c r="B30" s="349"/>
      <c r="C30" s="350"/>
      <c r="D30" s="350"/>
      <c r="E30" s="351"/>
      <c r="F30" s="352"/>
      <c r="G30" s="352"/>
      <c r="H30" s="350"/>
      <c r="I30" s="354"/>
    </row>
    <row r="31" spans="1:9" ht="15.75">
      <c r="A31" s="355"/>
      <c r="B31" s="355"/>
      <c r="C31" s="356"/>
      <c r="D31" s="356"/>
      <c r="E31" s="357"/>
      <c r="F31" s="358"/>
      <c r="G31" s="359"/>
      <c r="H31" s="355"/>
      <c r="I31" s="355">
        <v>0</v>
      </c>
    </row>
    <row r="32" spans="1:9" ht="15.75">
      <c r="A32" s="364"/>
      <c r="B32" s="355" t="s">
        <v>437</v>
      </c>
      <c r="C32" s="356" t="s">
        <v>438</v>
      </c>
      <c r="D32" s="356" t="s">
        <v>439</v>
      </c>
      <c r="E32" s="357">
        <v>0.33816176470588233</v>
      </c>
      <c r="F32" s="358">
        <v>114975000</v>
      </c>
      <c r="G32" s="359">
        <v>0.5</v>
      </c>
      <c r="H32" s="355" t="s">
        <v>440</v>
      </c>
      <c r="I32" s="355">
        <v>0</v>
      </c>
    </row>
    <row r="33" spans="1:9" ht="15.75">
      <c r="A33" s="364"/>
      <c r="B33" s="355" t="s">
        <v>441</v>
      </c>
      <c r="C33" s="356" t="s">
        <v>442</v>
      </c>
      <c r="D33" s="356" t="s">
        <v>409</v>
      </c>
      <c r="E33" s="357">
        <v>1.6429411764705881</v>
      </c>
      <c r="F33" s="358">
        <v>558600000</v>
      </c>
      <c r="G33" s="359">
        <v>0.05</v>
      </c>
      <c r="H33" s="355" t="s">
        <v>443</v>
      </c>
      <c r="I33" s="355">
        <v>0</v>
      </c>
    </row>
    <row r="34" spans="1:9" ht="15.75">
      <c r="A34" s="364"/>
      <c r="B34" s="355" t="s">
        <v>444</v>
      </c>
      <c r="C34" s="356" t="s">
        <v>445</v>
      </c>
      <c r="D34" s="356" t="s">
        <v>446</v>
      </c>
      <c r="E34" s="357">
        <v>0.61764705882352944</v>
      </c>
      <c r="F34" s="358">
        <v>210000000</v>
      </c>
      <c r="G34" s="359">
        <v>0.65</v>
      </c>
      <c r="H34" s="355" t="s">
        <v>443</v>
      </c>
      <c r="I34" s="355" t="s">
        <v>447</v>
      </c>
    </row>
    <row r="35" spans="1:9" ht="15.75">
      <c r="A35" s="364"/>
      <c r="B35" s="355" t="s">
        <v>448</v>
      </c>
      <c r="C35" s="356" t="s">
        <v>449</v>
      </c>
      <c r="D35" s="356">
        <v>0</v>
      </c>
      <c r="E35" s="357">
        <v>0.3235294117647059</v>
      </c>
      <c r="F35" s="358">
        <v>110000000</v>
      </c>
      <c r="G35" s="359">
        <v>0.25</v>
      </c>
      <c r="H35" s="355" t="s">
        <v>450</v>
      </c>
      <c r="I35" s="355">
        <v>0</v>
      </c>
    </row>
    <row r="36" spans="1:9" ht="15.75">
      <c r="A36" s="364"/>
      <c r="B36" s="355" t="s">
        <v>451</v>
      </c>
      <c r="C36" s="356" t="s">
        <v>452</v>
      </c>
      <c r="D36" s="356" t="s">
        <v>453</v>
      </c>
      <c r="E36" s="357">
        <v>0.10588235294117647</v>
      </c>
      <c r="F36" s="358">
        <v>36000000</v>
      </c>
      <c r="G36" s="359">
        <v>0.01</v>
      </c>
      <c r="H36" s="355" t="s">
        <v>454</v>
      </c>
      <c r="I36" s="355" t="s">
        <v>455</v>
      </c>
    </row>
    <row r="37" spans="1:9" ht="15.75">
      <c r="A37" s="364"/>
      <c r="B37" s="355" t="s">
        <v>456</v>
      </c>
      <c r="C37" s="356" t="s">
        <v>457</v>
      </c>
      <c r="D37" s="356">
        <v>0</v>
      </c>
      <c r="E37" s="357">
        <v>0.36764705882352938</v>
      </c>
      <c r="F37" s="358">
        <v>125000000</v>
      </c>
      <c r="G37" s="359">
        <v>0.9</v>
      </c>
      <c r="H37" s="355" t="s">
        <v>111</v>
      </c>
      <c r="I37" s="355">
        <v>0</v>
      </c>
    </row>
    <row r="38" spans="1:9" ht="15.75">
      <c r="A38" s="364"/>
      <c r="B38" s="355" t="s">
        <v>456</v>
      </c>
      <c r="C38" s="356" t="s">
        <v>458</v>
      </c>
      <c r="D38" s="356">
        <v>0</v>
      </c>
      <c r="E38" s="357">
        <v>0.26470588235294118</v>
      </c>
      <c r="F38" s="358">
        <v>90000000</v>
      </c>
      <c r="G38" s="359">
        <v>0.9</v>
      </c>
      <c r="H38" s="355" t="s">
        <v>110</v>
      </c>
      <c r="I38" s="355">
        <v>0</v>
      </c>
    </row>
    <row r="39" spans="1:9" ht="15.75">
      <c r="A39" s="355"/>
      <c r="B39" s="355" t="s">
        <v>459</v>
      </c>
      <c r="C39" s="356" t="s">
        <v>460</v>
      </c>
      <c r="D39" s="356">
        <v>0</v>
      </c>
      <c r="E39" s="357">
        <v>3.2352941176470584E-2</v>
      </c>
      <c r="F39" s="358">
        <v>11000000</v>
      </c>
      <c r="G39" s="359">
        <v>0.9</v>
      </c>
      <c r="H39" s="355">
        <v>2021</v>
      </c>
      <c r="I39" s="355" t="s">
        <v>461</v>
      </c>
    </row>
    <row r="40" spans="1:9" ht="15.75">
      <c r="A40" s="355"/>
      <c r="B40" s="355" t="s">
        <v>459</v>
      </c>
      <c r="C40" s="356" t="s">
        <v>462</v>
      </c>
      <c r="D40" s="356">
        <v>0</v>
      </c>
      <c r="E40" s="357">
        <v>9.7058823529411767E-2</v>
      </c>
      <c r="F40" s="358">
        <v>33000000</v>
      </c>
      <c r="G40" s="359">
        <v>0.01</v>
      </c>
      <c r="H40" s="355" t="s">
        <v>463</v>
      </c>
      <c r="I40" s="355" t="s">
        <v>461</v>
      </c>
    </row>
    <row r="41" spans="1:9" ht="15.75">
      <c r="A41" s="355"/>
      <c r="B41" s="355" t="s">
        <v>464</v>
      </c>
      <c r="C41" s="356" t="s">
        <v>465</v>
      </c>
      <c r="D41" s="356">
        <v>0</v>
      </c>
      <c r="E41" s="357">
        <v>0.29411764705882354</v>
      </c>
      <c r="F41" s="358">
        <v>100000000</v>
      </c>
      <c r="G41" s="359">
        <v>0.75</v>
      </c>
      <c r="H41" s="355" t="s">
        <v>466</v>
      </c>
      <c r="I41" s="355">
        <v>0</v>
      </c>
    </row>
    <row r="42" spans="1:9" ht="15.75">
      <c r="A42" s="364"/>
      <c r="B42" s="355" t="s">
        <v>467</v>
      </c>
      <c r="C42" s="356" t="s">
        <v>468</v>
      </c>
      <c r="D42" s="356">
        <v>0</v>
      </c>
      <c r="E42" s="357">
        <v>2.1642352941176473</v>
      </c>
      <c r="F42" s="358">
        <v>735840000</v>
      </c>
      <c r="G42" s="359" t="s">
        <v>469</v>
      </c>
      <c r="H42" s="355" t="s">
        <v>463</v>
      </c>
      <c r="I42" s="355" t="s">
        <v>470</v>
      </c>
    </row>
    <row r="43" spans="1:9" ht="15.75">
      <c r="A43" s="355"/>
      <c r="B43" s="355" t="s">
        <v>471</v>
      </c>
      <c r="C43" s="356" t="s">
        <v>472</v>
      </c>
      <c r="D43" s="356" t="s">
        <v>473</v>
      </c>
      <c r="E43" s="357">
        <v>0.25</v>
      </c>
      <c r="F43" s="358">
        <v>85000000</v>
      </c>
      <c r="G43" s="359">
        <v>0.9</v>
      </c>
      <c r="H43" s="355" t="s">
        <v>474</v>
      </c>
      <c r="I43" s="355">
        <v>0</v>
      </c>
    </row>
    <row r="44" spans="1:9" ht="15.75">
      <c r="A44" s="365"/>
      <c r="B44" s="355" t="s">
        <v>475</v>
      </c>
      <c r="C44" s="356" t="s">
        <v>476</v>
      </c>
      <c r="D44" s="356">
        <v>0</v>
      </c>
      <c r="E44" s="357">
        <v>0.36070588235294121</v>
      </c>
      <c r="F44" s="358">
        <v>122640000</v>
      </c>
      <c r="G44" s="359">
        <v>0.98</v>
      </c>
      <c r="H44" s="355">
        <v>2021</v>
      </c>
      <c r="I44" s="355" t="s">
        <v>477</v>
      </c>
    </row>
    <row r="45" spans="1:9" ht="15.75">
      <c r="A45" s="365"/>
      <c r="B45" s="355" t="s">
        <v>475</v>
      </c>
      <c r="C45" s="356" t="s">
        <v>478</v>
      </c>
      <c r="D45" s="356">
        <v>0</v>
      </c>
      <c r="E45" s="357">
        <v>1.8937058823529411</v>
      </c>
      <c r="F45" s="358">
        <v>643860000</v>
      </c>
      <c r="G45" s="359">
        <v>0.8</v>
      </c>
      <c r="H45" s="355" t="s">
        <v>479</v>
      </c>
      <c r="I45" s="355" t="s">
        <v>480</v>
      </c>
    </row>
    <row r="46" spans="1:9" ht="15.75">
      <c r="A46" s="364"/>
      <c r="B46" s="355" t="s">
        <v>407</v>
      </c>
      <c r="C46" s="356" t="s">
        <v>449</v>
      </c>
      <c r="D46" s="356">
        <v>0</v>
      </c>
      <c r="E46" s="357">
        <v>1.3823529411764706</v>
      </c>
      <c r="F46" s="358">
        <v>470000000</v>
      </c>
      <c r="G46" s="359">
        <v>0.9</v>
      </c>
      <c r="H46" s="355" t="s">
        <v>481</v>
      </c>
      <c r="I46" s="355">
        <v>0</v>
      </c>
    </row>
    <row r="47" spans="1:9" ht="15.75">
      <c r="A47" s="355"/>
      <c r="B47" s="355" t="s">
        <v>482</v>
      </c>
      <c r="C47" s="356" t="s">
        <v>483</v>
      </c>
      <c r="D47" s="356">
        <v>0</v>
      </c>
      <c r="E47" s="357">
        <v>2.9411764705882353E-2</v>
      </c>
      <c r="F47" s="358">
        <v>10000000</v>
      </c>
      <c r="G47" s="359">
        <v>0.35</v>
      </c>
      <c r="H47" s="355" t="s">
        <v>484</v>
      </c>
      <c r="I47" s="355">
        <v>0</v>
      </c>
    </row>
    <row r="48" spans="1:9" ht="15.75">
      <c r="A48" s="365"/>
      <c r="B48" s="355" t="s">
        <v>464</v>
      </c>
      <c r="C48" s="356" t="s">
        <v>485</v>
      </c>
      <c r="D48" s="356">
        <v>0</v>
      </c>
      <c r="E48" s="357">
        <v>0.44117647058823528</v>
      </c>
      <c r="F48" s="358">
        <v>150000000</v>
      </c>
      <c r="G48" s="359">
        <v>0.5</v>
      </c>
      <c r="H48" s="355" t="s">
        <v>450</v>
      </c>
      <c r="I48" s="355">
        <v>0</v>
      </c>
    </row>
    <row r="49" spans="1:9" ht="15.75">
      <c r="A49" s="365"/>
      <c r="B49" s="355" t="s">
        <v>486</v>
      </c>
      <c r="C49" s="356" t="s">
        <v>487</v>
      </c>
      <c r="D49" s="356">
        <v>0</v>
      </c>
      <c r="E49" s="357">
        <v>2.7052941176470586</v>
      </c>
      <c r="F49" s="358">
        <v>919800000</v>
      </c>
      <c r="G49" s="359">
        <v>0.15</v>
      </c>
      <c r="H49" s="355" t="s">
        <v>488</v>
      </c>
      <c r="I49" s="355" t="s">
        <v>489</v>
      </c>
    </row>
    <row r="50" spans="1:9" ht="15.75">
      <c r="A50" s="355"/>
      <c r="B50" s="355" t="s">
        <v>490</v>
      </c>
      <c r="C50" s="356" t="s">
        <v>491</v>
      </c>
      <c r="D50" s="356" t="s">
        <v>492</v>
      </c>
      <c r="E50" s="357">
        <v>4.7352941176470591E-2</v>
      </c>
      <c r="F50" s="358">
        <v>16100000</v>
      </c>
      <c r="G50" s="359">
        <v>0.01</v>
      </c>
      <c r="H50" s="355" t="s">
        <v>111</v>
      </c>
      <c r="I50" s="355" t="s">
        <v>493</v>
      </c>
    </row>
    <row r="51" spans="1:9" ht="15.75">
      <c r="A51" s="355"/>
      <c r="B51" s="355" t="s">
        <v>494</v>
      </c>
      <c r="C51" s="356" t="s">
        <v>495</v>
      </c>
      <c r="D51" s="356">
        <v>0</v>
      </c>
      <c r="E51" s="357">
        <v>0.90176470588235291</v>
      </c>
      <c r="F51" s="358">
        <v>306600000</v>
      </c>
      <c r="G51" s="359">
        <v>0.25</v>
      </c>
      <c r="H51" s="355" t="s">
        <v>496</v>
      </c>
      <c r="I51" s="355" t="s">
        <v>497</v>
      </c>
    </row>
    <row r="52" spans="1:9" ht="15.75">
      <c r="A52" s="355"/>
      <c r="B52" s="355" t="s">
        <v>498</v>
      </c>
      <c r="C52" s="356" t="s">
        <v>499</v>
      </c>
      <c r="D52" s="356">
        <v>0</v>
      </c>
      <c r="E52" s="357">
        <v>0.17647058823529413</v>
      </c>
      <c r="F52" s="358">
        <v>60000000</v>
      </c>
      <c r="G52" s="359">
        <v>0.05</v>
      </c>
      <c r="H52" s="355"/>
      <c r="I52" s="355"/>
    </row>
    <row r="53" spans="1:9" ht="15.75">
      <c r="A53" s="355"/>
      <c r="B53" s="355" t="s">
        <v>500</v>
      </c>
      <c r="C53" s="356" t="s">
        <v>501</v>
      </c>
      <c r="D53" s="356">
        <v>0</v>
      </c>
      <c r="E53" s="357">
        <v>0.44186470588235294</v>
      </c>
      <c r="F53" s="358">
        <v>150234000</v>
      </c>
      <c r="G53" s="359">
        <v>0.7</v>
      </c>
      <c r="H53" s="355"/>
      <c r="I53" s="355"/>
    </row>
    <row r="54" spans="1:9" ht="15.75">
      <c r="A54" s="355"/>
      <c r="B54" s="355" t="s">
        <v>433</v>
      </c>
      <c r="C54" s="366" t="s">
        <v>502</v>
      </c>
      <c r="D54" s="356">
        <v>0</v>
      </c>
      <c r="E54" s="357">
        <v>0.44470588235294123</v>
      </c>
      <c r="F54" s="358">
        <v>151200000</v>
      </c>
      <c r="G54" s="359">
        <v>0.95</v>
      </c>
      <c r="H54" s="355"/>
      <c r="I54" s="355"/>
    </row>
    <row r="55" spans="1:9" ht="15.75">
      <c r="A55" s="364"/>
      <c r="B55" s="355" t="s">
        <v>503</v>
      </c>
      <c r="C55" s="356" t="s">
        <v>504</v>
      </c>
      <c r="D55" s="356">
        <v>0</v>
      </c>
      <c r="E55" s="357">
        <v>0.23529411764705882</v>
      </c>
      <c r="F55" s="358">
        <v>80000000</v>
      </c>
      <c r="G55" s="359">
        <v>0.4</v>
      </c>
      <c r="H55" s="355" t="s">
        <v>115</v>
      </c>
      <c r="I55" s="355" t="s">
        <v>505</v>
      </c>
    </row>
    <row r="56" spans="1:9" ht="15.75">
      <c r="A56" s="355"/>
      <c r="B56" s="355" t="s">
        <v>506</v>
      </c>
      <c r="C56" s="356" t="s">
        <v>507</v>
      </c>
      <c r="D56" s="356">
        <v>0</v>
      </c>
      <c r="E56" s="357">
        <v>9.4117647058823528E-2</v>
      </c>
      <c r="F56" s="358">
        <v>32000000</v>
      </c>
      <c r="G56" s="359">
        <v>0.05</v>
      </c>
      <c r="H56" s="355" t="s">
        <v>508</v>
      </c>
      <c r="I56" s="355" t="s">
        <v>509</v>
      </c>
    </row>
    <row r="57" spans="1:9" ht="15.75">
      <c r="A57" s="355"/>
      <c r="B57" s="355" t="s">
        <v>510</v>
      </c>
      <c r="C57" s="356" t="s">
        <v>511</v>
      </c>
      <c r="D57" s="356">
        <v>0</v>
      </c>
      <c r="E57" s="357">
        <v>0.45088235294117646</v>
      </c>
      <c r="F57" s="358">
        <v>153300000</v>
      </c>
      <c r="G57" s="359">
        <v>0.4</v>
      </c>
      <c r="H57" s="355" t="s">
        <v>512</v>
      </c>
      <c r="I57" s="355" t="s">
        <v>513</v>
      </c>
    </row>
    <row r="58" spans="1:9" ht="15.75">
      <c r="A58" s="355"/>
      <c r="B58" s="355" t="s">
        <v>514</v>
      </c>
      <c r="C58" s="356" t="s">
        <v>515</v>
      </c>
      <c r="D58" s="356" t="s">
        <v>516</v>
      </c>
      <c r="E58" s="357">
        <v>0.3235294117647059</v>
      </c>
      <c r="F58" s="358">
        <v>110000000</v>
      </c>
      <c r="G58" s="359">
        <v>0.01</v>
      </c>
      <c r="H58" s="355" t="s">
        <v>517</v>
      </c>
      <c r="I58" s="355" t="s">
        <v>518</v>
      </c>
    </row>
    <row r="59" spans="1:9" ht="15.75">
      <c r="A59" s="355"/>
      <c r="B59" s="355" t="s">
        <v>519</v>
      </c>
      <c r="C59" s="356" t="s">
        <v>520</v>
      </c>
      <c r="D59" s="356" t="s">
        <v>521</v>
      </c>
      <c r="E59" s="357">
        <v>6.7647058823529407E-2</v>
      </c>
      <c r="F59" s="358">
        <v>23000000</v>
      </c>
      <c r="G59" s="359">
        <v>0.15</v>
      </c>
      <c r="H59" s="355" t="s">
        <v>522</v>
      </c>
      <c r="I59" s="355" t="s">
        <v>523</v>
      </c>
    </row>
    <row r="60" spans="1:9" ht="15.75">
      <c r="A60" s="355"/>
      <c r="B60" s="355" t="s">
        <v>524</v>
      </c>
      <c r="C60" s="356" t="s">
        <v>525</v>
      </c>
      <c r="D60" s="356">
        <v>0</v>
      </c>
      <c r="E60" s="357">
        <v>0.40579411764705881</v>
      </c>
      <c r="F60" s="358">
        <v>137970000</v>
      </c>
      <c r="G60" s="359">
        <v>0.05</v>
      </c>
      <c r="H60" s="355" t="s">
        <v>526</v>
      </c>
      <c r="I60" s="355" t="s">
        <v>527</v>
      </c>
    </row>
    <row r="62" spans="1:9" ht="15.75">
      <c r="A62" s="355"/>
      <c r="B62" s="355" t="s">
        <v>197</v>
      </c>
      <c r="C62" s="356"/>
      <c r="D62" s="356"/>
      <c r="E62" s="355" t="s">
        <v>197</v>
      </c>
      <c r="F62" s="367">
        <v>5746119000</v>
      </c>
      <c r="G62" s="367">
        <v>2877736000</v>
      </c>
      <c r="H62" s="355"/>
      <c r="I62" s="355"/>
    </row>
    <row r="63" spans="1:9" ht="15.75">
      <c r="A63" s="355"/>
      <c r="B63" s="355"/>
      <c r="C63" s="356"/>
      <c r="D63" s="356"/>
      <c r="E63" s="357"/>
      <c r="F63" s="367"/>
      <c r="G63" s="368"/>
      <c r="H63" s="355"/>
      <c r="I63" s="355"/>
    </row>
    <row r="64" spans="1:9" ht="15.75">
      <c r="A64" s="355"/>
      <c r="B64" s="355"/>
      <c r="C64" s="356"/>
      <c r="D64" s="356"/>
      <c r="E64" s="357"/>
      <c r="F64" s="367"/>
      <c r="G64" s="368"/>
      <c r="H64" s="355"/>
      <c r="I64" s="355"/>
    </row>
    <row r="65" spans="1:9" ht="21">
      <c r="A65" s="355"/>
      <c r="B65" s="331"/>
      <c r="C65" s="332" t="s">
        <v>528</v>
      </c>
      <c r="D65" s="333"/>
      <c r="E65" s="361"/>
      <c r="F65" s="337"/>
      <c r="G65" s="337"/>
      <c r="H65" s="337"/>
      <c r="I65" s="337"/>
    </row>
    <row r="66" spans="1:9" ht="15.75">
      <c r="A66" s="355"/>
      <c r="B66" s="338"/>
      <c r="C66" s="339"/>
      <c r="D66" s="340"/>
      <c r="E66" s="362"/>
      <c r="F66" s="362"/>
      <c r="G66" s="362"/>
      <c r="H66" s="337"/>
      <c r="I66" s="337"/>
    </row>
    <row r="67" spans="1:9" ht="15.75">
      <c r="A67" s="355"/>
      <c r="B67" s="343" t="s">
        <v>398</v>
      </c>
      <c r="C67" s="344" t="s">
        <v>318</v>
      </c>
      <c r="D67" s="344" t="s">
        <v>399</v>
      </c>
      <c r="E67" s="345" t="s">
        <v>400</v>
      </c>
      <c r="F67" s="346" t="s">
        <v>401</v>
      </c>
      <c r="G67" s="346" t="s">
        <v>402</v>
      </c>
      <c r="H67" s="344" t="s">
        <v>403</v>
      </c>
      <c r="I67" s="348" t="s">
        <v>349</v>
      </c>
    </row>
    <row r="68" spans="1:9" ht="15.75">
      <c r="A68" s="355"/>
      <c r="B68" s="349"/>
      <c r="C68" s="350"/>
      <c r="D68" s="350"/>
      <c r="E68" s="351"/>
      <c r="F68" s="352"/>
      <c r="G68" s="352"/>
      <c r="H68" s="350"/>
      <c r="I68" s="354"/>
    </row>
    <row r="69" spans="1:9" ht="15.75">
      <c r="A69" s="355"/>
      <c r="B69" s="355" t="s">
        <v>407</v>
      </c>
      <c r="C69" s="356" t="s">
        <v>408</v>
      </c>
      <c r="D69" s="356" t="s">
        <v>409</v>
      </c>
      <c r="E69" s="357">
        <v>1.2</v>
      </c>
      <c r="F69" s="358">
        <v>400000000</v>
      </c>
      <c r="G69" s="359">
        <v>1</v>
      </c>
      <c r="H69" s="355" t="s">
        <v>529</v>
      </c>
      <c r="I69" s="355">
        <v>0</v>
      </c>
    </row>
    <row r="70" spans="1:9" ht="15.75">
      <c r="A70" s="365"/>
      <c r="B70" s="355" t="s">
        <v>410</v>
      </c>
      <c r="C70" s="356" t="s">
        <v>530</v>
      </c>
      <c r="D70" s="356" t="s">
        <v>412</v>
      </c>
      <c r="E70" s="357">
        <v>0.76764705882352935</v>
      </c>
      <c r="F70" s="358">
        <v>261000000</v>
      </c>
      <c r="G70" s="359">
        <v>0.8</v>
      </c>
      <c r="H70" s="355" t="s">
        <v>531</v>
      </c>
      <c r="I70" s="355">
        <v>0</v>
      </c>
    </row>
    <row r="71" spans="1:9" ht="15.75">
      <c r="A71" s="365"/>
      <c r="B71" s="355" t="s">
        <v>404</v>
      </c>
      <c r="C71" s="356" t="s">
        <v>532</v>
      </c>
      <c r="D71" s="356" t="s">
        <v>406</v>
      </c>
      <c r="E71" s="357">
        <v>0.73529411764705876</v>
      </c>
      <c r="F71" s="358">
        <v>250000000</v>
      </c>
      <c r="G71" s="359">
        <v>1</v>
      </c>
      <c r="H71" s="355" t="s">
        <v>533</v>
      </c>
      <c r="I71" s="355">
        <v>0</v>
      </c>
    </row>
    <row r="72" spans="1:9" ht="15.75">
      <c r="A72" s="365"/>
      <c r="B72" s="355" t="s">
        <v>429</v>
      </c>
      <c r="C72" s="356" t="s">
        <v>430</v>
      </c>
      <c r="D72" s="356">
        <v>0</v>
      </c>
      <c r="E72" s="357">
        <v>0.20117647058823529</v>
      </c>
      <c r="F72" s="358">
        <v>68400000</v>
      </c>
      <c r="G72" s="359">
        <v>0.75</v>
      </c>
      <c r="H72" s="355" t="s">
        <v>534</v>
      </c>
      <c r="I72" s="355">
        <v>0</v>
      </c>
    </row>
    <row r="73" spans="1:9" ht="15.75">
      <c r="A73" s="355"/>
      <c r="B73" s="355"/>
      <c r="C73" s="355"/>
      <c r="D73" s="355"/>
      <c r="E73" s="355"/>
      <c r="F73" s="355"/>
      <c r="G73" s="355"/>
      <c r="H73" s="355"/>
      <c r="I73" s="355">
        <v>0</v>
      </c>
    </row>
    <row r="74" spans="1:9" ht="15.75">
      <c r="A74" s="355"/>
      <c r="B74" s="355" t="s">
        <v>197</v>
      </c>
      <c r="C74" s="355"/>
      <c r="D74" s="355"/>
      <c r="E74" s="355" t="s">
        <v>197</v>
      </c>
      <c r="F74" s="360">
        <v>979400000</v>
      </c>
      <c r="G74" s="360">
        <v>910100000</v>
      </c>
      <c r="H74" s="355"/>
      <c r="I74" s="355">
        <v>0</v>
      </c>
    </row>
    <row r="76" spans="1:9" ht="15.75">
      <c r="A76" s="355"/>
      <c r="B76" s="355"/>
      <c r="C76" s="355"/>
      <c r="D76" s="355" t="s">
        <v>535</v>
      </c>
      <c r="E76" s="355"/>
      <c r="F76" s="360">
        <v>785260020</v>
      </c>
      <c r="G76" s="360">
        <v>785260020</v>
      </c>
      <c r="H76" s="355"/>
      <c r="I76" s="355"/>
    </row>
    <row r="77" spans="1:9" ht="15.75">
      <c r="A77" s="355"/>
      <c r="B77" s="355"/>
      <c r="C77" s="355"/>
      <c r="D77" s="355" t="s">
        <v>536</v>
      </c>
      <c r="E77" s="355"/>
      <c r="F77" s="360">
        <v>44880000</v>
      </c>
      <c r="G77" s="360">
        <v>44880000</v>
      </c>
      <c r="H77" s="355"/>
      <c r="I77" s="355"/>
    </row>
    <row r="78" spans="1:9" ht="15.75">
      <c r="A78" s="355"/>
      <c r="B78" s="355"/>
      <c r="C78" s="355"/>
      <c r="D78" s="355" t="s">
        <v>537</v>
      </c>
      <c r="E78" s="355"/>
      <c r="F78" s="360">
        <v>5746119000</v>
      </c>
      <c r="G78" s="360">
        <v>2877736000</v>
      </c>
      <c r="H78" s="355"/>
      <c r="I78" s="355"/>
    </row>
    <row r="79" spans="1:9" ht="15.75">
      <c r="A79" s="355"/>
      <c r="B79" s="355"/>
      <c r="C79" s="355"/>
      <c r="D79" s="355" t="s">
        <v>538</v>
      </c>
      <c r="E79" s="355"/>
      <c r="F79" s="360">
        <v>979400000</v>
      </c>
      <c r="G79" s="360">
        <v>910100000</v>
      </c>
      <c r="H79" s="355"/>
      <c r="I79" s="355"/>
    </row>
    <row r="81" spans="1:7" ht="15.75">
      <c r="A81" s="355"/>
      <c r="B81" s="355"/>
      <c r="C81" s="355"/>
      <c r="D81" s="355" t="s">
        <v>539</v>
      </c>
      <c r="E81" s="355"/>
      <c r="F81" s="360">
        <v>7555659020</v>
      </c>
      <c r="G81" s="360">
        <v>4617976020</v>
      </c>
    </row>
    <row r="82" spans="1:7" ht="15.75">
      <c r="A82" s="355"/>
      <c r="B82" s="355"/>
      <c r="C82" s="355"/>
      <c r="D82" s="355"/>
      <c r="E82" s="355"/>
      <c r="F82" s="360"/>
      <c r="G82" s="360"/>
    </row>
    <row r="83" spans="1:7" ht="15.75">
      <c r="A83" s="337"/>
      <c r="B83" s="337"/>
      <c r="C83" s="337"/>
      <c r="D83" s="337"/>
      <c r="E83" s="337"/>
      <c r="F83" s="369"/>
      <c r="G83" s="360"/>
    </row>
    <row r="84" spans="1:7" ht="15.75">
      <c r="A84" s="337"/>
      <c r="B84" s="337"/>
      <c r="C84" s="337"/>
      <c r="D84" s="337"/>
      <c r="E84" s="337"/>
      <c r="F84" s="369"/>
      <c r="G84" s="360"/>
    </row>
    <row r="85" spans="1:7" ht="18.75">
      <c r="A85" s="337"/>
      <c r="B85" s="370" t="s">
        <v>398</v>
      </c>
      <c r="C85" s="371" t="s">
        <v>318</v>
      </c>
      <c r="D85" s="372" t="s">
        <v>401</v>
      </c>
      <c r="E85" s="372" t="s">
        <v>402</v>
      </c>
      <c r="F85" s="337"/>
      <c r="G85" s="355"/>
    </row>
    <row r="86" spans="1:7" ht="15.75">
      <c r="A86" s="337"/>
      <c r="B86" s="355" t="s">
        <v>437</v>
      </c>
      <c r="C86" s="355" t="s">
        <v>438</v>
      </c>
      <c r="D86" s="373">
        <v>114975000</v>
      </c>
      <c r="E86" s="374">
        <v>0.5</v>
      </c>
      <c r="F86" s="337"/>
      <c r="G86" s="355"/>
    </row>
    <row r="87" spans="1:7" ht="15.75">
      <c r="A87" s="337"/>
      <c r="B87" s="355" t="s">
        <v>441</v>
      </c>
      <c r="C87" s="355" t="s">
        <v>442</v>
      </c>
      <c r="D87" s="373">
        <v>558600000</v>
      </c>
      <c r="E87" s="374">
        <v>0.05</v>
      </c>
      <c r="F87" s="337"/>
      <c r="G87" s="355"/>
    </row>
    <row r="88" spans="1:7" ht="15.75">
      <c r="A88" s="337"/>
      <c r="B88" s="355" t="s">
        <v>444</v>
      </c>
      <c r="C88" s="355" t="s">
        <v>445</v>
      </c>
      <c r="D88" s="373">
        <v>210000000</v>
      </c>
      <c r="E88" s="374">
        <v>0.65</v>
      </c>
      <c r="F88" s="337"/>
      <c r="G88" s="355"/>
    </row>
    <row r="89" spans="1:7" ht="15.75">
      <c r="A89" s="337"/>
      <c r="B89" s="355" t="s">
        <v>448</v>
      </c>
      <c r="C89" s="355" t="s">
        <v>449</v>
      </c>
      <c r="D89" s="373">
        <v>110000000</v>
      </c>
      <c r="E89" s="374">
        <v>0.25</v>
      </c>
      <c r="F89" s="337"/>
      <c r="G89" s="355"/>
    </row>
    <row r="90" spans="1:7" ht="15.75">
      <c r="A90" s="337"/>
      <c r="B90" s="355" t="s">
        <v>451</v>
      </c>
      <c r="C90" s="355" t="s">
        <v>452</v>
      </c>
      <c r="D90" s="373">
        <v>36000000</v>
      </c>
      <c r="E90" s="374">
        <v>0.01</v>
      </c>
      <c r="F90" s="337"/>
      <c r="G90" s="355"/>
    </row>
    <row r="91" spans="1:7" ht="15.75">
      <c r="A91" s="337"/>
      <c r="B91" s="355" t="s">
        <v>456</v>
      </c>
      <c r="C91" s="355" t="s">
        <v>457</v>
      </c>
      <c r="D91" s="373">
        <v>125000000</v>
      </c>
      <c r="E91" s="374">
        <v>0.9</v>
      </c>
      <c r="F91" s="337"/>
      <c r="G91" s="355"/>
    </row>
    <row r="92" spans="1:7" ht="15.75">
      <c r="A92" s="337"/>
      <c r="B92" s="355" t="s">
        <v>456</v>
      </c>
      <c r="C92" s="355" t="s">
        <v>458</v>
      </c>
      <c r="D92" s="373">
        <v>90000000</v>
      </c>
      <c r="E92" s="374">
        <v>0.9</v>
      </c>
      <c r="F92" s="337"/>
      <c r="G92" s="355"/>
    </row>
    <row r="93" spans="1:7" ht="15.75">
      <c r="A93" s="337"/>
      <c r="B93" s="355" t="s">
        <v>459</v>
      </c>
      <c r="C93" s="355" t="s">
        <v>460</v>
      </c>
      <c r="D93" s="373">
        <v>11000000</v>
      </c>
      <c r="E93" s="374">
        <v>0.9</v>
      </c>
      <c r="F93" s="337"/>
      <c r="G93" s="355"/>
    </row>
    <row r="94" spans="1:7" ht="15.75">
      <c r="A94" s="337"/>
      <c r="B94" s="355" t="s">
        <v>459</v>
      </c>
      <c r="C94" s="355" t="s">
        <v>462</v>
      </c>
      <c r="D94" s="373">
        <v>33000000</v>
      </c>
      <c r="E94" s="374">
        <v>0.01</v>
      </c>
      <c r="F94" s="337"/>
      <c r="G94" s="355"/>
    </row>
    <row r="95" spans="1:7" ht="15.75">
      <c r="A95" s="337"/>
      <c r="B95" s="355" t="s">
        <v>464</v>
      </c>
      <c r="C95" s="355" t="s">
        <v>465</v>
      </c>
      <c r="D95" s="373">
        <v>100000000</v>
      </c>
      <c r="E95" s="374">
        <v>0.75</v>
      </c>
      <c r="F95" s="337"/>
      <c r="G95" s="355"/>
    </row>
    <row r="96" spans="1:7" ht="15.75">
      <c r="A96" s="337"/>
      <c r="B96" s="355" t="s">
        <v>467</v>
      </c>
      <c r="C96" s="355" t="s">
        <v>468</v>
      </c>
      <c r="D96" s="373">
        <v>735840000</v>
      </c>
      <c r="E96" s="374" t="s">
        <v>540</v>
      </c>
      <c r="F96" s="337"/>
      <c r="G96" s="355"/>
    </row>
    <row r="97" spans="1:7" ht="15.75">
      <c r="A97" s="337"/>
      <c r="B97" s="355" t="s">
        <v>471</v>
      </c>
      <c r="C97" s="355" t="s">
        <v>472</v>
      </c>
      <c r="D97" s="373">
        <v>85000000</v>
      </c>
      <c r="E97" s="374">
        <v>0.9</v>
      </c>
      <c r="F97" s="337"/>
      <c r="G97" s="355"/>
    </row>
    <row r="98" spans="1:7" ht="15.75">
      <c r="A98" s="337"/>
      <c r="B98" s="355" t="s">
        <v>475</v>
      </c>
      <c r="C98" s="355" t="s">
        <v>476</v>
      </c>
      <c r="D98" s="373">
        <v>122640000</v>
      </c>
      <c r="E98" s="374">
        <v>0.98</v>
      </c>
      <c r="F98" s="337"/>
      <c r="G98" s="355"/>
    </row>
    <row r="99" spans="1:7" ht="15.75">
      <c r="A99" s="337"/>
      <c r="B99" s="355" t="s">
        <v>475</v>
      </c>
      <c r="C99" s="355" t="s">
        <v>478</v>
      </c>
      <c r="D99" s="373">
        <v>643860000</v>
      </c>
      <c r="E99" s="374">
        <v>0.8</v>
      </c>
      <c r="F99" s="337"/>
      <c r="G99" s="355"/>
    </row>
    <row r="100" spans="1:7" ht="15.75">
      <c r="A100" s="337"/>
      <c r="B100" s="355" t="s">
        <v>407</v>
      </c>
      <c r="C100" s="355" t="s">
        <v>449</v>
      </c>
      <c r="D100" s="373">
        <v>470000000</v>
      </c>
      <c r="E100" s="374">
        <v>0.9</v>
      </c>
      <c r="F100" s="337"/>
      <c r="G100" s="355"/>
    </row>
    <row r="101" spans="1:7" ht="15.75">
      <c r="A101" s="337"/>
      <c r="B101" s="355" t="s">
        <v>482</v>
      </c>
      <c r="C101" s="355" t="s">
        <v>483</v>
      </c>
      <c r="D101" s="373">
        <v>10000000</v>
      </c>
      <c r="E101" s="374">
        <v>0.35</v>
      </c>
      <c r="F101" s="337"/>
      <c r="G101" s="355"/>
    </row>
    <row r="102" spans="1:7" ht="15.75">
      <c r="A102" s="337"/>
      <c r="B102" s="355" t="s">
        <v>464</v>
      </c>
      <c r="C102" s="355" t="s">
        <v>485</v>
      </c>
      <c r="D102" s="373">
        <v>150000000</v>
      </c>
      <c r="E102" s="374">
        <v>0.5</v>
      </c>
      <c r="F102" s="337"/>
      <c r="G102" s="355"/>
    </row>
    <row r="103" spans="1:7" ht="15.75">
      <c r="A103" s="337"/>
      <c r="B103" s="355" t="s">
        <v>486</v>
      </c>
      <c r="C103" s="355" t="s">
        <v>487</v>
      </c>
      <c r="D103" s="373">
        <v>919800000</v>
      </c>
      <c r="E103" s="374">
        <v>0.15</v>
      </c>
      <c r="F103" s="337"/>
      <c r="G103" s="355"/>
    </row>
    <row r="104" spans="1:7" ht="15.75">
      <c r="A104" s="337"/>
      <c r="B104" s="355" t="s">
        <v>490</v>
      </c>
      <c r="C104" s="355" t="s">
        <v>491</v>
      </c>
      <c r="D104" s="373">
        <v>16100000</v>
      </c>
      <c r="E104" s="374">
        <v>0.01</v>
      </c>
      <c r="F104" s="337"/>
      <c r="G104" s="355"/>
    </row>
    <row r="105" spans="1:7" ht="15.75">
      <c r="A105" s="337"/>
      <c r="B105" s="355" t="s">
        <v>494</v>
      </c>
      <c r="C105" s="355" t="s">
        <v>495</v>
      </c>
      <c r="D105" s="373">
        <v>306600000</v>
      </c>
      <c r="E105" s="374">
        <v>0.25</v>
      </c>
      <c r="F105" s="337"/>
      <c r="G105" s="355"/>
    </row>
    <row r="106" spans="1:7" ht="15.75">
      <c r="A106" s="337"/>
      <c r="B106" s="355" t="s">
        <v>498</v>
      </c>
      <c r="C106" s="355" t="s">
        <v>499</v>
      </c>
      <c r="D106" s="373">
        <v>60000000</v>
      </c>
      <c r="E106" s="374">
        <v>0.05</v>
      </c>
      <c r="F106" s="337"/>
      <c r="G106" s="355"/>
    </row>
    <row r="107" spans="1:7" ht="15.75">
      <c r="A107" s="337"/>
      <c r="B107" s="355" t="s">
        <v>500</v>
      </c>
      <c r="C107" s="355" t="s">
        <v>501</v>
      </c>
      <c r="D107" s="373">
        <v>150234000</v>
      </c>
      <c r="E107" s="374">
        <v>0.7</v>
      </c>
      <c r="F107" s="337"/>
      <c r="G107" s="375">
        <v>17330.8</v>
      </c>
    </row>
    <row r="108" spans="1:7" ht="15.75">
      <c r="A108" s="337"/>
      <c r="B108" s="355" t="s">
        <v>433</v>
      </c>
      <c r="C108" s="355" t="s">
        <v>541</v>
      </c>
      <c r="D108" s="373">
        <v>151200000</v>
      </c>
      <c r="E108" s="374">
        <v>0.95</v>
      </c>
      <c r="F108" s="337"/>
      <c r="G108" s="355"/>
    </row>
    <row r="109" spans="1:7" ht="15.75">
      <c r="A109" s="337"/>
      <c r="B109" s="355" t="s">
        <v>503</v>
      </c>
      <c r="C109" s="355" t="s">
        <v>504</v>
      </c>
      <c r="D109" s="373">
        <v>80000000</v>
      </c>
      <c r="E109" s="374">
        <v>0.4</v>
      </c>
      <c r="F109" s="337"/>
      <c r="G109" s="355"/>
    </row>
    <row r="110" spans="1:7" ht="15.75">
      <c r="A110" s="337"/>
      <c r="B110" s="355" t="s">
        <v>506</v>
      </c>
      <c r="C110" s="355" t="s">
        <v>507</v>
      </c>
      <c r="D110" s="373">
        <v>32000000</v>
      </c>
      <c r="E110" s="374">
        <v>0.05</v>
      </c>
      <c r="F110" s="337"/>
      <c r="G110" s="355"/>
    </row>
    <row r="111" spans="1:7" ht="15.75">
      <c r="A111" s="337"/>
      <c r="B111" s="355" t="s">
        <v>510</v>
      </c>
      <c r="C111" s="355" t="s">
        <v>511</v>
      </c>
      <c r="D111" s="373">
        <v>153300000</v>
      </c>
      <c r="E111" s="374">
        <v>0.4</v>
      </c>
      <c r="F111" s="337"/>
      <c r="G111" s="355"/>
    </row>
    <row r="112" spans="1:7" ht="15.75">
      <c r="A112" s="337"/>
      <c r="B112" s="355" t="s">
        <v>514</v>
      </c>
      <c r="C112" s="355" t="s">
        <v>515</v>
      </c>
      <c r="D112" s="373">
        <v>110000000</v>
      </c>
      <c r="E112" s="374">
        <v>0.01</v>
      </c>
      <c r="F112" s="337"/>
      <c r="G112" s="355"/>
    </row>
    <row r="113" spans="1:8" ht="15.75">
      <c r="A113" s="337"/>
      <c r="B113" s="355" t="s">
        <v>524</v>
      </c>
      <c r="C113" s="355" t="s">
        <v>525</v>
      </c>
      <c r="D113" s="373">
        <v>137970000</v>
      </c>
      <c r="E113" s="374">
        <v>0.05</v>
      </c>
      <c r="F113" s="337"/>
      <c r="G113" s="355"/>
      <c r="H113" s="376" t="s">
        <v>542</v>
      </c>
    </row>
    <row r="114" spans="1:8" ht="15.75">
      <c r="A114" s="337"/>
      <c r="B114" s="355"/>
      <c r="C114" s="377" t="s">
        <v>197</v>
      </c>
      <c r="D114" s="378">
        <v>5746119000</v>
      </c>
      <c r="E114" s="378">
        <v>2877736000</v>
      </c>
      <c r="F114" s="337"/>
      <c r="G114" s="355"/>
      <c r="H114" s="355"/>
    </row>
    <row r="115" spans="1:8" ht="15.75">
      <c r="A115" s="337"/>
      <c r="B115" s="337"/>
      <c r="C115" s="337"/>
      <c r="D115" s="337"/>
      <c r="E115" s="337"/>
      <c r="F115" s="337"/>
      <c r="G115" s="355"/>
      <c r="H115" s="355"/>
    </row>
    <row r="117" spans="1:8" ht="19.5" thickBot="1">
      <c r="A117" s="355"/>
      <c r="B117" s="379" t="s">
        <v>398</v>
      </c>
      <c r="C117" s="380" t="s">
        <v>318</v>
      </c>
      <c r="D117" s="381" t="s">
        <v>401</v>
      </c>
      <c r="E117" s="381" t="s">
        <v>402</v>
      </c>
      <c r="F117" s="355"/>
      <c r="G117" s="355"/>
      <c r="H117" s="355"/>
    </row>
    <row r="118" spans="1:8" ht="15.75">
      <c r="A118" s="355"/>
      <c r="B118" s="355" t="s">
        <v>407</v>
      </c>
      <c r="C118" s="355" t="s">
        <v>408</v>
      </c>
      <c r="D118" s="360">
        <v>400000000</v>
      </c>
      <c r="E118" s="382">
        <v>1</v>
      </c>
      <c r="F118" s="355"/>
      <c r="G118" s="355"/>
      <c r="H118" s="355"/>
    </row>
    <row r="119" spans="1:8" ht="15.75">
      <c r="A119" s="355"/>
      <c r="B119" s="355" t="s">
        <v>410</v>
      </c>
      <c r="C119" s="355" t="s">
        <v>530</v>
      </c>
      <c r="D119" s="360">
        <v>261000000</v>
      </c>
      <c r="E119" s="382">
        <v>0.8</v>
      </c>
      <c r="F119" s="355"/>
      <c r="G119" s="355"/>
      <c r="H119" s="355"/>
    </row>
    <row r="120" spans="1:8" ht="15.75">
      <c r="A120" s="355"/>
      <c r="B120" s="355" t="s">
        <v>404</v>
      </c>
      <c r="C120" s="355" t="s">
        <v>532</v>
      </c>
      <c r="D120" s="360">
        <v>250000000</v>
      </c>
      <c r="E120" s="382">
        <v>1</v>
      </c>
      <c r="F120" s="355"/>
      <c r="G120" s="355"/>
      <c r="H120" s="355"/>
    </row>
    <row r="129" spans="2:5" ht="15.75">
      <c r="B129" s="355"/>
      <c r="C129" s="377" t="s">
        <v>197</v>
      </c>
      <c r="D129" s="360">
        <v>979400000</v>
      </c>
      <c r="E129" s="360">
        <v>910100000</v>
      </c>
    </row>
    <row r="132" spans="2:5" ht="19.5" thickBot="1">
      <c r="B132" s="379" t="s">
        <v>398</v>
      </c>
      <c r="C132" s="380" t="s">
        <v>318</v>
      </c>
      <c r="D132" s="381" t="s">
        <v>401</v>
      </c>
      <c r="E132" s="381" t="s">
        <v>402</v>
      </c>
    </row>
    <row r="133" spans="2:5" ht="20.25" thickTop="1" thickBot="1">
      <c r="B133" s="383" t="s">
        <v>543</v>
      </c>
      <c r="C133" s="384" t="s">
        <v>408</v>
      </c>
      <c r="D133" s="385">
        <v>400000000</v>
      </c>
      <c r="E133" s="386">
        <v>1</v>
      </c>
    </row>
    <row r="134" spans="2:5" ht="19.5" thickBot="1">
      <c r="B134" s="387" t="s">
        <v>410</v>
      </c>
      <c r="C134" s="388" t="s">
        <v>530</v>
      </c>
      <c r="D134" s="389">
        <v>261000000</v>
      </c>
      <c r="E134" s="390">
        <v>0.8</v>
      </c>
    </row>
    <row r="135" spans="2:5" ht="19.5" thickBot="1">
      <c r="B135" s="391" t="s">
        <v>404</v>
      </c>
      <c r="C135" s="392" t="s">
        <v>532</v>
      </c>
      <c r="D135" s="393">
        <v>250000000</v>
      </c>
      <c r="E135" s="394">
        <v>1</v>
      </c>
    </row>
    <row r="136" spans="2:5" ht="19.5" thickBot="1">
      <c r="B136" s="387"/>
      <c r="C136" s="388"/>
      <c r="D136" s="395"/>
      <c r="E136" s="395"/>
    </row>
    <row r="137" spans="2:5" ht="18.75" thickBot="1">
      <c r="B137" s="396"/>
      <c r="C137" s="397"/>
      <c r="D137" s="397"/>
      <c r="E137" s="397"/>
    </row>
    <row r="138" spans="2:5" ht="18.75" thickBot="1">
      <c r="B138" s="398"/>
      <c r="C138" s="399"/>
      <c r="D138" s="399"/>
      <c r="E138" s="399"/>
    </row>
    <row r="139" spans="2:5" ht="18.75" thickBot="1">
      <c r="B139" s="396"/>
      <c r="C139" s="397"/>
      <c r="D139" s="397"/>
      <c r="E139" s="397"/>
    </row>
    <row r="140" spans="2:5" ht="18.75" thickBot="1">
      <c r="B140" s="398"/>
      <c r="C140" s="399"/>
      <c r="D140" s="399"/>
      <c r="E140" s="399"/>
    </row>
    <row r="141" spans="2:5" ht="18.75" thickBot="1">
      <c r="B141" s="396"/>
      <c r="C141" s="397"/>
      <c r="D141" s="397"/>
      <c r="E141" s="397"/>
    </row>
    <row r="142" spans="2:5" ht="18.75" thickBot="1">
      <c r="B142" s="398"/>
      <c r="C142" s="399"/>
      <c r="D142" s="399"/>
      <c r="E142" s="399"/>
    </row>
    <row r="143" spans="2:5" ht="18.75" thickBot="1">
      <c r="B143" s="396"/>
      <c r="C143" s="397"/>
      <c r="D143" s="397"/>
      <c r="E143" s="397"/>
    </row>
    <row r="144" spans="2:5" ht="19.5" thickBot="1">
      <c r="B144" s="400" t="s">
        <v>339</v>
      </c>
      <c r="C144" s="388">
        <v>3393000</v>
      </c>
      <c r="D144" s="389">
        <v>979400000</v>
      </c>
      <c r="E144" s="389">
        <v>910100000</v>
      </c>
    </row>
  </sheetData>
  <mergeCells count="36">
    <mergeCell ref="I29:I30"/>
    <mergeCell ref="C65:D66"/>
    <mergeCell ref="B67:B68"/>
    <mergeCell ref="C67:C68"/>
    <mergeCell ref="D67:D68"/>
    <mergeCell ref="E67:E68"/>
    <mergeCell ref="F67:F68"/>
    <mergeCell ref="G67:G68"/>
    <mergeCell ref="H67:H68"/>
    <mergeCell ref="I67:I68"/>
    <mergeCell ref="H20:H21"/>
    <mergeCell ref="I20:I21"/>
    <mergeCell ref="C27:D28"/>
    <mergeCell ref="B29:B30"/>
    <mergeCell ref="C29:C30"/>
    <mergeCell ref="D29:D30"/>
    <mergeCell ref="E29:E30"/>
    <mergeCell ref="F29:F30"/>
    <mergeCell ref="G29:G30"/>
    <mergeCell ref="H29:H30"/>
    <mergeCell ref="G6:G7"/>
    <mergeCell ref="H6:H7"/>
    <mergeCell ref="I6:I7"/>
    <mergeCell ref="C18:D19"/>
    <mergeCell ref="B20:B21"/>
    <mergeCell ref="C20:C21"/>
    <mergeCell ref="D20:D21"/>
    <mergeCell ref="E20:E21"/>
    <mergeCell ref="F20:F21"/>
    <mergeCell ref="G20:G21"/>
    <mergeCell ref="C4:D5"/>
    <mergeCell ref="B6:B7"/>
    <mergeCell ref="C6:C7"/>
    <mergeCell ref="D6:D7"/>
    <mergeCell ref="E6:E7"/>
    <mergeCell ref="F6:F7"/>
  </mergeCells>
  <hyperlinks>
    <hyperlink ref="F24" r:id="rId1" display="https://www.fool.com/earnings/call-transcripts/2021/07/31/chevron-cvx-q2-2021-earnings-call-transcript/" xr:uid="{1AF66009-2B22-4E48-B050-4128F67A6B9A}"/>
    <hyperlink ref="H113" r:id="rId2" xr:uid="{1B13FA09-8B7C-4617-873C-E81EC6BE74D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7D36-0DFE-4112-B04A-30C90535B93D}">
  <dimension ref="A1:AJ268"/>
  <sheetViews>
    <sheetView topLeftCell="A112" workbookViewId="0">
      <selection activeCell="A7" sqref="A7"/>
    </sheetView>
  </sheetViews>
  <sheetFormatPr defaultRowHeight="12.75"/>
  <cols>
    <col min="1" max="1" width="91.1640625" bestFit="1" customWidth="1"/>
    <col min="3" max="14" width="18.33203125" customWidth="1"/>
  </cols>
  <sheetData>
    <row r="1" spans="1:36" ht="15.75">
      <c r="A1" s="337"/>
      <c r="B1" s="401"/>
      <c r="C1" s="337"/>
      <c r="D1" s="337" t="s">
        <v>544</v>
      </c>
      <c r="E1" s="337"/>
      <c r="F1" s="337"/>
      <c r="G1" s="337"/>
      <c r="H1" s="337"/>
      <c r="I1" s="337"/>
      <c r="J1" s="337"/>
      <c r="K1" s="337"/>
      <c r="L1" s="337"/>
      <c r="M1" s="337"/>
      <c r="N1" s="337"/>
      <c r="O1" s="337"/>
      <c r="P1" s="337"/>
      <c r="Q1" s="337"/>
      <c r="R1" s="337"/>
      <c r="S1" s="337"/>
      <c r="T1" s="337"/>
      <c r="U1" s="337"/>
      <c r="V1" s="337"/>
      <c r="W1" s="337"/>
      <c r="X1" s="355"/>
      <c r="Y1" s="355"/>
      <c r="Z1" s="355"/>
      <c r="AA1" s="355"/>
      <c r="AB1" s="355"/>
      <c r="AC1" s="355"/>
      <c r="AD1" s="355"/>
      <c r="AE1" s="355"/>
      <c r="AF1" s="355"/>
      <c r="AG1" s="355"/>
      <c r="AH1" s="355"/>
      <c r="AI1" s="355"/>
      <c r="AJ1" s="355"/>
    </row>
    <row r="2" spans="1:36" ht="15.75">
      <c r="A2" s="337"/>
      <c r="B2" s="401"/>
      <c r="C2" s="337"/>
      <c r="D2" s="337"/>
      <c r="E2" s="337"/>
      <c r="F2" s="337"/>
      <c r="G2" s="337"/>
      <c r="H2" s="337"/>
      <c r="I2" s="337"/>
      <c r="J2" s="337"/>
      <c r="K2" s="337"/>
      <c r="L2" s="337"/>
      <c r="M2" s="337"/>
      <c r="N2" s="337"/>
      <c r="O2" s="337"/>
      <c r="P2" s="337"/>
      <c r="Q2" s="337"/>
      <c r="R2" s="337"/>
      <c r="S2" s="337"/>
      <c r="T2" s="337"/>
      <c r="U2" s="337"/>
      <c r="V2" s="337"/>
      <c r="W2" s="337"/>
      <c r="X2" s="355"/>
      <c r="Y2" s="355"/>
      <c r="Z2" s="355"/>
      <c r="AA2" s="355"/>
      <c r="AB2" s="355"/>
      <c r="AC2" s="355"/>
      <c r="AD2" s="355"/>
      <c r="AE2" s="355"/>
      <c r="AF2" s="355"/>
      <c r="AG2" s="355"/>
      <c r="AH2" s="355"/>
      <c r="AI2" s="355"/>
      <c r="AJ2" s="355"/>
    </row>
    <row r="3" spans="1:36" ht="15.75">
      <c r="A3" s="337"/>
      <c r="B3" s="401"/>
      <c r="C3" s="337"/>
      <c r="D3" s="337"/>
      <c r="E3" s="337"/>
      <c r="F3" s="337"/>
      <c r="G3" s="337"/>
      <c r="H3" s="337"/>
      <c r="I3" s="337"/>
      <c r="J3" s="337"/>
      <c r="K3" s="337"/>
      <c r="L3" s="337"/>
      <c r="M3" s="337"/>
      <c r="N3" s="337"/>
      <c r="O3" s="337"/>
      <c r="P3" s="337"/>
      <c r="Q3" s="337"/>
      <c r="R3" s="337"/>
      <c r="S3" s="337"/>
      <c r="T3" s="337"/>
      <c r="U3" s="337"/>
      <c r="V3" s="337"/>
      <c r="W3" s="337"/>
      <c r="X3" s="355"/>
      <c r="Y3" s="355"/>
      <c r="Z3" s="355"/>
      <c r="AA3" s="355"/>
      <c r="AB3" s="355"/>
      <c r="AC3" s="355"/>
      <c r="AD3" s="355"/>
      <c r="AE3" s="355"/>
      <c r="AF3" s="355"/>
      <c r="AG3" s="355"/>
      <c r="AH3" s="355"/>
      <c r="AI3" s="355"/>
      <c r="AJ3" s="355"/>
    </row>
    <row r="4" spans="1:36" ht="15.75">
      <c r="A4" s="337"/>
      <c r="B4" s="401"/>
      <c r="C4" s="337"/>
      <c r="D4" s="337"/>
      <c r="E4" s="337"/>
      <c r="F4" s="337"/>
      <c r="G4" s="337"/>
      <c r="H4" s="337"/>
      <c r="I4" s="337"/>
      <c r="J4" s="337"/>
      <c r="K4" s="337"/>
      <c r="L4" s="337"/>
      <c r="M4" s="337"/>
      <c r="N4" s="337"/>
      <c r="O4" s="337"/>
      <c r="P4" s="337"/>
      <c r="Q4" s="337"/>
      <c r="R4" s="337"/>
      <c r="S4" s="337"/>
      <c r="T4" s="337"/>
      <c r="U4" s="337"/>
      <c r="V4" s="337"/>
      <c r="W4" s="337"/>
      <c r="X4" s="355"/>
      <c r="Y4" s="355"/>
      <c r="Z4" s="355"/>
      <c r="AA4" s="355"/>
      <c r="AB4" s="355"/>
      <c r="AC4" s="355"/>
      <c r="AD4" s="355"/>
      <c r="AE4" s="355"/>
      <c r="AF4" s="355"/>
      <c r="AG4" s="355"/>
      <c r="AH4" s="355"/>
      <c r="AI4" s="355"/>
      <c r="AJ4" s="355"/>
    </row>
    <row r="5" spans="1:36" ht="15.75">
      <c r="A5" s="337"/>
      <c r="B5" s="401"/>
      <c r="C5" s="337">
        <v>1312.5</v>
      </c>
      <c r="D5" s="337"/>
      <c r="E5" s="337"/>
      <c r="F5" s="337"/>
      <c r="G5" s="337"/>
      <c r="H5" s="337"/>
      <c r="I5" s="337"/>
      <c r="J5" s="337"/>
      <c r="K5" s="337"/>
      <c r="L5" s="337"/>
      <c r="M5" s="337"/>
      <c r="N5" s="337"/>
      <c r="O5" s="337"/>
      <c r="P5" s="337"/>
      <c r="Q5" s="337"/>
      <c r="R5" s="337"/>
      <c r="S5" s="337"/>
      <c r="T5" s="337"/>
      <c r="U5" s="337"/>
      <c r="V5" s="337"/>
      <c r="W5" s="337"/>
      <c r="X5" s="355"/>
      <c r="Y5" s="355"/>
      <c r="Z5" s="355"/>
      <c r="AA5" s="355"/>
      <c r="AB5" s="355"/>
      <c r="AC5" s="355"/>
      <c r="AD5" s="355"/>
      <c r="AE5" s="355"/>
      <c r="AF5" s="355"/>
      <c r="AG5" s="355"/>
      <c r="AH5" s="355"/>
      <c r="AI5" s="355"/>
      <c r="AJ5" s="355"/>
    </row>
    <row r="6" spans="1:36" ht="15.75">
      <c r="A6" s="337"/>
      <c r="B6" s="401"/>
      <c r="C6" s="337"/>
      <c r="D6" s="337"/>
      <c r="E6" s="337"/>
      <c r="F6" s="337"/>
      <c r="G6" s="337"/>
      <c r="H6" s="337"/>
      <c r="I6" s="337"/>
      <c r="J6" s="337"/>
      <c r="K6" s="337"/>
      <c r="L6" s="337"/>
      <c r="M6" s="337"/>
      <c r="N6" s="337"/>
      <c r="O6" s="337"/>
      <c r="P6" s="337"/>
      <c r="Q6" s="337"/>
      <c r="R6" s="337"/>
      <c r="S6" s="337"/>
      <c r="T6" s="337"/>
      <c r="U6" s="337"/>
      <c r="V6" s="337"/>
      <c r="W6" s="337"/>
      <c r="X6" s="355"/>
      <c r="Y6" s="355"/>
      <c r="Z6" s="355"/>
      <c r="AA6" s="355"/>
      <c r="AB6" s="355"/>
      <c r="AC6" s="355"/>
      <c r="AD6" s="355"/>
      <c r="AE6" s="355"/>
      <c r="AF6" s="355"/>
      <c r="AG6" s="355"/>
      <c r="AH6" s="355"/>
      <c r="AI6" s="355"/>
      <c r="AJ6" s="355"/>
    </row>
    <row r="7" spans="1:36" ht="15.75">
      <c r="A7" s="337"/>
      <c r="B7" s="401"/>
      <c r="C7" s="337"/>
      <c r="D7" s="337"/>
      <c r="E7" s="337"/>
      <c r="F7" s="337"/>
      <c r="G7" s="337"/>
      <c r="H7" s="337"/>
      <c r="I7" s="337"/>
      <c r="J7" s="337"/>
      <c r="K7" s="337"/>
      <c r="L7" s="337"/>
      <c r="M7" s="337"/>
      <c r="N7" s="337"/>
      <c r="O7" s="337"/>
      <c r="P7" s="337"/>
      <c r="Q7" s="337"/>
      <c r="R7" s="337"/>
      <c r="S7" s="337"/>
      <c r="T7" s="337"/>
      <c r="U7" s="337"/>
      <c r="V7" s="337"/>
      <c r="W7" s="337"/>
      <c r="X7" s="355"/>
      <c r="Y7" s="355"/>
      <c r="Z7" s="355"/>
      <c r="AA7" s="355"/>
      <c r="AB7" s="355"/>
      <c r="AC7" s="355"/>
      <c r="AD7" s="355"/>
      <c r="AE7" s="355"/>
      <c r="AF7" s="355"/>
      <c r="AG7" s="355"/>
      <c r="AH7" s="355"/>
      <c r="AI7" s="355"/>
      <c r="AJ7" s="355"/>
    </row>
    <row r="8" spans="1:36" ht="25.5">
      <c r="A8" s="402"/>
      <c r="B8" s="403" t="s">
        <v>402</v>
      </c>
      <c r="C8" s="404">
        <v>2019</v>
      </c>
      <c r="D8" s="404">
        <v>2020</v>
      </c>
      <c r="E8" s="404">
        <v>2021</v>
      </c>
      <c r="F8" s="404">
        <v>2022</v>
      </c>
      <c r="G8" s="404">
        <v>2023</v>
      </c>
      <c r="H8" s="404">
        <v>2024</v>
      </c>
      <c r="I8" s="404">
        <v>2025</v>
      </c>
      <c r="J8" s="404">
        <v>2026</v>
      </c>
      <c r="K8" s="404">
        <v>2027</v>
      </c>
      <c r="L8" s="404">
        <v>2028</v>
      </c>
      <c r="M8" s="404">
        <v>2029</v>
      </c>
      <c r="N8" s="404">
        <v>2030</v>
      </c>
      <c r="O8" s="355"/>
      <c r="P8" s="355"/>
      <c r="Q8" s="355"/>
      <c r="R8" s="355"/>
      <c r="S8" s="355"/>
      <c r="T8" s="355"/>
      <c r="U8" s="355"/>
      <c r="V8" s="355"/>
      <c r="W8" s="355"/>
      <c r="X8" s="355"/>
      <c r="Y8" s="355"/>
      <c r="Z8" s="355"/>
      <c r="AA8" s="355"/>
      <c r="AB8" s="355"/>
      <c r="AC8" s="355"/>
      <c r="AD8" s="355"/>
      <c r="AE8" s="355"/>
      <c r="AF8" s="355"/>
      <c r="AG8" s="355"/>
      <c r="AH8" s="355"/>
      <c r="AI8" s="355"/>
      <c r="AJ8" s="355"/>
    </row>
    <row r="9" spans="1:36" ht="15.75">
      <c r="A9" s="405" t="s">
        <v>545</v>
      </c>
      <c r="B9" s="406">
        <v>1</v>
      </c>
      <c r="C9" s="407">
        <v>290000000</v>
      </c>
      <c r="D9" s="407">
        <v>290000000</v>
      </c>
      <c r="E9" s="407">
        <v>290000000</v>
      </c>
      <c r="F9" s="407">
        <v>290000000</v>
      </c>
      <c r="G9" s="407">
        <v>290000000</v>
      </c>
      <c r="H9" s="407">
        <v>290000000</v>
      </c>
      <c r="I9" s="407">
        <v>290000000</v>
      </c>
      <c r="J9" s="407">
        <v>290000000</v>
      </c>
      <c r="K9" s="407">
        <v>290000000</v>
      </c>
      <c r="L9" s="407">
        <v>290000000</v>
      </c>
      <c r="M9" s="407">
        <v>290000000</v>
      </c>
      <c r="N9" s="407">
        <v>290000000</v>
      </c>
      <c r="O9" s="407"/>
      <c r="P9" s="407" t="s">
        <v>546</v>
      </c>
      <c r="Q9" s="407"/>
      <c r="R9" s="407"/>
      <c r="S9" s="407"/>
      <c r="T9" s="407"/>
      <c r="U9" s="407"/>
      <c r="V9" s="355"/>
      <c r="W9" s="355"/>
      <c r="X9" s="355"/>
      <c r="Y9" s="355"/>
      <c r="Z9" s="355"/>
      <c r="AA9" s="355"/>
      <c r="AB9" s="355"/>
      <c r="AC9" s="355"/>
      <c r="AD9" s="355"/>
      <c r="AE9" s="355"/>
      <c r="AF9" s="355"/>
      <c r="AG9" s="355"/>
      <c r="AH9" s="355"/>
      <c r="AI9" s="355"/>
      <c r="AJ9" s="355"/>
    </row>
    <row r="10" spans="1:36" ht="15.75">
      <c r="A10" s="405" t="s">
        <v>547</v>
      </c>
      <c r="B10" s="406">
        <v>1</v>
      </c>
      <c r="C10" s="407">
        <v>0</v>
      </c>
      <c r="D10" s="407">
        <v>0</v>
      </c>
      <c r="E10" s="407">
        <v>0</v>
      </c>
      <c r="F10" s="407">
        <v>400000000</v>
      </c>
      <c r="G10" s="407">
        <v>400000000</v>
      </c>
      <c r="H10" s="407">
        <v>400000000</v>
      </c>
      <c r="I10" s="407">
        <v>400000000</v>
      </c>
      <c r="J10" s="407">
        <v>400000000</v>
      </c>
      <c r="K10" s="407">
        <v>400000000</v>
      </c>
      <c r="L10" s="407">
        <v>400000000</v>
      </c>
      <c r="M10" s="407">
        <v>400000000</v>
      </c>
      <c r="N10" s="407">
        <v>400000000</v>
      </c>
      <c r="O10" s="407"/>
      <c r="P10" s="407"/>
      <c r="Q10" s="407"/>
      <c r="R10" s="407"/>
      <c r="S10" s="407"/>
      <c r="T10" s="407"/>
      <c r="U10" s="407"/>
      <c r="V10" s="355"/>
      <c r="W10" s="355"/>
      <c r="X10" s="355"/>
      <c r="Y10" s="355"/>
      <c r="Z10" s="355"/>
      <c r="AA10" s="355"/>
      <c r="AB10" s="355"/>
      <c r="AC10" s="355"/>
      <c r="AD10" s="355"/>
      <c r="AE10" s="355"/>
      <c r="AF10" s="355"/>
      <c r="AG10" s="355"/>
      <c r="AH10" s="355"/>
      <c r="AI10" s="355"/>
      <c r="AJ10" s="355"/>
    </row>
    <row r="11" spans="1:36" ht="15.75">
      <c r="A11" s="405" t="s">
        <v>404</v>
      </c>
      <c r="B11" s="406">
        <v>1</v>
      </c>
      <c r="C11" s="407">
        <v>90000000</v>
      </c>
      <c r="D11" s="407">
        <v>90000000</v>
      </c>
      <c r="E11" s="407">
        <v>90000000</v>
      </c>
      <c r="F11" s="407">
        <v>90000000</v>
      </c>
      <c r="G11" s="407">
        <v>90000000</v>
      </c>
      <c r="H11" s="407">
        <v>90000000</v>
      </c>
      <c r="I11" s="407">
        <v>90000000</v>
      </c>
      <c r="J11" s="407">
        <v>90000000</v>
      </c>
      <c r="K11" s="407">
        <v>90000000</v>
      </c>
      <c r="L11" s="407">
        <v>90000000</v>
      </c>
      <c r="M11" s="407">
        <v>90000000</v>
      </c>
      <c r="N11" s="407">
        <v>90000000</v>
      </c>
      <c r="O11" s="407"/>
      <c r="P11" s="407"/>
      <c r="Q11" s="407"/>
      <c r="R11" s="407"/>
      <c r="S11" s="407"/>
      <c r="T11" s="407"/>
      <c r="U11" s="407"/>
      <c r="V11" s="355"/>
      <c r="W11" s="355"/>
      <c r="X11" s="355"/>
      <c r="Y11" s="355"/>
      <c r="Z11" s="355"/>
      <c r="AA11" s="355"/>
      <c r="AB11" s="355"/>
      <c r="AC11" s="355"/>
      <c r="AD11" s="355"/>
      <c r="AE11" s="355"/>
      <c r="AF11" s="355"/>
      <c r="AG11" s="355"/>
      <c r="AH11" s="355"/>
      <c r="AI11" s="355"/>
      <c r="AJ11" s="355"/>
    </row>
    <row r="12" spans="1:36" ht="15.75">
      <c r="A12" s="405" t="s">
        <v>548</v>
      </c>
      <c r="B12" s="406">
        <v>0.9</v>
      </c>
      <c r="C12" s="407">
        <v>0</v>
      </c>
      <c r="D12" s="407">
        <v>0</v>
      </c>
      <c r="E12" s="407">
        <v>0</v>
      </c>
      <c r="F12" s="407">
        <v>0</v>
      </c>
      <c r="G12" s="407">
        <v>0</v>
      </c>
      <c r="H12" s="407">
        <v>250000000</v>
      </c>
      <c r="I12" s="407">
        <v>250000000</v>
      </c>
      <c r="J12" s="407">
        <v>250000000</v>
      </c>
      <c r="K12" s="407">
        <v>250000000</v>
      </c>
      <c r="L12" s="407">
        <v>250000000</v>
      </c>
      <c r="M12" s="407">
        <v>250000000</v>
      </c>
      <c r="N12" s="407">
        <v>250000000</v>
      </c>
      <c r="O12" s="407"/>
      <c r="P12" s="407"/>
      <c r="Q12" s="407"/>
      <c r="R12" s="407"/>
      <c r="S12" s="407"/>
      <c r="T12" s="407"/>
      <c r="U12" s="407"/>
      <c r="V12" s="355"/>
      <c r="W12" s="355"/>
      <c r="X12" s="355"/>
      <c r="Y12" s="355"/>
      <c r="Z12" s="355"/>
      <c r="AA12" s="355"/>
      <c r="AB12" s="355"/>
      <c r="AC12" s="355"/>
      <c r="AD12" s="355"/>
      <c r="AE12" s="355"/>
      <c r="AF12" s="355"/>
      <c r="AG12" s="355"/>
      <c r="AH12" s="355"/>
      <c r="AI12" s="355"/>
      <c r="AJ12" s="355"/>
    </row>
    <row r="13" spans="1:36" ht="15.75">
      <c r="A13" s="405" t="s">
        <v>549</v>
      </c>
      <c r="B13" s="406">
        <v>1</v>
      </c>
      <c r="C13" s="407">
        <v>45000000</v>
      </c>
      <c r="D13" s="407">
        <v>45000000</v>
      </c>
      <c r="E13" s="407">
        <v>45000000</v>
      </c>
      <c r="F13" s="407">
        <v>45000000</v>
      </c>
      <c r="G13" s="407">
        <v>45000000</v>
      </c>
      <c r="H13" s="407">
        <v>45000000</v>
      </c>
      <c r="I13" s="407">
        <v>45000000</v>
      </c>
      <c r="J13" s="407">
        <v>45000000</v>
      </c>
      <c r="K13" s="407">
        <v>45000000</v>
      </c>
      <c r="L13" s="407">
        <v>45000000</v>
      </c>
      <c r="M13" s="407">
        <v>45000000</v>
      </c>
      <c r="N13" s="407">
        <v>45000000</v>
      </c>
      <c r="O13" s="407" t="s">
        <v>550</v>
      </c>
      <c r="P13" s="407"/>
      <c r="Q13" s="407"/>
      <c r="R13" s="407"/>
      <c r="S13" s="407"/>
      <c r="T13" s="407"/>
      <c r="U13" s="407"/>
      <c r="V13" s="355"/>
      <c r="W13" s="355"/>
      <c r="X13" s="355"/>
      <c r="Y13" s="355"/>
      <c r="Z13" s="355"/>
      <c r="AA13" s="355"/>
      <c r="AB13" s="355"/>
      <c r="AC13" s="355"/>
      <c r="AD13" s="355"/>
      <c r="AE13" s="355"/>
      <c r="AF13" s="355"/>
      <c r="AG13" s="355"/>
      <c r="AH13" s="355"/>
      <c r="AI13" s="355"/>
      <c r="AJ13" s="355"/>
    </row>
    <row r="14" spans="1:36" ht="15.75">
      <c r="A14" s="405" t="s">
        <v>551</v>
      </c>
      <c r="B14" s="406">
        <v>0.7</v>
      </c>
      <c r="C14" s="407">
        <v>0</v>
      </c>
      <c r="D14" s="407">
        <v>0</v>
      </c>
      <c r="E14" s="407">
        <v>0</v>
      </c>
      <c r="F14" s="407">
        <v>0</v>
      </c>
      <c r="G14" s="407">
        <v>260000000</v>
      </c>
      <c r="H14" s="407">
        <v>260000000</v>
      </c>
      <c r="I14" s="407">
        <v>260000000</v>
      </c>
      <c r="J14" s="407">
        <v>260000000</v>
      </c>
      <c r="K14" s="407">
        <v>260000000</v>
      </c>
      <c r="L14" s="407">
        <v>260000000</v>
      </c>
      <c r="M14" s="407">
        <v>260000000</v>
      </c>
      <c r="N14" s="407">
        <v>260000000</v>
      </c>
      <c r="O14" s="407"/>
      <c r="P14" s="407"/>
      <c r="Q14" s="407"/>
      <c r="R14" s="407"/>
      <c r="S14" s="407"/>
      <c r="T14" s="407"/>
      <c r="U14" s="407"/>
      <c r="V14" s="355"/>
      <c r="W14" s="355"/>
      <c r="X14" s="355"/>
      <c r="Y14" s="355"/>
      <c r="Z14" s="355"/>
      <c r="AA14" s="355"/>
      <c r="AB14" s="355"/>
      <c r="AC14" s="355"/>
      <c r="AD14" s="355"/>
      <c r="AE14" s="355"/>
      <c r="AF14" s="355"/>
      <c r="AG14" s="355"/>
      <c r="AH14" s="355"/>
      <c r="AI14" s="355"/>
      <c r="AJ14" s="355"/>
    </row>
    <row r="15" spans="1:36" ht="15.75">
      <c r="A15" s="405" t="s">
        <v>414</v>
      </c>
      <c r="B15" s="406">
        <v>1</v>
      </c>
      <c r="C15" s="407">
        <v>100000000</v>
      </c>
      <c r="D15" s="407">
        <v>100000000</v>
      </c>
      <c r="E15" s="407">
        <v>100000000</v>
      </c>
      <c r="F15" s="408">
        <v>153300000</v>
      </c>
      <c r="G15" s="407">
        <v>153300000</v>
      </c>
      <c r="H15" s="407">
        <v>153300000</v>
      </c>
      <c r="I15" s="407">
        <v>153300000</v>
      </c>
      <c r="J15" s="407">
        <v>153300000</v>
      </c>
      <c r="K15" s="407">
        <v>153300000</v>
      </c>
      <c r="L15" s="407">
        <v>153300000</v>
      </c>
      <c r="M15" s="407">
        <v>153300000</v>
      </c>
      <c r="N15" s="407">
        <v>153300000</v>
      </c>
      <c r="O15" s="408" t="s">
        <v>552</v>
      </c>
      <c r="P15" s="407"/>
      <c r="Q15" s="407"/>
      <c r="R15" s="407"/>
      <c r="S15" s="407"/>
      <c r="T15" s="407"/>
      <c r="U15" s="407"/>
      <c r="V15" s="355"/>
      <c r="W15" s="355"/>
      <c r="X15" s="355"/>
      <c r="Y15" s="355"/>
      <c r="Z15" s="355"/>
      <c r="AA15" s="355"/>
      <c r="AB15" s="355"/>
      <c r="AC15" s="355"/>
      <c r="AD15" s="355" t="s">
        <v>553</v>
      </c>
      <c r="AE15" s="409" t="s">
        <v>554</v>
      </c>
      <c r="AF15" s="409"/>
      <c r="AG15" s="409"/>
      <c r="AH15" s="409"/>
      <c r="AI15" s="409"/>
      <c r="AJ15" s="409"/>
    </row>
    <row r="16" spans="1:36" ht="15.75">
      <c r="A16" s="405" t="s">
        <v>555</v>
      </c>
      <c r="B16" s="406">
        <v>1</v>
      </c>
      <c r="C16" s="407"/>
      <c r="D16" s="407">
        <v>10000000</v>
      </c>
      <c r="E16" s="407">
        <v>10000000</v>
      </c>
      <c r="F16" s="407">
        <v>20000000</v>
      </c>
      <c r="G16" s="407">
        <v>20000000</v>
      </c>
      <c r="H16" s="407">
        <v>20000000</v>
      </c>
      <c r="I16" s="407">
        <v>20000000</v>
      </c>
      <c r="J16" s="407">
        <v>20000000</v>
      </c>
      <c r="K16" s="407">
        <v>20000000</v>
      </c>
      <c r="L16" s="407">
        <v>20000000</v>
      </c>
      <c r="M16" s="407">
        <v>20000000</v>
      </c>
      <c r="N16" s="407">
        <v>20000000</v>
      </c>
      <c r="O16" s="407"/>
      <c r="P16" s="407"/>
      <c r="Q16" s="407"/>
      <c r="R16" s="407"/>
      <c r="S16" s="407"/>
      <c r="T16" s="407"/>
      <c r="U16" s="407"/>
      <c r="V16" s="355"/>
      <c r="W16" s="355"/>
      <c r="X16" s="355"/>
      <c r="Y16" s="355"/>
      <c r="Z16" s="355"/>
      <c r="AA16" s="355"/>
      <c r="AB16" s="355"/>
      <c r="AC16" s="355"/>
      <c r="AD16" s="355"/>
      <c r="AE16" s="409"/>
      <c r="AF16" s="409"/>
      <c r="AG16" s="409"/>
      <c r="AH16" s="409"/>
      <c r="AI16" s="409"/>
      <c r="AJ16" s="409"/>
    </row>
    <row r="17" spans="1:36" ht="15.75">
      <c r="A17" s="405" t="s">
        <v>556</v>
      </c>
      <c r="B17" s="406">
        <v>1</v>
      </c>
      <c r="C17" s="407"/>
      <c r="D17" s="407">
        <v>0</v>
      </c>
      <c r="E17" s="407">
        <v>138000000</v>
      </c>
      <c r="F17" s="407">
        <v>184000000</v>
      </c>
      <c r="G17" s="407">
        <v>184000000</v>
      </c>
      <c r="H17" s="407">
        <v>184000000</v>
      </c>
      <c r="I17" s="407">
        <v>184000000</v>
      </c>
      <c r="J17" s="407">
        <v>184000000</v>
      </c>
      <c r="K17" s="407">
        <v>184000000</v>
      </c>
      <c r="L17" s="407">
        <v>184000000</v>
      </c>
      <c r="M17" s="407">
        <v>184000000</v>
      </c>
      <c r="N17" s="407">
        <v>184000000</v>
      </c>
      <c r="O17" s="355" t="s">
        <v>557</v>
      </c>
      <c r="P17" s="376" t="s">
        <v>424</v>
      </c>
      <c r="Q17" s="355"/>
      <c r="R17" s="355" t="s">
        <v>558</v>
      </c>
      <c r="S17" s="355"/>
      <c r="T17" s="355"/>
      <c r="U17" s="407"/>
      <c r="V17" s="355"/>
      <c r="W17" s="376" t="s">
        <v>559</v>
      </c>
      <c r="X17" s="355"/>
      <c r="Y17" s="355"/>
      <c r="Z17" s="355"/>
      <c r="AA17" s="355"/>
      <c r="AB17" s="355"/>
      <c r="AC17" s="355"/>
      <c r="AD17" s="355"/>
      <c r="AE17" s="409"/>
      <c r="AF17" s="409"/>
      <c r="AG17" s="409"/>
      <c r="AH17" s="409"/>
      <c r="AI17" s="409"/>
      <c r="AJ17" s="409"/>
    </row>
    <row r="18" spans="1:36" ht="15.75">
      <c r="A18" s="410" t="s">
        <v>560</v>
      </c>
      <c r="B18" s="406">
        <v>1</v>
      </c>
      <c r="C18" s="407"/>
      <c r="D18" s="407">
        <v>266666.66666666669</v>
      </c>
      <c r="E18" s="407">
        <v>1600000</v>
      </c>
      <c r="F18" s="407">
        <v>1600000</v>
      </c>
      <c r="G18" s="407">
        <v>1600000</v>
      </c>
      <c r="H18" s="407">
        <v>1600000</v>
      </c>
      <c r="I18" s="407">
        <v>1600000</v>
      </c>
      <c r="J18" s="407">
        <v>1600000</v>
      </c>
      <c r="K18" s="407">
        <v>1600000</v>
      </c>
      <c r="L18" s="407">
        <v>1600000</v>
      </c>
      <c r="M18" s="407">
        <v>1600000</v>
      </c>
      <c r="N18" s="407">
        <v>1600000</v>
      </c>
      <c r="O18" s="407"/>
      <c r="P18" s="407"/>
      <c r="Q18" s="407"/>
      <c r="R18" s="407"/>
      <c r="S18" s="407"/>
      <c r="T18" s="407"/>
      <c r="U18" s="407"/>
      <c r="V18" s="355"/>
      <c r="W18" s="355"/>
      <c r="X18" s="355"/>
      <c r="Y18" s="355"/>
      <c r="Z18" s="355"/>
      <c r="AA18" s="355"/>
      <c r="AB18" s="355"/>
      <c r="AC18" s="355"/>
      <c r="AD18" s="355"/>
      <c r="AE18" s="409"/>
      <c r="AF18" s="409"/>
      <c r="AG18" s="409"/>
      <c r="AH18" s="409"/>
      <c r="AI18" s="409"/>
      <c r="AJ18" s="409"/>
    </row>
    <row r="19" spans="1:36" ht="15.75">
      <c r="A19" s="410" t="s">
        <v>561</v>
      </c>
      <c r="B19" s="406">
        <v>1</v>
      </c>
      <c r="C19" s="407">
        <v>3000000</v>
      </c>
      <c r="D19" s="407">
        <v>3000000</v>
      </c>
      <c r="E19" s="407">
        <v>3000000</v>
      </c>
      <c r="F19" s="407">
        <v>3000000</v>
      </c>
      <c r="G19" s="407">
        <v>3000000</v>
      </c>
      <c r="H19" s="407">
        <v>3000000</v>
      </c>
      <c r="I19" s="407">
        <v>3000000</v>
      </c>
      <c r="J19" s="407">
        <v>3000000</v>
      </c>
      <c r="K19" s="407">
        <v>3000000</v>
      </c>
      <c r="L19" s="407">
        <v>3000000</v>
      </c>
      <c r="M19" s="407">
        <v>3000000</v>
      </c>
      <c r="N19" s="407">
        <v>3000000</v>
      </c>
      <c r="O19" s="407"/>
      <c r="P19" s="407"/>
      <c r="Q19" s="407"/>
      <c r="R19" s="407"/>
      <c r="S19" s="407"/>
      <c r="T19" s="407"/>
      <c r="U19" s="407"/>
      <c r="V19" s="355"/>
      <c r="W19" s="355"/>
      <c r="X19" s="355"/>
      <c r="Y19" s="355"/>
      <c r="Z19" s="355"/>
      <c r="AA19" s="355"/>
      <c r="AB19" s="355"/>
      <c r="AC19" s="355"/>
      <c r="AD19" s="355"/>
      <c r="AE19" s="409"/>
      <c r="AF19" s="409"/>
      <c r="AG19" s="409"/>
      <c r="AH19" s="409"/>
      <c r="AI19" s="409"/>
      <c r="AJ19" s="409"/>
    </row>
    <row r="20" spans="1:36" ht="15.75">
      <c r="A20" s="355"/>
      <c r="B20" s="406"/>
      <c r="C20" s="407"/>
      <c r="D20" s="407"/>
      <c r="E20" s="407"/>
      <c r="F20" s="407"/>
      <c r="G20" s="407"/>
      <c r="H20" s="407"/>
      <c r="I20" s="407"/>
      <c r="J20" s="407"/>
      <c r="K20" s="407"/>
      <c r="L20" s="407"/>
      <c r="M20" s="407"/>
      <c r="N20" s="407"/>
      <c r="O20" s="407"/>
      <c r="P20" s="407"/>
      <c r="Q20" s="407"/>
      <c r="R20" s="407"/>
      <c r="S20" s="407"/>
      <c r="T20" s="407"/>
      <c r="U20" s="407"/>
      <c r="V20" s="355"/>
      <c r="W20" s="355"/>
      <c r="X20" s="355"/>
      <c r="Y20" s="355"/>
      <c r="Z20" s="355"/>
      <c r="AA20" s="355"/>
      <c r="AB20" s="355"/>
      <c r="AC20" s="355"/>
      <c r="AD20" s="355"/>
      <c r="AE20" s="409"/>
      <c r="AF20" s="409"/>
      <c r="AG20" s="409"/>
      <c r="AH20" s="409"/>
      <c r="AI20" s="409"/>
      <c r="AJ20" s="409"/>
    </row>
    <row r="21" spans="1:36" ht="15.75">
      <c r="A21" s="355" t="s">
        <v>197</v>
      </c>
      <c r="B21" s="406"/>
      <c r="C21" s="407">
        <v>528000000</v>
      </c>
      <c r="D21" s="407">
        <v>538266666.66666675</v>
      </c>
      <c r="E21" s="407">
        <v>677600000</v>
      </c>
      <c r="F21" s="407">
        <v>1186900000</v>
      </c>
      <c r="G21" s="407">
        <v>1446900000</v>
      </c>
      <c r="H21" s="407">
        <v>1696900000</v>
      </c>
      <c r="I21" s="407">
        <v>1696900000</v>
      </c>
      <c r="J21" s="407">
        <v>1696900000</v>
      </c>
      <c r="K21" s="407">
        <v>1696900000</v>
      </c>
      <c r="L21" s="407">
        <v>1696900000</v>
      </c>
      <c r="M21" s="407">
        <v>1696900000</v>
      </c>
      <c r="N21" s="407">
        <v>1696900000</v>
      </c>
      <c r="O21" s="407"/>
      <c r="P21" s="407"/>
      <c r="Q21" s="407"/>
      <c r="R21" s="407"/>
      <c r="S21" s="407"/>
      <c r="T21" s="407"/>
      <c r="U21" s="407"/>
      <c r="V21" s="355"/>
      <c r="W21" s="355"/>
      <c r="X21" s="355"/>
      <c r="Y21" s="355"/>
      <c r="Z21" s="355"/>
      <c r="AA21" s="355"/>
      <c r="AB21" s="355"/>
      <c r="AC21" s="355"/>
      <c r="AD21" s="355"/>
      <c r="AE21" s="409"/>
      <c r="AF21" s="409"/>
      <c r="AG21" s="409"/>
      <c r="AH21" s="409"/>
      <c r="AI21" s="409"/>
      <c r="AJ21" s="409"/>
    </row>
    <row r="22" spans="1:36" ht="15.75">
      <c r="A22" s="355"/>
      <c r="B22" s="355"/>
      <c r="C22" s="407">
        <v>735840000</v>
      </c>
      <c r="D22" s="407"/>
      <c r="E22" s="407"/>
      <c r="F22" s="407"/>
      <c r="G22" s="407"/>
      <c r="H22" s="407"/>
      <c r="I22" s="407"/>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55"/>
      <c r="AH22" s="355"/>
      <c r="AI22" s="355"/>
      <c r="AJ22" s="355"/>
    </row>
    <row r="23" spans="1:36" ht="15.75">
      <c r="A23" s="355" t="s">
        <v>562</v>
      </c>
      <c r="B23" s="355"/>
      <c r="C23" s="355"/>
      <c r="D23" s="355"/>
      <c r="E23" s="355"/>
      <c r="F23" s="355"/>
      <c r="G23" s="355"/>
      <c r="H23" s="355"/>
      <c r="I23" s="355"/>
      <c r="J23" s="360">
        <v>2026470000</v>
      </c>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55"/>
      <c r="AH23" s="355"/>
      <c r="AI23" s="355"/>
      <c r="AJ23" s="355"/>
    </row>
    <row r="24" spans="1:36" ht="25.5">
      <c r="A24" s="404"/>
      <c r="B24" s="411" t="s">
        <v>62</v>
      </c>
      <c r="C24" s="404">
        <v>2019</v>
      </c>
      <c r="D24" s="404">
        <v>2020</v>
      </c>
      <c r="E24" s="404">
        <v>2021</v>
      </c>
      <c r="F24" s="404">
        <v>2022</v>
      </c>
      <c r="G24" s="404">
        <v>2023</v>
      </c>
      <c r="H24" s="404">
        <v>2024</v>
      </c>
      <c r="I24" s="404">
        <v>2025</v>
      </c>
      <c r="J24" s="404">
        <v>2026</v>
      </c>
      <c r="K24" s="404">
        <v>2027</v>
      </c>
      <c r="L24" s="404">
        <v>2028</v>
      </c>
      <c r="M24" s="404">
        <v>2029</v>
      </c>
      <c r="N24" s="404">
        <v>2030</v>
      </c>
      <c r="O24" s="355"/>
      <c r="P24" s="355" t="s">
        <v>563</v>
      </c>
      <c r="Q24" s="355" t="s">
        <v>349</v>
      </c>
      <c r="R24" s="355"/>
      <c r="S24" s="355"/>
      <c r="T24" s="355"/>
      <c r="U24" s="355"/>
      <c r="V24" s="355"/>
      <c r="W24" s="355"/>
      <c r="X24" s="355"/>
      <c r="Y24" s="355"/>
      <c r="Z24" s="355"/>
      <c r="AA24" s="355"/>
      <c r="AB24" s="355"/>
      <c r="AC24" s="355"/>
      <c r="AD24" s="355"/>
      <c r="AE24" s="355"/>
      <c r="AF24" s="355"/>
      <c r="AG24" s="355"/>
      <c r="AH24" s="355"/>
      <c r="AI24" s="355"/>
      <c r="AJ24" s="355"/>
    </row>
    <row r="25" spans="1:36" ht="15.75">
      <c r="A25" s="405"/>
      <c r="B25" s="406"/>
      <c r="C25" s="407"/>
      <c r="D25" s="407"/>
      <c r="E25" s="407"/>
      <c r="F25" s="407"/>
      <c r="G25" s="407"/>
      <c r="H25" s="407"/>
      <c r="I25" s="407"/>
      <c r="J25" s="407"/>
      <c r="K25" s="407"/>
      <c r="L25" s="407"/>
      <c r="M25" s="407"/>
      <c r="N25" s="407"/>
      <c r="O25" s="355"/>
      <c r="P25" s="355"/>
      <c r="Q25" s="355"/>
      <c r="R25" s="355"/>
      <c r="S25" s="355"/>
      <c r="T25" s="355"/>
      <c r="U25" s="355"/>
      <c r="V25" s="355"/>
      <c r="W25" s="355"/>
      <c r="X25" s="355"/>
      <c r="Y25" s="355"/>
      <c r="Z25" s="355"/>
      <c r="AA25" s="355"/>
      <c r="AB25" s="355"/>
      <c r="AC25" s="355"/>
      <c r="AD25" s="355"/>
      <c r="AE25" s="355"/>
      <c r="AF25" s="355"/>
      <c r="AG25" s="355"/>
      <c r="AH25" s="355"/>
      <c r="AI25" s="355"/>
      <c r="AJ25" s="355"/>
    </row>
    <row r="26" spans="1:36" ht="15.75">
      <c r="A26" s="410" t="s">
        <v>564</v>
      </c>
      <c r="B26" s="406">
        <v>0.5</v>
      </c>
      <c r="C26" s="407"/>
      <c r="D26" s="407"/>
      <c r="E26" s="355">
        <v>0</v>
      </c>
      <c r="F26" s="355">
        <v>0</v>
      </c>
      <c r="G26" s="407">
        <v>100000000</v>
      </c>
      <c r="H26" s="407">
        <v>100000000</v>
      </c>
      <c r="I26" s="407">
        <v>100000000</v>
      </c>
      <c r="J26" s="407">
        <v>100000000</v>
      </c>
      <c r="K26" s="407">
        <v>100000000</v>
      </c>
      <c r="L26" s="407">
        <v>100000000</v>
      </c>
      <c r="M26" s="407">
        <v>100000000</v>
      </c>
      <c r="N26" s="407">
        <v>100000000</v>
      </c>
      <c r="O26" s="355"/>
      <c r="P26" s="355" t="s">
        <v>565</v>
      </c>
      <c r="Q26" s="407" t="s">
        <v>566</v>
      </c>
      <c r="R26" s="412">
        <v>100000000</v>
      </c>
      <c r="S26" s="412">
        <v>100000000</v>
      </c>
      <c r="T26" s="412">
        <v>100000000</v>
      </c>
      <c r="U26" s="412">
        <v>100000000</v>
      </c>
      <c r="V26" s="412">
        <v>100000000</v>
      </c>
      <c r="W26" s="412">
        <v>100000000</v>
      </c>
      <c r="X26" s="412">
        <v>100000000</v>
      </c>
      <c r="Y26" s="412">
        <v>100000000</v>
      </c>
      <c r="Z26" s="412">
        <v>100000000</v>
      </c>
      <c r="AA26" s="412">
        <v>100000000</v>
      </c>
      <c r="AB26" s="413" t="s">
        <v>567</v>
      </c>
      <c r="AC26" s="355"/>
      <c r="AD26" s="355"/>
      <c r="AE26" s="355"/>
      <c r="AF26" s="355"/>
      <c r="AG26" s="355"/>
      <c r="AH26" s="355"/>
      <c r="AI26" s="355"/>
      <c r="AJ26" s="355"/>
    </row>
    <row r="27" spans="1:36" ht="15.75">
      <c r="A27" s="410" t="s">
        <v>568</v>
      </c>
      <c r="B27" s="406">
        <v>0</v>
      </c>
      <c r="C27" s="407"/>
      <c r="D27" s="407"/>
      <c r="E27" s="355">
        <v>0</v>
      </c>
      <c r="F27" s="355">
        <v>0</v>
      </c>
      <c r="G27" s="355">
        <v>0</v>
      </c>
      <c r="H27" s="355">
        <v>0</v>
      </c>
      <c r="I27" s="355">
        <v>0</v>
      </c>
      <c r="J27" s="355">
        <v>0</v>
      </c>
      <c r="K27" s="355">
        <v>0</v>
      </c>
      <c r="L27" s="355">
        <v>0</v>
      </c>
      <c r="M27" s="355">
        <v>0</v>
      </c>
      <c r="N27" s="355">
        <v>0</v>
      </c>
      <c r="O27" s="355"/>
      <c r="P27" s="355" t="s">
        <v>565</v>
      </c>
      <c r="Q27" s="407" t="s">
        <v>566</v>
      </c>
      <c r="R27" s="412">
        <v>50000000</v>
      </c>
      <c r="S27" s="412">
        <v>50000000</v>
      </c>
      <c r="T27" s="412">
        <v>50000000</v>
      </c>
      <c r="U27" s="412">
        <v>50000000</v>
      </c>
      <c r="V27" s="412">
        <v>50000000</v>
      </c>
      <c r="W27" s="412">
        <v>50000000</v>
      </c>
      <c r="X27" s="412">
        <v>50000000</v>
      </c>
      <c r="Y27" s="412">
        <v>50000000</v>
      </c>
      <c r="Z27" s="412">
        <v>50000000</v>
      </c>
      <c r="AA27" s="412">
        <v>50000000</v>
      </c>
      <c r="AB27" s="412" t="s">
        <v>567</v>
      </c>
      <c r="AC27" s="355"/>
      <c r="AD27" s="355"/>
      <c r="AE27" s="355"/>
      <c r="AF27" s="355"/>
      <c r="AG27" s="355"/>
      <c r="AH27" s="355"/>
      <c r="AI27" s="355"/>
      <c r="AJ27" s="355"/>
    </row>
    <row r="28" spans="1:36" ht="18">
      <c r="A28" s="410" t="s">
        <v>569</v>
      </c>
      <c r="B28" s="406">
        <v>0.05</v>
      </c>
      <c r="C28" s="407"/>
      <c r="D28" s="407"/>
      <c r="E28" s="407"/>
      <c r="F28" s="407">
        <v>275000000</v>
      </c>
      <c r="G28" s="407">
        <v>550000000</v>
      </c>
      <c r="H28" s="407">
        <v>550000000</v>
      </c>
      <c r="I28" s="414">
        <v>550000000</v>
      </c>
      <c r="J28" s="407">
        <v>550000000</v>
      </c>
      <c r="K28" s="407">
        <v>550000000</v>
      </c>
      <c r="L28" s="407">
        <v>550000000</v>
      </c>
      <c r="M28" s="407">
        <v>550000000</v>
      </c>
      <c r="N28" s="407">
        <v>550000000</v>
      </c>
      <c r="O28" s="407"/>
      <c r="P28" s="407"/>
      <c r="Q28" s="355" t="s">
        <v>570</v>
      </c>
      <c r="R28" s="415" t="s">
        <v>571</v>
      </c>
      <c r="S28" s="407"/>
      <c r="T28" s="407"/>
      <c r="U28" s="407"/>
      <c r="V28" s="407"/>
      <c r="W28" s="355"/>
      <c r="X28" s="376" t="s">
        <v>572</v>
      </c>
      <c r="Y28" s="355"/>
      <c r="Z28" s="355"/>
      <c r="AA28" s="355"/>
      <c r="AB28" s="355"/>
      <c r="AC28" s="355"/>
      <c r="AD28" s="355"/>
      <c r="AE28" s="355"/>
      <c r="AF28" s="355"/>
      <c r="AG28" s="355"/>
      <c r="AH28" s="355"/>
      <c r="AI28" s="355"/>
      <c r="AJ28" s="355"/>
    </row>
    <row r="29" spans="1:36" ht="15.75">
      <c r="A29" s="410" t="s">
        <v>573</v>
      </c>
      <c r="B29" s="406">
        <v>0.01</v>
      </c>
      <c r="C29" s="407"/>
      <c r="D29" s="407"/>
      <c r="E29" s="407">
        <v>0</v>
      </c>
      <c r="F29" s="407">
        <v>0</v>
      </c>
      <c r="G29" s="407">
        <v>36000000</v>
      </c>
      <c r="H29" s="407">
        <v>36000000</v>
      </c>
      <c r="I29" s="407">
        <v>36000000</v>
      </c>
      <c r="J29" s="407">
        <v>36000000</v>
      </c>
      <c r="K29" s="407">
        <v>36000000</v>
      </c>
      <c r="L29" s="407">
        <v>36000000</v>
      </c>
      <c r="M29" s="407">
        <v>36000000</v>
      </c>
      <c r="N29" s="407">
        <v>36000000</v>
      </c>
      <c r="O29" s="407"/>
      <c r="P29" s="407" t="s">
        <v>149</v>
      </c>
      <c r="Q29" s="407" t="s">
        <v>574</v>
      </c>
      <c r="R29" s="407"/>
      <c r="S29" s="407"/>
      <c r="T29" s="407"/>
      <c r="U29" s="407"/>
      <c r="V29" s="407"/>
      <c r="W29" s="355"/>
      <c r="X29" s="355"/>
      <c r="Y29" s="355"/>
      <c r="Z29" s="355"/>
      <c r="AA29" s="355"/>
      <c r="AB29" s="355"/>
      <c r="AC29" s="355"/>
      <c r="AD29" s="355"/>
      <c r="AE29" s="355"/>
      <c r="AF29" s="355"/>
      <c r="AG29" s="355"/>
      <c r="AH29" s="355"/>
      <c r="AI29" s="355"/>
      <c r="AJ29" s="355"/>
    </row>
    <row r="30" spans="1:36" ht="15.75">
      <c r="A30" s="410" t="s">
        <v>575</v>
      </c>
      <c r="B30" s="406">
        <v>0.9</v>
      </c>
      <c r="C30" s="407"/>
      <c r="D30" s="407"/>
      <c r="E30" s="407">
        <v>0</v>
      </c>
      <c r="F30" s="407">
        <v>68750000</v>
      </c>
      <c r="G30" s="407">
        <v>125000000</v>
      </c>
      <c r="H30" s="407">
        <v>125000000</v>
      </c>
      <c r="I30" s="414">
        <v>125000000</v>
      </c>
      <c r="J30" s="407">
        <v>125000000</v>
      </c>
      <c r="K30" s="407">
        <v>125000000</v>
      </c>
      <c r="L30" s="407">
        <v>125000000</v>
      </c>
      <c r="M30" s="407">
        <v>125000000</v>
      </c>
      <c r="N30" s="407">
        <v>125000000</v>
      </c>
      <c r="O30" s="407" t="s">
        <v>110</v>
      </c>
      <c r="P30" s="407"/>
      <c r="Q30" s="407" t="s">
        <v>566</v>
      </c>
      <c r="R30" s="407"/>
      <c r="S30" s="407"/>
      <c r="T30" s="407"/>
      <c r="U30" s="407"/>
      <c r="V30" s="407"/>
      <c r="W30" s="355"/>
      <c r="X30" s="355"/>
      <c r="Y30" s="355"/>
      <c r="Z30" s="355"/>
      <c r="AA30" s="355"/>
      <c r="AB30" s="355"/>
      <c r="AC30" s="355"/>
      <c r="AD30" s="355"/>
      <c r="AE30" s="355"/>
      <c r="AF30" s="355"/>
      <c r="AG30" s="355"/>
      <c r="AH30" s="355"/>
      <c r="AI30" s="355"/>
      <c r="AJ30" s="355"/>
    </row>
    <row r="31" spans="1:36" ht="15.75">
      <c r="A31" s="410" t="s">
        <v>576</v>
      </c>
      <c r="B31" s="406">
        <v>1</v>
      </c>
      <c r="C31" s="407"/>
      <c r="D31" s="407"/>
      <c r="E31" s="407">
        <v>2750000</v>
      </c>
      <c r="F31" s="407">
        <v>11000000</v>
      </c>
      <c r="G31" s="407">
        <v>11000000</v>
      </c>
      <c r="H31" s="407">
        <v>11000000</v>
      </c>
      <c r="I31" s="414">
        <v>11000000</v>
      </c>
      <c r="J31" s="407">
        <v>11000000</v>
      </c>
      <c r="K31" s="407">
        <v>11000000</v>
      </c>
      <c r="L31" s="407">
        <v>11000000</v>
      </c>
      <c r="M31" s="407">
        <v>11000000</v>
      </c>
      <c r="N31" s="407">
        <v>11000000</v>
      </c>
      <c r="O31" s="407"/>
      <c r="P31" s="407"/>
      <c r="Q31" s="407" t="s">
        <v>577</v>
      </c>
      <c r="R31" s="407"/>
      <c r="S31" s="407"/>
      <c r="T31" s="407"/>
      <c r="U31" s="407"/>
      <c r="V31" s="407"/>
      <c r="W31" s="355"/>
      <c r="X31" s="355"/>
      <c r="Y31" s="355"/>
      <c r="Z31" s="355"/>
      <c r="AA31" s="355"/>
      <c r="AB31" s="355"/>
      <c r="AC31" s="355"/>
      <c r="AD31" s="355"/>
      <c r="AE31" s="355"/>
      <c r="AF31" s="355"/>
      <c r="AG31" s="355"/>
      <c r="AH31" s="355"/>
      <c r="AI31" s="355"/>
      <c r="AJ31" s="355"/>
    </row>
    <row r="32" spans="1:36" ht="15.75">
      <c r="A32" s="410" t="s">
        <v>578</v>
      </c>
      <c r="B32" s="406">
        <v>0.01</v>
      </c>
      <c r="C32" s="407"/>
      <c r="D32" s="407"/>
      <c r="E32" s="407">
        <v>0</v>
      </c>
      <c r="F32" s="407">
        <v>0</v>
      </c>
      <c r="G32" s="407">
        <v>0</v>
      </c>
      <c r="H32" s="407">
        <v>0</v>
      </c>
      <c r="I32" s="407">
        <v>0</v>
      </c>
      <c r="J32" s="407">
        <v>0</v>
      </c>
      <c r="K32" s="407">
        <v>0</v>
      </c>
      <c r="L32" s="407">
        <v>0</v>
      </c>
      <c r="M32" s="407">
        <v>0</v>
      </c>
      <c r="N32" s="407">
        <v>0</v>
      </c>
      <c r="O32" s="407"/>
      <c r="P32" s="407"/>
      <c r="Q32" s="407" t="s">
        <v>577</v>
      </c>
      <c r="R32" s="407"/>
      <c r="S32" s="407"/>
      <c r="T32" s="407"/>
      <c r="U32" s="407"/>
      <c r="V32" s="407"/>
      <c r="W32" s="355"/>
      <c r="X32" s="355"/>
      <c r="Y32" s="355"/>
      <c r="Z32" s="355"/>
      <c r="AA32" s="355"/>
      <c r="AB32" s="355"/>
      <c r="AC32" s="355"/>
      <c r="AD32" s="355"/>
      <c r="AE32" s="355"/>
      <c r="AF32" s="355"/>
      <c r="AG32" s="355"/>
      <c r="AH32" s="355"/>
      <c r="AI32" s="355"/>
      <c r="AJ32" s="355"/>
    </row>
    <row r="33" spans="1:24" ht="15.75">
      <c r="A33" s="410" t="s">
        <v>579</v>
      </c>
      <c r="B33" s="406">
        <v>0.9</v>
      </c>
      <c r="C33" s="407"/>
      <c r="D33" s="407"/>
      <c r="E33" s="407">
        <v>0</v>
      </c>
      <c r="F33" s="407">
        <v>67500000</v>
      </c>
      <c r="G33" s="407">
        <v>90000000</v>
      </c>
      <c r="H33" s="407">
        <v>90000000</v>
      </c>
      <c r="I33" s="414">
        <v>90000000</v>
      </c>
      <c r="J33" s="407">
        <v>90000000</v>
      </c>
      <c r="K33" s="407">
        <v>90000000</v>
      </c>
      <c r="L33" s="407">
        <v>90000000</v>
      </c>
      <c r="M33" s="407">
        <v>90000000</v>
      </c>
      <c r="N33" s="407">
        <v>90000000</v>
      </c>
      <c r="O33" s="407" t="s">
        <v>110</v>
      </c>
      <c r="P33" s="407"/>
      <c r="Q33" s="407" t="s">
        <v>566</v>
      </c>
      <c r="R33" s="407"/>
      <c r="S33" s="407"/>
      <c r="T33" s="407"/>
      <c r="U33" s="407"/>
      <c r="V33" s="407"/>
      <c r="W33" s="355"/>
      <c r="X33" s="355"/>
    </row>
    <row r="34" spans="1:24" ht="15.75">
      <c r="A34" s="410" t="s">
        <v>580</v>
      </c>
      <c r="B34" s="406">
        <v>0.75</v>
      </c>
      <c r="C34" s="407"/>
      <c r="D34" s="407"/>
      <c r="E34" s="407">
        <v>25000000</v>
      </c>
      <c r="F34" s="407">
        <v>100000000</v>
      </c>
      <c r="G34" s="407">
        <v>100000000</v>
      </c>
      <c r="H34" s="407">
        <v>100000000</v>
      </c>
      <c r="I34" s="414">
        <v>100000000</v>
      </c>
      <c r="J34" s="407">
        <v>100000000</v>
      </c>
      <c r="K34" s="407">
        <v>100000000</v>
      </c>
      <c r="L34" s="407">
        <v>100000000</v>
      </c>
      <c r="M34" s="407">
        <v>100000000</v>
      </c>
      <c r="N34" s="407">
        <v>100000000</v>
      </c>
      <c r="O34" s="407"/>
      <c r="P34" s="407"/>
      <c r="Q34" s="407" t="s">
        <v>581</v>
      </c>
      <c r="R34" s="407" t="s">
        <v>582</v>
      </c>
      <c r="S34" s="407"/>
      <c r="T34" s="407"/>
      <c r="U34" s="407"/>
      <c r="V34" s="407"/>
      <c r="W34" s="355"/>
      <c r="X34" s="355"/>
    </row>
    <row r="35" spans="1:24" ht="15.75">
      <c r="A35" s="410" t="s">
        <v>583</v>
      </c>
      <c r="B35" s="406">
        <v>0.5</v>
      </c>
      <c r="C35" s="407"/>
      <c r="D35" s="407"/>
      <c r="E35" s="407">
        <v>0</v>
      </c>
      <c r="F35" s="407">
        <v>75000000</v>
      </c>
      <c r="G35" s="407">
        <v>150000000</v>
      </c>
      <c r="H35" s="407">
        <v>150000000</v>
      </c>
      <c r="I35" s="414">
        <v>150000000</v>
      </c>
      <c r="J35" s="407">
        <v>150000000</v>
      </c>
      <c r="K35" s="407">
        <v>150000000</v>
      </c>
      <c r="L35" s="407">
        <v>150000000</v>
      </c>
      <c r="M35" s="407">
        <v>150000000</v>
      </c>
      <c r="N35" s="407">
        <v>150000000</v>
      </c>
      <c r="O35" s="407"/>
      <c r="P35" s="407"/>
      <c r="Q35" s="407"/>
      <c r="R35" s="407"/>
      <c r="S35" s="407"/>
      <c r="T35" s="407"/>
      <c r="U35" s="407"/>
      <c r="V35" s="407"/>
      <c r="W35" s="355"/>
      <c r="X35" s="355"/>
    </row>
    <row r="36" spans="1:24" ht="15.75">
      <c r="A36" s="410" t="s">
        <v>584</v>
      </c>
      <c r="B36" s="406">
        <v>0.8</v>
      </c>
      <c r="C36" s="407"/>
      <c r="D36" s="407"/>
      <c r="E36" s="407">
        <v>0</v>
      </c>
      <c r="F36" s="407">
        <v>63750000</v>
      </c>
      <c r="G36" s="407">
        <v>85000000</v>
      </c>
      <c r="H36" s="407">
        <v>85000000</v>
      </c>
      <c r="I36" s="407">
        <v>85000000</v>
      </c>
      <c r="J36" s="407">
        <v>85000000</v>
      </c>
      <c r="K36" s="407">
        <v>85000000</v>
      </c>
      <c r="L36" s="407">
        <v>85000000</v>
      </c>
      <c r="M36" s="407">
        <v>85000000</v>
      </c>
      <c r="N36" s="407">
        <v>85000000</v>
      </c>
      <c r="O36" s="407"/>
      <c r="P36" s="407"/>
      <c r="Q36" s="407" t="s">
        <v>342</v>
      </c>
      <c r="R36" s="407"/>
      <c r="S36" s="407"/>
      <c r="T36" s="407"/>
      <c r="U36" s="407"/>
      <c r="V36" s="407"/>
      <c r="W36" s="355"/>
      <c r="X36" s="355"/>
    </row>
    <row r="37" spans="1:24" ht="15.75">
      <c r="A37" s="410" t="s">
        <v>585</v>
      </c>
      <c r="B37" s="406">
        <v>0.75</v>
      </c>
      <c r="C37" s="407"/>
      <c r="D37" s="407"/>
      <c r="E37" s="407">
        <v>0</v>
      </c>
      <c r="F37" s="407">
        <v>86870000</v>
      </c>
      <c r="G37" s="407">
        <v>260610000</v>
      </c>
      <c r="H37" s="407">
        <v>260610000</v>
      </c>
      <c r="I37" s="407">
        <v>260610000</v>
      </c>
      <c r="J37" s="407">
        <v>260610000</v>
      </c>
      <c r="K37" s="407">
        <v>260610000</v>
      </c>
      <c r="L37" s="407">
        <v>260610000</v>
      </c>
      <c r="M37" s="407">
        <v>260610000</v>
      </c>
      <c r="N37" s="407">
        <v>260610000</v>
      </c>
      <c r="O37" s="408" t="s">
        <v>586</v>
      </c>
      <c r="P37" s="407"/>
      <c r="Q37" s="407" t="s">
        <v>566</v>
      </c>
      <c r="R37" s="355"/>
      <c r="S37" s="355"/>
      <c r="T37" s="355"/>
      <c r="U37" s="355"/>
      <c r="V37" s="355"/>
      <c r="W37" s="355"/>
      <c r="X37" s="355"/>
    </row>
    <row r="38" spans="1:24" ht="15.75">
      <c r="A38" s="410" t="s">
        <v>587</v>
      </c>
      <c r="B38" s="406">
        <v>0.5</v>
      </c>
      <c r="C38" s="407"/>
      <c r="D38" s="407"/>
      <c r="E38" s="407">
        <v>0</v>
      </c>
      <c r="F38" s="407">
        <v>0</v>
      </c>
      <c r="G38" s="407">
        <v>0</v>
      </c>
      <c r="H38" s="407">
        <v>356422500</v>
      </c>
      <c r="I38" s="407">
        <v>475230000</v>
      </c>
      <c r="J38" s="407">
        <v>475230000</v>
      </c>
      <c r="K38" s="407">
        <v>475230000</v>
      </c>
      <c r="L38" s="407">
        <v>475230000</v>
      </c>
      <c r="M38" s="407">
        <v>475230000</v>
      </c>
      <c r="N38" s="407">
        <v>475230000</v>
      </c>
      <c r="O38" s="408"/>
      <c r="P38" s="407"/>
      <c r="Q38" s="407"/>
      <c r="R38" s="355"/>
      <c r="S38" s="355"/>
      <c r="T38" s="355"/>
      <c r="U38" s="355"/>
      <c r="V38" s="355"/>
      <c r="W38" s="355"/>
      <c r="X38" s="355"/>
    </row>
    <row r="39" spans="1:24" ht="15.75">
      <c r="A39" s="410" t="s">
        <v>588</v>
      </c>
      <c r="B39" s="374">
        <v>0.65</v>
      </c>
      <c r="C39" s="355"/>
      <c r="D39" s="355"/>
      <c r="E39" s="407">
        <v>0</v>
      </c>
      <c r="F39" s="407">
        <v>105000000</v>
      </c>
      <c r="G39" s="407">
        <v>210000000</v>
      </c>
      <c r="H39" s="407">
        <v>210000000</v>
      </c>
      <c r="I39" s="407">
        <v>210000000</v>
      </c>
      <c r="J39" s="407">
        <v>210000000</v>
      </c>
      <c r="K39" s="407">
        <v>210000000</v>
      </c>
      <c r="L39" s="407">
        <v>210000000</v>
      </c>
      <c r="M39" s="407">
        <v>210000000</v>
      </c>
      <c r="N39" s="407">
        <v>210000000</v>
      </c>
      <c r="O39" s="416" t="s">
        <v>589</v>
      </c>
      <c r="P39" s="416"/>
      <c r="Q39" s="407" t="s">
        <v>590</v>
      </c>
      <c r="R39" s="407"/>
      <c r="S39" s="407"/>
      <c r="T39" s="407"/>
      <c r="U39" s="407"/>
      <c r="V39" s="407"/>
      <c r="W39" s="355"/>
      <c r="X39" s="355"/>
    </row>
    <row r="40" spans="1:24" ht="15.75">
      <c r="A40" s="410" t="s">
        <v>591</v>
      </c>
      <c r="B40" s="406">
        <v>0.8</v>
      </c>
      <c r="C40" s="407"/>
      <c r="D40" s="407"/>
      <c r="E40" s="407"/>
      <c r="F40" s="407">
        <v>0</v>
      </c>
      <c r="G40" s="407">
        <v>0</v>
      </c>
      <c r="H40" s="407">
        <v>319284000</v>
      </c>
      <c r="I40" s="414">
        <v>643860000</v>
      </c>
      <c r="J40" s="414">
        <v>643860000</v>
      </c>
      <c r="K40" s="414">
        <v>643860000</v>
      </c>
      <c r="L40" s="414">
        <v>643860000</v>
      </c>
      <c r="M40" s="414">
        <v>643860000</v>
      </c>
      <c r="N40" s="414">
        <v>643860000</v>
      </c>
      <c r="O40" s="407" t="s">
        <v>592</v>
      </c>
      <c r="P40" s="407"/>
      <c r="Q40" s="407" t="s">
        <v>566</v>
      </c>
      <c r="R40" s="417" t="s">
        <v>593</v>
      </c>
      <c r="S40" s="407"/>
      <c r="T40" s="407"/>
      <c r="U40" s="407"/>
      <c r="V40" s="407"/>
      <c r="W40" s="355"/>
      <c r="X40" s="376" t="s">
        <v>594</v>
      </c>
    </row>
    <row r="41" spans="1:24" ht="15.75">
      <c r="A41" s="410" t="s">
        <v>595</v>
      </c>
      <c r="B41" s="406">
        <v>0.98</v>
      </c>
      <c r="C41" s="407"/>
      <c r="D41" s="407"/>
      <c r="E41" s="407">
        <v>51100000</v>
      </c>
      <c r="F41" s="407">
        <v>122640000</v>
      </c>
      <c r="G41" s="407">
        <v>120000000</v>
      </c>
      <c r="H41" s="407">
        <v>120000000</v>
      </c>
      <c r="I41" s="407">
        <v>120000000</v>
      </c>
      <c r="J41" s="407">
        <v>120000000</v>
      </c>
      <c r="K41" s="407">
        <v>120000000</v>
      </c>
      <c r="L41" s="407">
        <v>120000000</v>
      </c>
      <c r="M41" s="407">
        <v>120000000</v>
      </c>
      <c r="N41" s="407">
        <v>120000000</v>
      </c>
      <c r="O41" s="407"/>
      <c r="P41" s="407"/>
      <c r="Q41" s="407"/>
      <c r="R41" s="417"/>
      <c r="S41" s="407"/>
      <c r="T41" s="407"/>
      <c r="U41" s="407"/>
      <c r="V41" s="407"/>
      <c r="W41" s="355"/>
      <c r="X41" s="376"/>
    </row>
    <row r="42" spans="1:24" ht="15.75">
      <c r="A42" s="410" t="s">
        <v>596</v>
      </c>
      <c r="B42" s="406">
        <v>0.01</v>
      </c>
      <c r="C42" s="407"/>
      <c r="D42" s="407"/>
      <c r="E42" s="407">
        <v>0</v>
      </c>
      <c r="F42" s="407">
        <v>8000000</v>
      </c>
      <c r="G42" s="407">
        <v>16100000</v>
      </c>
      <c r="H42" s="407">
        <v>16100000</v>
      </c>
      <c r="I42" s="407">
        <v>16100000</v>
      </c>
      <c r="J42" s="407">
        <v>16100000</v>
      </c>
      <c r="K42" s="407">
        <v>16100000</v>
      </c>
      <c r="L42" s="407">
        <v>16100000</v>
      </c>
      <c r="M42" s="407">
        <v>16100000</v>
      </c>
      <c r="N42" s="407">
        <v>16100000</v>
      </c>
      <c r="O42" s="407"/>
      <c r="P42" s="407"/>
      <c r="Q42" s="407"/>
      <c r="R42" s="417"/>
      <c r="S42" s="407"/>
      <c r="T42" s="407"/>
      <c r="U42" s="407"/>
      <c r="V42" s="407"/>
      <c r="W42" s="355"/>
      <c r="X42" s="376"/>
    </row>
    <row r="43" spans="1:24" ht="15.75">
      <c r="A43" s="410" t="s">
        <v>597</v>
      </c>
      <c r="B43" s="406">
        <v>0.35</v>
      </c>
      <c r="C43" s="407"/>
      <c r="D43" s="407"/>
      <c r="E43" s="407"/>
      <c r="F43" s="407">
        <v>5000000</v>
      </c>
      <c r="G43" s="407">
        <v>10000000</v>
      </c>
      <c r="H43" s="407">
        <v>10000000</v>
      </c>
      <c r="I43" s="407">
        <v>10000000</v>
      </c>
      <c r="J43" s="407">
        <v>10000000</v>
      </c>
      <c r="K43" s="407">
        <v>10000000</v>
      </c>
      <c r="L43" s="407">
        <v>10000000</v>
      </c>
      <c r="M43" s="407">
        <v>10000000</v>
      </c>
      <c r="N43" s="407">
        <v>10000000</v>
      </c>
      <c r="O43" s="407"/>
      <c r="P43" s="407"/>
      <c r="Q43" s="407"/>
      <c r="R43" s="417"/>
      <c r="S43" s="407"/>
      <c r="T43" s="407"/>
      <c r="U43" s="407"/>
      <c r="V43" s="407"/>
      <c r="W43" s="355"/>
      <c r="X43" s="376"/>
    </row>
    <row r="44" spans="1:24" ht="15.75">
      <c r="A44" s="410"/>
      <c r="B44" s="406"/>
      <c r="C44" s="407"/>
      <c r="D44" s="407"/>
      <c r="E44" s="407"/>
      <c r="F44" s="407"/>
      <c r="G44" s="407"/>
      <c r="H44" s="407"/>
      <c r="I44" s="407"/>
      <c r="J44" s="407"/>
      <c r="K44" s="407"/>
      <c r="L44" s="407"/>
      <c r="M44" s="407"/>
      <c r="N44" s="407"/>
      <c r="O44" s="407"/>
      <c r="P44" s="407"/>
      <c r="Q44" s="407"/>
      <c r="R44" s="417"/>
      <c r="S44" s="407"/>
      <c r="T44" s="407"/>
      <c r="U44" s="407"/>
      <c r="V44" s="407"/>
      <c r="W44" s="355"/>
      <c r="X44" s="376"/>
    </row>
    <row r="45" spans="1:24" ht="15.75">
      <c r="A45" s="410" t="s">
        <v>598</v>
      </c>
      <c r="B45" s="406">
        <v>0.25</v>
      </c>
      <c r="C45" s="407"/>
      <c r="D45" s="407"/>
      <c r="E45" s="407">
        <v>0</v>
      </c>
      <c r="F45" s="407">
        <v>0</v>
      </c>
      <c r="G45" s="407">
        <v>0</v>
      </c>
      <c r="H45" s="407">
        <v>0</v>
      </c>
      <c r="I45" s="407">
        <v>0</v>
      </c>
      <c r="J45" s="407">
        <v>0</v>
      </c>
      <c r="K45" s="407">
        <v>0</v>
      </c>
      <c r="L45" s="407">
        <v>0</v>
      </c>
      <c r="M45" s="407">
        <v>0</v>
      </c>
      <c r="N45" s="407">
        <v>0</v>
      </c>
      <c r="O45" s="407"/>
      <c r="P45" s="407"/>
      <c r="Q45" s="407"/>
      <c r="R45" s="417"/>
      <c r="S45" s="407"/>
      <c r="T45" s="407"/>
      <c r="U45" s="407"/>
      <c r="V45" s="407"/>
      <c r="W45" s="355"/>
      <c r="X45" s="376"/>
    </row>
    <row r="46" spans="1:24" ht="15.75">
      <c r="A46" s="410" t="s">
        <v>486</v>
      </c>
      <c r="B46" s="406">
        <v>0.15</v>
      </c>
      <c r="C46" s="407"/>
      <c r="D46" s="407"/>
      <c r="E46" s="407">
        <v>0</v>
      </c>
      <c r="F46" s="407">
        <v>0</v>
      </c>
      <c r="G46" s="407">
        <v>0</v>
      </c>
      <c r="H46" s="407">
        <v>0</v>
      </c>
      <c r="I46" s="407">
        <v>0</v>
      </c>
      <c r="J46" s="407">
        <v>0</v>
      </c>
      <c r="K46" s="407">
        <v>0</v>
      </c>
      <c r="L46" s="407">
        <v>0</v>
      </c>
      <c r="M46" s="407">
        <v>0</v>
      </c>
      <c r="N46" s="407">
        <v>0</v>
      </c>
      <c r="O46" s="407"/>
      <c r="P46" s="407"/>
      <c r="Q46" s="407"/>
      <c r="R46" s="417"/>
      <c r="S46" s="407"/>
      <c r="T46" s="407"/>
      <c r="U46" s="407"/>
      <c r="V46" s="407"/>
      <c r="W46" s="355"/>
      <c r="X46" s="376"/>
    </row>
    <row r="47" spans="1:24" ht="15.75">
      <c r="A47" s="410" t="s">
        <v>599</v>
      </c>
      <c r="B47" s="406">
        <v>0.9</v>
      </c>
      <c r="C47" s="407"/>
      <c r="D47" s="407"/>
      <c r="E47" s="407">
        <v>0</v>
      </c>
      <c r="F47" s="407">
        <v>0</v>
      </c>
      <c r="G47" s="407">
        <v>235000000</v>
      </c>
      <c r="H47" s="407">
        <v>470000000</v>
      </c>
      <c r="I47" s="407">
        <v>470000000</v>
      </c>
      <c r="J47" s="407">
        <v>470000000</v>
      </c>
      <c r="K47" s="407">
        <v>470000000</v>
      </c>
      <c r="L47" s="407">
        <v>470000000</v>
      </c>
      <c r="M47" s="407">
        <v>470000000</v>
      </c>
      <c r="N47" s="407">
        <v>470000000</v>
      </c>
      <c r="O47" s="407"/>
      <c r="P47" s="407" t="s">
        <v>600</v>
      </c>
      <c r="Q47" s="407"/>
      <c r="R47" s="417"/>
      <c r="S47" s="407"/>
      <c r="T47" s="407"/>
      <c r="U47" s="407"/>
      <c r="V47" s="407"/>
      <c r="W47" s="355"/>
      <c r="X47" s="376"/>
    </row>
    <row r="48" spans="1:24" ht="15.75">
      <c r="A48" s="410" t="s">
        <v>601</v>
      </c>
      <c r="B48" s="406">
        <v>0.7</v>
      </c>
      <c r="C48" s="355"/>
      <c r="D48" s="355"/>
      <c r="E48" s="407"/>
      <c r="F48" s="407"/>
      <c r="G48" s="407"/>
      <c r="H48" s="407"/>
      <c r="I48" s="407"/>
      <c r="J48" s="407"/>
      <c r="K48" s="407"/>
      <c r="L48" s="407"/>
      <c r="M48" s="407"/>
      <c r="N48" s="407"/>
      <c r="O48" s="407"/>
      <c r="P48" s="407"/>
      <c r="Q48" s="407"/>
      <c r="R48" s="407"/>
      <c r="S48" s="407"/>
      <c r="T48" s="407"/>
      <c r="U48" s="407"/>
      <c r="V48" s="407"/>
      <c r="W48" s="355"/>
      <c r="X48" s="355"/>
    </row>
    <row r="49" spans="1:22" ht="15.75">
      <c r="A49" s="410" t="s">
        <v>602</v>
      </c>
      <c r="B49" s="406">
        <v>0.3</v>
      </c>
      <c r="C49" s="355"/>
      <c r="D49" s="355"/>
      <c r="E49" s="407">
        <v>0</v>
      </c>
      <c r="F49" s="407">
        <v>0</v>
      </c>
      <c r="G49" s="407">
        <v>7500000</v>
      </c>
      <c r="H49" s="407">
        <v>7500000</v>
      </c>
      <c r="I49" s="407">
        <v>7500000</v>
      </c>
      <c r="J49" s="407">
        <v>7500000</v>
      </c>
      <c r="K49" s="407">
        <v>7500000</v>
      </c>
      <c r="L49" s="407">
        <v>7500000</v>
      </c>
      <c r="M49" s="407">
        <v>7500000</v>
      </c>
      <c r="N49" s="407">
        <v>7500000</v>
      </c>
      <c r="O49" s="407"/>
      <c r="P49" s="407"/>
      <c r="Q49" s="407"/>
      <c r="R49" s="407"/>
      <c r="S49" s="407"/>
      <c r="T49" s="407"/>
      <c r="U49" s="407"/>
      <c r="V49" s="407"/>
    </row>
    <row r="50" spans="1:22" ht="15.75">
      <c r="A50" s="410" t="s">
        <v>603</v>
      </c>
      <c r="B50" s="406">
        <v>0.4</v>
      </c>
      <c r="C50" s="355"/>
      <c r="D50" s="355"/>
      <c r="E50" s="407">
        <v>0</v>
      </c>
      <c r="F50" s="407">
        <v>0</v>
      </c>
      <c r="G50" s="407">
        <v>60000000</v>
      </c>
      <c r="H50" s="407">
        <v>80000000</v>
      </c>
      <c r="I50" s="407">
        <v>80000000</v>
      </c>
      <c r="J50" s="407">
        <v>80000000</v>
      </c>
      <c r="K50" s="407">
        <v>80000000</v>
      </c>
      <c r="L50" s="407">
        <v>80000000</v>
      </c>
      <c r="M50" s="407">
        <v>80000000</v>
      </c>
      <c r="N50" s="407">
        <v>80000000</v>
      </c>
      <c r="O50" s="407"/>
      <c r="P50" s="407"/>
      <c r="Q50" s="407"/>
      <c r="R50" s="407"/>
      <c r="S50" s="407"/>
      <c r="T50" s="407"/>
      <c r="U50" s="407"/>
      <c r="V50" s="407"/>
    </row>
    <row r="51" spans="1:22" ht="15.75">
      <c r="A51" s="410" t="s">
        <v>604</v>
      </c>
      <c r="B51" s="406">
        <v>0.05</v>
      </c>
      <c r="C51" s="355"/>
      <c r="D51" s="355"/>
      <c r="E51" s="407">
        <v>0</v>
      </c>
      <c r="F51" s="407">
        <v>0</v>
      </c>
      <c r="G51" s="407">
        <v>0</v>
      </c>
      <c r="H51" s="407">
        <v>0</v>
      </c>
      <c r="I51" s="407">
        <v>24000000</v>
      </c>
      <c r="J51" s="407">
        <v>32000000</v>
      </c>
      <c r="K51" s="407">
        <v>32000000</v>
      </c>
      <c r="L51" s="407">
        <v>32000000</v>
      </c>
      <c r="M51" s="407">
        <v>32000000</v>
      </c>
      <c r="N51" s="407">
        <v>32000000</v>
      </c>
      <c r="O51" s="407"/>
      <c r="P51" s="407"/>
      <c r="Q51" s="407"/>
      <c r="R51" s="407"/>
      <c r="S51" s="407"/>
      <c r="T51" s="407"/>
      <c r="U51" s="407"/>
      <c r="V51" s="407"/>
    </row>
    <row r="52" spans="1:22" ht="15.75">
      <c r="A52" s="410" t="s">
        <v>605</v>
      </c>
      <c r="B52" s="406">
        <v>0.25</v>
      </c>
      <c r="C52" s="355"/>
      <c r="D52" s="355"/>
      <c r="E52" s="407">
        <v>0</v>
      </c>
      <c r="F52" s="407">
        <v>0</v>
      </c>
      <c r="G52" s="407">
        <v>0</v>
      </c>
      <c r="H52" s="407">
        <v>0</v>
      </c>
      <c r="I52" s="407">
        <v>0</v>
      </c>
      <c r="J52" s="407">
        <v>0</v>
      </c>
      <c r="K52" s="407">
        <v>0</v>
      </c>
      <c r="L52" s="407">
        <v>0</v>
      </c>
      <c r="M52" s="407">
        <v>0</v>
      </c>
      <c r="N52" s="407">
        <v>0</v>
      </c>
      <c r="O52" s="408" t="s">
        <v>606</v>
      </c>
      <c r="P52" s="407"/>
      <c r="Q52" s="407"/>
      <c r="R52" s="407"/>
      <c r="S52" s="407"/>
      <c r="T52" s="407"/>
      <c r="U52" s="407"/>
      <c r="V52" s="407"/>
    </row>
    <row r="53" spans="1:22" ht="15.75">
      <c r="A53" s="410" t="s">
        <v>607</v>
      </c>
      <c r="B53" s="406">
        <v>0.4</v>
      </c>
      <c r="C53" s="355"/>
      <c r="D53" s="355"/>
      <c r="E53" s="407"/>
      <c r="F53" s="407"/>
      <c r="G53" s="407">
        <v>114750000</v>
      </c>
      <c r="H53" s="407">
        <v>153000000</v>
      </c>
      <c r="I53" s="407">
        <v>153000000</v>
      </c>
      <c r="J53" s="407">
        <v>153000000</v>
      </c>
      <c r="K53" s="407">
        <v>153000000</v>
      </c>
      <c r="L53" s="407">
        <v>153000000</v>
      </c>
      <c r="M53" s="407">
        <v>153000000</v>
      </c>
      <c r="N53" s="407">
        <v>153000000</v>
      </c>
      <c r="O53" s="407"/>
      <c r="P53" s="407"/>
      <c r="Q53" s="407"/>
      <c r="R53" s="407"/>
      <c r="S53" s="407"/>
      <c r="T53" s="407"/>
      <c r="U53" s="407"/>
      <c r="V53" s="407"/>
    </row>
    <row r="54" spans="1:22" ht="15.75">
      <c r="A54" s="410" t="s">
        <v>608</v>
      </c>
      <c r="B54" s="406">
        <v>0.01</v>
      </c>
      <c r="C54" s="355"/>
      <c r="D54" s="355"/>
      <c r="E54" s="407"/>
      <c r="F54" s="407"/>
      <c r="G54" s="407">
        <v>110000000</v>
      </c>
      <c r="H54" s="407">
        <v>110000000</v>
      </c>
      <c r="I54" s="407">
        <v>110000000</v>
      </c>
      <c r="J54" s="407">
        <v>110000000</v>
      </c>
      <c r="K54" s="407">
        <v>110000000</v>
      </c>
      <c r="L54" s="407">
        <v>110000000</v>
      </c>
      <c r="M54" s="407">
        <v>110000000</v>
      </c>
      <c r="N54" s="407">
        <v>110000000</v>
      </c>
      <c r="O54" s="407"/>
      <c r="P54" s="407" t="s">
        <v>609</v>
      </c>
      <c r="Q54" s="407"/>
      <c r="R54" s="407"/>
      <c r="S54" s="407"/>
      <c r="T54" s="407"/>
      <c r="U54" s="407"/>
      <c r="V54" s="407"/>
    </row>
    <row r="55" spans="1:22" ht="15.75">
      <c r="A55" s="410" t="s">
        <v>610</v>
      </c>
      <c r="B55" s="406">
        <v>0.7</v>
      </c>
      <c r="C55" s="355"/>
      <c r="D55" s="355"/>
      <c r="E55" s="407"/>
      <c r="F55" s="407">
        <v>42157500</v>
      </c>
      <c r="G55" s="407">
        <v>91980000</v>
      </c>
      <c r="H55" s="407">
        <v>229950000</v>
      </c>
      <c r="I55" s="407">
        <v>275940000</v>
      </c>
      <c r="J55" s="407">
        <v>275940000</v>
      </c>
      <c r="K55" s="407">
        <v>275940000</v>
      </c>
      <c r="L55" s="407">
        <v>275940000</v>
      </c>
      <c r="M55" s="407">
        <v>275940000</v>
      </c>
      <c r="N55" s="407">
        <v>275940000</v>
      </c>
      <c r="O55" s="408" t="s">
        <v>611</v>
      </c>
      <c r="P55" s="418" t="s">
        <v>612</v>
      </c>
      <c r="Q55" s="407"/>
      <c r="R55" s="407"/>
      <c r="S55" s="407"/>
      <c r="T55" s="407"/>
      <c r="U55" s="407"/>
      <c r="V55" s="407"/>
    </row>
    <row r="56" spans="1:22" ht="15.75">
      <c r="A56" s="410" t="s">
        <v>613</v>
      </c>
      <c r="B56" s="406">
        <v>0.05</v>
      </c>
      <c r="C56" s="355"/>
      <c r="D56" s="355"/>
      <c r="E56" s="407"/>
      <c r="F56" s="407">
        <v>0</v>
      </c>
      <c r="G56" s="407">
        <v>0</v>
      </c>
      <c r="H56" s="407">
        <v>0</v>
      </c>
      <c r="I56" s="407">
        <v>0</v>
      </c>
      <c r="J56" s="407">
        <v>0</v>
      </c>
      <c r="K56" s="407">
        <v>0</v>
      </c>
      <c r="L56" s="407">
        <v>0</v>
      </c>
      <c r="M56" s="407">
        <v>0</v>
      </c>
      <c r="N56" s="407">
        <v>0</v>
      </c>
      <c r="O56" s="408"/>
      <c r="P56" s="418" t="s">
        <v>614</v>
      </c>
      <c r="Q56" s="407">
        <v>84315000</v>
      </c>
      <c r="R56" s="407"/>
      <c r="S56" s="407"/>
      <c r="T56" s="407"/>
      <c r="U56" s="407"/>
      <c r="V56" s="407"/>
    </row>
    <row r="57" spans="1:22" ht="15.75">
      <c r="A57" s="410" t="s">
        <v>615</v>
      </c>
      <c r="B57" s="406">
        <v>0.05</v>
      </c>
      <c r="C57" s="355"/>
      <c r="D57" s="355"/>
      <c r="E57" s="407"/>
      <c r="F57" s="407">
        <v>0</v>
      </c>
      <c r="G57" s="407">
        <v>0</v>
      </c>
      <c r="H57" s="407">
        <v>0</v>
      </c>
      <c r="I57" s="407">
        <v>0</v>
      </c>
      <c r="J57" s="407">
        <v>0</v>
      </c>
      <c r="K57" s="407">
        <v>0</v>
      </c>
      <c r="L57" s="407">
        <v>0</v>
      </c>
      <c r="M57" s="407">
        <v>0</v>
      </c>
      <c r="N57" s="407">
        <v>0</v>
      </c>
      <c r="O57" s="408"/>
      <c r="P57" s="418"/>
      <c r="Q57" s="407"/>
      <c r="R57" s="407"/>
      <c r="S57" s="407"/>
      <c r="T57" s="407"/>
      <c r="U57" s="407"/>
      <c r="V57" s="407"/>
    </row>
    <row r="58" spans="1:22" ht="15.75">
      <c r="A58" s="410" t="s">
        <v>616</v>
      </c>
      <c r="B58" s="406">
        <v>0.15</v>
      </c>
      <c r="C58" s="355"/>
      <c r="D58" s="355"/>
      <c r="E58" s="407"/>
      <c r="F58" s="407"/>
      <c r="G58" s="407"/>
      <c r="H58" s="407"/>
      <c r="I58" s="407"/>
      <c r="J58" s="407"/>
      <c r="K58" s="407"/>
      <c r="L58" s="407"/>
      <c r="M58" s="407"/>
      <c r="N58" s="407"/>
      <c r="O58" s="408"/>
      <c r="P58" s="418"/>
      <c r="Q58" s="407"/>
      <c r="R58" s="407"/>
      <c r="S58" s="407"/>
      <c r="T58" s="407"/>
      <c r="U58" s="407"/>
      <c r="V58" s="407"/>
    </row>
    <row r="59" spans="1:22" ht="15.75">
      <c r="A59" s="407"/>
      <c r="B59" s="406"/>
      <c r="C59" s="407"/>
      <c r="D59" s="407"/>
      <c r="E59" s="407"/>
      <c r="F59" s="407"/>
      <c r="G59" s="407"/>
      <c r="H59" s="407"/>
      <c r="I59" s="407"/>
      <c r="J59" s="407"/>
      <c r="K59" s="407"/>
      <c r="L59" s="407"/>
      <c r="M59" s="407"/>
      <c r="N59" s="407"/>
      <c r="O59" s="407"/>
      <c r="P59" s="355"/>
      <c r="Q59" s="407">
        <v>183960000</v>
      </c>
      <c r="R59" s="407"/>
      <c r="S59" s="407"/>
      <c r="T59" s="407"/>
      <c r="U59" s="407"/>
      <c r="V59" s="407"/>
    </row>
    <row r="60" spans="1:22" ht="15.75">
      <c r="A60" s="407" t="s">
        <v>197</v>
      </c>
      <c r="B60" s="406"/>
      <c r="C60" s="407">
        <v>0</v>
      </c>
      <c r="D60" s="407">
        <v>0</v>
      </c>
      <c r="E60" s="407">
        <v>78850000</v>
      </c>
      <c r="F60" s="407">
        <v>1030667500</v>
      </c>
      <c r="G60" s="407">
        <v>2482940000</v>
      </c>
      <c r="H60" s="407">
        <v>3589866500</v>
      </c>
      <c r="I60" s="407">
        <v>4103240000</v>
      </c>
      <c r="J60" s="407">
        <v>4111240000</v>
      </c>
      <c r="K60" s="407">
        <v>4111240000</v>
      </c>
      <c r="L60" s="407">
        <v>4111240000</v>
      </c>
      <c r="M60" s="407">
        <v>4111240000</v>
      </c>
      <c r="N60" s="407">
        <v>4111240000</v>
      </c>
      <c r="O60" s="407"/>
      <c r="P60" s="407"/>
      <c r="Q60" s="407"/>
      <c r="R60" s="407"/>
      <c r="S60" s="407"/>
      <c r="T60" s="407"/>
      <c r="U60" s="407"/>
      <c r="V60" s="407"/>
    </row>
    <row r="61" spans="1:22" ht="15.75">
      <c r="A61" s="407" t="s">
        <v>617</v>
      </c>
      <c r="B61" s="406"/>
      <c r="C61" s="407"/>
      <c r="D61" s="407"/>
      <c r="E61" s="407"/>
      <c r="F61" s="407"/>
      <c r="G61" s="407"/>
      <c r="H61" s="407"/>
      <c r="I61" s="407"/>
      <c r="J61" s="407"/>
      <c r="K61" s="407"/>
      <c r="L61" s="407"/>
      <c r="M61" s="407"/>
      <c r="N61" s="407"/>
      <c r="O61" s="407"/>
      <c r="P61" s="407"/>
      <c r="Q61" s="407"/>
      <c r="R61" s="407"/>
      <c r="S61" s="407"/>
      <c r="T61" s="407"/>
      <c r="U61" s="407"/>
      <c r="V61" s="407"/>
    </row>
    <row r="62" spans="1:22" ht="25.5">
      <c r="A62" s="404"/>
      <c r="B62" s="411" t="s">
        <v>62</v>
      </c>
      <c r="C62" s="404">
        <v>2019</v>
      </c>
      <c r="D62" s="404">
        <v>2020</v>
      </c>
      <c r="E62" s="404">
        <v>2021</v>
      </c>
      <c r="F62" s="404">
        <v>2022</v>
      </c>
      <c r="G62" s="404">
        <v>2023</v>
      </c>
      <c r="H62" s="404">
        <v>2024</v>
      </c>
      <c r="I62" s="404">
        <v>2025</v>
      </c>
      <c r="J62" s="404">
        <v>2026</v>
      </c>
      <c r="K62" s="404">
        <v>2027</v>
      </c>
      <c r="L62" s="404">
        <v>2028</v>
      </c>
      <c r="M62" s="404">
        <v>2029</v>
      </c>
      <c r="N62" s="404">
        <v>2030</v>
      </c>
      <c r="O62" s="355"/>
      <c r="P62" s="355"/>
      <c r="Q62" s="355"/>
      <c r="R62" s="355"/>
      <c r="S62" s="355"/>
      <c r="T62" s="355"/>
      <c r="U62" s="355"/>
      <c r="V62" s="355"/>
    </row>
    <row r="63" spans="1:22" ht="15.75">
      <c r="A63" s="410" t="s">
        <v>431</v>
      </c>
      <c r="B63" s="406">
        <v>1</v>
      </c>
      <c r="C63" s="407">
        <v>4000000</v>
      </c>
      <c r="D63" s="407">
        <v>4000000</v>
      </c>
      <c r="E63" s="407">
        <v>4000000</v>
      </c>
      <c r="F63" s="407">
        <v>4000000</v>
      </c>
      <c r="G63" s="407">
        <v>4000000</v>
      </c>
      <c r="H63" s="407">
        <v>4000000</v>
      </c>
      <c r="I63" s="407">
        <v>4000000</v>
      </c>
      <c r="J63" s="407">
        <v>4000000</v>
      </c>
      <c r="K63" s="407">
        <v>4000000</v>
      </c>
      <c r="L63" s="407">
        <v>4000000</v>
      </c>
      <c r="M63" s="407">
        <v>4000000</v>
      </c>
      <c r="N63" s="407">
        <v>4000000</v>
      </c>
      <c r="O63" s="407"/>
      <c r="P63" s="407"/>
      <c r="Q63" s="407"/>
      <c r="R63" s="407"/>
      <c r="S63" s="407"/>
      <c r="T63" s="407"/>
      <c r="U63" s="407"/>
      <c r="V63" s="407"/>
    </row>
    <row r="64" spans="1:22" ht="15.75">
      <c r="A64" s="410" t="s">
        <v>618</v>
      </c>
      <c r="B64" s="406">
        <v>1</v>
      </c>
      <c r="C64" s="407">
        <v>40000000</v>
      </c>
      <c r="D64" s="407">
        <v>40000000</v>
      </c>
      <c r="E64" s="407">
        <v>40000000</v>
      </c>
      <c r="F64" s="407">
        <v>57100000</v>
      </c>
      <c r="G64" s="407">
        <v>109000000</v>
      </c>
      <c r="H64" s="407">
        <v>109000000</v>
      </c>
      <c r="I64" s="407">
        <v>109000000</v>
      </c>
      <c r="J64" s="407">
        <v>109000000</v>
      </c>
      <c r="K64" s="407">
        <v>109000000</v>
      </c>
      <c r="L64" s="407">
        <v>109000000</v>
      </c>
      <c r="M64" s="407">
        <v>109000000</v>
      </c>
      <c r="N64" s="407">
        <v>109000000</v>
      </c>
      <c r="O64" s="407"/>
      <c r="P64" s="407"/>
      <c r="Q64" s="407" t="s">
        <v>342</v>
      </c>
      <c r="R64" s="407"/>
      <c r="S64" s="407"/>
      <c r="T64" s="407"/>
      <c r="U64" s="407"/>
      <c r="V64" s="407"/>
    </row>
    <row r="65" spans="1:22" ht="15.75">
      <c r="A65" s="410" t="s">
        <v>619</v>
      </c>
      <c r="B65" s="406">
        <v>1</v>
      </c>
      <c r="C65" s="407"/>
      <c r="D65" s="407">
        <v>100000000</v>
      </c>
      <c r="E65" s="407">
        <v>100000000</v>
      </c>
      <c r="F65" s="407">
        <v>100000000</v>
      </c>
      <c r="G65" s="407">
        <v>100000000</v>
      </c>
      <c r="H65" s="407">
        <v>100000000</v>
      </c>
      <c r="I65" s="407">
        <v>100000000</v>
      </c>
      <c r="J65" s="407">
        <v>100000000</v>
      </c>
      <c r="K65" s="407">
        <v>100000000</v>
      </c>
      <c r="L65" s="407">
        <v>100000000</v>
      </c>
      <c r="M65" s="407">
        <v>100000000</v>
      </c>
      <c r="N65" s="407">
        <v>100000000</v>
      </c>
      <c r="O65" s="407">
        <v>151200000</v>
      </c>
      <c r="P65" s="407"/>
      <c r="Q65" s="407"/>
      <c r="R65" s="407"/>
      <c r="S65" s="407"/>
      <c r="T65" s="407"/>
      <c r="U65" s="407"/>
      <c r="V65" s="407"/>
    </row>
    <row r="66" spans="1:22" ht="15.75">
      <c r="A66" s="410" t="s">
        <v>620</v>
      </c>
      <c r="B66" s="406">
        <v>0.9</v>
      </c>
      <c r="C66" s="407"/>
      <c r="D66" s="407">
        <v>0</v>
      </c>
      <c r="E66" s="407">
        <v>0</v>
      </c>
      <c r="F66" s="407">
        <v>100000000</v>
      </c>
      <c r="G66" s="407">
        <v>150000000</v>
      </c>
      <c r="H66" s="407">
        <v>150000000</v>
      </c>
      <c r="I66" s="407">
        <v>150000000</v>
      </c>
      <c r="J66" s="407">
        <v>150000000</v>
      </c>
      <c r="K66" s="407">
        <v>150000000</v>
      </c>
      <c r="L66" s="407">
        <v>150000000</v>
      </c>
      <c r="M66" s="407">
        <v>150000000</v>
      </c>
      <c r="N66" s="407">
        <v>150000000</v>
      </c>
      <c r="O66" s="407" t="s">
        <v>621</v>
      </c>
      <c r="P66" s="407"/>
      <c r="Q66" s="407"/>
      <c r="R66" s="407"/>
      <c r="S66" s="407"/>
      <c r="T66" s="407"/>
      <c r="U66" s="407"/>
      <c r="V66" s="407"/>
    </row>
    <row r="67" spans="1:22" ht="15.75">
      <c r="A67" s="407"/>
      <c r="B67" s="406"/>
      <c r="C67" s="407"/>
      <c r="D67" s="407"/>
      <c r="E67" s="407"/>
      <c r="F67" s="407"/>
      <c r="G67" s="407"/>
      <c r="H67" s="407"/>
      <c r="I67" s="407"/>
      <c r="J67" s="407"/>
      <c r="K67" s="407"/>
      <c r="L67" s="407"/>
      <c r="M67" s="407"/>
      <c r="N67" s="407"/>
      <c r="O67" s="407"/>
      <c r="P67" s="407"/>
      <c r="Q67" s="407"/>
      <c r="R67" s="407"/>
      <c r="S67" s="407"/>
      <c r="T67" s="407"/>
      <c r="U67" s="407"/>
      <c r="V67" s="407"/>
    </row>
    <row r="68" spans="1:22" ht="15.75">
      <c r="A68" s="407" t="s">
        <v>197</v>
      </c>
      <c r="B68" s="406"/>
      <c r="C68" s="407">
        <v>44000000</v>
      </c>
      <c r="D68" s="407">
        <v>144000000</v>
      </c>
      <c r="E68" s="407">
        <v>144000000</v>
      </c>
      <c r="F68" s="407">
        <v>261100000</v>
      </c>
      <c r="G68" s="407">
        <v>363000000</v>
      </c>
      <c r="H68" s="407">
        <v>363000000</v>
      </c>
      <c r="I68" s="407">
        <v>363000000</v>
      </c>
      <c r="J68" s="407">
        <v>363000000</v>
      </c>
      <c r="K68" s="407">
        <v>363000000</v>
      </c>
      <c r="L68" s="407">
        <v>363000000</v>
      </c>
      <c r="M68" s="407">
        <v>363000000</v>
      </c>
      <c r="N68" s="407">
        <v>363000000</v>
      </c>
      <c r="O68" s="407"/>
      <c r="P68" s="407"/>
      <c r="Q68" s="407"/>
      <c r="R68" s="407"/>
      <c r="S68" s="407"/>
      <c r="T68" s="407"/>
      <c r="U68" s="407"/>
      <c r="V68" s="407"/>
    </row>
    <row r="69" spans="1:22" ht="15.75">
      <c r="A69" s="355"/>
      <c r="B69" s="355"/>
      <c r="C69" s="355"/>
      <c r="D69" s="407"/>
      <c r="E69" s="407"/>
      <c r="F69" s="407"/>
      <c r="G69" s="407"/>
      <c r="H69" s="407"/>
      <c r="I69" s="407"/>
      <c r="J69" s="407"/>
      <c r="K69" s="407"/>
      <c r="L69" s="407"/>
      <c r="M69" s="407"/>
      <c r="N69" s="407"/>
      <c r="O69" s="407"/>
      <c r="P69" s="407"/>
      <c r="Q69" s="407"/>
      <c r="R69" s="407"/>
      <c r="S69" s="407"/>
      <c r="T69" s="407"/>
      <c r="U69" s="407"/>
      <c r="V69" s="407"/>
    </row>
    <row r="70" spans="1:22" ht="15.75">
      <c r="A70" s="407" t="s">
        <v>622</v>
      </c>
      <c r="B70" s="406"/>
      <c r="C70" s="407">
        <v>528000000</v>
      </c>
      <c r="D70" s="407">
        <v>538266666.66666675</v>
      </c>
      <c r="E70" s="407">
        <v>756450000</v>
      </c>
      <c r="F70" s="407">
        <v>2217567500</v>
      </c>
      <c r="G70" s="407">
        <v>3929840000</v>
      </c>
      <c r="H70" s="407">
        <v>5286766500</v>
      </c>
      <c r="I70" s="407">
        <v>5800140000</v>
      </c>
      <c r="J70" s="407"/>
      <c r="K70" s="407"/>
      <c r="L70" s="407"/>
      <c r="M70" s="407"/>
      <c r="N70" s="407"/>
      <c r="O70" s="407"/>
      <c r="P70" s="407"/>
      <c r="Q70" s="407"/>
      <c r="R70" s="407"/>
      <c r="S70" s="407"/>
      <c r="T70" s="407"/>
      <c r="U70" s="407"/>
      <c r="V70" s="407"/>
    </row>
    <row r="71" spans="1:22" ht="15.75">
      <c r="A71" s="407" t="s">
        <v>623</v>
      </c>
      <c r="B71" s="406"/>
      <c r="C71" s="407">
        <v>572000000</v>
      </c>
      <c r="D71" s="407">
        <v>682266666.66666675</v>
      </c>
      <c r="E71" s="407">
        <v>900450000</v>
      </c>
      <c r="F71" s="407">
        <v>2478667500</v>
      </c>
      <c r="G71" s="407">
        <v>4292840000</v>
      </c>
      <c r="H71" s="407">
        <v>5649766500</v>
      </c>
      <c r="I71" s="407">
        <v>6163140000</v>
      </c>
      <c r="J71" s="407">
        <v>6171140000</v>
      </c>
      <c r="K71" s="407">
        <v>6171140000</v>
      </c>
      <c r="L71" s="407">
        <v>6171140000</v>
      </c>
      <c r="M71" s="407">
        <v>6171140000</v>
      </c>
      <c r="N71" s="407">
        <v>6171140000</v>
      </c>
      <c r="O71" s="407"/>
      <c r="P71" s="407"/>
      <c r="Q71" s="407"/>
      <c r="R71" s="407"/>
      <c r="S71" s="407"/>
      <c r="T71" s="407"/>
      <c r="U71" s="407"/>
      <c r="V71" s="407"/>
    </row>
    <row r="72" spans="1:22" ht="15.75">
      <c r="A72" s="419" t="s">
        <v>624</v>
      </c>
      <c r="B72" s="420"/>
      <c r="C72" s="419">
        <v>638400000</v>
      </c>
      <c r="D72" s="419">
        <v>580133333.33333337</v>
      </c>
      <c r="E72" s="419">
        <v>765595000</v>
      </c>
      <c r="F72" s="419">
        <v>1892347250</v>
      </c>
      <c r="G72" s="419">
        <v>3259518000</v>
      </c>
      <c r="H72" s="419">
        <v>4209366550</v>
      </c>
      <c r="I72" s="419">
        <v>4568728000</v>
      </c>
      <c r="J72" s="419">
        <v>4574328000</v>
      </c>
      <c r="K72" s="419">
        <v>4574328000</v>
      </c>
      <c r="L72" s="419">
        <v>4574328000</v>
      </c>
      <c r="M72" s="419">
        <v>4574328000</v>
      </c>
      <c r="N72" s="419">
        <v>4574328000</v>
      </c>
      <c r="O72" s="419"/>
      <c r="P72" s="419"/>
      <c r="Q72" s="419"/>
      <c r="R72" s="419"/>
      <c r="S72" s="419"/>
      <c r="T72" s="419"/>
      <c r="U72" s="419"/>
      <c r="V72" s="419"/>
    </row>
    <row r="73" spans="1:22" ht="15.75">
      <c r="A73" s="407"/>
      <c r="B73" s="406"/>
      <c r="C73" s="407"/>
      <c r="D73" s="407"/>
      <c r="E73" s="407"/>
      <c r="F73" s="421"/>
      <c r="G73" s="407"/>
      <c r="H73" s="407"/>
      <c r="I73" s="421"/>
      <c r="J73" s="407"/>
      <c r="K73" s="407"/>
      <c r="L73" s="407"/>
      <c r="M73" s="407"/>
      <c r="N73" s="407"/>
      <c r="O73" s="407"/>
      <c r="P73" s="407"/>
      <c r="Q73" s="407"/>
      <c r="R73" s="407"/>
      <c r="S73" s="407"/>
      <c r="T73" s="407"/>
      <c r="U73" s="407"/>
      <c r="V73" s="407"/>
    </row>
    <row r="74" spans="1:22" ht="15.75">
      <c r="A74" s="407"/>
      <c r="B74" s="406"/>
      <c r="C74" s="407"/>
      <c r="D74" s="407"/>
      <c r="E74" s="407"/>
      <c r="F74" s="407" t="s">
        <v>625</v>
      </c>
      <c r="G74" s="407"/>
      <c r="H74" s="407"/>
      <c r="I74" s="407"/>
      <c r="J74" s="407"/>
      <c r="K74" s="407"/>
      <c r="L74" s="407"/>
      <c r="M74" s="407"/>
      <c r="N74" s="407"/>
      <c r="O74" s="407"/>
      <c r="P74" s="407"/>
      <c r="Q74" s="407"/>
      <c r="R74" s="407"/>
      <c r="S74" s="407"/>
      <c r="T74" s="407"/>
      <c r="U74" s="407"/>
      <c r="V74" s="407"/>
    </row>
    <row r="75" spans="1:22" ht="15.75">
      <c r="A75" s="407" t="s">
        <v>626</v>
      </c>
      <c r="B75" s="406"/>
      <c r="C75" s="407"/>
      <c r="D75" s="407">
        <v>30000000</v>
      </c>
      <c r="E75" s="407"/>
      <c r="F75" s="407">
        <v>708890000</v>
      </c>
      <c r="G75" s="407">
        <v>1431610000</v>
      </c>
      <c r="H75" s="407"/>
      <c r="I75" s="407"/>
      <c r="J75" s="407"/>
      <c r="K75" s="407"/>
      <c r="L75" s="407"/>
      <c r="M75" s="407"/>
      <c r="N75" s="407"/>
      <c r="O75" s="407"/>
      <c r="P75" s="407"/>
      <c r="Q75" s="407"/>
      <c r="R75" s="407"/>
      <c r="S75" s="407"/>
      <c r="T75" s="407"/>
      <c r="U75" s="407"/>
      <c r="V75" s="407"/>
    </row>
    <row r="76" spans="1:22" ht="15.75">
      <c r="A76" s="407"/>
      <c r="B76" s="406"/>
      <c r="C76" s="407"/>
      <c r="D76" s="407">
        <v>70000000</v>
      </c>
      <c r="E76" s="407" t="s">
        <v>627</v>
      </c>
      <c r="F76" s="407"/>
      <c r="G76" s="407"/>
      <c r="H76" s="407"/>
      <c r="I76" s="407"/>
      <c r="J76" s="407"/>
      <c r="K76" s="407"/>
      <c r="L76" s="407"/>
      <c r="M76" s="407"/>
      <c r="N76" s="407"/>
      <c r="O76" s="407"/>
      <c r="P76" s="407"/>
      <c r="Q76" s="407"/>
      <c r="R76" s="407"/>
      <c r="S76" s="407"/>
      <c r="T76" s="407"/>
      <c r="U76" s="407"/>
      <c r="V76" s="407"/>
    </row>
    <row r="77" spans="1:22" ht="15.75">
      <c r="A77" s="407" t="s">
        <v>628</v>
      </c>
      <c r="B77" s="406"/>
      <c r="C77" s="422">
        <v>2.6483823529411765</v>
      </c>
      <c r="D77" s="407" t="s">
        <v>629</v>
      </c>
      <c r="E77" s="355"/>
      <c r="F77" s="407"/>
      <c r="G77" s="407"/>
      <c r="H77" s="407"/>
      <c r="I77" s="407"/>
      <c r="J77" s="407"/>
      <c r="K77" s="407"/>
      <c r="L77" s="407"/>
      <c r="M77" s="407"/>
      <c r="N77" s="407"/>
      <c r="O77" s="407"/>
      <c r="P77" s="407"/>
      <c r="Q77" s="407"/>
      <c r="R77" s="407"/>
      <c r="S77" s="407"/>
      <c r="T77" s="407"/>
      <c r="U77" s="407"/>
      <c r="V77" s="407"/>
    </row>
    <row r="78" spans="1:22" ht="15.75">
      <c r="A78" s="407"/>
      <c r="B78" s="406"/>
      <c r="C78" s="407"/>
      <c r="D78" s="407" t="s">
        <v>630</v>
      </c>
      <c r="E78" s="423">
        <v>0.3197918702364666</v>
      </c>
      <c r="F78" s="423">
        <v>2.6329893003713107</v>
      </c>
      <c r="G78" s="423">
        <v>5.2920265780730888</v>
      </c>
      <c r="H78" s="423">
        <v>7.2808772229822143</v>
      </c>
      <c r="I78" s="423">
        <v>8.0333300762165329</v>
      </c>
      <c r="J78" s="423">
        <v>8.0450556966972826</v>
      </c>
      <c r="K78" s="423">
        <v>8.0450556966972826</v>
      </c>
      <c r="L78" s="423">
        <v>8.0450556966972826</v>
      </c>
      <c r="M78" s="423">
        <v>8.0450556966972826</v>
      </c>
      <c r="N78" s="423">
        <v>8.0450556966972826</v>
      </c>
      <c r="O78" s="407"/>
      <c r="P78" s="407"/>
      <c r="Q78" s="407"/>
      <c r="R78" s="407"/>
      <c r="S78" s="407"/>
      <c r="T78" s="407"/>
      <c r="U78" s="407"/>
      <c r="V78" s="407"/>
    </row>
    <row r="79" spans="1:22" ht="15.75">
      <c r="A79" s="407"/>
      <c r="B79" s="406"/>
      <c r="C79" s="407"/>
      <c r="D79" s="424">
        <v>2021</v>
      </c>
      <c r="E79" s="355"/>
      <c r="F79" s="423">
        <v>1.7526986506746627</v>
      </c>
      <c r="G79" s="423">
        <v>3.7674385029707365</v>
      </c>
      <c r="H79" s="423">
        <v>5.2743811427619525</v>
      </c>
      <c r="I79" s="423">
        <v>5.8445110777944365</v>
      </c>
      <c r="J79" s="423">
        <v>5.8533955244599918</v>
      </c>
      <c r="K79" s="423">
        <v>5.8533955244599918</v>
      </c>
      <c r="L79" s="423">
        <v>5.8533955244599918</v>
      </c>
      <c r="M79" s="423">
        <v>5.8533955244599918</v>
      </c>
      <c r="N79" s="423">
        <v>5.8533955244599918</v>
      </c>
      <c r="O79" s="407"/>
      <c r="P79" s="407"/>
      <c r="Q79" s="407"/>
      <c r="R79" s="407"/>
      <c r="S79" s="407"/>
      <c r="T79" s="407"/>
      <c r="U79" s="407"/>
      <c r="V79" s="407"/>
    </row>
    <row r="80" spans="1:22" ht="15.75">
      <c r="A80" s="407"/>
      <c r="B80" s="406"/>
      <c r="C80" s="407"/>
      <c r="D80" s="424">
        <v>2022</v>
      </c>
      <c r="E80" s="355"/>
      <c r="F80" s="423"/>
      <c r="G80" s="423">
        <v>0.73191442579531141</v>
      </c>
      <c r="H80" s="423">
        <v>1.2793563477150527</v>
      </c>
      <c r="I80" s="423">
        <v>1.4864730747468147</v>
      </c>
      <c r="J80" s="423">
        <v>1.4897006153507881</v>
      </c>
      <c r="K80" s="423">
        <v>1.4897006153507881</v>
      </c>
      <c r="L80" s="423">
        <v>1.4897006153507881</v>
      </c>
      <c r="M80" s="423">
        <v>1.4897006153507881</v>
      </c>
      <c r="N80" s="423">
        <v>1.4897006153507881</v>
      </c>
      <c r="O80" s="407"/>
      <c r="P80" s="407"/>
      <c r="Q80" s="407"/>
      <c r="R80" s="407"/>
      <c r="S80" s="407"/>
      <c r="T80" s="407"/>
      <c r="U80" s="407"/>
      <c r="V80" s="407"/>
    </row>
    <row r="81" spans="1:24" ht="15.75">
      <c r="A81" s="407"/>
      <c r="B81" s="406"/>
      <c r="C81" s="407"/>
      <c r="D81" s="424">
        <v>2023</v>
      </c>
      <c r="E81" s="355"/>
      <c r="F81" s="355"/>
      <c r="G81" s="407"/>
      <c r="H81" s="423">
        <v>0.31609062997922122</v>
      </c>
      <c r="I81" s="423">
        <v>0.43567894447498623</v>
      </c>
      <c r="J81" s="423">
        <v>0.43754251264896893</v>
      </c>
      <c r="K81" s="423">
        <v>0.43754251264896893</v>
      </c>
      <c r="L81" s="423">
        <v>0.43754251264896893</v>
      </c>
      <c r="M81" s="423">
        <v>0.43754251264896893</v>
      </c>
      <c r="N81" s="423">
        <v>0.43754251264896893</v>
      </c>
      <c r="O81" s="407"/>
      <c r="P81" s="407"/>
      <c r="Q81" s="407"/>
      <c r="R81" s="407"/>
      <c r="S81" s="407"/>
      <c r="T81" s="407"/>
      <c r="U81" s="407"/>
      <c r="V81" s="407"/>
      <c r="W81" s="355"/>
      <c r="X81" s="355"/>
    </row>
    <row r="82" spans="1:24" ht="15.75">
      <c r="A82" s="355" t="s">
        <v>631</v>
      </c>
      <c r="B82" s="355"/>
      <c r="C82" s="355"/>
      <c r="D82" s="355"/>
      <c r="E82" s="355"/>
      <c r="F82" s="355"/>
      <c r="G82" s="355"/>
      <c r="H82" s="355"/>
      <c r="I82" s="355"/>
      <c r="J82" s="355"/>
      <c r="K82" s="355"/>
      <c r="L82" s="355"/>
      <c r="M82" s="355"/>
      <c r="N82" s="355"/>
      <c r="O82" s="355"/>
      <c r="P82" s="355"/>
      <c r="Q82" s="355"/>
      <c r="R82" s="355"/>
      <c r="S82" s="355"/>
      <c r="T82" s="355"/>
      <c r="U82" s="355"/>
      <c r="V82" s="355"/>
      <c r="W82" s="355"/>
      <c r="X82" s="355"/>
    </row>
    <row r="83" spans="1:24" ht="25.5">
      <c r="A83" s="404"/>
      <c r="B83" s="411" t="s">
        <v>62</v>
      </c>
      <c r="C83" s="404">
        <v>2019</v>
      </c>
      <c r="D83" s="404">
        <v>2020</v>
      </c>
      <c r="E83" s="404">
        <v>2021</v>
      </c>
      <c r="F83" s="404">
        <v>2022</v>
      </c>
      <c r="G83" s="404">
        <v>2023</v>
      </c>
      <c r="H83" s="404">
        <v>2024</v>
      </c>
      <c r="I83" s="404">
        <v>2025</v>
      </c>
      <c r="J83" s="404">
        <v>2026</v>
      </c>
      <c r="K83" s="404">
        <v>2027</v>
      </c>
      <c r="L83" s="404">
        <v>2028</v>
      </c>
      <c r="M83" s="404">
        <v>2029</v>
      </c>
      <c r="N83" s="404">
        <v>2030</v>
      </c>
      <c r="O83" s="355"/>
      <c r="P83" s="355"/>
      <c r="Q83" s="355"/>
      <c r="R83" s="355"/>
      <c r="S83" s="355"/>
      <c r="T83" s="355"/>
      <c r="U83" s="355"/>
      <c r="V83" s="355"/>
      <c r="W83" s="355"/>
      <c r="X83" s="355"/>
    </row>
    <row r="84" spans="1:24" ht="15.75">
      <c r="A84" s="405" t="s">
        <v>632</v>
      </c>
      <c r="B84" s="406"/>
      <c r="C84" s="407">
        <v>340000000</v>
      </c>
      <c r="D84" s="407">
        <v>390000000</v>
      </c>
      <c r="E84" s="407">
        <v>440000000</v>
      </c>
      <c r="F84" s="407">
        <v>660000000</v>
      </c>
      <c r="G84" s="407">
        <v>880000000</v>
      </c>
      <c r="H84" s="407">
        <v>880000000</v>
      </c>
      <c r="I84" s="407">
        <v>880000000</v>
      </c>
      <c r="J84" s="407">
        <v>880000000</v>
      </c>
      <c r="K84" s="407">
        <v>880000000</v>
      </c>
      <c r="L84" s="407">
        <v>880000000</v>
      </c>
      <c r="M84" s="407">
        <v>880000000</v>
      </c>
      <c r="N84" s="407">
        <v>880000000</v>
      </c>
      <c r="O84" s="407"/>
      <c r="P84" s="407"/>
      <c r="Q84" s="407"/>
      <c r="R84" s="407"/>
      <c r="S84" s="407"/>
      <c r="T84" s="407"/>
      <c r="U84" s="407"/>
      <c r="V84" s="355"/>
      <c r="W84" s="355"/>
      <c r="X84" s="355"/>
    </row>
    <row r="85" spans="1:24" ht="15.75">
      <c r="A85" s="405" t="s">
        <v>633</v>
      </c>
      <c r="B85" s="355"/>
      <c r="C85" s="407">
        <v>340000000</v>
      </c>
      <c r="D85" s="407">
        <v>390000000</v>
      </c>
      <c r="E85" s="407">
        <v>440000000</v>
      </c>
      <c r="F85" s="407">
        <v>440000000</v>
      </c>
      <c r="G85" s="407">
        <v>440000000</v>
      </c>
      <c r="H85" s="407">
        <v>440000000</v>
      </c>
      <c r="I85" s="407">
        <v>440000000</v>
      </c>
      <c r="J85" s="407">
        <v>440000000</v>
      </c>
      <c r="K85" s="407">
        <v>440000000</v>
      </c>
      <c r="L85" s="407">
        <v>440000000</v>
      </c>
      <c r="M85" s="407">
        <v>440000000</v>
      </c>
      <c r="N85" s="407">
        <v>440000000</v>
      </c>
      <c r="O85" s="425" t="s">
        <v>634</v>
      </c>
      <c r="P85" s="407"/>
      <c r="Q85" s="407"/>
      <c r="R85" s="407"/>
      <c r="S85" s="407"/>
      <c r="T85" s="407"/>
      <c r="U85" s="407"/>
      <c r="V85" s="355"/>
      <c r="W85" s="355"/>
      <c r="X85" s="355"/>
    </row>
    <row r="86" spans="1:24" ht="15.75">
      <c r="A86" s="405" t="s">
        <v>635</v>
      </c>
      <c r="B86" s="355"/>
      <c r="C86" s="407">
        <v>90000000</v>
      </c>
      <c r="D86" s="407">
        <v>90000000</v>
      </c>
      <c r="E86" s="407">
        <v>90000000</v>
      </c>
      <c r="F86" s="407">
        <v>90000000</v>
      </c>
      <c r="G86" s="407">
        <v>90000000</v>
      </c>
      <c r="H86" s="407">
        <v>90000000</v>
      </c>
      <c r="I86" s="407">
        <v>90000000</v>
      </c>
      <c r="J86" s="407">
        <v>90000000</v>
      </c>
      <c r="K86" s="407">
        <v>90000000</v>
      </c>
      <c r="L86" s="407">
        <v>90000000</v>
      </c>
      <c r="M86" s="407">
        <v>90000000</v>
      </c>
      <c r="N86" s="407">
        <v>90000000</v>
      </c>
      <c r="O86" s="425" t="s">
        <v>634</v>
      </c>
      <c r="P86" s="407"/>
      <c r="Q86" s="407"/>
      <c r="R86" s="407"/>
      <c r="S86" s="407"/>
      <c r="T86" s="407"/>
      <c r="U86" s="407"/>
      <c r="V86" s="355"/>
      <c r="W86" s="355"/>
      <c r="X86" s="355"/>
    </row>
    <row r="87" spans="1:24" ht="15.75">
      <c r="A87" s="405" t="s">
        <v>636</v>
      </c>
      <c r="B87" s="355"/>
      <c r="C87" s="407">
        <v>90000000</v>
      </c>
      <c r="D87" s="407">
        <v>90000000</v>
      </c>
      <c r="E87" s="407">
        <v>90000000</v>
      </c>
      <c r="F87" s="407">
        <v>90000000</v>
      </c>
      <c r="G87" s="407">
        <v>90000000</v>
      </c>
      <c r="H87" s="407">
        <v>90000000</v>
      </c>
      <c r="I87" s="407">
        <v>90000000</v>
      </c>
      <c r="J87" s="407">
        <v>90000000</v>
      </c>
      <c r="K87" s="407">
        <v>90000000</v>
      </c>
      <c r="L87" s="407">
        <v>90000000</v>
      </c>
      <c r="M87" s="407">
        <v>90000000</v>
      </c>
      <c r="N87" s="407">
        <v>90000000</v>
      </c>
      <c r="O87" s="425" t="s">
        <v>634</v>
      </c>
      <c r="P87" s="407"/>
      <c r="Q87" s="407"/>
      <c r="R87" s="407"/>
      <c r="S87" s="407"/>
      <c r="T87" s="407"/>
      <c r="U87" s="407"/>
      <c r="V87" s="355"/>
      <c r="W87" s="355"/>
      <c r="X87" s="407">
        <v>10655400</v>
      </c>
    </row>
    <row r="88" spans="1:24" ht="15.75">
      <c r="A88" s="405" t="s">
        <v>637</v>
      </c>
      <c r="B88" s="355"/>
      <c r="C88" s="407">
        <v>84500000</v>
      </c>
      <c r="D88" s="407">
        <v>84500000</v>
      </c>
      <c r="E88" s="407">
        <v>84500000</v>
      </c>
      <c r="F88" s="407">
        <v>84500000</v>
      </c>
      <c r="G88" s="407">
        <v>84500000</v>
      </c>
      <c r="H88" s="407">
        <v>369500000</v>
      </c>
      <c r="I88" s="407">
        <v>369500000</v>
      </c>
      <c r="J88" s="407">
        <v>369500000</v>
      </c>
      <c r="K88" s="407">
        <v>369500000</v>
      </c>
      <c r="L88" s="407">
        <v>369500000</v>
      </c>
      <c r="M88" s="407">
        <v>369500000</v>
      </c>
      <c r="N88" s="407">
        <v>369500000</v>
      </c>
      <c r="O88" s="425" t="s">
        <v>634</v>
      </c>
      <c r="P88" s="407"/>
      <c r="Q88" s="407"/>
      <c r="R88" s="407"/>
      <c r="S88" s="407"/>
      <c r="T88" s="407"/>
      <c r="U88" s="407"/>
      <c r="V88" s="355"/>
      <c r="W88" s="355"/>
      <c r="X88" s="407"/>
    </row>
    <row r="89" spans="1:24" ht="15.75">
      <c r="A89" s="405" t="s">
        <v>638</v>
      </c>
      <c r="B89" s="355"/>
      <c r="C89" s="407">
        <v>44000000</v>
      </c>
      <c r="D89" s="407">
        <v>44000000</v>
      </c>
      <c r="E89" s="407">
        <v>44000000</v>
      </c>
      <c r="F89" s="407">
        <v>44000000</v>
      </c>
      <c r="G89" s="407">
        <v>44000000</v>
      </c>
      <c r="H89" s="407">
        <v>44000000</v>
      </c>
      <c r="I89" s="407">
        <v>44000000</v>
      </c>
      <c r="J89" s="407">
        <v>44000000</v>
      </c>
      <c r="K89" s="407">
        <v>44000000</v>
      </c>
      <c r="L89" s="407">
        <v>44000000</v>
      </c>
      <c r="M89" s="407">
        <v>44000000</v>
      </c>
      <c r="N89" s="407">
        <v>44000000</v>
      </c>
      <c r="O89" s="425" t="s">
        <v>634</v>
      </c>
      <c r="P89" s="407"/>
      <c r="Q89" s="407"/>
      <c r="R89" s="407"/>
      <c r="S89" s="407"/>
      <c r="T89" s="407"/>
      <c r="U89" s="407"/>
      <c r="V89" s="355"/>
      <c r="W89" s="355"/>
      <c r="X89" s="407">
        <v>3835944000</v>
      </c>
    </row>
    <row r="90" spans="1:24" ht="15.75">
      <c r="A90" s="405" t="s">
        <v>639</v>
      </c>
      <c r="B90" s="355"/>
      <c r="C90" s="407">
        <v>120000000</v>
      </c>
      <c r="D90" s="407">
        <v>120000000</v>
      </c>
      <c r="E90" s="407">
        <v>120000000</v>
      </c>
      <c r="F90" s="407">
        <v>120000000</v>
      </c>
      <c r="G90" s="407">
        <v>120000000</v>
      </c>
      <c r="H90" s="407">
        <v>200000000</v>
      </c>
      <c r="I90" s="407">
        <v>200000000</v>
      </c>
      <c r="J90" s="407">
        <v>200000000</v>
      </c>
      <c r="K90" s="407">
        <v>200000000</v>
      </c>
      <c r="L90" s="407">
        <v>200000000</v>
      </c>
      <c r="M90" s="407">
        <v>200000000</v>
      </c>
      <c r="N90" s="407">
        <v>200000000</v>
      </c>
      <c r="O90" s="425" t="s">
        <v>634</v>
      </c>
      <c r="P90" s="407"/>
      <c r="Q90" s="407"/>
      <c r="R90" s="407"/>
      <c r="S90" s="407"/>
      <c r="T90" s="407"/>
      <c r="U90" s="407"/>
      <c r="V90" s="355"/>
      <c r="W90" s="355"/>
      <c r="X90" s="355"/>
    </row>
    <row r="91" spans="1:24" ht="15.75">
      <c r="A91" s="410" t="s">
        <v>640</v>
      </c>
      <c r="B91" s="355"/>
      <c r="C91" s="407">
        <v>89250000</v>
      </c>
      <c r="D91" s="407">
        <v>255000000</v>
      </c>
      <c r="E91" s="407">
        <v>255000000</v>
      </c>
      <c r="F91" s="407">
        <v>255000000</v>
      </c>
      <c r="G91" s="407">
        <v>255000000</v>
      </c>
      <c r="H91" s="407">
        <v>255000000</v>
      </c>
      <c r="I91" s="407">
        <v>255000000</v>
      </c>
      <c r="J91" s="407">
        <v>255000000</v>
      </c>
      <c r="K91" s="407">
        <v>255000000</v>
      </c>
      <c r="L91" s="407">
        <v>255000000</v>
      </c>
      <c r="M91" s="407">
        <v>255000000</v>
      </c>
      <c r="N91" s="407">
        <v>255000000</v>
      </c>
      <c r="O91" s="425" t="s">
        <v>634</v>
      </c>
      <c r="P91" s="407"/>
      <c r="Q91" s="407"/>
      <c r="R91" s="407"/>
      <c r="S91" s="407"/>
      <c r="T91" s="407"/>
      <c r="U91" s="407"/>
      <c r="V91" s="355"/>
      <c r="W91" s="355"/>
      <c r="X91" s="355"/>
    </row>
    <row r="92" spans="1:24" ht="15.75">
      <c r="A92" s="405" t="s">
        <v>641</v>
      </c>
      <c r="B92" s="355"/>
      <c r="C92" s="407">
        <v>6800000</v>
      </c>
      <c r="D92" s="407">
        <v>6800000</v>
      </c>
      <c r="E92" s="407">
        <v>6800000</v>
      </c>
      <c r="F92" s="407">
        <v>6800000</v>
      </c>
      <c r="G92" s="407">
        <v>6800000</v>
      </c>
      <c r="H92" s="407">
        <v>6800000</v>
      </c>
      <c r="I92" s="407">
        <v>6800000</v>
      </c>
      <c r="J92" s="407">
        <v>6800000</v>
      </c>
      <c r="K92" s="407">
        <v>6800000</v>
      </c>
      <c r="L92" s="407">
        <v>6800000</v>
      </c>
      <c r="M92" s="407">
        <v>6800000</v>
      </c>
      <c r="N92" s="407">
        <v>6800000</v>
      </c>
      <c r="O92" s="425"/>
      <c r="P92" s="407"/>
      <c r="Q92" s="407"/>
      <c r="R92" s="407"/>
      <c r="S92" s="407"/>
      <c r="T92" s="407"/>
      <c r="U92" s="407"/>
      <c r="V92" s="355"/>
      <c r="W92" s="355"/>
      <c r="X92" s="355"/>
    </row>
    <row r="93" spans="1:24" ht="15.75">
      <c r="A93" s="405" t="s">
        <v>642</v>
      </c>
      <c r="B93" s="355"/>
      <c r="C93" s="407">
        <v>68000000</v>
      </c>
      <c r="D93" s="407">
        <v>170000000</v>
      </c>
      <c r="E93" s="407">
        <v>170000000</v>
      </c>
      <c r="F93" s="407">
        <v>170000000</v>
      </c>
      <c r="G93" s="407">
        <v>170000000</v>
      </c>
      <c r="H93" s="407">
        <v>170000000</v>
      </c>
      <c r="I93" s="407">
        <v>170000000</v>
      </c>
      <c r="J93" s="407">
        <v>170000000</v>
      </c>
      <c r="K93" s="407">
        <v>170000000</v>
      </c>
      <c r="L93" s="407">
        <v>170000000</v>
      </c>
      <c r="M93" s="407">
        <v>170000000</v>
      </c>
      <c r="N93" s="407">
        <v>170000000</v>
      </c>
      <c r="O93" s="425" t="s">
        <v>634</v>
      </c>
      <c r="P93" s="407"/>
      <c r="Q93" s="407"/>
      <c r="R93" s="407"/>
      <c r="S93" s="407"/>
      <c r="T93" s="407"/>
      <c r="U93" s="407"/>
      <c r="V93" s="355"/>
      <c r="W93" s="355"/>
      <c r="X93" s="355"/>
    </row>
    <row r="94" spans="1:24" ht="15.75">
      <c r="A94" s="405" t="s">
        <v>643</v>
      </c>
      <c r="B94" s="355"/>
      <c r="C94" s="407">
        <v>15330000</v>
      </c>
      <c r="D94" s="407">
        <v>15330000</v>
      </c>
      <c r="E94" s="407">
        <v>45990000</v>
      </c>
      <c r="F94" s="407">
        <v>45990000</v>
      </c>
      <c r="G94" s="407">
        <v>45990000</v>
      </c>
      <c r="H94" s="407">
        <v>76650000</v>
      </c>
      <c r="I94" s="407">
        <v>76650000</v>
      </c>
      <c r="J94" s="407">
        <v>76650000</v>
      </c>
      <c r="K94" s="407">
        <v>76650000</v>
      </c>
      <c r="L94" s="407">
        <v>76650000</v>
      </c>
      <c r="M94" s="407">
        <v>76650000</v>
      </c>
      <c r="N94" s="407">
        <v>76650000</v>
      </c>
      <c r="O94" s="425"/>
      <c r="P94" s="407"/>
      <c r="Q94" s="407"/>
      <c r="R94" s="407"/>
      <c r="S94" s="407"/>
      <c r="T94" s="407"/>
      <c r="U94" s="407"/>
      <c r="V94" s="355"/>
      <c r="W94" s="355"/>
      <c r="X94" s="355"/>
    </row>
    <row r="95" spans="1:24" ht="15.75">
      <c r="A95" s="405" t="s">
        <v>644</v>
      </c>
      <c r="B95" s="355"/>
      <c r="C95" s="407">
        <v>94000000</v>
      </c>
      <c r="D95" s="407">
        <v>94000000</v>
      </c>
      <c r="E95" s="407">
        <v>94000000</v>
      </c>
      <c r="F95" s="407">
        <v>94000000</v>
      </c>
      <c r="G95" s="407">
        <v>94000000</v>
      </c>
      <c r="H95" s="407">
        <v>94000000</v>
      </c>
      <c r="I95" s="407">
        <v>94000000</v>
      </c>
      <c r="J95" s="407">
        <v>94000000</v>
      </c>
      <c r="K95" s="407">
        <v>94000000</v>
      </c>
      <c r="L95" s="407">
        <v>94000000</v>
      </c>
      <c r="M95" s="407">
        <v>94000000</v>
      </c>
      <c r="N95" s="407">
        <v>94000000</v>
      </c>
      <c r="O95" s="425" t="s">
        <v>634</v>
      </c>
      <c r="P95" s="407"/>
      <c r="Q95" s="407"/>
      <c r="R95" s="407"/>
      <c r="S95" s="407"/>
      <c r="T95" s="407"/>
      <c r="U95" s="407"/>
      <c r="V95" s="355"/>
      <c r="W95" s="355"/>
      <c r="X95" s="355"/>
    </row>
    <row r="96" spans="1:24" ht="15.75">
      <c r="A96" s="405" t="s">
        <v>645</v>
      </c>
      <c r="B96" s="355"/>
      <c r="C96" s="407">
        <v>129000000</v>
      </c>
      <c r="D96" s="407">
        <v>129000000</v>
      </c>
      <c r="E96" s="407">
        <v>129000000</v>
      </c>
      <c r="F96" s="407">
        <v>129000000</v>
      </c>
      <c r="G96" s="407">
        <v>129000000</v>
      </c>
      <c r="H96" s="407">
        <v>129000000</v>
      </c>
      <c r="I96" s="407">
        <v>129000000</v>
      </c>
      <c r="J96" s="407">
        <v>129000000</v>
      </c>
      <c r="K96" s="407">
        <v>129000000</v>
      </c>
      <c r="L96" s="407">
        <v>129000000</v>
      </c>
      <c r="M96" s="407">
        <v>129000000</v>
      </c>
      <c r="N96" s="407">
        <v>129000000</v>
      </c>
      <c r="O96" s="425" t="s">
        <v>634</v>
      </c>
      <c r="P96" s="407"/>
      <c r="Q96" s="407"/>
      <c r="R96" s="407"/>
      <c r="S96" s="407"/>
      <c r="T96" s="407"/>
      <c r="U96" s="407"/>
      <c r="V96" s="355"/>
      <c r="W96" s="355"/>
      <c r="X96" s="355"/>
    </row>
    <row r="97" spans="1:22" ht="15.75">
      <c r="A97" s="405" t="s">
        <v>646</v>
      </c>
      <c r="B97" s="355"/>
      <c r="C97" s="407">
        <v>10000000</v>
      </c>
      <c r="D97" s="407">
        <v>10000000</v>
      </c>
      <c r="E97" s="407">
        <v>10000000</v>
      </c>
      <c r="F97" s="407">
        <v>10000000</v>
      </c>
      <c r="G97" s="407">
        <v>10000000</v>
      </c>
      <c r="H97" s="407">
        <v>10000000</v>
      </c>
      <c r="I97" s="407">
        <v>10000000</v>
      </c>
      <c r="J97" s="407">
        <v>10000000</v>
      </c>
      <c r="K97" s="407">
        <v>10000000</v>
      </c>
      <c r="L97" s="407">
        <v>10000000</v>
      </c>
      <c r="M97" s="407">
        <v>10000000</v>
      </c>
      <c r="N97" s="407">
        <v>10000000</v>
      </c>
      <c r="O97" s="425" t="s">
        <v>634</v>
      </c>
      <c r="P97" s="407"/>
      <c r="Q97" s="407"/>
      <c r="R97" s="407"/>
      <c r="S97" s="407"/>
      <c r="T97" s="407"/>
      <c r="U97" s="407"/>
      <c r="V97" s="355"/>
    </row>
    <row r="98" spans="1:22" ht="15.75">
      <c r="A98" s="405" t="s">
        <v>647</v>
      </c>
      <c r="B98" s="355"/>
      <c r="C98" s="407">
        <v>34000000</v>
      </c>
      <c r="D98" s="407">
        <v>34000000</v>
      </c>
      <c r="E98" s="407">
        <v>34000000</v>
      </c>
      <c r="F98" s="407">
        <v>34000000</v>
      </c>
      <c r="G98" s="407">
        <v>34000000</v>
      </c>
      <c r="H98" s="407">
        <v>34000000</v>
      </c>
      <c r="I98" s="407">
        <v>34000000</v>
      </c>
      <c r="J98" s="407">
        <v>34000000</v>
      </c>
      <c r="K98" s="407">
        <v>34000000</v>
      </c>
      <c r="L98" s="407">
        <v>34000000</v>
      </c>
      <c r="M98" s="407">
        <v>34000000</v>
      </c>
      <c r="N98" s="407">
        <v>34000000</v>
      </c>
      <c r="O98" s="425" t="s">
        <v>634</v>
      </c>
      <c r="P98" s="407"/>
      <c r="Q98" s="407"/>
      <c r="R98" s="407"/>
      <c r="S98" s="407"/>
      <c r="T98" s="407"/>
      <c r="U98" s="407"/>
      <c r="V98" s="355"/>
    </row>
    <row r="99" spans="1:22" ht="15.75">
      <c r="A99" s="405"/>
      <c r="B99" s="406"/>
      <c r="C99" s="407"/>
      <c r="D99" s="407"/>
      <c r="E99" s="407"/>
      <c r="F99" s="407"/>
      <c r="G99" s="407"/>
      <c r="H99" s="407"/>
      <c r="I99" s="407"/>
      <c r="J99" s="407"/>
      <c r="K99" s="407"/>
      <c r="L99" s="407"/>
      <c r="M99" s="407"/>
      <c r="N99" s="407"/>
      <c r="O99" s="407"/>
      <c r="P99" s="407"/>
      <c r="Q99" s="407"/>
      <c r="R99" s="407"/>
      <c r="S99" s="407"/>
      <c r="T99" s="407"/>
      <c r="U99" s="407"/>
      <c r="V99" s="355"/>
    </row>
    <row r="100" spans="1:22" ht="15.75">
      <c r="A100" s="405"/>
      <c r="B100" s="406"/>
      <c r="C100" s="407"/>
      <c r="D100" s="407"/>
      <c r="E100" s="407"/>
      <c r="F100" s="407"/>
      <c r="G100" s="407"/>
      <c r="H100" s="407"/>
      <c r="I100" s="407"/>
      <c r="J100" s="407"/>
      <c r="K100" s="407"/>
      <c r="L100" s="407"/>
      <c r="M100" s="407"/>
      <c r="N100" s="407"/>
      <c r="O100" s="407"/>
      <c r="P100" s="407"/>
      <c r="Q100" s="407"/>
      <c r="R100" s="407"/>
      <c r="S100" s="407"/>
      <c r="T100" s="407"/>
      <c r="U100" s="407"/>
      <c r="V100" s="355"/>
    </row>
    <row r="101" spans="1:22" ht="15.75">
      <c r="A101" s="355"/>
      <c r="B101" s="406"/>
      <c r="C101" s="407"/>
      <c r="D101" s="407"/>
      <c r="E101" s="407"/>
      <c r="F101" s="407"/>
      <c r="G101" s="407"/>
      <c r="H101" s="407"/>
      <c r="I101" s="407"/>
      <c r="J101" s="407"/>
      <c r="K101" s="407"/>
      <c r="L101" s="407"/>
      <c r="M101" s="407"/>
      <c r="N101" s="407"/>
      <c r="O101" s="407"/>
      <c r="P101" s="407"/>
      <c r="Q101" s="407"/>
      <c r="R101" s="407"/>
      <c r="S101" s="407"/>
      <c r="T101" s="407"/>
      <c r="U101" s="407"/>
      <c r="V101" s="355"/>
    </row>
    <row r="102" spans="1:22" ht="15.75">
      <c r="A102" s="355"/>
      <c r="B102" s="406"/>
      <c r="C102" s="407"/>
      <c r="D102" s="407"/>
      <c r="E102" s="407"/>
      <c r="F102" s="407"/>
      <c r="G102" s="407"/>
      <c r="H102" s="407"/>
      <c r="I102" s="407"/>
      <c r="J102" s="407"/>
      <c r="K102" s="407"/>
      <c r="L102" s="407"/>
      <c r="M102" s="407"/>
      <c r="N102" s="407"/>
      <c r="O102" s="407"/>
      <c r="P102" s="407"/>
      <c r="Q102" s="407"/>
      <c r="R102" s="407"/>
      <c r="S102" s="407"/>
      <c r="T102" s="407"/>
      <c r="U102" s="407"/>
      <c r="V102" s="355"/>
    </row>
    <row r="103" spans="1:22" ht="15.75">
      <c r="A103" s="355" t="s">
        <v>197</v>
      </c>
      <c r="B103" s="406"/>
      <c r="C103" s="407">
        <v>1554880000</v>
      </c>
      <c r="D103" s="407">
        <v>1922630000</v>
      </c>
      <c r="E103" s="407">
        <v>2053290000</v>
      </c>
      <c r="F103" s="407">
        <v>2273290000</v>
      </c>
      <c r="G103" s="407">
        <v>2493290000</v>
      </c>
      <c r="H103" s="407">
        <v>2888950000</v>
      </c>
      <c r="I103" s="407">
        <v>2888950000</v>
      </c>
      <c r="J103" s="407">
        <v>2888950000</v>
      </c>
      <c r="K103" s="407">
        <v>2888950000</v>
      </c>
      <c r="L103" s="407">
        <v>2888950000</v>
      </c>
      <c r="M103" s="407">
        <v>2888950000</v>
      </c>
      <c r="N103" s="407">
        <v>2888950000</v>
      </c>
      <c r="O103" s="407"/>
      <c r="P103" s="407"/>
      <c r="Q103" s="407"/>
      <c r="R103" s="407"/>
      <c r="S103" s="407"/>
      <c r="T103" s="407"/>
      <c r="U103" s="407"/>
      <c r="V103" s="355"/>
    </row>
    <row r="104" spans="1:22" ht="15.75">
      <c r="A104" s="355"/>
      <c r="B104" s="406"/>
      <c r="C104" s="355"/>
      <c r="D104" s="355"/>
      <c r="E104" s="355"/>
      <c r="F104" s="355"/>
      <c r="G104" s="355"/>
      <c r="H104" s="355"/>
      <c r="I104" s="355"/>
      <c r="J104" s="355"/>
      <c r="K104" s="355"/>
      <c r="L104" s="355"/>
      <c r="M104" s="355"/>
      <c r="N104" s="355"/>
      <c r="O104" s="355"/>
      <c r="P104" s="355"/>
      <c r="Q104" s="355"/>
      <c r="R104" s="355"/>
      <c r="S104" s="355"/>
      <c r="T104" s="355"/>
      <c r="U104" s="355"/>
      <c r="V104" s="355"/>
    </row>
    <row r="105" spans="1:22" ht="15.75">
      <c r="A105" s="355" t="s">
        <v>648</v>
      </c>
      <c r="B105" s="355"/>
      <c r="C105" s="355"/>
      <c r="D105" s="355"/>
      <c r="E105" s="355"/>
      <c r="F105" s="355"/>
      <c r="G105" s="355"/>
      <c r="H105" s="355"/>
      <c r="I105" s="355"/>
      <c r="J105" s="355"/>
      <c r="K105" s="355"/>
      <c r="L105" s="355"/>
      <c r="M105" s="355"/>
      <c r="N105" s="355"/>
      <c r="O105" s="355"/>
      <c r="P105" s="355"/>
      <c r="Q105" s="355"/>
      <c r="R105" s="355"/>
      <c r="S105" s="355"/>
      <c r="T105" s="355"/>
      <c r="U105" s="355"/>
      <c r="V105" s="355"/>
    </row>
    <row r="106" spans="1:22" ht="25.5">
      <c r="A106" s="404"/>
      <c r="B106" s="411" t="s">
        <v>62</v>
      </c>
      <c r="C106" s="404">
        <v>2019</v>
      </c>
      <c r="D106" s="404">
        <v>2020</v>
      </c>
      <c r="E106" s="404">
        <v>2021</v>
      </c>
      <c r="F106" s="404">
        <v>2022</v>
      </c>
      <c r="G106" s="404">
        <v>2023</v>
      </c>
      <c r="H106" s="404">
        <v>2024</v>
      </c>
      <c r="I106" s="404">
        <v>2025</v>
      </c>
      <c r="J106" s="404">
        <v>2026</v>
      </c>
      <c r="K106" s="404">
        <v>2027</v>
      </c>
      <c r="L106" s="404">
        <v>2028</v>
      </c>
      <c r="M106" s="404">
        <v>2029</v>
      </c>
      <c r="N106" s="404">
        <v>2030</v>
      </c>
      <c r="O106" s="355"/>
      <c r="P106" s="355"/>
      <c r="Q106" s="355"/>
      <c r="R106" s="355"/>
      <c r="S106" s="355"/>
      <c r="T106" s="355"/>
      <c r="U106" s="355"/>
      <c r="V106" s="355"/>
    </row>
    <row r="107" spans="1:22" ht="15.75">
      <c r="A107" s="405" t="s">
        <v>649</v>
      </c>
      <c r="B107" s="406"/>
      <c r="C107" s="407">
        <v>0</v>
      </c>
      <c r="D107" s="407">
        <v>0</v>
      </c>
      <c r="E107" s="407">
        <v>0</v>
      </c>
      <c r="F107" s="407">
        <v>0</v>
      </c>
      <c r="G107" s="407">
        <v>0</v>
      </c>
      <c r="H107" s="407">
        <v>68000000</v>
      </c>
      <c r="I107" s="407">
        <v>136000000</v>
      </c>
      <c r="J107" s="407">
        <v>136000000</v>
      </c>
      <c r="K107" s="407">
        <v>136000000</v>
      </c>
      <c r="L107" s="407">
        <v>136000000</v>
      </c>
      <c r="M107" s="407">
        <v>136000000</v>
      </c>
      <c r="N107" s="407">
        <v>136000000</v>
      </c>
      <c r="O107" s="355"/>
      <c r="P107" s="355"/>
      <c r="Q107" s="355"/>
      <c r="R107" s="355"/>
      <c r="S107" s="355"/>
      <c r="T107" s="355"/>
      <c r="U107" s="355"/>
      <c r="V107" s="355"/>
    </row>
    <row r="108" spans="1:22" ht="15.75">
      <c r="A108" s="410" t="s">
        <v>650</v>
      </c>
      <c r="B108" s="406"/>
      <c r="C108" s="407">
        <v>0</v>
      </c>
      <c r="D108" s="407">
        <v>0</v>
      </c>
      <c r="E108" s="407">
        <v>0</v>
      </c>
      <c r="F108" s="407">
        <v>0</v>
      </c>
      <c r="G108" s="407">
        <v>0</v>
      </c>
      <c r="H108" s="407">
        <v>0</v>
      </c>
      <c r="I108" s="407">
        <v>0</v>
      </c>
      <c r="J108" s="407">
        <v>0</v>
      </c>
      <c r="K108" s="407">
        <v>0</v>
      </c>
      <c r="L108" s="407">
        <v>0</v>
      </c>
      <c r="M108" s="407">
        <v>0</v>
      </c>
      <c r="N108" s="407">
        <v>0</v>
      </c>
      <c r="O108" s="355"/>
      <c r="P108" s="355"/>
      <c r="Q108" s="355"/>
      <c r="R108" s="355"/>
      <c r="S108" s="355"/>
      <c r="T108" s="355"/>
      <c r="U108" s="355"/>
      <c r="V108" s="355"/>
    </row>
    <row r="109" spans="1:22" ht="15.75">
      <c r="A109" s="407" t="s">
        <v>651</v>
      </c>
      <c r="B109" s="406"/>
      <c r="C109" s="407">
        <v>0</v>
      </c>
      <c r="D109" s="407">
        <v>0</v>
      </c>
      <c r="E109" s="407">
        <v>0</v>
      </c>
      <c r="F109" s="407">
        <v>0</v>
      </c>
      <c r="G109" s="407">
        <v>0</v>
      </c>
      <c r="H109" s="407">
        <v>0</v>
      </c>
      <c r="I109" s="407">
        <v>0</v>
      </c>
      <c r="J109" s="407">
        <v>0</v>
      </c>
      <c r="K109" s="407">
        <v>0</v>
      </c>
      <c r="L109" s="407">
        <v>0</v>
      </c>
      <c r="M109" s="407">
        <v>0</v>
      </c>
      <c r="N109" s="407">
        <v>0</v>
      </c>
      <c r="O109" s="407"/>
      <c r="P109" s="407"/>
      <c r="Q109" s="407"/>
      <c r="R109" s="407"/>
      <c r="S109" s="407"/>
      <c r="T109" s="407"/>
      <c r="U109" s="407"/>
      <c r="V109" s="407"/>
    </row>
    <row r="110" spans="1:22" ht="15.75">
      <c r="A110" s="407" t="s">
        <v>652</v>
      </c>
      <c r="B110" s="406"/>
      <c r="C110" s="407">
        <v>0</v>
      </c>
      <c r="D110" s="407">
        <v>0</v>
      </c>
      <c r="E110" s="407">
        <v>0</v>
      </c>
      <c r="F110" s="407">
        <v>0</v>
      </c>
      <c r="G110" s="407">
        <v>0</v>
      </c>
      <c r="H110" s="407">
        <v>0</v>
      </c>
      <c r="I110" s="407">
        <v>0</v>
      </c>
      <c r="J110" s="407">
        <v>0</v>
      </c>
      <c r="K110" s="407">
        <v>0</v>
      </c>
      <c r="L110" s="407">
        <v>0</v>
      </c>
      <c r="M110" s="407">
        <v>0</v>
      </c>
      <c r="N110" s="407">
        <v>0</v>
      </c>
      <c r="O110" s="407"/>
      <c r="P110" s="407"/>
      <c r="Q110" s="407"/>
      <c r="R110" s="407"/>
      <c r="S110" s="407"/>
      <c r="T110" s="407"/>
      <c r="U110" s="407"/>
      <c r="V110" s="407"/>
    </row>
    <row r="111" spans="1:22" ht="15.75">
      <c r="A111" s="407" t="s">
        <v>653</v>
      </c>
      <c r="B111" s="406"/>
      <c r="C111" s="407">
        <v>0</v>
      </c>
      <c r="D111" s="407">
        <v>0</v>
      </c>
      <c r="E111" s="407">
        <v>0</v>
      </c>
      <c r="F111" s="407">
        <v>0</v>
      </c>
      <c r="G111" s="407">
        <v>0</v>
      </c>
      <c r="H111" s="407">
        <v>0</v>
      </c>
      <c r="I111" s="407">
        <v>0</v>
      </c>
      <c r="J111" s="407">
        <v>0</v>
      </c>
      <c r="K111" s="407">
        <v>0</v>
      </c>
      <c r="L111" s="407">
        <v>0</v>
      </c>
      <c r="M111" s="407">
        <v>0</v>
      </c>
      <c r="N111" s="407">
        <v>0</v>
      </c>
      <c r="O111" s="407"/>
      <c r="P111" s="407"/>
      <c r="Q111" s="407"/>
      <c r="R111" s="407"/>
      <c r="S111" s="407"/>
      <c r="T111" s="407"/>
      <c r="U111" s="407"/>
      <c r="V111" s="407"/>
    </row>
    <row r="112" spans="1:22" ht="15.75">
      <c r="A112" s="407" t="s">
        <v>654</v>
      </c>
      <c r="B112" s="406"/>
      <c r="C112" s="407">
        <v>0</v>
      </c>
      <c r="D112" s="407">
        <v>0</v>
      </c>
      <c r="E112" s="407">
        <v>0</v>
      </c>
      <c r="F112" s="407">
        <v>0</v>
      </c>
      <c r="G112" s="407">
        <v>0</v>
      </c>
      <c r="H112" s="407">
        <v>0</v>
      </c>
      <c r="I112" s="407">
        <v>0</v>
      </c>
      <c r="J112" s="407">
        <v>0</v>
      </c>
      <c r="K112" s="407">
        <v>0</v>
      </c>
      <c r="L112" s="407">
        <v>0</v>
      </c>
      <c r="M112" s="407">
        <v>0</v>
      </c>
      <c r="N112" s="407">
        <v>0</v>
      </c>
      <c r="O112" s="407"/>
      <c r="P112" s="407"/>
      <c r="Q112" s="407"/>
      <c r="R112" s="407"/>
      <c r="S112" s="407"/>
      <c r="T112" s="407"/>
      <c r="U112" s="407"/>
      <c r="V112" s="407"/>
    </row>
    <row r="113" spans="1:22" ht="15.75">
      <c r="A113" s="407" t="s">
        <v>655</v>
      </c>
      <c r="B113" s="406"/>
      <c r="C113" s="407">
        <v>0</v>
      </c>
      <c r="D113" s="407">
        <v>0</v>
      </c>
      <c r="E113" s="407">
        <v>0</v>
      </c>
      <c r="F113" s="407">
        <v>0</v>
      </c>
      <c r="G113" s="407">
        <v>0</v>
      </c>
      <c r="H113" s="407">
        <v>0</v>
      </c>
      <c r="I113" s="407">
        <v>0</v>
      </c>
      <c r="J113" s="407">
        <v>0</v>
      </c>
      <c r="K113" s="407">
        <v>0</v>
      </c>
      <c r="L113" s="407">
        <v>0</v>
      </c>
      <c r="M113" s="407">
        <v>0</v>
      </c>
      <c r="N113" s="407">
        <v>0</v>
      </c>
      <c r="O113" s="407"/>
      <c r="P113" s="407"/>
      <c r="Q113" s="407"/>
      <c r="R113" s="407"/>
      <c r="S113" s="407"/>
      <c r="T113" s="407"/>
      <c r="U113" s="407"/>
      <c r="V113" s="407"/>
    </row>
    <row r="114" spans="1:22" ht="15.75">
      <c r="A114" s="407" t="s">
        <v>656</v>
      </c>
      <c r="B114" s="406"/>
      <c r="C114" s="407">
        <v>0</v>
      </c>
      <c r="D114" s="407">
        <v>0</v>
      </c>
      <c r="E114" s="407">
        <v>0</v>
      </c>
      <c r="F114" s="407">
        <v>0</v>
      </c>
      <c r="G114" s="407">
        <v>0</v>
      </c>
      <c r="H114" s="407">
        <v>0</v>
      </c>
      <c r="I114" s="407">
        <v>0</v>
      </c>
      <c r="J114" s="407">
        <v>0</v>
      </c>
      <c r="K114" s="407">
        <v>0</v>
      </c>
      <c r="L114" s="407">
        <v>0</v>
      </c>
      <c r="M114" s="407">
        <v>0</v>
      </c>
      <c r="N114" s="407">
        <v>0</v>
      </c>
      <c r="O114" s="407"/>
      <c r="P114" s="407"/>
      <c r="Q114" s="407"/>
      <c r="R114" s="407"/>
      <c r="S114" s="407"/>
      <c r="T114" s="407"/>
      <c r="U114" s="407"/>
      <c r="V114" s="407"/>
    </row>
    <row r="115" spans="1:22" ht="15.75">
      <c r="A115" s="407" t="s">
        <v>656</v>
      </c>
      <c r="B115" s="406"/>
      <c r="C115" s="407">
        <v>0</v>
      </c>
      <c r="D115" s="407">
        <v>0</v>
      </c>
      <c r="E115" s="407">
        <v>0</v>
      </c>
      <c r="F115" s="407">
        <v>0</v>
      </c>
      <c r="G115" s="407">
        <v>0</v>
      </c>
      <c r="H115" s="407">
        <v>0</v>
      </c>
      <c r="I115" s="407">
        <v>0</v>
      </c>
      <c r="J115" s="407">
        <v>0</v>
      </c>
      <c r="K115" s="407">
        <v>0</v>
      </c>
      <c r="L115" s="407">
        <v>0</v>
      </c>
      <c r="M115" s="407">
        <v>0</v>
      </c>
      <c r="N115" s="407">
        <v>0</v>
      </c>
      <c r="O115" s="407"/>
      <c r="P115" s="407"/>
      <c r="Q115" s="407"/>
      <c r="R115" s="407"/>
      <c r="S115" s="407"/>
      <c r="T115" s="407"/>
      <c r="U115" s="407"/>
      <c r="V115" s="407"/>
    </row>
    <row r="116" spans="1:22" ht="15.75">
      <c r="A116" s="407" t="s">
        <v>657</v>
      </c>
      <c r="B116" s="406"/>
      <c r="C116" s="407">
        <v>0</v>
      </c>
      <c r="D116" s="407">
        <v>0</v>
      </c>
      <c r="E116" s="407">
        <v>0</v>
      </c>
      <c r="F116" s="407">
        <v>34000000</v>
      </c>
      <c r="G116" s="407">
        <v>68000000</v>
      </c>
      <c r="H116" s="407">
        <v>68000000</v>
      </c>
      <c r="I116" s="407">
        <v>68000000</v>
      </c>
      <c r="J116" s="407">
        <v>68000000</v>
      </c>
      <c r="K116" s="407">
        <v>68000000</v>
      </c>
      <c r="L116" s="407">
        <v>68000000</v>
      </c>
      <c r="M116" s="407">
        <v>68000000</v>
      </c>
      <c r="N116" s="407">
        <v>68000000</v>
      </c>
      <c r="O116" s="407"/>
      <c r="P116" s="407"/>
      <c r="Q116" s="407"/>
      <c r="R116" s="407"/>
      <c r="S116" s="407"/>
      <c r="T116" s="407"/>
      <c r="U116" s="407"/>
      <c r="V116" s="407"/>
    </row>
    <row r="117" spans="1:22" ht="15.75">
      <c r="A117" s="405" t="s">
        <v>658</v>
      </c>
      <c r="B117" s="355"/>
      <c r="C117" s="407"/>
      <c r="D117" s="407"/>
      <c r="E117" s="407"/>
      <c r="F117" s="407"/>
      <c r="G117" s="407"/>
      <c r="H117" s="407"/>
      <c r="I117" s="407">
        <v>19000000</v>
      </c>
      <c r="J117" s="407">
        <v>19000000</v>
      </c>
      <c r="K117" s="407">
        <v>19000000</v>
      </c>
      <c r="L117" s="407">
        <v>19000000</v>
      </c>
      <c r="M117" s="407">
        <v>19000000</v>
      </c>
      <c r="N117" s="407">
        <v>19000000</v>
      </c>
      <c r="O117" s="425">
        <v>2025</v>
      </c>
      <c r="P117" s="407"/>
      <c r="Q117" s="407"/>
      <c r="R117" s="407"/>
      <c r="S117" s="407"/>
      <c r="T117" s="407"/>
      <c r="U117" s="407"/>
      <c r="V117" s="407"/>
    </row>
    <row r="118" spans="1:22" ht="15.75">
      <c r="A118" s="405" t="s">
        <v>659</v>
      </c>
      <c r="B118" s="355"/>
      <c r="C118" s="407"/>
      <c r="D118" s="407"/>
      <c r="E118" s="407"/>
      <c r="F118" s="407"/>
      <c r="G118" s="407"/>
      <c r="H118" s="407">
        <v>48000000</v>
      </c>
      <c r="I118" s="407">
        <v>48000000</v>
      </c>
      <c r="J118" s="407">
        <v>48000000</v>
      </c>
      <c r="K118" s="407">
        <v>48000000</v>
      </c>
      <c r="L118" s="407">
        <v>48000000</v>
      </c>
      <c r="M118" s="407">
        <v>48000000</v>
      </c>
      <c r="N118" s="407">
        <v>48000000</v>
      </c>
      <c r="O118" s="425">
        <v>2024</v>
      </c>
      <c r="P118" s="407"/>
      <c r="Q118" s="407"/>
      <c r="R118" s="407"/>
      <c r="S118" s="407"/>
      <c r="T118" s="407"/>
      <c r="U118" s="407"/>
      <c r="V118" s="407"/>
    </row>
    <row r="119" spans="1:22" ht="15.75">
      <c r="A119" s="355"/>
      <c r="B119" s="406"/>
      <c r="C119" s="407"/>
      <c r="D119" s="407"/>
      <c r="E119" s="407"/>
      <c r="F119" s="407"/>
      <c r="G119" s="407"/>
      <c r="H119" s="407"/>
      <c r="I119" s="407"/>
      <c r="J119" s="407"/>
      <c r="K119" s="407"/>
      <c r="L119" s="407"/>
      <c r="M119" s="407"/>
      <c r="N119" s="407"/>
      <c r="O119" s="407"/>
      <c r="P119" s="407"/>
      <c r="Q119" s="407"/>
      <c r="R119" s="407"/>
      <c r="S119" s="407"/>
      <c r="T119" s="407"/>
      <c r="U119" s="407"/>
      <c r="V119" s="407"/>
    </row>
    <row r="120" spans="1:22" ht="15.75">
      <c r="A120" s="407" t="s">
        <v>197</v>
      </c>
      <c r="B120" s="406"/>
      <c r="C120" s="407"/>
      <c r="D120" s="407"/>
      <c r="E120" s="407"/>
      <c r="F120" s="407"/>
      <c r="G120" s="407"/>
      <c r="H120" s="407"/>
      <c r="I120" s="407"/>
      <c r="J120" s="407"/>
      <c r="K120" s="407"/>
      <c r="L120" s="407"/>
      <c r="M120" s="407"/>
      <c r="N120" s="407"/>
      <c r="O120" s="407"/>
      <c r="P120" s="407"/>
      <c r="Q120" s="407"/>
      <c r="R120" s="407"/>
      <c r="S120" s="407"/>
      <c r="T120" s="407"/>
      <c r="U120" s="407"/>
      <c r="V120" s="407"/>
    </row>
    <row r="121" spans="1:22" ht="15.75">
      <c r="A121" s="407"/>
      <c r="B121" s="355"/>
      <c r="C121" s="407">
        <v>0</v>
      </c>
      <c r="D121" s="407">
        <v>0</v>
      </c>
      <c r="E121" s="407">
        <v>0</v>
      </c>
      <c r="F121" s="407">
        <v>34000000</v>
      </c>
      <c r="G121" s="407">
        <v>68000000</v>
      </c>
      <c r="H121" s="407">
        <v>184000000</v>
      </c>
      <c r="I121" s="407">
        <v>271000000</v>
      </c>
      <c r="J121" s="407">
        <v>271000000</v>
      </c>
      <c r="K121" s="407">
        <v>271000000</v>
      </c>
      <c r="L121" s="407">
        <v>271000000</v>
      </c>
      <c r="M121" s="407">
        <v>271000000</v>
      </c>
      <c r="N121" s="407">
        <v>271000000</v>
      </c>
      <c r="O121" s="407"/>
      <c r="P121" s="407"/>
      <c r="Q121" s="407"/>
      <c r="R121" s="407"/>
      <c r="S121" s="407"/>
      <c r="T121" s="407"/>
      <c r="U121" s="407"/>
      <c r="V121" s="407"/>
    </row>
    <row r="122" spans="1:22" ht="15.75">
      <c r="A122" s="407" t="s">
        <v>660</v>
      </c>
      <c r="B122" s="355"/>
      <c r="C122" s="407"/>
      <c r="D122" s="407"/>
      <c r="E122" s="407"/>
      <c r="F122" s="407"/>
      <c r="G122" s="407"/>
      <c r="H122" s="407"/>
      <c r="I122" s="407"/>
      <c r="J122" s="407"/>
      <c r="K122" s="407"/>
      <c r="L122" s="407"/>
      <c r="M122" s="407"/>
      <c r="N122" s="407"/>
      <c r="O122" s="407"/>
      <c r="P122" s="407"/>
      <c r="Q122" s="407"/>
      <c r="R122" s="407"/>
      <c r="S122" s="407"/>
      <c r="T122" s="407"/>
      <c r="U122" s="407"/>
      <c r="V122" s="407"/>
    </row>
    <row r="123" spans="1:22" ht="25.5">
      <c r="A123" s="404"/>
      <c r="B123" s="411" t="s">
        <v>62</v>
      </c>
      <c r="C123" s="404">
        <v>2019</v>
      </c>
      <c r="D123" s="404">
        <v>2020</v>
      </c>
      <c r="E123" s="404">
        <v>2021</v>
      </c>
      <c r="F123" s="404">
        <v>2022</v>
      </c>
      <c r="G123" s="404">
        <v>2023</v>
      </c>
      <c r="H123" s="404">
        <v>2024</v>
      </c>
      <c r="I123" s="404">
        <v>2025</v>
      </c>
      <c r="J123" s="404">
        <v>2026</v>
      </c>
      <c r="K123" s="404">
        <v>2027</v>
      </c>
      <c r="L123" s="404">
        <v>2028</v>
      </c>
      <c r="M123" s="404">
        <v>2029</v>
      </c>
      <c r="N123" s="404">
        <v>2030</v>
      </c>
      <c r="O123" s="355"/>
      <c r="P123" s="355"/>
      <c r="Q123" s="355"/>
      <c r="R123" s="355"/>
      <c r="S123" s="355"/>
      <c r="T123" s="355"/>
      <c r="U123" s="355"/>
      <c r="V123" s="355"/>
    </row>
    <row r="124" spans="1:22" ht="15.75">
      <c r="A124" s="410"/>
      <c r="B124" s="406"/>
      <c r="C124" s="407"/>
      <c r="D124" s="407"/>
      <c r="E124" s="407"/>
      <c r="F124" s="407"/>
      <c r="G124" s="407"/>
      <c r="H124" s="407"/>
      <c r="I124" s="407"/>
      <c r="J124" s="407"/>
      <c r="K124" s="407"/>
      <c r="L124" s="407"/>
      <c r="M124" s="407"/>
      <c r="N124" s="407"/>
      <c r="O124" s="407"/>
      <c r="P124" s="407"/>
      <c r="Q124" s="407"/>
      <c r="R124" s="407"/>
      <c r="S124" s="407"/>
      <c r="T124" s="407"/>
      <c r="U124" s="407"/>
      <c r="V124" s="407"/>
    </row>
    <row r="125" spans="1:22" ht="15.75">
      <c r="A125" s="410"/>
      <c r="B125" s="406"/>
      <c r="C125" s="407"/>
      <c r="D125" s="407"/>
      <c r="E125" s="407"/>
      <c r="F125" s="407"/>
      <c r="G125" s="407"/>
      <c r="H125" s="407"/>
      <c r="I125" s="407"/>
      <c r="J125" s="407"/>
      <c r="K125" s="407"/>
      <c r="L125" s="407"/>
      <c r="M125" s="407"/>
      <c r="N125" s="407"/>
      <c r="O125" s="407"/>
      <c r="P125" s="407"/>
      <c r="Q125" s="407"/>
      <c r="R125" s="407"/>
      <c r="S125" s="407"/>
      <c r="T125" s="407"/>
      <c r="U125" s="407"/>
      <c r="V125" s="407"/>
    </row>
    <row r="126" spans="1:22" ht="15.75">
      <c r="A126" s="410"/>
      <c r="B126" s="406"/>
      <c r="C126" s="407"/>
      <c r="D126" s="407"/>
      <c r="E126" s="407"/>
      <c r="F126" s="407"/>
      <c r="G126" s="407"/>
      <c r="H126" s="407"/>
      <c r="I126" s="407"/>
      <c r="J126" s="407"/>
      <c r="K126" s="407"/>
      <c r="L126" s="407"/>
      <c r="M126" s="407"/>
      <c r="N126" s="407"/>
      <c r="O126" s="407"/>
      <c r="P126" s="407"/>
      <c r="Q126" s="407"/>
      <c r="R126" s="407"/>
      <c r="S126" s="407"/>
      <c r="T126" s="407"/>
      <c r="U126" s="407"/>
      <c r="V126" s="407"/>
    </row>
    <row r="127" spans="1:22" ht="15.75">
      <c r="A127" s="407"/>
      <c r="B127" s="406"/>
      <c r="C127" s="407"/>
      <c r="D127" s="407"/>
      <c r="E127" s="407"/>
      <c r="F127" s="407"/>
      <c r="G127" s="407"/>
      <c r="H127" s="407"/>
      <c r="I127" s="407"/>
      <c r="J127" s="407"/>
      <c r="K127" s="407"/>
      <c r="L127" s="407"/>
      <c r="M127" s="407"/>
      <c r="N127" s="407"/>
      <c r="O127" s="407"/>
      <c r="P127" s="407"/>
      <c r="Q127" s="407"/>
      <c r="R127" s="407"/>
      <c r="S127" s="407"/>
      <c r="T127" s="407"/>
      <c r="U127" s="407"/>
      <c r="V127" s="407"/>
    </row>
    <row r="128" spans="1:22" ht="15.75">
      <c r="A128" s="407"/>
      <c r="B128" s="406"/>
      <c r="C128" s="407"/>
      <c r="D128" s="407"/>
      <c r="E128" s="407"/>
      <c r="F128" s="407"/>
      <c r="G128" s="407"/>
      <c r="H128" s="407"/>
      <c r="I128" s="407"/>
      <c r="J128" s="407"/>
      <c r="K128" s="407"/>
      <c r="L128" s="407"/>
      <c r="M128" s="407"/>
      <c r="N128" s="407"/>
      <c r="O128" s="407"/>
      <c r="P128" s="407"/>
      <c r="Q128" s="407"/>
      <c r="R128" s="407"/>
      <c r="S128" s="407"/>
      <c r="T128" s="407"/>
      <c r="U128" s="407"/>
      <c r="V128" s="407"/>
    </row>
    <row r="129" spans="1:22" ht="15.75">
      <c r="A129" s="407"/>
      <c r="B129" s="406"/>
      <c r="C129" s="407"/>
      <c r="D129" s="407"/>
      <c r="E129" s="407"/>
      <c r="F129" s="407"/>
      <c r="G129" s="407"/>
      <c r="H129" s="407"/>
      <c r="I129" s="407"/>
      <c r="J129" s="407"/>
      <c r="K129" s="407"/>
      <c r="L129" s="407"/>
      <c r="M129" s="407"/>
      <c r="N129" s="407"/>
      <c r="O129" s="407"/>
      <c r="P129" s="407"/>
      <c r="Q129" s="407"/>
      <c r="R129" s="407"/>
      <c r="S129" s="407"/>
      <c r="T129" s="407"/>
      <c r="U129" s="407"/>
      <c r="V129" s="407"/>
    </row>
    <row r="130" spans="1:22" ht="15.75">
      <c r="A130" s="407" t="s">
        <v>197</v>
      </c>
      <c r="B130" s="406"/>
      <c r="C130" s="407">
        <v>0</v>
      </c>
      <c r="D130" s="407">
        <v>0</v>
      </c>
      <c r="E130" s="407">
        <v>0</v>
      </c>
      <c r="F130" s="407">
        <v>0</v>
      </c>
      <c r="G130" s="407">
        <v>0</v>
      </c>
      <c r="H130" s="407">
        <v>0</v>
      </c>
      <c r="I130" s="407">
        <v>0</v>
      </c>
      <c r="J130" s="407">
        <v>0</v>
      </c>
      <c r="K130" s="407">
        <v>0</v>
      </c>
      <c r="L130" s="407">
        <v>0</v>
      </c>
      <c r="M130" s="407">
        <v>0</v>
      </c>
      <c r="N130" s="407">
        <v>0</v>
      </c>
      <c r="O130" s="407"/>
      <c r="P130" s="407"/>
      <c r="Q130" s="407"/>
      <c r="R130" s="407"/>
      <c r="S130" s="407"/>
      <c r="T130" s="407"/>
      <c r="U130" s="407"/>
      <c r="V130" s="407"/>
    </row>
    <row r="131" spans="1:22" ht="15.75">
      <c r="A131" s="407"/>
      <c r="B131" s="406"/>
      <c r="C131" s="407"/>
      <c r="D131" s="407"/>
      <c r="E131" s="407"/>
      <c r="F131" s="407"/>
      <c r="G131" s="407"/>
      <c r="H131" s="407"/>
      <c r="I131" s="407"/>
      <c r="J131" s="407"/>
      <c r="K131" s="407"/>
      <c r="L131" s="407"/>
      <c r="M131" s="407"/>
      <c r="N131" s="407"/>
      <c r="O131" s="407"/>
      <c r="P131" s="407"/>
      <c r="Q131" s="407"/>
      <c r="R131" s="407"/>
      <c r="S131" s="407"/>
      <c r="T131" s="407"/>
      <c r="U131" s="407"/>
      <c r="V131" s="407"/>
    </row>
    <row r="132" spans="1:22" ht="15.75">
      <c r="A132" s="407"/>
      <c r="B132" s="406"/>
      <c r="C132" s="407"/>
      <c r="D132" s="407"/>
      <c r="E132" s="407"/>
      <c r="F132" s="407"/>
      <c r="G132" s="407"/>
      <c r="H132" s="407"/>
      <c r="I132" s="407"/>
      <c r="J132" s="407"/>
      <c r="K132" s="407"/>
      <c r="L132" s="407"/>
      <c r="M132" s="407"/>
      <c r="N132" s="407"/>
      <c r="O132" s="407"/>
      <c r="P132" s="407"/>
      <c r="Q132" s="407"/>
      <c r="R132" s="407"/>
      <c r="S132" s="407"/>
      <c r="T132" s="407"/>
      <c r="U132" s="407"/>
      <c r="V132" s="407"/>
    </row>
    <row r="133" spans="1:22" ht="15.75">
      <c r="A133" s="407" t="s">
        <v>623</v>
      </c>
      <c r="B133" s="406"/>
      <c r="C133" s="407">
        <v>1554880000</v>
      </c>
      <c r="D133" s="407">
        <v>1922630000</v>
      </c>
      <c r="E133" s="407">
        <v>2053290000</v>
      </c>
      <c r="F133" s="407">
        <v>2307290000</v>
      </c>
      <c r="G133" s="407">
        <v>2561290000</v>
      </c>
      <c r="H133" s="407">
        <v>3072950000</v>
      </c>
      <c r="I133" s="407">
        <v>3159950000</v>
      </c>
      <c r="J133" s="407">
        <v>3159950000</v>
      </c>
      <c r="K133" s="407">
        <v>3159950000</v>
      </c>
      <c r="L133" s="407">
        <v>3159950000</v>
      </c>
      <c r="M133" s="407">
        <v>3159950000</v>
      </c>
      <c r="N133" s="407">
        <v>3159950000</v>
      </c>
      <c r="O133" s="407"/>
      <c r="P133" s="407"/>
      <c r="Q133" s="407"/>
      <c r="R133" s="407"/>
      <c r="S133" s="407"/>
      <c r="T133" s="407"/>
      <c r="U133" s="407"/>
      <c r="V133" s="407"/>
    </row>
    <row r="134" spans="1:22" ht="15.75">
      <c r="A134" s="407"/>
      <c r="B134" s="355"/>
      <c r="C134" s="407"/>
      <c r="D134" s="407"/>
      <c r="E134" s="407"/>
      <c r="F134" s="407"/>
      <c r="G134" s="407"/>
      <c r="H134" s="407"/>
      <c r="I134" s="407"/>
      <c r="J134" s="407"/>
      <c r="K134" s="407"/>
      <c r="L134" s="407"/>
      <c r="M134" s="407"/>
      <c r="N134" s="407"/>
      <c r="O134" s="407"/>
      <c r="P134" s="407"/>
      <c r="Q134" s="407"/>
      <c r="R134" s="407"/>
      <c r="S134" s="407"/>
      <c r="T134" s="407"/>
      <c r="U134" s="407"/>
      <c r="V134" s="407"/>
    </row>
    <row r="135" spans="1:22" ht="15.75">
      <c r="A135" s="407"/>
      <c r="B135" s="423" t="s">
        <v>661</v>
      </c>
      <c r="C135" s="407">
        <v>1208080000</v>
      </c>
      <c r="D135" s="407"/>
      <c r="E135" s="407"/>
      <c r="F135" s="407"/>
      <c r="G135" s="407"/>
      <c r="H135" s="407"/>
      <c r="I135" s="407"/>
      <c r="J135" s="407"/>
      <c r="K135" s="407"/>
      <c r="L135" s="407"/>
      <c r="M135" s="407"/>
      <c r="N135" s="407"/>
      <c r="O135" s="407"/>
      <c r="P135" s="407"/>
      <c r="Q135" s="407"/>
      <c r="R135" s="407"/>
      <c r="S135" s="407"/>
      <c r="T135" s="407"/>
      <c r="U135" s="407"/>
      <c r="V135" s="407"/>
    </row>
    <row r="136" spans="1:22" ht="15.75">
      <c r="A136" s="407"/>
      <c r="B136" s="355"/>
      <c r="C136" s="407"/>
      <c r="D136" s="407"/>
      <c r="E136" s="407"/>
      <c r="F136" s="407"/>
      <c r="G136" s="407"/>
      <c r="H136" s="407"/>
      <c r="I136" s="407"/>
      <c r="J136" s="407"/>
      <c r="K136" s="407"/>
      <c r="L136" s="407"/>
      <c r="M136" s="407"/>
      <c r="N136" s="407"/>
      <c r="O136" s="407"/>
      <c r="P136" s="407"/>
      <c r="Q136" s="407"/>
      <c r="R136" s="407"/>
      <c r="S136" s="407"/>
      <c r="T136" s="407"/>
      <c r="U136" s="407"/>
      <c r="V136" s="407"/>
    </row>
    <row r="137" spans="1:22" ht="15.75">
      <c r="A137" s="408" t="s">
        <v>662</v>
      </c>
      <c r="B137" s="355"/>
      <c r="C137" s="407" t="s">
        <v>663</v>
      </c>
      <c r="D137" s="407" t="s">
        <v>664</v>
      </c>
      <c r="E137" s="407"/>
      <c r="F137" s="407"/>
      <c r="G137" s="407"/>
      <c r="H137" s="407"/>
      <c r="I137" s="407"/>
      <c r="J137" s="407"/>
      <c r="K137" s="407"/>
      <c r="L137" s="407"/>
      <c r="M137" s="407"/>
      <c r="N137" s="407"/>
      <c r="O137" s="407"/>
      <c r="P137" s="407"/>
      <c r="Q137" s="407"/>
      <c r="R137" s="407"/>
      <c r="S137" s="407"/>
      <c r="T137" s="407"/>
      <c r="U137" s="407"/>
      <c r="V137" s="407"/>
    </row>
    <row r="138" spans="1:22" ht="15.75">
      <c r="A138" s="407"/>
      <c r="B138" s="355"/>
      <c r="C138" s="407">
        <v>5000000000</v>
      </c>
      <c r="D138" s="407">
        <v>1320860000</v>
      </c>
      <c r="E138" s="407"/>
      <c r="F138" s="407"/>
      <c r="G138" s="407"/>
      <c r="H138" s="407"/>
      <c r="I138" s="407"/>
      <c r="J138" s="407"/>
      <c r="K138" s="407"/>
      <c r="L138" s="407"/>
      <c r="M138" s="407"/>
      <c r="N138" s="407"/>
      <c r="O138" s="407"/>
      <c r="P138" s="407"/>
      <c r="Q138" s="407"/>
      <c r="R138" s="407"/>
      <c r="S138" s="407"/>
      <c r="T138" s="407"/>
      <c r="U138" s="407"/>
      <c r="V138" s="407"/>
    </row>
    <row r="139" spans="1:22" ht="15.75">
      <c r="A139" s="407" t="s">
        <v>665</v>
      </c>
      <c r="B139" s="355"/>
      <c r="C139" s="407"/>
      <c r="D139" s="407">
        <v>792516000</v>
      </c>
      <c r="E139" s="407"/>
      <c r="F139" s="407"/>
      <c r="G139" s="407"/>
      <c r="H139" s="407"/>
      <c r="I139" s="407"/>
      <c r="J139" s="407"/>
      <c r="K139" s="407"/>
      <c r="L139" s="407"/>
      <c r="M139" s="407"/>
      <c r="N139" s="407"/>
      <c r="O139" s="407"/>
      <c r="P139" s="407"/>
      <c r="Q139" s="407"/>
      <c r="R139" s="407"/>
      <c r="S139" s="407"/>
      <c r="T139" s="407"/>
      <c r="U139" s="407"/>
      <c r="V139" s="407"/>
    </row>
    <row r="140" spans="1:22" ht="15.75">
      <c r="A140" s="407"/>
      <c r="B140" s="355"/>
      <c r="C140" s="407"/>
      <c r="D140" s="407"/>
      <c r="E140" s="407"/>
      <c r="F140" s="407"/>
      <c r="G140" s="407"/>
      <c r="H140" s="407"/>
      <c r="I140" s="407"/>
      <c r="J140" s="407"/>
      <c r="K140" s="407"/>
      <c r="L140" s="407"/>
      <c r="M140" s="407"/>
      <c r="N140" s="407"/>
      <c r="O140" s="407"/>
      <c r="P140" s="407"/>
      <c r="Q140" s="407"/>
      <c r="R140" s="407"/>
      <c r="S140" s="407"/>
      <c r="T140" s="407"/>
      <c r="U140" s="407"/>
      <c r="V140" s="407"/>
    </row>
    <row r="141" spans="1:22" ht="15.75">
      <c r="A141" s="407"/>
      <c r="B141" s="355"/>
      <c r="C141" s="407"/>
      <c r="D141" s="407"/>
      <c r="E141" s="407"/>
      <c r="F141" s="407"/>
      <c r="G141" s="407"/>
      <c r="H141" s="407"/>
      <c r="I141" s="407"/>
      <c r="J141" s="407"/>
      <c r="K141" s="407"/>
      <c r="L141" s="407"/>
      <c r="M141" s="407"/>
      <c r="N141" s="407"/>
      <c r="O141" s="407"/>
      <c r="P141" s="407"/>
      <c r="Q141" s="407"/>
      <c r="R141" s="407"/>
      <c r="S141" s="407"/>
      <c r="T141" s="407"/>
      <c r="U141" s="407"/>
      <c r="V141" s="407"/>
    </row>
    <row r="142" spans="1:22" ht="15.75">
      <c r="A142" s="407"/>
      <c r="B142" s="355"/>
      <c r="C142" s="407"/>
      <c r="D142" s="407"/>
      <c r="E142" s="407"/>
      <c r="F142" s="407"/>
      <c r="G142" s="407"/>
      <c r="H142" s="407"/>
      <c r="I142" s="407"/>
      <c r="J142" s="407"/>
      <c r="K142" s="407"/>
      <c r="L142" s="407"/>
      <c r="M142" s="407"/>
      <c r="N142" s="407"/>
      <c r="O142" s="407"/>
      <c r="P142" s="407"/>
      <c r="Q142" s="407"/>
      <c r="R142" s="407"/>
      <c r="S142" s="407"/>
      <c r="T142" s="407"/>
      <c r="U142" s="407"/>
      <c r="V142" s="407"/>
    </row>
    <row r="143" spans="1:22" ht="15.75">
      <c r="A143" s="407"/>
      <c r="B143" s="355"/>
      <c r="C143" s="407"/>
      <c r="D143" s="407"/>
      <c r="E143" s="407"/>
      <c r="F143" s="407"/>
      <c r="G143" s="407"/>
      <c r="H143" s="407"/>
      <c r="I143" s="407"/>
      <c r="J143" s="407"/>
      <c r="K143" s="407"/>
      <c r="L143" s="407"/>
      <c r="M143" s="407"/>
      <c r="N143" s="407"/>
      <c r="O143" s="407"/>
      <c r="P143" s="407"/>
      <c r="Q143" s="407"/>
      <c r="R143" s="407"/>
      <c r="S143" s="407"/>
      <c r="T143" s="407"/>
      <c r="U143" s="407"/>
      <c r="V143" s="407"/>
    </row>
    <row r="144" spans="1:22" ht="15.75">
      <c r="A144" s="407"/>
      <c r="B144" s="355"/>
      <c r="C144" s="407"/>
      <c r="D144" s="407"/>
      <c r="E144" s="407"/>
      <c r="F144" s="407"/>
      <c r="G144" s="407"/>
      <c r="H144" s="407"/>
      <c r="I144" s="407"/>
      <c r="J144" s="407"/>
      <c r="K144" s="407"/>
      <c r="L144" s="407"/>
      <c r="M144" s="407"/>
      <c r="N144" s="407"/>
      <c r="O144" s="407"/>
      <c r="P144" s="407"/>
      <c r="Q144" s="407"/>
      <c r="R144" s="407"/>
      <c r="S144" s="407"/>
      <c r="T144" s="407"/>
      <c r="U144" s="407"/>
      <c r="V144" s="407"/>
    </row>
    <row r="145" spans="1:22" ht="15.75">
      <c r="A145" s="407"/>
      <c r="B145" s="355"/>
      <c r="C145" s="407"/>
      <c r="D145" s="407"/>
      <c r="E145" s="407"/>
      <c r="F145" s="407"/>
      <c r="G145" s="407"/>
      <c r="H145" s="407"/>
      <c r="I145" s="407"/>
      <c r="J145" s="407"/>
      <c r="K145" s="407"/>
      <c r="L145" s="407"/>
      <c r="M145" s="407"/>
      <c r="N145" s="407"/>
      <c r="O145" s="407"/>
      <c r="P145" s="407"/>
      <c r="Q145" s="407"/>
      <c r="R145" s="407"/>
      <c r="S145" s="407"/>
      <c r="T145" s="407"/>
      <c r="U145" s="407"/>
      <c r="V145" s="407"/>
    </row>
    <row r="146" spans="1:22" ht="15.75">
      <c r="A146" s="407"/>
      <c r="B146" s="355"/>
      <c r="C146" s="407"/>
      <c r="D146" s="407"/>
      <c r="E146" s="407"/>
      <c r="F146" s="407"/>
      <c r="G146" s="407"/>
      <c r="H146" s="407"/>
      <c r="I146" s="407"/>
      <c r="J146" s="407"/>
      <c r="K146" s="407"/>
      <c r="L146" s="407"/>
      <c r="M146" s="407"/>
      <c r="N146" s="407"/>
      <c r="O146" s="407"/>
      <c r="P146" s="407"/>
      <c r="Q146" s="407"/>
      <c r="R146" s="407"/>
      <c r="S146" s="407"/>
      <c r="T146" s="407"/>
      <c r="U146" s="407"/>
      <c r="V146" s="407"/>
    </row>
    <row r="147" spans="1:22" ht="15.75">
      <c r="A147" s="407"/>
      <c r="B147" s="355"/>
      <c r="C147" s="407"/>
      <c r="D147" s="407"/>
      <c r="E147" s="407"/>
      <c r="F147" s="407"/>
      <c r="G147" s="407"/>
      <c r="H147" s="407"/>
      <c r="I147" s="407"/>
      <c r="J147" s="407"/>
      <c r="K147" s="407"/>
      <c r="L147" s="407"/>
      <c r="M147" s="407"/>
      <c r="N147" s="407"/>
      <c r="O147" s="407"/>
      <c r="P147" s="407"/>
      <c r="Q147" s="407"/>
      <c r="R147" s="407"/>
      <c r="S147" s="407"/>
      <c r="T147" s="407"/>
      <c r="U147" s="407"/>
      <c r="V147" s="407"/>
    </row>
    <row r="148" spans="1:22" ht="15.75">
      <c r="A148" s="407"/>
      <c r="B148" s="355"/>
      <c r="C148" s="407"/>
      <c r="D148" s="407"/>
      <c r="E148" s="407"/>
      <c r="F148" s="407"/>
      <c r="G148" s="407"/>
      <c r="H148" s="407"/>
      <c r="I148" s="407"/>
      <c r="J148" s="407"/>
      <c r="K148" s="407"/>
      <c r="L148" s="407"/>
      <c r="M148" s="407"/>
      <c r="N148" s="407"/>
      <c r="O148" s="407"/>
      <c r="P148" s="407"/>
      <c r="Q148" s="407"/>
      <c r="R148" s="407"/>
      <c r="S148" s="407"/>
      <c r="T148" s="407"/>
      <c r="U148" s="407"/>
      <c r="V148" s="407"/>
    </row>
    <row r="149" spans="1:22" ht="15.75">
      <c r="A149" s="407" t="s">
        <v>666</v>
      </c>
      <c r="B149" s="355"/>
      <c r="C149" s="407">
        <v>2126880000</v>
      </c>
      <c r="D149" s="407">
        <v>2604896666.666667</v>
      </c>
      <c r="E149" s="407">
        <v>2953740000</v>
      </c>
      <c r="F149" s="407">
        <v>4785957500</v>
      </c>
      <c r="G149" s="407">
        <v>6854130000</v>
      </c>
      <c r="H149" s="407">
        <v>8722716500</v>
      </c>
      <c r="I149" s="407">
        <v>9323090000</v>
      </c>
      <c r="J149" s="407">
        <v>9331090000</v>
      </c>
      <c r="K149" s="407">
        <v>9331090000</v>
      </c>
      <c r="L149" s="407">
        <v>9331090000</v>
      </c>
      <c r="M149" s="407">
        <v>9331090000</v>
      </c>
      <c r="N149" s="407">
        <v>9331090000</v>
      </c>
      <c r="O149" s="407"/>
      <c r="P149" s="407"/>
      <c r="Q149" s="407"/>
      <c r="R149" s="407"/>
      <c r="S149" s="407"/>
      <c r="T149" s="407"/>
      <c r="U149" s="407"/>
      <c r="V149" s="407"/>
    </row>
    <row r="150" spans="1:22" ht="15.75">
      <c r="A150" s="407"/>
      <c r="B150" s="355"/>
      <c r="C150" s="407"/>
      <c r="D150" s="407"/>
      <c r="E150" s="407"/>
      <c r="F150" s="407"/>
      <c r="G150" s="407"/>
      <c r="H150" s="407"/>
      <c r="I150" s="407"/>
      <c r="J150" s="407"/>
      <c r="K150" s="407"/>
      <c r="L150" s="407"/>
      <c r="M150" s="407"/>
      <c r="N150" s="407"/>
      <c r="O150" s="407"/>
      <c r="P150" s="407"/>
      <c r="Q150" s="407"/>
      <c r="R150" s="407"/>
      <c r="S150" s="407"/>
      <c r="T150" s="407"/>
      <c r="U150" s="407"/>
      <c r="V150" s="407"/>
    </row>
    <row r="151" spans="1:22" ht="15.75">
      <c r="A151" s="407"/>
      <c r="B151" s="355"/>
      <c r="C151" s="407"/>
      <c r="D151" s="407"/>
      <c r="E151" s="407"/>
      <c r="F151" s="407"/>
      <c r="G151" s="407"/>
      <c r="H151" s="407"/>
      <c r="I151" s="407"/>
      <c r="J151" s="407"/>
      <c r="K151" s="407"/>
      <c r="L151" s="407"/>
      <c r="M151" s="407"/>
      <c r="N151" s="407"/>
      <c r="O151" s="407"/>
      <c r="P151" s="407"/>
      <c r="Q151" s="407"/>
      <c r="R151" s="407"/>
      <c r="S151" s="407"/>
      <c r="T151" s="407"/>
      <c r="U151" s="407"/>
      <c r="V151" s="407"/>
    </row>
    <row r="152" spans="1:22" ht="15.75">
      <c r="A152" s="407"/>
      <c r="B152" s="355"/>
      <c r="C152" s="407"/>
      <c r="D152" s="407"/>
      <c r="E152" s="407"/>
      <c r="F152" s="407"/>
      <c r="G152" s="407"/>
      <c r="H152" s="407"/>
      <c r="I152" s="407"/>
      <c r="J152" s="407"/>
      <c r="K152" s="407"/>
      <c r="L152" s="407"/>
      <c r="M152" s="407"/>
      <c r="N152" s="407"/>
      <c r="O152" s="407"/>
      <c r="P152" s="407"/>
      <c r="Q152" s="407"/>
      <c r="R152" s="407"/>
      <c r="S152" s="407"/>
      <c r="T152" s="407"/>
      <c r="U152" s="407"/>
      <c r="V152" s="407"/>
    </row>
    <row r="153" spans="1:22" ht="15.75">
      <c r="A153" s="407" t="s">
        <v>667</v>
      </c>
      <c r="B153" s="355"/>
      <c r="C153" s="407"/>
      <c r="D153" s="407"/>
      <c r="E153" s="407"/>
      <c r="F153" s="407"/>
      <c r="G153" s="407"/>
      <c r="H153" s="407"/>
      <c r="I153" s="407"/>
      <c r="J153" s="407"/>
      <c r="K153" s="407"/>
      <c r="L153" s="407"/>
      <c r="M153" s="407"/>
      <c r="N153" s="407"/>
      <c r="O153" s="407"/>
      <c r="P153" s="407"/>
      <c r="Q153" s="407"/>
      <c r="R153" s="407"/>
      <c r="S153" s="407"/>
      <c r="T153" s="407"/>
      <c r="U153" s="407"/>
      <c r="V153" s="407"/>
    </row>
    <row r="154" spans="1:22" ht="15.75">
      <c r="A154" s="407"/>
      <c r="B154" s="355"/>
      <c r="C154" s="407"/>
      <c r="D154" s="407"/>
      <c r="E154" s="407"/>
      <c r="F154" s="407"/>
      <c r="G154" s="407"/>
      <c r="H154" s="407"/>
      <c r="I154" s="407"/>
      <c r="J154" s="407"/>
      <c r="K154" s="407"/>
      <c r="L154" s="407"/>
      <c r="M154" s="407"/>
      <c r="N154" s="407"/>
      <c r="O154" s="407"/>
      <c r="P154" s="407"/>
      <c r="Q154" s="407"/>
      <c r="R154" s="407"/>
      <c r="S154" s="407"/>
      <c r="T154" s="407"/>
      <c r="U154" s="407"/>
      <c r="V154" s="407"/>
    </row>
    <row r="155" spans="1:22" ht="15.75">
      <c r="A155" s="407"/>
      <c r="B155" s="355"/>
      <c r="C155" s="407"/>
      <c r="D155" s="407"/>
      <c r="E155" s="407"/>
      <c r="F155" s="407"/>
      <c r="G155" s="407"/>
      <c r="H155" s="407"/>
      <c r="I155" s="407"/>
      <c r="J155" s="407"/>
      <c r="K155" s="407"/>
      <c r="L155" s="407"/>
      <c r="M155" s="407"/>
      <c r="N155" s="407"/>
      <c r="O155" s="407"/>
      <c r="P155" s="407"/>
      <c r="Q155" s="407"/>
      <c r="R155" s="407"/>
      <c r="S155" s="407"/>
      <c r="T155" s="407"/>
      <c r="U155" s="407"/>
      <c r="V155" s="407"/>
    </row>
    <row r="156" spans="1:22" ht="15.75">
      <c r="A156" s="407"/>
      <c r="B156" s="355"/>
      <c r="C156" s="407"/>
      <c r="D156" s="407"/>
      <c r="E156" s="407"/>
      <c r="F156" s="407"/>
      <c r="G156" s="407"/>
      <c r="H156" s="407"/>
      <c r="I156" s="407"/>
      <c r="J156" s="407"/>
      <c r="K156" s="407"/>
      <c r="L156" s="407"/>
      <c r="M156" s="407"/>
      <c r="N156" s="407"/>
      <c r="O156" s="407"/>
      <c r="P156" s="407"/>
      <c r="Q156" s="407"/>
      <c r="R156" s="407"/>
      <c r="S156" s="407"/>
      <c r="T156" s="407"/>
      <c r="U156" s="407"/>
      <c r="V156" s="407"/>
    </row>
    <row r="157" spans="1:22" ht="15.75">
      <c r="A157" s="407"/>
      <c r="B157" s="355"/>
      <c r="C157" s="407"/>
      <c r="D157" s="407"/>
      <c r="E157" s="407"/>
      <c r="F157" s="407"/>
      <c r="G157" s="407"/>
      <c r="H157" s="407"/>
      <c r="I157" s="407"/>
      <c r="J157" s="407"/>
      <c r="K157" s="407"/>
      <c r="L157" s="407"/>
      <c r="M157" s="407"/>
      <c r="N157" s="407"/>
      <c r="O157" s="407"/>
      <c r="P157" s="407"/>
      <c r="Q157" s="407"/>
      <c r="R157" s="407"/>
      <c r="S157" s="407"/>
      <c r="T157" s="407"/>
      <c r="U157" s="407"/>
      <c r="V157" s="407"/>
    </row>
    <row r="158" spans="1:22" ht="15.75">
      <c r="A158" s="407"/>
      <c r="B158" s="355"/>
      <c r="C158" s="407"/>
      <c r="D158" s="407"/>
      <c r="E158" s="407"/>
      <c r="F158" s="407"/>
      <c r="G158" s="407"/>
      <c r="H158" s="407"/>
      <c r="I158" s="407"/>
      <c r="J158" s="407"/>
      <c r="K158" s="407"/>
      <c r="L158" s="407"/>
      <c r="M158" s="407"/>
      <c r="N158" s="407"/>
      <c r="O158" s="407"/>
      <c r="P158" s="407"/>
      <c r="Q158" s="407"/>
      <c r="R158" s="407"/>
      <c r="S158" s="407"/>
      <c r="T158" s="407"/>
      <c r="U158" s="407"/>
      <c r="V158" s="407"/>
    </row>
    <row r="159" spans="1:22" ht="15.75">
      <c r="A159" s="407"/>
      <c r="B159" s="355"/>
      <c r="C159" s="407"/>
      <c r="D159" s="407"/>
      <c r="E159" s="407"/>
      <c r="F159" s="407"/>
      <c r="G159" s="407"/>
      <c r="H159" s="407"/>
      <c r="I159" s="407"/>
      <c r="J159" s="407"/>
      <c r="K159" s="407"/>
      <c r="L159" s="407"/>
      <c r="M159" s="407"/>
      <c r="N159" s="407"/>
      <c r="O159" s="407"/>
      <c r="P159" s="407"/>
      <c r="Q159" s="407"/>
      <c r="R159" s="407"/>
      <c r="S159" s="407"/>
      <c r="T159" s="407"/>
      <c r="U159" s="407"/>
      <c r="V159" s="407"/>
    </row>
    <row r="160" spans="1:22" ht="15.75">
      <c r="A160" s="407"/>
      <c r="B160" s="355"/>
      <c r="C160" s="407"/>
      <c r="D160" s="407"/>
      <c r="E160" s="407"/>
      <c r="F160" s="407"/>
      <c r="G160" s="407"/>
      <c r="H160" s="407"/>
      <c r="I160" s="407"/>
      <c r="J160" s="407"/>
      <c r="K160" s="407"/>
      <c r="L160" s="407"/>
      <c r="M160" s="407"/>
      <c r="N160" s="407"/>
      <c r="O160" s="407"/>
      <c r="P160" s="407"/>
      <c r="Q160" s="407"/>
      <c r="R160" s="407"/>
      <c r="S160" s="407"/>
      <c r="T160" s="407"/>
      <c r="U160" s="407"/>
      <c r="V160" s="407"/>
    </row>
    <row r="161" spans="1:22" ht="15.75">
      <c r="A161" s="407"/>
      <c r="B161" s="355"/>
      <c r="C161" s="407"/>
      <c r="D161" s="407"/>
      <c r="E161" s="407"/>
      <c r="F161" s="407"/>
      <c r="G161" s="407"/>
      <c r="H161" s="407"/>
      <c r="I161" s="407"/>
      <c r="J161" s="407"/>
      <c r="K161" s="407"/>
      <c r="L161" s="407"/>
      <c r="M161" s="407"/>
      <c r="N161" s="407"/>
      <c r="O161" s="407"/>
      <c r="P161" s="407"/>
      <c r="Q161" s="407"/>
      <c r="R161" s="407"/>
      <c r="S161" s="407"/>
      <c r="T161" s="407"/>
      <c r="U161" s="407"/>
      <c r="V161" s="407"/>
    </row>
    <row r="162" spans="1:22" ht="15.75">
      <c r="A162" s="407"/>
      <c r="B162" s="355"/>
      <c r="C162" s="407"/>
      <c r="D162" s="407"/>
      <c r="E162" s="407"/>
      <c r="F162" s="407"/>
      <c r="G162" s="407"/>
      <c r="H162" s="407"/>
      <c r="I162" s="407"/>
      <c r="J162" s="407"/>
      <c r="K162" s="407"/>
      <c r="L162" s="407"/>
      <c r="M162" s="407"/>
      <c r="N162" s="407"/>
      <c r="O162" s="407"/>
      <c r="P162" s="407"/>
      <c r="Q162" s="407"/>
      <c r="R162" s="407"/>
      <c r="S162" s="407"/>
      <c r="T162" s="407"/>
      <c r="U162" s="407"/>
      <c r="V162" s="407"/>
    </row>
    <row r="175" spans="1:22" ht="15.75">
      <c r="A175" s="355"/>
      <c r="B175" s="355"/>
      <c r="C175" s="355">
        <v>0.76027397260273966</v>
      </c>
      <c r="D175" s="355"/>
      <c r="E175" s="355"/>
      <c r="F175" s="355"/>
      <c r="G175" s="355"/>
      <c r="H175" s="355"/>
      <c r="I175" s="355"/>
      <c r="J175" s="355"/>
      <c r="K175" s="355"/>
      <c r="L175" s="355"/>
      <c r="M175" s="355"/>
      <c r="N175" s="355"/>
      <c r="O175" s="355"/>
      <c r="P175" s="355"/>
      <c r="Q175" s="355"/>
      <c r="R175" s="355"/>
      <c r="S175" s="355"/>
      <c r="T175" s="355"/>
      <c r="U175" s="355"/>
      <c r="V175" s="355"/>
    </row>
    <row r="176" spans="1:22" ht="15.75">
      <c r="A176" s="355"/>
      <c r="B176" s="355"/>
      <c r="C176" s="355">
        <v>2.7962962962962963</v>
      </c>
      <c r="D176" s="355"/>
      <c r="E176" s="355"/>
      <c r="F176" s="355"/>
      <c r="G176" s="355"/>
      <c r="H176" s="355"/>
      <c r="I176" s="355"/>
      <c r="J176" s="355"/>
      <c r="K176" s="355"/>
      <c r="L176" s="355"/>
      <c r="M176" s="355"/>
      <c r="N176" s="355"/>
      <c r="O176" s="355"/>
      <c r="P176" s="355"/>
      <c r="Q176" s="355"/>
      <c r="R176" s="355"/>
      <c r="S176" s="355"/>
      <c r="T176" s="355"/>
      <c r="U176" s="355"/>
      <c r="V176" s="355"/>
    </row>
    <row r="177" spans="1:14" ht="15.75">
      <c r="A177" s="355"/>
      <c r="B177" s="355"/>
      <c r="C177" s="355">
        <v>3.7962962962962963</v>
      </c>
      <c r="D177" s="355"/>
      <c r="E177" s="355"/>
      <c r="F177" s="355"/>
      <c r="G177" s="355"/>
      <c r="H177" s="355"/>
      <c r="I177" s="355"/>
      <c r="J177" s="355"/>
      <c r="K177" s="355"/>
      <c r="L177" s="355"/>
      <c r="M177" s="355"/>
      <c r="N177" s="355"/>
    </row>
    <row r="178" spans="1:14" ht="15.75">
      <c r="A178" s="355"/>
      <c r="B178" s="355"/>
      <c r="C178" s="355">
        <v>51.25</v>
      </c>
      <c r="D178" s="355"/>
      <c r="E178" s="355"/>
      <c r="F178" s="355"/>
      <c r="G178" s="355"/>
      <c r="H178" s="355"/>
      <c r="I178" s="355"/>
      <c r="J178" s="355"/>
      <c r="K178" s="355"/>
      <c r="L178" s="355"/>
      <c r="M178" s="355"/>
      <c r="N178" s="355"/>
    </row>
    <row r="184" spans="1:14" ht="25.5">
      <c r="A184" s="402" t="s">
        <v>668</v>
      </c>
      <c r="B184" s="403" t="s">
        <v>402</v>
      </c>
      <c r="C184" s="404">
        <v>2019</v>
      </c>
      <c r="D184" s="404">
        <v>2020</v>
      </c>
      <c r="E184" s="404">
        <v>2021</v>
      </c>
      <c r="F184" s="404">
        <v>2022</v>
      </c>
      <c r="G184" s="404">
        <v>2023</v>
      </c>
      <c r="H184" s="404">
        <v>2024</v>
      </c>
      <c r="I184" s="404">
        <v>2025</v>
      </c>
      <c r="J184" s="404">
        <v>2026</v>
      </c>
      <c r="K184" s="404">
        <v>2027</v>
      </c>
      <c r="L184" s="404">
        <v>2028</v>
      </c>
      <c r="M184" s="404">
        <v>2029</v>
      </c>
      <c r="N184" s="404">
        <v>2030</v>
      </c>
    </row>
    <row r="185" spans="1:14" ht="15.75">
      <c r="A185" s="355" t="s">
        <v>545</v>
      </c>
      <c r="B185" s="423">
        <v>1</v>
      </c>
      <c r="C185" s="407">
        <v>290000000</v>
      </c>
      <c r="D185" s="407">
        <v>290000000</v>
      </c>
      <c r="E185" s="407">
        <v>290000000</v>
      </c>
      <c r="F185" s="407">
        <v>290000000</v>
      </c>
      <c r="G185" s="407">
        <v>290000000</v>
      </c>
      <c r="H185" s="407">
        <v>290000000</v>
      </c>
      <c r="I185" s="407">
        <v>290000000</v>
      </c>
      <c r="J185" s="407">
        <v>290000000</v>
      </c>
      <c r="K185" s="407">
        <v>290000000</v>
      </c>
      <c r="L185" s="407">
        <v>290000000</v>
      </c>
      <c r="M185" s="407">
        <v>290000000</v>
      </c>
      <c r="N185" s="407">
        <v>290000000</v>
      </c>
    </row>
    <row r="186" spans="1:14" ht="15.75">
      <c r="A186" s="355" t="s">
        <v>547</v>
      </c>
      <c r="B186" s="423">
        <v>1</v>
      </c>
      <c r="C186" s="407">
        <v>0</v>
      </c>
      <c r="D186" s="407">
        <v>0</v>
      </c>
      <c r="E186" s="407">
        <v>0</v>
      </c>
      <c r="F186" s="407">
        <v>400000000</v>
      </c>
      <c r="G186" s="407">
        <v>400000000</v>
      </c>
      <c r="H186" s="407">
        <v>400000000</v>
      </c>
      <c r="I186" s="407">
        <v>400000000</v>
      </c>
      <c r="J186" s="407">
        <v>400000000</v>
      </c>
      <c r="K186" s="407">
        <v>400000000</v>
      </c>
      <c r="L186" s="407">
        <v>400000000</v>
      </c>
      <c r="M186" s="407">
        <v>400000000</v>
      </c>
      <c r="N186" s="407">
        <v>400000000</v>
      </c>
    </row>
    <row r="187" spans="1:14" ht="15.75">
      <c r="A187" s="355" t="s">
        <v>404</v>
      </c>
      <c r="B187" s="423">
        <v>1</v>
      </c>
      <c r="C187" s="407">
        <v>90000000</v>
      </c>
      <c r="D187" s="407">
        <v>90000000</v>
      </c>
      <c r="E187" s="407">
        <v>90000000</v>
      </c>
      <c r="F187" s="407">
        <v>90000000</v>
      </c>
      <c r="G187" s="407">
        <v>90000000</v>
      </c>
      <c r="H187" s="407">
        <v>90000000</v>
      </c>
      <c r="I187" s="407">
        <v>90000000</v>
      </c>
      <c r="J187" s="407">
        <v>90000000</v>
      </c>
      <c r="K187" s="407">
        <v>90000000</v>
      </c>
      <c r="L187" s="407">
        <v>90000000</v>
      </c>
      <c r="M187" s="407">
        <v>90000000</v>
      </c>
      <c r="N187" s="407">
        <v>90000000</v>
      </c>
    </row>
    <row r="188" spans="1:14" ht="15.75">
      <c r="A188" s="355" t="s">
        <v>548</v>
      </c>
      <c r="B188" s="423">
        <v>0.9</v>
      </c>
      <c r="C188" s="407">
        <v>0</v>
      </c>
      <c r="D188" s="407">
        <v>0</v>
      </c>
      <c r="E188" s="407">
        <v>0</v>
      </c>
      <c r="F188" s="407">
        <v>0</v>
      </c>
      <c r="G188" s="407">
        <v>0</v>
      </c>
      <c r="H188" s="407">
        <v>225000000</v>
      </c>
      <c r="I188" s="407">
        <v>225000000</v>
      </c>
      <c r="J188" s="407">
        <v>225000000</v>
      </c>
      <c r="K188" s="407">
        <v>225000000</v>
      </c>
      <c r="L188" s="407">
        <v>225000000</v>
      </c>
      <c r="M188" s="407">
        <v>225000000</v>
      </c>
      <c r="N188" s="407">
        <v>225000000</v>
      </c>
    </row>
    <row r="189" spans="1:14" ht="15.75">
      <c r="A189" s="355" t="s">
        <v>549</v>
      </c>
      <c r="B189" s="423">
        <v>1</v>
      </c>
      <c r="C189" s="407">
        <v>45000000</v>
      </c>
      <c r="D189" s="407">
        <v>45000000</v>
      </c>
      <c r="E189" s="407">
        <v>45000000</v>
      </c>
      <c r="F189" s="407">
        <v>45000000</v>
      </c>
      <c r="G189" s="407">
        <v>45000000</v>
      </c>
      <c r="H189" s="407">
        <v>45000000</v>
      </c>
      <c r="I189" s="407">
        <v>45000000</v>
      </c>
      <c r="J189" s="407">
        <v>45000000</v>
      </c>
      <c r="K189" s="407">
        <v>45000000</v>
      </c>
      <c r="L189" s="407">
        <v>45000000</v>
      </c>
      <c r="M189" s="407">
        <v>45000000</v>
      </c>
      <c r="N189" s="407">
        <v>45000000</v>
      </c>
    </row>
    <row r="190" spans="1:14" ht="15.75">
      <c r="A190" s="355" t="s">
        <v>551</v>
      </c>
      <c r="B190" s="423">
        <v>0.7</v>
      </c>
      <c r="C190" s="407">
        <v>0</v>
      </c>
      <c r="D190" s="407">
        <v>0</v>
      </c>
      <c r="E190" s="407">
        <v>0</v>
      </c>
      <c r="F190" s="407">
        <v>0</v>
      </c>
      <c r="G190" s="407">
        <v>182000000</v>
      </c>
      <c r="H190" s="407">
        <v>182000000</v>
      </c>
      <c r="I190" s="407">
        <v>182000000</v>
      </c>
      <c r="J190" s="407">
        <v>182000000</v>
      </c>
      <c r="K190" s="407">
        <v>182000000</v>
      </c>
      <c r="L190" s="407">
        <v>182000000</v>
      </c>
      <c r="M190" s="407">
        <v>182000000</v>
      </c>
      <c r="N190" s="407">
        <v>182000000</v>
      </c>
    </row>
    <row r="191" spans="1:14" ht="15.75">
      <c r="A191" s="355" t="s">
        <v>414</v>
      </c>
      <c r="B191" s="423">
        <v>1</v>
      </c>
      <c r="C191" s="407">
        <v>100000000</v>
      </c>
      <c r="D191" s="407">
        <v>100000000</v>
      </c>
      <c r="E191" s="407">
        <v>100000000</v>
      </c>
      <c r="F191" s="407">
        <v>153300000</v>
      </c>
      <c r="G191" s="407">
        <v>153300000</v>
      </c>
      <c r="H191" s="407">
        <v>153300000</v>
      </c>
      <c r="I191" s="407">
        <v>153300000</v>
      </c>
      <c r="J191" s="407">
        <v>153300000</v>
      </c>
      <c r="K191" s="407">
        <v>153300000</v>
      </c>
      <c r="L191" s="407">
        <v>153300000</v>
      </c>
      <c r="M191" s="407">
        <v>153300000</v>
      </c>
      <c r="N191" s="407">
        <v>153300000</v>
      </c>
    </row>
    <row r="192" spans="1:14" ht="15.75">
      <c r="A192" s="355" t="s">
        <v>555</v>
      </c>
      <c r="B192" s="423">
        <v>1</v>
      </c>
      <c r="C192" s="407">
        <v>0</v>
      </c>
      <c r="D192" s="407">
        <v>10000000</v>
      </c>
      <c r="E192" s="407">
        <v>10000000</v>
      </c>
      <c r="F192" s="407">
        <v>20000000</v>
      </c>
      <c r="G192" s="407">
        <v>20000000</v>
      </c>
      <c r="H192" s="407">
        <v>20000000</v>
      </c>
      <c r="I192" s="407">
        <v>20000000</v>
      </c>
      <c r="J192" s="407">
        <v>20000000</v>
      </c>
      <c r="K192" s="407">
        <v>20000000</v>
      </c>
      <c r="L192" s="407">
        <v>20000000</v>
      </c>
      <c r="M192" s="407">
        <v>20000000</v>
      </c>
      <c r="N192" s="407">
        <v>20000000</v>
      </c>
    </row>
    <row r="193" spans="1:14" ht="15.75">
      <c r="A193" s="355" t="s">
        <v>556</v>
      </c>
      <c r="B193" s="423">
        <v>1</v>
      </c>
      <c r="C193" s="407">
        <v>0</v>
      </c>
      <c r="D193" s="407">
        <v>0</v>
      </c>
      <c r="E193" s="407">
        <v>138000000</v>
      </c>
      <c r="F193" s="407">
        <v>184000000</v>
      </c>
      <c r="G193" s="407">
        <v>184000000</v>
      </c>
      <c r="H193" s="407">
        <v>184000000</v>
      </c>
      <c r="I193" s="407">
        <v>184000000</v>
      </c>
      <c r="J193" s="407">
        <v>184000000</v>
      </c>
      <c r="K193" s="407">
        <v>184000000</v>
      </c>
      <c r="L193" s="407">
        <v>184000000</v>
      </c>
      <c r="M193" s="407">
        <v>184000000</v>
      </c>
      <c r="N193" s="407">
        <v>184000000</v>
      </c>
    </row>
    <row r="194" spans="1:14" ht="15.75">
      <c r="A194" s="355" t="s">
        <v>560</v>
      </c>
      <c r="B194" s="423">
        <v>1</v>
      </c>
      <c r="C194" s="407">
        <v>0</v>
      </c>
      <c r="D194" s="407">
        <v>266666.66666666669</v>
      </c>
      <c r="E194" s="407">
        <v>1600000</v>
      </c>
      <c r="F194" s="407">
        <v>1600000</v>
      </c>
      <c r="G194" s="407">
        <v>1600000</v>
      </c>
      <c r="H194" s="407">
        <v>1600000</v>
      </c>
      <c r="I194" s="407">
        <v>1600000</v>
      </c>
      <c r="J194" s="407">
        <v>1600000</v>
      </c>
      <c r="K194" s="407">
        <v>1600000</v>
      </c>
      <c r="L194" s="407">
        <v>1600000</v>
      </c>
      <c r="M194" s="407">
        <v>1600000</v>
      </c>
      <c r="N194" s="407">
        <v>1600000</v>
      </c>
    </row>
    <row r="195" spans="1:14" ht="15.75">
      <c r="A195" s="355" t="s">
        <v>561</v>
      </c>
      <c r="B195" s="423">
        <v>1</v>
      </c>
      <c r="C195" s="407">
        <v>3000000</v>
      </c>
      <c r="D195" s="407">
        <v>3000000</v>
      </c>
      <c r="E195" s="407">
        <v>3000000</v>
      </c>
      <c r="F195" s="407">
        <v>3000000</v>
      </c>
      <c r="G195" s="407">
        <v>3000000</v>
      </c>
      <c r="H195" s="407">
        <v>3000000</v>
      </c>
      <c r="I195" s="407">
        <v>3000000</v>
      </c>
      <c r="J195" s="407">
        <v>3000000</v>
      </c>
      <c r="K195" s="407">
        <v>3000000</v>
      </c>
      <c r="L195" s="407">
        <v>3000000</v>
      </c>
      <c r="M195" s="407">
        <v>3000000</v>
      </c>
      <c r="N195" s="407">
        <v>3000000</v>
      </c>
    </row>
    <row r="196" spans="1:14" ht="15.75">
      <c r="A196" s="355"/>
      <c r="B196" s="355"/>
      <c r="C196" s="407"/>
      <c r="D196" s="407"/>
      <c r="E196" s="407"/>
      <c r="F196" s="407"/>
      <c r="G196" s="407"/>
      <c r="H196" s="407"/>
      <c r="I196" s="407"/>
      <c r="J196" s="407"/>
      <c r="K196" s="407"/>
      <c r="L196" s="407"/>
      <c r="M196" s="407"/>
      <c r="N196" s="407"/>
    </row>
    <row r="197" spans="1:14" ht="25.5">
      <c r="A197" s="402" t="s">
        <v>669</v>
      </c>
      <c r="B197" s="403" t="s">
        <v>62</v>
      </c>
      <c r="C197" s="404">
        <v>2019</v>
      </c>
      <c r="D197" s="404">
        <v>2020</v>
      </c>
      <c r="E197" s="404">
        <v>2021</v>
      </c>
      <c r="F197" s="404">
        <v>2022</v>
      </c>
      <c r="G197" s="404">
        <v>2023</v>
      </c>
      <c r="H197" s="404">
        <v>2024</v>
      </c>
      <c r="I197" s="404">
        <v>2025</v>
      </c>
      <c r="J197" s="404">
        <v>2026</v>
      </c>
      <c r="K197" s="404">
        <v>2027</v>
      </c>
      <c r="L197" s="404">
        <v>2028</v>
      </c>
      <c r="M197" s="404">
        <v>2029</v>
      </c>
      <c r="N197" s="404">
        <v>2030</v>
      </c>
    </row>
    <row r="198" spans="1:14" ht="15.75">
      <c r="A198" s="414" t="s">
        <v>564</v>
      </c>
      <c r="B198" s="426">
        <v>0.5</v>
      </c>
      <c r="C198" s="414">
        <v>0</v>
      </c>
      <c r="D198" s="414">
        <v>0</v>
      </c>
      <c r="E198" s="414">
        <v>0</v>
      </c>
      <c r="F198" s="414">
        <v>0</v>
      </c>
      <c r="G198" s="414">
        <v>50000000</v>
      </c>
      <c r="H198" s="414">
        <v>50000000</v>
      </c>
      <c r="I198" s="414">
        <v>50000000</v>
      </c>
      <c r="J198" s="414">
        <v>50000000</v>
      </c>
      <c r="K198" s="414">
        <v>50000000</v>
      </c>
      <c r="L198" s="414">
        <v>50000000</v>
      </c>
      <c r="M198" s="414">
        <v>50000000</v>
      </c>
      <c r="N198" s="414">
        <v>50000000</v>
      </c>
    </row>
    <row r="199" spans="1:14" ht="15.75">
      <c r="A199" s="414" t="s">
        <v>568</v>
      </c>
      <c r="B199" s="426">
        <v>0</v>
      </c>
      <c r="C199" s="414">
        <v>0</v>
      </c>
      <c r="D199" s="414">
        <v>0</v>
      </c>
      <c r="E199" s="414">
        <v>0</v>
      </c>
      <c r="F199" s="414">
        <v>0</v>
      </c>
      <c r="G199" s="414">
        <v>0</v>
      </c>
      <c r="H199" s="414">
        <v>0</v>
      </c>
      <c r="I199" s="414">
        <v>0</v>
      </c>
      <c r="J199" s="414">
        <v>0</v>
      </c>
      <c r="K199" s="414">
        <v>0</v>
      </c>
      <c r="L199" s="414">
        <v>0</v>
      </c>
      <c r="M199" s="414">
        <v>0</v>
      </c>
      <c r="N199" s="414">
        <v>0</v>
      </c>
    </row>
    <row r="200" spans="1:14" ht="15.75">
      <c r="A200" s="414" t="s">
        <v>569</v>
      </c>
      <c r="B200" s="426">
        <v>0.05</v>
      </c>
      <c r="C200" s="414">
        <v>0</v>
      </c>
      <c r="D200" s="414">
        <v>0</v>
      </c>
      <c r="E200" s="414">
        <v>0</v>
      </c>
      <c r="F200" s="414">
        <v>13750000</v>
      </c>
      <c r="G200" s="414">
        <v>27500000</v>
      </c>
      <c r="H200" s="414">
        <v>27500000</v>
      </c>
      <c r="I200" s="414">
        <v>27500000</v>
      </c>
      <c r="J200" s="414">
        <v>27500000</v>
      </c>
      <c r="K200" s="414">
        <v>27500000</v>
      </c>
      <c r="L200" s="414">
        <v>27500000</v>
      </c>
      <c r="M200" s="414">
        <v>27500000</v>
      </c>
      <c r="N200" s="414">
        <v>27500000</v>
      </c>
    </row>
    <row r="201" spans="1:14" ht="15.75">
      <c r="A201" s="414" t="s">
        <v>573</v>
      </c>
      <c r="B201" s="426">
        <v>0.01</v>
      </c>
      <c r="C201" s="414">
        <v>0</v>
      </c>
      <c r="D201" s="414">
        <v>0</v>
      </c>
      <c r="E201" s="414">
        <v>0</v>
      </c>
      <c r="F201" s="414">
        <v>0</v>
      </c>
      <c r="G201" s="414">
        <v>360000</v>
      </c>
      <c r="H201" s="414">
        <v>360000</v>
      </c>
      <c r="I201" s="414">
        <v>360000</v>
      </c>
      <c r="J201" s="414">
        <v>360000</v>
      </c>
      <c r="K201" s="414">
        <v>360000</v>
      </c>
      <c r="L201" s="414">
        <v>360000</v>
      </c>
      <c r="M201" s="414">
        <v>360000</v>
      </c>
      <c r="N201" s="414">
        <v>360000</v>
      </c>
    </row>
    <row r="202" spans="1:14" ht="15.75">
      <c r="A202" s="414" t="s">
        <v>575</v>
      </c>
      <c r="B202" s="426">
        <v>0.9</v>
      </c>
      <c r="C202" s="414">
        <v>0</v>
      </c>
      <c r="D202" s="414">
        <v>0</v>
      </c>
      <c r="E202" s="414">
        <v>0</v>
      </c>
      <c r="F202" s="414">
        <v>61875000</v>
      </c>
      <c r="G202" s="414">
        <v>112500000</v>
      </c>
      <c r="H202" s="414">
        <v>112500000</v>
      </c>
      <c r="I202" s="414">
        <v>112500000</v>
      </c>
      <c r="J202" s="414">
        <v>112500000</v>
      </c>
      <c r="K202" s="414">
        <v>112500000</v>
      </c>
      <c r="L202" s="414">
        <v>112500000</v>
      </c>
      <c r="M202" s="414">
        <v>112500000</v>
      </c>
      <c r="N202" s="414">
        <v>112500000</v>
      </c>
    </row>
    <row r="203" spans="1:14" ht="15.75">
      <c r="A203" s="414" t="s">
        <v>576</v>
      </c>
      <c r="B203" s="426">
        <v>1</v>
      </c>
      <c r="C203" s="414">
        <v>0</v>
      </c>
      <c r="D203" s="414">
        <v>0</v>
      </c>
      <c r="E203" s="414">
        <v>2750000</v>
      </c>
      <c r="F203" s="414">
        <v>11000000</v>
      </c>
      <c r="G203" s="414">
        <v>11000000</v>
      </c>
      <c r="H203" s="414">
        <v>11000000</v>
      </c>
      <c r="I203" s="414">
        <v>11000000</v>
      </c>
      <c r="J203" s="414">
        <v>11000000</v>
      </c>
      <c r="K203" s="414">
        <v>11000000</v>
      </c>
      <c r="L203" s="414">
        <v>11000000</v>
      </c>
      <c r="M203" s="414">
        <v>11000000</v>
      </c>
      <c r="N203" s="414">
        <v>11000000</v>
      </c>
    </row>
    <row r="204" spans="1:14" ht="15.75">
      <c r="A204" s="414" t="s">
        <v>578</v>
      </c>
      <c r="B204" s="426">
        <v>0.01</v>
      </c>
      <c r="C204" s="414">
        <v>0</v>
      </c>
      <c r="D204" s="414">
        <v>0</v>
      </c>
      <c r="E204" s="414">
        <v>0</v>
      </c>
      <c r="F204" s="414">
        <v>0</v>
      </c>
      <c r="G204" s="414">
        <v>0</v>
      </c>
      <c r="H204" s="414">
        <v>0</v>
      </c>
      <c r="I204" s="414">
        <v>0</v>
      </c>
      <c r="J204" s="414">
        <v>0</v>
      </c>
      <c r="K204" s="414">
        <v>0</v>
      </c>
      <c r="L204" s="414">
        <v>0</v>
      </c>
      <c r="M204" s="414">
        <v>0</v>
      </c>
      <c r="N204" s="414">
        <v>0</v>
      </c>
    </row>
    <row r="205" spans="1:14" ht="15.75">
      <c r="A205" s="414" t="s">
        <v>579</v>
      </c>
      <c r="B205" s="426">
        <v>0.9</v>
      </c>
      <c r="C205" s="414">
        <v>0</v>
      </c>
      <c r="D205" s="414">
        <v>0</v>
      </c>
      <c r="E205" s="414">
        <v>0</v>
      </c>
      <c r="F205" s="414">
        <v>60750000</v>
      </c>
      <c r="G205" s="414">
        <v>81000000</v>
      </c>
      <c r="H205" s="414">
        <v>81000000</v>
      </c>
      <c r="I205" s="414">
        <v>81000000</v>
      </c>
      <c r="J205" s="414">
        <v>81000000</v>
      </c>
      <c r="K205" s="414">
        <v>81000000</v>
      </c>
      <c r="L205" s="414">
        <v>81000000</v>
      </c>
      <c r="M205" s="414">
        <v>81000000</v>
      </c>
      <c r="N205" s="414">
        <v>81000000</v>
      </c>
    </row>
    <row r="206" spans="1:14" ht="15.75">
      <c r="A206" s="414" t="s">
        <v>580</v>
      </c>
      <c r="B206" s="426">
        <v>0.75</v>
      </c>
      <c r="C206" s="414">
        <v>0</v>
      </c>
      <c r="D206" s="414">
        <v>0</v>
      </c>
      <c r="E206" s="414">
        <v>18750000</v>
      </c>
      <c r="F206" s="414">
        <v>75000000</v>
      </c>
      <c r="G206" s="414">
        <v>75000000</v>
      </c>
      <c r="H206" s="414">
        <v>75000000</v>
      </c>
      <c r="I206" s="414">
        <v>75000000</v>
      </c>
      <c r="J206" s="414">
        <v>75000000</v>
      </c>
      <c r="K206" s="414">
        <v>75000000</v>
      </c>
      <c r="L206" s="414">
        <v>75000000</v>
      </c>
      <c r="M206" s="414">
        <v>75000000</v>
      </c>
      <c r="N206" s="414">
        <v>75000000</v>
      </c>
    </row>
    <row r="207" spans="1:14" ht="15.75">
      <c r="A207" s="414" t="s">
        <v>583</v>
      </c>
      <c r="B207" s="426">
        <v>0.5</v>
      </c>
      <c r="C207" s="414">
        <v>0</v>
      </c>
      <c r="D207" s="414">
        <v>0</v>
      </c>
      <c r="E207" s="414">
        <v>0</v>
      </c>
      <c r="F207" s="414">
        <v>37500000</v>
      </c>
      <c r="G207" s="414">
        <v>75000000</v>
      </c>
      <c r="H207" s="414">
        <v>75000000</v>
      </c>
      <c r="I207" s="414">
        <v>75000000</v>
      </c>
      <c r="J207" s="414">
        <v>75000000</v>
      </c>
      <c r="K207" s="414">
        <v>75000000</v>
      </c>
      <c r="L207" s="414">
        <v>75000000</v>
      </c>
      <c r="M207" s="414">
        <v>75000000</v>
      </c>
      <c r="N207" s="414">
        <v>75000000</v>
      </c>
    </row>
    <row r="208" spans="1:14" ht="15.75">
      <c r="A208" s="414" t="s">
        <v>584</v>
      </c>
      <c r="B208" s="426">
        <v>0.8</v>
      </c>
      <c r="C208" s="414">
        <v>0</v>
      </c>
      <c r="D208" s="414">
        <v>0</v>
      </c>
      <c r="E208" s="414">
        <v>0</v>
      </c>
      <c r="F208" s="414">
        <v>51000000</v>
      </c>
      <c r="G208" s="414">
        <v>68000000</v>
      </c>
      <c r="H208" s="414">
        <v>68000000</v>
      </c>
      <c r="I208" s="414">
        <v>68000000</v>
      </c>
      <c r="J208" s="414">
        <v>68000000</v>
      </c>
      <c r="K208" s="414">
        <v>68000000</v>
      </c>
      <c r="L208" s="414">
        <v>68000000</v>
      </c>
      <c r="M208" s="414">
        <v>68000000</v>
      </c>
      <c r="N208" s="414">
        <v>68000000</v>
      </c>
    </row>
    <row r="209" spans="1:14" ht="15.75">
      <c r="A209" s="414" t="s">
        <v>585</v>
      </c>
      <c r="B209" s="426">
        <v>0.75</v>
      </c>
      <c r="C209" s="414">
        <v>0</v>
      </c>
      <c r="D209" s="414">
        <v>0</v>
      </c>
      <c r="E209" s="414">
        <v>0</v>
      </c>
      <c r="F209" s="414">
        <v>65152500</v>
      </c>
      <c r="G209" s="414">
        <v>195457500</v>
      </c>
      <c r="H209" s="414">
        <v>195457500</v>
      </c>
      <c r="I209" s="414">
        <v>195457500</v>
      </c>
      <c r="J209" s="414">
        <v>195457500</v>
      </c>
      <c r="K209" s="414">
        <v>195457500</v>
      </c>
      <c r="L209" s="414">
        <v>195457500</v>
      </c>
      <c r="M209" s="414">
        <v>195457500</v>
      </c>
      <c r="N209" s="414">
        <v>195457500</v>
      </c>
    </row>
    <row r="210" spans="1:14" ht="15.75">
      <c r="A210" s="414" t="s">
        <v>587</v>
      </c>
      <c r="B210" s="426">
        <v>0.5</v>
      </c>
      <c r="C210" s="414">
        <v>0</v>
      </c>
      <c r="D210" s="414">
        <v>0</v>
      </c>
      <c r="E210" s="414">
        <v>0</v>
      </c>
      <c r="F210" s="414">
        <v>0</v>
      </c>
      <c r="G210" s="414">
        <v>0</v>
      </c>
      <c r="H210" s="414">
        <v>178211250</v>
      </c>
      <c r="I210" s="414">
        <v>237615000</v>
      </c>
      <c r="J210" s="414">
        <v>237615000</v>
      </c>
      <c r="K210" s="414">
        <v>237615000</v>
      </c>
      <c r="L210" s="414">
        <v>237615000</v>
      </c>
      <c r="M210" s="414">
        <v>237615000</v>
      </c>
      <c r="N210" s="414">
        <v>237615000</v>
      </c>
    </row>
    <row r="211" spans="1:14" ht="15.75">
      <c r="A211" s="414" t="s">
        <v>588</v>
      </c>
      <c r="B211" s="426">
        <v>0.65</v>
      </c>
      <c r="C211" s="414">
        <v>0</v>
      </c>
      <c r="D211" s="414">
        <v>0</v>
      </c>
      <c r="E211" s="414">
        <v>0</v>
      </c>
      <c r="F211" s="414">
        <v>68250000</v>
      </c>
      <c r="G211" s="414">
        <v>136500000</v>
      </c>
      <c r="H211" s="414">
        <v>136500000</v>
      </c>
      <c r="I211" s="414">
        <v>136500000</v>
      </c>
      <c r="J211" s="414">
        <v>136500000</v>
      </c>
      <c r="K211" s="414">
        <v>136500000</v>
      </c>
      <c r="L211" s="414">
        <v>136500000</v>
      </c>
      <c r="M211" s="414">
        <v>136500000</v>
      </c>
      <c r="N211" s="414">
        <v>136500000</v>
      </c>
    </row>
    <row r="212" spans="1:14" ht="15.75">
      <c r="A212" s="414" t="s">
        <v>591</v>
      </c>
      <c r="B212" s="426">
        <v>0.8</v>
      </c>
      <c r="C212" s="414">
        <v>0</v>
      </c>
      <c r="D212" s="414">
        <v>0</v>
      </c>
      <c r="E212" s="414">
        <v>0</v>
      </c>
      <c r="F212" s="414">
        <v>0</v>
      </c>
      <c r="G212" s="414">
        <v>0</v>
      </c>
      <c r="H212" s="414">
        <v>255427200</v>
      </c>
      <c r="I212" s="414">
        <v>515088000</v>
      </c>
      <c r="J212" s="414">
        <v>515088000</v>
      </c>
      <c r="K212" s="414">
        <v>515088000</v>
      </c>
      <c r="L212" s="414">
        <v>515088000</v>
      </c>
      <c r="M212" s="414">
        <v>515088000</v>
      </c>
      <c r="N212" s="414">
        <v>515088000</v>
      </c>
    </row>
    <row r="213" spans="1:14" ht="15.75">
      <c r="A213" s="414" t="s">
        <v>595</v>
      </c>
      <c r="B213" s="426">
        <v>0.98</v>
      </c>
      <c r="C213" s="414">
        <v>0</v>
      </c>
      <c r="D213" s="414">
        <v>0</v>
      </c>
      <c r="E213" s="414">
        <v>50078000</v>
      </c>
      <c r="F213" s="414">
        <v>120187200</v>
      </c>
      <c r="G213" s="414">
        <v>117600000</v>
      </c>
      <c r="H213" s="414">
        <v>117600000</v>
      </c>
      <c r="I213" s="414">
        <v>117600000</v>
      </c>
      <c r="J213" s="414">
        <v>117600000</v>
      </c>
      <c r="K213" s="414">
        <v>117600000</v>
      </c>
      <c r="L213" s="414">
        <v>117600000</v>
      </c>
      <c r="M213" s="414">
        <v>117600000</v>
      </c>
      <c r="N213" s="414">
        <v>117600000</v>
      </c>
    </row>
    <row r="214" spans="1:14" ht="15.75">
      <c r="A214" s="414" t="s">
        <v>596</v>
      </c>
      <c r="B214" s="426">
        <v>0.01</v>
      </c>
      <c r="C214" s="414">
        <v>0</v>
      </c>
      <c r="D214" s="414">
        <v>0</v>
      </c>
      <c r="E214" s="414">
        <v>0</v>
      </c>
      <c r="F214" s="414">
        <v>80000</v>
      </c>
      <c r="G214" s="414">
        <v>161000</v>
      </c>
      <c r="H214" s="414">
        <v>161000</v>
      </c>
      <c r="I214" s="414">
        <v>161000</v>
      </c>
      <c r="J214" s="414">
        <v>161000</v>
      </c>
      <c r="K214" s="414">
        <v>161000</v>
      </c>
      <c r="L214" s="414">
        <v>161000</v>
      </c>
      <c r="M214" s="414">
        <v>161000</v>
      </c>
      <c r="N214" s="414">
        <v>161000</v>
      </c>
    </row>
    <row r="215" spans="1:14" ht="15.75">
      <c r="A215" s="414" t="s">
        <v>597</v>
      </c>
      <c r="B215" s="426">
        <v>0.35</v>
      </c>
      <c r="C215" s="414">
        <v>0</v>
      </c>
      <c r="D215" s="414">
        <v>0</v>
      </c>
      <c r="E215" s="414">
        <v>0</v>
      </c>
      <c r="F215" s="414">
        <v>1750000</v>
      </c>
      <c r="G215" s="414">
        <v>3500000</v>
      </c>
      <c r="H215" s="414">
        <v>3500000</v>
      </c>
      <c r="I215" s="414">
        <v>3500000</v>
      </c>
      <c r="J215" s="414">
        <v>3500000</v>
      </c>
      <c r="K215" s="414">
        <v>3500000</v>
      </c>
      <c r="L215" s="414">
        <v>3500000</v>
      </c>
      <c r="M215" s="414">
        <v>3500000</v>
      </c>
      <c r="N215" s="414">
        <v>3500000</v>
      </c>
    </row>
    <row r="216" spans="1:14" ht="15.75">
      <c r="A216" s="414">
        <v>0</v>
      </c>
      <c r="B216" s="426">
        <v>0</v>
      </c>
      <c r="C216" s="414">
        <v>0</v>
      </c>
      <c r="D216" s="414">
        <v>0</v>
      </c>
      <c r="E216" s="414">
        <v>0</v>
      </c>
      <c r="F216" s="414">
        <v>0</v>
      </c>
      <c r="G216" s="414">
        <v>0</v>
      </c>
      <c r="H216" s="414">
        <v>0</v>
      </c>
      <c r="I216" s="414">
        <v>0</v>
      </c>
      <c r="J216" s="414">
        <v>0</v>
      </c>
      <c r="K216" s="414">
        <v>0</v>
      </c>
      <c r="L216" s="414">
        <v>0</v>
      </c>
      <c r="M216" s="414">
        <v>0</v>
      </c>
      <c r="N216" s="414">
        <v>0</v>
      </c>
    </row>
    <row r="217" spans="1:14" ht="15.75">
      <c r="A217" s="414" t="s">
        <v>598</v>
      </c>
      <c r="B217" s="426">
        <v>0.25</v>
      </c>
      <c r="C217" s="414">
        <v>0</v>
      </c>
      <c r="D217" s="414">
        <v>0</v>
      </c>
      <c r="E217" s="414">
        <v>0</v>
      </c>
      <c r="F217" s="414">
        <v>0</v>
      </c>
      <c r="G217" s="414">
        <v>0</v>
      </c>
      <c r="H217" s="414">
        <v>0</v>
      </c>
      <c r="I217" s="414">
        <v>0</v>
      </c>
      <c r="J217" s="414">
        <v>0</v>
      </c>
      <c r="K217" s="414">
        <v>0</v>
      </c>
      <c r="L217" s="414">
        <v>0</v>
      </c>
      <c r="M217" s="414">
        <v>0</v>
      </c>
      <c r="N217" s="414">
        <v>0</v>
      </c>
    </row>
    <row r="218" spans="1:14" ht="15.75">
      <c r="A218" s="414" t="s">
        <v>486</v>
      </c>
      <c r="B218" s="426">
        <v>0.15</v>
      </c>
      <c r="C218" s="414">
        <v>0</v>
      </c>
      <c r="D218" s="414">
        <v>0</v>
      </c>
      <c r="E218" s="414">
        <v>0</v>
      </c>
      <c r="F218" s="414">
        <v>0</v>
      </c>
      <c r="G218" s="414">
        <v>0</v>
      </c>
      <c r="H218" s="414">
        <v>0</v>
      </c>
      <c r="I218" s="414">
        <v>0</v>
      </c>
      <c r="J218" s="414">
        <v>0</v>
      </c>
      <c r="K218" s="414">
        <v>0</v>
      </c>
      <c r="L218" s="414">
        <v>0</v>
      </c>
      <c r="M218" s="414">
        <v>0</v>
      </c>
      <c r="N218" s="414">
        <v>0</v>
      </c>
    </row>
    <row r="219" spans="1:14" ht="15.75">
      <c r="A219" s="414" t="s">
        <v>599</v>
      </c>
      <c r="B219" s="426">
        <v>0.9</v>
      </c>
      <c r="C219" s="414">
        <v>0</v>
      </c>
      <c r="D219" s="414">
        <v>0</v>
      </c>
      <c r="E219" s="414">
        <v>0</v>
      </c>
      <c r="F219" s="414">
        <v>0</v>
      </c>
      <c r="G219" s="414">
        <v>211500000</v>
      </c>
      <c r="H219" s="414">
        <v>423000000</v>
      </c>
      <c r="I219" s="414">
        <v>423000000</v>
      </c>
      <c r="J219" s="414">
        <v>423000000</v>
      </c>
      <c r="K219" s="414">
        <v>423000000</v>
      </c>
      <c r="L219" s="414">
        <v>423000000</v>
      </c>
      <c r="M219" s="414">
        <v>423000000</v>
      </c>
      <c r="N219" s="414">
        <v>423000000</v>
      </c>
    </row>
    <row r="220" spans="1:14" ht="15.75">
      <c r="A220" s="414" t="s">
        <v>601</v>
      </c>
      <c r="B220" s="426">
        <v>0.7</v>
      </c>
      <c r="C220" s="414">
        <v>0</v>
      </c>
      <c r="D220" s="414">
        <v>0</v>
      </c>
      <c r="E220" s="414">
        <v>0</v>
      </c>
      <c r="F220" s="414">
        <v>0</v>
      </c>
      <c r="G220" s="414">
        <v>0</v>
      </c>
      <c r="H220" s="414">
        <v>0</v>
      </c>
      <c r="I220" s="414">
        <v>0</v>
      </c>
      <c r="J220" s="414">
        <v>0</v>
      </c>
      <c r="K220" s="414">
        <v>0</v>
      </c>
      <c r="L220" s="414">
        <v>0</v>
      </c>
      <c r="M220" s="414">
        <v>0</v>
      </c>
      <c r="N220" s="414">
        <v>0</v>
      </c>
    </row>
    <row r="221" spans="1:14" ht="15.75">
      <c r="A221" s="414" t="s">
        <v>602</v>
      </c>
      <c r="B221" s="426">
        <v>0.3</v>
      </c>
      <c r="C221" s="414">
        <v>0</v>
      </c>
      <c r="D221" s="414">
        <v>0</v>
      </c>
      <c r="E221" s="414">
        <v>0</v>
      </c>
      <c r="F221" s="414">
        <v>0</v>
      </c>
      <c r="G221" s="414">
        <v>2250000</v>
      </c>
      <c r="H221" s="414">
        <v>2250000</v>
      </c>
      <c r="I221" s="414">
        <v>2250000</v>
      </c>
      <c r="J221" s="414">
        <v>2250000</v>
      </c>
      <c r="K221" s="414">
        <v>2250000</v>
      </c>
      <c r="L221" s="414">
        <v>2250000</v>
      </c>
      <c r="M221" s="414">
        <v>2250000</v>
      </c>
      <c r="N221" s="414">
        <v>2250000</v>
      </c>
    </row>
    <row r="222" spans="1:14" ht="15.75">
      <c r="A222" s="414" t="s">
        <v>603</v>
      </c>
      <c r="B222" s="426">
        <v>0.4</v>
      </c>
      <c r="C222" s="414">
        <v>0</v>
      </c>
      <c r="D222" s="414">
        <v>0</v>
      </c>
      <c r="E222" s="414">
        <v>0</v>
      </c>
      <c r="F222" s="414">
        <v>0</v>
      </c>
      <c r="G222" s="414">
        <v>24000000</v>
      </c>
      <c r="H222" s="414">
        <v>32000000</v>
      </c>
      <c r="I222" s="414">
        <v>32000000</v>
      </c>
      <c r="J222" s="414">
        <v>32000000</v>
      </c>
      <c r="K222" s="414">
        <v>32000000</v>
      </c>
      <c r="L222" s="414">
        <v>32000000</v>
      </c>
      <c r="M222" s="414">
        <v>32000000</v>
      </c>
      <c r="N222" s="414">
        <v>32000000</v>
      </c>
    </row>
    <row r="223" spans="1:14" ht="15.75">
      <c r="A223" s="414" t="s">
        <v>604</v>
      </c>
      <c r="B223" s="426">
        <v>0.05</v>
      </c>
      <c r="C223" s="414">
        <v>0</v>
      </c>
      <c r="D223" s="414">
        <v>0</v>
      </c>
      <c r="E223" s="414">
        <v>0</v>
      </c>
      <c r="F223" s="414">
        <v>0</v>
      </c>
      <c r="G223" s="414">
        <v>0</v>
      </c>
      <c r="H223" s="414">
        <v>0</v>
      </c>
      <c r="I223" s="414">
        <v>1200000</v>
      </c>
      <c r="J223" s="414">
        <v>1600000</v>
      </c>
      <c r="K223" s="414">
        <v>1600000</v>
      </c>
      <c r="L223" s="414">
        <v>1600000</v>
      </c>
      <c r="M223" s="414">
        <v>1600000</v>
      </c>
      <c r="N223" s="414">
        <v>1600000</v>
      </c>
    </row>
    <row r="224" spans="1:14" ht="15.75">
      <c r="A224" s="414" t="s">
        <v>605</v>
      </c>
      <c r="B224" s="426">
        <v>0.25</v>
      </c>
      <c r="C224" s="414">
        <v>0</v>
      </c>
      <c r="D224" s="414">
        <v>0</v>
      </c>
      <c r="E224" s="414">
        <v>0</v>
      </c>
      <c r="F224" s="414">
        <v>0</v>
      </c>
      <c r="G224" s="414">
        <v>0</v>
      </c>
      <c r="H224" s="414">
        <v>0</v>
      </c>
      <c r="I224" s="414">
        <v>0</v>
      </c>
      <c r="J224" s="414">
        <v>0</v>
      </c>
      <c r="K224" s="414">
        <v>0</v>
      </c>
      <c r="L224" s="414">
        <v>0</v>
      </c>
      <c r="M224" s="414">
        <v>0</v>
      </c>
      <c r="N224" s="414">
        <v>0</v>
      </c>
    </row>
    <row r="225" spans="1:14" ht="15.75">
      <c r="A225" s="414" t="s">
        <v>607</v>
      </c>
      <c r="B225" s="426">
        <v>0.4</v>
      </c>
      <c r="C225" s="414">
        <v>0</v>
      </c>
      <c r="D225" s="414">
        <v>0</v>
      </c>
      <c r="E225" s="414">
        <v>0</v>
      </c>
      <c r="F225" s="414">
        <v>0</v>
      </c>
      <c r="G225" s="414">
        <v>45900000</v>
      </c>
      <c r="H225" s="414">
        <v>61200000</v>
      </c>
      <c r="I225" s="414">
        <v>61200000</v>
      </c>
      <c r="J225" s="414">
        <v>61200000</v>
      </c>
      <c r="K225" s="414">
        <v>61200000</v>
      </c>
      <c r="L225" s="414">
        <v>61200000</v>
      </c>
      <c r="M225" s="414">
        <v>61200000</v>
      </c>
      <c r="N225" s="414">
        <v>61200000</v>
      </c>
    </row>
    <row r="226" spans="1:14" ht="15.75">
      <c r="A226" s="414" t="s">
        <v>608</v>
      </c>
      <c r="B226" s="426">
        <v>0.01</v>
      </c>
      <c r="C226" s="414">
        <v>0</v>
      </c>
      <c r="D226" s="414">
        <v>0</v>
      </c>
      <c r="E226" s="414">
        <v>0</v>
      </c>
      <c r="F226" s="414">
        <v>0</v>
      </c>
      <c r="G226" s="414">
        <v>1100000</v>
      </c>
      <c r="H226" s="414">
        <v>1100000</v>
      </c>
      <c r="I226" s="414">
        <v>1100000</v>
      </c>
      <c r="J226" s="414">
        <v>1100000</v>
      </c>
      <c r="K226" s="414">
        <v>1100000</v>
      </c>
      <c r="L226" s="414">
        <v>1100000</v>
      </c>
      <c r="M226" s="414">
        <v>1100000</v>
      </c>
      <c r="N226" s="414">
        <v>1100000</v>
      </c>
    </row>
    <row r="227" spans="1:14" ht="15.75">
      <c r="A227" s="414" t="s">
        <v>610</v>
      </c>
      <c r="B227" s="426">
        <v>0.7</v>
      </c>
      <c r="C227" s="414">
        <v>0</v>
      </c>
      <c r="D227" s="414">
        <v>0</v>
      </c>
      <c r="E227" s="414">
        <v>0</v>
      </c>
      <c r="F227" s="414">
        <v>29510249.999999996</v>
      </c>
      <c r="G227" s="414">
        <v>64385999.999999993</v>
      </c>
      <c r="H227" s="414">
        <v>160965000</v>
      </c>
      <c r="I227" s="414">
        <v>193158000</v>
      </c>
      <c r="J227" s="414">
        <v>193158000</v>
      </c>
      <c r="K227" s="414">
        <v>193158000</v>
      </c>
      <c r="L227" s="414">
        <v>193158000</v>
      </c>
      <c r="M227" s="414">
        <v>193158000</v>
      </c>
      <c r="N227" s="414">
        <v>193158000</v>
      </c>
    </row>
    <row r="228" spans="1:14" ht="15.75">
      <c r="A228" s="414" t="s">
        <v>613</v>
      </c>
      <c r="B228" s="426">
        <v>0.05</v>
      </c>
      <c r="C228" s="414">
        <v>0</v>
      </c>
      <c r="D228" s="414">
        <v>0</v>
      </c>
      <c r="E228" s="414">
        <v>0</v>
      </c>
      <c r="F228" s="414">
        <v>0</v>
      </c>
      <c r="G228" s="414">
        <v>0</v>
      </c>
      <c r="H228" s="414">
        <v>0</v>
      </c>
      <c r="I228" s="414">
        <v>0</v>
      </c>
      <c r="J228" s="414">
        <v>0</v>
      </c>
      <c r="K228" s="414">
        <v>0</v>
      </c>
      <c r="L228" s="414">
        <v>0</v>
      </c>
      <c r="M228" s="414">
        <v>0</v>
      </c>
      <c r="N228" s="414">
        <v>0</v>
      </c>
    </row>
    <row r="229" spans="1:14" ht="15.75">
      <c r="A229" s="414" t="s">
        <v>615</v>
      </c>
      <c r="B229" s="426">
        <v>0.05</v>
      </c>
      <c r="C229" s="414">
        <v>0</v>
      </c>
      <c r="D229" s="414">
        <v>0</v>
      </c>
      <c r="E229" s="414">
        <v>0</v>
      </c>
      <c r="F229" s="414">
        <v>0</v>
      </c>
      <c r="G229" s="414">
        <v>0</v>
      </c>
      <c r="H229" s="414">
        <v>0</v>
      </c>
      <c r="I229" s="414">
        <v>0</v>
      </c>
      <c r="J229" s="414">
        <v>0</v>
      </c>
      <c r="K229" s="414">
        <v>0</v>
      </c>
      <c r="L229" s="414">
        <v>0</v>
      </c>
      <c r="M229" s="414">
        <v>0</v>
      </c>
      <c r="N229" s="414">
        <v>0</v>
      </c>
    </row>
    <row r="230" spans="1:14" ht="15.75">
      <c r="A230" s="414" t="s">
        <v>616</v>
      </c>
      <c r="B230" s="426">
        <v>0.15</v>
      </c>
      <c r="C230" s="414">
        <v>0</v>
      </c>
      <c r="D230" s="414">
        <v>0</v>
      </c>
      <c r="E230" s="414">
        <v>0</v>
      </c>
      <c r="F230" s="414">
        <v>0</v>
      </c>
      <c r="G230" s="414">
        <v>0</v>
      </c>
      <c r="H230" s="414">
        <v>0</v>
      </c>
      <c r="I230" s="414">
        <v>0</v>
      </c>
      <c r="J230" s="414">
        <v>0</v>
      </c>
      <c r="K230" s="414">
        <v>0</v>
      </c>
      <c r="L230" s="414">
        <v>0</v>
      </c>
      <c r="M230" s="414">
        <v>0</v>
      </c>
      <c r="N230" s="414">
        <v>0</v>
      </c>
    </row>
    <row r="231" spans="1:14" ht="15.75">
      <c r="A231" s="414"/>
      <c r="B231" s="406"/>
      <c r="C231" s="355"/>
      <c r="D231" s="355"/>
      <c r="E231" s="407"/>
      <c r="F231" s="407"/>
      <c r="G231" s="407"/>
      <c r="H231" s="407"/>
      <c r="I231" s="407"/>
      <c r="J231" s="407"/>
      <c r="K231" s="407"/>
      <c r="L231" s="407"/>
      <c r="M231" s="407"/>
      <c r="N231" s="407"/>
    </row>
    <row r="233" spans="1:14" ht="25.5">
      <c r="A233" s="402" t="s">
        <v>670</v>
      </c>
      <c r="B233" s="403" t="s">
        <v>62</v>
      </c>
      <c r="C233" s="404">
        <v>2019</v>
      </c>
      <c r="D233" s="404">
        <v>2020</v>
      </c>
      <c r="E233" s="404">
        <v>2021</v>
      </c>
      <c r="F233" s="404">
        <v>2022</v>
      </c>
      <c r="G233" s="404">
        <v>2023</v>
      </c>
      <c r="H233" s="404">
        <v>2024</v>
      </c>
      <c r="I233" s="404">
        <v>2025</v>
      </c>
      <c r="J233" s="404">
        <v>2026</v>
      </c>
      <c r="K233" s="404">
        <v>2027</v>
      </c>
      <c r="L233" s="404">
        <v>2028</v>
      </c>
      <c r="M233" s="404">
        <v>2029</v>
      </c>
      <c r="N233" s="404">
        <v>2030</v>
      </c>
    </row>
    <row r="234" spans="1:14" ht="15.75">
      <c r="A234" s="360" t="s">
        <v>431</v>
      </c>
      <c r="B234" s="426">
        <v>1</v>
      </c>
      <c r="C234" s="360">
        <v>4000000</v>
      </c>
      <c r="D234" s="360">
        <v>4000000</v>
      </c>
      <c r="E234" s="360">
        <v>4000000</v>
      </c>
      <c r="F234" s="360">
        <v>4000000</v>
      </c>
      <c r="G234" s="360">
        <v>4000000</v>
      </c>
      <c r="H234" s="360">
        <v>4000000</v>
      </c>
      <c r="I234" s="360">
        <v>4000000</v>
      </c>
      <c r="J234" s="360">
        <v>4000000</v>
      </c>
      <c r="K234" s="360">
        <v>4000000</v>
      </c>
      <c r="L234" s="360">
        <v>4000000</v>
      </c>
      <c r="M234" s="360">
        <v>4000000</v>
      </c>
      <c r="N234" s="360">
        <v>4000000</v>
      </c>
    </row>
    <row r="235" spans="1:14" ht="15.75">
      <c r="A235" s="360" t="s">
        <v>618</v>
      </c>
      <c r="B235" s="426">
        <v>1</v>
      </c>
      <c r="C235" s="360">
        <v>40000000</v>
      </c>
      <c r="D235" s="360">
        <v>40000000</v>
      </c>
      <c r="E235" s="360">
        <v>40000000</v>
      </c>
      <c r="F235" s="360">
        <v>57100000</v>
      </c>
      <c r="G235" s="360">
        <v>109000000</v>
      </c>
      <c r="H235" s="360">
        <v>109000000</v>
      </c>
      <c r="I235" s="360">
        <v>109000000</v>
      </c>
      <c r="J235" s="360">
        <v>109000000</v>
      </c>
      <c r="K235" s="360">
        <v>109000000</v>
      </c>
      <c r="L235" s="360">
        <v>109000000</v>
      </c>
      <c r="M235" s="360">
        <v>109000000</v>
      </c>
      <c r="N235" s="360">
        <v>109000000</v>
      </c>
    </row>
    <row r="236" spans="1:14" ht="15.75">
      <c r="A236" s="360"/>
      <c r="B236" s="426"/>
      <c r="C236" s="360"/>
      <c r="D236" s="360"/>
      <c r="E236" s="360"/>
      <c r="F236" s="360"/>
      <c r="G236" s="360"/>
      <c r="H236" s="360"/>
      <c r="I236" s="360"/>
      <c r="J236" s="360"/>
      <c r="K236" s="360"/>
      <c r="L236" s="360"/>
      <c r="M236" s="360"/>
      <c r="N236" s="360"/>
    </row>
    <row r="237" spans="1:14" ht="15.75">
      <c r="A237" s="360" t="s">
        <v>620</v>
      </c>
      <c r="B237" s="426">
        <v>0.9</v>
      </c>
      <c r="C237" s="360">
        <v>0</v>
      </c>
      <c r="D237" s="360">
        <v>0</v>
      </c>
      <c r="E237" s="360">
        <v>0</v>
      </c>
      <c r="F237" s="360">
        <v>90000000</v>
      </c>
      <c r="G237" s="360">
        <v>135000000</v>
      </c>
      <c r="H237" s="360">
        <v>135000000</v>
      </c>
      <c r="I237" s="360">
        <v>135000000</v>
      </c>
      <c r="J237" s="360">
        <v>135000000</v>
      </c>
      <c r="K237" s="360">
        <v>135000000</v>
      </c>
      <c r="L237" s="360">
        <v>135000000</v>
      </c>
      <c r="M237" s="360">
        <v>135000000</v>
      </c>
      <c r="N237" s="360">
        <v>135000000</v>
      </c>
    </row>
    <row r="238" spans="1:14" ht="15.75">
      <c r="A238" s="360"/>
      <c r="B238" s="355"/>
      <c r="C238" s="355"/>
      <c r="D238" s="355"/>
      <c r="E238" s="355"/>
      <c r="F238" s="355"/>
      <c r="G238" s="355"/>
      <c r="H238" s="355"/>
      <c r="I238" s="355"/>
      <c r="J238" s="355"/>
      <c r="K238" s="355"/>
      <c r="L238" s="355"/>
      <c r="M238" s="355"/>
      <c r="N238" s="355"/>
    </row>
    <row r="239" spans="1:14" ht="15.75">
      <c r="A239" s="355"/>
      <c r="B239" s="355"/>
      <c r="C239" s="355"/>
      <c r="D239" s="427"/>
      <c r="E239" s="427"/>
      <c r="F239" s="355"/>
      <c r="G239" s="355"/>
      <c r="H239" s="355"/>
      <c r="I239" s="355"/>
      <c r="J239" s="355"/>
      <c r="K239" s="355"/>
      <c r="L239" s="355"/>
      <c r="M239" s="355"/>
      <c r="N239" s="355"/>
    </row>
    <row r="240" spans="1:14" ht="15.75">
      <c r="A240" s="355"/>
      <c r="B240" s="355"/>
      <c r="C240" s="355"/>
      <c r="D240" s="355"/>
      <c r="E240" s="427">
        <v>0.36222463934050819</v>
      </c>
      <c r="F240" s="427">
        <v>1.4380466301385062</v>
      </c>
      <c r="G240" s="427">
        <v>0.50977713652041268</v>
      </c>
      <c r="H240" s="355"/>
      <c r="I240" s="355"/>
      <c r="J240" s="355"/>
      <c r="K240" s="355"/>
      <c r="L240" s="355"/>
      <c r="M240" s="355"/>
      <c r="N240" s="355"/>
    </row>
    <row r="241" spans="1:14" ht="15.75">
      <c r="A241" s="355" t="s">
        <v>671</v>
      </c>
      <c r="B241" s="355"/>
      <c r="C241" s="360">
        <v>528000000</v>
      </c>
      <c r="D241" s="360">
        <v>538266666.66666675</v>
      </c>
      <c r="E241" s="360">
        <v>677600000</v>
      </c>
      <c r="F241" s="360">
        <v>1186900000</v>
      </c>
      <c r="G241" s="360">
        <v>1368900000</v>
      </c>
      <c r="H241" s="360">
        <v>1593900000</v>
      </c>
      <c r="I241" s="360">
        <v>1593900000</v>
      </c>
      <c r="J241" s="360">
        <v>1593900000</v>
      </c>
      <c r="K241" s="360">
        <v>1593900000</v>
      </c>
      <c r="L241" s="360">
        <v>1593900000</v>
      </c>
      <c r="M241" s="360">
        <v>1593900000</v>
      </c>
      <c r="N241" s="360">
        <v>1593900000</v>
      </c>
    </row>
    <row r="242" spans="1:14" ht="15.75">
      <c r="A242" s="355" t="s">
        <v>672</v>
      </c>
      <c r="B242" s="355"/>
      <c r="C242" s="360">
        <v>0</v>
      </c>
      <c r="D242" s="360">
        <v>0</v>
      </c>
      <c r="E242" s="360">
        <v>71578000</v>
      </c>
      <c r="F242" s="360">
        <v>595804950</v>
      </c>
      <c r="G242" s="360">
        <v>1302714500</v>
      </c>
      <c r="H242" s="360">
        <v>2067731950</v>
      </c>
      <c r="I242" s="360">
        <v>2420189500</v>
      </c>
      <c r="J242" s="360">
        <v>2420589500</v>
      </c>
      <c r="K242" s="360">
        <v>2420589500</v>
      </c>
      <c r="L242" s="360">
        <v>2420589500</v>
      </c>
      <c r="M242" s="360">
        <v>2420589500</v>
      </c>
      <c r="N242" s="360">
        <v>2420589500</v>
      </c>
    </row>
    <row r="243" spans="1:14" ht="15.75">
      <c r="A243" s="355" t="s">
        <v>536</v>
      </c>
      <c r="B243" s="355"/>
      <c r="C243" s="360">
        <v>44000000</v>
      </c>
      <c r="D243" s="360">
        <v>44000000</v>
      </c>
      <c r="E243" s="360">
        <v>44000000</v>
      </c>
      <c r="F243" s="360">
        <v>151100000</v>
      </c>
      <c r="G243" s="360">
        <v>248000000</v>
      </c>
      <c r="H243" s="360">
        <v>248000000</v>
      </c>
      <c r="I243" s="360">
        <v>248000000</v>
      </c>
      <c r="J243" s="360">
        <v>248000000</v>
      </c>
      <c r="K243" s="360">
        <v>248000000</v>
      </c>
      <c r="L243" s="360">
        <v>248000000</v>
      </c>
      <c r="M243" s="360">
        <v>248000000</v>
      </c>
      <c r="N243" s="360">
        <v>248000000</v>
      </c>
    </row>
    <row r="245" spans="1:14" ht="15.75">
      <c r="A245" s="355" t="s">
        <v>539</v>
      </c>
      <c r="B245" s="355"/>
      <c r="C245" s="360">
        <v>572000000</v>
      </c>
      <c r="D245" s="360">
        <v>582266666.66666675</v>
      </c>
      <c r="E245" s="360">
        <v>793178000</v>
      </c>
      <c r="F245" s="360">
        <v>1933804950</v>
      </c>
      <c r="G245" s="360">
        <v>2919614500</v>
      </c>
      <c r="H245" s="360">
        <v>3909631950</v>
      </c>
      <c r="I245" s="360">
        <v>4262089500</v>
      </c>
      <c r="J245" s="360">
        <v>4262489500</v>
      </c>
      <c r="K245" s="360">
        <v>4262489500</v>
      </c>
      <c r="L245" s="360">
        <v>4262489500</v>
      </c>
      <c r="M245" s="360">
        <v>4262489500</v>
      </c>
      <c r="N245" s="360">
        <v>4262489500</v>
      </c>
    </row>
    <row r="247" spans="1:14" ht="15.75">
      <c r="A247" s="355" t="s">
        <v>673</v>
      </c>
      <c r="B247" s="355"/>
      <c r="C247" s="360">
        <v>400400000</v>
      </c>
      <c r="D247" s="360">
        <v>407586666.66666669</v>
      </c>
      <c r="E247" s="360">
        <v>555224600</v>
      </c>
      <c r="F247" s="360">
        <v>1353663465</v>
      </c>
      <c r="G247" s="360">
        <v>2043730149.9999998</v>
      </c>
      <c r="H247" s="360">
        <v>2736742365</v>
      </c>
      <c r="I247" s="360">
        <v>2983462650</v>
      </c>
      <c r="J247" s="360">
        <v>2983742650</v>
      </c>
      <c r="K247" s="360">
        <v>2983742650</v>
      </c>
      <c r="L247" s="360">
        <v>2983742650</v>
      </c>
      <c r="M247" s="360">
        <v>2983742650</v>
      </c>
      <c r="N247" s="360">
        <v>2983742650</v>
      </c>
    </row>
    <row r="248" spans="1:14" ht="15.75">
      <c r="A248" s="355"/>
      <c r="B248" s="355"/>
      <c r="C248" s="360"/>
      <c r="D248" s="360"/>
      <c r="E248" s="360"/>
      <c r="F248" s="360"/>
      <c r="G248" s="360"/>
      <c r="H248" s="360"/>
      <c r="I248" s="360"/>
      <c r="J248" s="360"/>
      <c r="K248" s="360"/>
      <c r="L248" s="360"/>
      <c r="M248" s="360"/>
      <c r="N248" s="360"/>
    </row>
    <row r="249" spans="1:14" ht="15.75">
      <c r="A249" s="355"/>
      <c r="B249" s="355"/>
      <c r="C249" s="360"/>
      <c r="D249" s="360"/>
      <c r="E249" s="360"/>
      <c r="F249" s="360"/>
      <c r="G249" s="360"/>
      <c r="H249" s="360"/>
      <c r="I249" s="360"/>
      <c r="J249" s="360"/>
      <c r="K249" s="360"/>
      <c r="L249" s="360"/>
      <c r="M249" s="360"/>
      <c r="N249" s="360"/>
    </row>
    <row r="250" spans="1:14" ht="15.75">
      <c r="A250" s="355" t="s">
        <v>674</v>
      </c>
      <c r="B250" s="355"/>
      <c r="C250" s="423">
        <v>0.7</v>
      </c>
      <c r="D250" s="423">
        <v>0.7</v>
      </c>
      <c r="E250" s="423">
        <v>0.7</v>
      </c>
      <c r="F250" s="423">
        <v>0.4</v>
      </c>
      <c r="G250" s="423">
        <v>0.3</v>
      </c>
      <c r="H250" s="423">
        <v>0.1</v>
      </c>
      <c r="I250" s="423">
        <v>0.1</v>
      </c>
      <c r="J250" s="423">
        <v>0.1</v>
      </c>
      <c r="K250" s="423">
        <v>0.1</v>
      </c>
      <c r="L250" s="423">
        <v>0.1</v>
      </c>
      <c r="M250" s="423">
        <v>0.1</v>
      </c>
      <c r="N250" s="423">
        <v>0.1</v>
      </c>
    </row>
    <row r="251" spans="1:14" ht="15.75">
      <c r="A251" s="355"/>
      <c r="B251" s="355"/>
      <c r="C251" s="360">
        <v>237999999.99999997</v>
      </c>
      <c r="D251" s="360">
        <v>273000000</v>
      </c>
      <c r="E251" s="360">
        <v>308000000</v>
      </c>
      <c r="F251" s="360">
        <v>264000000</v>
      </c>
      <c r="G251" s="360">
        <v>264000000</v>
      </c>
      <c r="H251" s="360">
        <v>88000000</v>
      </c>
      <c r="I251" s="360">
        <v>88000000</v>
      </c>
      <c r="J251" s="360">
        <v>88000000</v>
      </c>
      <c r="K251" s="360">
        <v>88000000</v>
      </c>
      <c r="L251" s="360">
        <v>88000000</v>
      </c>
      <c r="M251" s="360">
        <v>88000000</v>
      </c>
      <c r="N251" s="360">
        <v>88000000</v>
      </c>
    </row>
    <row r="252" spans="1:14" ht="15.75">
      <c r="A252" s="355"/>
      <c r="B252" s="355"/>
      <c r="C252" s="360"/>
      <c r="D252" s="360"/>
      <c r="E252" s="360"/>
      <c r="F252" s="360"/>
      <c r="G252" s="360"/>
      <c r="H252" s="360"/>
      <c r="I252" s="360"/>
      <c r="J252" s="360"/>
      <c r="K252" s="360"/>
      <c r="L252" s="360"/>
      <c r="M252" s="360"/>
      <c r="N252" s="360"/>
    </row>
    <row r="253" spans="1:14" ht="15.75">
      <c r="A253" s="355" t="s">
        <v>675</v>
      </c>
      <c r="B253" s="355"/>
      <c r="C253" s="360">
        <v>638400000</v>
      </c>
      <c r="D253" s="360">
        <v>680586666.66666675</v>
      </c>
      <c r="E253" s="360">
        <v>863224600</v>
      </c>
      <c r="F253" s="360">
        <v>1617663465</v>
      </c>
      <c r="G253" s="360">
        <v>2307730150</v>
      </c>
      <c r="H253" s="360">
        <v>2824742365</v>
      </c>
      <c r="I253" s="360">
        <v>3071462650</v>
      </c>
      <c r="J253" s="360">
        <v>3071742650</v>
      </c>
      <c r="K253" s="360">
        <v>3071742650</v>
      </c>
      <c r="L253" s="360">
        <v>3071742650</v>
      </c>
      <c r="M253" s="360">
        <v>3071742650</v>
      </c>
      <c r="N253" s="360">
        <v>3071742650</v>
      </c>
    </row>
    <row r="254" spans="1:14" ht="15.75">
      <c r="A254" s="355"/>
      <c r="B254" s="355"/>
      <c r="C254" s="360"/>
      <c r="D254" s="360"/>
      <c r="E254" s="360"/>
      <c r="F254" s="360"/>
      <c r="G254" s="360"/>
      <c r="H254" s="360"/>
      <c r="I254" s="360"/>
      <c r="J254" s="360"/>
      <c r="K254" s="360"/>
      <c r="L254" s="360"/>
      <c r="M254" s="360"/>
      <c r="N254" s="360"/>
    </row>
    <row r="255" spans="1:14" ht="15.75">
      <c r="A255" s="355"/>
      <c r="B255" s="355"/>
      <c r="C255" s="360"/>
      <c r="D255" s="360"/>
      <c r="E255" s="360"/>
      <c r="F255" s="360"/>
      <c r="G255" s="360"/>
      <c r="H255" s="360"/>
      <c r="I255" s="360"/>
      <c r="J255" s="360"/>
      <c r="K255" s="360"/>
      <c r="L255" s="360"/>
      <c r="M255" s="360"/>
      <c r="N255" s="360"/>
    </row>
    <row r="256" spans="1:14" ht="15.75">
      <c r="A256" s="355"/>
      <c r="B256" s="355"/>
      <c r="C256" s="360"/>
      <c r="D256" s="360"/>
      <c r="E256" s="360"/>
      <c r="F256" s="360"/>
      <c r="G256" s="360"/>
      <c r="H256" s="360"/>
      <c r="I256" s="360"/>
      <c r="J256" s="360"/>
      <c r="K256" s="360"/>
      <c r="L256" s="360"/>
      <c r="M256" s="360"/>
      <c r="N256" s="360"/>
    </row>
    <row r="257" spans="3:14" ht="15.75">
      <c r="C257" s="360"/>
      <c r="D257" s="360"/>
      <c r="E257" s="360"/>
      <c r="F257" s="360"/>
      <c r="G257" s="360"/>
      <c r="H257" s="360"/>
      <c r="I257" s="360"/>
      <c r="J257" s="360"/>
      <c r="K257" s="360"/>
      <c r="L257" s="360"/>
      <c r="M257" s="360"/>
      <c r="N257" s="360"/>
    </row>
    <row r="258" spans="3:14" ht="15.75">
      <c r="C258" s="360"/>
      <c r="D258" s="360"/>
      <c r="E258" s="360"/>
      <c r="F258" s="360"/>
      <c r="G258" s="360"/>
      <c r="H258" s="360"/>
      <c r="I258" s="360"/>
      <c r="J258" s="360"/>
      <c r="K258" s="360"/>
      <c r="L258" s="360"/>
      <c r="M258" s="360"/>
      <c r="N258" s="360"/>
    </row>
    <row r="259" spans="3:14" ht="15.75">
      <c r="C259" s="360"/>
      <c r="D259" s="360"/>
      <c r="E259" s="360"/>
      <c r="F259" s="360"/>
      <c r="G259" s="360"/>
      <c r="H259" s="360"/>
      <c r="I259" s="360"/>
      <c r="J259" s="360"/>
      <c r="K259" s="360"/>
      <c r="L259" s="360"/>
      <c r="M259" s="360"/>
      <c r="N259" s="360"/>
    </row>
    <row r="260" spans="3:14" ht="15.75">
      <c r="C260" s="360"/>
      <c r="D260" s="360"/>
      <c r="E260" s="360"/>
      <c r="F260" s="360"/>
      <c r="G260" s="360"/>
      <c r="H260" s="360"/>
      <c r="I260" s="360"/>
      <c r="J260" s="360"/>
      <c r="K260" s="360"/>
      <c r="L260" s="360"/>
      <c r="M260" s="360"/>
      <c r="N260" s="360"/>
    </row>
    <row r="261" spans="3:14" ht="15.75">
      <c r="C261" s="360"/>
      <c r="D261" s="360"/>
      <c r="E261" s="360"/>
      <c r="F261" s="360"/>
      <c r="G261" s="360"/>
      <c r="H261" s="360"/>
      <c r="I261" s="360"/>
      <c r="J261" s="360"/>
      <c r="K261" s="360"/>
      <c r="L261" s="360"/>
      <c r="M261" s="360"/>
      <c r="N261" s="360"/>
    </row>
    <row r="262" spans="3:14" ht="15.75">
      <c r="C262" s="360"/>
      <c r="D262" s="360"/>
      <c r="E262" s="360"/>
      <c r="F262" s="360"/>
      <c r="G262" s="360"/>
      <c r="H262" s="360"/>
      <c r="I262" s="360"/>
      <c r="J262" s="360"/>
      <c r="K262" s="360"/>
      <c r="L262" s="360"/>
      <c r="M262" s="360"/>
      <c r="N262" s="360"/>
    </row>
    <row r="263" spans="3:14" ht="15.75">
      <c r="C263" s="360"/>
      <c r="D263" s="360"/>
      <c r="E263" s="360"/>
      <c r="F263" s="360"/>
      <c r="G263" s="360"/>
      <c r="H263" s="360"/>
      <c r="I263" s="360"/>
      <c r="J263" s="360"/>
      <c r="K263" s="360"/>
      <c r="L263" s="360"/>
      <c r="M263" s="360"/>
      <c r="N263" s="360"/>
    </row>
    <row r="264" spans="3:14" ht="15.75">
      <c r="C264" s="360"/>
      <c r="D264" s="360"/>
      <c r="E264" s="360"/>
      <c r="F264" s="360"/>
      <c r="G264" s="360"/>
      <c r="H264" s="360"/>
      <c r="I264" s="360"/>
      <c r="J264" s="360"/>
      <c r="K264" s="360"/>
      <c r="L264" s="360"/>
      <c r="M264" s="360"/>
      <c r="N264" s="360"/>
    </row>
    <row r="265" spans="3:14" ht="15.75">
      <c r="C265" s="360"/>
      <c r="D265" s="360"/>
      <c r="E265" s="360"/>
      <c r="F265" s="360"/>
      <c r="G265" s="360"/>
      <c r="H265" s="360"/>
      <c r="I265" s="360"/>
      <c r="J265" s="360"/>
      <c r="K265" s="360"/>
      <c r="L265" s="360"/>
      <c r="M265" s="360"/>
      <c r="N265" s="360"/>
    </row>
    <row r="266" spans="3:14" ht="15.75">
      <c r="C266" s="360"/>
      <c r="D266" s="360"/>
      <c r="E266" s="360"/>
      <c r="F266" s="360"/>
      <c r="G266" s="360"/>
      <c r="H266" s="360"/>
      <c r="I266" s="360"/>
      <c r="J266" s="360"/>
      <c r="K266" s="360"/>
      <c r="L266" s="360"/>
      <c r="M266" s="360"/>
      <c r="N266" s="360"/>
    </row>
    <row r="267" spans="3:14" ht="15.75">
      <c r="C267" s="360"/>
      <c r="D267" s="360"/>
      <c r="E267" s="360"/>
      <c r="F267" s="360"/>
      <c r="G267" s="360"/>
      <c r="H267" s="360"/>
      <c r="I267" s="360"/>
      <c r="J267" s="360"/>
      <c r="K267" s="360"/>
      <c r="L267" s="360"/>
      <c r="M267" s="360"/>
      <c r="N267" s="360"/>
    </row>
    <row r="268" spans="3:14" ht="15.75">
      <c r="C268" s="360"/>
      <c r="D268" s="360"/>
      <c r="E268" s="360"/>
      <c r="F268" s="360"/>
      <c r="G268" s="360"/>
      <c r="H268" s="360"/>
      <c r="I268" s="360"/>
      <c r="J268" s="360"/>
      <c r="K268" s="360"/>
      <c r="L268" s="360"/>
      <c r="M268" s="360"/>
      <c r="N268" s="360"/>
    </row>
  </sheetData>
  <mergeCells count="1">
    <mergeCell ref="AE15:AJ21"/>
  </mergeCells>
  <hyperlinks>
    <hyperlink ref="W17" r:id="rId1" xr:uid="{AEB138B6-6120-4B67-B884-10F97AEB66E5}"/>
    <hyperlink ref="X28" r:id="rId2" xr:uid="{81533A7C-CD8A-402D-BCD5-CD2628990A66}"/>
    <hyperlink ref="X40" r:id="rId3" xr:uid="{13ABAD51-D20E-48F9-8E8E-CCFA67F78EB7}"/>
    <hyperlink ref="A137" r:id="rId4" xr:uid="{4C6A6923-0BB1-4275-B404-75AFC0A4255E}"/>
    <hyperlink ref="O37" r:id="rId5" xr:uid="{A008968D-5232-465D-8369-46B2017A998B}"/>
    <hyperlink ref="O52" r:id="rId6" xr:uid="{83878AA1-F02C-4199-B0B1-3DFCE69E0419}"/>
    <hyperlink ref="P17" r:id="rId7" xr:uid="{E8D20DC9-E587-4A5E-9CC0-24BCC2D16B54}"/>
    <hyperlink ref="F15" r:id="rId8" display="https://www.fool.com/earnings/call-transcripts/2021/08/04/hollyfrontier-corp-hfc-q2-2021-earnings-call-trans/" xr:uid="{74864180-6CF1-4F6F-81EB-CD1B7D03F564}"/>
    <hyperlink ref="O15" r:id="rId9" xr:uid="{BCE80510-6BF6-4CDD-BCA8-7F8CAE6B6AC6}"/>
    <hyperlink ref="O55" r:id="rId10" xr:uid="{EFB81E23-642D-4A07-9FB6-BE86ADAD5EC3}"/>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1AB8-2048-451C-B279-D8A8401CB38B}">
  <dimension ref="A1:AO309"/>
  <sheetViews>
    <sheetView workbookViewId="0">
      <selection activeCell="A7" sqref="A7"/>
    </sheetView>
  </sheetViews>
  <sheetFormatPr defaultRowHeight="12.75"/>
  <cols>
    <col min="2" max="2" width="28.5" customWidth="1"/>
    <col min="3" max="3" width="77.33203125" customWidth="1"/>
    <col min="4" max="4" width="107" customWidth="1"/>
    <col min="5" max="5" width="171.1640625" bestFit="1" customWidth="1"/>
    <col min="6" max="6" width="109.33203125" bestFit="1" customWidth="1"/>
    <col min="7" max="7" width="23.1640625" bestFit="1" customWidth="1"/>
    <col min="8" max="8" width="36.83203125" customWidth="1"/>
    <col min="9" max="9" width="55.33203125" customWidth="1"/>
    <col min="10" max="10" width="14.33203125" customWidth="1"/>
    <col min="11" max="11" width="72.83203125" bestFit="1" customWidth="1"/>
  </cols>
  <sheetData>
    <row r="1" spans="1:41" ht="15.75">
      <c r="A1" s="355"/>
      <c r="B1" s="355"/>
      <c r="C1" s="355" t="s">
        <v>676</v>
      </c>
      <c r="D1" s="355" t="s">
        <v>677</v>
      </c>
      <c r="E1" s="355"/>
      <c r="F1" s="355"/>
      <c r="G1" s="355"/>
      <c r="H1" s="355"/>
      <c r="I1" s="355"/>
      <c r="J1" s="355"/>
      <c r="K1" s="355"/>
      <c r="L1" s="355"/>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355"/>
    </row>
    <row r="2" spans="1:41" ht="18.75">
      <c r="A2" s="355"/>
      <c r="B2" s="355"/>
      <c r="C2" s="360">
        <v>1530000000</v>
      </c>
      <c r="D2" s="355"/>
      <c r="E2" s="355"/>
      <c r="F2" s="360"/>
      <c r="G2" s="355"/>
      <c r="H2" s="355"/>
      <c r="I2" s="355"/>
      <c r="J2" s="355"/>
      <c r="K2" s="355"/>
      <c r="L2" s="355"/>
      <c r="M2" s="355"/>
      <c r="N2" s="407" t="s">
        <v>678</v>
      </c>
      <c r="O2" s="355">
        <v>264.17200000000003</v>
      </c>
      <c r="P2" s="355" t="s">
        <v>679</v>
      </c>
      <c r="Q2" s="355"/>
      <c r="R2" s="428" t="s">
        <v>680</v>
      </c>
      <c r="S2" s="355"/>
      <c r="T2" s="355"/>
      <c r="U2" s="428" t="s">
        <v>681</v>
      </c>
      <c r="V2" s="355"/>
      <c r="W2" s="355"/>
      <c r="X2" s="355"/>
      <c r="Y2" s="355"/>
      <c r="Z2" s="355" t="s">
        <v>682</v>
      </c>
      <c r="AA2" s="355"/>
      <c r="AB2" s="355"/>
      <c r="AC2" s="355"/>
      <c r="AD2" s="355"/>
      <c r="AE2" s="355"/>
      <c r="AF2" s="355"/>
      <c r="AG2" s="355"/>
      <c r="AH2" s="355"/>
      <c r="AI2" s="355"/>
      <c r="AJ2" s="355"/>
      <c r="AK2" s="355"/>
      <c r="AL2" s="355"/>
      <c r="AM2" s="355"/>
      <c r="AN2" s="355"/>
      <c r="AO2" s="355"/>
    </row>
    <row r="3" spans="1:41" ht="15.75">
      <c r="A3" s="355"/>
      <c r="B3" s="355"/>
      <c r="C3" s="355"/>
      <c r="D3" s="355"/>
      <c r="E3" s="355"/>
      <c r="F3" s="355"/>
      <c r="G3" s="355"/>
      <c r="H3" s="355"/>
      <c r="I3" s="355"/>
      <c r="J3" s="355"/>
      <c r="K3" s="355"/>
      <c r="L3" s="407">
        <v>6056660.0548127731</v>
      </c>
      <c r="M3" s="355"/>
      <c r="N3" s="429" t="s">
        <v>683</v>
      </c>
      <c r="O3" s="429">
        <v>0.26417200000000002</v>
      </c>
      <c r="P3" s="407" t="s">
        <v>679</v>
      </c>
      <c r="Q3" s="355"/>
      <c r="R3" s="355" t="s">
        <v>684</v>
      </c>
      <c r="S3" s="355" t="s">
        <v>685</v>
      </c>
      <c r="T3" s="355"/>
      <c r="U3" s="355"/>
      <c r="V3" s="355"/>
      <c r="W3" s="355"/>
      <c r="X3" s="355"/>
      <c r="Y3" s="355"/>
      <c r="Z3" s="355"/>
      <c r="AA3" s="355" t="s">
        <v>129</v>
      </c>
      <c r="AB3" s="355" t="s">
        <v>130</v>
      </c>
      <c r="AC3" s="355" t="s">
        <v>131</v>
      </c>
      <c r="AD3" s="355" t="s">
        <v>132</v>
      </c>
      <c r="AE3" s="355" t="s">
        <v>133</v>
      </c>
      <c r="AF3" s="355" t="s">
        <v>134</v>
      </c>
      <c r="AG3" s="355" t="s">
        <v>135</v>
      </c>
      <c r="AH3" s="355" t="s">
        <v>136</v>
      </c>
      <c r="AI3" s="355" t="s">
        <v>137</v>
      </c>
      <c r="AJ3" s="355" t="s">
        <v>138</v>
      </c>
      <c r="AK3" s="355" t="s">
        <v>139</v>
      </c>
      <c r="AL3" s="355" t="s">
        <v>140</v>
      </c>
      <c r="AM3" s="355"/>
      <c r="AN3" s="355"/>
      <c r="AO3" s="355"/>
    </row>
    <row r="4" spans="1:41" ht="21">
      <c r="A4" s="355"/>
      <c r="B4" s="331"/>
      <c r="C4" s="332" t="s">
        <v>397</v>
      </c>
      <c r="D4" s="333"/>
      <c r="E4" s="334"/>
      <c r="F4" s="335"/>
      <c r="G4" s="335"/>
      <c r="H4" s="336"/>
      <c r="I4" s="355"/>
      <c r="J4" s="355"/>
      <c r="K4" s="355"/>
      <c r="L4" s="375"/>
      <c r="M4" s="355"/>
      <c r="N4" s="360" t="s">
        <v>686</v>
      </c>
      <c r="O4" s="360">
        <v>340</v>
      </c>
      <c r="P4" s="360" t="s">
        <v>687</v>
      </c>
      <c r="Q4" s="355"/>
      <c r="R4" s="355"/>
      <c r="S4" s="355"/>
      <c r="T4" s="355"/>
      <c r="U4" s="355" t="s">
        <v>688</v>
      </c>
      <c r="V4" s="355" t="s">
        <v>689</v>
      </c>
      <c r="W4" s="355"/>
      <c r="X4" s="355"/>
      <c r="Y4" s="355"/>
      <c r="Z4" s="355" t="s">
        <v>690</v>
      </c>
      <c r="AA4" s="367">
        <v>22916666.666666668</v>
      </c>
      <c r="AB4" s="367">
        <v>22916666.666666668</v>
      </c>
      <c r="AC4" s="367">
        <v>22916666.666666668</v>
      </c>
      <c r="AD4" s="367">
        <v>22916666.666666668</v>
      </c>
      <c r="AE4" s="367">
        <v>22916666.666666668</v>
      </c>
      <c r="AF4" s="367">
        <v>22916666.666666668</v>
      </c>
      <c r="AG4" s="367">
        <v>22916666.666666668</v>
      </c>
      <c r="AH4" s="367">
        <v>22916666.666666668</v>
      </c>
      <c r="AI4" s="367">
        <v>22916666.666666668</v>
      </c>
      <c r="AJ4" s="367">
        <v>22916666.666666668</v>
      </c>
      <c r="AK4" s="367">
        <v>22916666.666666668</v>
      </c>
      <c r="AL4" s="367">
        <v>22916666.666666668</v>
      </c>
      <c r="AM4" s="367">
        <v>274999999.99999994</v>
      </c>
      <c r="AN4" s="367"/>
      <c r="AO4" s="367"/>
    </row>
    <row r="5" spans="1:41" ht="15.75">
      <c r="A5" s="355"/>
      <c r="B5" s="338"/>
      <c r="C5" s="339"/>
      <c r="D5" s="340"/>
      <c r="E5" s="341"/>
      <c r="F5" s="358">
        <v>153300000</v>
      </c>
      <c r="G5" s="341"/>
      <c r="H5" s="342"/>
      <c r="I5" s="355"/>
      <c r="J5" s="355"/>
      <c r="K5" s="355"/>
      <c r="L5" s="355"/>
      <c r="M5" s="355"/>
      <c r="N5" s="375"/>
      <c r="O5" s="375"/>
      <c r="P5" s="375"/>
      <c r="Q5" s="375"/>
      <c r="R5" s="375" t="s">
        <v>691</v>
      </c>
      <c r="S5" s="375">
        <v>735000</v>
      </c>
      <c r="T5" s="375">
        <v>268275000</v>
      </c>
      <c r="U5" s="355" t="s">
        <v>692</v>
      </c>
      <c r="V5" s="355" t="s">
        <v>693</v>
      </c>
      <c r="W5" s="355"/>
      <c r="X5" s="355"/>
      <c r="Y5" s="355"/>
      <c r="Z5" s="355" t="s">
        <v>404</v>
      </c>
      <c r="AA5" s="367">
        <v>6250000</v>
      </c>
      <c r="AB5" s="367">
        <v>6250000</v>
      </c>
      <c r="AC5" s="367">
        <v>6250000</v>
      </c>
      <c r="AD5" s="367">
        <v>6250000</v>
      </c>
      <c r="AE5" s="367">
        <v>6250000</v>
      </c>
      <c r="AF5" s="367">
        <v>6250000</v>
      </c>
      <c r="AG5" s="367">
        <v>6250000</v>
      </c>
      <c r="AH5" s="367">
        <v>6250000</v>
      </c>
      <c r="AI5" s="367">
        <v>6250000</v>
      </c>
      <c r="AJ5" s="367">
        <v>6250000</v>
      </c>
      <c r="AK5" s="367">
        <v>6250000</v>
      </c>
      <c r="AL5" s="367">
        <v>6250000</v>
      </c>
      <c r="AM5" s="367">
        <v>75000000</v>
      </c>
      <c r="AN5" s="367"/>
      <c r="AO5" s="367"/>
    </row>
    <row r="6" spans="1:41" ht="18.75">
      <c r="A6" s="355"/>
      <c r="B6" s="343" t="s">
        <v>398</v>
      </c>
      <c r="C6" s="344" t="s">
        <v>318</v>
      </c>
      <c r="D6" s="344" t="s">
        <v>399</v>
      </c>
      <c r="E6" s="345" t="s">
        <v>400</v>
      </c>
      <c r="F6" s="346" t="s">
        <v>401</v>
      </c>
      <c r="G6" s="346" t="s">
        <v>402</v>
      </c>
      <c r="H6" s="347" t="s">
        <v>403</v>
      </c>
      <c r="I6" s="348" t="s">
        <v>349</v>
      </c>
      <c r="J6" s="430"/>
      <c r="K6" s="431"/>
      <c r="L6" s="355"/>
      <c r="M6" s="355"/>
      <c r="N6" s="375"/>
      <c r="O6" s="375"/>
      <c r="P6" s="375">
        <v>264172000.00000003</v>
      </c>
      <c r="Q6" s="375">
        <v>132086000.00000001</v>
      </c>
      <c r="R6" s="375">
        <v>218734416</v>
      </c>
      <c r="S6" s="375">
        <v>306600000</v>
      </c>
      <c r="T6" s="375">
        <v>218734416</v>
      </c>
      <c r="U6" s="355" t="s">
        <v>694</v>
      </c>
      <c r="V6" s="355" t="s">
        <v>695</v>
      </c>
      <c r="W6" s="355"/>
      <c r="X6" s="355"/>
      <c r="Y6" s="355"/>
      <c r="Z6" s="355" t="s">
        <v>414</v>
      </c>
      <c r="AA6" s="367">
        <v>8333333.333333333</v>
      </c>
      <c r="AB6" s="367">
        <v>8333333.333333333</v>
      </c>
      <c r="AC6" s="367">
        <v>8333333.333333333</v>
      </c>
      <c r="AD6" s="367">
        <v>8333333.333333333</v>
      </c>
      <c r="AE6" s="367">
        <v>8333333.333333333</v>
      </c>
      <c r="AF6" s="367">
        <v>8333333.333333333</v>
      </c>
      <c r="AG6" s="367">
        <v>8333333.333333333</v>
      </c>
      <c r="AH6" s="367">
        <v>8333333.333333333</v>
      </c>
      <c r="AI6" s="367">
        <v>8333333.333333333</v>
      </c>
      <c r="AJ6" s="367">
        <v>8333333.333333333</v>
      </c>
      <c r="AK6" s="367">
        <v>8333333.333333333</v>
      </c>
      <c r="AL6" s="367">
        <v>8333333.333333333</v>
      </c>
      <c r="AM6" s="367">
        <v>99999999.999999985</v>
      </c>
      <c r="AN6" s="367"/>
      <c r="AO6" s="367"/>
    </row>
    <row r="7" spans="1:41" ht="18.75">
      <c r="A7" s="355"/>
      <c r="B7" s="349"/>
      <c r="C7" s="350"/>
      <c r="D7" s="350"/>
      <c r="E7" s="351"/>
      <c r="F7" s="352"/>
      <c r="G7" s="352"/>
      <c r="H7" s="353"/>
      <c r="I7" s="354"/>
      <c r="J7" s="430"/>
      <c r="K7" s="431"/>
      <c r="L7" s="375"/>
      <c r="M7" s="375"/>
      <c r="N7" s="375" t="s">
        <v>696</v>
      </c>
      <c r="O7" s="375"/>
      <c r="P7" s="375"/>
      <c r="Q7" s="375"/>
      <c r="R7" s="375" t="s">
        <v>697</v>
      </c>
      <c r="S7" s="375">
        <v>840000</v>
      </c>
      <c r="T7" s="375">
        <v>306600000</v>
      </c>
      <c r="U7" s="355"/>
      <c r="V7" s="355"/>
      <c r="W7" s="355"/>
      <c r="X7" s="355"/>
      <c r="Y7" s="355"/>
      <c r="Z7" s="355" t="s">
        <v>197</v>
      </c>
      <c r="AA7" s="360">
        <v>37500000</v>
      </c>
      <c r="AB7" s="360">
        <v>37500000</v>
      </c>
      <c r="AC7" s="360">
        <v>37500000</v>
      </c>
      <c r="AD7" s="360">
        <v>37500000</v>
      </c>
      <c r="AE7" s="360">
        <v>37500000</v>
      </c>
      <c r="AF7" s="360">
        <v>37500000</v>
      </c>
      <c r="AG7" s="360">
        <v>37500000</v>
      </c>
      <c r="AH7" s="360">
        <v>37500000</v>
      </c>
      <c r="AI7" s="360">
        <v>37500000</v>
      </c>
      <c r="AJ7" s="360">
        <v>37500000</v>
      </c>
      <c r="AK7" s="360">
        <v>37500000</v>
      </c>
      <c r="AL7" s="360">
        <v>37500000</v>
      </c>
      <c r="AM7" s="355"/>
      <c r="AN7" s="355"/>
      <c r="AO7" s="367"/>
    </row>
    <row r="8" spans="1:41" ht="15.75">
      <c r="A8" s="356" t="s">
        <v>698</v>
      </c>
      <c r="B8" s="432" t="s">
        <v>699</v>
      </c>
      <c r="C8" s="433" t="s">
        <v>700</v>
      </c>
      <c r="D8" s="433" t="s">
        <v>701</v>
      </c>
      <c r="E8" s="434">
        <v>4.7058823529411769E-3</v>
      </c>
      <c r="F8" s="435">
        <v>1600000</v>
      </c>
      <c r="G8" s="435"/>
      <c r="H8" s="436" t="s">
        <v>702</v>
      </c>
      <c r="I8" s="437" t="s">
        <v>703</v>
      </c>
      <c r="J8" s="438"/>
      <c r="K8" s="407"/>
      <c r="L8" s="375"/>
      <c r="M8" s="375"/>
      <c r="N8" s="375"/>
      <c r="O8" s="375"/>
      <c r="P8" s="375"/>
      <c r="Q8" s="375"/>
      <c r="R8" s="375" t="s">
        <v>704</v>
      </c>
      <c r="S8" s="375">
        <v>919800000</v>
      </c>
      <c r="T8" s="355"/>
      <c r="U8" s="355"/>
      <c r="V8" s="355"/>
      <c r="W8" s="355"/>
      <c r="X8" s="355"/>
      <c r="Y8" s="355"/>
      <c r="Z8" s="355"/>
      <c r="AA8" s="355"/>
      <c r="AB8" s="355"/>
      <c r="AC8" s="355"/>
      <c r="AD8" s="355"/>
      <c r="AE8" s="355"/>
      <c r="AF8" s="355"/>
      <c r="AG8" s="355"/>
      <c r="AH8" s="355"/>
      <c r="AI8" s="355"/>
      <c r="AJ8" s="355"/>
      <c r="AK8" s="355"/>
      <c r="AL8" s="355"/>
      <c r="AM8" s="355"/>
      <c r="AN8" s="355"/>
      <c r="AO8" s="367"/>
    </row>
    <row r="9" spans="1:41" ht="15.75">
      <c r="A9" s="356" t="s">
        <v>705</v>
      </c>
      <c r="B9" s="439" t="s">
        <v>404</v>
      </c>
      <c r="C9" s="440" t="s">
        <v>405</v>
      </c>
      <c r="D9" s="440" t="s">
        <v>406</v>
      </c>
      <c r="E9" s="441">
        <v>0.25</v>
      </c>
      <c r="F9" s="363">
        <v>90000000</v>
      </c>
      <c r="G9" s="358"/>
      <c r="H9" s="440">
        <v>2010</v>
      </c>
      <c r="I9" s="442"/>
      <c r="J9" s="438"/>
      <c r="K9" s="407"/>
      <c r="L9" s="375"/>
      <c r="M9" s="375"/>
      <c r="N9" s="375" t="s">
        <v>706</v>
      </c>
      <c r="O9" s="375"/>
      <c r="P9" s="375"/>
      <c r="Q9" s="375"/>
      <c r="R9" s="375"/>
      <c r="S9" s="375"/>
      <c r="T9" s="355"/>
      <c r="U9" s="355"/>
      <c r="V9" s="355"/>
      <c r="W9" s="355"/>
      <c r="X9" s="355"/>
      <c r="Y9" s="355"/>
      <c r="Z9" s="355" t="s">
        <v>707</v>
      </c>
      <c r="AA9" s="367"/>
      <c r="AB9" s="367"/>
      <c r="AC9" s="367"/>
      <c r="AD9" s="367"/>
      <c r="AE9" s="367"/>
      <c r="AF9" s="367"/>
      <c r="AG9" s="367"/>
      <c r="AH9" s="367"/>
      <c r="AI9" s="367"/>
      <c r="AJ9" s="367"/>
      <c r="AK9" s="367"/>
      <c r="AL9" s="367"/>
      <c r="AM9" s="367"/>
      <c r="AN9" s="367"/>
      <c r="AO9" s="367"/>
    </row>
    <row r="10" spans="1:41" ht="15.75">
      <c r="A10" s="356" t="s">
        <v>705</v>
      </c>
      <c r="B10" s="439" t="s">
        <v>407</v>
      </c>
      <c r="C10" s="440" t="s">
        <v>408</v>
      </c>
      <c r="D10" s="440" t="s">
        <v>409</v>
      </c>
      <c r="E10" s="441">
        <v>0.8529411764705882</v>
      </c>
      <c r="F10" s="358">
        <v>290000000</v>
      </c>
      <c r="G10" s="358"/>
      <c r="H10" s="440"/>
      <c r="I10" s="442"/>
      <c r="J10" s="438"/>
      <c r="K10" s="407"/>
      <c r="L10" s="375"/>
      <c r="M10" s="375"/>
      <c r="N10" s="375" t="s">
        <v>708</v>
      </c>
      <c r="O10" s="375"/>
      <c r="P10" s="375"/>
      <c r="Q10" s="375"/>
      <c r="R10" s="375"/>
      <c r="S10" s="375"/>
      <c r="T10" s="355"/>
      <c r="U10" s="355"/>
      <c r="V10" s="355"/>
      <c r="W10" s="355"/>
      <c r="X10" s="355"/>
      <c r="Y10" s="355"/>
      <c r="Z10" s="355" t="s">
        <v>690</v>
      </c>
      <c r="AA10" s="367">
        <v>16729166.666666668</v>
      </c>
      <c r="AB10" s="367">
        <v>16729166.666666668</v>
      </c>
      <c r="AC10" s="367">
        <v>16729166.666666668</v>
      </c>
      <c r="AD10" s="367">
        <v>16729166.666666668</v>
      </c>
      <c r="AE10" s="367">
        <v>16729166.666666668</v>
      </c>
      <c r="AF10" s="367">
        <v>16729166.666666668</v>
      </c>
      <c r="AG10" s="367">
        <v>16729166.666666668</v>
      </c>
      <c r="AH10" s="367">
        <v>16729166.666666668</v>
      </c>
      <c r="AI10" s="367">
        <v>16729166.666666668</v>
      </c>
      <c r="AJ10" s="367">
        <v>16729166.666666668</v>
      </c>
      <c r="AK10" s="367">
        <v>16729166.666666668</v>
      </c>
      <c r="AL10" s="367">
        <v>16729166.666666668</v>
      </c>
      <c r="AM10" s="367">
        <v>200750000</v>
      </c>
      <c r="AN10" s="367"/>
      <c r="AO10" s="367"/>
    </row>
    <row r="11" spans="1:41" ht="15.75">
      <c r="A11" s="356" t="s">
        <v>705</v>
      </c>
      <c r="B11" s="439" t="s">
        <v>410</v>
      </c>
      <c r="C11" s="440" t="s">
        <v>411</v>
      </c>
      <c r="D11" s="440" t="s">
        <v>412</v>
      </c>
      <c r="E11" s="441">
        <v>0.13</v>
      </c>
      <c r="F11" s="358">
        <v>45000020</v>
      </c>
      <c r="G11" s="358"/>
      <c r="H11" s="440" t="s">
        <v>413</v>
      </c>
      <c r="I11" s="442"/>
      <c r="J11" s="438"/>
      <c r="K11" s="407"/>
      <c r="L11" s="375"/>
      <c r="M11" s="375"/>
      <c r="N11" s="375" t="s">
        <v>709</v>
      </c>
      <c r="O11" s="375"/>
      <c r="P11" s="375"/>
      <c r="Q11" s="375"/>
      <c r="R11" s="375"/>
      <c r="S11" s="375"/>
      <c r="T11" s="355"/>
      <c r="U11" s="355"/>
      <c r="V11" s="355"/>
      <c r="W11" s="355"/>
      <c r="X11" s="355"/>
      <c r="Y11" s="355"/>
      <c r="Z11" s="355" t="s">
        <v>404</v>
      </c>
      <c r="AA11" s="367">
        <v>4562500</v>
      </c>
      <c r="AB11" s="367">
        <v>4562500</v>
      </c>
      <c r="AC11" s="367">
        <v>4562500</v>
      </c>
      <c r="AD11" s="367">
        <v>4562500</v>
      </c>
      <c r="AE11" s="367">
        <v>4562500</v>
      </c>
      <c r="AF11" s="367">
        <v>4562500</v>
      </c>
      <c r="AG11" s="367">
        <v>4562500</v>
      </c>
      <c r="AH11" s="367">
        <v>4562500</v>
      </c>
      <c r="AI11" s="367">
        <v>4562500</v>
      </c>
      <c r="AJ11" s="367">
        <v>4562500</v>
      </c>
      <c r="AK11" s="367">
        <v>4562500</v>
      </c>
      <c r="AL11" s="367">
        <v>4562500</v>
      </c>
      <c r="AM11" s="367">
        <v>54750000</v>
      </c>
      <c r="AN11" s="367"/>
      <c r="AO11" s="367"/>
    </row>
    <row r="12" spans="1:41" ht="15.75">
      <c r="A12" s="356" t="s">
        <v>705</v>
      </c>
      <c r="B12" s="439" t="s">
        <v>414</v>
      </c>
      <c r="C12" s="440" t="s">
        <v>415</v>
      </c>
      <c r="D12" s="440"/>
      <c r="E12" s="441">
        <v>0.45088235294117646</v>
      </c>
      <c r="F12" s="358">
        <v>153300000</v>
      </c>
      <c r="G12" s="358"/>
      <c r="H12" s="443" t="s">
        <v>416</v>
      </c>
      <c r="I12" s="442" t="s">
        <v>417</v>
      </c>
      <c r="J12" s="438"/>
      <c r="K12" s="407"/>
      <c r="L12" s="375"/>
      <c r="M12" s="375"/>
      <c r="N12" s="375" t="s">
        <v>710</v>
      </c>
      <c r="O12" s="375"/>
      <c r="P12" s="375"/>
      <c r="Q12" s="375"/>
      <c r="R12" s="375"/>
      <c r="S12" s="375"/>
      <c r="T12" s="355"/>
      <c r="U12" s="355"/>
      <c r="V12" s="355"/>
      <c r="W12" s="355"/>
      <c r="X12" s="355"/>
      <c r="Y12" s="355"/>
      <c r="Z12" s="355" t="s">
        <v>414</v>
      </c>
      <c r="AA12" s="367">
        <v>8333333.333333333</v>
      </c>
      <c r="AB12" s="367">
        <v>8333333.333333333</v>
      </c>
      <c r="AC12" s="367">
        <v>8333333.333333333</v>
      </c>
      <c r="AD12" s="367">
        <v>8333333.333333333</v>
      </c>
      <c r="AE12" s="367">
        <v>8333333.333333333</v>
      </c>
      <c r="AF12" s="367">
        <v>8333333.333333333</v>
      </c>
      <c r="AG12" s="367">
        <v>8333333.333333333</v>
      </c>
      <c r="AH12" s="367">
        <v>8333333.333333333</v>
      </c>
      <c r="AI12" s="367">
        <v>8333333.333333333</v>
      </c>
      <c r="AJ12" s="367">
        <v>8333333.333333333</v>
      </c>
      <c r="AK12" s="367">
        <v>8333333.333333333</v>
      </c>
      <c r="AL12" s="367">
        <v>8333333.333333333</v>
      </c>
      <c r="AM12" s="367">
        <v>99999999.999999985</v>
      </c>
      <c r="AN12" s="367">
        <v>275000000</v>
      </c>
      <c r="AO12" s="367"/>
    </row>
    <row r="13" spans="1:41" ht="15.75">
      <c r="A13" s="356" t="s">
        <v>705</v>
      </c>
      <c r="B13" s="439" t="s">
        <v>418</v>
      </c>
      <c r="C13" s="440" t="s">
        <v>419</v>
      </c>
      <c r="D13" s="440"/>
      <c r="E13" s="441">
        <v>5.8823529411764705E-2</v>
      </c>
      <c r="F13" s="358">
        <v>20000000</v>
      </c>
      <c r="G13" s="358"/>
      <c r="H13" s="444"/>
      <c r="I13" s="442"/>
      <c r="J13" s="438"/>
      <c r="K13" s="407"/>
      <c r="L13" s="375"/>
      <c r="M13" s="375"/>
      <c r="N13" s="375" t="s">
        <v>711</v>
      </c>
      <c r="O13" s="375"/>
      <c r="P13" s="375"/>
      <c r="Q13" s="375"/>
      <c r="R13" s="375"/>
      <c r="S13" s="375"/>
      <c r="T13" s="355"/>
      <c r="U13" s="355"/>
      <c r="V13" s="355"/>
      <c r="W13" s="355"/>
      <c r="X13" s="355"/>
      <c r="Y13" s="355"/>
      <c r="Z13" s="355"/>
      <c r="AA13" s="355"/>
      <c r="AB13" s="355"/>
      <c r="AC13" s="355"/>
      <c r="AD13" s="355"/>
      <c r="AE13" s="355"/>
      <c r="AF13" s="355"/>
      <c r="AG13" s="355"/>
      <c r="AH13" s="355"/>
      <c r="AI13" s="355"/>
      <c r="AJ13" s="355"/>
      <c r="AK13" s="355"/>
      <c r="AL13" s="355"/>
      <c r="AM13" s="355"/>
      <c r="AN13" s="367">
        <v>75000000</v>
      </c>
      <c r="AO13" s="367"/>
    </row>
    <row r="14" spans="1:41" ht="15.75">
      <c r="A14" s="445"/>
      <c r="B14" s="439" t="s">
        <v>420</v>
      </c>
      <c r="C14" s="440" t="s">
        <v>421</v>
      </c>
      <c r="D14" s="440" t="s">
        <v>422</v>
      </c>
      <c r="E14" s="441">
        <v>0.54105882352941181</v>
      </c>
      <c r="F14" s="358">
        <v>183960000</v>
      </c>
      <c r="G14" s="358"/>
      <c r="H14" s="444" t="s">
        <v>423</v>
      </c>
      <c r="I14" s="446" t="s">
        <v>424</v>
      </c>
      <c r="J14" s="438"/>
      <c r="K14" s="407" t="s">
        <v>712</v>
      </c>
      <c r="L14" s="375"/>
      <c r="M14" s="375"/>
      <c r="N14" s="375" t="s">
        <v>713</v>
      </c>
      <c r="O14" s="375"/>
      <c r="P14" s="375"/>
      <c r="Q14" s="375"/>
      <c r="R14" s="375"/>
      <c r="S14" s="375"/>
      <c r="T14" s="355"/>
      <c r="U14" s="355"/>
      <c r="V14" s="355"/>
      <c r="W14" s="355"/>
      <c r="X14" s="355"/>
      <c r="Y14" s="355"/>
      <c r="Z14" s="355"/>
      <c r="AA14" s="355"/>
      <c r="AB14" s="355"/>
      <c r="AC14" s="355"/>
      <c r="AD14" s="355"/>
      <c r="AE14" s="355"/>
      <c r="AF14" s="355"/>
      <c r="AG14" s="355"/>
      <c r="AH14" s="355"/>
      <c r="AI14" s="355"/>
      <c r="AJ14" s="355"/>
      <c r="AK14" s="355"/>
      <c r="AL14" s="355"/>
      <c r="AM14" s="355"/>
      <c r="AN14" s="367"/>
      <c r="AO14" s="367"/>
    </row>
    <row r="15" spans="1:41" ht="15.75">
      <c r="A15" s="445"/>
      <c r="B15" s="439" t="s">
        <v>425</v>
      </c>
      <c r="C15" s="440" t="s">
        <v>426</v>
      </c>
      <c r="D15" s="440"/>
      <c r="E15" s="441">
        <v>8.8235294117647058E-3</v>
      </c>
      <c r="F15" s="358">
        <v>3000000</v>
      </c>
      <c r="G15" s="358"/>
      <c r="H15" s="444"/>
      <c r="I15" s="442" t="s">
        <v>427</v>
      </c>
      <c r="J15" s="438"/>
      <c r="K15" s="407"/>
      <c r="L15" s="375"/>
      <c r="M15" s="375"/>
      <c r="N15" s="375"/>
      <c r="O15" s="375"/>
      <c r="P15" s="375"/>
      <c r="Q15" s="375"/>
      <c r="R15" s="375"/>
      <c r="S15" s="375"/>
      <c r="T15" s="355"/>
      <c r="U15" s="355"/>
      <c r="V15" s="355"/>
      <c r="W15" s="355"/>
      <c r="X15" s="355"/>
      <c r="Y15" s="355"/>
      <c r="Z15" s="355"/>
      <c r="AA15" s="355"/>
      <c r="AB15" s="355"/>
      <c r="AC15" s="355"/>
      <c r="AD15" s="355"/>
      <c r="AE15" s="355"/>
      <c r="AF15" s="355"/>
      <c r="AG15" s="355"/>
      <c r="AH15" s="355"/>
      <c r="AI15" s="355"/>
      <c r="AJ15" s="355"/>
      <c r="AK15" s="355"/>
      <c r="AL15" s="355"/>
      <c r="AM15" s="355"/>
      <c r="AN15" s="367"/>
      <c r="AO15" s="367"/>
    </row>
    <row r="16" spans="1:41" ht="15.75">
      <c r="A16" s="447" t="s">
        <v>705</v>
      </c>
      <c r="B16" s="448" t="s">
        <v>714</v>
      </c>
      <c r="C16" s="440" t="s">
        <v>715</v>
      </c>
      <c r="D16" s="440" t="s">
        <v>716</v>
      </c>
      <c r="E16" s="441">
        <v>0.6</v>
      </c>
      <c r="F16" s="358">
        <v>204000000</v>
      </c>
      <c r="G16" s="358"/>
      <c r="H16" s="440" t="s">
        <v>717</v>
      </c>
      <c r="I16" s="442"/>
      <c r="J16" s="438"/>
      <c r="K16" s="373"/>
      <c r="L16" s="373"/>
      <c r="M16" s="375"/>
      <c r="N16" s="375" t="s">
        <v>718</v>
      </c>
      <c r="O16" s="375"/>
      <c r="P16" s="375"/>
      <c r="Q16" s="375"/>
      <c r="R16" s="375"/>
      <c r="S16" s="375"/>
      <c r="T16" s="355"/>
      <c r="U16" s="355"/>
      <c r="V16" s="355"/>
      <c r="W16" s="355"/>
      <c r="X16" s="355"/>
      <c r="Y16" s="355"/>
      <c r="Z16" s="355" t="s">
        <v>719</v>
      </c>
      <c r="AA16" s="367"/>
      <c r="AB16" s="367"/>
      <c r="AC16" s="367"/>
      <c r="AD16" s="367"/>
      <c r="AE16" s="367"/>
      <c r="AF16" s="367"/>
      <c r="AG16" s="367"/>
      <c r="AH16" s="367"/>
      <c r="AI16" s="367"/>
      <c r="AJ16" s="367"/>
      <c r="AK16" s="367"/>
      <c r="AL16" s="367"/>
      <c r="AM16" s="367"/>
      <c r="AN16" s="367"/>
      <c r="AO16" s="367"/>
    </row>
    <row r="17" spans="1:41" ht="15.75">
      <c r="A17" s="447" t="s">
        <v>705</v>
      </c>
      <c r="B17" s="448" t="s">
        <v>714</v>
      </c>
      <c r="C17" s="440" t="s">
        <v>720</v>
      </c>
      <c r="D17" s="440" t="s">
        <v>716</v>
      </c>
      <c r="E17" s="441">
        <v>1.3</v>
      </c>
      <c r="F17" s="358">
        <v>442000000</v>
      </c>
      <c r="G17" s="358"/>
      <c r="H17" s="440">
        <v>2010</v>
      </c>
      <c r="I17" s="442"/>
      <c r="J17" s="438"/>
      <c r="K17" s="373"/>
      <c r="L17" s="375"/>
      <c r="M17" s="375"/>
      <c r="N17" s="375" t="s">
        <v>721</v>
      </c>
      <c r="O17" s="375"/>
      <c r="P17" s="375"/>
      <c r="Q17" s="375"/>
      <c r="R17" s="375"/>
      <c r="S17" s="375"/>
      <c r="T17" s="355"/>
      <c r="U17" s="355"/>
      <c r="V17" s="355"/>
      <c r="W17" s="355"/>
      <c r="X17" s="355"/>
      <c r="Y17" s="355"/>
      <c r="Z17" s="355" t="s">
        <v>690</v>
      </c>
      <c r="AA17" s="367">
        <v>6187500.0000000009</v>
      </c>
      <c r="AB17" s="367">
        <v>6187500.0000000009</v>
      </c>
      <c r="AC17" s="367">
        <v>6187500.0000000009</v>
      </c>
      <c r="AD17" s="367">
        <v>6187500.0000000009</v>
      </c>
      <c r="AE17" s="367">
        <v>6187500.0000000009</v>
      </c>
      <c r="AF17" s="367">
        <v>6187500.0000000009</v>
      </c>
      <c r="AG17" s="367">
        <v>6187500.0000000009</v>
      </c>
      <c r="AH17" s="367">
        <v>6187500.0000000009</v>
      </c>
      <c r="AI17" s="367">
        <v>6187500.0000000009</v>
      </c>
      <c r="AJ17" s="367">
        <v>6187500.0000000009</v>
      </c>
      <c r="AK17" s="367">
        <v>6187500.0000000009</v>
      </c>
      <c r="AL17" s="367">
        <v>6187500.0000000009</v>
      </c>
      <c r="AM17" s="367">
        <v>74250000.000000015</v>
      </c>
      <c r="AN17" s="367"/>
      <c r="AO17" s="367"/>
    </row>
    <row r="18" spans="1:41" ht="15.75">
      <c r="A18" s="447" t="s">
        <v>705</v>
      </c>
      <c r="B18" s="448" t="s">
        <v>714</v>
      </c>
      <c r="C18" s="440" t="s">
        <v>722</v>
      </c>
      <c r="D18" s="440" t="s">
        <v>716</v>
      </c>
      <c r="E18" s="441">
        <v>1.3</v>
      </c>
      <c r="F18" s="358">
        <v>442000000</v>
      </c>
      <c r="G18" s="358"/>
      <c r="H18" s="440">
        <v>2011</v>
      </c>
      <c r="I18" s="442"/>
      <c r="J18" s="438"/>
      <c r="K18" s="449"/>
      <c r="L18" s="375"/>
      <c r="M18" s="375"/>
      <c r="N18" s="375" t="s">
        <v>723</v>
      </c>
      <c r="O18" s="375"/>
      <c r="P18" s="375"/>
      <c r="Q18" s="375"/>
      <c r="R18" s="375"/>
      <c r="S18" s="375"/>
      <c r="T18" s="355"/>
      <c r="U18" s="355"/>
      <c r="V18" s="355"/>
      <c r="W18" s="355"/>
      <c r="X18" s="355"/>
      <c r="Y18" s="355"/>
      <c r="Z18" s="355" t="s">
        <v>404</v>
      </c>
      <c r="AA18" s="367">
        <v>1687500</v>
      </c>
      <c r="AB18" s="367">
        <v>1687500</v>
      </c>
      <c r="AC18" s="367">
        <v>1687500</v>
      </c>
      <c r="AD18" s="367">
        <v>1687500</v>
      </c>
      <c r="AE18" s="367">
        <v>1687500</v>
      </c>
      <c r="AF18" s="367">
        <v>1687500</v>
      </c>
      <c r="AG18" s="367">
        <v>1687500</v>
      </c>
      <c r="AH18" s="367">
        <v>1687500</v>
      </c>
      <c r="AI18" s="367">
        <v>1687500</v>
      </c>
      <c r="AJ18" s="367">
        <v>1687500</v>
      </c>
      <c r="AK18" s="367">
        <v>1687500</v>
      </c>
      <c r="AL18" s="367">
        <v>1687500</v>
      </c>
      <c r="AM18" s="367">
        <v>20250000</v>
      </c>
      <c r="AN18" s="367"/>
      <c r="AO18" s="367"/>
    </row>
    <row r="19" spans="1:41" ht="15.75">
      <c r="A19" s="447" t="s">
        <v>705</v>
      </c>
      <c r="B19" s="448" t="s">
        <v>724</v>
      </c>
      <c r="C19" s="440" t="s">
        <v>725</v>
      </c>
      <c r="D19" s="440" t="s">
        <v>412</v>
      </c>
      <c r="E19" s="441">
        <v>0.36</v>
      </c>
      <c r="F19" s="358">
        <v>122400000</v>
      </c>
      <c r="G19" s="358"/>
      <c r="H19" s="444">
        <v>41791</v>
      </c>
      <c r="I19" s="442"/>
      <c r="J19" s="438"/>
      <c r="K19" s="373"/>
      <c r="L19" s="375"/>
      <c r="M19" s="375"/>
      <c r="N19" s="375" t="s">
        <v>726</v>
      </c>
      <c r="O19" s="375"/>
      <c r="P19" s="375"/>
      <c r="Q19" s="375"/>
      <c r="R19" s="375"/>
      <c r="S19" s="375"/>
      <c r="T19" s="355"/>
      <c r="U19" s="355"/>
      <c r="V19" s="355"/>
      <c r="W19" s="355"/>
      <c r="X19" s="355"/>
      <c r="Y19" s="355"/>
      <c r="Z19" s="355"/>
      <c r="AA19" s="367"/>
      <c r="AB19" s="367"/>
      <c r="AC19" s="367"/>
      <c r="AD19" s="367"/>
      <c r="AE19" s="367"/>
      <c r="AF19" s="367"/>
      <c r="AG19" s="367"/>
      <c r="AH19" s="367"/>
      <c r="AI19" s="367"/>
      <c r="AJ19" s="367"/>
      <c r="AK19" s="367"/>
      <c r="AL19" s="367"/>
      <c r="AM19" s="367"/>
      <c r="AN19" s="367"/>
      <c r="AO19" s="367"/>
    </row>
    <row r="20" spans="1:41" ht="15.75">
      <c r="A20" s="447" t="s">
        <v>705</v>
      </c>
      <c r="B20" s="448" t="s">
        <v>727</v>
      </c>
      <c r="C20" s="440" t="s">
        <v>728</v>
      </c>
      <c r="D20" s="440" t="s">
        <v>729</v>
      </c>
      <c r="E20" s="441">
        <v>0.13</v>
      </c>
      <c r="F20" s="358">
        <v>44200000</v>
      </c>
      <c r="G20" s="358"/>
      <c r="H20" s="444">
        <v>42005</v>
      </c>
      <c r="I20" s="442" t="s">
        <v>730</v>
      </c>
      <c r="J20" s="438"/>
      <c r="K20" s="356"/>
      <c r="L20" s="375"/>
      <c r="M20" s="375"/>
      <c r="N20" s="375" t="s">
        <v>731</v>
      </c>
      <c r="O20" s="375"/>
      <c r="P20" s="375"/>
      <c r="Q20" s="375"/>
      <c r="R20" s="375"/>
      <c r="S20" s="375"/>
      <c r="T20" s="355"/>
      <c r="U20" s="355"/>
      <c r="V20" s="355"/>
      <c r="W20" s="355"/>
      <c r="X20" s="355"/>
      <c r="Y20" s="355"/>
      <c r="Z20" s="355"/>
      <c r="AA20" s="367"/>
      <c r="AB20" s="367"/>
      <c r="AC20" s="367"/>
      <c r="AD20" s="367"/>
      <c r="AE20" s="367"/>
      <c r="AF20" s="367"/>
      <c r="AG20" s="367"/>
      <c r="AH20" s="367"/>
      <c r="AI20" s="367"/>
      <c r="AJ20" s="367"/>
      <c r="AK20" s="367"/>
      <c r="AL20" s="367"/>
      <c r="AM20" s="367"/>
      <c r="AN20" s="367"/>
      <c r="AO20" s="367"/>
    </row>
    <row r="21" spans="1:41" ht="15.75">
      <c r="A21" s="447" t="s">
        <v>705</v>
      </c>
      <c r="B21" s="448" t="s">
        <v>197</v>
      </c>
      <c r="C21" s="440" t="s">
        <v>732</v>
      </c>
      <c r="D21" s="440" t="s">
        <v>733</v>
      </c>
      <c r="E21" s="441">
        <v>0.5</v>
      </c>
      <c r="F21" s="358">
        <v>170000000</v>
      </c>
      <c r="G21" s="358"/>
      <c r="H21" s="444">
        <v>43617</v>
      </c>
      <c r="I21" s="442" t="s">
        <v>734</v>
      </c>
      <c r="J21" s="438"/>
      <c r="K21" s="356"/>
      <c r="L21" s="375"/>
      <c r="M21" s="375"/>
      <c r="N21" s="375" t="s">
        <v>735</v>
      </c>
      <c r="O21" s="375"/>
      <c r="P21" s="375"/>
      <c r="Q21" s="375"/>
      <c r="R21" s="375"/>
      <c r="S21" s="375"/>
      <c r="T21" s="450" t="s">
        <v>736</v>
      </c>
      <c r="U21" s="355"/>
      <c r="V21" s="355"/>
      <c r="W21" s="355"/>
      <c r="X21" s="355"/>
      <c r="Y21" s="355"/>
      <c r="Z21" s="355"/>
      <c r="AA21" s="355"/>
      <c r="AB21" s="355"/>
      <c r="AC21" s="355"/>
      <c r="AD21" s="355"/>
      <c r="AE21" s="355"/>
      <c r="AF21" s="355"/>
      <c r="AG21" s="355"/>
      <c r="AH21" s="355"/>
      <c r="AI21" s="355"/>
      <c r="AJ21" s="355"/>
      <c r="AK21" s="355"/>
      <c r="AL21" s="355"/>
      <c r="AM21" s="355"/>
      <c r="AN21" s="367"/>
      <c r="AO21" s="367"/>
    </row>
    <row r="22" spans="1:41" ht="15.75">
      <c r="A22" s="447" t="s">
        <v>705</v>
      </c>
      <c r="B22" s="448" t="s">
        <v>724</v>
      </c>
      <c r="C22" s="440" t="s">
        <v>737</v>
      </c>
      <c r="D22" s="440" t="s">
        <v>412</v>
      </c>
      <c r="E22" s="441">
        <v>0.75</v>
      </c>
      <c r="F22" s="358">
        <v>255000000</v>
      </c>
      <c r="G22" s="358"/>
      <c r="H22" s="444">
        <v>43678</v>
      </c>
      <c r="I22" s="442" t="s">
        <v>738</v>
      </c>
      <c r="J22" s="427">
        <v>37.319477530588223</v>
      </c>
      <c r="K22" s="360">
        <v>12607337413.360001</v>
      </c>
      <c r="L22" s="375"/>
      <c r="M22" s="375"/>
      <c r="N22" s="375" t="s">
        <v>739</v>
      </c>
      <c r="O22" s="375"/>
      <c r="P22" s="375"/>
      <c r="Q22" s="375"/>
      <c r="R22" s="375"/>
      <c r="S22" s="375"/>
      <c r="T22" s="450"/>
      <c r="U22" s="355"/>
      <c r="V22" s="355"/>
      <c r="W22" s="355"/>
      <c r="X22" s="355"/>
      <c r="Y22" s="355"/>
      <c r="Z22" s="355" t="s">
        <v>740</v>
      </c>
      <c r="AA22" s="367"/>
      <c r="AB22" s="367"/>
      <c r="AC22" s="367"/>
      <c r="AD22" s="367"/>
      <c r="AE22" s="367"/>
      <c r="AF22" s="367"/>
      <c r="AG22" s="367"/>
      <c r="AH22" s="367"/>
      <c r="AI22" s="367"/>
      <c r="AJ22" s="367"/>
      <c r="AK22" s="367"/>
      <c r="AL22" s="367"/>
      <c r="AM22" s="367"/>
      <c r="AN22" s="367"/>
      <c r="AO22" s="367"/>
    </row>
    <row r="23" spans="1:41" ht="18.75">
      <c r="A23" s="447" t="s">
        <v>705</v>
      </c>
      <c r="B23" s="448" t="s">
        <v>741</v>
      </c>
      <c r="C23" s="440" t="s">
        <v>742</v>
      </c>
      <c r="D23" s="451"/>
      <c r="E23" s="441">
        <v>0.02</v>
      </c>
      <c r="F23" s="358">
        <v>6800000</v>
      </c>
      <c r="G23" s="358"/>
      <c r="H23" s="444"/>
      <c r="I23" s="442"/>
      <c r="J23" s="452"/>
      <c r="K23" s="453"/>
      <c r="L23" s="375"/>
      <c r="M23" s="375"/>
      <c r="N23" s="375" t="s">
        <v>743</v>
      </c>
      <c r="O23" s="375"/>
      <c r="P23" s="375"/>
      <c r="Q23" s="375"/>
      <c r="R23" s="375"/>
      <c r="S23" s="375"/>
      <c r="T23" s="450"/>
      <c r="U23" s="355"/>
      <c r="V23" s="355"/>
      <c r="W23" s="355"/>
      <c r="X23" s="355"/>
      <c r="Y23" s="355"/>
      <c r="Z23" s="355" t="s">
        <v>714</v>
      </c>
      <c r="AA23" s="454">
        <v>22806000</v>
      </c>
      <c r="AB23" s="454">
        <v>17262000</v>
      </c>
      <c r="AC23" s="454">
        <v>18984000</v>
      </c>
      <c r="AD23" s="454">
        <v>27888000</v>
      </c>
      <c r="AE23" s="454">
        <v>21210000</v>
      </c>
      <c r="AF23" s="454">
        <v>25830000</v>
      </c>
      <c r="AG23" s="454">
        <v>13356000</v>
      </c>
      <c r="AH23" s="454">
        <v>18270000</v>
      </c>
      <c r="AI23" s="454">
        <v>21714000</v>
      </c>
      <c r="AJ23" s="367"/>
      <c r="AK23" s="367"/>
      <c r="AL23" s="367"/>
      <c r="AM23" s="367"/>
      <c r="AN23" s="367"/>
      <c r="AO23" s="367"/>
    </row>
    <row r="24" spans="1:41" ht="15.75">
      <c r="A24" s="355"/>
      <c r="B24" s="448"/>
      <c r="C24" s="451"/>
      <c r="D24" s="356"/>
      <c r="E24" s="441"/>
      <c r="F24" s="358"/>
      <c r="G24" s="358"/>
      <c r="H24" s="444"/>
      <c r="I24" s="442"/>
      <c r="J24" s="427">
        <v>7.2572352941176472</v>
      </c>
      <c r="K24" s="360">
        <v>2473260020</v>
      </c>
      <c r="L24" s="375" t="s">
        <v>744</v>
      </c>
      <c r="M24" s="375"/>
      <c r="N24" s="375"/>
      <c r="O24" s="375"/>
      <c r="P24" s="375"/>
      <c r="Q24" s="375"/>
      <c r="R24" s="375"/>
      <c r="S24" s="375"/>
      <c r="T24" s="450"/>
      <c r="U24" s="355"/>
      <c r="V24" s="355"/>
      <c r="W24" s="355"/>
      <c r="X24" s="355"/>
      <c r="Y24" s="355"/>
      <c r="Z24" s="355"/>
      <c r="AA24" s="367"/>
      <c r="AB24" s="367"/>
      <c r="AC24" s="367"/>
      <c r="AD24" s="367"/>
      <c r="AE24" s="367"/>
      <c r="AF24" s="367"/>
      <c r="AG24" s="367"/>
      <c r="AH24" s="367"/>
      <c r="AI24" s="367"/>
      <c r="AJ24" s="367"/>
      <c r="AK24" s="367"/>
      <c r="AL24" s="367"/>
      <c r="AM24" s="367"/>
      <c r="AN24" s="367"/>
      <c r="AO24" s="367"/>
    </row>
    <row r="25" spans="1:41" ht="15.75">
      <c r="A25" s="355"/>
      <c r="B25" s="455"/>
      <c r="C25" s="455"/>
      <c r="D25" s="455"/>
      <c r="E25" s="455"/>
      <c r="F25" s="456"/>
      <c r="G25" s="456"/>
      <c r="H25" s="457"/>
      <c r="I25" s="458"/>
      <c r="J25" s="427">
        <v>1.6069180000000003</v>
      </c>
      <c r="K25" s="360">
        <v>546352120</v>
      </c>
      <c r="L25" s="375" t="s">
        <v>745</v>
      </c>
      <c r="M25" s="375"/>
      <c r="N25" s="375"/>
      <c r="O25" s="375"/>
      <c r="P25" s="375"/>
      <c r="Q25" s="375"/>
      <c r="R25" s="375"/>
      <c r="S25" s="375"/>
      <c r="T25" s="355"/>
      <c r="U25" s="355"/>
      <c r="V25" s="355"/>
      <c r="W25" s="355"/>
      <c r="X25" s="355"/>
      <c r="Y25" s="355"/>
      <c r="Z25" s="355"/>
      <c r="AA25" s="367"/>
      <c r="AB25" s="367"/>
      <c r="AC25" s="367"/>
      <c r="AD25" s="367"/>
      <c r="AE25" s="367"/>
      <c r="AF25" s="367"/>
      <c r="AG25" s="367"/>
      <c r="AH25" s="367"/>
      <c r="AI25" s="367"/>
      <c r="AJ25" s="367"/>
      <c r="AK25" s="367"/>
      <c r="AL25" s="367"/>
      <c r="AM25" s="367"/>
      <c r="AN25" s="367"/>
      <c r="AO25" s="367"/>
    </row>
    <row r="26" spans="1:41" ht="18.75">
      <c r="A26" s="355"/>
      <c r="B26" s="338"/>
      <c r="C26" s="459" t="s">
        <v>197</v>
      </c>
      <c r="D26" s="460"/>
      <c r="E26" s="461">
        <v>7.2572352941176472</v>
      </c>
      <c r="F26" s="462">
        <v>2473260020</v>
      </c>
      <c r="G26" s="462"/>
      <c r="H26" s="463"/>
      <c r="I26" s="464"/>
      <c r="J26" s="427">
        <v>22.961030118823519</v>
      </c>
      <c r="K26" s="360">
        <v>7727959513.3599997</v>
      </c>
      <c r="L26" s="375" t="s">
        <v>746</v>
      </c>
      <c r="M26" s="375"/>
      <c r="N26" s="375"/>
      <c r="O26" s="375"/>
      <c r="P26" s="375"/>
      <c r="Q26" s="375"/>
      <c r="R26" s="375"/>
      <c r="S26" s="375"/>
      <c r="T26" s="355"/>
      <c r="U26" s="355"/>
      <c r="V26" s="355"/>
      <c r="W26" s="355"/>
      <c r="X26" s="355"/>
      <c r="Y26" s="355"/>
      <c r="Z26" s="355" t="s">
        <v>747</v>
      </c>
      <c r="AA26" s="367"/>
      <c r="AB26" s="367"/>
      <c r="AC26" s="367"/>
      <c r="AD26" s="367"/>
      <c r="AE26" s="367"/>
      <c r="AF26" s="367"/>
      <c r="AG26" s="367"/>
      <c r="AH26" s="367"/>
      <c r="AI26" s="367"/>
      <c r="AJ26" s="367"/>
      <c r="AK26" s="367"/>
      <c r="AL26" s="367"/>
      <c r="AM26" s="367"/>
      <c r="AN26" s="367"/>
      <c r="AO26" s="367"/>
    </row>
    <row r="27" spans="1:41" ht="15.75">
      <c r="A27" s="355"/>
      <c r="B27" s="355"/>
      <c r="C27" s="355"/>
      <c r="D27" s="355"/>
      <c r="E27" s="355"/>
      <c r="F27" s="465"/>
      <c r="G27" s="465"/>
      <c r="H27" s="466"/>
      <c r="I27" s="355"/>
      <c r="J27" s="427">
        <v>5.4942941176470583</v>
      </c>
      <c r="K27" s="360">
        <v>1859765760</v>
      </c>
      <c r="L27" s="375" t="s">
        <v>748</v>
      </c>
      <c r="M27" s="375"/>
      <c r="N27" s="375"/>
      <c r="O27" s="375"/>
      <c r="P27" s="375"/>
      <c r="Q27" s="375"/>
      <c r="R27" s="375"/>
      <c r="S27" s="375"/>
      <c r="T27" s="355"/>
      <c r="U27" s="355"/>
      <c r="V27" s="355"/>
      <c r="W27" s="355"/>
      <c r="X27" s="355"/>
      <c r="Y27" s="355"/>
      <c r="Z27" s="355"/>
      <c r="AA27" s="367">
        <v>52431000</v>
      </c>
      <c r="AB27" s="367">
        <v>46887000</v>
      </c>
      <c r="AC27" s="367">
        <v>48609000</v>
      </c>
      <c r="AD27" s="367">
        <v>57513000</v>
      </c>
      <c r="AE27" s="367">
        <v>50835000</v>
      </c>
      <c r="AF27" s="367">
        <v>55455000</v>
      </c>
      <c r="AG27" s="367">
        <v>42981000</v>
      </c>
      <c r="AH27" s="367">
        <v>47895000</v>
      </c>
      <c r="AI27" s="367">
        <v>51339000</v>
      </c>
      <c r="AJ27" s="367">
        <v>29625000</v>
      </c>
      <c r="AK27" s="367">
        <v>29625000</v>
      </c>
      <c r="AL27" s="367">
        <v>29625000</v>
      </c>
      <c r="AM27" s="367"/>
      <c r="AN27" s="367"/>
      <c r="AO27" s="367"/>
    </row>
    <row r="28" spans="1:41" ht="21">
      <c r="A28" s="355"/>
      <c r="B28" s="467"/>
      <c r="C28" s="332" t="s">
        <v>749</v>
      </c>
      <c r="D28" s="333"/>
      <c r="E28" s="334"/>
      <c r="F28" s="468">
        <v>971428.57142857148</v>
      </c>
      <c r="G28" s="468">
        <v>2600000</v>
      </c>
      <c r="H28" s="336"/>
      <c r="I28" s="369">
        <v>68400000</v>
      </c>
      <c r="J28" s="360">
        <v>109200000</v>
      </c>
      <c r="K28" s="355"/>
      <c r="L28" s="375" t="s">
        <v>750</v>
      </c>
      <c r="M28" s="375" t="s">
        <v>751</v>
      </c>
      <c r="N28" s="375"/>
      <c r="O28" s="375"/>
      <c r="P28" s="375"/>
      <c r="Q28" s="375"/>
      <c r="R28" s="375"/>
      <c r="S28" s="375"/>
      <c r="T28" s="355"/>
      <c r="U28" s="355"/>
      <c r="V28" s="355"/>
      <c r="W28" s="355"/>
      <c r="X28" s="355"/>
      <c r="Y28" s="355"/>
      <c r="Z28" s="355"/>
      <c r="AA28" s="367">
        <v>60306000</v>
      </c>
      <c r="AB28" s="367">
        <v>54762000</v>
      </c>
      <c r="AC28" s="367">
        <v>56484000</v>
      </c>
      <c r="AD28" s="367">
        <v>65388000</v>
      </c>
      <c r="AE28" s="367">
        <v>58710000</v>
      </c>
      <c r="AF28" s="367">
        <v>63330000</v>
      </c>
      <c r="AG28" s="367">
        <v>50856000</v>
      </c>
      <c r="AH28" s="367">
        <v>55770000</v>
      </c>
      <c r="AI28" s="367">
        <v>59214000</v>
      </c>
      <c r="AJ28" s="367">
        <v>37500000</v>
      </c>
      <c r="AK28" s="367">
        <v>37500000</v>
      </c>
      <c r="AL28" s="367">
        <v>37500000</v>
      </c>
      <c r="AM28" s="367"/>
      <c r="AN28" s="367"/>
      <c r="AO28" s="367"/>
    </row>
    <row r="29" spans="1:41" ht="15.75">
      <c r="A29" s="355"/>
      <c r="B29" s="469"/>
      <c r="C29" s="339"/>
      <c r="D29" s="340"/>
      <c r="E29" s="355"/>
      <c r="F29" s="465"/>
      <c r="G29" s="465"/>
      <c r="H29" s="466"/>
      <c r="I29" s="369"/>
      <c r="J29" s="427">
        <v>1.6429411764705881</v>
      </c>
      <c r="K29" s="360">
        <v>558600000</v>
      </c>
      <c r="L29" s="375"/>
      <c r="M29" s="375"/>
      <c r="N29" s="375"/>
      <c r="O29" s="375"/>
      <c r="P29" s="375"/>
      <c r="Q29" s="375"/>
      <c r="R29" s="375"/>
      <c r="S29" s="375"/>
      <c r="T29" s="355"/>
      <c r="U29" s="355"/>
      <c r="V29" s="355"/>
      <c r="W29" s="355"/>
      <c r="X29" s="355"/>
      <c r="Y29" s="355"/>
      <c r="Z29" s="355"/>
      <c r="AA29" s="367"/>
      <c r="AB29" s="367"/>
      <c r="AC29" s="367"/>
      <c r="AD29" s="367"/>
      <c r="AE29" s="367"/>
      <c r="AF29" s="367"/>
      <c r="AG29" s="367"/>
      <c r="AH29" s="367"/>
      <c r="AI29" s="367"/>
      <c r="AJ29" s="367"/>
      <c r="AK29" s="367"/>
      <c r="AL29" s="367"/>
      <c r="AM29" s="367"/>
      <c r="AN29" s="367"/>
      <c r="AO29" s="367"/>
    </row>
    <row r="30" spans="1:41" ht="18.75">
      <c r="A30" s="355"/>
      <c r="B30" s="343" t="s">
        <v>398</v>
      </c>
      <c r="C30" s="344" t="s">
        <v>318</v>
      </c>
      <c r="D30" s="344" t="s">
        <v>399</v>
      </c>
      <c r="E30" s="345" t="s">
        <v>400</v>
      </c>
      <c r="F30" s="346" t="s">
        <v>401</v>
      </c>
      <c r="G30" s="470"/>
      <c r="H30" s="347" t="s">
        <v>403</v>
      </c>
      <c r="I30" s="348" t="s">
        <v>349</v>
      </c>
      <c r="J30" s="471">
        <v>0.61764705882352944</v>
      </c>
      <c r="K30" s="472">
        <v>210000000</v>
      </c>
      <c r="L30" s="375"/>
      <c r="M30" s="375"/>
      <c r="N30" s="375"/>
      <c r="O30" s="375"/>
      <c r="P30" s="375"/>
      <c r="Q30" s="375"/>
      <c r="R30" s="375"/>
      <c r="S30" s="375"/>
      <c r="T30" s="355"/>
      <c r="U30" s="355"/>
      <c r="V30" s="355"/>
      <c r="W30" s="355"/>
      <c r="X30" s="355"/>
      <c r="Y30" s="355" t="s">
        <v>752</v>
      </c>
      <c r="Z30" s="355"/>
      <c r="AA30" s="367"/>
      <c r="AB30" s="367"/>
      <c r="AC30" s="367">
        <v>147927000</v>
      </c>
      <c r="AD30" s="367"/>
      <c r="AE30" s="367"/>
      <c r="AF30" s="367">
        <v>163803000</v>
      </c>
      <c r="AG30" s="367"/>
      <c r="AH30" s="367"/>
      <c r="AI30" s="367"/>
      <c r="AJ30" s="367"/>
      <c r="AK30" s="367"/>
      <c r="AL30" s="367"/>
      <c r="AM30" s="367"/>
      <c r="AN30" s="367"/>
      <c r="AO30" s="367"/>
    </row>
    <row r="31" spans="1:41" ht="18.75">
      <c r="A31" s="355"/>
      <c r="B31" s="349"/>
      <c r="C31" s="350"/>
      <c r="D31" s="350"/>
      <c r="E31" s="351"/>
      <c r="F31" s="352"/>
      <c r="G31" s="473"/>
      <c r="H31" s="353"/>
      <c r="I31" s="354"/>
      <c r="J31" s="471">
        <v>0.10588235294117647</v>
      </c>
      <c r="K31" s="472">
        <v>36000000</v>
      </c>
      <c r="L31" s="375"/>
      <c r="M31" s="375"/>
      <c r="N31" s="375" t="s">
        <v>696</v>
      </c>
      <c r="O31" s="375"/>
      <c r="P31" s="375"/>
      <c r="Q31" s="375"/>
      <c r="R31" s="375"/>
      <c r="S31" s="375"/>
      <c r="T31" s="355"/>
      <c r="U31" s="355"/>
      <c r="V31" s="355"/>
      <c r="W31" s="355"/>
      <c r="X31" s="355"/>
      <c r="Y31" s="355"/>
      <c r="Z31" s="355" t="s">
        <v>753</v>
      </c>
      <c r="AA31" s="367"/>
      <c r="AB31" s="367"/>
      <c r="AC31" s="367">
        <v>130732816</v>
      </c>
      <c r="AD31" s="367"/>
      <c r="AE31" s="367"/>
      <c r="AF31" s="367">
        <v>152015780</v>
      </c>
      <c r="AG31" s="367"/>
      <c r="AH31" s="367"/>
      <c r="AI31" s="367"/>
      <c r="AJ31" s="367"/>
      <c r="AK31" s="367"/>
      <c r="AL31" s="367"/>
      <c r="AM31" s="367"/>
      <c r="AN31" s="367"/>
      <c r="AO31" s="367"/>
    </row>
    <row r="32" spans="1:41" ht="15.75">
      <c r="A32" s="356" t="s">
        <v>705</v>
      </c>
      <c r="B32" s="432" t="s">
        <v>429</v>
      </c>
      <c r="C32" s="433" t="s">
        <v>430</v>
      </c>
      <c r="D32" s="474"/>
      <c r="E32" s="441">
        <v>0.12</v>
      </c>
      <c r="F32" s="435">
        <v>40800000</v>
      </c>
      <c r="G32" s="435"/>
      <c r="H32" s="433"/>
      <c r="I32" s="437"/>
      <c r="J32" s="427">
        <v>0.36764705882352938</v>
      </c>
      <c r="K32" s="360">
        <v>125000000</v>
      </c>
      <c r="L32" s="375"/>
      <c r="M32" s="375"/>
      <c r="N32" s="375" t="s">
        <v>754</v>
      </c>
      <c r="O32" s="375"/>
      <c r="P32" s="375"/>
      <c r="Q32" s="375"/>
      <c r="R32" s="375"/>
      <c r="S32" s="375"/>
      <c r="T32" s="355"/>
      <c r="U32" s="355"/>
      <c r="V32" s="355"/>
      <c r="W32" s="355"/>
      <c r="X32" s="355"/>
      <c r="Y32" s="355"/>
      <c r="Z32" s="355" t="s">
        <v>755</v>
      </c>
      <c r="AA32" s="367"/>
      <c r="AB32" s="367"/>
      <c r="AC32" s="367">
        <v>7890131</v>
      </c>
      <c r="AD32" s="367"/>
      <c r="AE32" s="367"/>
      <c r="AF32" s="367">
        <v>6249890</v>
      </c>
      <c r="AG32" s="367"/>
      <c r="AH32" s="367"/>
      <c r="AI32" s="367"/>
      <c r="AJ32" s="367"/>
      <c r="AK32" s="367"/>
      <c r="AL32" s="367"/>
      <c r="AM32" s="367"/>
      <c r="AN32" s="367"/>
      <c r="AO32" s="367"/>
    </row>
    <row r="33" spans="1:41" ht="15.75">
      <c r="A33" s="356" t="s">
        <v>705</v>
      </c>
      <c r="B33" s="439" t="s">
        <v>431</v>
      </c>
      <c r="C33" s="440" t="s">
        <v>432</v>
      </c>
      <c r="D33" s="448"/>
      <c r="E33" s="441">
        <v>1.2E-2</v>
      </c>
      <c r="F33" s="358">
        <v>4080000</v>
      </c>
      <c r="G33" s="358"/>
      <c r="H33" s="440"/>
      <c r="I33" s="442"/>
      <c r="J33" s="427">
        <v>0.26470588235294118</v>
      </c>
      <c r="K33" s="360">
        <v>90000000</v>
      </c>
      <c r="L33" s="375"/>
      <c r="M33" s="375"/>
      <c r="N33" s="375" t="s">
        <v>756</v>
      </c>
      <c r="O33" s="375"/>
      <c r="P33" s="375"/>
      <c r="Q33" s="375"/>
      <c r="R33" s="375"/>
      <c r="S33" s="375"/>
      <c r="T33" s="355"/>
      <c r="U33" s="355"/>
      <c r="V33" s="355"/>
      <c r="W33" s="355"/>
      <c r="X33" s="355"/>
      <c r="Y33" s="355"/>
      <c r="Z33" s="355"/>
      <c r="AA33" s="367"/>
      <c r="AB33" s="367"/>
      <c r="AC33" s="367"/>
      <c r="AD33" s="367"/>
      <c r="AE33" s="367"/>
      <c r="AF33" s="367"/>
      <c r="AG33" s="367"/>
      <c r="AH33" s="367"/>
      <c r="AI33" s="367"/>
      <c r="AJ33" s="367"/>
      <c r="AK33" s="367"/>
      <c r="AL33" s="367"/>
      <c r="AM33" s="367"/>
      <c r="AN33" s="367"/>
      <c r="AO33" s="367"/>
    </row>
    <row r="34" spans="1:41" ht="15.75">
      <c r="A34" s="356" t="s">
        <v>698</v>
      </c>
      <c r="B34" s="439" t="s">
        <v>360</v>
      </c>
      <c r="C34" s="440" t="s">
        <v>757</v>
      </c>
      <c r="D34" s="448"/>
      <c r="E34" s="441">
        <v>0.30302082352941173</v>
      </c>
      <c r="F34" s="358">
        <v>103027080</v>
      </c>
      <c r="G34" s="358"/>
      <c r="H34" s="440"/>
      <c r="I34" s="442"/>
      <c r="J34" s="427">
        <v>3.2352941176470584E-2</v>
      </c>
      <c r="K34" s="360">
        <v>11000000</v>
      </c>
      <c r="L34" s="375"/>
      <c r="M34" s="375"/>
      <c r="N34" s="375" t="s">
        <v>758</v>
      </c>
      <c r="O34" s="375"/>
      <c r="P34" s="375"/>
      <c r="Q34" s="375"/>
      <c r="R34" s="375"/>
      <c r="S34" s="375"/>
      <c r="T34" s="355"/>
      <c r="U34" s="355"/>
      <c r="V34" s="355"/>
      <c r="W34" s="355"/>
      <c r="X34" s="355"/>
      <c r="Y34" s="355" t="s">
        <v>759</v>
      </c>
      <c r="Z34" s="355"/>
      <c r="AA34" s="367"/>
      <c r="AB34" s="367"/>
      <c r="AC34" s="367"/>
      <c r="AD34" s="367"/>
      <c r="AE34" s="367"/>
      <c r="AF34" s="367"/>
      <c r="AG34" s="367"/>
      <c r="AH34" s="367"/>
      <c r="AI34" s="367"/>
      <c r="AJ34" s="367"/>
      <c r="AK34" s="367"/>
      <c r="AL34" s="367"/>
      <c r="AM34" s="367"/>
      <c r="AN34" s="367"/>
      <c r="AO34" s="367"/>
    </row>
    <row r="35" spans="1:41" ht="15.75">
      <c r="A35" s="355"/>
      <c r="B35" s="439" t="s">
        <v>433</v>
      </c>
      <c r="C35" s="440" t="s">
        <v>434</v>
      </c>
      <c r="D35" s="448"/>
      <c r="E35" s="441"/>
      <c r="F35" s="363"/>
      <c r="G35" s="358"/>
      <c r="H35" s="475" t="s">
        <v>435</v>
      </c>
      <c r="I35" s="442"/>
      <c r="J35" s="427"/>
      <c r="K35" s="360"/>
      <c r="L35" s="375"/>
      <c r="M35" s="375"/>
      <c r="N35" s="375"/>
      <c r="O35" s="375"/>
      <c r="P35" s="375"/>
      <c r="Q35" s="375"/>
      <c r="R35" s="375"/>
      <c r="S35" s="375"/>
      <c r="T35" s="355"/>
      <c r="U35" s="355"/>
      <c r="V35" s="355"/>
      <c r="W35" s="355"/>
      <c r="X35" s="355"/>
      <c r="Y35" s="355"/>
      <c r="Z35" s="355"/>
      <c r="AA35" s="367"/>
      <c r="AB35" s="367"/>
      <c r="AC35" s="367"/>
      <c r="AD35" s="367"/>
      <c r="AE35" s="367"/>
      <c r="AF35" s="367"/>
      <c r="AG35" s="367"/>
      <c r="AH35" s="367"/>
      <c r="AI35" s="367"/>
      <c r="AJ35" s="367"/>
      <c r="AK35" s="367"/>
      <c r="AL35" s="367"/>
      <c r="AM35" s="367"/>
      <c r="AN35" s="367"/>
      <c r="AO35" s="367"/>
    </row>
    <row r="36" spans="1:41" ht="15.75">
      <c r="A36" s="447" t="s">
        <v>705</v>
      </c>
      <c r="B36" s="476" t="s">
        <v>760</v>
      </c>
      <c r="C36" s="477" t="s">
        <v>761</v>
      </c>
      <c r="D36" s="476"/>
      <c r="E36" s="441">
        <v>0.24863247058823529</v>
      </c>
      <c r="F36" s="478">
        <v>84535040</v>
      </c>
      <c r="G36" s="478"/>
      <c r="H36" s="440"/>
      <c r="I36" s="442"/>
      <c r="J36" s="427">
        <v>0.29411764705882354</v>
      </c>
      <c r="K36" s="360">
        <v>100000000</v>
      </c>
      <c r="L36" s="375"/>
      <c r="M36" s="375"/>
      <c r="N36" s="375" t="s">
        <v>762</v>
      </c>
      <c r="O36" s="375"/>
      <c r="P36" s="375"/>
      <c r="Q36" s="375"/>
      <c r="R36" s="375"/>
      <c r="S36" s="375"/>
      <c r="T36" s="355"/>
      <c r="U36" s="355"/>
      <c r="V36" s="355"/>
      <c r="W36" s="355"/>
      <c r="X36" s="355"/>
      <c r="Y36" s="355"/>
      <c r="Z36" s="355" t="s">
        <v>763</v>
      </c>
      <c r="AA36" s="367"/>
      <c r="AB36" s="367"/>
      <c r="AC36" s="367"/>
      <c r="AD36" s="367"/>
      <c r="AE36" s="367"/>
      <c r="AF36" s="367"/>
      <c r="AG36" s="367"/>
      <c r="AH36" s="367"/>
      <c r="AI36" s="367"/>
      <c r="AJ36" s="355"/>
      <c r="AK36" s="367"/>
      <c r="AL36" s="367"/>
      <c r="AM36" s="367"/>
      <c r="AN36" s="367"/>
      <c r="AO36" s="367"/>
    </row>
    <row r="37" spans="1:41" ht="15.75">
      <c r="A37" s="447" t="s">
        <v>705</v>
      </c>
      <c r="B37" s="448" t="s">
        <v>764</v>
      </c>
      <c r="C37" s="440" t="s">
        <v>765</v>
      </c>
      <c r="D37" s="448"/>
      <c r="E37" s="441">
        <v>0.27800000000000002</v>
      </c>
      <c r="F37" s="358">
        <v>94520000</v>
      </c>
      <c r="G37" s="358"/>
      <c r="H37" s="440" t="s">
        <v>734</v>
      </c>
      <c r="I37" s="442"/>
      <c r="J37" s="427">
        <v>2.1642352941176473</v>
      </c>
      <c r="K37" s="360">
        <v>735840000</v>
      </c>
      <c r="L37" s="375"/>
      <c r="M37" s="375"/>
      <c r="N37" s="375" t="s">
        <v>766</v>
      </c>
      <c r="O37" s="375"/>
      <c r="P37" s="375"/>
      <c r="Q37" s="375"/>
      <c r="R37" s="375"/>
      <c r="S37" s="375"/>
      <c r="T37" s="355"/>
      <c r="U37" s="355"/>
      <c r="V37" s="355"/>
      <c r="W37" s="355"/>
      <c r="X37" s="355"/>
      <c r="Y37" s="355"/>
      <c r="Z37" s="355" t="s">
        <v>767</v>
      </c>
      <c r="AA37" s="375">
        <v>234900000</v>
      </c>
      <c r="AB37" s="367"/>
      <c r="AC37" s="367">
        <v>78030000</v>
      </c>
      <c r="AD37" s="367"/>
      <c r="AE37" s="367"/>
      <c r="AF37" s="367">
        <v>71550000</v>
      </c>
      <c r="AG37" s="367"/>
      <c r="AH37" s="367"/>
      <c r="AI37" s="367">
        <v>79170000</v>
      </c>
      <c r="AJ37" s="367"/>
      <c r="AK37" s="367"/>
      <c r="AL37" s="367">
        <v>66120000</v>
      </c>
      <c r="AM37" s="367"/>
      <c r="AN37" s="367">
        <v>294870000</v>
      </c>
      <c r="AO37" s="367"/>
    </row>
    <row r="38" spans="1:41" ht="15.75">
      <c r="A38" s="479" t="s">
        <v>705</v>
      </c>
      <c r="B38" s="448" t="s">
        <v>768</v>
      </c>
      <c r="C38" s="440" t="s">
        <v>769</v>
      </c>
      <c r="D38" s="448"/>
      <c r="E38" s="441">
        <v>0.38</v>
      </c>
      <c r="F38" s="358">
        <v>129200000</v>
      </c>
      <c r="G38" s="358"/>
      <c r="H38" s="475" t="s">
        <v>770</v>
      </c>
      <c r="I38" s="442"/>
      <c r="J38" s="427">
        <v>0.25</v>
      </c>
      <c r="K38" s="360">
        <v>85000000</v>
      </c>
      <c r="L38" s="375"/>
      <c r="M38" s="375"/>
      <c r="N38" s="375" t="s">
        <v>771</v>
      </c>
      <c r="O38" s="375"/>
      <c r="P38" s="375"/>
      <c r="Q38" s="375"/>
      <c r="R38" s="375"/>
      <c r="S38" s="375"/>
      <c r="T38" s="355"/>
      <c r="U38" s="355"/>
      <c r="V38" s="355"/>
      <c r="W38" s="355"/>
      <c r="X38" s="355"/>
      <c r="Y38" s="355"/>
      <c r="Z38" s="355" t="s">
        <v>404</v>
      </c>
      <c r="AA38" s="367">
        <v>56000000</v>
      </c>
      <c r="AB38" s="367"/>
      <c r="AC38" s="367">
        <v>17200000</v>
      </c>
      <c r="AD38" s="367"/>
      <c r="AE38" s="367"/>
      <c r="AF38" s="367">
        <v>20400000</v>
      </c>
      <c r="AG38" s="367"/>
      <c r="AH38" s="367"/>
      <c r="AI38" s="367">
        <v>18400000</v>
      </c>
      <c r="AJ38" s="367"/>
      <c r="AK38" s="367"/>
      <c r="AL38" s="367">
        <v>18400000</v>
      </c>
      <c r="AM38" s="367"/>
      <c r="AN38" s="367">
        <v>74400000</v>
      </c>
      <c r="AO38" s="367"/>
    </row>
    <row r="39" spans="1:41" ht="15.75">
      <c r="A39" s="447" t="s">
        <v>705</v>
      </c>
      <c r="B39" s="448" t="s">
        <v>772</v>
      </c>
      <c r="C39" s="440" t="s">
        <v>773</v>
      </c>
      <c r="D39" s="448"/>
      <c r="E39" s="441">
        <v>0.03</v>
      </c>
      <c r="F39" s="358">
        <v>10200000</v>
      </c>
      <c r="G39" s="358"/>
      <c r="H39" s="440" t="s">
        <v>734</v>
      </c>
      <c r="I39" s="442"/>
      <c r="J39" s="427">
        <v>0.36070588235294121</v>
      </c>
      <c r="K39" s="360">
        <v>122640000</v>
      </c>
      <c r="L39" s="375"/>
      <c r="M39" s="375"/>
      <c r="N39" s="375" t="s">
        <v>774</v>
      </c>
      <c r="O39" s="375"/>
      <c r="P39" s="375"/>
      <c r="Q39" s="375"/>
      <c r="R39" s="375"/>
      <c r="S39" s="375"/>
      <c r="T39" s="355"/>
      <c r="U39" s="355"/>
      <c r="V39" s="355"/>
      <c r="W39" s="355"/>
      <c r="X39" s="355"/>
      <c r="Y39" s="355"/>
      <c r="Z39" s="355"/>
      <c r="AA39" s="367"/>
      <c r="AB39" s="367"/>
      <c r="AC39" s="367">
        <v>95230000</v>
      </c>
      <c r="AD39" s="367"/>
      <c r="AE39" s="367"/>
      <c r="AF39" s="367">
        <v>91950000</v>
      </c>
      <c r="AG39" s="367"/>
      <c r="AH39" s="367"/>
      <c r="AI39" s="367">
        <v>97570000</v>
      </c>
      <c r="AJ39" s="367"/>
      <c r="AK39" s="367"/>
      <c r="AL39" s="367">
        <v>84520000</v>
      </c>
      <c r="AM39" s="367"/>
      <c r="AN39" s="367">
        <v>369270000</v>
      </c>
      <c r="AO39" s="367"/>
    </row>
    <row r="40" spans="1:41" ht="15.75">
      <c r="A40" s="447" t="s">
        <v>705</v>
      </c>
      <c r="B40" s="448" t="s">
        <v>775</v>
      </c>
      <c r="C40" s="440" t="s">
        <v>776</v>
      </c>
      <c r="D40" s="448"/>
      <c r="E40" s="441">
        <v>0.1</v>
      </c>
      <c r="F40" s="358">
        <v>34000000</v>
      </c>
      <c r="G40" s="358"/>
      <c r="H40" s="440" t="s">
        <v>734</v>
      </c>
      <c r="I40" s="442"/>
      <c r="J40" s="427">
        <v>1.8937058823529411</v>
      </c>
      <c r="K40" s="360">
        <v>643860000</v>
      </c>
      <c r="L40" s="375"/>
      <c r="M40" s="375"/>
      <c r="N40" s="375" t="s">
        <v>777</v>
      </c>
      <c r="O40" s="375"/>
      <c r="P40" s="375"/>
      <c r="Q40" s="375"/>
      <c r="R40" s="375"/>
      <c r="S40" s="375"/>
      <c r="T40" s="355"/>
      <c r="U40" s="355"/>
      <c r="V40" s="355"/>
      <c r="W40" s="355"/>
      <c r="X40" s="355"/>
      <c r="Y40" s="355" t="s">
        <v>778</v>
      </c>
      <c r="Z40" s="355"/>
      <c r="AA40" s="367"/>
      <c r="AB40" s="367"/>
      <c r="AC40" s="367"/>
      <c r="AD40" s="367"/>
      <c r="AE40" s="367"/>
      <c r="AF40" s="367"/>
      <c r="AG40" s="367"/>
      <c r="AH40" s="367"/>
      <c r="AI40" s="367"/>
      <c r="AJ40" s="367"/>
      <c r="AK40" s="367"/>
      <c r="AL40" s="367"/>
      <c r="AM40" s="367"/>
      <c r="AN40" s="367"/>
      <c r="AO40" s="367"/>
    </row>
    <row r="41" spans="1:41" ht="15.75">
      <c r="A41" s="447" t="s">
        <v>705</v>
      </c>
      <c r="B41" s="448" t="s">
        <v>475</v>
      </c>
      <c r="C41" s="440" t="s">
        <v>779</v>
      </c>
      <c r="D41" s="356"/>
      <c r="E41" s="441">
        <v>0.13526470588235295</v>
      </c>
      <c r="F41" s="358">
        <v>45990000</v>
      </c>
      <c r="G41" s="358"/>
      <c r="H41" s="480"/>
      <c r="I41" s="481" t="s">
        <v>780</v>
      </c>
      <c r="J41" s="482">
        <v>2.2058823529411766E-2</v>
      </c>
      <c r="K41" s="373">
        <v>7500000</v>
      </c>
      <c r="L41" s="375"/>
      <c r="M41" s="375"/>
      <c r="N41" s="375" t="s">
        <v>781</v>
      </c>
      <c r="O41" s="375"/>
      <c r="P41" s="375"/>
      <c r="Q41" s="375"/>
      <c r="R41" s="375"/>
      <c r="S41" s="375"/>
      <c r="T41" s="355"/>
      <c r="U41" s="355"/>
      <c r="V41" s="355"/>
      <c r="W41" s="355"/>
      <c r="X41" s="355"/>
      <c r="Y41" s="355"/>
      <c r="Z41" s="355"/>
      <c r="AA41" s="367"/>
      <c r="AB41" s="367"/>
      <c r="AC41" s="367"/>
      <c r="AD41" s="367"/>
      <c r="AE41" s="367"/>
      <c r="AF41" s="367"/>
      <c r="AG41" s="367"/>
      <c r="AH41" s="367"/>
      <c r="AI41" s="367"/>
      <c r="AJ41" s="367"/>
      <c r="AK41" s="367"/>
      <c r="AL41" s="367"/>
      <c r="AM41" s="367"/>
      <c r="AN41" s="367"/>
      <c r="AO41" s="367"/>
    </row>
    <row r="42" spans="1:41" ht="15.75">
      <c r="A42" s="355"/>
      <c r="B42" s="455"/>
      <c r="C42" s="455"/>
      <c r="D42" s="455"/>
      <c r="E42" s="455"/>
      <c r="F42" s="483"/>
      <c r="G42" s="483"/>
      <c r="H42" s="443" t="s">
        <v>782</v>
      </c>
      <c r="I42" s="458"/>
      <c r="J42" s="427">
        <v>1.3823529411764706</v>
      </c>
      <c r="K42" s="360">
        <v>470000000</v>
      </c>
      <c r="L42" s="375"/>
      <c r="M42" s="375"/>
      <c r="N42" s="375"/>
      <c r="O42" s="375"/>
      <c r="P42" s="375"/>
      <c r="Q42" s="375"/>
      <c r="R42" s="375"/>
      <c r="S42" s="375"/>
      <c r="T42" s="355"/>
      <c r="U42" s="355"/>
      <c r="V42" s="355"/>
      <c r="W42" s="355"/>
      <c r="X42" s="355"/>
      <c r="Y42" s="355"/>
      <c r="Z42" s="355"/>
      <c r="AA42" s="367"/>
      <c r="AB42" s="367"/>
      <c r="AC42" s="367"/>
      <c r="AD42" s="367"/>
      <c r="AE42" s="367"/>
      <c r="AF42" s="367"/>
      <c r="AG42" s="367"/>
      <c r="AH42" s="367"/>
      <c r="AI42" s="367"/>
      <c r="AJ42" s="367"/>
      <c r="AK42" s="367"/>
      <c r="AL42" s="367"/>
      <c r="AM42" s="367"/>
      <c r="AN42" s="367"/>
      <c r="AO42" s="367"/>
    </row>
    <row r="43" spans="1:41" ht="18.75">
      <c r="A43" s="355"/>
      <c r="B43" s="338"/>
      <c r="C43" s="459" t="s">
        <v>197</v>
      </c>
      <c r="D43" s="460"/>
      <c r="E43" s="461">
        <v>1.6069180000000003</v>
      </c>
      <c r="F43" s="484">
        <v>546352120</v>
      </c>
      <c r="G43" s="485"/>
      <c r="H43" s="463"/>
      <c r="I43" s="464"/>
      <c r="J43" s="452">
        <v>2.9411764705882353E-2</v>
      </c>
      <c r="K43" s="486">
        <v>10000000</v>
      </c>
      <c r="L43" s="375"/>
      <c r="M43" s="375"/>
      <c r="N43" s="375"/>
      <c r="O43" s="375"/>
      <c r="P43" s="375"/>
      <c r="Q43" s="375"/>
      <c r="R43" s="375"/>
      <c r="S43" s="375"/>
      <c r="T43" s="355"/>
      <c r="U43" s="355"/>
      <c r="V43" s="355"/>
      <c r="W43" s="355"/>
      <c r="X43" s="355"/>
      <c r="Y43" s="355"/>
      <c r="Z43" s="355" t="s">
        <v>783</v>
      </c>
      <c r="AA43" s="367"/>
      <c r="AB43" s="367"/>
      <c r="AC43" s="367"/>
      <c r="AD43" s="367"/>
      <c r="AE43" s="367"/>
      <c r="AF43" s="367"/>
      <c r="AG43" s="367"/>
      <c r="AH43" s="367"/>
      <c r="AI43" s="367"/>
      <c r="AJ43" s="367"/>
      <c r="AK43" s="367"/>
      <c r="AL43" s="367"/>
      <c r="AM43" s="367"/>
      <c r="AN43" s="367"/>
      <c r="AO43" s="367"/>
    </row>
    <row r="44" spans="1:41" ht="15.75">
      <c r="A44" s="355"/>
      <c r="B44" s="355"/>
      <c r="C44" s="355"/>
      <c r="D44" s="355"/>
      <c r="E44" s="358"/>
      <c r="F44" s="465"/>
      <c r="G44" s="465"/>
      <c r="H44" s="355"/>
      <c r="I44" s="355"/>
      <c r="J44" s="427">
        <v>0.2</v>
      </c>
      <c r="K44" s="360">
        <v>68000000</v>
      </c>
      <c r="L44" s="375"/>
      <c r="M44" s="375"/>
      <c r="N44" s="375"/>
      <c r="O44" s="375"/>
      <c r="P44" s="375"/>
      <c r="Q44" s="375"/>
      <c r="R44" s="375"/>
      <c r="S44" s="375"/>
      <c r="T44" s="355"/>
      <c r="U44" s="355"/>
      <c r="V44" s="355"/>
      <c r="W44" s="355"/>
      <c r="X44" s="355"/>
      <c r="Y44" s="355"/>
      <c r="Z44" s="355" t="s">
        <v>690</v>
      </c>
      <c r="AA44" s="367"/>
      <c r="AB44" s="367"/>
      <c r="AC44" s="367"/>
      <c r="AD44" s="367"/>
      <c r="AE44" s="367"/>
      <c r="AF44" s="367"/>
      <c r="AG44" s="367"/>
      <c r="AH44" s="367"/>
      <c r="AI44" s="367"/>
      <c r="AJ44" s="367"/>
      <c r="AK44" s="367"/>
      <c r="AL44" s="367"/>
      <c r="AM44" s="367"/>
      <c r="AN44" s="367">
        <v>0</v>
      </c>
      <c r="AO44" s="367"/>
    </row>
    <row r="45" spans="1:41" ht="21">
      <c r="A45" s="355"/>
      <c r="B45" s="467"/>
      <c r="C45" s="332" t="s">
        <v>784</v>
      </c>
      <c r="D45" s="333"/>
      <c r="E45" s="334"/>
      <c r="F45" s="468"/>
      <c r="G45" s="468">
        <v>85417500</v>
      </c>
      <c r="H45" s="336"/>
      <c r="I45" s="369">
        <v>3019612140</v>
      </c>
      <c r="J45" s="427">
        <v>0.9018365894117647</v>
      </c>
      <c r="K45" s="360">
        <v>306624440.40000004</v>
      </c>
      <c r="L45" s="360">
        <v>897547100</v>
      </c>
      <c r="M45" s="375"/>
      <c r="N45" s="375"/>
      <c r="O45" s="375"/>
      <c r="P45" s="375"/>
      <c r="Q45" s="375"/>
      <c r="R45" s="375"/>
      <c r="S45" s="375"/>
      <c r="T45" s="355"/>
      <c r="U45" s="355"/>
      <c r="V45" s="355"/>
      <c r="W45" s="355"/>
      <c r="X45" s="355"/>
      <c r="Y45" s="355"/>
      <c r="Z45" s="355" t="s">
        <v>404</v>
      </c>
      <c r="AA45" s="367"/>
      <c r="AB45" s="367"/>
      <c r="AC45" s="367">
        <v>8500000</v>
      </c>
      <c r="AD45" s="367"/>
      <c r="AE45" s="367"/>
      <c r="AF45" s="367">
        <v>9400000</v>
      </c>
      <c r="AG45" s="367"/>
      <c r="AH45" s="367"/>
      <c r="AI45" s="367">
        <v>12300000</v>
      </c>
      <c r="AJ45" s="367"/>
      <c r="AK45" s="367"/>
      <c r="AL45" s="367"/>
      <c r="AM45" s="367"/>
      <c r="AN45" s="367">
        <v>30200000</v>
      </c>
      <c r="AO45" s="367"/>
    </row>
    <row r="46" spans="1:41" ht="15.75">
      <c r="A46" s="355"/>
      <c r="B46" s="469"/>
      <c r="C46" s="339"/>
      <c r="D46" s="340"/>
      <c r="E46" s="465"/>
      <c r="F46" s="465"/>
      <c r="G46" s="465"/>
      <c r="H46" s="466"/>
      <c r="I46" s="369">
        <v>3169352140</v>
      </c>
      <c r="J46" s="427">
        <v>0.1</v>
      </c>
      <c r="K46" s="360">
        <v>34000000</v>
      </c>
      <c r="L46" s="375"/>
      <c r="M46" s="375"/>
      <c r="N46" s="375"/>
      <c r="O46" s="375"/>
      <c r="P46" s="375"/>
      <c r="Q46" s="375"/>
      <c r="R46" s="375"/>
      <c r="S46" s="375"/>
      <c r="T46" s="355"/>
      <c r="U46" s="355"/>
      <c r="V46" s="355"/>
      <c r="W46" s="355"/>
      <c r="X46" s="355"/>
      <c r="Y46" s="355"/>
      <c r="Z46" s="355"/>
      <c r="AA46" s="355"/>
      <c r="AB46" s="355"/>
      <c r="AC46" s="355"/>
      <c r="AD46" s="355"/>
      <c r="AE46" s="355"/>
      <c r="AF46" s="355"/>
      <c r="AG46" s="355"/>
      <c r="AH46" s="355"/>
      <c r="AI46" s="355"/>
      <c r="AJ46" s="355"/>
      <c r="AK46" s="355"/>
      <c r="AL46" s="355"/>
      <c r="AM46" s="355"/>
      <c r="AN46" s="367">
        <v>30200000</v>
      </c>
      <c r="AO46" s="355"/>
    </row>
    <row r="47" spans="1:41" ht="18.75">
      <c r="A47" s="355"/>
      <c r="B47" s="343" t="s">
        <v>398</v>
      </c>
      <c r="C47" s="344" t="s">
        <v>318</v>
      </c>
      <c r="D47" s="344" t="s">
        <v>399</v>
      </c>
      <c r="E47" s="345" t="s">
        <v>400</v>
      </c>
      <c r="F47" s="346" t="s">
        <v>401</v>
      </c>
      <c r="G47" s="346" t="s">
        <v>402</v>
      </c>
      <c r="H47" s="347" t="s">
        <v>403</v>
      </c>
      <c r="I47" s="348" t="s">
        <v>349</v>
      </c>
      <c r="J47" s="471">
        <v>0.25</v>
      </c>
      <c r="K47" s="472">
        <v>85000000</v>
      </c>
      <c r="L47" s="375"/>
      <c r="M47" s="375"/>
      <c r="N47" s="375"/>
      <c r="O47" s="375"/>
      <c r="P47" s="375"/>
      <c r="Q47" s="375"/>
      <c r="R47" s="375"/>
      <c r="S47" s="37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row>
    <row r="48" spans="1:41" ht="18.75">
      <c r="A48" s="355"/>
      <c r="B48" s="349"/>
      <c r="C48" s="350"/>
      <c r="D48" s="350"/>
      <c r="E48" s="351"/>
      <c r="F48" s="352"/>
      <c r="G48" s="352"/>
      <c r="H48" s="353"/>
      <c r="I48" s="354"/>
      <c r="J48" s="471">
        <v>0.38848823529411769</v>
      </c>
      <c r="K48" s="472">
        <v>132086000.00000001</v>
      </c>
      <c r="L48" s="375"/>
      <c r="M48" s="375"/>
      <c r="N48" s="375" t="s">
        <v>696</v>
      </c>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row>
    <row r="49" spans="1:19" ht="15.75">
      <c r="A49" s="356" t="s">
        <v>698</v>
      </c>
      <c r="B49" s="432" t="s">
        <v>785</v>
      </c>
      <c r="C49" s="433" t="s">
        <v>786</v>
      </c>
      <c r="D49" s="480" t="s">
        <v>701</v>
      </c>
      <c r="E49" s="487">
        <v>0.32735999999999998</v>
      </c>
      <c r="F49" s="435">
        <v>43239672.960000001</v>
      </c>
      <c r="G49" s="488"/>
      <c r="H49" s="433" t="s">
        <v>787</v>
      </c>
      <c r="I49" s="437" t="s">
        <v>703</v>
      </c>
      <c r="J49" s="482">
        <v>1.5539529411764708</v>
      </c>
      <c r="K49" s="373">
        <v>528344000.00000006</v>
      </c>
      <c r="L49" s="375"/>
      <c r="M49" s="375"/>
      <c r="N49" s="375" t="s">
        <v>788</v>
      </c>
      <c r="O49" s="375"/>
      <c r="P49" s="375"/>
      <c r="Q49" s="375" t="s">
        <v>789</v>
      </c>
      <c r="R49" s="375"/>
      <c r="S49" s="375"/>
    </row>
    <row r="50" spans="1:19" ht="15.75">
      <c r="A50" s="356" t="s">
        <v>705</v>
      </c>
      <c r="B50" s="439" t="s">
        <v>437</v>
      </c>
      <c r="C50" s="489" t="s">
        <v>790</v>
      </c>
      <c r="D50" s="480" t="s">
        <v>439</v>
      </c>
      <c r="E50" s="441">
        <v>0</v>
      </c>
      <c r="F50" s="358">
        <v>0</v>
      </c>
      <c r="G50" s="359">
        <v>0</v>
      </c>
      <c r="H50" s="440" t="s">
        <v>791</v>
      </c>
      <c r="I50" s="442"/>
      <c r="J50" s="482">
        <v>0.4</v>
      </c>
      <c r="K50" s="373">
        <v>136000000</v>
      </c>
      <c r="L50" s="375"/>
      <c r="M50" s="375"/>
      <c r="N50" s="355" t="s">
        <v>792</v>
      </c>
      <c r="O50" s="355"/>
      <c r="P50" s="355"/>
      <c r="Q50" s="355"/>
      <c r="R50" s="355"/>
      <c r="S50" s="355"/>
    </row>
    <row r="51" spans="1:19" ht="15.75">
      <c r="A51" s="356" t="s">
        <v>705</v>
      </c>
      <c r="B51" s="439" t="s">
        <v>437</v>
      </c>
      <c r="C51" s="489" t="s">
        <v>438</v>
      </c>
      <c r="D51" s="480" t="s">
        <v>439</v>
      </c>
      <c r="E51" s="441">
        <v>0.33816176470588233</v>
      </c>
      <c r="F51" s="358">
        <v>114975000</v>
      </c>
      <c r="G51" s="359">
        <v>0.5</v>
      </c>
      <c r="H51" s="440" t="s">
        <v>440</v>
      </c>
      <c r="I51" s="442"/>
      <c r="J51" s="482">
        <v>0.2</v>
      </c>
      <c r="K51" s="373">
        <v>68000000</v>
      </c>
      <c r="L51" s="375"/>
      <c r="M51" s="375"/>
      <c r="N51" s="355" t="s">
        <v>793</v>
      </c>
      <c r="O51" s="355"/>
      <c r="P51" s="355"/>
      <c r="Q51" s="355"/>
      <c r="R51" s="355"/>
      <c r="S51" s="355"/>
    </row>
    <row r="52" spans="1:19" ht="15.75">
      <c r="A52" s="445" t="s">
        <v>705</v>
      </c>
      <c r="B52" s="439"/>
      <c r="C52" s="489"/>
      <c r="D52" s="480"/>
      <c r="E52" s="441"/>
      <c r="F52" s="358"/>
      <c r="G52" s="359"/>
      <c r="H52" s="440"/>
      <c r="I52" s="442"/>
      <c r="J52" s="482">
        <v>0.23529411764705882</v>
      </c>
      <c r="K52" s="373">
        <v>80000000</v>
      </c>
      <c r="L52" s="375"/>
      <c r="M52" s="375"/>
      <c r="N52" s="375"/>
      <c r="O52" s="375"/>
      <c r="P52" s="375"/>
      <c r="Q52" s="375"/>
      <c r="R52" s="375"/>
      <c r="S52" s="375"/>
    </row>
    <row r="53" spans="1:19" ht="15.75">
      <c r="A53" s="356" t="s">
        <v>705</v>
      </c>
      <c r="B53" s="439" t="s">
        <v>441</v>
      </c>
      <c r="C53" s="489" t="s">
        <v>442</v>
      </c>
      <c r="D53" s="480" t="s">
        <v>409</v>
      </c>
      <c r="E53" s="441">
        <v>1.6429411764705881</v>
      </c>
      <c r="F53" s="358">
        <v>558600000</v>
      </c>
      <c r="G53" s="359">
        <v>0.05</v>
      </c>
      <c r="H53" s="490" t="s">
        <v>443</v>
      </c>
      <c r="I53" s="442"/>
      <c r="J53" s="482">
        <v>0.45088235294117646</v>
      </c>
      <c r="K53" s="373">
        <v>153300000</v>
      </c>
      <c r="L53" s="375"/>
      <c r="M53" s="375"/>
      <c r="N53" s="491" t="s">
        <v>794</v>
      </c>
      <c r="O53" s="375"/>
      <c r="P53" s="375"/>
      <c r="Q53" s="375"/>
      <c r="R53" s="375"/>
      <c r="S53" s="375"/>
    </row>
    <row r="54" spans="1:19" ht="15.75">
      <c r="A54" s="356" t="s">
        <v>705</v>
      </c>
      <c r="B54" s="439" t="s">
        <v>795</v>
      </c>
      <c r="C54" s="489" t="s">
        <v>796</v>
      </c>
      <c r="D54" s="480" t="s">
        <v>406</v>
      </c>
      <c r="E54" s="451" t="s">
        <v>797</v>
      </c>
      <c r="F54" s="358" t="s">
        <v>797</v>
      </c>
      <c r="G54" s="359">
        <v>0</v>
      </c>
      <c r="H54" s="440"/>
      <c r="I54" s="442"/>
      <c r="J54" s="482">
        <v>1.2</v>
      </c>
      <c r="K54" s="373">
        <v>400000000</v>
      </c>
      <c r="L54" s="375"/>
      <c r="M54" s="375"/>
      <c r="N54" s="375" t="s">
        <v>798</v>
      </c>
      <c r="O54" s="375"/>
      <c r="P54" s="375"/>
      <c r="Q54" s="375"/>
      <c r="R54" s="375"/>
      <c r="S54" s="375"/>
    </row>
    <row r="55" spans="1:19" ht="15.75">
      <c r="A55" s="356" t="s">
        <v>705</v>
      </c>
      <c r="B55" s="439" t="s">
        <v>444</v>
      </c>
      <c r="C55" s="489" t="s">
        <v>445</v>
      </c>
      <c r="D55" s="480" t="s">
        <v>446</v>
      </c>
      <c r="E55" s="441">
        <v>0.61764705882352944</v>
      </c>
      <c r="F55" s="358">
        <v>210000000</v>
      </c>
      <c r="G55" s="359">
        <v>0.65</v>
      </c>
      <c r="H55" s="440" t="s">
        <v>443</v>
      </c>
      <c r="I55" s="442" t="s">
        <v>447</v>
      </c>
      <c r="J55" s="427">
        <v>0.76764705882352935</v>
      </c>
      <c r="K55" s="360">
        <v>261000000</v>
      </c>
      <c r="L55" s="375"/>
      <c r="M55" s="375"/>
      <c r="N55" s="375" t="s">
        <v>799</v>
      </c>
      <c r="O55" s="375"/>
      <c r="P55" s="375"/>
      <c r="Q55" s="375"/>
      <c r="R55" s="375"/>
      <c r="S55" s="375"/>
    </row>
    <row r="56" spans="1:19" ht="15.75">
      <c r="A56" s="356" t="s">
        <v>705</v>
      </c>
      <c r="B56" s="439" t="s">
        <v>448</v>
      </c>
      <c r="C56" s="489" t="s">
        <v>449</v>
      </c>
      <c r="D56" s="480"/>
      <c r="E56" s="434">
        <v>0.3235294117647059</v>
      </c>
      <c r="F56" s="358">
        <v>110000000</v>
      </c>
      <c r="G56" s="359">
        <v>0.25</v>
      </c>
      <c r="H56" s="440" t="s">
        <v>450</v>
      </c>
      <c r="I56" s="442"/>
      <c r="J56" s="482">
        <v>0.73529411764705876</v>
      </c>
      <c r="K56" s="373">
        <v>250000000</v>
      </c>
      <c r="L56" s="375"/>
      <c r="M56" s="375"/>
      <c r="N56" s="375" t="s">
        <v>800</v>
      </c>
      <c r="O56" s="375"/>
      <c r="P56" s="375"/>
      <c r="Q56" s="375"/>
      <c r="R56" s="375"/>
      <c r="S56" s="375"/>
    </row>
    <row r="57" spans="1:19" ht="15.75">
      <c r="A57" s="356" t="s">
        <v>705</v>
      </c>
      <c r="B57" s="439" t="s">
        <v>451</v>
      </c>
      <c r="C57" s="489" t="s">
        <v>452</v>
      </c>
      <c r="D57" s="480" t="s">
        <v>453</v>
      </c>
      <c r="E57" s="451">
        <v>0.10588235294117647</v>
      </c>
      <c r="F57" s="492">
        <v>36000000</v>
      </c>
      <c r="G57" s="493">
        <v>0.01</v>
      </c>
      <c r="H57" s="440" t="s">
        <v>454</v>
      </c>
      <c r="I57" s="442" t="s">
        <v>455</v>
      </c>
      <c r="J57" s="482">
        <v>0.84</v>
      </c>
      <c r="K57" s="373">
        <v>285305760</v>
      </c>
      <c r="L57" s="375"/>
      <c r="M57" s="375"/>
      <c r="N57" s="375" t="s">
        <v>801</v>
      </c>
      <c r="O57" s="375"/>
      <c r="P57" s="375"/>
      <c r="Q57" s="375"/>
      <c r="R57" s="375"/>
      <c r="S57" s="375"/>
    </row>
    <row r="58" spans="1:19" ht="15.75">
      <c r="A58" s="356" t="s">
        <v>705</v>
      </c>
      <c r="B58" s="439" t="s">
        <v>456</v>
      </c>
      <c r="C58" s="489" t="s">
        <v>457</v>
      </c>
      <c r="D58" s="480"/>
      <c r="E58" s="441">
        <v>0.36764705882352938</v>
      </c>
      <c r="F58" s="358">
        <v>125000000</v>
      </c>
      <c r="G58" s="359">
        <v>0.9</v>
      </c>
      <c r="H58" s="440" t="s">
        <v>111</v>
      </c>
      <c r="I58" s="442"/>
      <c r="J58" s="427">
        <v>0.36</v>
      </c>
      <c r="K58" s="360">
        <v>122399999.99999999</v>
      </c>
      <c r="L58" s="375"/>
      <c r="M58" s="375"/>
      <c r="N58" s="375" t="s">
        <v>802</v>
      </c>
      <c r="O58" s="375"/>
      <c r="P58" s="375"/>
      <c r="Q58" s="375"/>
      <c r="R58" s="375"/>
      <c r="S58" s="375"/>
    </row>
    <row r="59" spans="1:19" ht="15.75">
      <c r="A59" s="356" t="s">
        <v>705</v>
      </c>
      <c r="B59" s="439" t="s">
        <v>456</v>
      </c>
      <c r="C59" s="489" t="s">
        <v>458</v>
      </c>
      <c r="D59" s="480"/>
      <c r="E59" s="441">
        <v>0.26470588235294118</v>
      </c>
      <c r="F59" s="358">
        <v>90000000</v>
      </c>
      <c r="G59" s="359">
        <v>0.9</v>
      </c>
      <c r="H59" s="440" t="s">
        <v>110</v>
      </c>
      <c r="I59" s="442"/>
      <c r="J59" s="482">
        <v>1.3</v>
      </c>
      <c r="K59" s="373">
        <v>442000000</v>
      </c>
      <c r="L59" s="375"/>
      <c r="M59" s="375"/>
      <c r="N59" s="494" t="s">
        <v>803</v>
      </c>
      <c r="O59" s="375"/>
      <c r="P59" s="375"/>
      <c r="Q59" s="375"/>
      <c r="R59" s="375"/>
      <c r="S59" s="375"/>
    </row>
    <row r="60" spans="1:19" ht="15.75">
      <c r="A60" s="445" t="s">
        <v>705</v>
      </c>
      <c r="B60" s="439" t="s">
        <v>459</v>
      </c>
      <c r="C60" s="489" t="s">
        <v>460</v>
      </c>
      <c r="D60" s="480"/>
      <c r="E60" s="441">
        <v>3.2352941176470584E-2</v>
      </c>
      <c r="F60" s="358">
        <v>11000000</v>
      </c>
      <c r="G60" s="495">
        <v>0.9</v>
      </c>
      <c r="H60" s="440">
        <v>2021</v>
      </c>
      <c r="I60" s="442" t="s">
        <v>461</v>
      </c>
      <c r="J60" s="482">
        <v>9.0176470588235302E-2</v>
      </c>
      <c r="K60" s="373">
        <v>30660000</v>
      </c>
      <c r="L60" s="375"/>
      <c r="M60" s="375"/>
      <c r="N60" s="375" t="s">
        <v>804</v>
      </c>
      <c r="O60" s="375"/>
      <c r="P60" s="375"/>
      <c r="Q60" s="375"/>
      <c r="R60" s="375"/>
      <c r="S60" s="375"/>
    </row>
    <row r="61" spans="1:19" ht="15.75">
      <c r="A61" s="356" t="s">
        <v>705</v>
      </c>
      <c r="B61" s="439" t="s">
        <v>459</v>
      </c>
      <c r="C61" s="489" t="s">
        <v>462</v>
      </c>
      <c r="D61" s="480"/>
      <c r="E61" s="441">
        <v>9.7058823529411767E-2</v>
      </c>
      <c r="F61" s="358">
        <v>33000000</v>
      </c>
      <c r="G61" s="359">
        <v>0.01</v>
      </c>
      <c r="H61" s="440" t="s">
        <v>463</v>
      </c>
      <c r="I61" s="442" t="s">
        <v>461</v>
      </c>
      <c r="J61" s="356"/>
      <c r="K61" s="356"/>
      <c r="L61" s="375"/>
      <c r="M61" s="375"/>
      <c r="N61" s="375" t="s">
        <v>805</v>
      </c>
      <c r="O61" s="375"/>
      <c r="P61" s="496" t="s">
        <v>806</v>
      </c>
      <c r="Q61" s="375"/>
      <c r="R61" s="375"/>
      <c r="S61" s="375"/>
    </row>
    <row r="62" spans="1:19" ht="15.75">
      <c r="A62" s="356" t="s">
        <v>705</v>
      </c>
      <c r="B62" s="439" t="s">
        <v>464</v>
      </c>
      <c r="C62" s="489" t="s">
        <v>465</v>
      </c>
      <c r="D62" s="480"/>
      <c r="E62" s="441">
        <v>0.29411764705882354</v>
      </c>
      <c r="F62" s="358">
        <v>100000000</v>
      </c>
      <c r="G62" s="495">
        <v>0.75</v>
      </c>
      <c r="H62" s="497" t="s">
        <v>466</v>
      </c>
      <c r="I62" s="442"/>
      <c r="J62" s="482">
        <v>19.401336589411763</v>
      </c>
      <c r="K62" s="373">
        <v>6588160200.4000006</v>
      </c>
      <c r="L62" s="375"/>
      <c r="M62" s="375"/>
      <c r="N62" s="375" t="s">
        <v>807</v>
      </c>
      <c r="O62" s="375"/>
      <c r="P62" s="375"/>
      <c r="Q62" s="375"/>
      <c r="R62" s="375"/>
      <c r="S62" s="375"/>
    </row>
    <row r="63" spans="1:19" ht="15.75">
      <c r="A63" s="356" t="s">
        <v>705</v>
      </c>
      <c r="B63" s="439" t="s">
        <v>467</v>
      </c>
      <c r="C63" s="489" t="s">
        <v>468</v>
      </c>
      <c r="D63" s="480"/>
      <c r="E63" s="441">
        <v>2.1642352941176473</v>
      </c>
      <c r="F63" s="358">
        <v>735840000</v>
      </c>
      <c r="G63" s="359" t="s">
        <v>469</v>
      </c>
      <c r="H63" s="440" t="s">
        <v>463</v>
      </c>
      <c r="I63" s="498" t="s">
        <v>470</v>
      </c>
      <c r="J63" s="438" t="s">
        <v>808</v>
      </c>
      <c r="K63" s="356" t="s">
        <v>809</v>
      </c>
      <c r="L63" s="375"/>
      <c r="M63" s="375"/>
      <c r="N63" s="375" t="s">
        <v>810</v>
      </c>
      <c r="O63" s="375"/>
      <c r="P63" s="375"/>
      <c r="Q63" s="375"/>
      <c r="R63" s="375"/>
      <c r="S63" s="375"/>
    </row>
    <row r="64" spans="1:19" ht="15.75">
      <c r="A64" s="356" t="s">
        <v>705</v>
      </c>
      <c r="B64" s="439" t="s">
        <v>471</v>
      </c>
      <c r="C64" s="489" t="s">
        <v>472</v>
      </c>
      <c r="D64" s="499" t="s">
        <v>473</v>
      </c>
      <c r="E64" s="441">
        <v>0.25</v>
      </c>
      <c r="F64" s="363">
        <v>85000000</v>
      </c>
      <c r="G64" s="500">
        <v>0.9</v>
      </c>
      <c r="H64" s="440" t="s">
        <v>474</v>
      </c>
      <c r="I64" s="442"/>
      <c r="J64" s="438"/>
      <c r="K64" s="356" t="s">
        <v>811</v>
      </c>
      <c r="L64" s="375"/>
      <c r="M64" s="375"/>
      <c r="N64" s="375" t="s">
        <v>812</v>
      </c>
      <c r="O64" s="375"/>
      <c r="P64" s="375"/>
      <c r="Q64" s="375"/>
      <c r="R64" s="375"/>
      <c r="S64" s="375"/>
    </row>
    <row r="65" spans="1:19" ht="15.75">
      <c r="A65" s="445" t="s">
        <v>705</v>
      </c>
      <c r="B65" s="439" t="s">
        <v>475</v>
      </c>
      <c r="C65" s="489" t="s">
        <v>476</v>
      </c>
      <c r="D65" s="501"/>
      <c r="E65" s="441">
        <v>0.36070588235294121</v>
      </c>
      <c r="F65" s="358">
        <v>122640000</v>
      </c>
      <c r="G65" s="359">
        <v>0.98</v>
      </c>
      <c r="H65" s="440">
        <v>2021</v>
      </c>
      <c r="I65" s="498" t="s">
        <v>477</v>
      </c>
      <c r="J65" s="502"/>
      <c r="K65" s="449">
        <v>122640000</v>
      </c>
      <c r="L65" s="375"/>
      <c r="M65" s="375"/>
      <c r="N65" s="491" t="s">
        <v>813</v>
      </c>
      <c r="O65" s="375"/>
      <c r="P65" s="375"/>
      <c r="Q65" s="375"/>
      <c r="R65" s="375"/>
      <c r="S65" s="375"/>
    </row>
    <row r="66" spans="1:19" ht="15.75">
      <c r="A66" s="445" t="s">
        <v>705</v>
      </c>
      <c r="B66" s="439" t="s">
        <v>475</v>
      </c>
      <c r="C66" s="489" t="s">
        <v>478</v>
      </c>
      <c r="D66" s="501"/>
      <c r="E66" s="441">
        <v>1.8937058823529411</v>
      </c>
      <c r="F66" s="358">
        <v>643860000</v>
      </c>
      <c r="G66" s="359">
        <v>0.8</v>
      </c>
      <c r="H66" s="440" t="s">
        <v>479</v>
      </c>
      <c r="I66" s="498" t="s">
        <v>480</v>
      </c>
      <c r="J66" s="503">
        <v>260610000</v>
      </c>
      <c r="K66" s="504">
        <v>735840000</v>
      </c>
      <c r="L66" s="375"/>
      <c r="M66" s="375"/>
      <c r="N66" s="491" t="s">
        <v>814</v>
      </c>
      <c r="O66" s="375"/>
      <c r="P66" s="375"/>
      <c r="Q66" s="375"/>
      <c r="R66" s="375"/>
      <c r="S66" s="375"/>
    </row>
    <row r="67" spans="1:19" ht="15.75">
      <c r="A67" s="356" t="s">
        <v>705</v>
      </c>
      <c r="B67" s="439" t="s">
        <v>815</v>
      </c>
      <c r="C67" s="489" t="s">
        <v>816</v>
      </c>
      <c r="D67" s="480" t="s">
        <v>817</v>
      </c>
      <c r="E67" s="441">
        <v>2.2058823529411766E-2</v>
      </c>
      <c r="F67" s="358">
        <v>7500000</v>
      </c>
      <c r="G67" s="359"/>
      <c r="H67" s="497" t="s">
        <v>818</v>
      </c>
      <c r="I67" s="442"/>
      <c r="J67" s="355"/>
      <c r="K67" s="356" t="s">
        <v>819</v>
      </c>
      <c r="L67" s="375"/>
      <c r="M67" s="375"/>
      <c r="N67" s="375" t="s">
        <v>820</v>
      </c>
      <c r="O67" s="375"/>
      <c r="P67" s="375"/>
      <c r="Q67" s="375"/>
      <c r="R67" s="375"/>
      <c r="S67" s="375"/>
    </row>
    <row r="68" spans="1:19" ht="15.75">
      <c r="A68" s="356" t="s">
        <v>705</v>
      </c>
      <c r="B68" s="439" t="s">
        <v>407</v>
      </c>
      <c r="C68" s="489" t="s">
        <v>449</v>
      </c>
      <c r="D68" s="480"/>
      <c r="E68" s="441">
        <v>1.3823529411764706</v>
      </c>
      <c r="F68" s="363">
        <v>470000000</v>
      </c>
      <c r="G68" s="500">
        <v>0.9</v>
      </c>
      <c r="H68" s="440" t="s">
        <v>481</v>
      </c>
      <c r="I68" s="442"/>
      <c r="J68" s="438"/>
      <c r="K68" s="356"/>
      <c r="L68" s="375"/>
      <c r="M68" s="375"/>
      <c r="N68" s="375" t="s">
        <v>821</v>
      </c>
      <c r="O68" s="375"/>
      <c r="P68" s="375"/>
      <c r="Q68" s="375"/>
      <c r="R68" s="375"/>
      <c r="S68" s="375"/>
    </row>
    <row r="69" spans="1:19" ht="15.75">
      <c r="A69" s="445" t="s">
        <v>705</v>
      </c>
      <c r="B69" s="439" t="s">
        <v>482</v>
      </c>
      <c r="C69" s="489" t="s">
        <v>483</v>
      </c>
      <c r="D69" s="480"/>
      <c r="E69" s="441">
        <v>2.9411764705882353E-2</v>
      </c>
      <c r="F69" s="358">
        <v>10000000</v>
      </c>
      <c r="G69" s="359">
        <v>0.35</v>
      </c>
      <c r="H69" s="440" t="s">
        <v>484</v>
      </c>
      <c r="I69" s="442"/>
      <c r="J69" s="438"/>
      <c r="K69" s="356"/>
      <c r="L69" s="375"/>
      <c r="M69" s="375"/>
      <c r="N69" s="375" t="s">
        <v>822</v>
      </c>
      <c r="O69" s="375"/>
      <c r="P69" s="375"/>
      <c r="Q69" s="375"/>
      <c r="R69" s="375"/>
      <c r="S69" s="375"/>
    </row>
    <row r="70" spans="1:19" ht="15.75">
      <c r="A70" s="356" t="s">
        <v>705</v>
      </c>
      <c r="B70" s="439" t="s">
        <v>464</v>
      </c>
      <c r="C70" s="489" t="s">
        <v>485</v>
      </c>
      <c r="D70" s="480"/>
      <c r="E70" s="441">
        <v>0.44117647058823528</v>
      </c>
      <c r="F70" s="358">
        <v>150000000</v>
      </c>
      <c r="G70" s="359">
        <v>0.5</v>
      </c>
      <c r="H70" s="440" t="s">
        <v>450</v>
      </c>
      <c r="I70" s="442"/>
      <c r="J70" s="438"/>
      <c r="K70" s="356"/>
      <c r="L70" s="375"/>
      <c r="M70" s="375"/>
      <c r="N70" s="375" t="s">
        <v>823</v>
      </c>
      <c r="O70" s="375"/>
      <c r="P70" s="375"/>
      <c r="Q70" s="375"/>
      <c r="R70" s="375"/>
      <c r="S70" s="375"/>
    </row>
    <row r="71" spans="1:19" ht="15.75">
      <c r="A71" s="356" t="s">
        <v>705</v>
      </c>
      <c r="B71" s="439" t="s">
        <v>486</v>
      </c>
      <c r="C71" s="489" t="s">
        <v>487</v>
      </c>
      <c r="D71" s="480"/>
      <c r="E71" s="441">
        <v>2.7052941176470586</v>
      </c>
      <c r="F71" s="358">
        <v>919800000</v>
      </c>
      <c r="G71" s="359">
        <v>0.15</v>
      </c>
      <c r="H71" s="497" t="s">
        <v>488</v>
      </c>
      <c r="I71" s="442" t="s">
        <v>489</v>
      </c>
      <c r="J71" s="438"/>
      <c r="K71" s="505" t="s">
        <v>824</v>
      </c>
      <c r="L71" s="375"/>
      <c r="M71" s="375" t="s">
        <v>825</v>
      </c>
      <c r="N71" s="375" t="s">
        <v>826</v>
      </c>
      <c r="O71" s="375"/>
      <c r="P71" s="375"/>
      <c r="Q71" s="375"/>
      <c r="R71" s="375"/>
      <c r="S71" s="375"/>
    </row>
    <row r="72" spans="1:19" ht="15.75">
      <c r="A72" s="356" t="s">
        <v>705</v>
      </c>
      <c r="B72" s="439" t="s">
        <v>490</v>
      </c>
      <c r="C72" s="489" t="s">
        <v>491</v>
      </c>
      <c r="D72" s="480" t="s">
        <v>492</v>
      </c>
      <c r="E72" s="441">
        <v>4.7352941176470591E-2</v>
      </c>
      <c r="F72" s="358">
        <v>16100000</v>
      </c>
      <c r="G72" s="359">
        <v>0.01</v>
      </c>
      <c r="H72" s="440" t="s">
        <v>111</v>
      </c>
      <c r="I72" s="442" t="s">
        <v>493</v>
      </c>
      <c r="J72" s="438"/>
      <c r="K72" s="356"/>
      <c r="L72" s="375"/>
      <c r="M72" s="375"/>
      <c r="N72" s="375" t="s">
        <v>827</v>
      </c>
      <c r="O72" s="375"/>
      <c r="P72" s="375"/>
      <c r="Q72" s="375"/>
      <c r="R72" s="375"/>
      <c r="S72" s="375"/>
    </row>
    <row r="73" spans="1:19" ht="15.75">
      <c r="A73" s="355"/>
      <c r="B73" s="439" t="s">
        <v>494</v>
      </c>
      <c r="C73" s="489" t="s">
        <v>495</v>
      </c>
      <c r="D73" s="480"/>
      <c r="E73" s="441">
        <v>0.90176470588235291</v>
      </c>
      <c r="F73" s="358">
        <v>306600000</v>
      </c>
      <c r="G73" s="359">
        <v>0.25</v>
      </c>
      <c r="H73" s="497" t="s">
        <v>496</v>
      </c>
      <c r="I73" s="442" t="s">
        <v>497</v>
      </c>
      <c r="J73" s="502" t="s">
        <v>828</v>
      </c>
      <c r="K73" s="356"/>
      <c r="L73" s="375"/>
      <c r="M73" s="375" t="s">
        <v>829</v>
      </c>
      <c r="N73" s="506" t="s">
        <v>830</v>
      </c>
      <c r="O73" s="375"/>
      <c r="P73" s="375"/>
      <c r="Q73" s="375"/>
      <c r="R73" s="375"/>
      <c r="S73" s="375"/>
    </row>
    <row r="74" spans="1:19" ht="15.75">
      <c r="A74" s="355"/>
      <c r="B74" s="439" t="s">
        <v>498</v>
      </c>
      <c r="C74" s="489" t="s">
        <v>499</v>
      </c>
      <c r="D74" s="480"/>
      <c r="E74" s="441">
        <v>0.17647058823529413</v>
      </c>
      <c r="F74" s="363">
        <v>60000000</v>
      </c>
      <c r="G74" s="359">
        <v>0.05</v>
      </c>
      <c r="H74" s="507" t="s">
        <v>450</v>
      </c>
      <c r="I74" s="442"/>
      <c r="J74" s="502"/>
      <c r="K74" s="356"/>
      <c r="L74" s="375"/>
      <c r="M74" s="375"/>
      <c r="N74" s="506"/>
      <c r="O74" s="375"/>
      <c r="P74" s="375"/>
      <c r="Q74" s="375"/>
      <c r="R74" s="375"/>
      <c r="S74" s="375"/>
    </row>
    <row r="75" spans="1:19" ht="15.75">
      <c r="A75" s="355"/>
      <c r="B75" s="439" t="s">
        <v>500</v>
      </c>
      <c r="C75" s="489" t="s">
        <v>501</v>
      </c>
      <c r="D75" s="480"/>
      <c r="E75" s="441">
        <v>0.44186470588235294</v>
      </c>
      <c r="F75" s="363">
        <v>150234000</v>
      </c>
      <c r="G75" s="359">
        <v>0.7</v>
      </c>
      <c r="H75" s="507" t="s">
        <v>831</v>
      </c>
      <c r="I75" s="498" t="s">
        <v>832</v>
      </c>
      <c r="J75" s="508" t="s">
        <v>833</v>
      </c>
      <c r="K75" s="356"/>
      <c r="L75" s="375"/>
      <c r="M75" s="375"/>
      <c r="N75" s="506"/>
      <c r="O75" s="375"/>
      <c r="P75" s="375"/>
      <c r="Q75" s="375"/>
      <c r="R75" s="375"/>
      <c r="S75" s="375"/>
    </row>
    <row r="76" spans="1:19" ht="15.75">
      <c r="A76" s="355"/>
      <c r="B76" s="439" t="s">
        <v>433</v>
      </c>
      <c r="C76" s="489" t="s">
        <v>434</v>
      </c>
      <c r="D76" s="440"/>
      <c r="E76" s="441">
        <v>0.44470588235294123</v>
      </c>
      <c r="F76" s="363">
        <v>151200000</v>
      </c>
      <c r="G76" s="359">
        <v>0.95</v>
      </c>
      <c r="H76" s="475" t="s">
        <v>834</v>
      </c>
      <c r="I76" s="442"/>
      <c r="J76" s="502"/>
      <c r="K76" s="356"/>
      <c r="L76" s="375"/>
      <c r="M76" s="375"/>
      <c r="N76" s="506"/>
      <c r="O76" s="375"/>
      <c r="P76" s="375"/>
      <c r="Q76" s="375"/>
      <c r="R76" s="375"/>
      <c r="S76" s="375"/>
    </row>
    <row r="77" spans="1:19" ht="15.75">
      <c r="A77" s="447" t="s">
        <v>705</v>
      </c>
      <c r="B77" s="448" t="s">
        <v>835</v>
      </c>
      <c r="C77" s="440" t="s">
        <v>836</v>
      </c>
      <c r="D77" s="480" t="s">
        <v>439</v>
      </c>
      <c r="E77" s="451">
        <v>3.5999999999999997E-2</v>
      </c>
      <c r="F77" s="358">
        <v>1511999.9999999998</v>
      </c>
      <c r="G77" s="359"/>
      <c r="H77" s="440" t="s">
        <v>837</v>
      </c>
      <c r="I77" s="442" t="s">
        <v>734</v>
      </c>
      <c r="J77" s="438"/>
      <c r="K77" s="356"/>
      <c r="L77" s="375"/>
      <c r="M77" s="375"/>
      <c r="N77" s="375" t="s">
        <v>838</v>
      </c>
      <c r="O77" s="375"/>
      <c r="P77" s="375"/>
      <c r="Q77" s="375"/>
      <c r="R77" s="375"/>
      <c r="S77" s="375"/>
    </row>
    <row r="78" spans="1:19" ht="15.75">
      <c r="A78" s="447" t="s">
        <v>705</v>
      </c>
      <c r="B78" s="448" t="s">
        <v>839</v>
      </c>
      <c r="C78" s="440" t="s">
        <v>761</v>
      </c>
      <c r="D78" s="480" t="s">
        <v>840</v>
      </c>
      <c r="E78" s="451">
        <v>0.2</v>
      </c>
      <c r="F78" s="358">
        <v>68000000</v>
      </c>
      <c r="G78" s="359"/>
      <c r="H78" s="440" t="s">
        <v>841</v>
      </c>
      <c r="I78" s="498" t="s">
        <v>842</v>
      </c>
      <c r="J78" s="438"/>
      <c r="K78" s="356"/>
      <c r="L78" s="375"/>
      <c r="M78" s="375"/>
      <c r="N78" s="375" t="s">
        <v>843</v>
      </c>
      <c r="O78" s="375"/>
      <c r="P78" s="375"/>
      <c r="Q78" s="375"/>
      <c r="R78" s="375"/>
      <c r="S78" s="375"/>
    </row>
    <row r="79" spans="1:19" ht="15.75">
      <c r="A79" s="447" t="s">
        <v>705</v>
      </c>
      <c r="B79" s="448" t="s">
        <v>653</v>
      </c>
      <c r="C79" s="440" t="s">
        <v>844</v>
      </c>
      <c r="D79" s="480" t="s">
        <v>840</v>
      </c>
      <c r="E79" s="441">
        <v>0.9018365894117647</v>
      </c>
      <c r="F79" s="358">
        <v>306624440.40000004</v>
      </c>
      <c r="G79" s="359"/>
      <c r="H79" s="497" t="s">
        <v>845</v>
      </c>
      <c r="I79" s="498" t="s">
        <v>846</v>
      </c>
      <c r="J79" s="502"/>
      <c r="K79" s="356"/>
      <c r="L79" s="375"/>
      <c r="M79" s="375"/>
      <c r="N79" s="494" t="s">
        <v>847</v>
      </c>
      <c r="O79" s="375"/>
      <c r="P79" s="375"/>
      <c r="Q79" s="375"/>
      <c r="R79" s="375"/>
      <c r="S79" s="375"/>
    </row>
    <row r="80" spans="1:19" ht="15.75">
      <c r="A80" s="447" t="s">
        <v>705</v>
      </c>
      <c r="B80" s="448" t="s">
        <v>654</v>
      </c>
      <c r="C80" s="440" t="s">
        <v>848</v>
      </c>
      <c r="D80" s="480" t="s">
        <v>849</v>
      </c>
      <c r="E80" s="509">
        <v>0.1</v>
      </c>
      <c r="F80" s="363">
        <v>34000000</v>
      </c>
      <c r="G80" s="359"/>
      <c r="H80" s="440" t="s">
        <v>443</v>
      </c>
      <c r="I80" s="442" t="s">
        <v>850</v>
      </c>
      <c r="J80" s="438"/>
      <c r="K80" s="356"/>
      <c r="L80" s="375"/>
      <c r="M80" s="375"/>
      <c r="N80" s="375" t="s">
        <v>851</v>
      </c>
      <c r="O80" s="375"/>
      <c r="P80" s="375"/>
      <c r="Q80" s="375"/>
      <c r="R80" s="375"/>
      <c r="S80" s="375"/>
    </row>
    <row r="81" spans="1:19" ht="15.75">
      <c r="A81" s="447" t="s">
        <v>705</v>
      </c>
      <c r="B81" s="448" t="s">
        <v>655</v>
      </c>
      <c r="C81" s="440" t="s">
        <v>852</v>
      </c>
      <c r="D81" s="480"/>
      <c r="E81" s="451">
        <v>0.25</v>
      </c>
      <c r="F81" s="358">
        <v>85000000</v>
      </c>
      <c r="G81" s="359"/>
      <c r="H81" s="440" t="s">
        <v>853</v>
      </c>
      <c r="I81" s="442"/>
      <c r="J81" s="438" t="s">
        <v>854</v>
      </c>
      <c r="K81" s="356"/>
      <c r="L81" s="375"/>
      <c r="M81" s="375" t="s">
        <v>855</v>
      </c>
      <c r="N81" s="375" t="s">
        <v>856</v>
      </c>
      <c r="O81" s="375"/>
      <c r="P81" s="375"/>
      <c r="Q81" s="375"/>
      <c r="R81" s="375"/>
      <c r="S81" s="375"/>
    </row>
    <row r="82" spans="1:19" ht="15.75">
      <c r="A82" s="447" t="s">
        <v>705</v>
      </c>
      <c r="B82" s="448" t="s">
        <v>656</v>
      </c>
      <c r="C82" s="440" t="s">
        <v>857</v>
      </c>
      <c r="D82" s="480"/>
      <c r="E82" s="441">
        <v>0.38848823529411769</v>
      </c>
      <c r="F82" s="358">
        <v>132086000.00000001</v>
      </c>
      <c r="G82" s="359"/>
      <c r="H82" s="440" t="s">
        <v>853</v>
      </c>
      <c r="I82" s="442"/>
      <c r="J82" s="438"/>
      <c r="K82" s="356"/>
      <c r="L82" s="375"/>
      <c r="M82" s="375"/>
      <c r="N82" s="375" t="s">
        <v>858</v>
      </c>
      <c r="O82" s="375"/>
      <c r="P82" s="375"/>
      <c r="Q82" s="375"/>
      <c r="R82" s="375"/>
      <c r="S82" s="375"/>
    </row>
    <row r="83" spans="1:19" ht="15.75">
      <c r="A83" s="447" t="s">
        <v>705</v>
      </c>
      <c r="B83" s="448" t="s">
        <v>656</v>
      </c>
      <c r="C83" s="440" t="s">
        <v>859</v>
      </c>
      <c r="D83" s="480"/>
      <c r="E83" s="441">
        <v>1.5539529411764708</v>
      </c>
      <c r="F83" s="358">
        <v>528344000.00000006</v>
      </c>
      <c r="G83" s="359"/>
      <c r="H83" s="440" t="s">
        <v>860</v>
      </c>
      <c r="I83" s="442"/>
      <c r="J83" s="438"/>
      <c r="K83" s="356"/>
      <c r="L83" s="375"/>
      <c r="M83" s="375"/>
      <c r="N83" s="375" t="s">
        <v>861</v>
      </c>
      <c r="O83" s="375"/>
      <c r="P83" s="375"/>
      <c r="Q83" s="375"/>
      <c r="R83" s="375"/>
      <c r="S83" s="375"/>
    </row>
    <row r="84" spans="1:19" ht="15.75">
      <c r="A84" s="447" t="s">
        <v>705</v>
      </c>
      <c r="B84" s="448" t="s">
        <v>197</v>
      </c>
      <c r="C84" s="440" t="s">
        <v>862</v>
      </c>
      <c r="D84" s="480"/>
      <c r="E84" s="441">
        <v>0.4</v>
      </c>
      <c r="F84" s="358">
        <v>136000000</v>
      </c>
      <c r="G84" s="359"/>
      <c r="H84" s="497" t="s">
        <v>860</v>
      </c>
      <c r="I84" s="442"/>
      <c r="J84" s="438" t="s">
        <v>863</v>
      </c>
      <c r="K84" s="356"/>
      <c r="L84" s="375"/>
      <c r="M84" s="375"/>
      <c r="N84" s="375" t="s">
        <v>864</v>
      </c>
      <c r="O84" s="375"/>
      <c r="P84" s="375"/>
      <c r="Q84" s="375"/>
      <c r="R84" s="375"/>
      <c r="S84" s="375"/>
    </row>
    <row r="85" spans="1:19" ht="15.75">
      <c r="A85" s="355"/>
      <c r="B85" s="448" t="s">
        <v>657</v>
      </c>
      <c r="C85" s="440" t="s">
        <v>865</v>
      </c>
      <c r="D85" s="480"/>
      <c r="E85" s="441">
        <v>0.2</v>
      </c>
      <c r="F85" s="358">
        <v>68000000</v>
      </c>
      <c r="G85" s="359"/>
      <c r="H85" s="497" t="s">
        <v>111</v>
      </c>
      <c r="I85" s="442" t="s">
        <v>866</v>
      </c>
      <c r="J85" s="438"/>
      <c r="K85" s="356"/>
      <c r="L85" s="375"/>
      <c r="M85" s="375"/>
      <c r="N85" s="375" t="s">
        <v>867</v>
      </c>
      <c r="O85" s="375"/>
      <c r="P85" s="375"/>
      <c r="Q85" s="375"/>
      <c r="R85" s="375"/>
      <c r="S85" s="375"/>
    </row>
    <row r="86" spans="1:19" ht="15.75">
      <c r="A86" s="447" t="s">
        <v>705</v>
      </c>
      <c r="B86" s="510" t="s">
        <v>868</v>
      </c>
      <c r="C86" s="511" t="s">
        <v>869</v>
      </c>
      <c r="D86" s="512"/>
      <c r="E86" s="513">
        <v>0.65</v>
      </c>
      <c r="F86" s="514">
        <v>221000000</v>
      </c>
      <c r="G86" s="515"/>
      <c r="H86" s="511" t="s">
        <v>870</v>
      </c>
      <c r="I86" s="442" t="s">
        <v>871</v>
      </c>
      <c r="J86" s="438"/>
      <c r="K86" s="356"/>
      <c r="L86" s="375"/>
      <c r="M86" s="375"/>
      <c r="N86" s="375"/>
      <c r="O86" s="375"/>
      <c r="P86" s="375"/>
      <c r="Q86" s="375"/>
      <c r="R86" s="375"/>
      <c r="S86" s="375"/>
    </row>
    <row r="87" spans="1:19" ht="15.75">
      <c r="A87" s="447" t="s">
        <v>872</v>
      </c>
      <c r="B87" s="448" t="s">
        <v>873</v>
      </c>
      <c r="C87" s="440" t="s">
        <v>874</v>
      </c>
      <c r="D87" s="480" t="s">
        <v>875</v>
      </c>
      <c r="E87" s="441">
        <v>5.5588235294117654E-2</v>
      </c>
      <c r="F87" s="358">
        <v>18900000</v>
      </c>
      <c r="G87" s="359"/>
      <c r="H87" s="440" t="s">
        <v>876</v>
      </c>
      <c r="I87" s="442"/>
      <c r="J87" s="438"/>
      <c r="K87" s="356" t="s">
        <v>877</v>
      </c>
      <c r="L87" s="375"/>
      <c r="M87" s="375"/>
      <c r="N87" s="375"/>
      <c r="O87" s="375"/>
      <c r="P87" s="375"/>
      <c r="Q87" s="375"/>
      <c r="R87" s="375"/>
      <c r="S87" s="375"/>
    </row>
    <row r="88" spans="1:19" ht="15.75">
      <c r="A88" s="447"/>
      <c r="B88" s="448" t="s">
        <v>878</v>
      </c>
      <c r="C88" s="440" t="s">
        <v>879</v>
      </c>
      <c r="D88" s="480"/>
      <c r="E88" s="441">
        <v>0.15539529411764705</v>
      </c>
      <c r="F88" s="358">
        <v>52834400</v>
      </c>
      <c r="G88" s="359"/>
      <c r="H88" s="440" t="s">
        <v>880</v>
      </c>
      <c r="I88" s="442"/>
      <c r="J88" s="438"/>
      <c r="K88" s="356"/>
      <c r="L88" s="375"/>
      <c r="M88" s="375"/>
      <c r="N88" s="375"/>
      <c r="O88" s="375"/>
      <c r="P88" s="375"/>
      <c r="Q88" s="375"/>
      <c r="R88" s="375"/>
      <c r="S88" s="375"/>
    </row>
    <row r="89" spans="1:19" ht="15.75">
      <c r="A89" s="447"/>
      <c r="B89" s="448" t="s">
        <v>881</v>
      </c>
      <c r="C89" s="440" t="s">
        <v>882</v>
      </c>
      <c r="D89" s="480"/>
      <c r="E89" s="509">
        <v>0.82</v>
      </c>
      <c r="F89" s="358">
        <v>278800000</v>
      </c>
      <c r="G89" s="359"/>
      <c r="H89" s="497" t="s">
        <v>883</v>
      </c>
      <c r="I89" s="442" t="s">
        <v>884</v>
      </c>
      <c r="J89" s="502" t="s">
        <v>885</v>
      </c>
      <c r="K89" s="356"/>
      <c r="L89" s="375"/>
      <c r="M89" s="375"/>
      <c r="N89" s="375"/>
      <c r="O89" s="375"/>
      <c r="P89" s="375"/>
      <c r="Q89" s="375"/>
      <c r="R89" s="375"/>
      <c r="S89" s="375"/>
    </row>
    <row r="90" spans="1:19" ht="15.75">
      <c r="A90" s="355"/>
      <c r="B90" s="439" t="s">
        <v>503</v>
      </c>
      <c r="C90" s="440" t="s">
        <v>504</v>
      </c>
      <c r="D90" s="480"/>
      <c r="E90" s="441">
        <v>0.23529411764705882</v>
      </c>
      <c r="F90" s="358">
        <v>80000000</v>
      </c>
      <c r="G90" s="359">
        <v>0.4</v>
      </c>
      <c r="H90" s="440" t="s">
        <v>115</v>
      </c>
      <c r="I90" s="442" t="s">
        <v>505</v>
      </c>
      <c r="J90" s="438"/>
      <c r="K90" s="355"/>
      <c r="L90" s="375"/>
      <c r="M90" s="375"/>
      <c r="N90" s="375"/>
      <c r="O90" s="375"/>
      <c r="P90" s="375"/>
      <c r="Q90" s="375"/>
      <c r="R90" s="375"/>
      <c r="S90" s="375"/>
    </row>
    <row r="91" spans="1:19" ht="15.75">
      <c r="A91" s="355"/>
      <c r="B91" s="439" t="s">
        <v>506</v>
      </c>
      <c r="C91" s="440" t="s">
        <v>507</v>
      </c>
      <c r="D91" s="480"/>
      <c r="E91" s="441">
        <v>9.4117647058823528E-2</v>
      </c>
      <c r="F91" s="358">
        <v>32000000</v>
      </c>
      <c r="G91" s="359">
        <v>0.05</v>
      </c>
      <c r="H91" s="440" t="s">
        <v>508</v>
      </c>
      <c r="I91" s="442" t="s">
        <v>509</v>
      </c>
      <c r="J91" s="438"/>
      <c r="K91" s="356" t="s">
        <v>886</v>
      </c>
      <c r="L91" s="375"/>
      <c r="M91" s="375"/>
      <c r="N91" s="375"/>
      <c r="O91" s="375"/>
      <c r="P91" s="375"/>
      <c r="Q91" s="375"/>
      <c r="R91" s="375"/>
      <c r="S91" s="375"/>
    </row>
    <row r="92" spans="1:19" ht="15.75">
      <c r="A92" s="355"/>
      <c r="B92" s="439" t="s">
        <v>510</v>
      </c>
      <c r="C92" s="440" t="s">
        <v>511</v>
      </c>
      <c r="D92" s="480"/>
      <c r="E92" s="441">
        <v>0.45088235294117646</v>
      </c>
      <c r="F92" s="492">
        <v>153300000</v>
      </c>
      <c r="G92" s="493">
        <v>0.4</v>
      </c>
      <c r="H92" s="440" t="s">
        <v>512</v>
      </c>
      <c r="I92" s="442" t="s">
        <v>513</v>
      </c>
      <c r="J92" s="438" t="s">
        <v>887</v>
      </c>
      <c r="K92" s="356" t="s">
        <v>888</v>
      </c>
      <c r="L92" s="375"/>
      <c r="M92" s="516" t="s">
        <v>889</v>
      </c>
      <c r="N92" s="375" t="s">
        <v>890</v>
      </c>
      <c r="O92" s="375"/>
      <c r="P92" s="375"/>
      <c r="Q92" s="375"/>
      <c r="R92" s="375"/>
      <c r="S92" s="375"/>
    </row>
    <row r="93" spans="1:19" ht="15.75">
      <c r="A93" s="355"/>
      <c r="B93" s="517" t="s">
        <v>514</v>
      </c>
      <c r="C93" s="440" t="s">
        <v>515</v>
      </c>
      <c r="D93" s="518" t="s">
        <v>516</v>
      </c>
      <c r="E93" s="441">
        <v>0.3235294117647059</v>
      </c>
      <c r="F93" s="492">
        <v>110000000</v>
      </c>
      <c r="G93" s="493">
        <v>0.01</v>
      </c>
      <c r="H93" s="440" t="s">
        <v>517</v>
      </c>
      <c r="I93" s="442" t="s">
        <v>518</v>
      </c>
      <c r="J93" s="438"/>
      <c r="K93" s="505" t="s">
        <v>891</v>
      </c>
      <c r="L93" s="375" t="s">
        <v>892</v>
      </c>
      <c r="M93" s="375"/>
      <c r="N93" s="375"/>
      <c r="O93" s="375"/>
      <c r="P93" s="375"/>
      <c r="Q93" s="375"/>
      <c r="R93" s="375"/>
      <c r="S93" s="375"/>
    </row>
    <row r="94" spans="1:19" ht="15.75">
      <c r="A94" s="355"/>
      <c r="B94" s="517" t="s">
        <v>519</v>
      </c>
      <c r="C94" s="440" t="s">
        <v>520</v>
      </c>
      <c r="D94" s="519" t="s">
        <v>521</v>
      </c>
      <c r="E94" s="441">
        <v>6.7647058823529407E-2</v>
      </c>
      <c r="F94" s="492">
        <v>23000000</v>
      </c>
      <c r="G94" s="493">
        <v>0.15</v>
      </c>
      <c r="H94" s="475" t="s">
        <v>522</v>
      </c>
      <c r="I94" s="446" t="s">
        <v>893</v>
      </c>
      <c r="J94" s="520" t="s">
        <v>523</v>
      </c>
      <c r="K94" s="521" t="s">
        <v>894</v>
      </c>
      <c r="L94" s="375"/>
      <c r="M94" s="375"/>
      <c r="N94" s="375"/>
      <c r="O94" s="375"/>
      <c r="P94" s="375"/>
      <c r="Q94" s="375"/>
      <c r="R94" s="375"/>
      <c r="S94" s="375"/>
    </row>
    <row r="95" spans="1:19" ht="15.75">
      <c r="A95" s="355"/>
      <c r="B95" s="448" t="s">
        <v>524</v>
      </c>
      <c r="C95" s="522" t="s">
        <v>525</v>
      </c>
      <c r="D95" s="480"/>
      <c r="E95" s="441">
        <v>0.40579411764705881</v>
      </c>
      <c r="F95" s="358">
        <v>137970000</v>
      </c>
      <c r="G95" s="359">
        <v>0.05</v>
      </c>
      <c r="H95" s="440" t="s">
        <v>526</v>
      </c>
      <c r="I95" s="442" t="s">
        <v>527</v>
      </c>
      <c r="J95" s="355"/>
      <c r="K95" s="355"/>
      <c r="L95" s="355"/>
      <c r="M95" s="375"/>
      <c r="N95" s="375"/>
      <c r="O95" s="375"/>
      <c r="P95" s="375"/>
      <c r="Q95" s="375"/>
      <c r="R95" s="375"/>
      <c r="S95" s="375"/>
    </row>
    <row r="96" spans="1:19" ht="18.75">
      <c r="A96" s="355"/>
      <c r="B96" s="523"/>
      <c r="C96" s="524" t="s">
        <v>197</v>
      </c>
      <c r="D96" s="460"/>
      <c r="E96" s="525">
        <v>22.961030118823519</v>
      </c>
      <c r="F96" s="526">
        <v>7727959513.3599997</v>
      </c>
      <c r="G96" s="526">
        <v>2867387500</v>
      </c>
      <c r="H96" s="523"/>
      <c r="I96" s="527"/>
      <c r="J96" s="528"/>
      <c r="K96" s="453"/>
      <c r="L96" s="375"/>
      <c r="M96" s="375"/>
      <c r="N96" s="375"/>
      <c r="O96" s="375"/>
      <c r="P96" s="375"/>
      <c r="Q96" s="375"/>
      <c r="R96" s="375"/>
      <c r="S96" s="375"/>
    </row>
    <row r="97" spans="1:19" ht="15.75">
      <c r="A97" s="355"/>
      <c r="B97" s="355"/>
      <c r="C97" s="355"/>
      <c r="D97" s="355"/>
      <c r="E97" s="360">
        <v>766500000</v>
      </c>
      <c r="F97" s="465"/>
      <c r="G97" s="465"/>
      <c r="H97" s="355"/>
      <c r="I97" s="355"/>
      <c r="J97" s="355"/>
      <c r="K97" s="355"/>
      <c r="L97" s="375"/>
      <c r="M97" s="375"/>
      <c r="N97" s="375"/>
      <c r="O97" s="375"/>
      <c r="P97" s="375"/>
      <c r="Q97" s="375"/>
      <c r="R97" s="375"/>
      <c r="S97" s="375"/>
    </row>
    <row r="98" spans="1:19" ht="15.75">
      <c r="A98" s="355"/>
      <c r="B98" s="474"/>
      <c r="C98" s="529" t="s">
        <v>895</v>
      </c>
      <c r="D98" s="530"/>
      <c r="E98" s="335"/>
      <c r="F98" s="468"/>
      <c r="G98" s="468"/>
      <c r="H98" s="336"/>
      <c r="I98" s="355"/>
      <c r="J98" s="355"/>
      <c r="K98" s="355"/>
      <c r="L98" s="375"/>
      <c r="M98" s="375"/>
      <c r="N98" s="375"/>
      <c r="O98" s="375"/>
      <c r="P98" s="375"/>
      <c r="Q98" s="375"/>
      <c r="R98" s="375"/>
      <c r="S98" s="375"/>
    </row>
    <row r="99" spans="1:19" ht="21">
      <c r="A99" s="355"/>
      <c r="B99" s="455"/>
      <c r="C99" s="531"/>
      <c r="D99" s="532"/>
      <c r="E99" s="533"/>
      <c r="F99" s="534"/>
      <c r="G99" s="534">
        <v>3726187500</v>
      </c>
      <c r="H99" s="342"/>
      <c r="I99" s="355"/>
      <c r="J99" s="355"/>
      <c r="K99" s="355"/>
      <c r="L99" s="375"/>
      <c r="M99" s="375"/>
      <c r="N99" s="375"/>
      <c r="O99" s="375"/>
      <c r="P99" s="375"/>
      <c r="Q99" s="375"/>
      <c r="R99" s="375"/>
      <c r="S99" s="375"/>
    </row>
    <row r="100" spans="1:19" ht="18.75">
      <c r="A100" s="355"/>
      <c r="B100" s="343" t="s">
        <v>398</v>
      </c>
      <c r="C100" s="344" t="s">
        <v>318</v>
      </c>
      <c r="D100" s="344" t="s">
        <v>399</v>
      </c>
      <c r="E100" s="345" t="s">
        <v>400</v>
      </c>
      <c r="F100" s="346" t="s">
        <v>401</v>
      </c>
      <c r="G100" s="470"/>
      <c r="H100" s="347" t="s">
        <v>403</v>
      </c>
      <c r="I100" s="348"/>
      <c r="J100" s="430"/>
      <c r="K100" s="431"/>
      <c r="L100" s="375"/>
      <c r="M100" s="375"/>
      <c r="N100" s="375"/>
      <c r="O100" s="375"/>
      <c r="P100" s="375"/>
      <c r="Q100" s="375"/>
      <c r="R100" s="375"/>
      <c r="S100" s="375"/>
    </row>
    <row r="101" spans="1:19" ht="18.75">
      <c r="A101" s="355"/>
      <c r="B101" s="349"/>
      <c r="C101" s="350"/>
      <c r="D101" s="350"/>
      <c r="E101" s="351"/>
      <c r="F101" s="352"/>
      <c r="G101" s="473"/>
      <c r="H101" s="353"/>
      <c r="I101" s="354"/>
      <c r="J101" s="430"/>
      <c r="K101" s="431"/>
      <c r="L101" s="375"/>
      <c r="M101" s="375"/>
      <c r="N101" s="375"/>
      <c r="O101" s="375"/>
      <c r="P101" s="375"/>
      <c r="Q101" s="375"/>
      <c r="R101" s="375"/>
      <c r="S101" s="375"/>
    </row>
    <row r="102" spans="1:19" ht="15.75">
      <c r="A102" s="356" t="s">
        <v>705</v>
      </c>
      <c r="B102" s="432" t="s">
        <v>407</v>
      </c>
      <c r="C102" s="433" t="s">
        <v>408</v>
      </c>
      <c r="D102" s="535" t="s">
        <v>409</v>
      </c>
      <c r="E102" s="535">
        <v>1.2</v>
      </c>
      <c r="F102" s="435">
        <v>400000000</v>
      </c>
      <c r="G102" s="359">
        <v>1</v>
      </c>
      <c r="H102" s="433" t="s">
        <v>529</v>
      </c>
      <c r="I102" s="536"/>
      <c r="J102" s="438"/>
      <c r="K102" s="356"/>
      <c r="L102" s="375"/>
      <c r="M102" s="375"/>
      <c r="N102" s="537" t="s">
        <v>708</v>
      </c>
      <c r="O102" s="375"/>
      <c r="P102" s="375"/>
      <c r="Q102" s="375"/>
      <c r="R102" s="375"/>
      <c r="S102" s="375"/>
    </row>
    <row r="103" spans="1:19" ht="15.75">
      <c r="A103" s="445" t="s">
        <v>705</v>
      </c>
      <c r="B103" s="439" t="s">
        <v>410</v>
      </c>
      <c r="C103" s="440" t="s">
        <v>530</v>
      </c>
      <c r="D103" s="451" t="s">
        <v>412</v>
      </c>
      <c r="E103" s="441">
        <v>0.76764705882352935</v>
      </c>
      <c r="F103" s="363">
        <v>261000000</v>
      </c>
      <c r="G103" s="359">
        <v>0.8</v>
      </c>
      <c r="H103" s="440" t="s">
        <v>531</v>
      </c>
      <c r="I103" s="538"/>
      <c r="J103" s="438"/>
      <c r="K103" s="356"/>
      <c r="L103" s="375"/>
      <c r="M103" s="375"/>
      <c r="N103" s="375" t="s">
        <v>709</v>
      </c>
      <c r="O103" s="375"/>
      <c r="P103" s="375"/>
      <c r="Q103" s="375"/>
      <c r="R103" s="375"/>
      <c r="S103" s="375"/>
    </row>
    <row r="104" spans="1:19" ht="15.75">
      <c r="A104" s="356" t="s">
        <v>705</v>
      </c>
      <c r="B104" s="439" t="s">
        <v>404</v>
      </c>
      <c r="C104" s="440" t="s">
        <v>532</v>
      </c>
      <c r="D104" s="451" t="s">
        <v>406</v>
      </c>
      <c r="E104" s="441">
        <v>0.73529411764705876</v>
      </c>
      <c r="F104" s="358">
        <v>250000000</v>
      </c>
      <c r="G104" s="359">
        <v>1</v>
      </c>
      <c r="H104" s="440" t="s">
        <v>533</v>
      </c>
      <c r="I104" s="538"/>
      <c r="J104" s="438"/>
      <c r="K104" s="356"/>
      <c r="L104" s="375"/>
      <c r="M104" s="375"/>
      <c r="N104" s="539" t="s">
        <v>706</v>
      </c>
      <c r="O104" s="375"/>
      <c r="P104" s="375"/>
      <c r="Q104" s="375"/>
      <c r="R104" s="375"/>
      <c r="S104" s="375"/>
    </row>
    <row r="105" spans="1:19" ht="15.75">
      <c r="A105" s="355"/>
      <c r="B105" s="439" t="s">
        <v>429</v>
      </c>
      <c r="C105" s="440" t="s">
        <v>430</v>
      </c>
      <c r="D105" s="451"/>
      <c r="E105" s="441">
        <v>0.20117647058823529</v>
      </c>
      <c r="F105" s="358">
        <v>68400000</v>
      </c>
      <c r="G105" s="359">
        <v>0.75</v>
      </c>
      <c r="H105" s="440" t="s">
        <v>534</v>
      </c>
      <c r="I105" s="538"/>
      <c r="J105" s="438"/>
      <c r="K105" s="356"/>
      <c r="L105" s="375"/>
      <c r="M105" s="375"/>
      <c r="N105" s="539"/>
      <c r="O105" s="375"/>
      <c r="P105" s="375"/>
      <c r="Q105" s="375"/>
      <c r="R105" s="375"/>
      <c r="S105" s="375"/>
    </row>
    <row r="106" spans="1:19" ht="15.75">
      <c r="A106" s="447" t="s">
        <v>705</v>
      </c>
      <c r="B106" s="448" t="s">
        <v>714</v>
      </c>
      <c r="C106" s="440" t="s">
        <v>896</v>
      </c>
      <c r="D106" s="451" t="s">
        <v>716</v>
      </c>
      <c r="E106" s="540" t="s">
        <v>897</v>
      </c>
      <c r="F106" s="541"/>
      <c r="G106" s="359"/>
      <c r="H106" s="440" t="s">
        <v>898</v>
      </c>
      <c r="I106" s="538"/>
      <c r="J106" s="438"/>
      <c r="K106" s="356"/>
      <c r="L106" s="375"/>
      <c r="M106" s="375"/>
      <c r="N106" s="355"/>
      <c r="O106" s="375"/>
      <c r="P106" s="375"/>
      <c r="Q106" s="375"/>
      <c r="R106" s="375"/>
      <c r="S106" s="375"/>
    </row>
    <row r="107" spans="1:19" ht="15.75">
      <c r="A107" s="447" t="s">
        <v>705</v>
      </c>
      <c r="B107" s="476" t="s">
        <v>760</v>
      </c>
      <c r="C107" s="477" t="s">
        <v>761</v>
      </c>
      <c r="D107" s="542" t="s">
        <v>899</v>
      </c>
      <c r="E107" s="542">
        <v>0.84</v>
      </c>
      <c r="F107" s="478">
        <v>285305760</v>
      </c>
      <c r="G107" s="359"/>
      <c r="H107" s="440" t="s">
        <v>900</v>
      </c>
      <c r="I107" s="538"/>
      <c r="J107" s="438"/>
      <c r="K107" s="356" t="s">
        <v>901</v>
      </c>
      <c r="L107" s="375"/>
      <c r="M107" s="375"/>
      <c r="N107" s="355" t="s">
        <v>762</v>
      </c>
      <c r="O107" s="375"/>
      <c r="P107" s="375"/>
      <c r="Q107" s="375"/>
      <c r="R107" s="375"/>
      <c r="S107" s="375"/>
    </row>
    <row r="108" spans="1:19" ht="15.75">
      <c r="A108" s="447" t="s">
        <v>705</v>
      </c>
      <c r="B108" s="448" t="s">
        <v>724</v>
      </c>
      <c r="C108" s="440" t="s">
        <v>725</v>
      </c>
      <c r="D108" s="451" t="s">
        <v>409</v>
      </c>
      <c r="E108" s="543">
        <v>0.36</v>
      </c>
      <c r="F108" s="358">
        <v>122399999.99999999</v>
      </c>
      <c r="G108" s="359"/>
      <c r="H108" s="440" t="s">
        <v>902</v>
      </c>
      <c r="I108" s="538"/>
      <c r="J108" s="438"/>
      <c r="K108" s="356"/>
      <c r="L108" s="375"/>
      <c r="M108" s="375"/>
      <c r="N108" s="375" t="s">
        <v>726</v>
      </c>
      <c r="O108" s="375"/>
      <c r="P108" s="375"/>
      <c r="Q108" s="375"/>
      <c r="R108" s="375"/>
      <c r="S108" s="375"/>
    </row>
    <row r="109" spans="1:19" ht="15.75">
      <c r="A109" s="479" t="s">
        <v>705</v>
      </c>
      <c r="B109" s="448" t="s">
        <v>714</v>
      </c>
      <c r="C109" s="440" t="s">
        <v>903</v>
      </c>
      <c r="D109" s="451" t="s">
        <v>716</v>
      </c>
      <c r="E109" s="451">
        <v>1.3</v>
      </c>
      <c r="F109" s="358">
        <v>442000000</v>
      </c>
      <c r="G109" s="359"/>
      <c r="H109" s="440" t="s">
        <v>904</v>
      </c>
      <c r="I109" s="538"/>
      <c r="J109" s="438"/>
      <c r="K109" s="356"/>
      <c r="L109" s="375"/>
      <c r="M109" s="375" t="s">
        <v>905</v>
      </c>
      <c r="N109" s="544" t="s">
        <v>721</v>
      </c>
      <c r="O109" s="375"/>
      <c r="P109" s="375"/>
      <c r="Q109" s="375"/>
      <c r="R109" s="375"/>
      <c r="S109" s="375"/>
    </row>
    <row r="110" spans="1:19" ht="15.75">
      <c r="A110" s="447" t="s">
        <v>705</v>
      </c>
      <c r="B110" s="448" t="s">
        <v>475</v>
      </c>
      <c r="C110" s="440" t="s">
        <v>779</v>
      </c>
      <c r="D110" s="451"/>
      <c r="E110" s="441">
        <v>9.0176470588235302E-2</v>
      </c>
      <c r="F110" s="541">
        <v>30660000</v>
      </c>
      <c r="G110" s="359"/>
      <c r="H110" s="444" t="s">
        <v>906</v>
      </c>
      <c r="I110" s="538" t="s">
        <v>907</v>
      </c>
      <c r="J110" s="438"/>
      <c r="K110" s="356"/>
      <c r="L110" s="375"/>
      <c r="M110" s="375"/>
      <c r="N110" s="539"/>
      <c r="O110" s="375"/>
      <c r="P110" s="375"/>
      <c r="Q110" s="375"/>
      <c r="R110" s="375"/>
      <c r="S110" s="375"/>
    </row>
    <row r="111" spans="1:19" ht="15.75">
      <c r="A111" s="355"/>
      <c r="B111" s="455"/>
      <c r="C111" s="455"/>
      <c r="D111" s="455"/>
      <c r="E111" s="456"/>
      <c r="F111" s="545"/>
      <c r="G111" s="545"/>
      <c r="H111" s="455"/>
      <c r="I111" s="546"/>
      <c r="J111" s="355"/>
      <c r="K111" s="355"/>
      <c r="L111" s="375"/>
      <c r="M111" s="375"/>
      <c r="N111" s="375"/>
      <c r="O111" s="375"/>
      <c r="P111" s="375"/>
      <c r="Q111" s="375"/>
      <c r="R111" s="375"/>
      <c r="S111" s="375"/>
    </row>
    <row r="112" spans="1:19" ht="18.75">
      <c r="A112" s="355"/>
      <c r="B112" s="547"/>
      <c r="C112" s="459" t="s">
        <v>197</v>
      </c>
      <c r="D112" s="460"/>
      <c r="E112" s="525">
        <v>5.4942941176470583</v>
      </c>
      <c r="F112" s="462">
        <v>1859765760</v>
      </c>
      <c r="G112" s="462">
        <v>858800000</v>
      </c>
      <c r="H112" s="463"/>
      <c r="I112" s="548"/>
      <c r="J112" s="528"/>
      <c r="K112" s="453"/>
      <c r="L112" s="375"/>
      <c r="M112" s="375"/>
      <c r="N112" s="375"/>
      <c r="O112" s="375"/>
      <c r="P112" s="375"/>
      <c r="Q112" s="375"/>
      <c r="R112" s="375"/>
      <c r="S112" s="375"/>
    </row>
    <row r="113" spans="2:19" ht="15.75">
      <c r="B113" s="338"/>
      <c r="C113" s="549" t="s">
        <v>908</v>
      </c>
      <c r="D113" s="341"/>
      <c r="E113" s="341"/>
      <c r="F113" s="534"/>
      <c r="G113" s="534"/>
      <c r="H113" s="463"/>
      <c r="I113" s="355"/>
      <c r="J113" s="355"/>
      <c r="K113" s="355"/>
      <c r="L113" s="375"/>
      <c r="M113" s="375"/>
      <c r="N113" s="375"/>
      <c r="O113" s="375"/>
      <c r="P113" s="375"/>
      <c r="Q113" s="375"/>
      <c r="R113" s="375"/>
      <c r="S113" s="375"/>
    </row>
    <row r="114" spans="2:19" ht="15.75">
      <c r="B114" s="355"/>
      <c r="C114" s="550"/>
      <c r="D114" s="337"/>
      <c r="E114" s="337"/>
      <c r="F114" s="551"/>
      <c r="G114" s="551"/>
      <c r="H114" s="337"/>
      <c r="I114" s="355"/>
      <c r="J114" s="355"/>
      <c r="K114" s="355"/>
      <c r="L114" s="375"/>
      <c r="M114" s="375"/>
      <c r="N114" s="375"/>
      <c r="O114" s="375"/>
      <c r="P114" s="375"/>
      <c r="Q114" s="375"/>
      <c r="R114" s="375"/>
      <c r="S114" s="375"/>
    </row>
    <row r="115" spans="2:19" ht="15.75">
      <c r="B115" s="355"/>
      <c r="C115" s="337"/>
      <c r="D115" s="552" t="s">
        <v>909</v>
      </c>
      <c r="E115" s="552" t="s">
        <v>910</v>
      </c>
      <c r="F115" s="553" t="s">
        <v>664</v>
      </c>
      <c r="G115" s="554">
        <v>3726187500</v>
      </c>
      <c r="H115" s="337"/>
      <c r="I115" s="555" t="s">
        <v>911</v>
      </c>
      <c r="J115" s="438"/>
      <c r="K115" s="356"/>
      <c r="L115" s="356" t="s">
        <v>911</v>
      </c>
      <c r="M115" s="375"/>
      <c r="N115" s="375"/>
      <c r="O115" s="375"/>
      <c r="P115" s="375"/>
      <c r="Q115" s="375"/>
      <c r="R115" s="375"/>
      <c r="S115" s="375"/>
    </row>
    <row r="116" spans="2:19" ht="15.75">
      <c r="B116" s="355"/>
      <c r="C116" s="550"/>
      <c r="D116" s="536" t="s">
        <v>912</v>
      </c>
      <c r="E116" s="556">
        <v>8.8641532941176475</v>
      </c>
      <c r="F116" s="557">
        <v>3019612140</v>
      </c>
      <c r="G116" s="504"/>
      <c r="H116" s="369">
        <v>340000000</v>
      </c>
      <c r="I116" s="558">
        <v>8.8641532941176457</v>
      </c>
      <c r="J116" s="559"/>
      <c r="K116" s="559">
        <v>3020583568.5714288</v>
      </c>
      <c r="L116" s="560">
        <v>-971428.57142877579</v>
      </c>
      <c r="M116" s="375"/>
      <c r="N116" s="375"/>
      <c r="O116" s="375"/>
      <c r="P116" s="375"/>
      <c r="Q116" s="375"/>
      <c r="R116" s="375"/>
      <c r="S116" s="375"/>
    </row>
    <row r="117" spans="2:19" ht="15.75">
      <c r="B117" s="355"/>
      <c r="C117" s="355"/>
      <c r="D117" s="561" t="s">
        <v>913</v>
      </c>
      <c r="E117" s="562">
        <v>22.961030118823519</v>
      </c>
      <c r="F117" s="557">
        <v>7727959513.3599997</v>
      </c>
      <c r="G117" s="504"/>
      <c r="H117" s="337"/>
      <c r="I117" s="558">
        <v>22.893383060000001</v>
      </c>
      <c r="J117" s="559"/>
      <c r="K117" s="559">
        <v>7704959513.3599997</v>
      </c>
      <c r="L117" s="560">
        <v>23000000</v>
      </c>
      <c r="M117" s="375"/>
      <c r="N117" s="375"/>
      <c r="O117" s="375"/>
      <c r="P117" s="375"/>
      <c r="Q117" s="375"/>
      <c r="R117" s="375"/>
      <c r="S117" s="375"/>
    </row>
    <row r="118" spans="2:19" ht="15.75">
      <c r="B118" s="355"/>
      <c r="C118" s="550"/>
      <c r="D118" s="563" t="s">
        <v>895</v>
      </c>
      <c r="E118" s="564">
        <v>5.4942941176470583</v>
      </c>
      <c r="F118" s="565">
        <v>1859765760</v>
      </c>
      <c r="G118" s="504"/>
      <c r="H118" s="337"/>
      <c r="I118" s="558">
        <v>5.2931176470588239</v>
      </c>
      <c r="J118" s="559"/>
      <c r="K118" s="559">
        <v>1791365760</v>
      </c>
      <c r="L118" s="560">
        <v>68400000</v>
      </c>
      <c r="M118" s="375"/>
      <c r="N118" s="355"/>
      <c r="O118" s="355"/>
      <c r="P118" s="355"/>
      <c r="Q118" s="355"/>
      <c r="R118" s="355"/>
      <c r="S118" s="355"/>
    </row>
    <row r="119" spans="2:19" ht="15.75">
      <c r="B119" s="355"/>
      <c r="C119" s="337"/>
      <c r="D119" s="552" t="s">
        <v>914</v>
      </c>
      <c r="E119" s="566">
        <v>37.319477530588223</v>
      </c>
      <c r="F119" s="565">
        <v>12607337413.360001</v>
      </c>
      <c r="G119" s="504"/>
      <c r="H119" s="337"/>
      <c r="I119" s="567"/>
      <c r="J119" s="567"/>
      <c r="K119" s="356"/>
      <c r="L119" s="356"/>
      <c r="M119" s="375"/>
      <c r="N119" s="355"/>
      <c r="O119" s="355"/>
      <c r="P119" s="355"/>
      <c r="Q119" s="355"/>
      <c r="R119" s="355"/>
      <c r="S119" s="355"/>
    </row>
    <row r="120" spans="2:19" ht="15.75">
      <c r="B120" s="355"/>
      <c r="C120" s="337"/>
      <c r="D120" s="337"/>
      <c r="E120" s="337"/>
      <c r="F120" s="337"/>
      <c r="G120" s="337"/>
      <c r="H120" s="337"/>
      <c r="I120" s="355"/>
      <c r="J120" s="355"/>
      <c r="K120" s="355"/>
      <c r="L120" s="375"/>
      <c r="M120" s="375"/>
      <c r="N120" s="355"/>
      <c r="O120" s="355"/>
      <c r="P120" s="355"/>
      <c r="Q120" s="355"/>
      <c r="R120" s="355"/>
      <c r="S120" s="355"/>
    </row>
    <row r="121" spans="2:19" ht="15.75">
      <c r="B121" s="355"/>
      <c r="C121" s="337"/>
      <c r="D121" s="552" t="s">
        <v>915</v>
      </c>
      <c r="E121" s="552" t="s">
        <v>910</v>
      </c>
      <c r="F121" s="553" t="s">
        <v>664</v>
      </c>
      <c r="G121" s="438"/>
      <c r="H121" s="438" t="s">
        <v>916</v>
      </c>
      <c r="I121" s="438"/>
      <c r="J121" s="438"/>
      <c r="K121" s="356"/>
      <c r="L121" s="375"/>
      <c r="M121" s="375"/>
      <c r="N121" s="355"/>
      <c r="O121" s="355"/>
      <c r="P121" s="355"/>
      <c r="Q121" s="355"/>
      <c r="R121" s="355"/>
      <c r="S121" s="355"/>
    </row>
    <row r="122" spans="2:19" ht="15.75">
      <c r="B122" s="355"/>
      <c r="C122" s="337"/>
      <c r="D122" s="536" t="s">
        <v>912</v>
      </c>
      <c r="E122" s="556">
        <v>4.8118971764705876</v>
      </c>
      <c r="F122" s="557">
        <v>1636045040</v>
      </c>
      <c r="G122" s="504"/>
      <c r="H122" s="568">
        <v>0.54180635265296029</v>
      </c>
      <c r="I122" s="438"/>
      <c r="J122" s="438"/>
      <c r="K122" s="356"/>
      <c r="L122" s="375"/>
      <c r="M122" s="375"/>
      <c r="N122" s="355"/>
      <c r="O122" s="355"/>
      <c r="P122" s="355"/>
      <c r="Q122" s="355"/>
      <c r="R122" s="355"/>
      <c r="S122" s="355"/>
    </row>
    <row r="123" spans="2:19" ht="15.75">
      <c r="B123" s="355"/>
      <c r="C123" s="337"/>
      <c r="D123" s="561" t="s">
        <v>913</v>
      </c>
      <c r="E123" s="562">
        <v>4.6540294117647063</v>
      </c>
      <c r="F123" s="557">
        <v>1571642000</v>
      </c>
      <c r="G123" s="504"/>
      <c r="H123" s="568">
        <v>0.20337088946738979</v>
      </c>
      <c r="I123" s="355"/>
      <c r="J123" s="355"/>
      <c r="K123" s="355"/>
      <c r="L123" s="375"/>
      <c r="M123" s="375"/>
      <c r="N123" s="355"/>
      <c r="O123" s="355"/>
      <c r="P123" s="355"/>
      <c r="Q123" s="355"/>
      <c r="R123" s="355"/>
      <c r="S123" s="355"/>
    </row>
    <row r="124" spans="2:19" ht="15.75">
      <c r="B124" s="569"/>
      <c r="C124" s="337"/>
      <c r="D124" s="563" t="s">
        <v>895</v>
      </c>
      <c r="E124" s="564">
        <v>1.2901764705882353</v>
      </c>
      <c r="F124" s="565">
        <v>438365760</v>
      </c>
      <c r="G124" s="504"/>
      <c r="H124" s="568">
        <v>0.23571020040717386</v>
      </c>
      <c r="I124" s="438"/>
      <c r="J124" s="438"/>
      <c r="K124" s="356"/>
      <c r="L124" s="375"/>
      <c r="M124" s="375"/>
      <c r="N124" s="355"/>
      <c r="O124" s="355"/>
      <c r="P124" s="355"/>
      <c r="Q124" s="355"/>
      <c r="R124" s="355"/>
      <c r="S124" s="355"/>
    </row>
    <row r="125" spans="2:19" ht="15.75">
      <c r="B125" s="355"/>
      <c r="C125" s="337"/>
      <c r="D125" s="552" t="s">
        <v>914</v>
      </c>
      <c r="E125" s="566">
        <v>10.75610305882353</v>
      </c>
      <c r="F125" s="565">
        <v>3646052800</v>
      </c>
      <c r="G125" s="504"/>
      <c r="H125" s="568">
        <v>0.28920085823484637</v>
      </c>
      <c r="I125" s="438"/>
      <c r="J125" s="438"/>
      <c r="K125" s="356"/>
      <c r="L125" s="375"/>
      <c r="M125" s="375"/>
      <c r="N125" s="355"/>
      <c r="O125" s="355"/>
      <c r="P125" s="355"/>
      <c r="Q125" s="355"/>
      <c r="R125" s="355"/>
      <c r="S125" s="355"/>
    </row>
    <row r="126" spans="2:19" ht="15.75">
      <c r="B126" s="355"/>
      <c r="C126" s="337"/>
      <c r="D126" s="337"/>
      <c r="E126" s="337"/>
      <c r="F126" s="570"/>
      <c r="G126" s="570"/>
      <c r="H126" s="438"/>
      <c r="I126" s="355"/>
      <c r="J126" s="355"/>
      <c r="K126" s="355"/>
      <c r="L126" s="375"/>
      <c r="M126" s="375"/>
      <c r="N126" s="355"/>
      <c r="O126" s="355"/>
      <c r="P126" s="355"/>
      <c r="Q126" s="355"/>
      <c r="R126" s="355"/>
      <c r="S126" s="355"/>
    </row>
    <row r="127" spans="2:19" ht="15.75">
      <c r="B127" s="355"/>
      <c r="C127" s="337"/>
      <c r="D127" s="552" t="s">
        <v>917</v>
      </c>
      <c r="E127" s="552" t="s">
        <v>910</v>
      </c>
      <c r="F127" s="553" t="s">
        <v>664</v>
      </c>
      <c r="G127" s="438"/>
      <c r="H127" s="438"/>
      <c r="I127" s="438"/>
      <c r="J127" s="438"/>
      <c r="K127" s="356"/>
      <c r="L127" s="375"/>
      <c r="M127" s="375"/>
      <c r="N127" s="355"/>
      <c r="O127" s="355"/>
      <c r="P127" s="355"/>
      <c r="Q127" s="355"/>
      <c r="R127" s="355"/>
      <c r="S127" s="355"/>
    </row>
    <row r="128" spans="2:19" ht="15.75">
      <c r="B128" s="569"/>
      <c r="C128" s="337"/>
      <c r="D128" s="536" t="s">
        <v>912</v>
      </c>
      <c r="E128" s="556">
        <v>2.7322561176470583</v>
      </c>
      <c r="F128" s="557">
        <v>934767100</v>
      </c>
      <c r="G128" s="504"/>
      <c r="H128" s="568">
        <v>0.30956528741469425</v>
      </c>
      <c r="I128" s="438"/>
      <c r="J128" s="438"/>
      <c r="K128" s="356"/>
      <c r="L128" s="375"/>
      <c r="M128" s="375"/>
      <c r="N128" s="355"/>
      <c r="O128" s="355"/>
      <c r="P128" s="355"/>
      <c r="Q128" s="355"/>
      <c r="R128" s="355"/>
      <c r="S128" s="355"/>
    </row>
    <row r="129" spans="3:13" ht="15.75">
      <c r="C129" s="337"/>
      <c r="D129" s="561" t="s">
        <v>913</v>
      </c>
      <c r="E129" s="562">
        <v>17.182121764705883</v>
      </c>
      <c r="F129" s="557">
        <v>5773858672.96</v>
      </c>
      <c r="G129" s="504"/>
      <c r="H129" s="568">
        <v>0.74713883567560435</v>
      </c>
      <c r="I129" s="355"/>
      <c r="J129" s="355"/>
      <c r="K129" s="355"/>
      <c r="L129" s="375"/>
      <c r="M129" s="375"/>
    </row>
    <row r="130" spans="3:13" ht="15.75">
      <c r="C130" s="337"/>
      <c r="D130" s="563" t="s">
        <v>895</v>
      </c>
      <c r="E130" s="564">
        <v>2.7029411764705884</v>
      </c>
      <c r="F130" s="565">
        <v>911000000</v>
      </c>
      <c r="G130" s="504"/>
      <c r="H130" s="568">
        <v>0.48984663530959943</v>
      </c>
      <c r="I130" s="438"/>
      <c r="J130" s="438"/>
      <c r="K130" s="356"/>
      <c r="L130" s="375"/>
      <c r="M130" s="375"/>
    </row>
    <row r="131" spans="3:13" ht="15.75">
      <c r="C131" s="337"/>
      <c r="D131" s="552" t="s">
        <v>914</v>
      </c>
      <c r="E131" s="566">
        <v>22.617319058823529</v>
      </c>
      <c r="F131" s="565">
        <v>7619625772.96</v>
      </c>
      <c r="G131" s="504"/>
      <c r="H131" s="568">
        <v>0.60438025279512864</v>
      </c>
      <c r="I131" s="438"/>
      <c r="J131" s="438"/>
      <c r="K131" s="356"/>
      <c r="L131" s="375"/>
      <c r="M131" s="375"/>
    </row>
    <row r="132" spans="3:13" ht="15.75">
      <c r="C132" s="337"/>
      <c r="D132" s="337"/>
      <c r="E132" s="337"/>
      <c r="F132" s="570"/>
      <c r="G132" s="570"/>
      <c r="H132" s="571"/>
      <c r="I132" s="355"/>
      <c r="J132" s="355"/>
      <c r="K132" s="355"/>
      <c r="L132" s="375"/>
      <c r="M132" s="375"/>
    </row>
    <row r="133" spans="3:13" ht="15.75">
      <c r="C133" s="337"/>
      <c r="D133" s="552" t="s">
        <v>918</v>
      </c>
      <c r="E133" s="552" t="s">
        <v>910</v>
      </c>
      <c r="F133" s="553" t="s">
        <v>664</v>
      </c>
      <c r="G133" s="438"/>
      <c r="H133" s="571"/>
      <c r="I133" s="438"/>
      <c r="J133" s="438"/>
      <c r="K133" s="356"/>
      <c r="L133" s="375"/>
      <c r="M133" s="375"/>
    </row>
    <row r="134" spans="3:13" ht="15.75">
      <c r="C134" s="337"/>
      <c r="D134" s="536" t="s">
        <v>912</v>
      </c>
      <c r="E134" s="556">
        <v>1.32</v>
      </c>
      <c r="F134" s="557">
        <v>448800000</v>
      </c>
      <c r="G134" s="504"/>
      <c r="H134" s="568">
        <v>0.14862835993234549</v>
      </c>
      <c r="I134" s="438"/>
      <c r="J134" s="438"/>
      <c r="K134" s="356"/>
      <c r="L134" s="375"/>
      <c r="M134" s="375"/>
    </row>
    <row r="135" spans="3:13" ht="15.75">
      <c r="C135" s="337"/>
      <c r="D135" s="561" t="s">
        <v>913</v>
      </c>
      <c r="E135" s="562">
        <v>0.15539529411764705</v>
      </c>
      <c r="F135" s="557">
        <v>52834400</v>
      </c>
      <c r="G135" s="504"/>
      <c r="H135" s="568">
        <v>6.8367853000084371E-3</v>
      </c>
      <c r="I135" s="355"/>
      <c r="J135" s="355"/>
      <c r="K135" s="355"/>
      <c r="L135" s="375"/>
      <c r="M135" s="375"/>
    </row>
    <row r="136" spans="3:13" ht="15.75">
      <c r="C136" s="337"/>
      <c r="D136" s="563" t="s">
        <v>895</v>
      </c>
      <c r="E136" s="564">
        <v>1.3</v>
      </c>
      <c r="F136" s="565">
        <v>442000000</v>
      </c>
      <c r="G136" s="504"/>
      <c r="H136" s="568">
        <v>0.23766433897567832</v>
      </c>
      <c r="I136" s="438"/>
      <c r="J136" s="438"/>
      <c r="K136" s="356"/>
      <c r="L136" s="375"/>
      <c r="M136" s="375"/>
    </row>
    <row r="137" spans="3:13" ht="15.75">
      <c r="C137" s="337"/>
      <c r="D137" s="552" t="s">
        <v>914</v>
      </c>
      <c r="E137" s="566">
        <v>2.7753952941176472</v>
      </c>
      <c r="F137" s="565">
        <v>943634400</v>
      </c>
      <c r="G137" s="504"/>
      <c r="H137" s="568">
        <v>7.4848032464018152E-2</v>
      </c>
      <c r="I137" s="438"/>
      <c r="J137" s="438"/>
      <c r="K137" s="356"/>
      <c r="L137" s="375"/>
      <c r="M137" s="375"/>
    </row>
    <row r="138" spans="3:13" ht="15.75">
      <c r="C138" s="337"/>
      <c r="D138" s="337"/>
      <c r="E138" s="337"/>
      <c r="F138" s="570"/>
      <c r="G138" s="570"/>
      <c r="H138" s="571"/>
      <c r="I138" s="355"/>
      <c r="J138" s="355"/>
      <c r="K138" s="355"/>
      <c r="L138" s="375"/>
      <c r="M138" s="375"/>
    </row>
    <row r="139" spans="3:13" ht="15.75">
      <c r="C139" s="337"/>
      <c r="D139" s="552" t="s">
        <v>919</v>
      </c>
      <c r="E139" s="552" t="s">
        <v>910</v>
      </c>
      <c r="F139" s="553" t="s">
        <v>664</v>
      </c>
      <c r="G139" s="438"/>
      <c r="H139" s="571"/>
      <c r="I139" s="438"/>
      <c r="J139" s="438"/>
      <c r="K139" s="356"/>
      <c r="L139" s="375"/>
      <c r="M139" s="375"/>
    </row>
    <row r="140" spans="3:13" ht="15.75">
      <c r="C140" s="337"/>
      <c r="D140" s="536" t="s">
        <v>912</v>
      </c>
      <c r="E140" s="556">
        <v>0</v>
      </c>
      <c r="F140" s="557">
        <v>971428.57142857148</v>
      </c>
      <c r="G140" s="504"/>
      <c r="H140" s="568">
        <v>3.217064067799686E-4</v>
      </c>
      <c r="I140" s="438"/>
      <c r="J140" s="438"/>
      <c r="K140" s="356"/>
      <c r="L140" s="375"/>
      <c r="M140" s="375"/>
    </row>
    <row r="141" spans="3:13" ht="15.75">
      <c r="C141" s="337"/>
      <c r="D141" s="561" t="s">
        <v>913</v>
      </c>
      <c r="E141" s="562">
        <v>0.9018365894117647</v>
      </c>
      <c r="F141" s="557">
        <v>306624440.40000004</v>
      </c>
      <c r="G141" s="504"/>
      <c r="H141" s="568">
        <v>3.9677283488598968E-2</v>
      </c>
      <c r="I141" s="355"/>
      <c r="J141" s="355"/>
      <c r="K141" s="355"/>
      <c r="L141" s="375"/>
      <c r="M141" s="375"/>
    </row>
    <row r="142" spans="3:13" ht="15.75">
      <c r="C142" s="337"/>
      <c r="D142" s="563" t="s">
        <v>895</v>
      </c>
      <c r="E142" s="564">
        <v>0</v>
      </c>
      <c r="F142" s="565">
        <v>0</v>
      </c>
      <c r="G142" s="504"/>
      <c r="H142" s="568">
        <v>0</v>
      </c>
      <c r="I142" s="438"/>
      <c r="J142" s="438"/>
      <c r="K142" s="356"/>
      <c r="L142" s="375"/>
      <c r="M142" s="375"/>
    </row>
    <row r="143" spans="3:13" ht="15.75">
      <c r="C143" s="337"/>
      <c r="D143" s="552" t="s">
        <v>914</v>
      </c>
      <c r="E143" s="566">
        <v>0.9018365894117647</v>
      </c>
      <c r="F143" s="565">
        <v>307595868.97142863</v>
      </c>
      <c r="G143" s="504"/>
      <c r="H143" s="568">
        <v>2.4398162664026835E-2</v>
      </c>
      <c r="I143" s="438"/>
      <c r="J143" s="438"/>
      <c r="K143" s="356"/>
      <c r="L143" s="375"/>
      <c r="M143" s="375"/>
    </row>
    <row r="144" spans="3:13" ht="15.75">
      <c r="C144" s="337"/>
      <c r="D144" s="337"/>
      <c r="E144" s="337"/>
      <c r="F144" s="337"/>
      <c r="G144" s="337"/>
      <c r="H144" s="570"/>
      <c r="I144" s="355"/>
      <c r="J144" s="355"/>
      <c r="K144" s="355"/>
      <c r="L144" s="375"/>
      <c r="M144" s="375"/>
    </row>
    <row r="145" spans="1:19" ht="15.75">
      <c r="A145" s="355"/>
      <c r="B145" s="355"/>
      <c r="C145" s="337"/>
      <c r="D145" s="337"/>
      <c r="E145" s="337"/>
      <c r="F145" s="337"/>
      <c r="G145" s="337"/>
      <c r="H145" s="570"/>
      <c r="I145" s="355"/>
      <c r="J145" s="355"/>
      <c r="K145" s="355"/>
      <c r="L145" s="375"/>
      <c r="M145" s="375"/>
      <c r="N145" s="355"/>
      <c r="O145" s="355"/>
      <c r="P145" s="355"/>
      <c r="Q145" s="355"/>
      <c r="R145" s="355"/>
      <c r="S145" s="355"/>
    </row>
    <row r="146" spans="1:19" ht="15.75">
      <c r="A146" s="355"/>
      <c r="B146" s="355"/>
      <c r="C146" s="337"/>
      <c r="D146" s="337" t="s">
        <v>911</v>
      </c>
      <c r="E146" s="572">
        <v>-0.26882352941175147</v>
      </c>
      <c r="F146" s="573">
        <v>-90428571.428571939</v>
      </c>
      <c r="G146" s="574"/>
      <c r="H146" s="570"/>
      <c r="I146" s="355"/>
      <c r="J146" s="355"/>
      <c r="K146" s="355"/>
      <c r="L146" s="375"/>
      <c r="M146" s="375"/>
      <c r="N146" s="355"/>
      <c r="O146" s="355"/>
      <c r="P146" s="355"/>
      <c r="Q146" s="355"/>
      <c r="R146" s="355"/>
      <c r="S146" s="355"/>
    </row>
    <row r="147" spans="1:19" ht="15.75">
      <c r="A147" s="355"/>
      <c r="B147" s="355"/>
      <c r="C147" s="355"/>
      <c r="D147" s="355"/>
      <c r="E147" s="355"/>
      <c r="F147" s="355"/>
      <c r="G147" s="355"/>
      <c r="H147" s="414"/>
      <c r="I147" s="355"/>
      <c r="J147" s="355"/>
      <c r="K147" s="355"/>
      <c r="L147" s="375"/>
      <c r="M147" s="375"/>
      <c r="N147" s="355"/>
      <c r="O147" s="355"/>
      <c r="P147" s="355"/>
      <c r="Q147" s="355"/>
      <c r="R147" s="355"/>
      <c r="S147" s="355"/>
    </row>
    <row r="148" spans="1:19" ht="15.75">
      <c r="A148" s="355"/>
      <c r="B148" s="355"/>
      <c r="C148" s="355"/>
      <c r="D148" s="355"/>
      <c r="E148" s="355"/>
      <c r="F148" s="355"/>
      <c r="G148" s="355"/>
      <c r="H148" s="414"/>
      <c r="I148" s="355"/>
      <c r="J148" s="355"/>
      <c r="K148" s="355"/>
      <c r="L148" s="375"/>
      <c r="M148" s="375"/>
      <c r="N148" s="355"/>
      <c r="O148" s="355"/>
      <c r="P148" s="355"/>
      <c r="Q148" s="355"/>
      <c r="R148" s="355"/>
      <c r="S148" s="355"/>
    </row>
    <row r="149" spans="1:19" ht="15.75">
      <c r="A149" s="355"/>
      <c r="B149" s="474"/>
      <c r="C149" s="529" t="s">
        <v>920</v>
      </c>
      <c r="D149" s="530"/>
      <c r="E149" s="335"/>
      <c r="F149" s="468"/>
      <c r="G149" s="468"/>
      <c r="H149" s="336"/>
      <c r="I149" s="355"/>
      <c r="J149" s="355"/>
      <c r="K149" s="355"/>
      <c r="L149" s="375"/>
      <c r="M149" s="375"/>
      <c r="N149" s="375"/>
      <c r="O149" s="375"/>
      <c r="P149" s="375"/>
      <c r="Q149" s="375"/>
      <c r="R149" s="375"/>
      <c r="S149" s="375"/>
    </row>
    <row r="150" spans="1:19" ht="21">
      <c r="A150" s="355"/>
      <c r="B150" s="455"/>
      <c r="C150" s="531"/>
      <c r="D150" s="532"/>
      <c r="E150" s="533"/>
      <c r="F150" s="534">
        <v>190400000</v>
      </c>
      <c r="G150" s="534"/>
      <c r="H150" s="342"/>
      <c r="I150" s="355"/>
      <c r="J150" s="355"/>
      <c r="K150" s="355"/>
      <c r="L150" s="375"/>
      <c r="M150" s="375"/>
      <c r="N150" s="375"/>
      <c r="O150" s="375"/>
      <c r="P150" s="375"/>
      <c r="Q150" s="375"/>
      <c r="R150" s="375"/>
      <c r="S150" s="375"/>
    </row>
    <row r="151" spans="1:19" ht="18.75">
      <c r="A151" s="355"/>
      <c r="B151" s="343" t="s">
        <v>398</v>
      </c>
      <c r="C151" s="344" t="s">
        <v>318</v>
      </c>
      <c r="D151" s="344" t="s">
        <v>399</v>
      </c>
      <c r="E151" s="345" t="s">
        <v>400</v>
      </c>
      <c r="F151" s="346" t="s">
        <v>401</v>
      </c>
      <c r="G151" s="470"/>
      <c r="H151" s="347" t="s">
        <v>403</v>
      </c>
      <c r="I151" s="348"/>
      <c r="J151" s="430"/>
      <c r="K151" s="431"/>
      <c r="L151" s="375"/>
      <c r="M151" s="375"/>
      <c r="N151" s="375"/>
      <c r="O151" s="375"/>
      <c r="P151" s="375"/>
      <c r="Q151" s="375"/>
      <c r="R151" s="375"/>
      <c r="S151" s="375"/>
    </row>
    <row r="152" spans="1:19" ht="18.75">
      <c r="A152" s="355"/>
      <c r="B152" s="349"/>
      <c r="C152" s="350"/>
      <c r="D152" s="350"/>
      <c r="E152" s="351"/>
      <c r="F152" s="352"/>
      <c r="G152" s="473"/>
      <c r="H152" s="353"/>
      <c r="I152" s="354"/>
      <c r="J152" s="430"/>
      <c r="K152" s="431" t="s">
        <v>921</v>
      </c>
      <c r="L152" s="375"/>
      <c r="M152" s="375"/>
      <c r="N152" s="375"/>
      <c r="O152" s="375"/>
      <c r="P152" s="375"/>
      <c r="Q152" s="375"/>
      <c r="R152" s="375"/>
      <c r="S152" s="375"/>
    </row>
    <row r="153" spans="1:19" ht="15.75">
      <c r="A153" s="356" t="s">
        <v>705</v>
      </c>
      <c r="B153" s="474" t="s">
        <v>922</v>
      </c>
      <c r="C153" s="535" t="s">
        <v>923</v>
      </c>
      <c r="D153" s="535" t="s">
        <v>924</v>
      </c>
      <c r="E153" s="441">
        <v>9.7122058823529422E-2</v>
      </c>
      <c r="F153" s="375">
        <v>33021500.000000004</v>
      </c>
      <c r="G153" s="375"/>
      <c r="H153" s="535" t="s">
        <v>925</v>
      </c>
      <c r="I153" s="536" t="s">
        <v>577</v>
      </c>
      <c r="J153" s="438"/>
      <c r="K153" s="356" t="s">
        <v>926</v>
      </c>
      <c r="L153" s="375"/>
      <c r="M153" s="375"/>
      <c r="N153" s="537" t="s">
        <v>708</v>
      </c>
      <c r="O153" s="375"/>
      <c r="P153" s="375"/>
      <c r="Q153" s="375"/>
      <c r="R153" s="375"/>
      <c r="S153" s="375"/>
    </row>
    <row r="154" spans="1:19" ht="15.75">
      <c r="A154" s="356" t="s">
        <v>705</v>
      </c>
      <c r="B154" s="448" t="s">
        <v>927</v>
      </c>
      <c r="C154" s="451" t="s">
        <v>928</v>
      </c>
      <c r="D154" s="451" t="s">
        <v>924</v>
      </c>
      <c r="E154" s="441">
        <v>2.9525105882352944E-2</v>
      </c>
      <c r="F154" s="358">
        <v>10038536</v>
      </c>
      <c r="G154" s="358"/>
      <c r="H154" s="451" t="s">
        <v>929</v>
      </c>
      <c r="I154" s="442" t="s">
        <v>930</v>
      </c>
      <c r="J154" s="575"/>
      <c r="K154" s="356" t="s">
        <v>926</v>
      </c>
      <c r="L154" s="375"/>
      <c r="M154" s="375"/>
      <c r="N154" s="375" t="s">
        <v>709</v>
      </c>
      <c r="O154" s="375"/>
      <c r="P154" s="375"/>
      <c r="Q154" s="375"/>
      <c r="R154" s="375"/>
      <c r="S154" s="375"/>
    </row>
    <row r="155" spans="1:19" ht="15.75">
      <c r="A155" s="356" t="s">
        <v>705</v>
      </c>
      <c r="B155" s="448" t="s">
        <v>931</v>
      </c>
      <c r="C155" s="451" t="s">
        <v>932</v>
      </c>
      <c r="D155" s="451" t="s">
        <v>924</v>
      </c>
      <c r="E155" s="441">
        <v>0.20978364705882352</v>
      </c>
      <c r="F155" s="358">
        <v>71326440</v>
      </c>
      <c r="G155" s="358"/>
      <c r="H155" s="451" t="s">
        <v>933</v>
      </c>
      <c r="I155" s="538" t="s">
        <v>577</v>
      </c>
      <c r="J155" s="438"/>
      <c r="K155" s="356" t="s">
        <v>934</v>
      </c>
      <c r="L155" s="375"/>
      <c r="M155" s="375"/>
      <c r="N155" s="539" t="s">
        <v>706</v>
      </c>
      <c r="O155" s="375"/>
      <c r="P155" s="375"/>
      <c r="Q155" s="375"/>
      <c r="R155" s="375"/>
      <c r="S155" s="375"/>
    </row>
    <row r="156" spans="1:19" ht="15.75">
      <c r="A156" s="447" t="s">
        <v>705</v>
      </c>
      <c r="B156" s="448" t="s">
        <v>935</v>
      </c>
      <c r="C156" s="451" t="s">
        <v>936</v>
      </c>
      <c r="D156" s="451" t="s">
        <v>924</v>
      </c>
      <c r="E156" s="441">
        <v>0.20978364705882352</v>
      </c>
      <c r="F156" s="358">
        <v>71326440</v>
      </c>
      <c r="G156" s="358"/>
      <c r="H156" s="451" t="s">
        <v>933</v>
      </c>
      <c r="I156" s="538"/>
      <c r="J156" s="438"/>
      <c r="K156" s="356" t="s">
        <v>937</v>
      </c>
      <c r="L156" s="375"/>
      <c r="M156" s="375"/>
      <c r="N156" s="355"/>
      <c r="O156" s="375"/>
      <c r="P156" s="375"/>
      <c r="Q156" s="375"/>
      <c r="R156" s="375"/>
      <c r="S156" s="375"/>
    </row>
    <row r="157" spans="1:19" ht="15.75">
      <c r="A157" s="447" t="s">
        <v>705</v>
      </c>
      <c r="B157" s="576" t="s">
        <v>938</v>
      </c>
      <c r="C157" s="451" t="s">
        <v>939</v>
      </c>
      <c r="D157" s="451" t="s">
        <v>940</v>
      </c>
      <c r="E157" s="434">
        <v>4.0000000000000001E-3</v>
      </c>
      <c r="F157" s="358">
        <v>1360000</v>
      </c>
      <c r="G157" s="358"/>
      <c r="H157" s="451" t="s">
        <v>941</v>
      </c>
      <c r="I157" s="538"/>
      <c r="J157" s="438"/>
      <c r="K157" s="356"/>
      <c r="L157" s="375"/>
      <c r="M157" s="375"/>
      <c r="N157" s="355" t="s">
        <v>762</v>
      </c>
      <c r="O157" s="375"/>
      <c r="P157" s="375"/>
      <c r="Q157" s="375"/>
      <c r="R157" s="375"/>
      <c r="S157" s="375"/>
    </row>
    <row r="158" spans="1:19" ht="15.75">
      <c r="A158" s="447" t="s">
        <v>705</v>
      </c>
      <c r="B158" s="576" t="s">
        <v>942</v>
      </c>
      <c r="C158" s="451" t="s">
        <v>943</v>
      </c>
      <c r="D158" s="451" t="s">
        <v>944</v>
      </c>
      <c r="E158" s="441">
        <v>0.11</v>
      </c>
      <c r="F158" s="358">
        <v>37400000</v>
      </c>
      <c r="G158" s="358"/>
      <c r="H158" s="451" t="s">
        <v>945</v>
      </c>
      <c r="I158" s="538"/>
      <c r="J158" s="438"/>
      <c r="K158" s="356"/>
      <c r="L158" s="375"/>
      <c r="M158" s="375"/>
      <c r="N158" s="375" t="s">
        <v>726</v>
      </c>
      <c r="O158" s="375"/>
      <c r="P158" s="375"/>
      <c r="Q158" s="375"/>
      <c r="R158" s="375"/>
      <c r="S158" s="375"/>
    </row>
    <row r="159" spans="1:19" ht="15.75">
      <c r="A159" s="479" t="s">
        <v>705</v>
      </c>
      <c r="B159" s="576" t="s">
        <v>946</v>
      </c>
      <c r="C159" s="451" t="s">
        <v>947</v>
      </c>
      <c r="D159" s="451"/>
      <c r="E159" s="441">
        <v>0.06</v>
      </c>
      <c r="F159" s="358">
        <v>20400000</v>
      </c>
      <c r="G159" s="358"/>
      <c r="H159" s="451"/>
      <c r="I159" s="538"/>
      <c r="J159" s="438"/>
      <c r="K159" s="356"/>
      <c r="L159" s="375"/>
      <c r="M159" s="375" t="s">
        <v>905</v>
      </c>
      <c r="N159" s="544" t="s">
        <v>721</v>
      </c>
      <c r="O159" s="375"/>
      <c r="P159" s="375"/>
      <c r="Q159" s="375"/>
      <c r="R159" s="375"/>
      <c r="S159" s="375"/>
    </row>
    <row r="160" spans="1:19" ht="15.75">
      <c r="A160" s="447" t="s">
        <v>705</v>
      </c>
      <c r="B160" s="448"/>
      <c r="C160" s="451"/>
      <c r="D160" s="451"/>
      <c r="E160" s="441"/>
      <c r="F160" s="541"/>
      <c r="G160" s="541"/>
      <c r="H160" s="577"/>
      <c r="I160" s="538" t="s">
        <v>907</v>
      </c>
      <c r="J160" s="438"/>
      <c r="K160" s="356"/>
      <c r="L160" s="375"/>
      <c r="M160" s="375"/>
      <c r="N160" s="539"/>
      <c r="O160" s="375"/>
      <c r="P160" s="375"/>
      <c r="Q160" s="375"/>
      <c r="R160" s="375"/>
      <c r="S160" s="375"/>
    </row>
    <row r="161" spans="1:19" ht="15.75">
      <c r="A161" s="355"/>
      <c r="B161" s="455"/>
      <c r="C161" s="455"/>
      <c r="D161" s="455"/>
      <c r="E161" s="456"/>
      <c r="F161" s="545"/>
      <c r="G161" s="545"/>
      <c r="H161" s="455"/>
      <c r="I161" s="546"/>
      <c r="J161" s="355"/>
      <c r="K161" s="355"/>
      <c r="L161" s="375"/>
      <c r="M161" s="375"/>
      <c r="N161" s="375"/>
      <c r="O161" s="375"/>
      <c r="P161" s="375"/>
      <c r="Q161" s="375"/>
      <c r="R161" s="375"/>
      <c r="S161" s="375"/>
    </row>
    <row r="162" spans="1:19" ht="18.75">
      <c r="A162" s="355"/>
      <c r="B162" s="547"/>
      <c r="C162" s="459" t="s">
        <v>197</v>
      </c>
      <c r="D162" s="460"/>
      <c r="E162" s="525">
        <v>0.7202144588235293</v>
      </c>
      <c r="F162" s="462">
        <v>244872916</v>
      </c>
      <c r="G162" s="462"/>
      <c r="H162" s="463"/>
      <c r="I162" s="548"/>
      <c r="J162" s="528"/>
      <c r="K162" s="453"/>
      <c r="L162" s="375"/>
      <c r="M162" s="375"/>
      <c r="N162" s="375"/>
      <c r="O162" s="375"/>
      <c r="P162" s="375"/>
      <c r="Q162" s="375"/>
      <c r="R162" s="375"/>
      <c r="S162" s="375"/>
    </row>
    <row r="163" spans="1:19" ht="15.75">
      <c r="A163" s="355"/>
      <c r="B163" s="338"/>
      <c r="C163" s="549" t="s">
        <v>908</v>
      </c>
      <c r="D163" s="341"/>
      <c r="E163" s="341"/>
      <c r="F163" s="534"/>
      <c r="G163" s="534"/>
      <c r="H163" s="463"/>
      <c r="I163" s="355"/>
      <c r="J163" s="355"/>
      <c r="K163" s="355"/>
      <c r="L163" s="375"/>
      <c r="M163" s="375"/>
      <c r="N163" s="375"/>
      <c r="O163" s="375"/>
      <c r="P163" s="375"/>
      <c r="Q163" s="375"/>
      <c r="R163" s="375"/>
      <c r="S163" s="375"/>
    </row>
    <row r="164" spans="1:19" ht="15.75">
      <c r="A164" s="355"/>
      <c r="B164" s="355" t="s">
        <v>948</v>
      </c>
      <c r="C164" s="355" t="s">
        <v>949</v>
      </c>
      <c r="D164" s="355"/>
      <c r="E164" s="578">
        <v>0.26470588235294118</v>
      </c>
      <c r="F164" s="360">
        <v>90000000</v>
      </c>
      <c r="G164" s="360"/>
      <c r="H164" s="414" t="s">
        <v>950</v>
      </c>
      <c r="I164" s="337" t="s">
        <v>951</v>
      </c>
      <c r="J164" s="355"/>
      <c r="K164" s="355"/>
      <c r="L164" s="375"/>
      <c r="M164" s="375"/>
      <c r="N164" s="355"/>
      <c r="O164" s="355"/>
      <c r="P164" s="355"/>
      <c r="Q164" s="355"/>
      <c r="R164" s="355"/>
      <c r="S164" s="355"/>
    </row>
    <row r="165" spans="1:19" ht="15.75">
      <c r="A165" s="355"/>
      <c r="B165" s="355"/>
      <c r="C165" s="355"/>
      <c r="D165" s="355"/>
      <c r="E165" s="355"/>
      <c r="F165" s="355"/>
      <c r="G165" s="355"/>
      <c r="H165" s="414"/>
      <c r="I165" s="355"/>
      <c r="J165" s="355"/>
      <c r="K165" s="355"/>
      <c r="L165" s="375"/>
      <c r="M165" s="375"/>
      <c r="N165" s="355"/>
      <c r="O165" s="355"/>
      <c r="P165" s="355"/>
      <c r="Q165" s="355"/>
      <c r="R165" s="355"/>
      <c r="S165" s="355"/>
    </row>
    <row r="166" spans="1:19" ht="15.75">
      <c r="A166" s="355"/>
      <c r="B166" s="355"/>
      <c r="C166" s="376" t="s">
        <v>952</v>
      </c>
      <c r="D166" s="355"/>
      <c r="E166" s="355"/>
      <c r="F166" s="355"/>
      <c r="G166" s="355"/>
      <c r="H166" s="414"/>
      <c r="I166" s="355"/>
      <c r="J166" s="355"/>
      <c r="K166" s="355"/>
      <c r="L166" s="375"/>
      <c r="M166" s="375"/>
      <c r="N166" s="355"/>
      <c r="O166" s="355"/>
      <c r="P166" s="355"/>
      <c r="Q166" s="355"/>
      <c r="R166" s="355"/>
      <c r="S166" s="355"/>
    </row>
    <row r="167" spans="1:19" ht="15.75">
      <c r="A167" s="355"/>
      <c r="B167" s="355"/>
      <c r="C167" s="355"/>
      <c r="D167" s="355"/>
      <c r="E167" s="355"/>
      <c r="F167" s="355"/>
      <c r="G167" s="355"/>
      <c r="H167" s="414"/>
      <c r="I167" s="355"/>
      <c r="J167" s="355"/>
      <c r="K167" s="355"/>
      <c r="L167" s="375"/>
      <c r="M167" s="375"/>
      <c r="N167" s="355"/>
      <c r="O167" s="355"/>
      <c r="P167" s="355"/>
      <c r="Q167" s="355"/>
      <c r="R167" s="355"/>
      <c r="S167" s="355"/>
    </row>
    <row r="168" spans="1:19" ht="15.75">
      <c r="A168" s="355"/>
      <c r="B168" s="355"/>
      <c r="C168" s="579" t="s">
        <v>953</v>
      </c>
      <c r="D168" s="355"/>
      <c r="E168" s="355"/>
      <c r="F168" s="414"/>
      <c r="G168" s="414"/>
      <c r="H168" s="414"/>
      <c r="I168" s="355"/>
      <c r="J168" s="355"/>
      <c r="K168" s="355"/>
      <c r="L168" s="375"/>
      <c r="M168" s="375"/>
      <c r="N168" s="355"/>
      <c r="O168" s="355"/>
      <c r="P168" s="355"/>
      <c r="Q168" s="355"/>
      <c r="R168" s="355"/>
      <c r="S168" s="355"/>
    </row>
    <row r="169" spans="1:19" ht="15.75">
      <c r="A169" s="355"/>
      <c r="B169" s="355"/>
      <c r="C169" s="580" t="s">
        <v>954</v>
      </c>
      <c r="D169" s="355"/>
      <c r="E169" s="355"/>
      <c r="F169" s="414"/>
      <c r="G169" s="414"/>
      <c r="H169" s="414"/>
      <c r="I169" s="355"/>
      <c r="J169" s="355"/>
      <c r="K169" s="355"/>
      <c r="L169" s="375"/>
      <c r="M169" s="375"/>
      <c r="N169" s="355"/>
      <c r="O169" s="355"/>
      <c r="P169" s="355"/>
      <c r="Q169" s="355"/>
      <c r="R169" s="355"/>
      <c r="S169" s="355"/>
    </row>
    <row r="170" spans="1:19" ht="15.75">
      <c r="A170" s="355"/>
      <c r="B170" s="355">
        <v>1</v>
      </c>
      <c r="C170" s="376" t="s">
        <v>955</v>
      </c>
      <c r="D170" s="355"/>
      <c r="E170" s="355"/>
      <c r="F170" s="414"/>
      <c r="G170" s="414"/>
      <c r="H170" s="414"/>
      <c r="I170" s="355"/>
      <c r="J170" s="355"/>
      <c r="K170" s="355"/>
      <c r="L170" s="375"/>
      <c r="M170" s="375"/>
      <c r="N170" s="355"/>
      <c r="O170" s="355"/>
      <c r="P170" s="355"/>
      <c r="Q170" s="355"/>
      <c r="R170" s="355"/>
      <c r="S170" s="355"/>
    </row>
    <row r="171" spans="1:19" ht="15.75">
      <c r="A171" s="447"/>
      <c r="B171" s="355">
        <v>2</v>
      </c>
      <c r="C171" s="376" t="s">
        <v>956</v>
      </c>
      <c r="D171" s="355"/>
      <c r="E171" s="355"/>
      <c r="F171" s="414"/>
      <c r="G171" s="414"/>
      <c r="H171" s="414"/>
      <c r="I171" s="355"/>
      <c r="J171" s="355"/>
      <c r="K171" s="355"/>
      <c r="L171" s="355"/>
      <c r="M171" s="355"/>
      <c r="N171" s="355"/>
      <c r="O171" s="355"/>
      <c r="P171" s="355"/>
      <c r="Q171" s="355"/>
      <c r="R171" s="355"/>
      <c r="S171" s="355"/>
    </row>
    <row r="172" spans="1:19" ht="15.75">
      <c r="A172" s="447"/>
      <c r="B172" s="355">
        <v>3</v>
      </c>
      <c r="C172" s="376" t="s">
        <v>957</v>
      </c>
      <c r="D172" s="355"/>
      <c r="E172" s="355"/>
      <c r="F172" s="414"/>
      <c r="G172" s="414"/>
      <c r="H172" s="414"/>
      <c r="I172" s="355"/>
      <c r="J172" s="355"/>
      <c r="K172" s="355"/>
      <c r="L172" s="355"/>
      <c r="M172" s="355"/>
      <c r="N172" s="355"/>
      <c r="O172" s="355"/>
      <c r="P172" s="355"/>
      <c r="Q172" s="355"/>
      <c r="R172" s="355"/>
      <c r="S172" s="355"/>
    </row>
    <row r="173" spans="1:19" ht="15.75">
      <c r="A173" s="447"/>
      <c r="B173" s="355">
        <v>4</v>
      </c>
      <c r="C173" s="376" t="s">
        <v>958</v>
      </c>
      <c r="D173" s="355"/>
      <c r="E173" s="355"/>
      <c r="F173" s="414"/>
      <c r="G173" s="414"/>
      <c r="H173" s="414"/>
      <c r="I173" s="355"/>
      <c r="J173" s="355"/>
      <c r="K173" s="355"/>
      <c r="L173" s="355"/>
      <c r="M173" s="355"/>
      <c r="N173" s="355"/>
      <c r="O173" s="355"/>
      <c r="P173" s="355"/>
      <c r="Q173" s="355"/>
      <c r="R173" s="355"/>
      <c r="S173" s="355"/>
    </row>
    <row r="174" spans="1:19" ht="15.75">
      <c r="A174" s="479"/>
      <c r="B174" s="355">
        <v>5</v>
      </c>
      <c r="C174" s="376" t="s">
        <v>959</v>
      </c>
      <c r="D174" s="355"/>
      <c r="E174" s="355"/>
      <c r="F174" s="414"/>
      <c r="G174" s="414"/>
      <c r="H174" s="414"/>
      <c r="I174" s="355"/>
      <c r="J174" s="355"/>
      <c r="K174" s="355"/>
      <c r="L174" s="355"/>
      <c r="M174" s="355"/>
      <c r="N174" s="355"/>
      <c r="O174" s="355"/>
      <c r="P174" s="355"/>
      <c r="Q174" s="355"/>
      <c r="R174" s="355"/>
      <c r="S174" s="355"/>
    </row>
    <row r="175" spans="1:19" ht="15.75">
      <c r="A175" s="447"/>
      <c r="B175" s="355">
        <v>6</v>
      </c>
      <c r="C175" s="376" t="s">
        <v>960</v>
      </c>
      <c r="D175" s="355"/>
      <c r="E175" s="355"/>
      <c r="F175" s="414"/>
      <c r="G175" s="414"/>
      <c r="H175" s="355"/>
      <c r="I175" s="355"/>
      <c r="J175" s="355"/>
      <c r="K175" s="355"/>
      <c r="L175" s="355"/>
      <c r="M175" s="355"/>
      <c r="N175" s="355"/>
      <c r="O175" s="355"/>
      <c r="P175" s="355"/>
      <c r="Q175" s="355"/>
      <c r="R175" s="355"/>
      <c r="S175" s="355"/>
    </row>
    <row r="176" spans="1:19" ht="15.75">
      <c r="A176" s="355"/>
      <c r="B176" s="355">
        <v>7</v>
      </c>
      <c r="C176" s="376" t="s">
        <v>961</v>
      </c>
      <c r="D176" s="355"/>
      <c r="E176" s="355"/>
      <c r="F176" s="414"/>
      <c r="G176" s="414"/>
      <c r="H176" s="355"/>
      <c r="I176" s="355"/>
      <c r="J176" s="355"/>
      <c r="K176" s="355"/>
      <c r="L176" s="355"/>
      <c r="M176" s="355"/>
      <c r="N176" s="355"/>
      <c r="O176" s="355"/>
      <c r="P176" s="355"/>
      <c r="Q176" s="355"/>
      <c r="R176" s="355"/>
      <c r="S176" s="355"/>
    </row>
    <row r="177" spans="2:11" ht="15.75">
      <c r="B177" s="355">
        <v>8</v>
      </c>
      <c r="C177" s="376" t="s">
        <v>962</v>
      </c>
      <c r="D177" s="355"/>
      <c r="E177" s="376" t="s">
        <v>963</v>
      </c>
      <c r="F177" s="414"/>
      <c r="G177" s="414"/>
      <c r="H177" s="355"/>
      <c r="I177" s="355"/>
      <c r="J177" s="355"/>
      <c r="K177" s="355"/>
    </row>
    <row r="178" spans="2:11" ht="15.75">
      <c r="B178" s="355">
        <v>9</v>
      </c>
      <c r="C178" s="376" t="s">
        <v>964</v>
      </c>
      <c r="D178" s="355"/>
      <c r="E178" s="355"/>
      <c r="F178" s="414"/>
      <c r="G178" s="414"/>
      <c r="H178" s="355"/>
      <c r="I178" s="355"/>
      <c r="J178" s="355"/>
      <c r="K178" s="355"/>
    </row>
    <row r="179" spans="2:11" ht="15.75">
      <c r="B179" s="355">
        <v>10</v>
      </c>
      <c r="C179" s="376" t="s">
        <v>965</v>
      </c>
      <c r="D179" s="355"/>
      <c r="E179" s="355"/>
      <c r="F179" s="414"/>
      <c r="G179" s="414"/>
      <c r="H179" s="355"/>
      <c r="I179" s="355"/>
      <c r="J179" s="355"/>
      <c r="K179" s="355"/>
    </row>
    <row r="180" spans="2:11" ht="15.75">
      <c r="B180" s="355">
        <v>11</v>
      </c>
      <c r="C180" s="376" t="s">
        <v>966</v>
      </c>
      <c r="D180" s="355"/>
      <c r="E180" s="376" t="s">
        <v>967</v>
      </c>
      <c r="F180" s="414"/>
      <c r="G180" s="414"/>
      <c r="H180" s="355"/>
      <c r="I180" s="355"/>
      <c r="J180" s="355"/>
      <c r="K180" s="355"/>
    </row>
    <row r="181" spans="2:11" ht="15.75">
      <c r="B181" s="355"/>
      <c r="C181" s="581" t="s">
        <v>968</v>
      </c>
      <c r="D181" s="376" t="s">
        <v>969</v>
      </c>
      <c r="E181" s="355"/>
      <c r="F181" s="414"/>
      <c r="G181" s="414"/>
      <c r="H181" s="355"/>
      <c r="I181" s="355"/>
      <c r="J181" s="355"/>
      <c r="K181" s="355"/>
    </row>
    <row r="182" spans="2:11" ht="15.75">
      <c r="B182" s="355">
        <v>12</v>
      </c>
      <c r="C182" s="376" t="s">
        <v>970</v>
      </c>
      <c r="D182" s="355"/>
      <c r="E182" s="355"/>
      <c r="F182" s="414"/>
      <c r="G182" s="414"/>
      <c r="H182" s="355"/>
      <c r="I182" s="355"/>
      <c r="J182" s="355"/>
      <c r="K182" s="355"/>
    </row>
    <row r="183" spans="2:11" ht="15.75">
      <c r="B183" s="355">
        <v>13</v>
      </c>
      <c r="C183" s="376" t="s">
        <v>971</v>
      </c>
      <c r="D183" s="355"/>
      <c r="E183" s="355"/>
      <c r="F183" s="414"/>
      <c r="G183" s="414"/>
      <c r="H183" s="355"/>
      <c r="I183" s="355"/>
      <c r="J183" s="355"/>
      <c r="K183" s="355"/>
    </row>
    <row r="184" spans="2:11" ht="15.75">
      <c r="B184" s="355">
        <v>14</v>
      </c>
      <c r="C184" s="376" t="s">
        <v>972</v>
      </c>
      <c r="D184" s="355"/>
      <c r="E184" s="355"/>
      <c r="F184" s="414"/>
      <c r="G184" s="414"/>
      <c r="H184" s="355"/>
      <c r="I184" s="355"/>
      <c r="J184" s="355"/>
      <c r="K184" s="355"/>
    </row>
    <row r="185" spans="2:11" ht="15.75">
      <c r="B185" s="355">
        <v>14.5</v>
      </c>
      <c r="C185" s="376" t="s">
        <v>973</v>
      </c>
      <c r="D185" s="376" t="s">
        <v>974</v>
      </c>
      <c r="E185" s="355" t="s">
        <v>975</v>
      </c>
      <c r="F185" s="414"/>
      <c r="G185" s="414"/>
      <c r="H185" s="376" t="s">
        <v>976</v>
      </c>
      <c r="I185" s="355"/>
      <c r="J185" s="355"/>
      <c r="K185" s="355"/>
    </row>
    <row r="186" spans="2:11" ht="15.75">
      <c r="B186" s="355">
        <v>14.75</v>
      </c>
      <c r="C186" s="376" t="s">
        <v>425</v>
      </c>
      <c r="D186" s="376"/>
      <c r="E186" s="355"/>
      <c r="F186" s="414"/>
      <c r="G186" s="414"/>
      <c r="H186" s="376"/>
      <c r="I186" s="355"/>
      <c r="J186" s="355"/>
      <c r="K186" s="355"/>
    </row>
    <row r="187" spans="2:11" ht="15.75">
      <c r="B187" s="355"/>
      <c r="C187" s="355"/>
      <c r="D187" s="355"/>
      <c r="E187" s="355"/>
      <c r="F187" s="414"/>
      <c r="G187" s="414"/>
      <c r="H187" s="355"/>
      <c r="I187" s="355"/>
      <c r="J187" s="355"/>
      <c r="K187" s="355"/>
    </row>
    <row r="188" spans="2:11" ht="15.75">
      <c r="B188" s="355"/>
      <c r="C188" s="580" t="s">
        <v>977</v>
      </c>
      <c r="D188" s="355"/>
      <c r="E188" s="355"/>
      <c r="F188" s="414"/>
      <c r="G188" s="414"/>
      <c r="H188" s="355"/>
      <c r="I188" s="355"/>
      <c r="J188" s="355"/>
      <c r="K188" s="355"/>
    </row>
    <row r="189" spans="2:11" ht="15.75">
      <c r="B189" s="355">
        <v>15</v>
      </c>
      <c r="C189" s="376" t="s">
        <v>978</v>
      </c>
      <c r="D189" s="355"/>
      <c r="E189" s="355"/>
      <c r="F189" s="414"/>
      <c r="G189" s="414"/>
      <c r="H189" s="414"/>
      <c r="I189" s="355"/>
      <c r="J189" s="355"/>
      <c r="K189" s="355"/>
    </row>
    <row r="190" spans="2:11" ht="15.75">
      <c r="B190" s="355"/>
      <c r="C190" s="581" t="s">
        <v>979</v>
      </c>
      <c r="D190" s="355"/>
      <c r="E190" s="355"/>
      <c r="F190" s="414"/>
      <c r="G190" s="414"/>
      <c r="H190" s="414"/>
      <c r="I190" s="355"/>
      <c r="J190" s="355"/>
      <c r="K190" s="355"/>
    </row>
    <row r="191" spans="2:11" ht="15.75">
      <c r="B191" s="355">
        <v>16</v>
      </c>
      <c r="C191" s="446" t="s">
        <v>980</v>
      </c>
      <c r="D191" s="581"/>
      <c r="E191" s="582"/>
      <c r="F191" s="414"/>
      <c r="G191" s="414"/>
      <c r="H191" s="414"/>
      <c r="I191" s="583"/>
      <c r="J191" s="583"/>
      <c r="K191" s="584"/>
    </row>
    <row r="192" spans="2:11" ht="15.75">
      <c r="B192" s="355"/>
      <c r="C192" s="581" t="s">
        <v>981</v>
      </c>
      <c r="D192" s="582"/>
      <c r="E192" s="582"/>
      <c r="F192" s="414"/>
      <c r="G192" s="414"/>
      <c r="H192" s="414"/>
      <c r="I192" s="585"/>
      <c r="J192" s="585"/>
      <c r="K192" s="582"/>
    </row>
    <row r="193" spans="2:11" ht="15.75">
      <c r="B193" s="355"/>
      <c r="C193" s="586" t="s">
        <v>982</v>
      </c>
      <c r="D193" s="582"/>
      <c r="E193" s="582"/>
      <c r="F193" s="414"/>
      <c r="G193" s="414"/>
      <c r="H193" s="414"/>
      <c r="I193" s="585"/>
      <c r="J193" s="585"/>
      <c r="K193" s="582"/>
    </row>
    <row r="194" spans="2:11" ht="15.75">
      <c r="B194" s="355">
        <v>17</v>
      </c>
      <c r="C194" s="446" t="s">
        <v>983</v>
      </c>
      <c r="D194" s="582"/>
      <c r="E194" s="582"/>
      <c r="F194" s="414"/>
      <c r="G194" s="414"/>
      <c r="H194" s="414"/>
      <c r="I194" s="585"/>
      <c r="J194" s="585"/>
      <c r="K194" s="582"/>
    </row>
    <row r="195" spans="2:11" ht="15.75">
      <c r="B195" s="355"/>
      <c r="C195" s="581" t="s">
        <v>984</v>
      </c>
      <c r="D195" s="582"/>
      <c r="E195" s="582"/>
      <c r="F195" s="414"/>
      <c r="G195" s="414"/>
      <c r="H195" s="414"/>
      <c r="I195" s="585"/>
      <c r="J195" s="585"/>
      <c r="K195" s="582"/>
    </row>
    <row r="196" spans="2:11" ht="15.75">
      <c r="B196" s="355">
        <v>18</v>
      </c>
      <c r="C196" s="446" t="s">
        <v>985</v>
      </c>
      <c r="D196" s="581"/>
      <c r="E196" s="582"/>
      <c r="F196" s="355"/>
      <c r="G196" s="355"/>
      <c r="H196" s="414"/>
      <c r="I196" s="583"/>
      <c r="J196" s="583"/>
      <c r="K196" s="584"/>
    </row>
    <row r="197" spans="2:11" ht="15.75">
      <c r="B197" s="355"/>
      <c r="C197" s="586" t="s">
        <v>986</v>
      </c>
      <c r="D197" s="582"/>
      <c r="E197" s="582"/>
      <c r="F197" s="355"/>
      <c r="G197" s="355"/>
      <c r="H197" s="414"/>
      <c r="I197" s="585"/>
      <c r="J197" s="585"/>
      <c r="K197" s="582"/>
    </row>
    <row r="198" spans="2:11" ht="15.75">
      <c r="B198" s="355"/>
      <c r="C198" s="581" t="s">
        <v>987</v>
      </c>
      <c r="D198" s="582"/>
      <c r="E198" s="582"/>
      <c r="F198" s="355"/>
      <c r="G198" s="355"/>
      <c r="H198" s="414"/>
      <c r="I198" s="585"/>
      <c r="J198" s="585"/>
      <c r="K198" s="582"/>
    </row>
    <row r="199" spans="2:11" ht="15.75">
      <c r="B199" s="355">
        <v>19</v>
      </c>
      <c r="C199" s="581" t="s">
        <v>988</v>
      </c>
      <c r="D199" s="582"/>
      <c r="E199" s="582"/>
      <c r="F199" s="355"/>
      <c r="G199" s="355"/>
      <c r="H199" s="414"/>
      <c r="I199" s="585"/>
      <c r="J199" s="585"/>
      <c r="K199" s="582"/>
    </row>
    <row r="200" spans="2:11" ht="15.75">
      <c r="B200" s="355">
        <v>20</v>
      </c>
      <c r="C200" s="581" t="s">
        <v>989</v>
      </c>
      <c r="D200" s="581" t="s">
        <v>990</v>
      </c>
      <c r="E200" s="581" t="s">
        <v>991</v>
      </c>
      <c r="F200" s="355"/>
      <c r="G200" s="355"/>
      <c r="H200" s="355"/>
      <c r="I200" s="583"/>
      <c r="J200" s="583"/>
      <c r="K200" s="584"/>
    </row>
    <row r="201" spans="2:11" ht="15.75">
      <c r="B201" s="355"/>
      <c r="C201" s="581" t="s">
        <v>992</v>
      </c>
      <c r="D201" s="581"/>
      <c r="E201" s="582"/>
      <c r="F201" s="355"/>
      <c r="G201" s="355"/>
      <c r="H201" s="414"/>
      <c r="I201" s="583"/>
      <c r="J201" s="583"/>
      <c r="K201" s="584"/>
    </row>
    <row r="202" spans="2:11" ht="15.75">
      <c r="B202" s="355">
        <v>21</v>
      </c>
      <c r="C202" s="355" t="s">
        <v>993</v>
      </c>
      <c r="D202" s="355"/>
      <c r="E202" s="355"/>
      <c r="F202" s="355"/>
      <c r="G202" s="355"/>
      <c r="H202" s="414"/>
      <c r="I202" s="355"/>
      <c r="J202" s="355"/>
      <c r="K202" s="355"/>
    </row>
    <row r="203" spans="2:11" ht="15.75">
      <c r="B203" s="355">
        <v>22</v>
      </c>
      <c r="C203" s="376" t="s">
        <v>994</v>
      </c>
      <c r="D203" s="355"/>
      <c r="E203" s="355"/>
      <c r="F203" s="355"/>
      <c r="G203" s="355"/>
      <c r="H203" s="414"/>
      <c r="I203" s="355"/>
      <c r="J203" s="355"/>
      <c r="K203" s="355"/>
    </row>
    <row r="204" spans="2:11" ht="15.75">
      <c r="B204" s="355"/>
      <c r="C204" s="355"/>
      <c r="D204" s="355"/>
      <c r="E204" s="355"/>
      <c r="F204" s="355"/>
      <c r="G204" s="355"/>
      <c r="H204" s="414"/>
      <c r="I204" s="355"/>
      <c r="J204" s="355"/>
      <c r="K204" s="355"/>
    </row>
    <row r="205" spans="2:11" ht="15.75">
      <c r="B205" s="355"/>
      <c r="C205" s="580" t="s">
        <v>995</v>
      </c>
      <c r="D205" s="355"/>
      <c r="E205" s="355"/>
      <c r="F205" s="355"/>
      <c r="G205" s="355"/>
      <c r="H205" s="414"/>
      <c r="I205" s="355"/>
      <c r="J205" s="355"/>
      <c r="K205" s="355"/>
    </row>
    <row r="206" spans="2:11" ht="15.75">
      <c r="B206" s="355">
        <v>23</v>
      </c>
      <c r="C206" s="376" t="s">
        <v>996</v>
      </c>
      <c r="D206" s="376" t="s">
        <v>997</v>
      </c>
      <c r="E206" s="355"/>
      <c r="F206" s="355"/>
      <c r="G206" s="355"/>
      <c r="H206" s="414"/>
      <c r="I206" s="587"/>
      <c r="J206" s="587"/>
      <c r="K206" s="588"/>
    </row>
    <row r="207" spans="2:11" ht="15.75">
      <c r="B207" s="355"/>
      <c r="C207" s="581" t="s">
        <v>998</v>
      </c>
      <c r="D207" s="355"/>
      <c r="E207" s="355"/>
      <c r="F207" s="414"/>
      <c r="G207" s="414"/>
      <c r="H207" s="414"/>
      <c r="I207" s="355"/>
      <c r="J207" s="355"/>
      <c r="K207" s="355"/>
    </row>
    <row r="208" spans="2:11" ht="15.75">
      <c r="B208" s="355">
        <v>24</v>
      </c>
      <c r="C208" s="376" t="s">
        <v>999</v>
      </c>
      <c r="D208" s="355"/>
      <c r="E208" s="355"/>
      <c r="F208" s="414"/>
      <c r="G208" s="414"/>
      <c r="H208" s="414"/>
      <c r="I208" s="355"/>
      <c r="J208" s="355"/>
      <c r="K208" s="355"/>
    </row>
    <row r="209" spans="2:11" ht="15.75">
      <c r="B209" s="355"/>
      <c r="C209" s="581" t="s">
        <v>1000</v>
      </c>
      <c r="D209" s="355"/>
      <c r="E209" s="355"/>
      <c r="F209" s="414"/>
      <c r="G209" s="414"/>
      <c r="H209" s="355"/>
      <c r="I209" s="355"/>
      <c r="J209" s="355"/>
      <c r="K209" s="355"/>
    </row>
    <row r="210" spans="2:11" ht="15.75">
      <c r="B210" s="355">
        <v>25</v>
      </c>
      <c r="C210" s="376" t="s">
        <v>1001</v>
      </c>
      <c r="D210" s="355"/>
      <c r="E210" s="355"/>
      <c r="F210" s="355"/>
      <c r="G210" s="355"/>
      <c r="H210" s="355"/>
      <c r="I210" s="355"/>
      <c r="J210" s="355"/>
      <c r="K210" s="355"/>
    </row>
    <row r="211" spans="2:11" ht="15.75">
      <c r="B211" s="355"/>
      <c r="C211" s="581" t="s">
        <v>1002</v>
      </c>
      <c r="D211" s="376" t="s">
        <v>1003</v>
      </c>
      <c r="E211" s="355"/>
      <c r="F211" s="414"/>
      <c r="G211" s="414"/>
      <c r="H211" s="355"/>
      <c r="I211" s="355"/>
      <c r="J211" s="355"/>
      <c r="K211" s="355"/>
    </row>
    <row r="212" spans="2:11" ht="15.75">
      <c r="B212" s="355">
        <v>26</v>
      </c>
      <c r="C212" s="376" t="s">
        <v>1004</v>
      </c>
      <c r="D212" s="355"/>
      <c r="E212" s="355" t="s">
        <v>1005</v>
      </c>
      <c r="F212" s="414"/>
      <c r="G212" s="414"/>
      <c r="H212" s="355"/>
      <c r="I212" s="355"/>
      <c r="J212" s="355"/>
      <c r="K212" s="355"/>
    </row>
    <row r="213" spans="2:11" ht="15.75">
      <c r="B213" s="355"/>
      <c r="C213" s="581" t="s">
        <v>1006</v>
      </c>
      <c r="D213" s="355"/>
      <c r="E213" s="355"/>
      <c r="F213" s="414"/>
      <c r="G213" s="414"/>
      <c r="H213" s="355"/>
      <c r="I213" s="355"/>
      <c r="J213" s="355"/>
      <c r="K213" s="355"/>
    </row>
    <row r="214" spans="2:11" ht="15.75">
      <c r="B214" s="355"/>
      <c r="C214" s="581" t="s">
        <v>1007</v>
      </c>
      <c r="D214" s="355"/>
      <c r="E214" s="355"/>
      <c r="F214" s="414"/>
      <c r="G214" s="414"/>
      <c r="H214" s="355"/>
      <c r="I214" s="355"/>
      <c r="J214" s="355"/>
      <c r="K214" s="355"/>
    </row>
    <row r="215" spans="2:11" ht="15.75">
      <c r="B215" s="355">
        <v>27</v>
      </c>
      <c r="C215" s="376" t="s">
        <v>1008</v>
      </c>
      <c r="D215" s="355"/>
      <c r="E215" s="355"/>
      <c r="F215" s="414"/>
      <c r="G215" s="414"/>
      <c r="H215" s="375"/>
      <c r="I215" s="355"/>
      <c r="J215" s="355"/>
      <c r="K215" s="355"/>
    </row>
    <row r="216" spans="2:11" ht="15.75">
      <c r="B216" s="355">
        <v>28</v>
      </c>
      <c r="C216" s="376" t="s">
        <v>1009</v>
      </c>
      <c r="D216" s="355"/>
      <c r="E216" s="355"/>
      <c r="F216" s="355"/>
      <c r="G216" s="355"/>
      <c r="H216" s="414"/>
      <c r="I216" s="355"/>
      <c r="J216" s="355"/>
      <c r="K216" s="355"/>
    </row>
    <row r="217" spans="2:11" ht="15.75">
      <c r="B217" s="355"/>
      <c r="C217" s="581" t="s">
        <v>1010</v>
      </c>
      <c r="D217" s="355"/>
      <c r="E217" s="355"/>
      <c r="F217" s="414"/>
      <c r="G217" s="414"/>
      <c r="H217" s="414"/>
      <c r="I217" s="355"/>
      <c r="J217" s="355"/>
      <c r="K217" s="355"/>
    </row>
    <row r="218" spans="2:11" ht="15.75">
      <c r="B218" s="355">
        <v>29</v>
      </c>
      <c r="C218" s="376" t="s">
        <v>1011</v>
      </c>
      <c r="D218" s="355"/>
      <c r="E218" s="376" t="s">
        <v>1012</v>
      </c>
      <c r="F218" s="588" t="s">
        <v>1013</v>
      </c>
      <c r="G218" s="588"/>
      <c r="H218" s="414"/>
      <c r="I218" s="355"/>
      <c r="J218" s="355"/>
      <c r="K218" s="355"/>
    </row>
    <row r="219" spans="2:11" ht="15.75">
      <c r="B219" s="355"/>
      <c r="C219" s="581" t="s">
        <v>1014</v>
      </c>
      <c r="D219" s="355"/>
      <c r="E219" s="355"/>
      <c r="F219" s="414"/>
      <c r="G219" s="414"/>
      <c r="H219" s="355"/>
      <c r="I219" s="355"/>
      <c r="J219" s="355"/>
      <c r="K219" s="355"/>
    </row>
    <row r="220" spans="2:11" ht="15.75">
      <c r="B220" s="355">
        <v>30</v>
      </c>
      <c r="C220" s="376" t="s">
        <v>1015</v>
      </c>
      <c r="D220" s="355"/>
      <c r="E220" s="355"/>
      <c r="F220" s="414"/>
      <c r="G220" s="414"/>
      <c r="H220" s="355"/>
      <c r="I220" s="355"/>
      <c r="J220" s="355"/>
      <c r="K220" s="355"/>
    </row>
    <row r="221" spans="2:11" ht="15.75">
      <c r="B221" s="355"/>
      <c r="C221" s="581" t="s">
        <v>1016</v>
      </c>
      <c r="D221" s="376" t="s">
        <v>1017</v>
      </c>
      <c r="E221" s="355"/>
      <c r="F221" s="414"/>
      <c r="G221" s="414"/>
      <c r="H221" s="355"/>
      <c r="I221" s="355"/>
      <c r="J221" s="355"/>
      <c r="K221" s="355"/>
    </row>
    <row r="222" spans="2:11" ht="15.75">
      <c r="B222" s="355">
        <v>31</v>
      </c>
      <c r="C222" s="376" t="s">
        <v>1018</v>
      </c>
      <c r="D222" s="355"/>
      <c r="E222" s="355"/>
      <c r="F222" s="414"/>
      <c r="G222" s="414"/>
      <c r="H222" s="355"/>
      <c r="I222" s="355"/>
      <c r="J222" s="355"/>
      <c r="K222" s="355"/>
    </row>
    <row r="223" spans="2:11" ht="15.75">
      <c r="B223" s="355"/>
      <c r="C223" s="581" t="s">
        <v>1006</v>
      </c>
      <c r="D223" s="376" t="s">
        <v>1019</v>
      </c>
      <c r="E223" s="355"/>
      <c r="F223" s="414"/>
      <c r="G223" s="414"/>
      <c r="H223" s="355"/>
      <c r="I223" s="587"/>
      <c r="J223" s="587"/>
      <c r="K223" s="588"/>
    </row>
    <row r="224" spans="2:11" ht="15.75">
      <c r="B224" s="355">
        <v>32</v>
      </c>
      <c r="C224" s="376" t="s">
        <v>1020</v>
      </c>
      <c r="D224" s="376" t="s">
        <v>1021</v>
      </c>
      <c r="E224" s="355"/>
      <c r="F224" s="414"/>
      <c r="G224" s="414"/>
      <c r="H224" s="355"/>
      <c r="I224" s="587"/>
      <c r="J224" s="587"/>
      <c r="K224" s="588"/>
    </row>
    <row r="225" spans="2:11" ht="15.75">
      <c r="B225" s="355"/>
      <c r="C225" s="581" t="s">
        <v>1022</v>
      </c>
      <c r="D225" s="355"/>
      <c r="E225" s="355"/>
      <c r="F225" s="376" t="s">
        <v>1023</v>
      </c>
      <c r="G225" s="376"/>
      <c r="H225" s="355"/>
      <c r="I225" s="355"/>
      <c r="J225" s="355"/>
      <c r="K225" s="355"/>
    </row>
    <row r="226" spans="2:11" ht="15.75">
      <c r="B226" s="355">
        <v>33</v>
      </c>
      <c r="C226" s="581" t="s">
        <v>1024</v>
      </c>
      <c r="D226" s="355"/>
      <c r="E226" s="376" t="s">
        <v>1025</v>
      </c>
      <c r="F226" s="355"/>
      <c r="G226" s="355"/>
      <c r="H226" s="355"/>
      <c r="I226" s="355"/>
      <c r="J226" s="355"/>
      <c r="K226" s="355"/>
    </row>
    <row r="227" spans="2:11" ht="15.75">
      <c r="B227" s="355">
        <v>34</v>
      </c>
      <c r="C227" s="581" t="s">
        <v>1026</v>
      </c>
      <c r="D227" s="355"/>
      <c r="E227" s="581" t="s">
        <v>1027</v>
      </c>
      <c r="F227" s="355" t="s">
        <v>1028</v>
      </c>
      <c r="G227" s="355"/>
      <c r="H227" s="355"/>
      <c r="I227" s="355"/>
      <c r="J227" s="355"/>
      <c r="K227" s="355"/>
    </row>
    <row r="228" spans="2:11" ht="15.75">
      <c r="B228" s="355"/>
      <c r="C228" s="581" t="s">
        <v>1029</v>
      </c>
      <c r="D228" s="355"/>
      <c r="E228" s="581" t="s">
        <v>1030</v>
      </c>
      <c r="F228" s="355" t="s">
        <v>1031</v>
      </c>
      <c r="G228" s="355"/>
      <c r="H228" s="355"/>
      <c r="I228" s="355"/>
      <c r="J228" s="355"/>
      <c r="K228" s="355"/>
    </row>
    <row r="229" spans="2:11" ht="15.75">
      <c r="B229" s="355">
        <v>35</v>
      </c>
      <c r="C229" s="355" t="s">
        <v>1032</v>
      </c>
      <c r="D229" s="376" t="s">
        <v>1033</v>
      </c>
      <c r="E229" s="355"/>
      <c r="F229" s="355"/>
      <c r="G229" s="355"/>
      <c r="H229" s="355"/>
      <c r="I229" s="355"/>
      <c r="J229" s="355"/>
      <c r="K229" s="355"/>
    </row>
    <row r="230" spans="2:11" ht="15.75">
      <c r="B230" s="355"/>
      <c r="C230" s="355"/>
      <c r="D230" s="581" t="s">
        <v>1034</v>
      </c>
      <c r="E230" s="355" t="s">
        <v>1035</v>
      </c>
      <c r="F230" s="355"/>
      <c r="G230" s="355"/>
      <c r="H230" s="355"/>
      <c r="I230" s="355"/>
      <c r="J230" s="355"/>
      <c r="K230" s="355"/>
    </row>
    <row r="231" spans="2:11" ht="15.75">
      <c r="B231" s="355">
        <v>36</v>
      </c>
      <c r="C231" s="376" t="s">
        <v>1036</v>
      </c>
      <c r="D231" s="355"/>
      <c r="E231" s="449">
        <v>1621487.736</v>
      </c>
      <c r="F231" s="449">
        <v>163680000</v>
      </c>
      <c r="G231" s="449"/>
      <c r="H231" s="355"/>
      <c r="I231" s="355"/>
      <c r="J231" s="355"/>
      <c r="K231" s="355"/>
    </row>
    <row r="232" spans="2:11" ht="15.75">
      <c r="B232" s="355">
        <v>37</v>
      </c>
      <c r="C232" s="376" t="s">
        <v>1037</v>
      </c>
      <c r="D232" s="376" t="s">
        <v>1038</v>
      </c>
      <c r="E232" s="449"/>
      <c r="F232" s="449">
        <v>43239672.960000001</v>
      </c>
      <c r="G232" s="449"/>
      <c r="H232" s="355"/>
      <c r="I232" s="355"/>
      <c r="J232" s="355"/>
      <c r="K232" s="355"/>
    </row>
    <row r="233" spans="2:11" ht="15.75">
      <c r="B233" s="355">
        <v>38</v>
      </c>
      <c r="C233" s="376" t="s">
        <v>1039</v>
      </c>
      <c r="D233" s="376" t="s">
        <v>1040</v>
      </c>
      <c r="E233" s="414"/>
      <c r="F233" s="414"/>
      <c r="G233" s="414"/>
      <c r="H233" s="355"/>
      <c r="I233" s="587"/>
      <c r="J233" s="587"/>
      <c r="K233" s="588"/>
    </row>
    <row r="234" spans="2:11" ht="15.75">
      <c r="B234" s="355">
        <v>39</v>
      </c>
      <c r="C234" s="376" t="s">
        <v>1041</v>
      </c>
      <c r="D234" s="355"/>
      <c r="E234" s="355"/>
      <c r="F234" s="414"/>
      <c r="G234" s="414"/>
      <c r="H234" s="355"/>
      <c r="I234" s="355"/>
      <c r="J234" s="355"/>
      <c r="K234" s="355"/>
    </row>
    <row r="235" spans="2:11" ht="15.75">
      <c r="B235" s="355">
        <v>40</v>
      </c>
      <c r="C235" s="376" t="s">
        <v>1042</v>
      </c>
      <c r="D235" s="355"/>
      <c r="E235" s="355"/>
      <c r="F235" s="355"/>
      <c r="G235" s="355"/>
      <c r="H235" s="355"/>
      <c r="I235" s="355"/>
      <c r="J235" s="355"/>
      <c r="K235" s="355"/>
    </row>
    <row r="236" spans="2:11" ht="15.75">
      <c r="B236" s="355">
        <v>41</v>
      </c>
      <c r="C236" s="376" t="s">
        <v>1043</v>
      </c>
      <c r="D236" s="355"/>
      <c r="E236" s="355"/>
      <c r="F236" s="355"/>
      <c r="G236" s="355"/>
      <c r="H236" s="355"/>
      <c r="I236" s="355"/>
      <c r="J236" s="355"/>
      <c r="K236" s="355"/>
    </row>
    <row r="237" spans="2:11" ht="15.75">
      <c r="B237" s="355">
        <v>42</v>
      </c>
      <c r="C237" s="376" t="s">
        <v>1044</v>
      </c>
      <c r="D237" s="376" t="s">
        <v>1045</v>
      </c>
      <c r="E237" s="355"/>
      <c r="F237" s="355"/>
      <c r="G237" s="355"/>
      <c r="H237" s="355"/>
      <c r="I237" s="355"/>
      <c r="J237" s="355"/>
      <c r="K237" s="355"/>
    </row>
    <row r="238" spans="2:11" ht="15.75">
      <c r="B238" s="355">
        <v>43</v>
      </c>
      <c r="C238" s="376" t="s">
        <v>1046</v>
      </c>
      <c r="D238" s="376" t="s">
        <v>1047</v>
      </c>
      <c r="E238" s="355"/>
      <c r="F238" s="355"/>
      <c r="G238" s="355"/>
      <c r="H238" s="355"/>
      <c r="I238" s="587"/>
      <c r="J238" s="587"/>
      <c r="K238" s="588"/>
    </row>
    <row r="239" spans="2:11" ht="15.75">
      <c r="B239" s="355">
        <v>44</v>
      </c>
      <c r="C239" s="376" t="s">
        <v>1048</v>
      </c>
      <c r="D239" s="589" t="s">
        <v>1049</v>
      </c>
      <c r="E239" s="355"/>
      <c r="F239" s="355"/>
      <c r="G239" s="355"/>
      <c r="H239" s="355"/>
      <c r="I239" s="590"/>
      <c r="J239" s="590"/>
      <c r="K239" s="589"/>
    </row>
    <row r="240" spans="2:11" ht="15.75">
      <c r="B240" s="355">
        <v>45</v>
      </c>
      <c r="C240" s="376" t="s">
        <v>1050</v>
      </c>
      <c r="D240" s="589"/>
      <c r="E240" s="376" t="s">
        <v>1051</v>
      </c>
      <c r="F240" s="355"/>
      <c r="G240" s="355"/>
      <c r="H240" s="414" t="s">
        <v>1052</v>
      </c>
      <c r="I240" s="590"/>
      <c r="J240" s="590"/>
      <c r="K240" s="589"/>
    </row>
    <row r="241" spans="2:11" ht="15.75">
      <c r="B241" s="355"/>
      <c r="C241" s="376"/>
      <c r="D241" s="589" t="s">
        <v>1053</v>
      </c>
      <c r="E241" s="376" t="s">
        <v>1054</v>
      </c>
      <c r="F241" s="355"/>
      <c r="G241" s="355"/>
      <c r="H241" s="355" t="s">
        <v>1055</v>
      </c>
      <c r="I241" s="590"/>
      <c r="J241" s="590"/>
      <c r="K241" s="589"/>
    </row>
    <row r="242" spans="2:11" ht="15.75">
      <c r="B242" s="355">
        <v>46</v>
      </c>
      <c r="C242" s="376" t="s">
        <v>1056</v>
      </c>
      <c r="D242" s="376" t="s">
        <v>1057</v>
      </c>
      <c r="E242" s="355"/>
      <c r="F242" s="355"/>
      <c r="G242" s="355"/>
      <c r="H242" s="355"/>
      <c r="I242" s="355"/>
      <c r="J242" s="355"/>
      <c r="K242" s="355"/>
    </row>
    <row r="243" spans="2:11" ht="15.75">
      <c r="B243" s="355">
        <v>47</v>
      </c>
      <c r="C243" s="376" t="s">
        <v>1058</v>
      </c>
      <c r="D243" s="376" t="s">
        <v>1059</v>
      </c>
      <c r="E243" s="376" t="s">
        <v>1060</v>
      </c>
      <c r="F243" s="355"/>
      <c r="G243" s="355"/>
      <c r="H243" s="355"/>
      <c r="I243" s="587"/>
      <c r="J243" s="587"/>
      <c r="K243" s="588"/>
    </row>
    <row r="244" spans="2:11" ht="15.75">
      <c r="B244" s="355">
        <v>48</v>
      </c>
      <c r="C244" s="376" t="s">
        <v>1061</v>
      </c>
      <c r="D244" s="355" t="s">
        <v>1062</v>
      </c>
      <c r="E244" s="355"/>
      <c r="F244" s="355"/>
      <c r="G244" s="355"/>
      <c r="H244" s="355"/>
      <c r="I244" s="355"/>
      <c r="J244" s="355"/>
      <c r="K244" s="355"/>
    </row>
    <row r="245" spans="2:11" ht="15.75">
      <c r="B245" s="355">
        <v>49</v>
      </c>
      <c r="C245" s="376" t="s">
        <v>1063</v>
      </c>
      <c r="D245" s="355" t="s">
        <v>1064</v>
      </c>
      <c r="E245" s="355"/>
      <c r="F245" s="355"/>
      <c r="G245" s="355"/>
      <c r="H245" s="355"/>
      <c r="I245" s="355"/>
      <c r="J245" s="355"/>
      <c r="K245" s="355"/>
    </row>
    <row r="246" spans="2:11" ht="15.75">
      <c r="B246" s="355">
        <v>50</v>
      </c>
      <c r="C246" s="376" t="s">
        <v>1065</v>
      </c>
      <c r="D246" s="355"/>
      <c r="E246" s="355"/>
      <c r="F246" s="355"/>
      <c r="G246" s="355"/>
      <c r="H246" s="355"/>
      <c r="I246" s="355"/>
      <c r="J246" s="355"/>
      <c r="K246" s="355"/>
    </row>
    <row r="247" spans="2:11" ht="15.75">
      <c r="B247" s="355">
        <v>51</v>
      </c>
      <c r="C247" s="376" t="s">
        <v>1066</v>
      </c>
      <c r="D247" s="376" t="s">
        <v>1067</v>
      </c>
      <c r="E247" s="376" t="s">
        <v>1068</v>
      </c>
      <c r="F247" s="355"/>
      <c r="G247" s="355"/>
      <c r="H247" s="355"/>
      <c r="I247" s="587"/>
      <c r="J247" s="587"/>
      <c r="K247" s="588"/>
    </row>
    <row r="248" spans="2:11" ht="15.75">
      <c r="B248" s="355">
        <v>52</v>
      </c>
      <c r="C248" s="588" t="s">
        <v>596</v>
      </c>
      <c r="D248" s="376" t="s">
        <v>1069</v>
      </c>
      <c r="E248" s="376" t="s">
        <v>1070</v>
      </c>
      <c r="F248" s="355" t="s">
        <v>1071</v>
      </c>
      <c r="G248" s="355"/>
      <c r="H248" s="355"/>
      <c r="I248" s="587" t="s">
        <v>1072</v>
      </c>
      <c r="J248" s="587"/>
      <c r="K248" s="355"/>
    </row>
    <row r="249" spans="2:11" ht="15.75">
      <c r="B249" s="355">
        <v>53</v>
      </c>
      <c r="C249" s="376" t="s">
        <v>1073</v>
      </c>
      <c r="D249" s="376" t="s">
        <v>1074</v>
      </c>
      <c r="E249" s="355"/>
      <c r="F249" s="355" t="s">
        <v>1075</v>
      </c>
      <c r="G249" s="355"/>
      <c r="H249" s="355"/>
      <c r="I249" s="355"/>
      <c r="J249" s="355"/>
      <c r="K249" s="355"/>
    </row>
    <row r="250" spans="2:11" ht="15.75">
      <c r="B250" s="355">
        <v>54</v>
      </c>
      <c r="C250" s="376" t="s">
        <v>1076</v>
      </c>
      <c r="D250" s="355"/>
      <c r="E250" s="355"/>
      <c r="F250" s="355"/>
      <c r="G250" s="355"/>
      <c r="H250" s="355"/>
      <c r="I250" s="355"/>
      <c r="J250" s="355"/>
      <c r="K250" s="355"/>
    </row>
    <row r="251" spans="2:11" ht="15.75">
      <c r="B251" s="355">
        <v>55</v>
      </c>
      <c r="C251" s="376" t="s">
        <v>1077</v>
      </c>
      <c r="D251" s="355"/>
      <c r="E251" s="355"/>
      <c r="F251" s="355"/>
      <c r="G251" s="355"/>
      <c r="H251" s="355"/>
      <c r="I251" s="355"/>
      <c r="J251" s="355"/>
      <c r="K251" s="355"/>
    </row>
    <row r="252" spans="2:11" ht="15.75">
      <c r="B252" s="355">
        <v>56</v>
      </c>
      <c r="C252" s="376" t="s">
        <v>1078</v>
      </c>
      <c r="D252" s="355"/>
      <c r="E252" s="355"/>
      <c r="F252" s="355"/>
      <c r="G252" s="355"/>
      <c r="H252" s="355"/>
      <c r="I252" s="355"/>
      <c r="J252" s="355"/>
      <c r="K252" s="355"/>
    </row>
    <row r="253" spans="2:11" ht="15.75">
      <c r="B253" s="355">
        <v>57</v>
      </c>
      <c r="C253" s="376" t="s">
        <v>1079</v>
      </c>
      <c r="D253" s="376"/>
      <c r="E253" s="355"/>
      <c r="F253" s="355"/>
      <c r="G253" s="355"/>
      <c r="H253" s="355"/>
      <c r="I253" s="587"/>
      <c r="J253" s="587"/>
      <c r="K253" s="588"/>
    </row>
    <row r="254" spans="2:11" ht="15.75">
      <c r="B254" s="355"/>
      <c r="C254" s="376"/>
      <c r="D254" s="376"/>
      <c r="E254" s="355"/>
      <c r="F254" s="355"/>
      <c r="G254" s="355"/>
      <c r="H254" s="355"/>
      <c r="I254" s="587"/>
      <c r="J254" s="587"/>
      <c r="K254" s="588"/>
    </row>
    <row r="256" spans="2:11" ht="15.75">
      <c r="B256" s="355"/>
      <c r="C256" s="580" t="s">
        <v>1080</v>
      </c>
      <c r="D256" s="355"/>
      <c r="E256" s="355"/>
      <c r="F256" s="355"/>
      <c r="G256" s="355"/>
      <c r="H256" s="355"/>
      <c r="I256" s="355"/>
      <c r="J256" s="355"/>
      <c r="K256" s="355"/>
    </row>
    <row r="257" spans="2:11" ht="15.75">
      <c r="B257" s="355">
        <v>58</v>
      </c>
      <c r="C257" s="376" t="s">
        <v>1081</v>
      </c>
      <c r="D257" s="376" t="s">
        <v>1082</v>
      </c>
      <c r="E257" s="355"/>
      <c r="F257" s="355"/>
      <c r="G257" s="355"/>
      <c r="H257" s="355"/>
      <c r="I257" s="587"/>
      <c r="J257" s="587"/>
      <c r="K257" s="588"/>
    </row>
    <row r="258" spans="2:11" ht="15.75">
      <c r="B258" s="355">
        <v>59</v>
      </c>
      <c r="C258" s="376" t="s">
        <v>1083</v>
      </c>
      <c r="D258" s="355"/>
      <c r="E258" s="355"/>
      <c r="F258" s="355"/>
      <c r="G258" s="355"/>
      <c r="H258" s="355"/>
      <c r="I258" s="355"/>
      <c r="J258" s="355"/>
      <c r="K258" s="355"/>
    </row>
    <row r="259" spans="2:11" ht="15.75">
      <c r="B259" s="355">
        <v>60</v>
      </c>
      <c r="C259" s="376" t="s">
        <v>1084</v>
      </c>
      <c r="D259" s="589" t="s">
        <v>1085</v>
      </c>
      <c r="E259" s="355"/>
      <c r="F259" s="355"/>
      <c r="G259" s="355"/>
      <c r="H259" s="355"/>
      <c r="I259" s="590"/>
      <c r="J259" s="590"/>
      <c r="K259" s="589"/>
    </row>
    <row r="260" spans="2:11" ht="15.75">
      <c r="B260" s="355">
        <v>61</v>
      </c>
      <c r="C260" s="376" t="s">
        <v>1086</v>
      </c>
      <c r="D260" s="355"/>
      <c r="E260" s="355"/>
      <c r="F260" s="355"/>
      <c r="G260" s="355"/>
      <c r="H260" s="355"/>
      <c r="I260" s="355"/>
      <c r="J260" s="355"/>
      <c r="K260" s="355"/>
    </row>
    <row r="261" spans="2:11" ht="15.75">
      <c r="B261" s="355">
        <v>62</v>
      </c>
      <c r="C261" s="376" t="s">
        <v>1087</v>
      </c>
      <c r="D261" s="376" t="s">
        <v>1088</v>
      </c>
      <c r="E261" s="355"/>
      <c r="F261" s="591" t="s">
        <v>1089</v>
      </c>
      <c r="G261" s="591"/>
      <c r="H261" s="591"/>
      <c r="I261" s="591"/>
      <c r="J261" s="591"/>
      <c r="K261" s="591"/>
    </row>
    <row r="262" spans="2:11" ht="15.75">
      <c r="B262" s="355">
        <v>63</v>
      </c>
      <c r="C262" s="376" t="s">
        <v>1090</v>
      </c>
      <c r="D262" s="376" t="s">
        <v>1091</v>
      </c>
      <c r="E262" s="355"/>
      <c r="F262" s="591"/>
      <c r="G262" s="591"/>
      <c r="H262" s="591"/>
      <c r="I262" s="591"/>
      <c r="J262" s="591"/>
      <c r="K262" s="591"/>
    </row>
    <row r="263" spans="2:11" ht="15.75">
      <c r="B263" s="355">
        <v>64</v>
      </c>
      <c r="C263" s="376" t="s">
        <v>1092</v>
      </c>
      <c r="D263" s="355"/>
      <c r="E263" s="355"/>
      <c r="F263" s="355"/>
      <c r="G263" s="355"/>
      <c r="H263" s="355"/>
      <c r="I263" s="355"/>
      <c r="J263" s="355"/>
      <c r="K263" s="355"/>
    </row>
    <row r="264" spans="2:11" ht="15.75">
      <c r="B264" s="355">
        <v>65</v>
      </c>
      <c r="C264" s="376" t="s">
        <v>1093</v>
      </c>
      <c r="D264" s="355" t="s">
        <v>1094</v>
      </c>
      <c r="E264" s="355"/>
      <c r="F264" s="355"/>
      <c r="G264" s="355"/>
      <c r="H264" s="355"/>
      <c r="I264" s="355"/>
      <c r="J264" s="355"/>
      <c r="K264" s="355"/>
    </row>
    <row r="265" spans="2:11" ht="15.75">
      <c r="B265" s="355"/>
      <c r="C265" s="376" t="s">
        <v>1095</v>
      </c>
      <c r="D265" s="355"/>
      <c r="E265" s="355"/>
      <c r="F265" s="355"/>
      <c r="G265" s="355"/>
      <c r="H265" s="355"/>
      <c r="I265" s="355"/>
      <c r="J265" s="355"/>
      <c r="K265" s="355"/>
    </row>
    <row r="269" spans="2:11" ht="15.75">
      <c r="B269" s="355"/>
      <c r="C269" s="355" t="s">
        <v>1096</v>
      </c>
      <c r="D269" s="355"/>
      <c r="E269" s="355"/>
      <c r="F269" s="355"/>
      <c r="G269" s="355"/>
      <c r="H269" s="355"/>
      <c r="I269" s="355"/>
      <c r="J269" s="355"/>
      <c r="K269" s="355"/>
    </row>
    <row r="270" spans="2:11" ht="15.75">
      <c r="B270" s="355"/>
      <c r="C270" s="376" t="s">
        <v>1097</v>
      </c>
      <c r="D270" s="355"/>
      <c r="E270" s="355"/>
      <c r="F270" s="355"/>
      <c r="G270" s="355"/>
      <c r="H270" s="355"/>
      <c r="I270" s="355"/>
      <c r="J270" s="355"/>
      <c r="K270" s="355"/>
    </row>
    <row r="271" spans="2:11" ht="15.75">
      <c r="B271" s="355"/>
      <c r="C271" s="376" t="s">
        <v>1098</v>
      </c>
      <c r="D271" s="355"/>
      <c r="E271" s="355"/>
      <c r="F271" s="355"/>
      <c r="G271" s="355"/>
      <c r="H271" s="355"/>
      <c r="I271" s="355"/>
      <c r="J271" s="355"/>
      <c r="K271" s="355"/>
    </row>
    <row r="272" spans="2:11" ht="15.75">
      <c r="B272" s="355"/>
      <c r="C272" s="376" t="s">
        <v>1099</v>
      </c>
      <c r="D272" s="355"/>
      <c r="E272" s="355"/>
      <c r="F272" s="355"/>
      <c r="G272" s="355"/>
      <c r="H272" s="355"/>
      <c r="I272" s="355"/>
      <c r="J272" s="355"/>
      <c r="K272" s="355"/>
    </row>
    <row r="273" spans="3:13" ht="15.75">
      <c r="C273" s="376" t="s">
        <v>1100</v>
      </c>
      <c r="D273" s="355"/>
      <c r="E273" s="355"/>
      <c r="F273" s="355"/>
      <c r="G273" s="355"/>
      <c r="H273" s="355"/>
      <c r="I273" s="355"/>
      <c r="J273" s="355"/>
      <c r="K273" s="355"/>
      <c r="L273" s="355"/>
      <c r="M273" s="355"/>
    </row>
    <row r="276" spans="3:13" ht="15.75">
      <c r="C276" s="355" t="s">
        <v>1101</v>
      </c>
      <c r="D276" s="355"/>
      <c r="E276" s="355"/>
      <c r="F276" s="355"/>
      <c r="G276" s="355"/>
      <c r="H276" s="355"/>
      <c r="I276" s="355"/>
      <c r="J276" s="355"/>
      <c r="K276" s="355"/>
      <c r="L276" s="355"/>
      <c r="M276" s="355"/>
    </row>
    <row r="277" spans="3:13" ht="15.75">
      <c r="C277" s="376" t="s">
        <v>1102</v>
      </c>
      <c r="D277" s="355"/>
      <c r="E277" s="355"/>
      <c r="F277" s="355"/>
      <c r="G277" s="355"/>
      <c r="H277" s="355"/>
      <c r="I277" s="355"/>
      <c r="J277" s="355"/>
      <c r="K277" s="355"/>
      <c r="L277" s="355"/>
      <c r="M277" s="355"/>
    </row>
    <row r="278" spans="3:13" ht="15.75">
      <c r="C278" s="581" t="s">
        <v>1103</v>
      </c>
      <c r="D278" s="355"/>
      <c r="E278" s="355"/>
      <c r="F278" s="355"/>
      <c r="G278" s="355"/>
      <c r="H278" s="355"/>
      <c r="I278" s="355"/>
      <c r="J278" s="355"/>
      <c r="K278" s="355"/>
      <c r="L278" s="355"/>
      <c r="M278" s="355"/>
    </row>
    <row r="279" spans="3:13" ht="15.75">
      <c r="C279" s="582" t="s">
        <v>1104</v>
      </c>
      <c r="D279" s="355"/>
      <c r="E279" s="355"/>
      <c r="F279" s="355"/>
      <c r="G279" s="355"/>
      <c r="H279" s="355"/>
      <c r="I279" s="355"/>
      <c r="J279" s="355"/>
      <c r="K279" s="355"/>
      <c r="L279" s="355"/>
      <c r="M279" s="355"/>
    </row>
    <row r="280" spans="3:13" ht="15.75">
      <c r="C280" s="581" t="s">
        <v>1105</v>
      </c>
      <c r="D280" s="355"/>
      <c r="E280" s="355"/>
      <c r="F280" s="355"/>
      <c r="G280" s="355"/>
      <c r="H280" s="355"/>
      <c r="I280" s="355"/>
      <c r="J280" s="355"/>
      <c r="K280" s="355"/>
      <c r="L280" s="355"/>
      <c r="M280" s="355"/>
    </row>
    <row r="281" spans="3:13" ht="15.75">
      <c r="C281" s="355"/>
      <c r="D281" s="355"/>
      <c r="E281" s="355">
        <v>2017</v>
      </c>
      <c r="F281" s="355">
        <v>2018</v>
      </c>
      <c r="G281" s="355"/>
      <c r="H281" s="355">
        <v>2019</v>
      </c>
      <c r="I281" s="355"/>
      <c r="J281" s="355"/>
      <c r="K281" s="355"/>
      <c r="L281" s="355">
        <v>2021</v>
      </c>
      <c r="M281" s="355">
        <v>2022</v>
      </c>
    </row>
    <row r="282" spans="3:13" ht="15.75">
      <c r="C282" s="355"/>
      <c r="D282" s="376" t="s">
        <v>1106</v>
      </c>
      <c r="E282" s="382">
        <v>0.05</v>
      </c>
      <c r="F282" s="382">
        <v>0.06</v>
      </c>
      <c r="G282" s="382"/>
      <c r="H282" s="382">
        <v>7.0000000000000007E-2</v>
      </c>
      <c r="I282" s="587"/>
      <c r="J282" s="587"/>
      <c r="K282" s="588"/>
      <c r="L282" s="592">
        <v>9.5000000000000001E-2</v>
      </c>
      <c r="M282" s="382">
        <v>0.1</v>
      </c>
    </row>
    <row r="283" spans="3:13" ht="15.75">
      <c r="C283" s="376" t="s">
        <v>1107</v>
      </c>
      <c r="D283" s="355"/>
      <c r="E283" s="355"/>
      <c r="F283" s="355"/>
      <c r="G283" s="355"/>
      <c r="H283" s="355"/>
      <c r="I283" s="355"/>
      <c r="J283" s="355"/>
      <c r="K283" s="355"/>
      <c r="L283" s="355"/>
      <c r="M283" s="355"/>
    </row>
    <row r="306" spans="3:3" ht="15">
      <c r="C306" s="593" t="s">
        <v>1108</v>
      </c>
    </row>
    <row r="307" spans="3:3" ht="15">
      <c r="C307" s="594" t="s">
        <v>1109</v>
      </c>
    </row>
    <row r="308" spans="3:3" ht="15">
      <c r="C308" s="594" t="s">
        <v>1110</v>
      </c>
    </row>
    <row r="309" spans="3:3" ht="15">
      <c r="C309" s="594" t="s">
        <v>1111</v>
      </c>
    </row>
  </sheetData>
  <mergeCells count="43">
    <mergeCell ref="F261:K262"/>
    <mergeCell ref="H100:H101"/>
    <mergeCell ref="I100:I101"/>
    <mergeCell ref="C149:D150"/>
    <mergeCell ref="B151:B152"/>
    <mergeCell ref="C151:C152"/>
    <mergeCell ref="D151:D152"/>
    <mergeCell ref="E151:E152"/>
    <mergeCell ref="F151:F152"/>
    <mergeCell ref="H151:H152"/>
    <mergeCell ref="I151:I152"/>
    <mergeCell ref="C98:D99"/>
    <mergeCell ref="B100:B101"/>
    <mergeCell ref="C100:C101"/>
    <mergeCell ref="D100:D101"/>
    <mergeCell ref="E100:E101"/>
    <mergeCell ref="F100:F101"/>
    <mergeCell ref="I30:I31"/>
    <mergeCell ref="C45:D46"/>
    <mergeCell ref="B47:B48"/>
    <mergeCell ref="C47:C48"/>
    <mergeCell ref="D47:D48"/>
    <mergeCell ref="E47:E48"/>
    <mergeCell ref="F47:F48"/>
    <mergeCell ref="G47:G48"/>
    <mergeCell ref="H47:H48"/>
    <mergeCell ref="I47:I48"/>
    <mergeCell ref="G6:G7"/>
    <mergeCell ref="H6:H7"/>
    <mergeCell ref="I6:I7"/>
    <mergeCell ref="C28:D29"/>
    <mergeCell ref="B30:B31"/>
    <mergeCell ref="C30:C31"/>
    <mergeCell ref="D30:D31"/>
    <mergeCell ref="E30:E31"/>
    <mergeCell ref="F30:F31"/>
    <mergeCell ref="H30:H31"/>
    <mergeCell ref="C4:D5"/>
    <mergeCell ref="B6:B7"/>
    <mergeCell ref="C6:C7"/>
    <mergeCell ref="D6:D7"/>
    <mergeCell ref="E6:E7"/>
    <mergeCell ref="F6:F7"/>
  </mergeCells>
  <hyperlinks>
    <hyperlink ref="C273" r:id="rId1" xr:uid="{28D426CE-6060-4FBE-9370-8DD84B8BB4C5}"/>
    <hyperlink ref="C272" r:id="rId2" display="https://www.cowi.com/about/news-and-press/preem-takes-next-step-towards-supplying-green-fuel" xr:uid="{9A90439A-7D0F-4B30-A870-685185494993}"/>
    <hyperlink ref="C222" r:id="rId3" display="https://biorrefineria.blogspot.com/2019/05/repsol-intends-to-build-plant-to-produce-2G-biofuels-in-its-cartagena-complex.html" xr:uid="{A02DD20B-D16F-40CF-A8EE-216D9DA9C01A}"/>
    <hyperlink ref="C220" r:id="rId4" display="https://biorrefineria.blogspot.com/2019/05/klm-skynrg-and-shv-to-build-first-european-dedicated-biorefinery-for-sustainable-aviation-fuel-HVO-biojet.html" xr:uid="{44A0F274-4AD3-4E80-AD0E-F1D5654642D2}"/>
    <hyperlink ref="C218" r:id="rId5" display="https://biorrefineria.blogspot.com/2019/02/ecb-group-will-build-renewable-diesel-biorefinery-in-paraguay-HVO-honeywell-UOP-ecofining.html" xr:uid="{E78887B0-BD00-46CD-B35F-1DB213716CBA}"/>
    <hyperlink ref="C217" r:id="rId6" display="https://biorrefineria.blogspot.com/2019/09/st1-to-build-biorefinery-to-produce-renewable-diesel-and-jet-fuel-in-sweden-HVO-biojet.html" xr:uid="{7A0F0840-2AEE-49A7-8031-80C1FC5D2F74}"/>
    <hyperlink ref="C210" r:id="rId7" display="https://biorrefineria.blogspot.com/2018/09/andeavor-to-transform-dickinson-refinery-into-a-renewable-diesel-biorefinery.html" xr:uid="{2E106245-88C8-44BC-8ECB-FF214B190319}"/>
    <hyperlink ref="C208" r:id="rId8" display="https://biorrefineria.blogspot.com/2019/04/extract-lur-will-retrofit-former-biodiesel-plant-to-produce-renewable-diesel-in-Spain-HVO-Caparroso-Navarre-Oleofat.html" xr:uid="{E8D8FC59-F4CE-4853-B9D5-15EE22C6B131}"/>
    <hyperlink ref="C189" r:id="rId9" display="https://bioenergyinternational.com/app/uploads/2018/09/1.Petter_Holland.pdf" xr:uid="{6393EF70-A264-4CC3-903D-FEE16D973503}"/>
    <hyperlink ref="C182" r:id="rId10" display="https://www.galp.com/corp/en/about-us/our-businesses/refining-and-marketing/biofuels" xr:uid="{C926D2EB-DA52-445D-8C8C-F6BEBEDD69D1}"/>
    <hyperlink ref="C183" r:id="rId11" display="12 China Sinopec only Referenc I've found so far" xr:uid="{6F02713E-C482-4D48-BEC9-B0B0805E2EB9}"/>
    <hyperlink ref="C180" r:id="rId12" display="https://biorrefineria.blogspot.com/2019/06/total-ready-to-start-up-its-hvo-biorefinery-in-la-mede.html" xr:uid="{45A11CDC-F735-41B4-A321-A25132B7084E}"/>
    <hyperlink ref="C179" r:id="rId13" display="http://www.worldenergy.net/insights/world-energy-announces-purchase-of-southern-california-assets-from-delek/" xr:uid="{E98297BB-2E1F-4C54-8818-D35F10596CDC}"/>
    <hyperlink ref="C178" r:id="rId14" display="http://biorrefineria.blogspot.com/2016/03/AltAir-Fuels-Honeywell-UOP-biorefinery-California-HVO.html" xr:uid="{AAFAEAF5-65CE-408F-B99E-CEE783A22CDE}"/>
    <hyperlink ref="C177" r:id="rId15" display="8 UPM Lappeenranta Biorefinery. BioRefineries Blog. 26/2/2015." xr:uid="{19B602A5-01E9-4CE5-AA19-E68F2F9DF94A}"/>
    <hyperlink ref="C176" r:id="rId16" display="http://www.upmbiofuels.com/upm-biofuels/biorefinery/Pages/Default.aspx" xr:uid="{191EBB84-EEF1-4CD2-A35E-27A448A9074D}"/>
    <hyperlink ref="C175" r:id="rId17" display="6 Venice Biorefinery. BioRefineries Blog. 31/8/2015." xr:uid="{5511E871-739A-4158-9BB7-10B4E4D0B6F1}"/>
    <hyperlink ref="C174" r:id="rId18" display="https://biorrefineria.blogspot.com/2017/03/diamond-green-diesel-to-expand-hvo-capacity-Norco-biorefinery-Honeywell-UOP-ecofining.html" xr:uid="{C05F41D6-70F5-432B-8B83-1CEE8CCE0383}"/>
    <hyperlink ref="C173" r:id="rId19" display="https://regi.com/about-reg/locations/biorefineries/production-mode/reg-geismar-llc" xr:uid="{F8F56198-4AD1-46EA-A44E-6AF7CD9634AE}"/>
    <hyperlink ref="C172" r:id="rId20" xr:uid="{AF58B81C-EF67-4EF8-8F51-F7CC0B32C9A4}"/>
    <hyperlink ref="C171" r:id="rId21" display="https://biorrefineria.blogspot.com/2015/08/rotterdam-biorefinery-neste-oil.html" xr:uid="{4179A901-92BC-4AC0-BC40-011E8DD2E9D7}"/>
    <hyperlink ref="C170" r:id="rId22" display="https://www.neste.us/about-neste/who-we-are/production-0" xr:uid="{E96A6826-1704-48CF-A4F4-71F6724151F7}"/>
    <hyperlink ref="C181" r:id="rId23" display="11a. Total La Mede Capacity per Total." xr:uid="{EF276CA1-C6F9-417A-825C-9F2B0FAAA0DD}"/>
    <hyperlink ref="C190" r:id="rId24" xr:uid="{07A5F689-E928-4746-B128-1088A0B011F3}"/>
    <hyperlink ref="C197" r:id="rId25" display="14b. Preem Expansion" xr:uid="{4082C95B-1AAE-41F2-8E5B-6B7A088A3CCB}"/>
    <hyperlink ref="C198" r:id="rId26" display="Also Preem Expansion" xr:uid="{70BFE277-4A50-4C06-8F2B-1FDBEB81D23E}"/>
    <hyperlink ref="C270" r:id="rId27" display="https://www.greenea.com/publication/is-hvo-the-holy-grail-of-the-world-biodiesel-market/" xr:uid="{B578E773-A3D6-4C26-844C-D78131CE5905}"/>
    <hyperlink ref="C271" r:id="rId28" display="https://www.greenea.com/publication/new-players-join-the-hvo-game/" xr:uid="{AD6F127B-0A4C-4443-AF7F-D4AD0FBEAFEC}"/>
    <hyperlink ref="C191" r:id="rId29" display="15. Cepsa - Spain Capacity" xr:uid="{F40920D7-A9B8-4E8F-96AE-02648FBA23C1}"/>
    <hyperlink ref="C194" r:id="rId30" display="16. Repsol - Spain Capacity Page 20" xr:uid="{249C7FCF-723B-4092-973C-48B5A017763F}"/>
    <hyperlink ref="C192" r:id="rId31" display="15.A Source #2" xr:uid="{CFA421C9-5528-4F45-92E5-42100C0792AA}"/>
    <hyperlink ref="C196" r:id="rId32" display="17. Preem Gothensburg Capacity Page 20" xr:uid="{E3202A15-8FA5-452C-B799-6A1BF6149235}"/>
    <hyperlink ref="C199" r:id="rId33" xr:uid="{596BA997-951B-47B5-B4F2-430D381A588E}"/>
    <hyperlink ref="C200" r:id="rId34" xr:uid="{2F849F22-7805-4400-8EC8-AEBDD7ED6E31}"/>
    <hyperlink ref="D229" r:id="rId35" xr:uid="{FCCB7F26-F79B-461E-BAA5-3341CBED9038}"/>
    <hyperlink ref="D230" r:id="rId36" xr:uid="{1437AE99-DDC3-497E-9935-267C1EC74502}"/>
    <hyperlink ref="C206" r:id="rId37" xr:uid="{1D2B4265-AA4B-455F-8923-75895EF335D4}"/>
    <hyperlink ref="C207" r:id="rId38" xr:uid="{CD051CF1-CB28-4BC2-8277-7DCD3E3146D0}"/>
    <hyperlink ref="C209" r:id="rId39" xr:uid="{B45DAF15-6DD9-45F6-BDA0-5369B9F7E29A}"/>
    <hyperlink ref="C211" r:id="rId40" xr:uid="{80CAE15E-3099-4EDB-9B59-97D07ACFC879}"/>
    <hyperlink ref="C212" r:id="rId41" xr:uid="{A75958A7-8E64-4519-9786-7D2898D51B50}"/>
    <hyperlink ref="C213" r:id="rId42" xr:uid="{1C43E41D-E80D-4C0A-BDE6-0F5050B3FBB6}"/>
    <hyperlink ref="C214" r:id="rId43" xr:uid="{D9B82675-D2C9-4D32-9EC5-0A3ACC70F087}"/>
    <hyperlink ref="C215" r:id="rId44" xr:uid="{80DF14AC-2DF6-4812-A50C-5F16D16EFE9A}"/>
    <hyperlink ref="C216" r:id="rId45" xr:uid="{A9777D45-54E5-4DE0-821C-E0B31B2F617A}"/>
    <hyperlink ref="C219" r:id="rId46" xr:uid="{D6FA81D6-AD42-4C86-8EE4-9D81A17768B6}"/>
    <hyperlink ref="C221" r:id="rId47" xr:uid="{D714075A-A039-483F-80C0-B7C015D7D4A7}"/>
    <hyperlink ref="C223" r:id="rId48" xr:uid="{A16B7BC1-EE23-49C4-AA10-D611B82CA3C6}"/>
    <hyperlink ref="D223" r:id="rId49" xr:uid="{2979DD12-E36A-4B2D-B8F0-299756A98CF3}"/>
    <hyperlink ref="C224" r:id="rId50" display="Colabitiol Sweden Facility" xr:uid="{5A78B6D7-482D-40A1-9EF0-936E1198CB76}"/>
    <hyperlink ref="D224" r:id="rId51" xr:uid="{B8AC19BA-A5B7-440B-82A7-975044DF0B8B}"/>
    <hyperlink ref="C225" r:id="rId52" display="Colabitoil Press Release Germancy Planned Facility" xr:uid="{747CFFC0-54C4-4878-BE78-A6E9460A18D1}"/>
    <hyperlink ref="C226" r:id="rId53" xr:uid="{446AF895-513C-46A0-8242-AF448C87BC81}"/>
    <hyperlink ref="E226" r:id="rId54" xr:uid="{E3B0BF1D-E294-4F6B-BB1E-48D38FB19362}"/>
    <hyperlink ref="C227" r:id="rId55" xr:uid="{4D9AAB76-0100-4CD7-B98A-3AD4D4470B4C}"/>
    <hyperlink ref="E227" r:id="rId56" xr:uid="{A227DF79-98DA-4C0B-828F-33F268079876}"/>
    <hyperlink ref="C231" r:id="rId57" xr:uid="{17376999-A507-4D5C-B5B2-5939FDC227F5}"/>
    <hyperlink ref="C232" r:id="rId58" xr:uid="{331655B5-E339-4421-9154-3E297905B464}"/>
    <hyperlink ref="C233" r:id="rId59" xr:uid="{861315B7-99DE-47DE-B6AA-8916E3877990}"/>
    <hyperlink ref="D233" r:id="rId60" xr:uid="{54EE1501-5CCC-4570-91D7-75EF9B5D79A5}"/>
    <hyperlink ref="C234" r:id="rId61" display="HollyFrontier - Artesia, NM Press Release" xr:uid="{1BEBAEB3-4E74-4C7F-A56C-3A501432D8C7}"/>
    <hyperlink ref="C235" r:id="rId62" xr:uid="{CCB7108A-F1CC-456D-A85D-8FC39E17DE4C}"/>
    <hyperlink ref="C236" r:id="rId63" xr:uid="{65A262BA-F3B2-4A83-BCE3-2BDA63A13DA1}"/>
    <hyperlink ref="C237" r:id="rId64" xr:uid="{B654BA9C-7726-4D5E-BE0D-D748FC92C291}"/>
    <hyperlink ref="C238" r:id="rId65" xr:uid="{3A767F71-B773-4668-BBA2-92B2A06DF98B}"/>
    <hyperlink ref="C239" r:id="rId66" xr:uid="{7856342C-B7D8-461D-B0DA-E32BA21B127A}"/>
    <hyperlink ref="D239" r:id="rId67" xr:uid="{31ED2EF5-F0B6-4F5C-B8D8-DEEC5AD25B3B}"/>
    <hyperlink ref="C242" r:id="rId68" xr:uid="{29D8415A-5749-4913-8DAD-8D95CB09337F}"/>
    <hyperlink ref="C243" r:id="rId69" xr:uid="{F56052B8-668E-43BE-808C-6EF9834759A8}"/>
    <hyperlink ref="D243" r:id="rId70" xr:uid="{ABBBA1D5-D144-4C3B-BBD2-A2B1F1C8F920}"/>
    <hyperlink ref="C257" r:id="rId71" xr:uid="{23BE8AD5-2EF2-4B34-80AD-7ECF9160D805}"/>
    <hyperlink ref="D257" r:id="rId72" xr:uid="{7238F94E-2DEE-40BB-9E3D-8A5FAB6DCDD2}"/>
    <hyperlink ref="C258" r:id="rId73" xr:uid="{850C012F-2423-40C5-B7C4-5C014750137B}"/>
    <hyperlink ref="C259" r:id="rId74" display="Diamond Green #2 to 675 mmgy" xr:uid="{7EB5CE05-3B8D-4B1B-A213-5334EA076858}"/>
    <hyperlink ref="D259" r:id="rId75" xr:uid="{EE80BC32-7121-4786-AC3B-D519DFD69C39}"/>
    <hyperlink ref="C260" r:id="rId76" xr:uid="{8D784E2F-8DAC-433A-8556-650196317D15}"/>
    <hyperlink ref="C261" r:id="rId77" xr:uid="{6F0ECAB1-2F20-4DF4-93EC-05D91809D15F}"/>
    <hyperlink ref="D261" r:id="rId78" xr:uid="{D2B951DB-9300-45BC-809F-4BF5BD9F84AF}"/>
    <hyperlink ref="D262" r:id="rId79" xr:uid="{EEC13D71-2BC2-4F56-9C5F-B0A5AB0EC0D8}"/>
    <hyperlink ref="C203" r:id="rId80" xr:uid="{4F11921E-0904-450F-87AD-DEFB5B40BA45}"/>
    <hyperlink ref="C277" r:id="rId81" xr:uid="{F79B0557-A209-4D94-9EB4-8A679AB516F9}"/>
    <hyperlink ref="C278" r:id="rId82" display="Spain HVO Consumption can be found here" xr:uid="{958B8612-4658-4563-8A5E-FDEB3C4756DC}"/>
    <hyperlink ref="D282" r:id="rId83" xr:uid="{D58EAC0F-3BF9-4B13-B89F-DC3655B84739}"/>
    <hyperlink ref="C283" r:id="rId84" display="Spaing Alternative Fuel Consumption (HVO) &amp; Feedstocks" xr:uid="{D234C8A4-C09E-494F-8740-D0BEE777E12D}"/>
    <hyperlink ref="C195" r:id="rId85" display="Repso - Capacity much higher here 380K MT per year" xr:uid="{800E299C-4001-4C11-AB01-F725F5BD8EFD}"/>
    <hyperlink ref="C193" r:id="rId86" xr:uid="{C74CACBA-C987-4D20-9B85-AD1FDBBDF381}"/>
    <hyperlink ref="C166" r:id="rId87" xr:uid="{ADB596AF-E1F8-4805-AB2B-70CC00F7EA7E}"/>
    <hyperlink ref="C280" r:id="rId88" xr:uid="{4A9AD860-6602-4F37-92C8-18AB32A2A7D7}"/>
    <hyperlink ref="C244" r:id="rId89" xr:uid="{607E52CD-F199-417A-9F4D-9264B978F9C8}"/>
    <hyperlink ref="E177" r:id="rId90" xr:uid="{41F25677-47A9-4074-8E70-5264C960AD10}"/>
    <hyperlink ref="C245" r:id="rId91" xr:uid="{DD0449E4-9A86-488D-8E72-EBCE2BDB0EF8}"/>
    <hyperlink ref="C246" r:id="rId92" display="LanzaJet - SAF Soperton GA, backed by Suncor and Mitsui" xr:uid="{8E823481-43BF-441A-81CA-E62C9563BD99}"/>
    <hyperlink ref="C247" r:id="rId93" xr:uid="{10EB967E-892A-4BC0-909F-06094D75B351}"/>
    <hyperlink ref="D247" r:id="rId94" xr:uid="{EAF4DAE4-6C7A-4B87-8D34-B05EF412C31B}"/>
    <hyperlink ref="E247" r:id="rId95" xr:uid="{773A3523-60A0-4751-9C6C-F61D963EF91D}"/>
    <hyperlink ref="C263" r:id="rId96" xr:uid="{EB5807FC-A07A-4EFD-8F3C-EBF4DF60FE48}"/>
    <hyperlink ref="C184" r:id="rId97" display="Phillips 66 - Humber Refinery UK Expansion" xr:uid="{DD3D1FCE-1E31-4135-A8A3-04AB88F6302E}"/>
    <hyperlink ref="D200" r:id="rId98" xr:uid="{6D7912DA-76B0-4B43-9B5C-D6A13A4743DF}"/>
    <hyperlink ref="E200" r:id="rId99" xr:uid="{30006DB9-C0DF-442C-B74A-F24DEF8574F1}"/>
    <hyperlink ref="D206" r:id="rId100" xr:uid="{109E2C5A-1241-411E-980D-18B184212389}"/>
    <hyperlink ref="D238" r:id="rId101" xr:uid="{02D56BE5-D7A8-4541-AD3B-E9D5A995529B}"/>
    <hyperlink ref="C240" r:id="rId102" xr:uid="{434C302C-7DFC-472A-B62F-D9232DBE35B1}"/>
    <hyperlink ref="C248" r:id="rId103" xr:uid="{953A9484-28F2-4387-8394-4A61AB9F8F7C}"/>
    <hyperlink ref="D248" r:id="rId104" xr:uid="{D1410575-C2B0-4A07-81FB-089724B5D82B}"/>
    <hyperlink ref="C249" r:id="rId105" xr:uid="{07EF3138-B5D5-42BE-837A-D1CBD5B38DFD}"/>
    <hyperlink ref="D249" r:id="rId106" xr:uid="{3B6BFCFD-AA69-432D-8B2D-F5C6B3F61664}"/>
    <hyperlink ref="C262" r:id="rId107" xr:uid="{FA528F9F-979E-40B0-AB8C-CCF4DCC397F2}"/>
    <hyperlink ref="C185" r:id="rId108" xr:uid="{F2741DD3-2ED0-4173-9930-AB1F9977A3E3}"/>
    <hyperlink ref="D185" r:id="rId109" xr:uid="{D9827E31-6861-4567-AB9B-451DBD1C5B9B}"/>
    <hyperlink ref="D242" r:id="rId110" xr:uid="{78B47B73-F7A6-498E-B2FB-70FE1919744B}"/>
    <hyperlink ref="D181" r:id="rId111" xr:uid="{91C541F9-E179-42E4-8F2A-67CB2981F434}"/>
    <hyperlink ref="D221" r:id="rId112" xr:uid="{D2E85424-EC45-453C-9CD7-6F75FFD3E324}"/>
    <hyperlink ref="F225" r:id="rId113" xr:uid="{FE03DA80-BF2C-466C-9142-DB9518206CD9}"/>
    <hyperlink ref="E243" r:id="rId114" xr:uid="{702452AC-4BB4-4915-8DC5-DB9E3D71D177}"/>
    <hyperlink ref="E240" r:id="rId115" xr:uid="{2856278A-A8E8-46EB-ADEF-90547F92E801}"/>
    <hyperlink ref="E241" r:id="rId116" xr:uid="{0CFCBAD5-8167-4148-927A-0513FE2385FB}"/>
    <hyperlink ref="B158" r:id="rId117" location="projects-circlenergy" xr:uid="{D50E425A-25E5-4188-980D-B4FAAFBE3D7F}"/>
    <hyperlink ref="B157" r:id="rId118" location="projects-circlenergy" xr:uid="{B5D30122-B2A8-4386-B33A-9E1ABF416FAB}"/>
    <hyperlink ref="B159" r:id="rId119" xr:uid="{27940002-7CD3-4BBD-A595-7243E4762FF8}"/>
    <hyperlink ref="E218" r:id="rId120" xr:uid="{641A125B-6EC6-4BA4-B365-850A1889BF46}"/>
    <hyperlink ref="F218" r:id="rId121" xr:uid="{3A842AFF-D13D-4865-9F74-21E963FF28F5}"/>
    <hyperlink ref="C264" r:id="rId122" xr:uid="{112E0326-C5C4-450D-B1E5-293FABFA3954}"/>
    <hyperlink ref="C265" r:id="rId123" xr:uid="{47E76ED6-E74A-442F-9FFF-6A445CE90A7A}"/>
    <hyperlink ref="H185" r:id="rId124" xr:uid="{9B4553B0-C493-4E8B-B7B1-AB71B2DD63D0}"/>
    <hyperlink ref="D237" r:id="rId125" xr:uid="{02F4ECCB-D48D-4944-9FE0-46B5F0339835}"/>
    <hyperlink ref="E248" r:id="rId126" xr:uid="{1A4DDC47-4459-4176-BFED-2D525021E8F2}"/>
    <hyperlink ref="D211" r:id="rId127" display="Capacity - 12,000 bpd initial feedstock slate - 10,000 bbd SBO; 2,000 bbd DCO - Q3 2020 earnins call" xr:uid="{C17570C2-DACE-469B-84BF-57315A555F1C}"/>
    <hyperlink ref="H84" r:id="rId128" xr:uid="{8248250F-9862-4E28-B81D-5758C2E53829}"/>
    <hyperlink ref="E180" r:id="rId129" xr:uid="{1AFBBCBC-0BC1-4CE2-B377-5AD10F405592}"/>
    <hyperlink ref="C250" r:id="rId130" xr:uid="{5E4459A8-E169-4AD3-B049-AB1F228C94CA}"/>
    <hyperlink ref="C251" r:id="rId131" xr:uid="{969DC9AF-C6E1-473E-A1E2-8D798C985F1D}"/>
    <hyperlink ref="D241" r:id="rId132" xr:uid="{FE7DD8E3-A60C-479B-AA77-071500DBDEF1}"/>
    <hyperlink ref="I66" r:id="rId133" xr:uid="{16AA42FB-4716-48DB-9E95-FF8E49762448}"/>
    <hyperlink ref="I65" r:id="rId134" xr:uid="{BC42D147-B6F4-4B96-A545-44B4DB346DA5}"/>
    <hyperlink ref="C252" r:id="rId135" xr:uid="{EF127E27-8486-432F-8C93-183471767DCE}"/>
    <hyperlink ref="C253" r:id="rId136" xr:uid="{D5A94CDF-7CBB-44FE-BD99-5F7D632C5B14}"/>
    <hyperlink ref="I248" r:id="rId137" xr:uid="{DACA4EF9-9190-414D-BE4B-42A4AB6B95D2}"/>
    <hyperlink ref="E108" r:id="rId138" display="http://www.lakecountyexam.com/news/red-rock-out-of-money-looks-to-bonds/article_5646b0d2-a791-11eb-8cb5-df27bea4d221.html" xr:uid="{BA8726C0-4894-4C4E-BD10-CEBE68B75896}"/>
    <hyperlink ref="F68" r:id="rId139" display="https://www.fool.com/earnings/call-transcripts/2021/04/22/valero-energy-vlo-q1-2021-earnings-call-transcript/" xr:uid="{9C2FD252-4A70-41C3-8059-76E799C3E744}"/>
    <hyperlink ref="H67" r:id="rId140" xr:uid="{887C2E01-281F-4C58-B239-A03F6C37735E}"/>
    <hyperlink ref="H71" r:id="rId141" xr:uid="{D7157F15-415D-4A9B-85C0-AE63B806EDD2}"/>
    <hyperlink ref="K71" r:id="rId142" xr:uid="{634FA3B8-AA1F-43C5-843D-B569EA1BBE43}"/>
    <hyperlink ref="H73" r:id="rId143" xr:uid="{37308475-865F-4D39-8D2C-7FFAE7DE225F}"/>
    <hyperlink ref="F64" r:id="rId144" display="https://www.wboc.com/story/43776652/seaboard-energy-builds-renewable-diesel-plant-in-hugoton-kansas" xr:uid="{54331B6A-A576-4C00-A102-49C912EC4153}"/>
    <hyperlink ref="H79" r:id="rId145" xr:uid="{0F9376EA-597C-4492-B38D-15051AD84673}"/>
    <hyperlink ref="I79" r:id="rId146" xr:uid="{27DC6C52-461E-4EC9-9E78-8D8A8DB27D81}"/>
    <hyperlink ref="F92" r:id="rId147" display="https://www.reuters.com/business/energy/vertex-energy-acquire-shells-mobile-alabama-refinery-2021-05-26/" xr:uid="{9324BB49-A632-41EF-8CC3-8E44E632DC75}"/>
    <hyperlink ref="K93" r:id="rId148" xr:uid="{E5501379-3FAD-4B6C-93BF-4C1D9ECEE88D}"/>
    <hyperlink ref="D93" r:id="rId149" xr:uid="{8C69C278-62D6-443E-B1BA-51366634A72D}"/>
    <hyperlink ref="B93" r:id="rId150" xr:uid="{E91F701C-705C-4318-AED2-3F04F5B3CA7A}"/>
    <hyperlink ref="F57" r:id="rId151" display="http://www.biomassmagazine.com/articles/18056/clg-ara-to-supply-technology-to-iowa-renewable-diesel-saf-plant" xr:uid="{B9D63736-9ED9-46E6-A0E9-925826EBFAE4}"/>
    <hyperlink ref="M92" r:id="rId152" xr:uid="{B83A7529-D3A8-4741-A245-1F1BCBE13169}"/>
    <hyperlink ref="H42" r:id="rId153" xr:uid="{8D6E568A-7226-4373-8F3D-568FB0582A20}"/>
    <hyperlink ref="J73" r:id="rId154" xr:uid="{A5BAD7D3-68BD-4690-B3F5-B6A6962CCF62}"/>
    <hyperlink ref="C186" r:id="rId155" xr:uid="{445F15E7-444D-44D1-96E6-65FC3715225F}"/>
    <hyperlink ref="H62" r:id="rId156" display="June 30 2021, Delayed until July" xr:uid="{48D830AF-4DD9-401D-AEFD-859FFFABA07A}"/>
    <hyperlink ref="E228" r:id="rId157" xr:uid="{E9930330-7299-41EB-BD30-36A6DCFADA3D}"/>
    <hyperlink ref="C228" r:id="rId158" xr:uid="{818220CD-418E-42FC-83DE-219308C5AFBE}"/>
    <hyperlink ref="D232" r:id="rId159" xr:uid="{699CCAF3-0F54-4445-8F7D-60CFBF888EB6}"/>
    <hyperlink ref="G60" r:id="rId160" display="https://www.prnewswire.com/news-releases/fulcrum-bioenergy-completes-construction-of-the-sierra-biofuels-plant-301326178.html" xr:uid="{DEDA75C5-790A-46CF-8DEF-45A4406139A2}"/>
    <hyperlink ref="G62" r:id="rId161" display="https://www.fool.com/earnings/call-transcripts/2021/08/03/cvr-energy-inc-cvi-q2-2021-earnings-call-transcrip/" xr:uid="{E2DF36FA-3FC5-425D-9B5F-7A98DADEA4AF}"/>
    <hyperlink ref="F75" r:id="rId162" display="https://seekingalpha.com/article/4425777-calumet-specialty-products-partners-l-p-clmt-ceo-steve-mawer-on-q1-2021-results-earnings-call" xr:uid="{330C2A15-AA0E-4F95-8762-DED0CF65F198}"/>
    <hyperlink ref="F74" r:id="rId163" display="https://www.businesswire.com/news/home/20210323005427/en/Northwest-Advanced-Bio-Fuels-Secures-Construction-Equity-Commitment-MOU-for-Sustainable-Aviation-Fuel-Project-in-Washington-State" xr:uid="{DE3A5338-B704-4959-9103-DC3A028CCB2A}"/>
    <hyperlink ref="H35" r:id="rId164" display="Year end 2021" xr:uid="{B22B3160-1B7B-4867-987D-48C017FC12FE}"/>
    <hyperlink ref="F76" r:id="rId165" display="https://www.fool.com/earnings/call-transcripts/2021/07/31/chevron-cvx-q2-2021-earnings-call-transcript/" xr:uid="{62B330BC-981B-4D68-B9C2-25C889BAEDC3}"/>
    <hyperlink ref="H76" r:id="rId166" xr:uid="{399407F8-CECE-4561-874C-2000A82D34D6}"/>
    <hyperlink ref="I14" r:id="rId167" xr:uid="{CBAC783F-A636-401C-982A-292636129053}"/>
    <hyperlink ref="I63" r:id="rId168" xr:uid="{FBA0141A-8482-40C6-9130-1DCBBD9DE829}"/>
    <hyperlink ref="H12" r:id="rId169" xr:uid="{9E7D2F8C-E706-4009-8D3D-C3B501006AD2}"/>
    <hyperlink ref="I75" r:id="rId170" xr:uid="{980260A2-94F1-4302-AB85-8BF05F9C4B9C}"/>
    <hyperlink ref="I78" r:id="rId171" xr:uid="{487C06B6-B433-4276-8D2B-6A74909618EF}"/>
    <hyperlink ref="H89" r:id="rId172" xr:uid="{B0110A26-9EB9-4800-A523-64466E4C0094}"/>
    <hyperlink ref="J89" r:id="rId173" xr:uid="{D6DCB1FC-2773-4844-954B-D36DCD9DE37B}"/>
    <hyperlink ref="E89" r:id="rId174" display="https://www.shell.com/media/news-and-media-releases/2021/shell-to-build-one-of-europes-biggest-biofuels-facilities.html" xr:uid="{952E19FA-C07A-471C-A3BF-B14E24C7D1AE}"/>
    <hyperlink ref="H85" r:id="rId175" xr:uid="{2DABC537-C64A-4D45-BF2E-EAC39E9DF7CA}"/>
    <hyperlink ref="E80" r:id="rId176" display="https://www.dutchnews.nl/news/2019/05/klm-to-invest-in-major-sustainable-aviation-fuel-plant-in-delfzijl/" xr:uid="{B2AF9F04-80AC-454D-9E6E-1261B3C68838}"/>
    <hyperlink ref="F80" r:id="rId177" display="https://www.shell.com/business-customers/aviation/news-and-media-releases/news-and-media-2019/shell-aviation-supports-skynrg.html" xr:uid="{91DA9B47-EBB3-4AB5-AF54-258DD982F675}"/>
    <hyperlink ref="J94" r:id="rId178" xr:uid="{6A9441E3-A847-457E-B17F-75D9597158E1}"/>
    <hyperlink ref="D94" r:id="rId179" xr:uid="{F5463B69-49C2-46F5-9E61-C26A7BD1960A}"/>
    <hyperlink ref="I94" r:id="rId180" xr:uid="{C5D69F34-93CD-4393-9710-0F2D4F5DC953}"/>
    <hyperlink ref="K94" r:id="rId181" xr:uid="{B88B47B5-EF93-4E12-896D-6D9E9594E855}"/>
    <hyperlink ref="H94" r:id="rId182" xr:uid="{A9224A60-17CC-42BC-A454-9BB615906229}"/>
    <hyperlink ref="F103" r:id="rId183" display="https://labusinessjournal.com/news/2020/jan/22/world-energy-gets-11-million-state-tax-credit/" xr:uid="{AFE87461-1C8B-42CE-978C-74BEA4506AAF}"/>
    <hyperlink ref="H38" r:id="rId184" xr:uid="{354BAC79-B1D2-48AA-A328-FCB55D833A8F}"/>
    <hyperlink ref="F9" r:id="rId185" display="https://www.regi.com/blogs/blog-details/resource-library/2020/10/06/renewable-energy-group-announces-planned-expansion-of-geismar-renewable-diesel-plant-to-340-million-gallons-per-year" xr:uid="{C248E0D4-F016-4EA2-8128-0229100A4382}"/>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1986-A6CC-4CD7-A728-418B851E1BC3}">
  <dimension ref="A1:AP90"/>
  <sheetViews>
    <sheetView workbookViewId="0">
      <pane xSplit="1" ySplit="2" topLeftCell="AE8" activePane="bottomRight" state="frozen"/>
      <selection activeCell="A7" sqref="A7"/>
      <selection pane="topRight" activeCell="A7" sqref="A7"/>
      <selection pane="bottomLeft" activeCell="A7" sqref="A7"/>
      <selection pane="bottomRight" activeCell="A7" sqref="A7"/>
    </sheetView>
  </sheetViews>
  <sheetFormatPr defaultRowHeight="12.75"/>
  <cols>
    <col min="1" max="1" width="26.1640625" customWidth="1"/>
    <col min="2" max="42" width="10.83203125" customWidth="1"/>
  </cols>
  <sheetData>
    <row r="1" spans="1:42" ht="20.25">
      <c r="A1" s="595" t="s">
        <v>118</v>
      </c>
      <c r="B1" s="595"/>
      <c r="C1" s="595"/>
      <c r="D1" s="595"/>
      <c r="E1" s="595"/>
      <c r="F1" s="595"/>
      <c r="G1" s="595"/>
      <c r="H1" s="595"/>
      <c r="I1" s="595"/>
      <c r="J1" s="595"/>
      <c r="K1" s="595"/>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row>
    <row r="2" spans="1:42" ht="13.5" thickBot="1">
      <c r="A2" s="597" t="s">
        <v>119</v>
      </c>
      <c r="B2" s="598">
        <v>2010</v>
      </c>
      <c r="C2" s="598">
        <v>2011</v>
      </c>
      <c r="D2" s="598">
        <v>2012</v>
      </c>
      <c r="E2" s="598">
        <v>2013</v>
      </c>
      <c r="F2" s="598">
        <v>2014</v>
      </c>
      <c r="G2" s="598">
        <v>2015</v>
      </c>
      <c r="H2" s="598">
        <v>2016</v>
      </c>
      <c r="I2" s="598">
        <v>2017</v>
      </c>
      <c r="J2" s="598">
        <v>2018</v>
      </c>
      <c r="K2" s="598">
        <v>2019</v>
      </c>
      <c r="L2" s="598">
        <v>2020</v>
      </c>
      <c r="M2" s="598">
        <v>2021</v>
      </c>
      <c r="N2" s="598">
        <v>2022</v>
      </c>
      <c r="O2" s="598">
        <v>2023</v>
      </c>
      <c r="P2" s="598">
        <v>2024</v>
      </c>
      <c r="Q2" s="598">
        <v>2025</v>
      </c>
      <c r="R2" s="598">
        <v>2026</v>
      </c>
      <c r="S2" s="598">
        <v>2027</v>
      </c>
      <c r="T2" s="598">
        <v>2028</v>
      </c>
      <c r="U2" s="598">
        <v>2029</v>
      </c>
      <c r="V2" s="598">
        <v>2030</v>
      </c>
      <c r="W2" s="598">
        <v>2031</v>
      </c>
      <c r="X2" s="598">
        <v>2032</v>
      </c>
      <c r="Y2" s="598">
        <v>2033</v>
      </c>
      <c r="Z2" s="598">
        <v>2034</v>
      </c>
      <c r="AA2" s="598">
        <v>2035</v>
      </c>
      <c r="AB2" s="598">
        <v>2036</v>
      </c>
      <c r="AC2" s="598">
        <v>2037</v>
      </c>
      <c r="AD2" s="598">
        <v>2038</v>
      </c>
      <c r="AE2" s="598">
        <v>2039</v>
      </c>
      <c r="AF2" s="598">
        <v>2040</v>
      </c>
      <c r="AG2" s="598">
        <v>2041</v>
      </c>
      <c r="AH2" s="598">
        <v>2042</v>
      </c>
      <c r="AI2" s="598">
        <v>2043</v>
      </c>
      <c r="AJ2" s="598">
        <v>2044</v>
      </c>
      <c r="AK2" s="598">
        <v>2045</v>
      </c>
      <c r="AL2" s="598">
        <v>2046</v>
      </c>
      <c r="AM2" s="598">
        <v>2047</v>
      </c>
      <c r="AN2" s="598">
        <v>2048</v>
      </c>
      <c r="AO2" s="598">
        <v>2049</v>
      </c>
      <c r="AP2" s="598">
        <v>2050</v>
      </c>
    </row>
    <row r="3" spans="1:42" ht="13.5" thickTop="1">
      <c r="A3" s="3" t="s">
        <v>120</v>
      </c>
      <c r="B3" s="3"/>
      <c r="C3" s="3"/>
      <c r="D3" s="3"/>
      <c r="E3" s="3"/>
      <c r="F3" s="3"/>
      <c r="G3" s="3"/>
      <c r="H3" s="3"/>
      <c r="I3" s="3"/>
      <c r="J3" s="3"/>
      <c r="K3" s="3"/>
      <c r="L3" s="599">
        <v>14893</v>
      </c>
      <c r="M3" s="599">
        <f>L10</f>
        <v>19153</v>
      </c>
      <c r="N3" s="599">
        <f>M10</f>
        <v>19543</v>
      </c>
    </row>
    <row r="4" spans="1:42">
      <c r="A4" s="3" t="s">
        <v>3</v>
      </c>
      <c r="B4" s="3"/>
      <c r="C4" s="3"/>
      <c r="D4" s="3"/>
      <c r="E4" s="3"/>
      <c r="F4" s="3"/>
      <c r="G4" s="3"/>
      <c r="H4" s="3"/>
      <c r="I4" s="3"/>
      <c r="J4" s="3"/>
      <c r="K4" s="3"/>
      <c r="L4" s="599">
        <f>L26</f>
        <v>1623228</v>
      </c>
      <c r="M4" s="599">
        <f>M26</f>
        <v>1642471</v>
      </c>
      <c r="N4" s="599"/>
    </row>
    <row r="5" spans="1:42">
      <c r="A5" s="3" t="s">
        <v>122</v>
      </c>
      <c r="B5" s="3"/>
      <c r="C5" s="3"/>
      <c r="D5" s="3"/>
      <c r="E5" s="3"/>
      <c r="F5" s="3"/>
      <c r="G5" s="3"/>
      <c r="H5" s="3"/>
      <c r="I5" s="3"/>
      <c r="J5" s="3"/>
      <c r="K5" s="3"/>
      <c r="L5" s="599">
        <f>SUM(L3:L4)</f>
        <v>1638121</v>
      </c>
      <c r="M5" s="599">
        <f>SUM(M3:M4)</f>
        <v>1661624</v>
      </c>
      <c r="N5" s="599"/>
    </row>
    <row r="6" spans="1:42">
      <c r="A6" s="3" t="s">
        <v>4</v>
      </c>
      <c r="B6" s="3"/>
      <c r="C6" s="3"/>
      <c r="D6" s="3"/>
      <c r="E6" s="3"/>
      <c r="F6" s="3"/>
      <c r="G6" s="3"/>
      <c r="H6" s="3"/>
      <c r="I6" s="3"/>
      <c r="J6" s="3"/>
      <c r="K6" s="3"/>
      <c r="L6" s="599">
        <f>L42</f>
        <v>1623018</v>
      </c>
      <c r="M6" s="599">
        <f>M42</f>
        <v>1642099</v>
      </c>
      <c r="N6" s="599"/>
    </row>
    <row r="7" spans="1:42">
      <c r="A7" s="3" t="s">
        <v>124</v>
      </c>
      <c r="B7" s="3"/>
      <c r="C7" s="3"/>
      <c r="D7" s="3"/>
      <c r="E7" s="3"/>
      <c r="F7" s="3"/>
      <c r="G7" s="3"/>
      <c r="H7" s="3"/>
      <c r="I7" s="3"/>
      <c r="J7" s="3"/>
      <c r="K7" s="3"/>
      <c r="L7" s="599">
        <f>L58</f>
        <v>-2988</v>
      </c>
      <c r="M7" s="599">
        <f>M58</f>
        <v>624</v>
      </c>
      <c r="N7" s="599"/>
    </row>
    <row r="8" spans="1:42">
      <c r="A8" s="3" t="s">
        <v>125</v>
      </c>
      <c r="B8" s="3"/>
      <c r="C8" s="3"/>
      <c r="D8" s="3"/>
      <c r="E8" s="3"/>
      <c r="F8" s="3"/>
      <c r="G8" s="3"/>
      <c r="H8" s="3"/>
      <c r="I8" s="3"/>
      <c r="J8" s="3"/>
      <c r="K8" s="3"/>
      <c r="L8" s="599">
        <f>L9-SUM(L6:L7)</f>
        <v>-1062</v>
      </c>
      <c r="M8" s="599">
        <f>M9-SUM(M6:M7)</f>
        <v>-642</v>
      </c>
      <c r="N8" s="599"/>
    </row>
    <row r="9" spans="1:42">
      <c r="A9" s="3" t="s">
        <v>126</v>
      </c>
      <c r="B9" s="3"/>
      <c r="C9" s="3"/>
      <c r="D9" s="3"/>
      <c r="E9" s="3"/>
      <c r="F9" s="3"/>
      <c r="G9" s="3"/>
      <c r="H9" s="3"/>
      <c r="I9" s="3"/>
      <c r="J9" s="3"/>
      <c r="K9" s="3"/>
      <c r="L9" s="599">
        <f>L5-L10</f>
        <v>1618968</v>
      </c>
      <c r="M9" s="599">
        <f>M5-M10</f>
        <v>1642081</v>
      </c>
      <c r="N9" s="599"/>
    </row>
    <row r="10" spans="1:42">
      <c r="A10" s="3" t="s">
        <v>127</v>
      </c>
      <c r="B10" s="3"/>
      <c r="C10" s="3"/>
      <c r="D10" s="3"/>
      <c r="E10" s="3"/>
      <c r="F10" s="3"/>
      <c r="G10" s="3"/>
      <c r="H10" s="3"/>
      <c r="I10" s="3"/>
      <c r="J10" s="3"/>
      <c r="K10" s="3"/>
      <c r="L10" s="599">
        <f>L89</f>
        <v>19153</v>
      </c>
      <c r="M10" s="599">
        <f>M89</f>
        <v>19543</v>
      </c>
      <c r="N10" s="599"/>
    </row>
    <row r="11" spans="1:42">
      <c r="A11" s="3"/>
      <c r="B11" s="3"/>
      <c r="C11" s="3"/>
      <c r="D11" s="3"/>
      <c r="E11" s="3"/>
      <c r="F11" s="3"/>
      <c r="G11" s="3"/>
      <c r="H11" s="3"/>
      <c r="I11" s="3"/>
      <c r="J11" s="3"/>
      <c r="K11" s="3"/>
      <c r="L11" s="599"/>
      <c r="M11" s="599"/>
      <c r="N11" s="599"/>
    </row>
    <row r="12" spans="1:42" ht="13.5" thickBot="1">
      <c r="A12" s="164" t="s">
        <v>128</v>
      </c>
      <c r="B12" s="164"/>
      <c r="C12" s="164"/>
      <c r="D12" s="164"/>
      <c r="E12" s="164"/>
      <c r="F12" s="164"/>
      <c r="G12" s="164"/>
      <c r="H12" s="164"/>
      <c r="I12" s="164"/>
      <c r="J12" s="164"/>
      <c r="K12" s="164"/>
    </row>
    <row r="13" spans="1:42" ht="13.5" thickBot="1">
      <c r="A13" s="600"/>
      <c r="B13" s="600"/>
      <c r="C13" s="600"/>
      <c r="D13" s="600"/>
      <c r="E13" s="600"/>
      <c r="F13" s="600"/>
      <c r="G13" s="600"/>
      <c r="H13" s="600"/>
      <c r="I13" s="600"/>
      <c r="J13" s="600"/>
      <c r="K13" s="600"/>
      <c r="L13" s="601">
        <f>L2</f>
        <v>2020</v>
      </c>
      <c r="M13" s="601">
        <f>M2</f>
        <v>2021</v>
      </c>
      <c r="N13" s="601">
        <f>N2</f>
        <v>2022</v>
      </c>
      <c r="O13" s="601">
        <f t="shared" ref="O13:AP13" si="0">O2</f>
        <v>2023</v>
      </c>
      <c r="P13" s="601">
        <f t="shared" si="0"/>
        <v>2024</v>
      </c>
      <c r="Q13" s="601">
        <f t="shared" si="0"/>
        <v>2025</v>
      </c>
      <c r="R13" s="601">
        <f t="shared" si="0"/>
        <v>2026</v>
      </c>
      <c r="S13" s="601">
        <f t="shared" si="0"/>
        <v>2027</v>
      </c>
      <c r="T13" s="601">
        <f t="shared" si="0"/>
        <v>2028</v>
      </c>
      <c r="U13" s="601">
        <f t="shared" si="0"/>
        <v>2029</v>
      </c>
      <c r="V13" s="601">
        <f t="shared" si="0"/>
        <v>2030</v>
      </c>
      <c r="W13" s="601">
        <f t="shared" si="0"/>
        <v>2031</v>
      </c>
      <c r="X13" s="601">
        <f t="shared" si="0"/>
        <v>2032</v>
      </c>
      <c r="Y13" s="601">
        <f t="shared" si="0"/>
        <v>2033</v>
      </c>
      <c r="Z13" s="601">
        <f t="shared" si="0"/>
        <v>2034</v>
      </c>
      <c r="AA13" s="601">
        <f t="shared" si="0"/>
        <v>2035</v>
      </c>
      <c r="AB13" s="601">
        <f t="shared" si="0"/>
        <v>2036</v>
      </c>
      <c r="AC13" s="601">
        <f t="shared" si="0"/>
        <v>2037</v>
      </c>
      <c r="AD13" s="601">
        <f t="shared" si="0"/>
        <v>2038</v>
      </c>
      <c r="AE13" s="601">
        <f t="shared" si="0"/>
        <v>2039</v>
      </c>
      <c r="AF13" s="601">
        <f t="shared" si="0"/>
        <v>2040</v>
      </c>
      <c r="AG13" s="601">
        <f t="shared" si="0"/>
        <v>2041</v>
      </c>
      <c r="AH13" s="601">
        <f t="shared" si="0"/>
        <v>2042</v>
      </c>
      <c r="AI13" s="601">
        <f t="shared" si="0"/>
        <v>2043</v>
      </c>
      <c r="AJ13" s="601">
        <f t="shared" si="0"/>
        <v>2044</v>
      </c>
      <c r="AK13" s="601">
        <f t="shared" si="0"/>
        <v>2045</v>
      </c>
      <c r="AL13" s="601">
        <f t="shared" si="0"/>
        <v>2046</v>
      </c>
      <c r="AM13" s="601">
        <f t="shared" si="0"/>
        <v>2047</v>
      </c>
      <c r="AN13" s="601">
        <f t="shared" si="0"/>
        <v>2048</v>
      </c>
      <c r="AO13" s="601">
        <f t="shared" si="0"/>
        <v>2049</v>
      </c>
      <c r="AP13" s="601">
        <f t="shared" si="0"/>
        <v>2050</v>
      </c>
    </row>
    <row r="14" spans="1:42">
      <c r="A14" t="s">
        <v>129</v>
      </c>
      <c r="K14" s="599">
        <f>'Fuel Ethanol'!L26</f>
        <v>76891</v>
      </c>
      <c r="L14" s="599">
        <f>'Fuel Ethanol'!M26</f>
        <v>158166</v>
      </c>
      <c r="M14" s="599">
        <f>'Fuel Ethanol'!N26</f>
        <v>116631</v>
      </c>
      <c r="N14" s="599">
        <f>'Fuel Ethanol'!O26</f>
        <v>139729</v>
      </c>
      <c r="O14" s="599">
        <f>'Fuel Ethanol'!P26</f>
        <v>149788</v>
      </c>
      <c r="P14" s="602">
        <f>'Fuel Ethanol'!Q26</f>
        <v>148957</v>
      </c>
      <c r="Q14" s="602">
        <f>'Fuel Ethanol'!R26</f>
        <v>141528</v>
      </c>
      <c r="R14" s="602">
        <f>'Fuel Ethanol'!S26</f>
        <v>137128.22793053769</v>
      </c>
      <c r="S14" s="602">
        <f>'Fuel Ethanol'!T26</f>
        <v>135323.94811717243</v>
      </c>
      <c r="T14" s="602">
        <f>'Fuel Ethanol'!U26</f>
        <v>133280.37240071385</v>
      </c>
      <c r="U14" s="602">
        <f>'Fuel Ethanol'!V26</f>
        <v>132145.23401917054</v>
      </c>
      <c r="V14" s="602">
        <f>'Fuel Ethanol'!W26</f>
        <v>130965.8286096135</v>
      </c>
      <c r="W14" s="602">
        <f>'Fuel Ethanol'!X26</f>
        <v>129895.47670865746</v>
      </c>
      <c r="X14" s="602">
        <f>'Fuel Ethanol'!Y26</f>
        <v>128686.7922480752</v>
      </c>
      <c r="Y14" s="602">
        <f>'Fuel Ethanol'!Z26</f>
        <v>127647.3280586569</v>
      </c>
      <c r="Z14" s="602">
        <f>'Fuel Ethanol'!AA26</f>
        <v>126521.7592072822</v>
      </c>
      <c r="AA14" s="602">
        <f>'Fuel Ethanol'!AB26</f>
        <v>125448.42501350082</v>
      </c>
      <c r="AB14" s="602">
        <f>'Fuel Ethanol'!AC26</f>
        <v>124413.48478560692</v>
      </c>
      <c r="AC14" s="602">
        <f>'Fuel Ethanol'!AD26</f>
        <v>123460.24959380446</v>
      </c>
      <c r="AD14" s="602">
        <f>'Fuel Ethanol'!AE26</f>
        <v>122386.67765908595</v>
      </c>
      <c r="AE14" s="602">
        <f>'Fuel Ethanol'!AF26</f>
        <v>121450.27279235219</v>
      </c>
      <c r="AF14" s="602">
        <f>'Fuel Ethanol'!AG26</f>
        <v>120480.77362608977</v>
      </c>
      <c r="AG14" s="602">
        <f>'Fuel Ethanol'!AH26</f>
        <v>119736.98847523249</v>
      </c>
      <c r="AH14" s="602">
        <f>'Fuel Ethanol'!AI26</f>
        <v>118701.73170746429</v>
      </c>
      <c r="AI14" s="602">
        <f>'Fuel Ethanol'!AJ26</f>
        <v>117843.08875511536</v>
      </c>
      <c r="AJ14" s="602">
        <f>'Fuel Ethanol'!AK26</f>
        <v>117032.6479162476</v>
      </c>
      <c r="AK14" s="602">
        <f>'Fuel Ethanol'!AL26</f>
        <v>116226.95587535349</v>
      </c>
      <c r="AL14" s="602">
        <f>'Fuel Ethanol'!AM26</f>
        <v>115466.6390162809</v>
      </c>
      <c r="AM14" s="602">
        <f>'Fuel Ethanol'!AN26</f>
        <v>114580.57476012617</v>
      </c>
      <c r="AN14" s="602">
        <f>'Fuel Ethanol'!AO26</f>
        <v>113865.70870884314</v>
      </c>
      <c r="AO14" s="602">
        <f>'Fuel Ethanol'!AP26</f>
        <v>113150.66685689232</v>
      </c>
      <c r="AP14" s="602">
        <f>'Fuel Ethanol'!AQ26</f>
        <v>112391.72204497762</v>
      </c>
    </row>
    <row r="15" spans="1:42">
      <c r="A15" t="s">
        <v>130</v>
      </c>
      <c r="K15" s="599">
        <f>'Fuel Ethanol'!L27</f>
        <v>62850</v>
      </c>
      <c r="L15" s="599">
        <f>'Fuel Ethanol'!M27</f>
        <v>149497</v>
      </c>
      <c r="M15" s="599">
        <f>'Fuel Ethanol'!N27</f>
        <v>108904</v>
      </c>
      <c r="N15" s="599">
        <f>'Fuel Ethanol'!O27</f>
        <v>128540</v>
      </c>
      <c r="O15" s="599">
        <f>'Fuel Ethanol'!P27</f>
        <v>132431</v>
      </c>
      <c r="P15" s="602">
        <f>'Fuel Ethanol'!Q27</f>
        <v>142598</v>
      </c>
      <c r="Q15" s="602">
        <f>'Fuel Ethanol'!R27</f>
        <v>139170</v>
      </c>
      <c r="R15" s="602">
        <f>'Fuel Ethanol'!S27</f>
        <v>128318.24252121904</v>
      </c>
      <c r="S15" s="602">
        <f>'Fuel Ethanol'!T27</f>
        <v>127148.28377269214</v>
      </c>
      <c r="T15" s="602">
        <f>'Fuel Ethanol'!U27</f>
        <v>127195.04196486945</v>
      </c>
      <c r="U15" s="602">
        <f>'Fuel Ethanol'!V27</f>
        <v>126004.98044606658</v>
      </c>
      <c r="V15" s="602">
        <f>'Fuel Ethanol'!W27</f>
        <v>123853.29569015274</v>
      </c>
      <c r="W15" s="602">
        <f>'Fuel Ethanol'!X27</f>
        <v>123173.9940361995</v>
      </c>
      <c r="X15" s="602">
        <f>'Fuel Ethanol'!Y27</f>
        <v>122314.74269656879</v>
      </c>
      <c r="Y15" s="602">
        <f>'Fuel Ethanol'!Z27</f>
        <v>121200.94090985844</v>
      </c>
      <c r="Z15" s="602">
        <f>'Fuel Ethanol'!AA27</f>
        <v>120001.757319939</v>
      </c>
      <c r="AA15" s="602">
        <f>'Fuel Ethanol'!AB27</f>
        <v>119072.67185676721</v>
      </c>
      <c r="AB15" s="602">
        <f>'Fuel Ethanol'!AC27</f>
        <v>118119.63251076231</v>
      </c>
      <c r="AC15" s="602">
        <f>'Fuel Ethanol'!AD27</f>
        <v>117180.82175305675</v>
      </c>
      <c r="AD15" s="602">
        <f>'Fuel Ethanol'!AE27</f>
        <v>116150.58979168994</v>
      </c>
      <c r="AE15" s="602">
        <f>'Fuel Ethanol'!AF27</f>
        <v>115279.83643112423</v>
      </c>
      <c r="AF15" s="602">
        <f>'Fuel Ethanol'!AG27</f>
        <v>114360.12942358512</v>
      </c>
      <c r="AG15" s="602">
        <f>'Fuel Ethanol'!AH27</f>
        <v>113647.60500110952</v>
      </c>
      <c r="AH15" s="602">
        <f>'Fuel Ethanol'!AI27</f>
        <v>112665.16752567969</v>
      </c>
      <c r="AI15" s="602">
        <f>'Fuel Ethanol'!AJ27</f>
        <v>111853.16552580362</v>
      </c>
      <c r="AJ15" s="602">
        <f>'Fuel Ethanol'!AK27</f>
        <v>111083.22226768965</v>
      </c>
      <c r="AK15" s="602">
        <f>'Fuel Ethanol'!AL27</f>
        <v>110317.48888600893</v>
      </c>
      <c r="AL15" s="602">
        <f>'Fuel Ethanol'!AM27</f>
        <v>109596.18651838729</v>
      </c>
      <c r="AM15" s="602">
        <f>'Fuel Ethanol'!AN27</f>
        <v>108755.57251863877</v>
      </c>
      <c r="AN15" s="602">
        <f>'Fuel Ethanol'!AO27</f>
        <v>108076.81816031376</v>
      </c>
      <c r="AO15" s="602">
        <f>'Fuel Ethanol'!AP27</f>
        <v>107398.01297058444</v>
      </c>
      <c r="AP15" s="602">
        <f>'Fuel Ethanol'!AQ27</f>
        <v>106677.75485693911</v>
      </c>
    </row>
    <row r="16" spans="1:42">
      <c r="A16" t="s">
        <v>131</v>
      </c>
      <c r="K16" s="599">
        <f>'Fuel Ethanol'!L28</f>
        <v>84270</v>
      </c>
      <c r="L16" s="599">
        <f>'Fuel Ethanol'!M28</f>
        <v>147191</v>
      </c>
      <c r="M16" s="599">
        <f>'Fuel Ethanol'!N28</f>
        <v>137014</v>
      </c>
      <c r="N16" s="599">
        <f>'Fuel Ethanol'!O28</f>
        <v>147011</v>
      </c>
      <c r="O16" s="599">
        <f>'Fuel Ethanol'!P28</f>
        <v>155281</v>
      </c>
      <c r="P16" s="602">
        <f>'Fuel Ethanol'!Q28</f>
        <v>153372</v>
      </c>
      <c r="Q16" s="602">
        <f>'Fuel Ethanol'!R28</f>
        <v>144964.6308873418</v>
      </c>
      <c r="R16" s="602">
        <f>'Fuel Ethanol'!S28</f>
        <v>142004.9237725494</v>
      </c>
      <c r="S16" s="602">
        <f>'Fuel Ethanol'!T28</f>
        <v>139594.43067535243</v>
      </c>
      <c r="T16" s="602">
        <f>'Fuel Ethanol'!U28</f>
        <v>137304.99136107037</v>
      </c>
      <c r="U16" s="602">
        <f>'Fuel Ethanol'!V28</f>
        <v>136155.61745304029</v>
      </c>
      <c r="V16" s="602">
        <f>'Fuel Ethanol'!W28</f>
        <v>135149.45287968029</v>
      </c>
      <c r="W16" s="602">
        <f>'Fuel Ethanol'!X28</f>
        <v>133923.68572957919</v>
      </c>
      <c r="X16" s="602">
        <f>'Fuel Ethanol'!Y28</f>
        <v>132659.44123835082</v>
      </c>
      <c r="Y16" s="602">
        <f>'Fuel Ethanol'!Z28</f>
        <v>131609.86929053909</v>
      </c>
      <c r="Z16" s="602">
        <f>'Fuel Ethanol'!AA28</f>
        <v>130471.8131320164</v>
      </c>
      <c r="AA16" s="602">
        <f>'Fuel Ethanol'!AB28</f>
        <v>129341.76944292327</v>
      </c>
      <c r="AB16" s="602">
        <f>'Fuel Ethanol'!AC28</f>
        <v>128275.48078346174</v>
      </c>
      <c r="AC16" s="602">
        <f>'Fuel Ethanol'!AD28</f>
        <v>127298.04379509548</v>
      </c>
      <c r="AD16" s="602">
        <f>'Fuel Ethanol'!AE28</f>
        <v>126192.42408608006</v>
      </c>
      <c r="AE16" s="602">
        <f>'Fuel Ethanol'!AF28</f>
        <v>125223.04859360112</v>
      </c>
      <c r="AF16" s="602">
        <f>'Fuel Ethanol'!AG28</f>
        <v>124224.32233824789</v>
      </c>
      <c r="AG16" s="602">
        <f>'Fuel Ethanol'!AH28</f>
        <v>123458.34674833067</v>
      </c>
      <c r="AH16" s="602">
        <f>'Fuel Ethanol'!AI28</f>
        <v>122390.73845020188</v>
      </c>
      <c r="AI16" s="602">
        <f>'Fuel Ethanol'!AJ28</f>
        <v>121504.8662467766</v>
      </c>
      <c r="AJ16" s="602">
        <f>'Fuel Ethanol'!AK28</f>
        <v>120669.50961126821</v>
      </c>
      <c r="AK16" s="602">
        <f>'Fuel Ethanol'!AL28</f>
        <v>119838.8945297934</v>
      </c>
      <c r="AL16" s="602">
        <f>'Fuel Ethanol'!AM28</f>
        <v>119054.86610802938</v>
      </c>
      <c r="AM16" s="602">
        <f>'Fuel Ethanol'!AN28</f>
        <v>118141.20613934257</v>
      </c>
      <c r="AN16" s="602">
        <f>'Fuel Ethanol'!AO28</f>
        <v>117404.18378231909</v>
      </c>
      <c r="AO16" s="602">
        <f>'Fuel Ethanol'!AP28</f>
        <v>116666.92845681304</v>
      </c>
      <c r="AP16" s="602">
        <f>'Fuel Ethanol'!AQ28</f>
        <v>115884.37942291958</v>
      </c>
    </row>
    <row r="17" spans="1:42">
      <c r="A17" t="s">
        <v>132</v>
      </c>
      <c r="K17" s="599">
        <f>'Fuel Ethanol'!L29</f>
        <v>119100</v>
      </c>
      <c r="L17" s="599">
        <f>'Fuel Ethanol'!M29</f>
        <v>85451</v>
      </c>
      <c r="M17" s="599">
        <f>'Fuel Ethanol'!N29</f>
        <v>130068</v>
      </c>
      <c r="N17" s="599">
        <f>'Fuel Ethanol'!O29</f>
        <v>134215</v>
      </c>
      <c r="O17" s="599">
        <f>'Fuel Ethanol'!P29</f>
        <v>134197</v>
      </c>
      <c r="P17" s="602">
        <f>'Fuel Ethanol'!Q29</f>
        <v>140027</v>
      </c>
      <c r="Q17" s="602">
        <f>'Fuel Ethanol'!R29</f>
        <v>131714.80717227529</v>
      </c>
      <c r="R17" s="602">
        <f>'Fuel Ethanol'!S29</f>
        <v>127707.03271276213</v>
      </c>
      <c r="S17" s="602">
        <f>'Fuel Ethanol'!T29</f>
        <v>125069.11737679105</v>
      </c>
      <c r="T17" s="602">
        <f>'Fuel Ethanol'!U29</f>
        <v>124184.28138914274</v>
      </c>
      <c r="U17" s="602">
        <f>'Fuel Ethanol'!V29</f>
        <v>122828.16410184739</v>
      </c>
      <c r="V17" s="602">
        <f>'Fuel Ethanol'!W29</f>
        <v>121691.63643375499</v>
      </c>
      <c r="W17" s="602">
        <f>'Fuel Ethanol'!X29</f>
        <v>120626.38611217245</v>
      </c>
      <c r="X17" s="602">
        <f>'Fuel Ethanol'!Y29</f>
        <v>119650.26466827661</v>
      </c>
      <c r="Y17" s="602">
        <f>'Fuel Ethanol'!Z29</f>
        <v>118619.44156874613</v>
      </c>
      <c r="Z17" s="602">
        <f>'Fuel Ethanol'!AA29</f>
        <v>117566.4011830184</v>
      </c>
      <c r="AA17" s="602">
        <f>'Fuel Ethanol'!AB29</f>
        <v>116570.08541517079</v>
      </c>
      <c r="AB17" s="602">
        <f>'Fuel Ethanol'!AC29</f>
        <v>115626.99776772918</v>
      </c>
      <c r="AC17" s="602">
        <f>'Fuel Ethanol'!AD29</f>
        <v>114728.40614583746</v>
      </c>
      <c r="AD17" s="602">
        <f>'Fuel Ethanol'!AE29</f>
        <v>113730.74106517617</v>
      </c>
      <c r="AE17" s="602">
        <f>'Fuel Ethanol'!AF29</f>
        <v>112862.27047626508</v>
      </c>
      <c r="AF17" s="602">
        <f>'Fuel Ethanol'!AG29</f>
        <v>111963.19360067161</v>
      </c>
      <c r="AG17" s="602">
        <f>'Fuel Ethanol'!AH29</f>
        <v>111269.75223845658</v>
      </c>
      <c r="AH17" s="602">
        <f>'Fuel Ethanol'!AI29</f>
        <v>110308.02659982724</v>
      </c>
      <c r="AI17" s="602">
        <f>'Fuel Ethanol'!AJ29</f>
        <v>109510.50759842916</v>
      </c>
      <c r="AJ17" s="602">
        <f>'Fuel Ethanol'!AK29</f>
        <v>108757.4607745939</v>
      </c>
      <c r="AK17" s="602">
        <f>'Fuel Ethanol'!AL29</f>
        <v>108008.38958707998</v>
      </c>
      <c r="AL17" s="602">
        <f>'Fuel Ethanol'!AM29</f>
        <v>107301.95147087962</v>
      </c>
      <c r="AM17" s="602">
        <f>'Fuel Ethanol'!AN29</f>
        <v>106478.60572339817</v>
      </c>
      <c r="AN17" s="602">
        <f>'Fuel Ethanol'!AO29</f>
        <v>105814.26814684983</v>
      </c>
      <c r="AO17" s="602">
        <f>'Fuel Ethanol'!AP29</f>
        <v>105149.74075200751</v>
      </c>
      <c r="AP17" s="602">
        <f>'Fuel Ethanol'!AQ29</f>
        <v>104444.48940061897</v>
      </c>
    </row>
    <row r="18" spans="1:42">
      <c r="A18" t="s">
        <v>133</v>
      </c>
      <c r="K18" s="599">
        <f>'Fuel Ethanol'!L30</f>
        <v>82226</v>
      </c>
      <c r="L18" s="599">
        <f>'Fuel Ethanol'!M30</f>
        <v>88331</v>
      </c>
      <c r="M18" s="599">
        <f>'Fuel Ethanol'!N30</f>
        <v>143350</v>
      </c>
      <c r="N18" s="599">
        <f>'Fuel Ethanol'!O30</f>
        <v>143661</v>
      </c>
      <c r="O18" s="599">
        <f>'Fuel Ethanol'!P30</f>
        <v>131166</v>
      </c>
      <c r="P18" s="602">
        <f>'Fuel Ethanol'!Q30</f>
        <v>144909</v>
      </c>
      <c r="Q18" s="602">
        <f>'Fuel Ethanol'!R30</f>
        <v>137726.64777135264</v>
      </c>
      <c r="R18" s="602">
        <f>'Fuel Ethanol'!S30</f>
        <v>131799.31280642323</v>
      </c>
      <c r="S18" s="602">
        <f>'Fuel Ethanol'!T30</f>
        <v>127871.0063477534</v>
      </c>
      <c r="T18" s="602">
        <f>'Fuel Ethanol'!U30</f>
        <v>128395.7505425756</v>
      </c>
      <c r="U18" s="602">
        <f>'Fuel Ethanol'!V30</f>
        <v>126961.46632968279</v>
      </c>
      <c r="V18" s="602">
        <f>'Fuel Ethanol'!W30</f>
        <v>125402.10845487627</v>
      </c>
      <c r="W18" s="602">
        <f>'Fuel Ethanol'!X30</f>
        <v>124255.911142536</v>
      </c>
      <c r="X18" s="602">
        <f>'Fuel Ethanol'!Y30</f>
        <v>123485.47791745028</v>
      </c>
      <c r="Y18" s="602">
        <f>'Fuel Ethanol'!Z30</f>
        <v>122365.11091605388</v>
      </c>
      <c r="Z18" s="602">
        <f>'Fuel Ethanol'!AA30</f>
        <v>121216.5029597298</v>
      </c>
      <c r="AA18" s="602">
        <f>'Fuel Ethanol'!AB30</f>
        <v>120205.81933756902</v>
      </c>
      <c r="AB18" s="602">
        <f>'Fuel Ethanol'!AC30</f>
        <v>119265.80273948661</v>
      </c>
      <c r="AC18" s="602">
        <f>'Fuel Ethanol'!AD30</f>
        <v>118321.83620670457</v>
      </c>
      <c r="AD18" s="602">
        <f>'Fuel Ethanol'!AE30</f>
        <v>117285.48761056281</v>
      </c>
      <c r="AE18" s="602">
        <f>'Fuel Ethanol'!AF30</f>
        <v>116395.882550539</v>
      </c>
      <c r="AF18" s="602">
        <f>'Fuel Ethanol'!AG30</f>
        <v>115472.07851051593</v>
      </c>
      <c r="AG18" s="602">
        <f>'Fuel Ethanol'!AH30</f>
        <v>114753.19883067817</v>
      </c>
      <c r="AH18" s="602">
        <f>'Fuel Ethanol'!AI30</f>
        <v>113760.94681264914</v>
      </c>
      <c r="AI18" s="602">
        <f>'Fuel Ethanol'!AJ30</f>
        <v>112939.7668914472</v>
      </c>
      <c r="AJ18" s="602">
        <f>'Fuel Ethanol'!AK30</f>
        <v>112163.28753445861</v>
      </c>
      <c r="AK18" s="602">
        <f>'Fuel Ethanol'!AL30</f>
        <v>111390.10341491525</v>
      </c>
      <c r="AL18" s="602">
        <f>'Fuel Ethanol'!AM30</f>
        <v>110661.64021370083</v>
      </c>
      <c r="AM18" s="602">
        <f>'Fuel Ethanol'!AN30</f>
        <v>109812.7337178341</v>
      </c>
      <c r="AN18" s="602">
        <f>'Fuel Ethanol'!AO30</f>
        <v>109127.54619059039</v>
      </c>
      <c r="AO18" s="602">
        <f>'Fuel Ethanol'!AP30</f>
        <v>108442.11486204174</v>
      </c>
      <c r="AP18" s="602">
        <f>'Fuel Ethanol'!AQ30</f>
        <v>107714.82255732063</v>
      </c>
    </row>
    <row r="19" spans="1:42">
      <c r="A19" t="s">
        <v>134</v>
      </c>
      <c r="K19" s="599">
        <f>'Fuel Ethanol'!L31</f>
        <v>106400</v>
      </c>
      <c r="L19" s="599">
        <f>'Fuel Ethanol'!M31</f>
        <v>129908</v>
      </c>
      <c r="M19" s="599">
        <f>'Fuel Ethanol'!N31</f>
        <v>134140</v>
      </c>
      <c r="N19" s="599">
        <f>'Fuel Ethanol'!O31</f>
        <v>138122</v>
      </c>
      <c r="O19" s="599">
        <f>'Fuel Ethanol'!P31</f>
        <v>138214</v>
      </c>
      <c r="P19" s="602">
        <f>'Fuel Ethanol'!Q31</f>
        <v>142682</v>
      </c>
      <c r="Q19" s="602">
        <f>'Fuel Ethanol'!R31</f>
        <v>135298.33280867556</v>
      </c>
      <c r="R19" s="602">
        <f>'Fuel Ethanol'!S31</f>
        <v>131055.43848298427</v>
      </c>
      <c r="S19" s="602">
        <f>'Fuel Ethanol'!T31</f>
        <v>128257.43360960799</v>
      </c>
      <c r="T19" s="602">
        <f>'Fuel Ethanol'!U31</f>
        <v>127208.93464592376</v>
      </c>
      <c r="U19" s="602">
        <f>'Fuel Ethanol'!V31</f>
        <v>126002.22079205578</v>
      </c>
      <c r="V19" s="602">
        <f>'Fuel Ethanol'!W31</f>
        <v>124792.5386319924</v>
      </c>
      <c r="W19" s="602">
        <f>'Fuel Ethanol'!X31</f>
        <v>123677.12615315057</v>
      </c>
      <c r="X19" s="602">
        <f>'Fuel Ethanol'!Y31</f>
        <v>122670.15205389995</v>
      </c>
      <c r="Y19" s="602">
        <f>'Fuel Ethanol'!Z31</f>
        <v>121640.14551687584</v>
      </c>
      <c r="Z19" s="602">
        <f>'Fuel Ethanol'!AA31</f>
        <v>120548.99299239866</v>
      </c>
      <c r="AA19" s="602">
        <f>'Fuel Ethanol'!AB31</f>
        <v>119524.06033654186</v>
      </c>
      <c r="AB19" s="602">
        <f>'Fuel Ethanol'!AC31</f>
        <v>118558.54872915208</v>
      </c>
      <c r="AC19" s="602">
        <f>'Fuel Ethanol'!AD31</f>
        <v>117640.52245541976</v>
      </c>
      <c r="AD19" s="602">
        <f>'Fuel Ethanol'!AE31</f>
        <v>116615.12886679066</v>
      </c>
      <c r="AE19" s="602">
        <f>'Fuel Ethanol'!AF31</f>
        <v>115724.40571269987</v>
      </c>
      <c r="AF19" s="602">
        <f>'Fuel Ethanol'!AG31</f>
        <v>114803.06496809747</v>
      </c>
      <c r="AG19" s="602">
        <f>'Fuel Ethanol'!AH31</f>
        <v>114092.3418576813</v>
      </c>
      <c r="AH19" s="602">
        <f>'Fuel Ethanol'!AI31</f>
        <v>113105.78091485637</v>
      </c>
      <c r="AI19" s="602">
        <f>'Fuel Ethanol'!AJ31</f>
        <v>112288.07782067719</v>
      </c>
      <c r="AJ19" s="602">
        <f>'Fuel Ethanol'!AK31</f>
        <v>111516.04092471267</v>
      </c>
      <c r="AK19" s="602">
        <f>'Fuel Ethanol'!AL31</f>
        <v>110747.97497840271</v>
      </c>
      <c r="AL19" s="602">
        <f>'Fuel Ethanol'!AM31</f>
        <v>110023.54925829847</v>
      </c>
      <c r="AM19" s="602">
        <f>'Fuel Ethanol'!AN31</f>
        <v>109179.34217106304</v>
      </c>
      <c r="AN19" s="602">
        <f>'Fuel Ethanol'!AO31</f>
        <v>108498.17090708989</v>
      </c>
      <c r="AO19" s="602">
        <f>'Fuel Ethanol'!AP31</f>
        <v>107816.78200049221</v>
      </c>
      <c r="AP19" s="602">
        <f>'Fuel Ethanol'!AQ31</f>
        <v>107093.63346312038</v>
      </c>
    </row>
    <row r="20" spans="1:42">
      <c r="A20" t="s">
        <v>135</v>
      </c>
      <c r="K20" s="599">
        <f>'Fuel Ethanol'!L32</f>
        <v>126724</v>
      </c>
      <c r="L20" s="599">
        <f>'Fuel Ethanol'!M32</f>
        <v>150008</v>
      </c>
      <c r="M20" s="599">
        <f>'Fuel Ethanol'!N32</f>
        <v>155200</v>
      </c>
      <c r="N20" s="599">
        <f>'Fuel Ethanol'!O32</f>
        <v>148829</v>
      </c>
      <c r="O20" s="599">
        <f>'Fuel Ethanol'!P32</f>
        <v>153288</v>
      </c>
      <c r="P20" s="602">
        <f>'Fuel Ethanol'!Q32</f>
        <v>154666</v>
      </c>
      <c r="Q20" s="602">
        <f>'Fuel Ethanol'!R32</f>
        <v>149686.49031063766</v>
      </c>
      <c r="R20" s="602">
        <f>'Fuel Ethanol'!S32</f>
        <v>143385.86160088089</v>
      </c>
      <c r="S20" s="602">
        <f>'Fuel Ethanol'!T32</f>
        <v>140860.90387205113</v>
      </c>
      <c r="T20" s="602">
        <f>'Fuel Ethanol'!U32</f>
        <v>139356.09752475913</v>
      </c>
      <c r="U20" s="602">
        <f>'Fuel Ethanol'!V32</f>
        <v>138430.32531472115</v>
      </c>
      <c r="V20" s="602">
        <f>'Fuel Ethanol'!W32</f>
        <v>136847.33709534211</v>
      </c>
      <c r="W20" s="602">
        <f>'Fuel Ethanol'!X32</f>
        <v>135704.63908208089</v>
      </c>
      <c r="X20" s="602">
        <f>'Fuel Ethanol'!Y32</f>
        <v>134567.82154533689</v>
      </c>
      <c r="Y20" s="602">
        <f>'Fuel Ethanol'!Z32</f>
        <v>133484.58052197818</v>
      </c>
      <c r="Z20" s="602">
        <f>'Fuel Ethanol'!AA32</f>
        <v>132248.30225060027</v>
      </c>
      <c r="AA20" s="602">
        <f>'Fuel Ethanol'!AB32</f>
        <v>131137.68557083939</v>
      </c>
      <c r="AB20" s="602">
        <f>'Fuel Ethanol'!AC32</f>
        <v>130075.82553598656</v>
      </c>
      <c r="AC20" s="602">
        <f>'Fuel Ethanol'!AD32</f>
        <v>129073.2786073287</v>
      </c>
      <c r="AD20" s="602">
        <f>'Fuel Ethanol'!AE32</f>
        <v>127942.60665398525</v>
      </c>
      <c r="AE20" s="602">
        <f>'Fuel Ethanol'!AF32</f>
        <v>126967.8828649256</v>
      </c>
      <c r="AF20" s="602">
        <f>'Fuel Ethanol'!AG32</f>
        <v>125956.78606342265</v>
      </c>
      <c r="AG20" s="602">
        <f>'Fuel Ethanol'!AH32</f>
        <v>125177.33386051374</v>
      </c>
      <c r="AH20" s="602">
        <f>'Fuel Ethanol'!AI32</f>
        <v>124094.17758854304</v>
      </c>
      <c r="AI20" s="602">
        <f>'Fuel Ethanol'!AJ32</f>
        <v>123197.48904146411</v>
      </c>
      <c r="AJ20" s="602">
        <f>'Fuel Ethanol'!AK32</f>
        <v>122350.39351547274</v>
      </c>
      <c r="AK20" s="602">
        <f>'Fuel Ethanol'!AL32</f>
        <v>121507.701783841</v>
      </c>
      <c r="AL20" s="602">
        <f>'Fuel Ethanol'!AM32</f>
        <v>120712.81013084357</v>
      </c>
      <c r="AM20" s="602">
        <f>'Fuel Ethanol'!AN32</f>
        <v>119786.66236196042</v>
      </c>
      <c r="AN20" s="602">
        <f>'Fuel Ethanol'!AO32</f>
        <v>119039.2967119362</v>
      </c>
      <c r="AO20" s="602">
        <f>'Fuel Ethanol'!AP32</f>
        <v>118291.7011571343</v>
      </c>
      <c r="AP20" s="602">
        <f>'Fuel Ethanol'!AQ32</f>
        <v>117498.28833845601</v>
      </c>
    </row>
    <row r="21" spans="1:42">
      <c r="A21" t="s">
        <v>136</v>
      </c>
      <c r="K21" s="599">
        <f>'Fuel Ethanol'!L33</f>
        <v>113403</v>
      </c>
      <c r="L21" s="599">
        <f>'Fuel Ethanol'!M33</f>
        <v>146424</v>
      </c>
      <c r="M21" s="599">
        <f>'Fuel Ethanol'!N33</f>
        <v>148267</v>
      </c>
      <c r="N21" s="599">
        <f>'Fuel Ethanol'!O33</f>
        <v>147066</v>
      </c>
      <c r="O21" s="602">
        <f>'Fuel Ethanol'!P33</f>
        <v>151728</v>
      </c>
      <c r="P21" s="602">
        <f>'Fuel Ethanol'!Q33</f>
        <v>160518</v>
      </c>
      <c r="Q21" s="602">
        <f>'Fuel Ethanol'!R33</f>
        <v>148609.30466442188</v>
      </c>
      <c r="R21" s="602">
        <f>'Fuel Ethanol'!S33</f>
        <v>143729.10995109097</v>
      </c>
      <c r="S21" s="602">
        <f>'Fuel Ethanol'!T33</f>
        <v>141694.79730604796</v>
      </c>
      <c r="T21" s="602">
        <f>'Fuel Ethanol'!U33</f>
        <v>140765.27596302403</v>
      </c>
      <c r="U21" s="602">
        <f>'Fuel Ethanol'!V33</f>
        <v>138794.7311581739</v>
      </c>
      <c r="V21" s="602">
        <f>'Fuel Ethanol'!W33</f>
        <v>137565.79823432231</v>
      </c>
      <c r="W21" s="602">
        <f>'Fuel Ethanol'!X33</f>
        <v>136517.14973482469</v>
      </c>
      <c r="X21" s="602">
        <f>'Fuel Ethanol'!Y33</f>
        <v>135375.84604948162</v>
      </c>
      <c r="Y21" s="602">
        <f>'Fuel Ethanol'!Z33</f>
        <v>134146.04586734436</v>
      </c>
      <c r="Z21" s="602">
        <f>'Fuel Ethanol'!AA33</f>
        <v>132982.30658720914</v>
      </c>
      <c r="AA21" s="602">
        <f>'Fuel Ethanol'!AB33</f>
        <v>131875.57353988499</v>
      </c>
      <c r="AB21" s="602">
        <f>'Fuel Ethanol'!AC33</f>
        <v>130795.76357458034</v>
      </c>
      <c r="AC21" s="602">
        <f>'Fuel Ethanol'!AD33</f>
        <v>129772.18125430073</v>
      </c>
      <c r="AD21" s="602">
        <f>'Fuel Ethanol'!AE33</f>
        <v>128650.40201495662</v>
      </c>
      <c r="AE21" s="602">
        <f>'Fuel Ethanol'!AF33</f>
        <v>127669.70053915093</v>
      </c>
      <c r="AF21" s="602">
        <f>'Fuel Ethanol'!AG33</f>
        <v>126649.82427258886</v>
      </c>
      <c r="AG21" s="602">
        <f>'Fuel Ethanol'!AH33</f>
        <v>125865.04352373348</v>
      </c>
      <c r="AH21" s="602">
        <f>'Fuel Ethanol'!AI33</f>
        <v>124778.4404688115</v>
      </c>
      <c r="AI21" s="602">
        <f>'Fuel Ethanol'!AJ33</f>
        <v>123876.2403504525</v>
      </c>
      <c r="AJ21" s="602">
        <f>'Fuel Ethanol'!AK33</f>
        <v>123023.91478385616</v>
      </c>
      <c r="AK21" s="602">
        <f>'Fuel Ethanol'!AL33</f>
        <v>122176.66659755148</v>
      </c>
      <c r="AL21" s="602">
        <f>'Fuel Ethanol'!AM33</f>
        <v>121377.75708975406</v>
      </c>
      <c r="AM21" s="602">
        <f>'Fuel Ethanol'!AN33</f>
        <v>120446.33826843882</v>
      </c>
      <c r="AN21" s="602">
        <f>'Fuel Ethanol'!AO33</f>
        <v>119694.78512478316</v>
      </c>
      <c r="AO21" s="602">
        <f>'Fuel Ethanol'!AP33</f>
        <v>118943.12204120617</v>
      </c>
      <c r="AP21" s="602">
        <f>'Fuel Ethanol'!AQ33</f>
        <v>118145.38086176157</v>
      </c>
    </row>
    <row r="22" spans="1:42">
      <c r="A22" t="s">
        <v>137</v>
      </c>
      <c r="K22" s="599">
        <f>'Fuel Ethanol'!L34</f>
        <v>117434</v>
      </c>
      <c r="L22" s="599">
        <f>'Fuel Ethanol'!M34</f>
        <v>134745</v>
      </c>
      <c r="M22" s="599">
        <f>'Fuel Ethanol'!N34</f>
        <v>142231</v>
      </c>
      <c r="N22" s="599">
        <f>'Fuel Ethanol'!O34</f>
        <v>127518</v>
      </c>
      <c r="O22" s="602">
        <f>'Fuel Ethanol'!P34</f>
        <v>136625</v>
      </c>
      <c r="P22" s="602">
        <f>'Fuel Ethanol'!Q34</f>
        <v>136191</v>
      </c>
      <c r="Q22" s="602">
        <f>'Fuel Ethanol'!R34</f>
        <v>132707.36379179015</v>
      </c>
      <c r="R22" s="602">
        <f>'Fuel Ethanol'!S34</f>
        <v>126025.45789574044</v>
      </c>
      <c r="S22" s="602">
        <f>'Fuel Ethanol'!T34</f>
        <v>124577.6449516678</v>
      </c>
      <c r="T22" s="602">
        <f>'Fuel Ethanol'!U34</f>
        <v>122996.58271373644</v>
      </c>
      <c r="U22" s="602">
        <f>'Fuel Ethanol'!V34</f>
        <v>122256.32509412433</v>
      </c>
      <c r="V22" s="602">
        <f>'Fuel Ethanol'!W34</f>
        <v>120734.10619156237</v>
      </c>
      <c r="W22" s="602">
        <f>'Fuel Ethanol'!X34</f>
        <v>119842.55534185775</v>
      </c>
      <c r="X22" s="602">
        <f>'Fuel Ethanol'!Y34</f>
        <v>118794.2307957278</v>
      </c>
      <c r="Y22" s="602">
        <f>'Fuel Ethanol'!Z34</f>
        <v>117843.99704240588</v>
      </c>
      <c r="Z22" s="602">
        <f>'Fuel Ethanol'!AA34</f>
        <v>116741.30189808593</v>
      </c>
      <c r="AA22" s="602">
        <f>'Fuel Ethanol'!AB34</f>
        <v>115777.29543609312</v>
      </c>
      <c r="AB22" s="602">
        <f>'Fuel Ethanol'!AC34</f>
        <v>114831.67663688272</v>
      </c>
      <c r="AC22" s="602">
        <f>'Fuel Ethanol'!AD34</f>
        <v>113947.35868103507</v>
      </c>
      <c r="AD22" s="602">
        <f>'Fuel Ethanol'!AE34</f>
        <v>112948.62770441969</v>
      </c>
      <c r="AE22" s="602">
        <f>'Fuel Ethanol'!AF34</f>
        <v>112090.19863166503</v>
      </c>
      <c r="AF22" s="602">
        <f>'Fuel Ethanol'!AG34</f>
        <v>111196.13371066135</v>
      </c>
      <c r="AG22" s="602">
        <f>'Fuel Ethanol'!AH34</f>
        <v>110508.21894139536</v>
      </c>
      <c r="AH22" s="602">
        <f>'Fuel Ethanol'!AI34</f>
        <v>109552.05599534381</v>
      </c>
      <c r="AI22" s="602">
        <f>'Fuel Ethanol'!AJ34</f>
        <v>108760.66152232808</v>
      </c>
      <c r="AJ22" s="602">
        <f>'Fuel Ethanol'!AK34</f>
        <v>108012.59313048222</v>
      </c>
      <c r="AK22" s="602">
        <f>'Fuel Ethanol'!AL34</f>
        <v>107268.71033253548</v>
      </c>
      <c r="AL22" s="602">
        <f>'Fuel Ethanol'!AM34</f>
        <v>106566.99195558819</v>
      </c>
      <c r="AM22" s="602">
        <f>'Fuel Ethanol'!AN34</f>
        <v>105749.38909478817</v>
      </c>
      <c r="AN22" s="602">
        <f>'Fuel Ethanol'!AO34</f>
        <v>105089.56817202672</v>
      </c>
      <c r="AO22" s="602">
        <f>'Fuel Ethanol'!AP34</f>
        <v>104429.59453344168</v>
      </c>
      <c r="AP22" s="602">
        <f>'Fuel Ethanol'!AQ34</f>
        <v>103729.16217355644</v>
      </c>
    </row>
    <row r="23" spans="1:42">
      <c r="A23" t="s">
        <v>138</v>
      </c>
      <c r="K23" s="599">
        <f>'Fuel Ethanol'!L35</f>
        <v>107915</v>
      </c>
      <c r="L23" s="599">
        <f>'Fuel Ethanol'!M35</f>
        <v>139203</v>
      </c>
      <c r="M23" s="599">
        <f>'Fuel Ethanol'!N35</f>
        <v>121464</v>
      </c>
      <c r="N23" s="599">
        <f>'Fuel Ethanol'!O35</f>
        <v>138048</v>
      </c>
      <c r="O23" s="602">
        <f>'Fuel Ethanol'!P35</f>
        <v>129366</v>
      </c>
      <c r="P23" s="602">
        <f>'Fuel Ethanol'!Q35</f>
        <v>139687</v>
      </c>
      <c r="Q23" s="602">
        <f>'Fuel Ethanol'!R35</f>
        <v>129283.06791372014</v>
      </c>
      <c r="R23" s="602">
        <f>'Fuel Ethanol'!S35</f>
        <v>126815.7639511271</v>
      </c>
      <c r="S23" s="602">
        <f>'Fuel Ethanol'!T35</f>
        <v>123078.39992585877</v>
      </c>
      <c r="T23" s="602">
        <f>'Fuel Ethanol'!U35</f>
        <v>122845.71170800527</v>
      </c>
      <c r="U23" s="602">
        <f>'Fuel Ethanol'!V35</f>
        <v>121221.85591436282</v>
      </c>
      <c r="V23" s="602">
        <f>'Fuel Ethanol'!W35</f>
        <v>120272.87531838111</v>
      </c>
      <c r="W23" s="602">
        <f>'Fuel Ethanol'!X35</f>
        <v>119074.04780402155</v>
      </c>
      <c r="X23" s="602">
        <f>'Fuel Ethanol'!Y35</f>
        <v>118203.69983119096</v>
      </c>
      <c r="Y23" s="602">
        <f>'Fuel Ethanol'!Z35</f>
        <v>117145.50287575703</v>
      </c>
      <c r="Z23" s="602">
        <f>'Fuel Ethanol'!AA35</f>
        <v>116125.13559305416</v>
      </c>
      <c r="AA23" s="602">
        <f>'Fuel Ethanol'!AB35</f>
        <v>115123.15513751617</v>
      </c>
      <c r="AB23" s="602">
        <f>'Fuel Ethanol'!AC35</f>
        <v>114205.24995307931</v>
      </c>
      <c r="AC23" s="602">
        <f>'Fuel Ethanol'!AD35</f>
        <v>113311.668751057</v>
      </c>
      <c r="AD23" s="602">
        <f>'Fuel Ethanol'!AE35</f>
        <v>112328.56441572132</v>
      </c>
      <c r="AE23" s="602">
        <f>'Fuel Ethanol'!AF35</f>
        <v>111468.79195645019</v>
      </c>
      <c r="AF23" s="602">
        <f>'Fuel Ethanol'!AG35</f>
        <v>110582.69565241718</v>
      </c>
      <c r="AG23" s="602">
        <f>'Fuel Ethanol'!AH35</f>
        <v>109896.84098997475</v>
      </c>
      <c r="AH23" s="602">
        <f>'Fuel Ethanol'!AI35</f>
        <v>108947.26399898941</v>
      </c>
      <c r="AI23" s="602">
        <f>'Fuel Ethanol'!AJ35</f>
        <v>108159.38483777651</v>
      </c>
      <c r="AJ23" s="602">
        <f>'Fuel Ethanol'!AK35</f>
        <v>107415.87501014098</v>
      </c>
      <c r="AK23" s="602">
        <f>'Fuel Ethanol'!AL35</f>
        <v>106675.88876091238</v>
      </c>
      <c r="AL23" s="602">
        <f>'Fuel Ethanol'!AM35</f>
        <v>105978.20897923858</v>
      </c>
      <c r="AM23" s="602">
        <f>'Fuel Ethanol'!AN35</f>
        <v>105165.00464620737</v>
      </c>
      <c r="AN23" s="602">
        <f>'Fuel Ethanol'!AO35</f>
        <v>104508.8918035052</v>
      </c>
      <c r="AO23" s="602">
        <f>'Fuel Ethanol'!AP35</f>
        <v>103852.53793948976</v>
      </c>
      <c r="AP23" s="602">
        <f>'Fuel Ethanol'!AQ35</f>
        <v>103155.99486256433</v>
      </c>
    </row>
    <row r="24" spans="1:42">
      <c r="A24" t="s">
        <v>139</v>
      </c>
      <c r="K24" s="599">
        <f>'Fuel Ethanol'!L36</f>
        <v>96916</v>
      </c>
      <c r="L24" s="599">
        <f>'Fuel Ethanol'!M36</f>
        <v>155234</v>
      </c>
      <c r="M24" s="599">
        <f>'Fuel Ethanol'!N36</f>
        <v>154607</v>
      </c>
      <c r="N24" s="599">
        <f>'Fuel Ethanol'!O36</f>
        <v>148365</v>
      </c>
      <c r="O24" s="602">
        <f>'Fuel Ethanol'!P36</f>
        <v>152552</v>
      </c>
      <c r="P24" s="602">
        <f>'Fuel Ethanol'!Q36</f>
        <v>149096</v>
      </c>
      <c r="Q24" s="602">
        <f>'Fuel Ethanol'!R36</f>
        <v>147885.55527133553</v>
      </c>
      <c r="R24" s="602">
        <f>'Fuel Ethanol'!S36</f>
        <v>141359.4597373576</v>
      </c>
      <c r="S24" s="602">
        <f>'Fuel Ethanol'!T36</f>
        <v>138485.98139014616</v>
      </c>
      <c r="T24" s="602">
        <f>'Fuel Ethanol'!U36</f>
        <v>136568.91063863016</v>
      </c>
      <c r="U24" s="602">
        <f>'Fuel Ethanol'!V36</f>
        <v>136259.67280828085</v>
      </c>
      <c r="V24" s="602">
        <f>'Fuel Ethanol'!W36</f>
        <v>134568.50968511397</v>
      </c>
      <c r="W24" s="602">
        <f>'Fuel Ethanol'!X36</f>
        <v>133356.57466333933</v>
      </c>
      <c r="X24" s="602">
        <f>'Fuel Ethanol'!Y36</f>
        <v>132224.17915570151</v>
      </c>
      <c r="Y24" s="602">
        <f>'Fuel Ethanol'!Z36</f>
        <v>131247.92540278958</v>
      </c>
      <c r="Z24" s="602">
        <f>'Fuel Ethanol'!AA36</f>
        <v>129995.94321056343</v>
      </c>
      <c r="AA24" s="602">
        <f>'Fuel Ethanol'!AB36</f>
        <v>128891.55404549632</v>
      </c>
      <c r="AB24" s="602">
        <f>'Fuel Ethanol'!AC36</f>
        <v>127853.68487756416</v>
      </c>
      <c r="AC24" s="602">
        <f>'Fuel Ethanol'!AD36</f>
        <v>126879.22940394981</v>
      </c>
      <c r="AD24" s="602">
        <f>'Fuel Ethanol'!AE36</f>
        <v>125759.84903850676</v>
      </c>
      <c r="AE24" s="602">
        <f>'Fuel Ethanol'!AF36</f>
        <v>124800.80982235692</v>
      </c>
      <c r="AF24" s="602">
        <f>'Fuel Ethanol'!AG36</f>
        <v>123808.90324038244</v>
      </c>
      <c r="AG24" s="602">
        <f>'Fuel Ethanol'!AH36</f>
        <v>123043.72893254574</v>
      </c>
      <c r="AH24" s="602">
        <f>'Fuel Ethanol'!AI36</f>
        <v>121977.5729661643</v>
      </c>
      <c r="AI24" s="602">
        <f>'Fuel Ethanol'!AJ36</f>
        <v>121096.30445722947</v>
      </c>
      <c r="AJ24" s="602">
        <f>'Fuel Ethanol'!AK36</f>
        <v>120264.04503909944</v>
      </c>
      <c r="AK24" s="602">
        <f>'Fuel Ethanol'!AL36</f>
        <v>119435.73224238794</v>
      </c>
      <c r="AL24" s="602">
        <f>'Fuel Ethanol'!AM36</f>
        <v>118654.1642362643</v>
      </c>
      <c r="AM24" s="602">
        <f>'Fuel Ethanol'!AN36</f>
        <v>117743.8829266035</v>
      </c>
      <c r="AN24" s="602">
        <f>'Fuel Ethanol'!AO36</f>
        <v>117009.32112257833</v>
      </c>
      <c r="AO24" s="602">
        <f>'Fuel Ethanol'!AP36</f>
        <v>116274.4518776006</v>
      </c>
      <c r="AP24" s="602">
        <f>'Fuel Ethanol'!AQ36</f>
        <v>115494.53908005066</v>
      </c>
    </row>
    <row r="25" spans="1:42">
      <c r="A25" t="s">
        <v>140</v>
      </c>
      <c r="K25" s="599">
        <f>'Fuel Ethanol'!L37</f>
        <v>115839</v>
      </c>
      <c r="L25" s="599">
        <f>'Fuel Ethanol'!M37</f>
        <v>139070</v>
      </c>
      <c r="M25" s="599">
        <f>'Fuel Ethanol'!N37</f>
        <v>150595</v>
      </c>
      <c r="N25" s="599">
        <f>'Fuel Ethanol'!O37</f>
        <v>150449</v>
      </c>
      <c r="O25" s="602">
        <f>'Fuel Ethanol'!P37</f>
        <v>152162</v>
      </c>
      <c r="P25" s="602">
        <f>'Fuel Ethanol'!Q37</f>
        <v>144741</v>
      </c>
      <c r="Q25" s="602">
        <f>'Fuel Ethanol'!R37</f>
        <v>126677.02802304109</v>
      </c>
      <c r="R25" s="602">
        <f>'Fuel Ethanol'!S37</f>
        <v>135716.05510582472</v>
      </c>
      <c r="S25" s="602">
        <f>'Fuel Ethanol'!T37</f>
        <v>131080.69479993125</v>
      </c>
      <c r="T25" s="602">
        <f>'Fuel Ethanol'!U37</f>
        <v>127427.1252389946</v>
      </c>
      <c r="U25" s="602">
        <f>'Fuel Ethanol'!V37</f>
        <v>125780.2557576329</v>
      </c>
      <c r="V25" s="602">
        <f>'Fuel Ethanol'!W37</f>
        <v>126613.84073463851</v>
      </c>
      <c r="W25" s="602">
        <f>'Fuel Ethanol'!X37</f>
        <v>124810.8482520252</v>
      </c>
      <c r="X25" s="602">
        <f>'Fuel Ethanol'!Y37</f>
        <v>123391.78669137321</v>
      </c>
      <c r="Y25" s="602">
        <f>'Fuel Ethanol'!Z37</f>
        <v>122485.43604814284</v>
      </c>
      <c r="Z25" s="602">
        <f>'Fuel Ethanol'!AA37</f>
        <v>121655.19958477188</v>
      </c>
      <c r="AA25" s="602">
        <f>'Fuel Ethanol'!AB37</f>
        <v>120455.43538839952</v>
      </c>
      <c r="AB25" s="602">
        <f>'Fuel Ethanol'!AC37</f>
        <v>119440.79436339275</v>
      </c>
      <c r="AC25" s="602">
        <f>'Fuel Ethanol'!AD37</f>
        <v>118562.77205365314</v>
      </c>
      <c r="AD25" s="602">
        <f>'Fuel Ethanol'!AE37</f>
        <v>117555.86057673628</v>
      </c>
      <c r="AE25" s="602">
        <f>'Fuel Ethanol'!AF37</f>
        <v>116625.18512548856</v>
      </c>
      <c r="AF25" s="602">
        <f>'Fuel Ethanol'!AG37</f>
        <v>115696.42295252322</v>
      </c>
      <c r="AG25" s="602">
        <f>'Fuel Ethanol'!AH37</f>
        <v>114990.07075057155</v>
      </c>
      <c r="AH25" s="602">
        <f>'Fuel Ethanol'!AI37</f>
        <v>113996.58036793722</v>
      </c>
      <c r="AI25" s="602">
        <f>'Fuel Ethanol'!AJ37</f>
        <v>113166.96826405637</v>
      </c>
      <c r="AJ25" s="602">
        <f>'Fuel Ethanol'!AK37</f>
        <v>112390.11777074519</v>
      </c>
      <c r="AK25" s="602">
        <f>'Fuel Ethanol'!AL37</f>
        <v>111617.62358301599</v>
      </c>
      <c r="AL25" s="602">
        <f>'Fuel Ethanol'!AM37</f>
        <v>110887.06233023806</v>
      </c>
      <c r="AM25" s="602">
        <f>'Fuel Ethanol'!AN37</f>
        <v>110035.46929641417</v>
      </c>
      <c r="AN25" s="602">
        <f>'Fuel Ethanol'!AO37</f>
        <v>109349.35325335921</v>
      </c>
      <c r="AO25" s="602">
        <f>'Fuel Ethanol'!AP37</f>
        <v>108662.81083438662</v>
      </c>
      <c r="AP25" s="602">
        <f>'Fuel Ethanol'!AQ37</f>
        <v>107933.83561275247</v>
      </c>
    </row>
    <row r="26" spans="1:42" ht="13.5" thickBot="1">
      <c r="A26" t="s">
        <v>141</v>
      </c>
      <c r="K26" s="599">
        <f t="shared" ref="K26:AH26" si="1">SUM(K14:K25)</f>
        <v>1209968</v>
      </c>
      <c r="L26" s="599">
        <f t="shared" si="1"/>
        <v>1623228</v>
      </c>
      <c r="M26" s="599">
        <f t="shared" si="1"/>
        <v>1642471</v>
      </c>
      <c r="N26" s="599">
        <f t="shared" si="1"/>
        <v>1691553</v>
      </c>
      <c r="O26" s="602">
        <f t="shared" si="1"/>
        <v>1716798</v>
      </c>
      <c r="P26" s="602">
        <f t="shared" si="1"/>
        <v>1757444</v>
      </c>
      <c r="Q26" s="602">
        <f t="shared" si="1"/>
        <v>1665251.2286145918</v>
      </c>
      <c r="R26" s="602">
        <f t="shared" si="1"/>
        <v>1615044.8864684976</v>
      </c>
      <c r="S26" s="602">
        <f t="shared" si="1"/>
        <v>1583042.6421450726</v>
      </c>
      <c r="T26" s="602">
        <f t="shared" si="1"/>
        <v>1567529.0760914455</v>
      </c>
      <c r="U26" s="602">
        <f t="shared" si="1"/>
        <v>1552840.8491891595</v>
      </c>
      <c r="V26" s="602">
        <f t="shared" si="1"/>
        <v>1538457.3279594306</v>
      </c>
      <c r="W26" s="602">
        <f t="shared" si="1"/>
        <v>1524858.3947604448</v>
      </c>
      <c r="X26" s="602">
        <f t="shared" si="1"/>
        <v>1512024.4348914337</v>
      </c>
      <c r="Y26" s="602">
        <f t="shared" si="1"/>
        <v>1499436.324019148</v>
      </c>
      <c r="Z26" s="602">
        <f t="shared" si="1"/>
        <v>1486075.4159186692</v>
      </c>
      <c r="AA26" s="602">
        <f t="shared" si="1"/>
        <v>1473423.5305207025</v>
      </c>
      <c r="AB26" s="602">
        <f t="shared" si="1"/>
        <v>1461462.9422576847</v>
      </c>
      <c r="AC26" s="602">
        <f t="shared" si="1"/>
        <v>1450176.3687012428</v>
      </c>
      <c r="AD26" s="602">
        <f t="shared" si="1"/>
        <v>1437546.9594837115</v>
      </c>
      <c r="AE26" s="602">
        <f t="shared" si="1"/>
        <v>1426558.2854966188</v>
      </c>
      <c r="AF26" s="602">
        <f t="shared" si="1"/>
        <v>1415194.3283592034</v>
      </c>
      <c r="AG26" s="602">
        <f t="shared" si="1"/>
        <v>1406439.4701502235</v>
      </c>
      <c r="AH26" s="602">
        <f t="shared" si="1"/>
        <v>1394278.4833964678</v>
      </c>
      <c r="AI26" s="602">
        <f t="shared" ref="AI26:AP26" si="2">SUM(AI14:AI25)</f>
        <v>1384196.5213115562</v>
      </c>
      <c r="AJ26" s="602">
        <f t="shared" si="2"/>
        <v>1374679.1082787672</v>
      </c>
      <c r="AK26" s="602">
        <f t="shared" si="2"/>
        <v>1365212.130571798</v>
      </c>
      <c r="AL26" s="602">
        <f t="shared" si="2"/>
        <v>1356281.8273075032</v>
      </c>
      <c r="AM26" s="602">
        <f t="shared" si="2"/>
        <v>1345874.7816248154</v>
      </c>
      <c r="AN26" s="602">
        <f t="shared" si="2"/>
        <v>1337477.9120841951</v>
      </c>
      <c r="AO26" s="602">
        <f t="shared" si="2"/>
        <v>1329078.4642820903</v>
      </c>
      <c r="AP26" s="602">
        <f t="shared" si="2"/>
        <v>1320164.0026750378</v>
      </c>
    </row>
    <row r="27" spans="1:42">
      <c r="A27" s="603"/>
      <c r="B27" s="603"/>
      <c r="C27" s="603"/>
      <c r="D27" s="603"/>
      <c r="E27" s="603"/>
      <c r="F27" s="603"/>
      <c r="G27" s="603"/>
      <c r="H27" s="603"/>
      <c r="I27" s="603"/>
      <c r="J27" s="603"/>
      <c r="K27" s="603"/>
      <c r="L27" s="603"/>
      <c r="M27" s="603"/>
      <c r="N27" s="603"/>
      <c r="O27" s="603"/>
      <c r="P27" s="603"/>
      <c r="Q27" s="603"/>
      <c r="R27" s="603"/>
      <c r="S27" s="603"/>
      <c r="T27" s="603"/>
      <c r="U27" s="603"/>
      <c r="V27" s="603"/>
      <c r="W27" s="603"/>
      <c r="X27" s="603"/>
      <c r="Y27" s="603"/>
      <c r="Z27" s="603"/>
      <c r="AA27" s="603"/>
      <c r="AB27" s="603"/>
      <c r="AC27" s="603"/>
      <c r="AD27" s="603"/>
      <c r="AE27" s="603"/>
      <c r="AF27" s="603"/>
      <c r="AG27" s="603"/>
      <c r="AH27" s="603"/>
      <c r="AI27" s="603"/>
      <c r="AJ27" s="603"/>
      <c r="AK27" s="603"/>
      <c r="AL27" s="603"/>
      <c r="AM27" s="603"/>
      <c r="AN27" s="603"/>
      <c r="AO27" s="603"/>
      <c r="AP27" s="603"/>
    </row>
    <row r="28" spans="1:42" ht="13.5" thickBot="1">
      <c r="A28" s="164" t="s">
        <v>144</v>
      </c>
      <c r="B28" s="164"/>
      <c r="C28" s="164"/>
      <c r="D28" s="164"/>
      <c r="E28" s="164"/>
      <c r="F28" s="164"/>
      <c r="G28" s="164"/>
      <c r="H28" s="164"/>
      <c r="I28" s="164"/>
      <c r="J28" s="164"/>
      <c r="K28" s="164"/>
    </row>
    <row r="29" spans="1:42" ht="13.5" thickBot="1">
      <c r="A29" s="600"/>
      <c r="B29" s="600"/>
      <c r="C29" s="600"/>
      <c r="D29" s="600"/>
      <c r="E29" s="600"/>
      <c r="F29" s="600"/>
      <c r="G29" s="600"/>
      <c r="H29" s="600"/>
      <c r="I29" s="600"/>
      <c r="J29" s="600"/>
      <c r="K29" s="600"/>
      <c r="L29" s="601">
        <f>L2</f>
        <v>2020</v>
      </c>
      <c r="M29" s="601">
        <f t="shared" ref="M29:AP29" si="3">M2</f>
        <v>2021</v>
      </c>
      <c r="N29" s="601">
        <f t="shared" si="3"/>
        <v>2022</v>
      </c>
      <c r="O29" s="601">
        <f t="shared" si="3"/>
        <v>2023</v>
      </c>
      <c r="P29" s="601">
        <f t="shared" si="3"/>
        <v>2024</v>
      </c>
      <c r="Q29" s="601">
        <f t="shared" si="3"/>
        <v>2025</v>
      </c>
      <c r="R29" s="601">
        <f t="shared" si="3"/>
        <v>2026</v>
      </c>
      <c r="S29" s="601">
        <f t="shared" si="3"/>
        <v>2027</v>
      </c>
      <c r="T29" s="601">
        <f t="shared" si="3"/>
        <v>2028</v>
      </c>
      <c r="U29" s="601">
        <f t="shared" si="3"/>
        <v>2029</v>
      </c>
      <c r="V29" s="601">
        <f t="shared" si="3"/>
        <v>2030</v>
      </c>
      <c r="W29" s="601">
        <f t="shared" si="3"/>
        <v>2031</v>
      </c>
      <c r="X29" s="601">
        <f t="shared" si="3"/>
        <v>2032</v>
      </c>
      <c r="Y29" s="601">
        <f t="shared" si="3"/>
        <v>2033</v>
      </c>
      <c r="Z29" s="601">
        <f t="shared" si="3"/>
        <v>2034</v>
      </c>
      <c r="AA29" s="601">
        <f t="shared" si="3"/>
        <v>2035</v>
      </c>
      <c r="AB29" s="601">
        <f t="shared" si="3"/>
        <v>2036</v>
      </c>
      <c r="AC29" s="601">
        <f t="shared" si="3"/>
        <v>2037</v>
      </c>
      <c r="AD29" s="601">
        <f t="shared" si="3"/>
        <v>2038</v>
      </c>
      <c r="AE29" s="601">
        <f t="shared" si="3"/>
        <v>2039</v>
      </c>
      <c r="AF29" s="601">
        <f t="shared" si="3"/>
        <v>2040</v>
      </c>
      <c r="AG29" s="601">
        <f t="shared" si="3"/>
        <v>2041</v>
      </c>
      <c r="AH29" s="601">
        <f t="shared" si="3"/>
        <v>2042</v>
      </c>
      <c r="AI29" s="601">
        <f t="shared" si="3"/>
        <v>2043</v>
      </c>
      <c r="AJ29" s="601">
        <f t="shared" si="3"/>
        <v>2044</v>
      </c>
      <c r="AK29" s="601">
        <f t="shared" si="3"/>
        <v>2045</v>
      </c>
      <c r="AL29" s="601">
        <f t="shared" si="3"/>
        <v>2046</v>
      </c>
      <c r="AM29" s="601">
        <f t="shared" si="3"/>
        <v>2047</v>
      </c>
      <c r="AN29" s="601">
        <f t="shared" si="3"/>
        <v>2048</v>
      </c>
      <c r="AO29" s="601">
        <f t="shared" si="3"/>
        <v>2049</v>
      </c>
      <c r="AP29" s="601">
        <f t="shared" si="3"/>
        <v>2050</v>
      </c>
    </row>
    <row r="30" spans="1:42">
      <c r="A30" t="s">
        <v>129</v>
      </c>
      <c r="L30" s="599">
        <v>160038</v>
      </c>
      <c r="M30" s="599">
        <v>115867</v>
      </c>
      <c r="N30" s="599">
        <v>137786</v>
      </c>
    </row>
    <row r="31" spans="1:42">
      <c r="A31" t="s">
        <v>130</v>
      </c>
      <c r="L31" s="599">
        <v>149754</v>
      </c>
      <c r="M31" s="599">
        <v>112534</v>
      </c>
    </row>
    <row r="32" spans="1:42">
      <c r="A32" t="s">
        <v>131</v>
      </c>
      <c r="L32" s="599">
        <v>143033</v>
      </c>
      <c r="M32" s="599">
        <v>135436</v>
      </c>
    </row>
    <row r="33" spans="1:42">
      <c r="A33" t="s">
        <v>132</v>
      </c>
      <c r="L33" s="599">
        <v>82274</v>
      </c>
      <c r="M33" s="599">
        <v>131295</v>
      </c>
    </row>
    <row r="34" spans="1:42">
      <c r="A34" t="s">
        <v>133</v>
      </c>
      <c r="L34" s="599">
        <v>95645</v>
      </c>
      <c r="M34" s="599">
        <v>137174</v>
      </c>
    </row>
    <row r="35" spans="1:42">
      <c r="A35" t="s">
        <v>134</v>
      </c>
      <c r="L35" s="599">
        <v>128724</v>
      </c>
      <c r="M35" s="599">
        <v>140338</v>
      </c>
    </row>
    <row r="36" spans="1:42">
      <c r="A36" t="s">
        <v>135</v>
      </c>
      <c r="L36" s="599">
        <v>149814</v>
      </c>
      <c r="M36" s="599">
        <v>152836</v>
      </c>
    </row>
    <row r="37" spans="1:42">
      <c r="A37" t="s">
        <v>136</v>
      </c>
      <c r="L37" s="599">
        <v>145546</v>
      </c>
      <c r="M37" s="599">
        <v>151841</v>
      </c>
    </row>
    <row r="38" spans="1:42">
      <c r="A38" t="s">
        <v>137</v>
      </c>
      <c r="L38" s="599">
        <v>137427</v>
      </c>
      <c r="M38" s="599">
        <v>144676</v>
      </c>
    </row>
    <row r="39" spans="1:42">
      <c r="A39" t="s">
        <v>138</v>
      </c>
      <c r="L39" s="599">
        <v>138374</v>
      </c>
      <c r="M39" s="599">
        <v>117719</v>
      </c>
    </row>
    <row r="40" spans="1:42">
      <c r="A40" t="s">
        <v>139</v>
      </c>
      <c r="L40" s="599">
        <v>149425</v>
      </c>
      <c r="M40" s="599">
        <v>149926</v>
      </c>
    </row>
    <row r="41" spans="1:42">
      <c r="A41" t="s">
        <v>140</v>
      </c>
      <c r="L41" s="599">
        <v>142964</v>
      </c>
      <c r="M41" s="599">
        <v>152457</v>
      </c>
    </row>
    <row r="42" spans="1:42" ht="13.5" thickBot="1">
      <c r="A42" t="s">
        <v>141</v>
      </c>
      <c r="L42" s="599">
        <f>SUM(L30:L41)</f>
        <v>1623018</v>
      </c>
      <c r="M42" s="599">
        <f>SUM(M30:M41)</f>
        <v>1642099</v>
      </c>
    </row>
    <row r="43" spans="1:42">
      <c r="A43" s="603"/>
      <c r="B43" s="603"/>
      <c r="C43" s="603"/>
      <c r="D43" s="603"/>
      <c r="E43" s="603"/>
      <c r="F43" s="603"/>
      <c r="G43" s="603"/>
      <c r="H43" s="603"/>
      <c r="I43" s="603"/>
      <c r="J43" s="603"/>
      <c r="K43" s="603"/>
      <c r="L43" s="603"/>
      <c r="M43" s="603"/>
      <c r="N43" s="603"/>
      <c r="O43" s="603"/>
      <c r="P43" s="603"/>
      <c r="Q43" s="603"/>
      <c r="R43" s="603"/>
      <c r="S43" s="603"/>
      <c r="T43" s="603"/>
      <c r="U43" s="603"/>
      <c r="V43" s="603"/>
      <c r="W43" s="603"/>
      <c r="X43" s="603"/>
      <c r="Y43" s="603"/>
      <c r="Z43" s="603"/>
      <c r="AA43" s="603"/>
      <c r="AB43" s="603"/>
      <c r="AC43" s="603"/>
      <c r="AD43" s="603"/>
      <c r="AE43" s="603"/>
      <c r="AF43" s="603"/>
      <c r="AG43" s="603"/>
      <c r="AH43" s="603"/>
      <c r="AI43" s="603"/>
      <c r="AJ43" s="603"/>
      <c r="AK43" s="603"/>
      <c r="AL43" s="603"/>
      <c r="AM43" s="603"/>
      <c r="AN43" s="603"/>
      <c r="AO43" s="603"/>
      <c r="AP43" s="603"/>
    </row>
    <row r="44" spans="1:42" ht="13.5" thickBot="1">
      <c r="A44" s="164" t="s">
        <v>145</v>
      </c>
      <c r="B44" s="164"/>
      <c r="C44" s="164"/>
      <c r="D44" s="164"/>
      <c r="E44" s="164"/>
      <c r="F44" s="164"/>
      <c r="G44" s="164"/>
      <c r="H44" s="164"/>
      <c r="I44" s="164"/>
      <c r="J44" s="164"/>
      <c r="K44" s="164"/>
    </row>
    <row r="45" spans="1:42" ht="13.5" thickBot="1">
      <c r="A45" s="600"/>
      <c r="B45" s="600"/>
      <c r="C45" s="600"/>
      <c r="D45" s="600"/>
      <c r="E45" s="600"/>
      <c r="F45" s="600"/>
      <c r="G45" s="600"/>
      <c r="H45" s="600"/>
      <c r="I45" s="600"/>
      <c r="J45" s="600"/>
      <c r="K45" s="600"/>
      <c r="L45" s="601">
        <f>L2</f>
        <v>2020</v>
      </c>
      <c r="M45" s="601">
        <f t="shared" ref="M45:AP45" si="4">M2</f>
        <v>2021</v>
      </c>
      <c r="N45" s="601">
        <f t="shared" si="4"/>
        <v>2022</v>
      </c>
      <c r="O45" s="601">
        <f t="shared" si="4"/>
        <v>2023</v>
      </c>
      <c r="P45" s="601">
        <f t="shared" si="4"/>
        <v>2024</v>
      </c>
      <c r="Q45" s="601">
        <f t="shared" si="4"/>
        <v>2025</v>
      </c>
      <c r="R45" s="601">
        <f t="shared" si="4"/>
        <v>2026</v>
      </c>
      <c r="S45" s="601">
        <f t="shared" si="4"/>
        <v>2027</v>
      </c>
      <c r="T45" s="601">
        <f t="shared" si="4"/>
        <v>2028</v>
      </c>
      <c r="U45" s="601">
        <f t="shared" si="4"/>
        <v>2029</v>
      </c>
      <c r="V45" s="601">
        <f t="shared" si="4"/>
        <v>2030</v>
      </c>
      <c r="W45" s="601">
        <f t="shared" si="4"/>
        <v>2031</v>
      </c>
      <c r="X45" s="601">
        <f t="shared" si="4"/>
        <v>2032</v>
      </c>
      <c r="Y45" s="601">
        <f t="shared" si="4"/>
        <v>2033</v>
      </c>
      <c r="Z45" s="601">
        <f t="shared" si="4"/>
        <v>2034</v>
      </c>
      <c r="AA45" s="601">
        <f t="shared" si="4"/>
        <v>2035</v>
      </c>
      <c r="AB45" s="601">
        <f t="shared" si="4"/>
        <v>2036</v>
      </c>
      <c r="AC45" s="601">
        <f t="shared" si="4"/>
        <v>2037</v>
      </c>
      <c r="AD45" s="601">
        <f t="shared" si="4"/>
        <v>2038</v>
      </c>
      <c r="AE45" s="601">
        <f t="shared" si="4"/>
        <v>2039</v>
      </c>
      <c r="AF45" s="601">
        <f t="shared" si="4"/>
        <v>2040</v>
      </c>
      <c r="AG45" s="601">
        <f t="shared" si="4"/>
        <v>2041</v>
      </c>
      <c r="AH45" s="601">
        <f t="shared" si="4"/>
        <v>2042</v>
      </c>
      <c r="AI45" s="601">
        <f t="shared" si="4"/>
        <v>2043</v>
      </c>
      <c r="AJ45" s="601">
        <f t="shared" si="4"/>
        <v>2044</v>
      </c>
      <c r="AK45" s="601">
        <f t="shared" si="4"/>
        <v>2045</v>
      </c>
      <c r="AL45" s="601">
        <f t="shared" si="4"/>
        <v>2046</v>
      </c>
      <c r="AM45" s="601">
        <f t="shared" si="4"/>
        <v>2047</v>
      </c>
      <c r="AN45" s="601">
        <f t="shared" si="4"/>
        <v>2048</v>
      </c>
      <c r="AO45" s="601">
        <f t="shared" si="4"/>
        <v>2049</v>
      </c>
      <c r="AP45" s="601">
        <f t="shared" si="4"/>
        <v>2050</v>
      </c>
    </row>
    <row r="46" spans="1:42">
      <c r="A46" t="s">
        <v>129</v>
      </c>
      <c r="L46" s="599">
        <v>-3857</v>
      </c>
      <c r="M46" s="599">
        <v>-44</v>
      </c>
      <c r="N46" s="599">
        <v>95</v>
      </c>
    </row>
    <row r="47" spans="1:42">
      <c r="A47" t="s">
        <v>130</v>
      </c>
      <c r="L47" s="599">
        <v>256</v>
      </c>
      <c r="M47" s="599">
        <v>-25</v>
      </c>
    </row>
    <row r="48" spans="1:42">
      <c r="A48" t="s">
        <v>131</v>
      </c>
      <c r="L48" s="599">
        <v>-1269</v>
      </c>
      <c r="M48" s="599">
        <v>36</v>
      </c>
    </row>
    <row r="49" spans="1:42">
      <c r="A49" t="s">
        <v>132</v>
      </c>
      <c r="L49" s="599">
        <v>66</v>
      </c>
      <c r="M49" s="599">
        <v>148</v>
      </c>
    </row>
    <row r="50" spans="1:42">
      <c r="A50" t="s">
        <v>133</v>
      </c>
      <c r="L50" s="599">
        <v>-72</v>
      </c>
      <c r="M50" s="599">
        <v>3</v>
      </c>
    </row>
    <row r="51" spans="1:42">
      <c r="A51" t="s">
        <v>134</v>
      </c>
      <c r="L51" s="599">
        <v>315</v>
      </c>
      <c r="M51" s="599">
        <v>-52</v>
      </c>
    </row>
    <row r="52" spans="1:42">
      <c r="A52" t="s">
        <v>135</v>
      </c>
      <c r="L52" s="599">
        <v>211</v>
      </c>
      <c r="M52" s="599">
        <v>373</v>
      </c>
    </row>
    <row r="53" spans="1:42">
      <c r="A53" t="s">
        <v>136</v>
      </c>
      <c r="L53" s="599">
        <v>175</v>
      </c>
      <c r="M53" s="599">
        <v>283</v>
      </c>
    </row>
    <row r="54" spans="1:42">
      <c r="A54" t="s">
        <v>137</v>
      </c>
      <c r="L54" s="599">
        <v>354</v>
      </c>
      <c r="M54" s="599">
        <v>-194</v>
      </c>
    </row>
    <row r="55" spans="1:42">
      <c r="A55" t="s">
        <v>138</v>
      </c>
      <c r="L55" s="599">
        <v>283</v>
      </c>
      <c r="M55" s="599">
        <v>116</v>
      </c>
    </row>
    <row r="56" spans="1:42">
      <c r="A56" t="s">
        <v>139</v>
      </c>
      <c r="L56" s="599">
        <v>322</v>
      </c>
      <c r="M56" s="599">
        <v>-41</v>
      </c>
    </row>
    <row r="57" spans="1:42">
      <c r="A57" t="s">
        <v>140</v>
      </c>
      <c r="L57" s="599">
        <v>228</v>
      </c>
      <c r="M57" s="599">
        <v>21</v>
      </c>
    </row>
    <row r="58" spans="1:42" ht="13.5" thickBot="1">
      <c r="A58" t="s">
        <v>141</v>
      </c>
      <c r="L58" s="599">
        <f>SUM(L46:L57)</f>
        <v>-2988</v>
      </c>
      <c r="M58" s="599">
        <f>SUM(M46:M57)</f>
        <v>624</v>
      </c>
    </row>
    <row r="59" spans="1:42">
      <c r="A59" s="603"/>
      <c r="B59" s="603"/>
      <c r="C59" s="603"/>
      <c r="D59" s="603"/>
      <c r="E59" s="603"/>
      <c r="F59" s="603"/>
      <c r="G59" s="603"/>
      <c r="H59" s="603"/>
      <c r="I59" s="603"/>
      <c r="J59" s="603"/>
      <c r="K59" s="603"/>
      <c r="L59" s="603"/>
      <c r="M59" s="603"/>
      <c r="N59" s="603"/>
      <c r="O59" s="603"/>
      <c r="P59" s="603"/>
      <c r="Q59" s="603"/>
      <c r="R59" s="603"/>
      <c r="S59" s="603"/>
      <c r="T59" s="603"/>
      <c r="U59" s="603"/>
      <c r="V59" s="603"/>
      <c r="W59" s="603"/>
      <c r="X59" s="603"/>
      <c r="Y59" s="603"/>
      <c r="Z59" s="603"/>
      <c r="AA59" s="603"/>
      <c r="AB59" s="603"/>
      <c r="AC59" s="603"/>
      <c r="AD59" s="603"/>
      <c r="AE59" s="603"/>
      <c r="AF59" s="603"/>
      <c r="AG59" s="603"/>
      <c r="AH59" s="603"/>
      <c r="AI59" s="603"/>
      <c r="AJ59" s="603"/>
      <c r="AK59" s="603"/>
      <c r="AL59" s="603"/>
      <c r="AM59" s="603"/>
      <c r="AN59" s="603"/>
      <c r="AO59" s="603"/>
      <c r="AP59" s="603"/>
    </row>
    <row r="60" spans="1:42" ht="13.5" thickBot="1">
      <c r="A60" s="164" t="s">
        <v>146</v>
      </c>
      <c r="B60" s="164"/>
      <c r="C60" s="164"/>
      <c r="D60" s="164"/>
      <c r="E60" s="164"/>
      <c r="F60" s="164"/>
      <c r="G60" s="164"/>
      <c r="H60" s="164"/>
      <c r="I60" s="164"/>
      <c r="J60" s="164"/>
      <c r="K60" s="164"/>
    </row>
    <row r="61" spans="1:42" ht="13.5" thickBot="1">
      <c r="A61" s="600"/>
      <c r="B61" s="600"/>
      <c r="C61" s="600"/>
      <c r="D61" s="600"/>
      <c r="E61" s="600"/>
      <c r="F61" s="600"/>
      <c r="G61" s="600"/>
      <c r="H61" s="600"/>
      <c r="I61" s="600"/>
      <c r="J61" s="600"/>
      <c r="K61" s="600"/>
      <c r="L61" s="601">
        <f>L2</f>
        <v>2020</v>
      </c>
      <c r="M61" s="601">
        <f t="shared" ref="M61:AP61" si="5">M2</f>
        <v>2021</v>
      </c>
      <c r="N61" s="601">
        <f t="shared" si="5"/>
        <v>2022</v>
      </c>
      <c r="O61" s="601">
        <f t="shared" si="5"/>
        <v>2023</v>
      </c>
      <c r="P61" s="601">
        <f t="shared" si="5"/>
        <v>2024</v>
      </c>
      <c r="Q61" s="601">
        <f t="shared" si="5"/>
        <v>2025</v>
      </c>
      <c r="R61" s="601">
        <f t="shared" si="5"/>
        <v>2026</v>
      </c>
      <c r="S61" s="601">
        <f t="shared" si="5"/>
        <v>2027</v>
      </c>
      <c r="T61" s="601">
        <f t="shared" si="5"/>
        <v>2028</v>
      </c>
      <c r="U61" s="601">
        <f t="shared" si="5"/>
        <v>2029</v>
      </c>
      <c r="V61" s="601">
        <f t="shared" si="5"/>
        <v>2030</v>
      </c>
      <c r="W61" s="601">
        <f t="shared" si="5"/>
        <v>2031</v>
      </c>
      <c r="X61" s="601">
        <f t="shared" si="5"/>
        <v>2032</v>
      </c>
      <c r="Y61" s="601">
        <f t="shared" si="5"/>
        <v>2033</v>
      </c>
      <c r="Z61" s="601">
        <f t="shared" si="5"/>
        <v>2034</v>
      </c>
      <c r="AA61" s="601">
        <f t="shared" si="5"/>
        <v>2035</v>
      </c>
      <c r="AB61" s="601">
        <f t="shared" si="5"/>
        <v>2036</v>
      </c>
      <c r="AC61" s="601">
        <f t="shared" si="5"/>
        <v>2037</v>
      </c>
      <c r="AD61" s="601">
        <f t="shared" si="5"/>
        <v>2038</v>
      </c>
      <c r="AE61" s="601">
        <f t="shared" si="5"/>
        <v>2039</v>
      </c>
      <c r="AF61" s="601">
        <f t="shared" si="5"/>
        <v>2040</v>
      </c>
      <c r="AG61" s="601">
        <f t="shared" si="5"/>
        <v>2041</v>
      </c>
      <c r="AH61" s="601">
        <f t="shared" si="5"/>
        <v>2042</v>
      </c>
      <c r="AI61" s="601">
        <f t="shared" si="5"/>
        <v>2043</v>
      </c>
      <c r="AJ61" s="601">
        <f t="shared" si="5"/>
        <v>2044</v>
      </c>
      <c r="AK61" s="601">
        <f t="shared" si="5"/>
        <v>2045</v>
      </c>
      <c r="AL61" s="601">
        <f t="shared" si="5"/>
        <v>2046</v>
      </c>
      <c r="AM61" s="601">
        <f t="shared" si="5"/>
        <v>2047</v>
      </c>
      <c r="AN61" s="601">
        <f t="shared" si="5"/>
        <v>2048</v>
      </c>
      <c r="AO61" s="601">
        <f t="shared" si="5"/>
        <v>2049</v>
      </c>
      <c r="AP61" s="601">
        <f t="shared" si="5"/>
        <v>2050</v>
      </c>
    </row>
    <row r="62" spans="1:42">
      <c r="A62" t="s">
        <v>129</v>
      </c>
      <c r="L62" s="599">
        <f>((L3+L14)-L78)-(L30+L46)</f>
        <v>-248</v>
      </c>
      <c r="M62" s="599">
        <f>((L89+M14)-M78)-(M30+M46)</f>
        <v>-165</v>
      </c>
      <c r="N62" s="599">
        <f>((M89+N14)-N78)-(N30+N46)</f>
        <v>-37</v>
      </c>
    </row>
    <row r="63" spans="1:42">
      <c r="A63" t="s">
        <v>130</v>
      </c>
      <c r="L63" s="599">
        <f>((L78+L15)-L79)-(L31+L47)</f>
        <v>-332</v>
      </c>
      <c r="M63" s="599">
        <f>((M78+M15)-M79)-(M31+M47)</f>
        <v>-50</v>
      </c>
    </row>
    <row r="64" spans="1:42">
      <c r="A64" t="s">
        <v>131</v>
      </c>
      <c r="L64" s="599">
        <f t="shared" ref="L64:M73" si="6">((L79+L16)-L80)-(L32+L48)</f>
        <v>-95</v>
      </c>
      <c r="M64" s="599">
        <f t="shared" si="6"/>
        <v>-38</v>
      </c>
    </row>
    <row r="65" spans="1:42">
      <c r="A65" t="s">
        <v>132</v>
      </c>
      <c r="L65" s="599">
        <f t="shared" si="6"/>
        <v>-95</v>
      </c>
      <c r="M65" s="599">
        <f t="shared" si="6"/>
        <v>-98</v>
      </c>
    </row>
    <row r="66" spans="1:42">
      <c r="A66" t="s">
        <v>133</v>
      </c>
      <c r="L66" s="599">
        <f t="shared" si="6"/>
        <v>-61</v>
      </c>
      <c r="M66" s="599">
        <f t="shared" si="6"/>
        <v>0</v>
      </c>
    </row>
    <row r="67" spans="1:42">
      <c r="A67" t="s">
        <v>134</v>
      </c>
      <c r="L67" s="599">
        <f t="shared" si="6"/>
        <v>-19</v>
      </c>
      <c r="M67" s="599">
        <f t="shared" si="6"/>
        <v>-37</v>
      </c>
    </row>
    <row r="68" spans="1:42">
      <c r="A68" t="s">
        <v>135</v>
      </c>
      <c r="L68" s="599">
        <f t="shared" si="6"/>
        <v>-26</v>
      </c>
      <c r="M68" s="599">
        <f t="shared" si="6"/>
        <v>-71</v>
      </c>
    </row>
    <row r="69" spans="1:42">
      <c r="A69" t="s">
        <v>136</v>
      </c>
      <c r="L69" s="599">
        <f t="shared" si="6"/>
        <v>-35</v>
      </c>
      <c r="M69" s="599">
        <f t="shared" si="6"/>
        <v>-11</v>
      </c>
    </row>
    <row r="70" spans="1:42">
      <c r="A70" t="s">
        <v>137</v>
      </c>
      <c r="L70" s="599">
        <f t="shared" si="6"/>
        <v>-43</v>
      </c>
      <c r="M70" s="599">
        <f t="shared" si="6"/>
        <v>-38</v>
      </c>
    </row>
    <row r="71" spans="1:42">
      <c r="A71" t="s">
        <v>138</v>
      </c>
      <c r="L71" s="599">
        <f t="shared" si="6"/>
        <v>-34</v>
      </c>
      <c r="M71" s="599">
        <f t="shared" si="6"/>
        <v>-36</v>
      </c>
    </row>
    <row r="72" spans="1:42">
      <c r="A72" t="s">
        <v>139</v>
      </c>
      <c r="L72" s="599">
        <f t="shared" si="6"/>
        <v>-37</v>
      </c>
      <c r="M72" s="599">
        <f t="shared" si="6"/>
        <v>-37</v>
      </c>
    </row>
    <row r="73" spans="1:42">
      <c r="A73" t="s">
        <v>140</v>
      </c>
      <c r="L73" s="599">
        <f t="shared" si="6"/>
        <v>-37</v>
      </c>
      <c r="M73" s="599">
        <f t="shared" si="6"/>
        <v>-61</v>
      </c>
    </row>
    <row r="74" spans="1:42" ht="13.5" thickBot="1">
      <c r="A74" t="s">
        <v>141</v>
      </c>
      <c r="L74" s="599">
        <f>SUM(L62:L73)</f>
        <v>-1062</v>
      </c>
      <c r="M74" s="599">
        <f>SUM(M62:M73)</f>
        <v>-642</v>
      </c>
    </row>
    <row r="75" spans="1:42">
      <c r="A75" s="603"/>
      <c r="B75" s="603"/>
      <c r="C75" s="603"/>
      <c r="D75" s="603"/>
      <c r="E75" s="603"/>
      <c r="F75" s="603"/>
      <c r="G75" s="603"/>
      <c r="H75" s="603"/>
      <c r="I75" s="603"/>
      <c r="J75" s="603"/>
      <c r="K75" s="603"/>
      <c r="L75" s="603"/>
      <c r="M75" s="603"/>
      <c r="N75" s="603"/>
      <c r="O75" s="603"/>
      <c r="P75" s="603"/>
      <c r="Q75" s="603"/>
      <c r="R75" s="603"/>
      <c r="S75" s="603"/>
      <c r="T75" s="603"/>
      <c r="U75" s="603"/>
      <c r="V75" s="603"/>
      <c r="W75" s="603"/>
      <c r="X75" s="603"/>
      <c r="Y75" s="603"/>
      <c r="Z75" s="603"/>
      <c r="AA75" s="603"/>
      <c r="AB75" s="603"/>
      <c r="AC75" s="603"/>
      <c r="AD75" s="603"/>
      <c r="AE75" s="603"/>
      <c r="AF75" s="603"/>
      <c r="AG75" s="603"/>
      <c r="AH75" s="603"/>
      <c r="AI75" s="603"/>
      <c r="AJ75" s="603"/>
      <c r="AK75" s="603"/>
      <c r="AL75" s="603"/>
      <c r="AM75" s="603"/>
      <c r="AN75" s="603"/>
      <c r="AO75" s="603"/>
      <c r="AP75" s="603"/>
    </row>
    <row r="76" spans="1:42" ht="13.5" thickBot="1">
      <c r="A76" s="164" t="s">
        <v>147</v>
      </c>
      <c r="B76" s="164"/>
      <c r="C76" s="164"/>
      <c r="D76" s="164"/>
      <c r="E76" s="164"/>
      <c r="F76" s="164"/>
      <c r="G76" s="164"/>
      <c r="H76" s="164"/>
      <c r="I76" s="164"/>
      <c r="J76" s="164"/>
      <c r="K76" s="164"/>
    </row>
    <row r="77" spans="1:42" ht="13.5" thickBot="1">
      <c r="A77" s="600"/>
      <c r="B77" s="600"/>
      <c r="C77" s="600"/>
      <c r="D77" s="600"/>
      <c r="E77" s="600"/>
      <c r="F77" s="600"/>
      <c r="G77" s="600"/>
      <c r="H77" s="600"/>
      <c r="I77" s="600"/>
      <c r="J77" s="600"/>
      <c r="K77" s="600"/>
      <c r="L77" s="601">
        <f>L2</f>
        <v>2020</v>
      </c>
      <c r="M77" s="601">
        <f t="shared" ref="M77:AP77" si="7">M2</f>
        <v>2021</v>
      </c>
      <c r="N77" s="601">
        <f t="shared" si="7"/>
        <v>2022</v>
      </c>
      <c r="O77" s="601">
        <f t="shared" si="7"/>
        <v>2023</v>
      </c>
      <c r="P77" s="601">
        <f t="shared" si="7"/>
        <v>2024</v>
      </c>
      <c r="Q77" s="601">
        <f t="shared" si="7"/>
        <v>2025</v>
      </c>
      <c r="R77" s="601">
        <f t="shared" si="7"/>
        <v>2026</v>
      </c>
      <c r="S77" s="601">
        <f t="shared" si="7"/>
        <v>2027</v>
      </c>
      <c r="T77" s="601">
        <f t="shared" si="7"/>
        <v>2028</v>
      </c>
      <c r="U77" s="601">
        <f t="shared" si="7"/>
        <v>2029</v>
      </c>
      <c r="V77" s="601">
        <f t="shared" si="7"/>
        <v>2030</v>
      </c>
      <c r="W77" s="601">
        <f t="shared" si="7"/>
        <v>2031</v>
      </c>
      <c r="X77" s="601">
        <f t="shared" si="7"/>
        <v>2032</v>
      </c>
      <c r="Y77" s="601">
        <f t="shared" si="7"/>
        <v>2033</v>
      </c>
      <c r="Z77" s="601">
        <f t="shared" si="7"/>
        <v>2034</v>
      </c>
      <c r="AA77" s="601">
        <f t="shared" si="7"/>
        <v>2035</v>
      </c>
      <c r="AB77" s="601">
        <f t="shared" si="7"/>
        <v>2036</v>
      </c>
      <c r="AC77" s="601">
        <f t="shared" si="7"/>
        <v>2037</v>
      </c>
      <c r="AD77" s="601">
        <f t="shared" si="7"/>
        <v>2038</v>
      </c>
      <c r="AE77" s="601">
        <f t="shared" si="7"/>
        <v>2039</v>
      </c>
      <c r="AF77" s="601">
        <f t="shared" si="7"/>
        <v>2040</v>
      </c>
      <c r="AG77" s="601">
        <f t="shared" si="7"/>
        <v>2041</v>
      </c>
      <c r="AH77" s="601">
        <f t="shared" si="7"/>
        <v>2042</v>
      </c>
      <c r="AI77" s="601">
        <f t="shared" si="7"/>
        <v>2043</v>
      </c>
      <c r="AJ77" s="601">
        <f t="shared" si="7"/>
        <v>2044</v>
      </c>
      <c r="AK77" s="601">
        <f t="shared" si="7"/>
        <v>2045</v>
      </c>
      <c r="AL77" s="601">
        <f t="shared" si="7"/>
        <v>2046</v>
      </c>
      <c r="AM77" s="601">
        <f t="shared" si="7"/>
        <v>2047</v>
      </c>
      <c r="AN77" s="601">
        <f t="shared" si="7"/>
        <v>2048</v>
      </c>
      <c r="AO77" s="601">
        <f t="shared" si="7"/>
        <v>2049</v>
      </c>
      <c r="AP77" s="601">
        <f t="shared" si="7"/>
        <v>2050</v>
      </c>
    </row>
    <row r="78" spans="1:42">
      <c r="A78" t="s">
        <v>129</v>
      </c>
      <c r="L78" s="599">
        <v>17126</v>
      </c>
      <c r="M78" s="599">
        <v>20126</v>
      </c>
      <c r="N78" s="599">
        <v>21428</v>
      </c>
    </row>
    <row r="79" spans="1:42">
      <c r="A79" t="s">
        <v>130</v>
      </c>
      <c r="L79" s="599">
        <v>16945</v>
      </c>
      <c r="M79" s="599">
        <v>16571</v>
      </c>
    </row>
    <row r="80" spans="1:42">
      <c r="A80" t="s">
        <v>131</v>
      </c>
      <c r="L80" s="599">
        <v>22467</v>
      </c>
      <c r="M80" s="599">
        <v>18151</v>
      </c>
    </row>
    <row r="81" spans="1:42">
      <c r="A81" t="s">
        <v>132</v>
      </c>
      <c r="L81" s="599">
        <v>25673</v>
      </c>
      <c r="M81" s="599">
        <v>16874</v>
      </c>
    </row>
    <row r="82" spans="1:42">
      <c r="A82" t="s">
        <v>133</v>
      </c>
      <c r="L82" s="599">
        <v>18492</v>
      </c>
      <c r="M82" s="599">
        <v>23047</v>
      </c>
    </row>
    <row r="83" spans="1:42">
      <c r="A83" t="s">
        <v>134</v>
      </c>
      <c r="L83" s="599">
        <v>19380</v>
      </c>
      <c r="M83" s="599">
        <v>16938</v>
      </c>
    </row>
    <row r="84" spans="1:42">
      <c r="A84" t="s">
        <v>135</v>
      </c>
      <c r="L84" s="599">
        <v>19389</v>
      </c>
      <c r="M84" s="599">
        <v>19000</v>
      </c>
    </row>
    <row r="85" spans="1:42">
      <c r="A85" t="s">
        <v>136</v>
      </c>
      <c r="L85" s="599">
        <v>20127</v>
      </c>
      <c r="M85" s="599">
        <v>15154</v>
      </c>
    </row>
    <row r="86" spans="1:42">
      <c r="A86" t="s">
        <v>137</v>
      </c>
      <c r="L86" s="599">
        <v>17134</v>
      </c>
      <c r="M86" s="599">
        <v>12941</v>
      </c>
    </row>
    <row r="87" spans="1:42">
      <c r="A87" t="s">
        <v>138</v>
      </c>
      <c r="L87" s="599">
        <v>17714</v>
      </c>
      <c r="M87" s="599">
        <v>16606</v>
      </c>
    </row>
    <row r="88" spans="1:42">
      <c r="A88" t="s">
        <v>139</v>
      </c>
      <c r="L88" s="599">
        <v>23238</v>
      </c>
      <c r="M88" s="599">
        <v>21365</v>
      </c>
    </row>
    <row r="89" spans="1:42" ht="13.5" thickBot="1">
      <c r="A89" t="s">
        <v>140</v>
      </c>
      <c r="L89" s="599">
        <v>19153</v>
      </c>
      <c r="M89" s="599">
        <v>19543</v>
      </c>
    </row>
    <row r="90" spans="1:42">
      <c r="A90" s="603"/>
      <c r="B90" s="603"/>
      <c r="C90" s="603"/>
      <c r="D90" s="603"/>
      <c r="E90" s="603"/>
      <c r="F90" s="603"/>
      <c r="G90" s="603"/>
      <c r="H90" s="603"/>
      <c r="I90" s="603"/>
      <c r="J90" s="603"/>
      <c r="K90" s="603"/>
      <c r="L90" s="603"/>
      <c r="M90" s="603"/>
      <c r="N90" s="603"/>
      <c r="O90" s="603"/>
      <c r="P90" s="603"/>
      <c r="Q90" s="603"/>
      <c r="R90" s="603"/>
      <c r="S90" s="603"/>
      <c r="T90" s="603"/>
      <c r="U90" s="603"/>
      <c r="V90" s="603"/>
      <c r="W90" s="603"/>
      <c r="X90" s="603"/>
      <c r="Y90" s="603"/>
      <c r="Z90" s="603"/>
      <c r="AA90" s="603"/>
      <c r="AB90" s="603"/>
      <c r="AC90" s="603"/>
      <c r="AD90" s="603"/>
      <c r="AE90" s="603"/>
      <c r="AF90" s="603"/>
      <c r="AG90" s="603"/>
      <c r="AH90" s="603"/>
      <c r="AI90" s="603"/>
      <c r="AJ90" s="603"/>
      <c r="AK90" s="603"/>
      <c r="AL90" s="603"/>
      <c r="AM90" s="603"/>
      <c r="AN90" s="603"/>
      <c r="AO90" s="603"/>
      <c r="AP90" s="60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Charts</vt:lpstr>
      </vt:variant>
      <vt:variant>
        <vt:i4>6</vt:i4>
      </vt:variant>
    </vt:vector>
  </HeadingPairs>
  <TitlesOfParts>
    <vt:vector size="32" baseType="lpstr">
      <vt:lpstr>Source Data</vt:lpstr>
      <vt:lpstr>Data</vt:lpstr>
      <vt:lpstr>Mandates</vt:lpstr>
      <vt:lpstr>Mandate Table</vt:lpstr>
      <vt:lpstr>Credit Data</vt:lpstr>
      <vt:lpstr>Total Biofuels</vt:lpstr>
      <vt:lpstr>Fuel Ethanol</vt:lpstr>
      <vt:lpstr>Ethanol Plant List</vt:lpstr>
      <vt:lpstr>Ethanol Feedstock Use</vt:lpstr>
      <vt:lpstr>Ethanol Conversion</vt:lpstr>
      <vt:lpstr>Renewable Fuel Ex Ethanol</vt:lpstr>
      <vt:lpstr>Total Feedstock</vt:lpstr>
      <vt:lpstr>Total Ethanol Feedstock</vt:lpstr>
      <vt:lpstr>Total RD Feedstock</vt:lpstr>
      <vt:lpstr>VO RD Feedstock</vt:lpstr>
      <vt:lpstr>Other RD Feedstock</vt:lpstr>
      <vt:lpstr>BD Plant List</vt:lpstr>
      <vt:lpstr>RD Plant List</vt:lpstr>
      <vt:lpstr>BD Feedstock</vt:lpstr>
      <vt:lpstr>RD Feedstock</vt:lpstr>
      <vt:lpstr>BBD Monthly Production</vt:lpstr>
      <vt:lpstr>Annual Diesel Sales</vt:lpstr>
      <vt:lpstr>Bob List #1</vt:lpstr>
      <vt:lpstr>Bob List #2</vt:lpstr>
      <vt:lpstr>Bob List #3</vt:lpstr>
      <vt:lpstr>Ethanol</vt:lpstr>
      <vt:lpstr>BC Credit Value-Volume Chart</vt:lpstr>
      <vt:lpstr>BBD Yield Chart</vt:lpstr>
      <vt:lpstr>VO RD Feedstock Chart</vt:lpstr>
      <vt:lpstr>Monthly Prod v Cap Utilization</vt:lpstr>
      <vt:lpstr>BD Feedstock Mix Chart</vt:lpstr>
      <vt:lpstr>BBD Stacked Annual 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2025-07-09T11:24:20Z</dcterms:created>
  <dcterms:modified xsi:type="dcterms:W3CDTF">2025-07-09T11:24:54Z</dcterms:modified>
</cp:coreProperties>
</file>